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drawings/drawing9.xml" ContentType="application/vnd.openxmlformats-officedocument.drawing+xml"/>
  <Override PartName="/xl/comments26.xml" ContentType="application/vnd.openxmlformats-officedocument.spreadsheetml.comments+xml"/>
  <Override PartName="/xl/drawings/drawing10.xml" ContentType="application/vnd.openxmlformats-officedocument.drawing+xml"/>
  <Override PartName="/xl/comments27.xml" ContentType="application/vnd.openxmlformats-officedocument.spreadsheetml.comments+xml"/>
  <Override PartName="/xl/drawings/drawing11.xml" ContentType="application/vnd.openxmlformats-officedocument.drawing+xml"/>
  <Override PartName="/xl/comments28.xml" ContentType="application/vnd.openxmlformats-officedocument.spreadsheetml.comments+xml"/>
  <Override PartName="/xl/drawings/drawing12.xml" ContentType="application/vnd.openxmlformats-officedocument.drawing+xml"/>
  <Override PartName="/xl/comments29.xml" ContentType="application/vnd.openxmlformats-officedocument.spreadsheetml.comments+xml"/>
  <Override PartName="/xl/drawings/drawing13.xml" ContentType="application/vnd.openxmlformats-officedocument.drawing+xml"/>
  <Override PartName="/xl/comments30.xml" ContentType="application/vnd.openxmlformats-officedocument.spreadsheetml.comments+xml"/>
  <Override PartName="/xl/drawings/drawing14.xml" ContentType="application/vnd.openxmlformats-officedocument.drawing+xml"/>
  <Override PartName="/xl/comments3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tabRatio="830" firstSheet="7" activeTab="18"/>
  </bookViews>
  <sheets>
    <sheet name="STATPARA" sheetId="19" state="veryHidden" r:id="rId1"/>
    <sheet name="Lead" sheetId="4" r:id="rId2"/>
    <sheet name="Checks" sheetId="46" r:id="rId3"/>
    <sheet name="preBS" sheetId="7" r:id="rId4"/>
    <sheet name="preIS" sheetId="21" r:id="rId5"/>
    <sheet name="减值表" sheetId="87" r:id="rId6"/>
    <sheet name="递延所得税" sheetId="88" r:id="rId7"/>
    <sheet name="所得税费用" sheetId="89" r:id="rId8"/>
    <sheet name="CF底稿" sheetId="91" r:id="rId9"/>
    <sheet name="preCF" sheetId="8" r:id="rId10"/>
    <sheet name="preCE" sheetId="2" r:id="rId11"/>
    <sheet name="TB" sheetId="5" r:id="rId12"/>
    <sheet name="AJE" sheetId="6" r:id="rId13"/>
    <sheet name="CFJE" sheetId="13" r:id="rId14"/>
    <sheet name="UJE" sheetId="11" r:id="rId15"/>
    <sheet name="AJE1" sheetId="12" r:id="rId16"/>
    <sheet name="BS" sheetId="72" r:id="rId17"/>
    <sheet name="IS" sheetId="73" r:id="rId18"/>
    <sheet name="CF" sheetId="74" r:id="rId19"/>
    <sheet name="CE" sheetId="75" r:id="rId20"/>
    <sheet name="BalanceSheet" sheetId="68" state="veryHidden" r:id="rId21"/>
    <sheet name="IncomeStatement" sheetId="69" state="veryHidden" r:id="rId22"/>
    <sheet name="CashFlow" sheetId="70" state="veryHidden" r:id="rId23"/>
    <sheet name="OwnersEquity" sheetId="71" state="veryHidden" r:id="rId24"/>
    <sheet name="noteChecks" sheetId="50" r:id="rId25"/>
    <sheet name="Notes" sheetId="18" r:id="rId26"/>
    <sheet name="CFWP1" sheetId="16" r:id="rId27"/>
    <sheet name="CFWP2" sheetId="17" r:id="rId28"/>
    <sheet name="STATDATA" sheetId="23" state="veryHidden" r:id="rId29"/>
    <sheet name="TBSPIVOT" sheetId="25" state="veryHidden" r:id="rId30"/>
    <sheet name="NOTEPIVO2" sheetId="45" state="veryHidden" r:id="rId31"/>
    <sheet name="NOTEPIVO" sheetId="24" state="veryHidden" r:id="rId32"/>
    <sheet name="未审报表分析" sheetId="51" r:id="rId33"/>
    <sheet name="未审财务指标分析" sheetId="52" r:id="rId34"/>
    <sheet name="已审报表分析" sheetId="47" r:id="rId35"/>
    <sheet name="已审财务指标分析" sheetId="48" r:id="rId36"/>
    <sheet name="非财务信息" sheetId="49" r:id="rId37"/>
    <sheet name="9000A错报程序表" sheetId="76" r:id="rId38"/>
    <sheet name="9002B未更正错报（不包括披露错报）汇总表" sheetId="77" r:id="rId39"/>
    <sheet name="9002C未更正披露错报汇总表" sheetId="78" r:id="rId40"/>
    <sheet name="9000B对错报性质的评价" sheetId="79" r:id="rId41"/>
    <sheet name="9000C错报评价" sheetId="80" r:id="rId42"/>
    <sheet name="9000D对错报的沟通" sheetId="81" r:id="rId43"/>
  </sheets>
  <externalReferences>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s>
  <definedNames>
    <definedName name="_.xls" localSheetId="8">#REF!</definedName>
    <definedName name="_.xls">#REF!</definedName>
    <definedName name="_01.xls" localSheetId="8">#REF!</definedName>
    <definedName name="_01.xls">#REF!</definedName>
    <definedName name="_02.xls" localSheetId="8">#REF!</definedName>
    <definedName name="_02.xls">#REF!</definedName>
    <definedName name="_03.xls" localSheetId="8">#REF!</definedName>
    <definedName name="_03.xls">#REF!</definedName>
    <definedName name="_11.xls" localSheetId="8">#REF!</definedName>
    <definedName name="_11.xls">#REF!</definedName>
    <definedName name="_1101L" localSheetId="8">#REF!</definedName>
    <definedName name="_1101L">#REF!</definedName>
    <definedName name="_1101P" localSheetId="8">#REF!</definedName>
    <definedName name="_1101P">#REF!</definedName>
    <definedName name="_1101Y" localSheetId="8">#REF!</definedName>
    <definedName name="_1101Y">#REF!</definedName>
    <definedName name="_1111L" localSheetId="8">#REF!</definedName>
    <definedName name="_1111L">#REF!</definedName>
    <definedName name="_1111P" localSheetId="8">#REF!</definedName>
    <definedName name="_1111P">#REF!</definedName>
    <definedName name="_1111Y" localSheetId="8">#REF!</definedName>
    <definedName name="_1111Y">#REF!</definedName>
    <definedName name="_1121Y">[1]LinkData!$G$4</definedName>
    <definedName name="_1131L" localSheetId="8">#REF!</definedName>
    <definedName name="_1131L">#REF!</definedName>
    <definedName name="_1131P" localSheetId="8">#REF!</definedName>
    <definedName name="_1131P">#REF!</definedName>
    <definedName name="_1131Y" localSheetId="8">#REF!</definedName>
    <definedName name="_1131Y">#REF!</definedName>
    <definedName name="_1141L" localSheetId="8">#REF!</definedName>
    <definedName name="_1141L">#REF!</definedName>
    <definedName name="_1141P" localSheetId="8">#REF!</definedName>
    <definedName name="_1141P">#REF!</definedName>
    <definedName name="_1141Y" localSheetId="8">#REF!</definedName>
    <definedName name="_1141Y">#REF!</definedName>
    <definedName name="_1151L" localSheetId="8">#REF!</definedName>
    <definedName name="_1151L">#REF!</definedName>
    <definedName name="_1151P" localSheetId="8">#REF!</definedName>
    <definedName name="_1151P">#REF!</definedName>
    <definedName name="_1151Y" localSheetId="8">#REF!</definedName>
    <definedName name="_1151Y">#REF!</definedName>
    <definedName name="_1161Y">[1]LinkData!$G$8</definedName>
    <definedName name="_1171L" localSheetId="8">#REF!</definedName>
    <definedName name="_1171L">#REF!</definedName>
    <definedName name="_1171P" localSheetId="8">#REF!</definedName>
    <definedName name="_1171P">#REF!</definedName>
    <definedName name="_1171Y" localSheetId="8">#REF!</definedName>
    <definedName name="_1171Y">#REF!</definedName>
    <definedName name="_1181Y">[1]LinkData!$G$10</definedName>
    <definedName name="_1191L" localSheetId="8">#REF!</definedName>
    <definedName name="_1191L">#REF!</definedName>
    <definedName name="_1191P" localSheetId="8">#REF!</definedName>
    <definedName name="_1191P">#REF!</definedName>
    <definedName name="_1191Y" localSheetId="8">#REF!</definedName>
    <definedName name="_1191Y">#REF!</definedName>
    <definedName name="_12.xls" localSheetId="8">#REF!</definedName>
    <definedName name="_12.xls">#REF!</definedName>
    <definedName name="_1201L" localSheetId="8">#REF!</definedName>
    <definedName name="_1201L">#REF!</definedName>
    <definedName name="_1201P" localSheetId="8">#REF!</definedName>
    <definedName name="_1201P">#REF!</definedName>
    <definedName name="_1201Y" localSheetId="8">#REF!</definedName>
    <definedName name="_1201Y">#REF!</definedName>
    <definedName name="_121.dbf" localSheetId="8">#REF!</definedName>
    <definedName name="_121.dbf">#REF!</definedName>
    <definedName name="_1212002.dbf" localSheetId="8">#REF!</definedName>
    <definedName name="_1212002.dbf">#REF!</definedName>
    <definedName name="_1301L" localSheetId="8">#REF!</definedName>
    <definedName name="_1301L">#REF!</definedName>
    <definedName name="_1301P" localSheetId="8">#REF!</definedName>
    <definedName name="_1301P">#REF!</definedName>
    <definedName name="_1301Y" localSheetId="8">#REF!</definedName>
    <definedName name="_1301Y">#REF!</definedName>
    <definedName name="_1302L" localSheetId="8">#REF!</definedName>
    <definedName name="_1302L">#REF!</definedName>
    <definedName name="_1302P" localSheetId="8">#REF!</definedName>
    <definedName name="_1302P">#REF!</definedName>
    <definedName name="_1302Y" localSheetId="8">#REF!</definedName>
    <definedName name="_1302Y">#REF!</definedName>
    <definedName name="_1401L" localSheetId="8">#REF!</definedName>
    <definedName name="_1401L">#REF!</definedName>
    <definedName name="_1401P" localSheetId="8">#REF!</definedName>
    <definedName name="_1401P">#REF!</definedName>
    <definedName name="_1401Y" localSheetId="8">#REF!</definedName>
    <definedName name="_1401Y">#REF!</definedName>
    <definedName name="_1411Y">[1]LinkData!$G$16</definedName>
    <definedName name="_1421L" localSheetId="8">#REF!</definedName>
    <definedName name="_1421L">#REF!</definedName>
    <definedName name="_1421P" localSheetId="8">#REF!</definedName>
    <definedName name="_1421P">#REF!</definedName>
    <definedName name="_1421Y" localSheetId="8">#REF!</definedName>
    <definedName name="_1421Y">#REF!</definedName>
    <definedName name="_1431Y">[1]LinkData!$G$18</definedName>
    <definedName name="_1441Y">[1]LinkData!$G$19</definedName>
    <definedName name="_1450L" localSheetId="8">#REF!</definedName>
    <definedName name="_1450L">#REF!</definedName>
    <definedName name="_1450P" localSheetId="8">#REF!</definedName>
    <definedName name="_1450P">#REF!</definedName>
    <definedName name="_1450Y" localSheetId="8">#REF!</definedName>
    <definedName name="_1450Y">#REF!</definedName>
    <definedName name="_1451L" localSheetId="8">#REF!</definedName>
    <definedName name="_1451L">#REF!</definedName>
    <definedName name="_1451P" localSheetId="8">#REF!</definedName>
    <definedName name="_1451P">#REF!</definedName>
    <definedName name="_1451Y" localSheetId="8">#REF!</definedName>
    <definedName name="_1451Y">#REF!</definedName>
    <definedName name="_1461L" localSheetId="8">#REF!</definedName>
    <definedName name="_1461L">#REF!</definedName>
    <definedName name="_1461P" localSheetId="8">#REF!</definedName>
    <definedName name="_1461P">#REF!</definedName>
    <definedName name="_1461Y" localSheetId="8">#REF!</definedName>
    <definedName name="_1461Y">#REF!</definedName>
    <definedName name="_1462Y">[2]LinkData!$G$23</definedName>
    <definedName name="_1471Y">[1]LinkData!$G$23</definedName>
    <definedName name="_1481L" localSheetId="8">#REF!</definedName>
    <definedName name="_1481L">#REF!</definedName>
    <definedName name="_1481P" localSheetId="8">#REF!</definedName>
    <definedName name="_1481P">#REF!</definedName>
    <definedName name="_1481Y" localSheetId="8">#REF!</definedName>
    <definedName name="_1481Y">#REF!</definedName>
    <definedName name="_1491L" localSheetId="8">#REF!</definedName>
    <definedName name="_1491L">#REF!</definedName>
    <definedName name="_1491P" localSheetId="8">#REF!</definedName>
    <definedName name="_1491P">#REF!</definedName>
    <definedName name="_1491Y" localSheetId="8">#REF!</definedName>
    <definedName name="_1491Y">#REF!</definedName>
    <definedName name="_1501Y">[1]LinkData!$G$26</definedName>
    <definedName name="_1511Y">[1]LinkData!$G$27</definedName>
    <definedName name="_1601L" localSheetId="8">#REF!</definedName>
    <definedName name="_1601L">#REF!</definedName>
    <definedName name="_1601P" localSheetId="8">#REF!</definedName>
    <definedName name="_1601P">#REF!</definedName>
    <definedName name="_1601Y" localSheetId="8">#REF!</definedName>
    <definedName name="_1601Y">#REF!</definedName>
    <definedName name="_1611L" localSheetId="8">#REF!</definedName>
    <definedName name="_1611L">#REF!</definedName>
    <definedName name="_1611P" localSheetId="8">#REF!</definedName>
    <definedName name="_1611P">#REF!</definedName>
    <definedName name="_1611Y" localSheetId="8">#REF!</definedName>
    <definedName name="_1611Y">#REF!</definedName>
    <definedName name="_1701L" localSheetId="8">#REF!</definedName>
    <definedName name="_1701L">#REF!</definedName>
    <definedName name="_1701P" localSheetId="8">#REF!</definedName>
    <definedName name="_1701P">#REF!</definedName>
    <definedName name="_1701Y" localSheetId="8">#REF!</definedName>
    <definedName name="_1701Y">#REF!</definedName>
    <definedName name="_17103.dbf" localSheetId="8">#REF!</definedName>
    <definedName name="_17103.dbf">#REF!</definedName>
    <definedName name="_171032002.dbf" localSheetId="8">#REF!</definedName>
    <definedName name="_171032002.dbf">#REF!</definedName>
    <definedName name="_1801L" localSheetId="8">#REF!</definedName>
    <definedName name="_1801L">#REF!</definedName>
    <definedName name="_1801P" localSheetId="8">#REF!</definedName>
    <definedName name="_1801P">#REF!</definedName>
    <definedName name="_1801Y" localSheetId="8">#REF!</definedName>
    <definedName name="_1801Y">#REF!</definedName>
    <definedName name="_1811L" localSheetId="8">#REF!</definedName>
    <definedName name="_1811L">#REF!</definedName>
    <definedName name="_1811P" localSheetId="8">#REF!</definedName>
    <definedName name="_1811P">#REF!</definedName>
    <definedName name="_1811Y" localSheetId="8">#REF!</definedName>
    <definedName name="_1811Y">#REF!</definedName>
    <definedName name="_1821Y">[1]LinkData!$G$33</definedName>
    <definedName name="_1901L" localSheetId="8">#REF!</definedName>
    <definedName name="_1901L">#REF!</definedName>
    <definedName name="_1901P" localSheetId="8">#REF!</definedName>
    <definedName name="_1901P">#REF!</definedName>
    <definedName name="_1901Y" localSheetId="8">#REF!</definedName>
    <definedName name="_1901Y">#REF!</definedName>
    <definedName name="_1902L" localSheetId="8">#REF!</definedName>
    <definedName name="_1902L">#REF!</definedName>
    <definedName name="_1902P" localSheetId="8">#REF!</definedName>
    <definedName name="_1902P">#REF!</definedName>
    <definedName name="_1902Y" localSheetId="8">#REF!</definedName>
    <definedName name="_1902Y">#REF!</definedName>
    <definedName name="_1903L" localSheetId="8">#REF!</definedName>
    <definedName name="_1903L">#REF!</definedName>
    <definedName name="_1903P" localSheetId="8">#REF!</definedName>
    <definedName name="_1903P">#REF!</definedName>
    <definedName name="_1903Y" localSheetId="8">#REF!</definedName>
    <definedName name="_1903Y">#REF!</definedName>
    <definedName name="_1911Y">[1]LinkData!$G$37</definedName>
    <definedName name="_1921Y">[1]LinkData!$G$38</definedName>
    <definedName name="_1931Y">[1]LinkData!$G$39</definedName>
    <definedName name="_2101L" localSheetId="8">#REF!</definedName>
    <definedName name="_2101L">#REF!</definedName>
    <definedName name="_2101P" localSheetId="8">#REF!</definedName>
    <definedName name="_2101P">#REF!</definedName>
    <definedName name="_2101Y" localSheetId="8">#REF!</definedName>
    <definedName name="_2101Y">#REF!</definedName>
    <definedName name="_2111Y">[1]LinkData!$G$41</definedName>
    <definedName name="_212102SCL" localSheetId="8">[3]TB!#REF!</definedName>
    <definedName name="_212102SCL">[3]TB!#REF!</definedName>
    <definedName name="_2121L" localSheetId="8">#REF!</definedName>
    <definedName name="_2121L">#REF!</definedName>
    <definedName name="_2121P" localSheetId="8">#REF!</definedName>
    <definedName name="_2121P">#REF!</definedName>
    <definedName name="_2121Y" localSheetId="8">#REF!</definedName>
    <definedName name="_2121Y">#REF!</definedName>
    <definedName name="_2131L" localSheetId="8">#REF!</definedName>
    <definedName name="_2131L">#REF!</definedName>
    <definedName name="_2131P" localSheetId="8">#REF!</definedName>
    <definedName name="_2131P">#REF!</definedName>
    <definedName name="_2131Y" localSheetId="8">#REF!</definedName>
    <definedName name="_2131Y">#REF!</definedName>
    <definedName name="_2141L" localSheetId="8">#REF!</definedName>
    <definedName name="_2141L">#REF!</definedName>
    <definedName name="_2141P" localSheetId="8">#REF!</definedName>
    <definedName name="_2141P">#REF!</definedName>
    <definedName name="_2141Y" localSheetId="8">#REF!</definedName>
    <definedName name="_2141Y">#REF!</definedName>
    <definedName name="_2151Y">[1]LinkData!$G$45</definedName>
    <definedName name="_216110SCL" localSheetId="8">[3]TB!#REF!</definedName>
    <definedName name="_216110SCL">[3]TB!#REF!</definedName>
    <definedName name="_2161L" localSheetId="8">#REF!</definedName>
    <definedName name="_2161L">#REF!</definedName>
    <definedName name="_2161P" localSheetId="8">#REF!</definedName>
    <definedName name="_2161P">#REF!</definedName>
    <definedName name="_2161Y" localSheetId="8">#REF!</definedName>
    <definedName name="_2161Y">#REF!</definedName>
    <definedName name="_2171L" localSheetId="8">#REF!</definedName>
    <definedName name="_2171L">#REF!</definedName>
    <definedName name="_2171P" localSheetId="8">#REF!</definedName>
    <definedName name="_2171P">#REF!</definedName>
    <definedName name="_2171Y" localSheetId="8">#REF!</definedName>
    <definedName name="_2171Y">#REF!</definedName>
    <definedName name="_2181L" localSheetId="8">#REF!</definedName>
    <definedName name="_2181L">#REF!</definedName>
    <definedName name="_2181P" localSheetId="8">#REF!</definedName>
    <definedName name="_2181P">#REF!</definedName>
    <definedName name="_2181Y" localSheetId="8">#REF!</definedName>
    <definedName name="_2181Y">#REF!</definedName>
    <definedName name="_2191L" localSheetId="8">#REF!</definedName>
    <definedName name="_2191L">#REF!</definedName>
    <definedName name="_2191P" localSheetId="8">#REF!</definedName>
    <definedName name="_2191P">#REF!</definedName>
    <definedName name="_2191Y" localSheetId="8">#REF!</definedName>
    <definedName name="_2191Y">#REF!</definedName>
    <definedName name="_3101L" localSheetId="8">#REF!</definedName>
    <definedName name="_3101L">#REF!</definedName>
    <definedName name="_3101P" localSheetId="8">#REF!</definedName>
    <definedName name="_3101P">#REF!</definedName>
    <definedName name="_3101Y" localSheetId="8">#REF!</definedName>
    <definedName name="_3101Y">#REF!</definedName>
    <definedName name="_3102Y">[1]LinkData!$G$51</definedName>
    <definedName name="_3111L" localSheetId="8">#REF!</definedName>
    <definedName name="_3111L">#REF!</definedName>
    <definedName name="_3111P" localSheetId="8">#REF!</definedName>
    <definedName name="_3111P">#REF!</definedName>
    <definedName name="_3111Y" localSheetId="8">#REF!</definedName>
    <definedName name="_3111Y">#REF!</definedName>
    <definedName name="_3201Y">[1]LinkData!$G$53</definedName>
    <definedName name="_3211Y">[1]LinkData!$G$54</definedName>
    <definedName name="_3221Y">[1]LinkData!$G$55</definedName>
    <definedName name="_3311L" localSheetId="8">#REF!</definedName>
    <definedName name="_3311L">#REF!</definedName>
    <definedName name="_3311P" localSheetId="8">#REF!</definedName>
    <definedName name="_3311P">#REF!</definedName>
    <definedName name="_3311Y" localSheetId="8">#REF!</definedName>
    <definedName name="_3311Y">#REF!</definedName>
    <definedName name="_4101L" localSheetId="8">#REF!</definedName>
    <definedName name="_4101L">#REF!</definedName>
    <definedName name="_4101P" localSheetId="8">#REF!</definedName>
    <definedName name="_4101P">#REF!</definedName>
    <definedName name="_4101Y" localSheetId="8">#REF!</definedName>
    <definedName name="_4101Y">#REF!</definedName>
    <definedName name="_420110SCL" localSheetId="8">[3]TB!#REF!</definedName>
    <definedName name="_420110SCL">[3]TB!#REF!</definedName>
    <definedName name="_420112SCL" localSheetId="8">[3]TB!#REF!</definedName>
    <definedName name="_420112SCL">[3]TB!#REF!</definedName>
    <definedName name="_420120SCL" localSheetId="8">[3]TB!#REF!</definedName>
    <definedName name="_420120SCL">[3]TB!#REF!</definedName>
    <definedName name="_420158SCL" localSheetId="8">[3]TB!#REF!</definedName>
    <definedName name="_420158SCL">[3]TB!#REF!</definedName>
    <definedName name="_420159SCL" localSheetId="8">[3]TB!#REF!</definedName>
    <definedName name="_420159SCL">[3]TB!#REF!</definedName>
    <definedName name="_420178SCL" localSheetId="8">[3]TB!#REF!</definedName>
    <definedName name="_420178SCL">[3]TB!#REF!</definedName>
    <definedName name="_420194SCL" localSheetId="8">[3]TB!#REF!</definedName>
    <definedName name="_420194SCL">[3]TB!#REF!</definedName>
    <definedName name="_4201L" localSheetId="8">#REF!</definedName>
    <definedName name="_4201L">#REF!</definedName>
    <definedName name="_4201P" localSheetId="8">#REF!</definedName>
    <definedName name="_4201P">#REF!</definedName>
    <definedName name="_4201Y" localSheetId="8">#REF!</definedName>
    <definedName name="_4201Y">#REF!</definedName>
    <definedName name="_4202L" localSheetId="8">#REF!</definedName>
    <definedName name="_4202L">#REF!</definedName>
    <definedName name="_4202P" localSheetId="8">#REF!</definedName>
    <definedName name="_4202P">#REF!</definedName>
    <definedName name="_4202Y" localSheetId="8">#REF!</definedName>
    <definedName name="_4202Y">#REF!</definedName>
    <definedName name="_5101L" localSheetId="8">#REF!</definedName>
    <definedName name="_5101L">#REF!</definedName>
    <definedName name="_5101P" localSheetId="8">#REF!</definedName>
    <definedName name="_5101P">#REF!</definedName>
    <definedName name="_5101Y" localSheetId="8">#REF!</definedName>
    <definedName name="_5101Y">#REF!</definedName>
    <definedName name="_5102P">[1]LinkData!$E$61</definedName>
    <definedName name="_5102Y">[1]LinkData!$G$61</definedName>
    <definedName name="_5111P">[1]LinkData!$E$62</definedName>
    <definedName name="_5111Y">[1]LinkData!$G$62</definedName>
    <definedName name="_5121L" localSheetId="8">#REF!</definedName>
    <definedName name="_5121L">#REF!</definedName>
    <definedName name="_5121P" localSheetId="8">#REF!</definedName>
    <definedName name="_5121P">#REF!</definedName>
    <definedName name="_5121Y" localSheetId="8">#REF!</definedName>
    <definedName name="_5121Y">#REF!</definedName>
    <definedName name="_5122L" localSheetId="8">#REF!</definedName>
    <definedName name="_5122L">#REF!</definedName>
    <definedName name="_5122P" localSheetId="8">#REF!</definedName>
    <definedName name="_5122P">#REF!</definedName>
    <definedName name="_5122Y" localSheetId="8">#REF!</definedName>
    <definedName name="_5122Y">#REF!</definedName>
    <definedName name="_5131L" localSheetId="8">#REF!</definedName>
    <definedName name="_5131L">#REF!</definedName>
    <definedName name="_5131P" localSheetId="8">#REF!</definedName>
    <definedName name="_5131P">#REF!</definedName>
    <definedName name="_5131Y" localSheetId="8">#REF!</definedName>
    <definedName name="_5131Y">#REF!</definedName>
    <definedName name="_5141L" localSheetId="8">#REF!</definedName>
    <definedName name="_5141L">#REF!</definedName>
    <definedName name="_5141P" localSheetId="8">#REF!</definedName>
    <definedName name="_5141P">#REF!</definedName>
    <definedName name="_5141Y" localSheetId="8">#REF!</definedName>
    <definedName name="_5141Y">#REF!</definedName>
    <definedName name="_514209SCL" localSheetId="8">[3]TB!#REF!</definedName>
    <definedName name="_514209SCL">[3]TB!#REF!</definedName>
    <definedName name="_514214SCL" localSheetId="8">[3]TB!#REF!</definedName>
    <definedName name="_514214SCL">[3]TB!#REF!</definedName>
    <definedName name="_514218SCL" localSheetId="8">[3]TB!#REF!</definedName>
    <definedName name="_514218SCL">[3]TB!#REF!</definedName>
    <definedName name="_514220SCL" localSheetId="8">[3]TB!#REF!</definedName>
    <definedName name="_514220SCL">[3]TB!#REF!</definedName>
    <definedName name="_514224SCL" localSheetId="8">[3]TB!#REF!</definedName>
    <definedName name="_514224SCL">[3]TB!#REF!</definedName>
    <definedName name="_514240SCL" localSheetId="8">[3]TB!#REF!</definedName>
    <definedName name="_514240SCL">[3]TB!#REF!</definedName>
    <definedName name="_514241SCL" localSheetId="8">[3]TB!#REF!</definedName>
    <definedName name="_514241SCL">[3]TB!#REF!</definedName>
    <definedName name="_514242SCL" localSheetId="8">[3]TB!#REF!</definedName>
    <definedName name="_514242SCL">[3]TB!#REF!</definedName>
    <definedName name="_514245SCL" localSheetId="8">[3]TB!#REF!</definedName>
    <definedName name="_514245SCL">[3]TB!#REF!</definedName>
    <definedName name="_514246SCL" localSheetId="8">[3]TB!#REF!</definedName>
    <definedName name="_514246SCL">[3]TB!#REF!</definedName>
    <definedName name="_514247SCL" localSheetId="8">[3]TB!#REF!</definedName>
    <definedName name="_514247SCL">[3]TB!#REF!</definedName>
    <definedName name="_514256SCL" localSheetId="8">[3]TB!#REF!</definedName>
    <definedName name="_514256SCL">[3]TB!#REF!</definedName>
    <definedName name="_514257SCL" localSheetId="8">[3]TB!#REF!</definedName>
    <definedName name="_514257SCL">[3]TB!#REF!</definedName>
    <definedName name="_514258SCL" localSheetId="8">[3]TB!#REF!</definedName>
    <definedName name="_514258SCL">[3]TB!#REF!</definedName>
    <definedName name="_514259SCL" localSheetId="8">[3]TB!#REF!</definedName>
    <definedName name="_514259SCL">[3]TB!#REF!</definedName>
    <definedName name="_514270SCL" localSheetId="8">[3]TB!#REF!</definedName>
    <definedName name="_514270SCL">[3]TB!#REF!</definedName>
    <definedName name="_514271SCL" localSheetId="8">[3]TB!#REF!</definedName>
    <definedName name="_514271SCL">[3]TB!#REF!</definedName>
    <definedName name="_514272SCL" localSheetId="8">[3]TB!#REF!</definedName>
    <definedName name="_514272SCL">[3]TB!#REF!</definedName>
    <definedName name="_514278SCL" localSheetId="8">[3]TB!#REF!</definedName>
    <definedName name="_514278SCL">[3]TB!#REF!</definedName>
    <definedName name="_5142L" localSheetId="8">#REF!</definedName>
    <definedName name="_5142L">#REF!</definedName>
    <definedName name="_5142P" localSheetId="8">#REF!</definedName>
    <definedName name="_5142P">#REF!</definedName>
    <definedName name="_5142Y" localSheetId="8">#REF!</definedName>
    <definedName name="_5142Y">#REF!</definedName>
    <definedName name="_5151L" localSheetId="8">#REF!</definedName>
    <definedName name="_5151L">#REF!</definedName>
    <definedName name="_5151P" localSheetId="8">#REF!</definedName>
    <definedName name="_5151P">#REF!</definedName>
    <definedName name="_5151Y" localSheetId="8">#REF!</definedName>
    <definedName name="_5151Y">#REF!</definedName>
    <definedName name="_520106SCL" localSheetId="8">[3]TB!#REF!</definedName>
    <definedName name="_520106SCL">[3]TB!#REF!</definedName>
    <definedName name="_5201L" localSheetId="8">#REF!</definedName>
    <definedName name="_5201L">#REF!</definedName>
    <definedName name="_5201P" localSheetId="8">#REF!</definedName>
    <definedName name="_5201P">#REF!</definedName>
    <definedName name="_5201Y" localSheetId="8">#REF!</definedName>
    <definedName name="_5201Y">#REF!</definedName>
    <definedName name="_5211L" localSheetId="8">#REF!</definedName>
    <definedName name="_5211L">#REF!</definedName>
    <definedName name="_5211P" localSheetId="8">#REF!</definedName>
    <definedName name="_5211P">#REF!</definedName>
    <definedName name="_5211Y" localSheetId="8">#REF!</definedName>
    <definedName name="_5211Y">#REF!</definedName>
    <definedName name="_5241P">[2]LinkData!$E$72</definedName>
    <definedName name="_5241Y">[2]LinkData!$G$72</definedName>
    <definedName name="_5501L" localSheetId="8">#REF!</definedName>
    <definedName name="_5501L">#REF!</definedName>
    <definedName name="_5501P" localSheetId="8">#REF!</definedName>
    <definedName name="_5501P">#REF!</definedName>
    <definedName name="_5501Y" localSheetId="8">#REF!</definedName>
    <definedName name="_5501Y">#REF!</definedName>
    <definedName name="_5601L" localSheetId="8">#REF!</definedName>
    <definedName name="_5601L">#REF!</definedName>
    <definedName name="_5601P" localSheetId="8">#REF!</definedName>
    <definedName name="_5601P">#REF!</definedName>
    <definedName name="_5601Y" localSheetId="8">#REF!</definedName>
    <definedName name="_5601Y">#REF!</definedName>
    <definedName name="_5999L" localSheetId="8">#REF!</definedName>
    <definedName name="_5999L">#REF!</definedName>
    <definedName name="_5999P" localSheetId="8">#REF!</definedName>
    <definedName name="_5999P">#REF!</definedName>
    <definedName name="_5999Y" localSheetId="8">#REF!</definedName>
    <definedName name="_5999Y">#REF!</definedName>
    <definedName name="_8未还DB_查询" localSheetId="8">#REF!</definedName>
    <definedName name="_8未还DB_查询">#REF!</definedName>
    <definedName name="_all5">[4]上报资产负债表!$C$169</definedName>
    <definedName name="_all6">[4]上报资产负债表!$C$170</definedName>
    <definedName name="_DAT1" localSheetId="8">#REF!</definedName>
    <definedName name="_DAT1">#REF!</definedName>
    <definedName name="_DAT10" localSheetId="8">#REF!</definedName>
    <definedName name="_DAT10">#REF!</definedName>
    <definedName name="_DAT11" localSheetId="8">#REF!</definedName>
    <definedName name="_DAT11">#REF!</definedName>
    <definedName name="_DAT12" localSheetId="8">#REF!</definedName>
    <definedName name="_DAT12">#REF!</definedName>
    <definedName name="_DAT13" localSheetId="8">#REF!</definedName>
    <definedName name="_DAT13">#REF!</definedName>
    <definedName name="_DAT14" localSheetId="8">#REF!</definedName>
    <definedName name="_DAT14">#REF!</definedName>
    <definedName name="_DAT15" localSheetId="8">#REF!</definedName>
    <definedName name="_DAT15">#REF!</definedName>
    <definedName name="_DAT16" localSheetId="8">#REF!</definedName>
    <definedName name="_DAT16">#REF!</definedName>
    <definedName name="_DAT2" localSheetId="8">#REF!</definedName>
    <definedName name="_DAT2">#REF!</definedName>
    <definedName name="_DAT3" localSheetId="8">#REF!</definedName>
    <definedName name="_DAT3">#REF!</definedName>
    <definedName name="_DAT4" localSheetId="8">#REF!</definedName>
    <definedName name="_DAT4">#REF!</definedName>
    <definedName name="_DAT5" localSheetId="8">#REF!</definedName>
    <definedName name="_DAT5">#REF!</definedName>
    <definedName name="_DAT6" localSheetId="8">#REF!</definedName>
    <definedName name="_DAT6">#REF!</definedName>
    <definedName name="_DAT7" localSheetId="8">#REF!</definedName>
    <definedName name="_DAT7">#REF!</definedName>
    <definedName name="_DAT8" localSheetId="8">#REF!</definedName>
    <definedName name="_DAT8">#REF!</definedName>
    <definedName name="_DAT9" localSheetId="8">#REF!</definedName>
    <definedName name="_DAT9">#REF!</definedName>
    <definedName name="_Exchangeperiod" localSheetId="8">[3]TB!#REF!</definedName>
    <definedName name="_Exchangeperiod">[3]TB!#REF!</definedName>
    <definedName name="_Exportperiod" localSheetId="8">[3]TB!#REF!</definedName>
    <definedName name="_Exportperiod">[3]TB!#REF!</definedName>
    <definedName name="_xlnm._FilterDatabase" localSheetId="12" hidden="1">AJE!$A$8:$AE$235</definedName>
    <definedName name="_xlnm._FilterDatabase" localSheetId="15" hidden="1">'AJE1'!$A$8:$AE$38</definedName>
    <definedName name="_xlnm._FilterDatabase" localSheetId="13" hidden="1">CFJE!$B$8:$Q$41</definedName>
    <definedName name="_xlnm._FilterDatabase" localSheetId="8" hidden="1">CF底稿!$A$7:$WVV$295</definedName>
    <definedName name="_xlnm._FilterDatabase" localSheetId="24" hidden="1">noteChecks!$B$8:$Y$408</definedName>
    <definedName name="_xlnm._FilterDatabase" localSheetId="25" hidden="1">Notes!$AE$8:$AE$6250</definedName>
    <definedName name="_xlnm._FilterDatabase" localSheetId="0" hidden="1">STATPARA!$M$1:$X$468</definedName>
    <definedName name="_xlnm._FilterDatabase" localSheetId="14" hidden="1">UJE!$A$8:$AE$38</definedName>
    <definedName name="_xlnm._FilterDatabase" hidden="1">'[5]关联交易-存款'!#REF!</definedName>
    <definedName name="_Interestperiod" localSheetId="8">[3]TB!#REF!</definedName>
    <definedName name="_Interestperiod">[3]TB!#REF!</definedName>
    <definedName name="_lvc1" localSheetId="8">#REF!</definedName>
    <definedName name="_lvc1">#REF!</definedName>
    <definedName name="_lvc2" localSheetId="8">#REF!</definedName>
    <definedName name="_lvc2">#REF!</definedName>
    <definedName name="_rem7">[4]上报资产负债表!$C$116</definedName>
    <definedName name="_rem8">[4]上报资产负债表!$C$117</definedName>
    <definedName name="_YE1" localSheetId="8">#REF!</definedName>
    <definedName name="_YE1">#REF!</definedName>
    <definedName name="_担保还款" localSheetId="8">#REF!</definedName>
    <definedName name="_担保还款">#REF!</definedName>
    <definedName name="a" localSheetId="8" hidden="1">{"M1Print",#N/A,FALSE,"M1"}</definedName>
    <definedName name="a" hidden="1">{"M1Print",#N/A,FALSE,"M1"}</definedName>
    <definedName name="a1.xls" localSheetId="8">#REF!</definedName>
    <definedName name="a1.xls">#REF!</definedName>
    <definedName name="a2.xls" localSheetId="8">#REF!</definedName>
    <definedName name="a2.xls">#REF!</definedName>
    <definedName name="a3.xls" localSheetId="8">#REF!</definedName>
    <definedName name="a3.xls">#REF!</definedName>
    <definedName name="aa" localSheetId="8">#REF!</definedName>
    <definedName name="aa">#REF!</definedName>
    <definedName name="aaa" localSheetId="8">[6]F1!#REF!</definedName>
    <definedName name="aaa">[6]F1!#REF!</definedName>
    <definedName name="ab" localSheetId="8">[6]F1!#REF!</definedName>
    <definedName name="ab">[6]F1!#REF!</definedName>
    <definedName name="ACCT_AJE1" localSheetId="8" hidden="1">[7]STATPARA!$M$1:$M$397</definedName>
    <definedName name="ACCT_AJE1" localSheetId="6" hidden="1">[8]STATPARA!$M$1:$M$412</definedName>
    <definedName name="ACCT_AJE1" localSheetId="5" hidden="1">[9]STATPARA!$M$1:$M$397</definedName>
    <definedName name="ACCT_AJE1" localSheetId="7" hidden="1">[8]STATPARA!$M$1:$M$412</definedName>
    <definedName name="ACCT_AJE1" hidden="1">STATPARA!$M$1:$M$448</definedName>
    <definedName name="ACCT_AJE2" localSheetId="8" hidden="1">[7]STATPARA!$P$1:$P$58</definedName>
    <definedName name="ACCT_AJE2" localSheetId="6" hidden="1">[8]STATPARA!$P$1:$P$58</definedName>
    <definedName name="ACCT_AJE2" localSheetId="5" hidden="1">[9]STATPARA!$P$1:$P$58</definedName>
    <definedName name="ACCT_AJE2" localSheetId="7" hidden="1">[8]STATPARA!$P$1:$P$58</definedName>
    <definedName name="ACCT_AJE2" hidden="1">STATPARA!$P$1:$P$58</definedName>
    <definedName name="adas" localSheetId="8" hidden="1">{"M1Print",#N/A,TRUE,"M1";"M2Print",#N/A,TRUE,"M2";"M1sPrint",#N/A,TRUE,"M1s";"M2aPrint",#N/A,TRUE,"M2a";"M4Print",#N/A,TRUE,"M4";"M5Print",#N/A,TRUE,"M5";"M6Print",#N/A,TRUE,"M6";"M6_1Print",#N/A,TRUE,"M6_1";"M6_2Print",#N/A,TRUE,"M6_2";"M7_1Print",#N/A,TRUE,"M7_1";"M7_2Print",#N/A,TRUE,"M7_2"}</definedName>
    <definedName name="adas" hidden="1">{"M1Print",#N/A,TRUE,"M1";"M2Print",#N/A,TRUE,"M2";"M1sPrint",#N/A,TRUE,"M1s";"M2aPrint",#N/A,TRUE,"M2a";"M4Print",#N/A,TRUE,"M4";"M5Print",#N/A,TRUE,"M5";"M6Print",#N/A,TRUE,"M6";"M6_1Print",#N/A,TRUE,"M6_1";"M6_2Print",#N/A,TRUE,"M6_2";"M7_1Print",#N/A,TRUE,"M7_1";"M7_2Print",#N/A,TRUE,"M7_2"}</definedName>
    <definedName name="AE">[10]source!$G$3:$G$27</definedName>
    <definedName name="age">[11]master!$E$8:$E$10</definedName>
    <definedName name="agmmt" localSheetId="8">#REF!</definedName>
    <definedName name="agmmt">#REF!</definedName>
    <definedName name="agmt" localSheetId="8">#REF!</definedName>
    <definedName name="agmt">#REF!</definedName>
    <definedName name="agmt1" localSheetId="8">#REF!</definedName>
    <definedName name="agmt1">#REF!</definedName>
    <definedName name="al" localSheetId="8">#REF!</definedName>
    <definedName name="al">#REF!</definedName>
    <definedName name="AL_HK" localSheetId="8">#REF!</definedName>
    <definedName name="AL_HK">#REF!</definedName>
    <definedName name="AP" localSheetId="8">#REF!</definedName>
    <definedName name="AP">#REF!</definedName>
    <definedName name="AP_GROUP">'[3]TB Link'!$D$120</definedName>
    <definedName name="APnotes" localSheetId="8">#REF!</definedName>
    <definedName name="APnotes">#REF!</definedName>
    <definedName name="AR" localSheetId="8">#REF!</definedName>
    <definedName name="AR">#REF!</definedName>
    <definedName name="AR_GROUP">'[3]TB Link'!$D$102</definedName>
    <definedName name="Area_RepDate" localSheetId="8" hidden="1">[7]Lead!$F$5</definedName>
    <definedName name="Area_RepDate" localSheetId="6" hidden="1">[8]Lead!$F$5</definedName>
    <definedName name="Area_RepDate" localSheetId="5" hidden="1">[9]Lead!$F$5</definedName>
    <definedName name="Area_RepDate" localSheetId="7" hidden="1">[8]Lead!$F$5</definedName>
    <definedName name="Area_RepDate" hidden="1">Lead!$F$5</definedName>
    <definedName name="Area_RepDate1" localSheetId="8" hidden="1">[7]Lead!$F$6</definedName>
    <definedName name="Area_RepDate1" localSheetId="6" hidden="1">[8]Lead!$F$6</definedName>
    <definedName name="Area_RepDate1" localSheetId="5" hidden="1">[9]Lead!$F$6</definedName>
    <definedName name="Area_RepDate1" localSheetId="7" hidden="1">[8]Lead!$F$6</definedName>
    <definedName name="Area_RepDate1" hidden="1">Lead!$F$6</definedName>
    <definedName name="Area_RepDuration" localSheetId="8" hidden="1">[7]Lead!$F$7</definedName>
    <definedName name="Area_RepDuration" localSheetId="6" hidden="1">[8]Lead!$F$7</definedName>
    <definedName name="Area_RepDuration" localSheetId="5" hidden="1">[9]Lead!$F$7</definedName>
    <definedName name="Area_RepDuration" localSheetId="7" hidden="1">[8]Lead!$F$7</definedName>
    <definedName name="Area_RepDuration" hidden="1">Lead!$F$7</definedName>
    <definedName name="Area_RepDuration1" localSheetId="8" hidden="1">[7]Lead!$F$8</definedName>
    <definedName name="Area_RepDuration1" localSheetId="6" hidden="1">[8]Lead!$F$8</definedName>
    <definedName name="Area_RepDuration1" localSheetId="5" hidden="1">[9]Lead!$F$8</definedName>
    <definedName name="Area_RepDuration1" localSheetId="7" hidden="1">[8]Lead!$F$8</definedName>
    <definedName name="Area_RepDuration1" hidden="1">Lead!$F$8</definedName>
    <definedName name="Area_TemplateInf" localSheetId="1" hidden="1">Lead!$N$4:$Q$16</definedName>
    <definedName name="Area_UnitId" hidden="1">Lead!$C$7</definedName>
    <definedName name="Area_UnitName2" hidden="1">Lead!$C$6</definedName>
    <definedName name="area1" localSheetId="8">#REF!</definedName>
    <definedName name="area1">#REF!</definedName>
    <definedName name="ARnotes" localSheetId="8">#REF!</definedName>
    <definedName name="ARnotes">#REF!</definedName>
    <definedName name="as" localSheetId="8">[6]F1!#REF!</definedName>
    <definedName name="as">[6]F1!#REF!</definedName>
    <definedName name="AS2DocOpenMode" hidden="1">"AS2DocumentEdit"</definedName>
    <definedName name="AS2HasNoAutoHeaderFooter" hidden="1">" "</definedName>
    <definedName name="ATS">1/13.7603</definedName>
    <definedName name="avg_days">[12]Sheet3!$A$2</definedName>
    <definedName name="b" localSheetId="8">[6]F1!#REF!</definedName>
    <definedName name="b">[6]F1!#REF!</definedName>
    <definedName name="B1S" localSheetId="8">#REF!</definedName>
    <definedName name="B1S">#REF!</definedName>
    <definedName name="B31_4">[4]上报损益表!$G$49:$W$91,[4]上报损益表!$G$92:$W$134,[4]上报损益表!$G$135:$W$177,[4]上报损益表!$A$1:$W$48</definedName>
    <definedName name="B4A_B" localSheetId="8">[13]员工工资!$A$1:$H$29,[13]员工工资!#REF!</definedName>
    <definedName name="B4A_B">[13]员工工资!$A$1:$H$29,[13]员工工资!#REF!</definedName>
    <definedName name="b5a_b" localSheetId="8">[13]员工工资!$A$1:$H$29,[13]员工工资!#REF!</definedName>
    <definedName name="b5a_b">[13]员工工资!$A$1:$H$29,[13]员工工资!#REF!</definedName>
    <definedName name="b5abprnt" localSheetId="8">[13]员工工资!$A$1:$H$29,[13]员工工资!#REF!</definedName>
    <definedName name="b5abprnt">[13]员工工资!$A$1:$H$29,[13]员工工资!#REF!</definedName>
    <definedName name="b5txt1" localSheetId="8">[13]员工工资!#REF!</definedName>
    <definedName name="b5txt1">[13]员工工资!#REF!</definedName>
    <definedName name="b9_9adj" localSheetId="8">#REF!,#REF!</definedName>
    <definedName name="b9_9adj">#REF!,#REF!</definedName>
    <definedName name="bb" localSheetId="8">[6]F1!#REF!</definedName>
    <definedName name="bb">[6]F1!#REF!</definedName>
    <definedName name="BEF">1/40.3399</definedName>
    <definedName name="begining" localSheetId="8">#REF!</definedName>
    <definedName name="begining">#REF!</definedName>
    <definedName name="BREWERY" localSheetId="8">#REF!</definedName>
    <definedName name="BREWERY">#REF!</definedName>
    <definedName name="BREWERY_P" localSheetId="8">#REF!</definedName>
    <definedName name="BREWERY_P">#REF!</definedName>
    <definedName name="BREWERY_Y" localSheetId="8">#REF!</definedName>
    <definedName name="BREWERY_Y">#REF!</definedName>
    <definedName name="BS" localSheetId="8">#REF!</definedName>
    <definedName name="BS">#REF!</definedName>
    <definedName name="cacnlogic" localSheetId="8">#REF!</definedName>
    <definedName name="cacnlogic">#REF!</definedName>
    <definedName name="Caculated_Interest_Rate_CY" localSheetId="8">#REF!</definedName>
    <definedName name="Caculated_Interest_Rate_CY">#REF!</definedName>
    <definedName name="Caculated_Interest_Rate_LY" localSheetId="8">#REF!</definedName>
    <definedName name="Caculated_Interest_Rate_LY">#REF!</definedName>
    <definedName name="cashflow20030930" localSheetId="8" hidden="1">{"M1Print",#N/A,TRUE,"M1";"M2Print",#N/A,TRUE,"M2";"M1sPrint",#N/A,TRUE,"M1s";"M2aPrint",#N/A,TRUE,"M2a";"M4Print",#N/A,TRUE,"M4";"M5Print",#N/A,TRUE,"M5";"M6Print",#N/A,TRUE,"M6";"M6_1Print",#N/A,TRUE,"M6_1";"M6_2Print",#N/A,TRUE,"M6_2";"M7_1Print",#N/A,TRUE,"M7_1";"M7_2Print",#N/A,TRUE,"M7_2"}</definedName>
    <definedName name="cashflow20030930" hidden="1">{"M1Print",#N/A,TRUE,"M1";"M2Print",#N/A,TRUE,"M2";"M1sPrint",#N/A,TRUE,"M1s";"M2aPrint",#N/A,TRUE,"M2a";"M4Print",#N/A,TRUE,"M4";"M5Print",#N/A,TRUE,"M5";"M6Print",#N/A,TRUE,"M6";"M6_1Print",#N/A,TRUE,"M6_1";"M6_2Print",#N/A,TRUE,"M6_2";"M7_1Print",#N/A,TRUE,"M7_1";"M7_2Print",#N/A,TRUE,"M7_2"}</definedName>
    <definedName name="Catalog">[14]master!$B$3:$B$12</definedName>
    <definedName name="cellAbove" localSheetId="12">AJE!A1048576</definedName>
    <definedName name="cellAbove" localSheetId="15">'AJE1'!A1048576</definedName>
    <definedName name="cellAbove" localSheetId="13">CFJE!A1048576</definedName>
    <definedName name="cellAbove" localSheetId="14">UJE!A1048576</definedName>
    <definedName name="CFLOW" localSheetId="8">#REF!</definedName>
    <definedName name="CFLOW">#REF!</definedName>
    <definedName name="CheckA1015a" localSheetId="25" hidden="1">Notes!$K$20</definedName>
    <definedName name="CheckA1015b" localSheetId="25" hidden="1">Notes!$K$10</definedName>
    <definedName name="CheckA1015c" localSheetId="25" hidden="1">Notes!$K$59</definedName>
    <definedName name="CheckA1101a" localSheetId="25" hidden="1">Notes!$K$90</definedName>
    <definedName name="CheckA1102a" localSheetId="25" hidden="1">Notes!$K$71</definedName>
    <definedName name="CheckA1115a" localSheetId="25" hidden="1">Notes!$K$109</definedName>
    <definedName name="CheckA1121a" localSheetId="25" hidden="1">Notes!$K$130</definedName>
    <definedName name="CheckA1121b" localSheetId="25" hidden="1">Notes!$K$138</definedName>
    <definedName name="CheckA1121c" localSheetId="25" hidden="1">Notes!$K$160</definedName>
    <definedName name="CheckA1121d" localSheetId="25" hidden="1">Notes!$K$146</definedName>
    <definedName name="CheckA1121e" localSheetId="25" hidden="1">Notes!$K$120</definedName>
    <definedName name="CheckA1121f" localSheetId="25" hidden="1">Notes!$K$170</definedName>
    <definedName name="CheckA1121g" localSheetId="25" hidden="1">Notes!$K$192</definedName>
    <definedName name="CheckA1121h" localSheetId="25" hidden="1">Notes!$K$214</definedName>
    <definedName name="CheckA1121i" localSheetId="25" hidden="1">Notes!$K$251</definedName>
    <definedName name="CheckA1121j" localSheetId="25" hidden="1">Notes!$K$273</definedName>
    <definedName name="CheckA1121k" localSheetId="25" hidden="1">Notes!$K$286</definedName>
    <definedName name="CheckA1121l" localSheetId="25" hidden="1">Notes!$K$293</definedName>
    <definedName name="CheckA1121m" localSheetId="25" hidden="1">Notes!$K$306</definedName>
    <definedName name="CheckA1121n" localSheetId="25" hidden="1">Notes!$K$236</definedName>
    <definedName name="CheckA112202" localSheetId="25" hidden="1">Notes!$K$415</definedName>
    <definedName name="CheckA11222" localSheetId="25" hidden="1">Notes!$K$415</definedName>
    <definedName name="CheckA1122a" localSheetId="25" hidden="1">Notes!$K$485</definedName>
    <definedName name="CheckA1122b" localSheetId="25" hidden="1">Notes!$K$500</definedName>
    <definedName name="CheckA1122c" localSheetId="25" hidden="1">Notes!$K$668</definedName>
    <definedName name="CheckA1122d" localSheetId="25" hidden="1">Notes!$K$535</definedName>
    <definedName name="CheckA1122e" localSheetId="25" hidden="1">Notes!$K$559</definedName>
    <definedName name="CheckA1122f" localSheetId="25" hidden="1">Notes!$K$569</definedName>
    <definedName name="CheckA1122g" localSheetId="25" hidden="1">Notes!$K$515</definedName>
    <definedName name="CheckA1122h" localSheetId="25" hidden="1">Notes!$K$601</definedName>
    <definedName name="CheckA1122i" localSheetId="25" hidden="1">Notes!$K$618</definedName>
    <definedName name="CheckA1122j" localSheetId="25" hidden="1">Notes!$K$317</definedName>
    <definedName name="CheckA1122k" localSheetId="25" hidden="1">Notes!$K$629</definedName>
    <definedName name="CheckA1122l" localSheetId="25" hidden="1">Notes!$K$678</definedName>
    <definedName name="CheckA1122m" localSheetId="25" hidden="1">Notes!$K$648</definedName>
    <definedName name="CheckA1122n" localSheetId="25" hidden="1">Notes!$K$658</definedName>
    <definedName name="CheckA1122p" localSheetId="25" hidden="1">Notes!$K$334</definedName>
    <definedName name="CheckA1122q" localSheetId="25" hidden="1">Notes!$K$430</definedName>
    <definedName name="CheckA1122r" localSheetId="25" hidden="1">Notes!$K$356</definedName>
    <definedName name="CheckA1122s" localSheetId="25" hidden="1">Notes!$K$378</definedName>
    <definedName name="CheckA1122t" localSheetId="25" hidden="1">Notes!$K$400</definedName>
    <definedName name="CheckA1122u" localSheetId="25" hidden="1">Notes!$K$579</definedName>
    <definedName name="CheckA1122v" localSheetId="25" hidden="1">Notes!$K$611</definedName>
    <definedName name="CheckA1122x" localSheetId="25" hidden="1">Notes!$K$689</definedName>
    <definedName name="CheckA1122y" localSheetId="25" hidden="1">Notes!$K$448</definedName>
    <definedName name="CheckA1122z" localSheetId="25" hidden="1">Notes!$K$468</definedName>
    <definedName name="CheckA1124a" localSheetId="25" hidden="1">Notes!$K$699</definedName>
    <definedName name="CheckA1124b" localSheetId="25" hidden="1">Notes!$K$707</definedName>
    <definedName name="CheckA1124c" localSheetId="25" hidden="1">Notes!$K$722</definedName>
    <definedName name="CheckA1124d" localSheetId="25" hidden="1">Notes!$K$741</definedName>
    <definedName name="CheckA1124e" localSheetId="25" hidden="1">Notes!$K$763</definedName>
    <definedName name="CheckA1124f" localSheetId="25" hidden="1">Notes!$K$849</definedName>
    <definedName name="CheckA1124g" localSheetId="25" hidden="1">Notes!$K$778</definedName>
    <definedName name="CheckA1124h" localSheetId="25" hidden="1">Notes!$K$793</definedName>
    <definedName name="CheckA1124i" localSheetId="25" hidden="1">Notes!$K$812</definedName>
    <definedName name="CheckA1124j" localSheetId="25" hidden="1">Notes!$K$834</definedName>
    <definedName name="CheckA1125a" localSheetId="25" hidden="1">Notes!$K$860</definedName>
    <definedName name="CheckA1125c" localSheetId="25" hidden="1">Notes!$K$872</definedName>
    <definedName name="CheckA1125d" localSheetId="25" hidden="1">Notes!$K$891</definedName>
    <definedName name="CheckA1125e" localSheetId="25" hidden="1">Notes!$K$911</definedName>
    <definedName name="CheckA1125f" localSheetId="25" hidden="1">Notes!$K$901</definedName>
    <definedName name="CheckA1125x" localSheetId="25" hidden="1">Notes!$K$921</definedName>
    <definedName name="CheckA1131a" localSheetId="25" hidden="1">Notes!$K$968</definedName>
    <definedName name="CheckA1131b" localSheetId="25" hidden="1">Notes!$K$978</definedName>
    <definedName name="CheckA1132a" localSheetId="25" hidden="1">Notes!$K$945</definedName>
    <definedName name="CheckA1132b" localSheetId="25" hidden="1">Notes!$K$957</definedName>
    <definedName name="CheckA1220a" localSheetId="25" hidden="1">Notes!$K$935</definedName>
    <definedName name="CheckA122100" localSheetId="25" hidden="1">Notes!$K$1028</definedName>
    <definedName name="CheckA122101" localSheetId="25" hidden="1">Notes!$K$1044</definedName>
    <definedName name="CheckA122102" localSheetId="25" hidden="1">Notes!$K$1132</definedName>
    <definedName name="CheckA122103" localSheetId="25" hidden="1">Notes!$K$1220</definedName>
    <definedName name="CheckA122104" localSheetId="25" hidden="1">Notes!$K$1493</definedName>
    <definedName name="CheckA12211" localSheetId="25" hidden="1">Notes!$K$1058</definedName>
    <definedName name="CheckA122111" localSheetId="25" hidden="1">Notes!$K$1058</definedName>
    <definedName name="CheckA122112" localSheetId="25" hidden="1">Notes!$K$1080</definedName>
    <definedName name="CheckA122113" localSheetId="25" hidden="1">Notes!$K$1102</definedName>
    <definedName name="CheckA122114" localSheetId="25" hidden="1">Notes!$K$1117</definedName>
    <definedName name="CheckA12212" localSheetId="25" hidden="1">Notes!$K$1080</definedName>
    <definedName name="CheckA122121" localSheetId="25" hidden="1">Notes!$K$1146</definedName>
    <definedName name="CheckA122122" localSheetId="25" hidden="1">Notes!$K$1168</definedName>
    <definedName name="CheckA122123" localSheetId="25" hidden="1">Notes!$K$1190</definedName>
    <definedName name="CheckA122124" localSheetId="25" hidden="1">Notes!$K$1205</definedName>
    <definedName name="CheckA12213" localSheetId="25" hidden="1">Notes!$K$1102</definedName>
    <definedName name="CheckA122131" localSheetId="25" hidden="1">Notes!$K$1235</definedName>
    <definedName name="CheckA122132" localSheetId="25" hidden="1">Notes!$K$1257</definedName>
    <definedName name="CheckA122133" localSheetId="25" hidden="1">Notes!$K$1279</definedName>
    <definedName name="CheckA122134" localSheetId="25" hidden="1">Notes!$K$1294</definedName>
    <definedName name="CheckA12214" localSheetId="25" hidden="1">Notes!$K$1493</definedName>
    <definedName name="CheckA1221a" localSheetId="25" hidden="1">Notes!$K$1367</definedName>
    <definedName name="CheckA1221b" localSheetId="25" hidden="1">Notes!$K$1389</definedName>
    <definedName name="CheckA1221c" localSheetId="25" hidden="1">Notes!$K$1589</definedName>
    <definedName name="CheckA1221d" localSheetId="25" hidden="1">Notes!$K$1430</definedName>
    <definedName name="CheckA1221e" localSheetId="25" hidden="1">Notes!$K$1451</definedName>
    <definedName name="CheckA1221f" localSheetId="25" hidden="1">Notes!$K$1461</definedName>
    <definedName name="CheckA1221g" localSheetId="25" hidden="1">Notes!$K$1411</definedName>
    <definedName name="CheckA1221h" localSheetId="25" hidden="1">Notes!$K$1512</definedName>
    <definedName name="CheckA1221i" localSheetId="25" hidden="1">Notes!$K$1529</definedName>
    <definedName name="CheckA1221j" localSheetId="25" hidden="1">Notes!$K$989</definedName>
    <definedName name="CheckA1221k" localSheetId="25" hidden="1">Notes!$K$1540</definedName>
    <definedName name="CheckA1221l" localSheetId="25" hidden="1">Notes!$K$1014</definedName>
    <definedName name="CheckA1221m" localSheetId="25" hidden="1">Notes!$K$1599</definedName>
    <definedName name="CheckA1221n" localSheetId="25" hidden="1">Notes!$K$1569</definedName>
    <definedName name="CheckA1221o" localSheetId="25" hidden="1">Notes!$K$1579</definedName>
    <definedName name="CheckA1221q" localSheetId="25" hidden="1">Notes!$K$1044</definedName>
    <definedName name="CheckA1221r" localSheetId="25" hidden="1">Notes!$K$1559</definedName>
    <definedName name="CheckA1221s" localSheetId="25" hidden="1">Notes!$K$1220</definedName>
    <definedName name="CheckA1221t" localSheetId="25" hidden="1">Notes!$K$1309</definedName>
    <definedName name="CheckA1221u" localSheetId="25" hidden="1">Notes!$K$1117</definedName>
    <definedName name="CheckA1221v" localSheetId="25" hidden="1">Notes!$K$1328</definedName>
    <definedName name="CheckA1221w" localSheetId="25" hidden="1">Notes!$K$1350</definedName>
    <definedName name="CheckA1221x" localSheetId="25" hidden="1">Notes!$K$1609</definedName>
    <definedName name="CheckA1221y" localSheetId="25" hidden="1">Notes!$K$1471</definedName>
    <definedName name="CheckA1221z" localSheetId="25" hidden="1">Notes!$K$1522</definedName>
    <definedName name="CheckA1315b" localSheetId="25" hidden="1">Notes!$K$1766</definedName>
    <definedName name="CheckA1315f" localSheetId="25" hidden="1">Notes!$K$1776</definedName>
    <definedName name="CheckA1400a" localSheetId="25" hidden="1">Notes!$K$1619</definedName>
    <definedName name="CheckA1400b" localSheetId="25" hidden="1">Notes!$K$1638</definedName>
    <definedName name="CheckA1400c" localSheetId="25" hidden="1">Notes!$K$1738</definedName>
    <definedName name="CheckA1400d" localSheetId="25" hidden="1">Notes!$K$1684</definedName>
    <definedName name="CheckA1400e" localSheetId="25" hidden="1">Notes!$K$1701</definedName>
    <definedName name="CheckA1400g" localSheetId="25" hidden="1">Notes!$K$1718</definedName>
    <definedName name="CheckA1400h" localSheetId="25" hidden="1">Notes!$K$1667</definedName>
    <definedName name="CheckA1400s" localSheetId="25" hidden="1">Notes!$K$1728</definedName>
    <definedName name="CheckA1400t" localSheetId="25" hidden="1">Notes!$K$1657</definedName>
    <definedName name="CheckA1400x" localSheetId="25" hidden="1">Notes!$K$1755</definedName>
    <definedName name="CheckA1495a" localSheetId="25" hidden="1">Notes!$K$1792</definedName>
    <definedName name="CheckA1495b" localSheetId="25" hidden="1">Notes!$K$1801</definedName>
    <definedName name="CheckA1496a" localSheetId="25" hidden="1">Notes!$K$1814</definedName>
    <definedName name="CheckA1501a" localSheetId="25" hidden="1">Notes!$K$2159</definedName>
    <definedName name="CheckA1501d" localSheetId="25" hidden="1">Notes!$K$2173</definedName>
    <definedName name="CheckA1501e" localSheetId="25" hidden="1">Notes!$K$2183</definedName>
    <definedName name="CheckA1501f" localSheetId="25" hidden="1">Notes!$K$2193</definedName>
    <definedName name="CheckA1503a" localSheetId="25" hidden="1">Notes!$K$1949</definedName>
    <definedName name="CheckA1503d" localSheetId="25" hidden="1">Notes!$K$2015</definedName>
    <definedName name="CheckA1503e" localSheetId="25" hidden="1">Notes!$K$1963</definedName>
    <definedName name="CheckA1503g" localSheetId="25" hidden="1">Notes!$K$2023</definedName>
    <definedName name="CheckA1503i" localSheetId="25" hidden="1">Notes!$K$1973</definedName>
    <definedName name="CheckA1503j" localSheetId="25" hidden="1">Notes!$K$1988</definedName>
    <definedName name="CheckA1503k" localSheetId="25" hidden="1">Notes!$K$2003</definedName>
    <definedName name="CheckA1505a" localSheetId="25" hidden="1">Notes!$K$1825</definedName>
    <definedName name="CheckA1505b" localSheetId="25" hidden="1">Notes!$K$1840</definedName>
    <definedName name="CheckA1505c" localSheetId="25" hidden="1">Notes!$K$1871</definedName>
    <definedName name="CheckA1505d" localSheetId="25" hidden="1">Notes!$K$1884</definedName>
    <definedName name="CheckA1505e" localSheetId="25" hidden="1">Notes!$K$1897</definedName>
    <definedName name="CheckA1505f" localSheetId="25" hidden="1">Notes!$K$1929</definedName>
    <definedName name="CheckA1505g" localSheetId="25" hidden="1">Notes!$K$1855</definedName>
    <definedName name="CheckA1505k" localSheetId="25" hidden="1">Notes!$K$1910</definedName>
    <definedName name="CheckA1508a" localSheetId="25" hidden="1">Notes!$K$2034</definedName>
    <definedName name="CheckA1508b" localSheetId="25" hidden="1">Notes!$K$2050</definedName>
    <definedName name="CheckA1508c" localSheetId="25" hidden="1">Notes!$K$2065</definedName>
    <definedName name="CheckA1508d" localSheetId="25" hidden="1">Notes!$K$2081</definedName>
    <definedName name="CheckA1508e" localSheetId="25" hidden="1">Notes!$K$2094</definedName>
    <definedName name="CheckA1508f" localSheetId="25" hidden="1">Notes!$K$2107</definedName>
    <definedName name="CheckA1508g" localSheetId="25" hidden="1">Notes!$K$2139</definedName>
    <definedName name="CheckA1508k" localSheetId="25" hidden="1">Notes!$K$2120</definedName>
    <definedName name="CheckA1511b" localSheetId="25" hidden="1">Notes!$K$2465</definedName>
    <definedName name="CheckA1511c" localSheetId="25" hidden="1">Notes!$K$2414</definedName>
    <definedName name="CheckA1511d" localSheetId="25" hidden="1">Notes!$K$2433</definedName>
    <definedName name="CheckA1521b" localSheetId="25" hidden="1">Notes!$K$2601</definedName>
    <definedName name="CheckA1521c" localSheetId="25" hidden="1">Notes!$K$2620</definedName>
    <definedName name="CheckA1521h" localSheetId="25" hidden="1">Notes!$K$2559</definedName>
    <definedName name="CheckA1521s" localSheetId="25" hidden="1">Notes!$K$2630</definedName>
    <definedName name="CheckA1531a" localSheetId="25" hidden="1">Notes!$K$2204</definedName>
    <definedName name="CheckA1531b" localSheetId="25" hidden="1">Notes!$K$2393</definedName>
    <definedName name="CheckA1531c" localSheetId="25" hidden="1">Notes!$K$2370</definedName>
    <definedName name="CheckA1531f" localSheetId="25" hidden="1">Notes!$K$2403</definedName>
    <definedName name="CheckA1531g" localSheetId="25" hidden="1">Notes!$K$2332</definedName>
    <definedName name="CheckA1531h" localSheetId="25" hidden="1">Notes!$K$2295</definedName>
    <definedName name="CheckA1531i" localSheetId="25" hidden="1">Notes!$K$2236</definedName>
    <definedName name="CheckA1531j" localSheetId="25" hidden="1">Notes!$K$2249</definedName>
    <definedName name="CheckA1531k" localSheetId="25" hidden="1">Notes!$K$2262</definedName>
    <definedName name="CheckA1531m" localSheetId="25" hidden="1">Notes!$K$2317</definedName>
    <definedName name="CheckA1531p" localSheetId="25" hidden="1">Notes!$K$2275</definedName>
    <definedName name="CheckA1531q" localSheetId="25" hidden="1">Notes!$K$2351</definedName>
    <definedName name="CheckA1531s" localSheetId="25" hidden="1">Notes!$K$2380</definedName>
    <definedName name="CheckA1531t" localSheetId="25" hidden="1">Notes!$K$2220</definedName>
    <definedName name="CheckA1538a" localSheetId="25" hidden="1">Notes!$K$2499</definedName>
    <definedName name="CheckA1538b" localSheetId="25" hidden="1">Notes!$K$2508</definedName>
    <definedName name="CheckA1539a" localSheetId="25" hidden="1">Notes!$K$2522</definedName>
    <definedName name="CheckA1539b" localSheetId="25" hidden="1">Notes!$K$2532</definedName>
    <definedName name="CheckA1539c" localSheetId="25" hidden="1">Notes!$K$2545</definedName>
    <definedName name="CheckA1601b" localSheetId="25" hidden="1">Notes!$K$2707</definedName>
    <definedName name="CheckA1601c" localSheetId="25" hidden="1">Notes!$K$2721</definedName>
    <definedName name="CheckA1601d" localSheetId="25" hidden="1">Notes!$K$2735</definedName>
    <definedName name="CheckA1601f" localSheetId="25" hidden="1">Notes!$K$2763</definedName>
    <definedName name="CheckA1601k" localSheetId="25" hidden="1">Notes!$K$2650</definedName>
    <definedName name="CheckA1601l" localSheetId="25" hidden="1">Notes!$K$2750</definedName>
    <definedName name="CheckA1601s" localSheetId="25" hidden="1">Notes!$K$2773</definedName>
    <definedName name="CheckA1601x" localSheetId="25" hidden="1">Notes!$K$2783</definedName>
    <definedName name="CheckA1604a" localSheetId="25" hidden="1">Notes!$K$2832</definedName>
    <definedName name="CheckA1604b" localSheetId="25" hidden="1">Notes!$K$2849</definedName>
    <definedName name="CheckA1604c" localSheetId="25" hidden="1">Notes!$K$2864</definedName>
    <definedName name="CheckA1604d" localSheetId="25" hidden="1">Notes!$K$2899</definedName>
    <definedName name="CheckA1604g" localSheetId="25" hidden="1">Notes!$K$2879</definedName>
    <definedName name="CheckA1605a" localSheetId="25" hidden="1">Notes!$K$2910</definedName>
    <definedName name="CheckA1606a" localSheetId="25" hidden="1">Notes!$K$2812</definedName>
    <definedName name="CheckA1606b" localSheetId="25" hidden="1">Notes!$K$2799</definedName>
    <definedName name="CheckA1611a" localSheetId="25" hidden="1">Notes!$K$2641</definedName>
    <definedName name="CheckA1616a" localSheetId="25" hidden="1">Notes!$K$2823</definedName>
    <definedName name="CheckA1621b" localSheetId="25" hidden="1">Notes!$K$2984</definedName>
    <definedName name="CheckA1621c" localSheetId="25" hidden="1">Notes!$K$2922</definedName>
    <definedName name="CheckA1631b" localSheetId="25" hidden="1">Notes!$K$3008</definedName>
    <definedName name="CheckA1700b" localSheetId="25" hidden="1">Notes!$K$3177</definedName>
    <definedName name="CheckA1701a" localSheetId="25" hidden="1">Notes!$K$3045</definedName>
    <definedName name="CheckA1701e" localSheetId="25" hidden="1">Notes!$K$3128</definedName>
    <definedName name="CheckA1701f" localSheetId="25" hidden="1">Notes!$K$3115</definedName>
    <definedName name="CheckA1701g" localSheetId="25" hidden="1">Notes!$K$3138</definedName>
    <definedName name="CheckA1701h" localSheetId="25" hidden="1">Notes!$K$3151</definedName>
    <definedName name="CheckA1701x" localSheetId="25" hidden="1">Notes!$K$3164</definedName>
    <definedName name="CheckA1704a" localSheetId="25" hidden="1">Notes!$K$5210</definedName>
    <definedName name="CheckA1711a" localSheetId="25" hidden="1">Notes!$K$3190</definedName>
    <definedName name="CheckA1711b" localSheetId="25" hidden="1">Notes!$K$3202</definedName>
    <definedName name="CheckA1801a" localSheetId="25" hidden="1">Notes!$K$3215</definedName>
    <definedName name="CheckA1801x" localSheetId="25" hidden="1">Notes!$K$3227</definedName>
    <definedName name="CheckA1829a" localSheetId="25" hidden="1">Notes!$K$3242</definedName>
    <definedName name="CheckA1829b" localSheetId="25" hidden="1">Notes!$K$3258</definedName>
    <definedName name="CheckA1829c" localSheetId="25" hidden="1">Notes!$K$3271</definedName>
    <definedName name="CheckA1829e" localSheetId="25" hidden="1">Notes!$K$3278</definedName>
    <definedName name="CheckA1829f" localSheetId="25" hidden="1">Notes!$K$3288</definedName>
    <definedName name="CheckA1996a" localSheetId="25" hidden="1">Notes!$K$3308</definedName>
    <definedName name="CheckA1997a" localSheetId="25" hidden="1">Notes!$K$5196</definedName>
    <definedName name="CheckA1999" localSheetId="20" hidden="1">BalanceSheet!$G$59</definedName>
    <definedName name="CheckA1999" localSheetId="16" hidden="1">BS!$G$50</definedName>
    <definedName name="CheckA1999" localSheetId="3" hidden="1">preBS!$F$68</definedName>
    <definedName name="CheckA2001a" localSheetId="25" hidden="1">Notes!$K$3321</definedName>
    <definedName name="CheckA2001b" localSheetId="25" hidden="1">Notes!$K$3361</definedName>
    <definedName name="CheckA2001c" localSheetId="25" hidden="1">Notes!$K$3372</definedName>
    <definedName name="CheckA2001d" localSheetId="25" hidden="1">Notes!$K$3331</definedName>
    <definedName name="CheckA2001e" localSheetId="25" hidden="1">Notes!$K$3341</definedName>
    <definedName name="CheckA2001f" localSheetId="25" hidden="1">Notes!$K$3351</definedName>
    <definedName name="CheckA2101a" localSheetId="25" hidden="1">Notes!$K$3411</definedName>
    <definedName name="CheckA2102a" localSheetId="25" hidden="1">Notes!$K$3383</definedName>
    <definedName name="CheckA2102b" localSheetId="25" hidden="1">Notes!$K$3396</definedName>
    <definedName name="CheckA2115a" localSheetId="25" hidden="1">Notes!$K$3423</definedName>
    <definedName name="CheckA2201a" localSheetId="25" hidden="1">Notes!$K$3434</definedName>
    <definedName name="CheckA2202a" localSheetId="25" hidden="1">Notes!$K$3473</definedName>
    <definedName name="CheckA2202c" localSheetId="25" hidden="1">Notes!$K$3493</definedName>
    <definedName name="CheckA2202d" localSheetId="25" hidden="1">Notes!$K$3483</definedName>
    <definedName name="CheckA2202e" localSheetId="25" hidden="1">Notes!$K$3445</definedName>
    <definedName name="CheckA2202f" localSheetId="25" hidden="1">Notes!$K$3456</definedName>
    <definedName name="CheckA2202g" localSheetId="25" hidden="1">Notes!$K$3503</definedName>
    <definedName name="CheckA2202x" localSheetId="25" hidden="1">Notes!$K$3513</definedName>
    <definedName name="CheckA2205a" localSheetId="25" hidden="1">Notes!$K$3560</definedName>
    <definedName name="CheckA2205c" localSheetId="25" hidden="1">Notes!$K$3590</definedName>
    <definedName name="CheckA2205e" localSheetId="25" hidden="1">Notes!$K$3580</definedName>
    <definedName name="CheckA2205f" localSheetId="25" hidden="1">Notes!$K$3533</definedName>
    <definedName name="CheckA2205g" localSheetId="25" hidden="1">Notes!$K$3543</definedName>
    <definedName name="CheckA2205h" localSheetId="25" hidden="1">Notes!$K$3570</definedName>
    <definedName name="CheckA2205x" localSheetId="25" hidden="1">Notes!$K$3600</definedName>
    <definedName name="CheckA2211a" localSheetId="25" hidden="1">Notes!$K$3620</definedName>
    <definedName name="CheckA2211b" localSheetId="25" hidden="1">Notes!$K$3630</definedName>
    <definedName name="CheckA2211c" localSheetId="25" hidden="1">Notes!$K$3659</definedName>
    <definedName name="CheckA2211d" localSheetId="25" hidden="1">Notes!$K$3683</definedName>
    <definedName name="CheckA2211x" localSheetId="25" hidden="1">Notes!$K$3715</definedName>
    <definedName name="CheckA2221a" localSheetId="25" hidden="1">Notes!$K$3729</definedName>
    <definedName name="CheckA2221x" localSheetId="25" hidden="1">Notes!$K$3748</definedName>
    <definedName name="CheckA2231a" localSheetId="25" hidden="1">Notes!$K$3772</definedName>
    <definedName name="CheckA2231b" localSheetId="25" hidden="1">Notes!$K$3792</definedName>
    <definedName name="CheckA2232a" localSheetId="25" hidden="1">Notes!$K$3803</definedName>
    <definedName name="CheckA2232b" localSheetId="25" hidden="1">Notes!$K$3820</definedName>
    <definedName name="CheckA2241a" localSheetId="25" hidden="1">Notes!$K$3888</definedName>
    <definedName name="CheckA2241b" localSheetId="25" hidden="1">Notes!$K$3868</definedName>
    <definedName name="CheckA2241c" localSheetId="25" hidden="1">Notes!$K$3858</definedName>
    <definedName name="CheckA2241e" localSheetId="25" hidden="1">Notes!$K$3831</definedName>
    <definedName name="CheckA2241f" localSheetId="25" hidden="1">Notes!$K$3841</definedName>
    <definedName name="CheckA2241g" localSheetId="25" hidden="1">Notes!$K$3878</definedName>
    <definedName name="CheckA2241x" localSheetId="25" hidden="1">Notes!$K$3898</definedName>
    <definedName name="CheckA2246a" localSheetId="25" hidden="1">Notes!$K$3762</definedName>
    <definedName name="CheckA2315a" localSheetId="25" hidden="1">Notes!$K$3918</definedName>
    <definedName name="CheckA2395a" localSheetId="25" hidden="1">Notes!$K$3929</definedName>
    <definedName name="CheckA2395b" localSheetId="25" hidden="1">Notes!$K$3939</definedName>
    <definedName name="CheckA2395e" localSheetId="25" hidden="1">Notes!$K$3949</definedName>
    <definedName name="CheckA2395f" localSheetId="25" hidden="1">Notes!$K$3959</definedName>
    <definedName name="CheckA2396a" localSheetId="25" hidden="1">Notes!$K$3970</definedName>
    <definedName name="CheckA2396c" localSheetId="25" hidden="1">Notes!$K$3981</definedName>
    <definedName name="CheckA2401a" localSheetId="25" hidden="1">Notes!$K$4263</definedName>
    <definedName name="CheckA2401b" localSheetId="25" hidden="1">Notes!$K$4271</definedName>
    <definedName name="CheckA2501a" localSheetId="25" hidden="1">Notes!$K$3999</definedName>
    <definedName name="CheckA2501c" localSheetId="25" hidden="1">Notes!$K$4042</definedName>
    <definedName name="CheckA2501d" localSheetId="25" hidden="1">Notes!$K$4012</definedName>
    <definedName name="CheckA2501e" localSheetId="25" hidden="1">Notes!$K$4022</definedName>
    <definedName name="CheckA2501f" localSheetId="25" hidden="1">Notes!$K$4032</definedName>
    <definedName name="CheckA2502a" localSheetId="25" hidden="1">Notes!$K$4063</definedName>
    <definedName name="CheckA2502b" localSheetId="25" hidden="1">Notes!$K$4053</definedName>
    <definedName name="CheckA2502c" localSheetId="25" hidden="1">Notes!$K$4086</definedName>
    <definedName name="CheckA2502d" localSheetId="25" hidden="1">Notes!$K$4076</definedName>
    <definedName name="CheckA2502e" localSheetId="25" hidden="1">Notes!$K$4098</definedName>
    <definedName name="CheckA2701c" localSheetId="25" hidden="1">Notes!$K$4120</definedName>
    <definedName name="CheckA2701d" localSheetId="25" hidden="1">Notes!$K$4138</definedName>
    <definedName name="CheckA2706a" localSheetId="25" hidden="1">Notes!$K$4109</definedName>
    <definedName name="CheckA2711a" localSheetId="25" hidden="1">Notes!$K$4149</definedName>
    <definedName name="CheckA2711b" localSheetId="25" hidden="1">Notes!$K$4159</definedName>
    <definedName name="CheckA2715a" localSheetId="25" hidden="1">Notes!$K$4170</definedName>
    <definedName name="CheckA2715b" localSheetId="25" hidden="1">Notes!$K$4180</definedName>
    <definedName name="CheckA2715c" localSheetId="25" hidden="1">Notes!$K$4200</definedName>
    <definedName name="CheckA2715d" localSheetId="25" hidden="1">Notes!$K$4215</definedName>
    <definedName name="CheckA2715g" localSheetId="25" hidden="1">Notes!$K$4224</definedName>
    <definedName name="CheckA2715h" localSheetId="25" hidden="1">Notes!$K$4235</definedName>
    <definedName name="CheckA2801a" localSheetId="25" hidden="1">Notes!$K$4249</definedName>
    <definedName name="CheckA2996a" localSheetId="25" hidden="1">Notes!$K$4289</definedName>
    <definedName name="CheckA2996x" localSheetId="25" hidden="1">Notes!$K$4299</definedName>
    <definedName name="CheckA4001" localSheetId="20" hidden="1">BalanceSheet!$K$47</definedName>
    <definedName name="CheckA4001" localSheetId="16" hidden="1">BS!$K$38</definedName>
    <definedName name="CheckA4001" localSheetId="3" hidden="1">preBS!$K$54</definedName>
    <definedName name="CheckA4001a" localSheetId="25" hidden="1">Notes!$K$4310</definedName>
    <definedName name="CheckA4001b" localSheetId="25" hidden="1">Notes!$K$4319</definedName>
    <definedName name="CheckA4002" localSheetId="20" hidden="1">BalanceSheet!$K$51</definedName>
    <definedName name="CheckA4002" localSheetId="16" hidden="1">BS!$K$42</definedName>
    <definedName name="CheckA4002" localSheetId="3" hidden="1">preBS!$K$58</definedName>
    <definedName name="CheckA4002a" localSheetId="25" hidden="1">Notes!$K$4353</definedName>
    <definedName name="CheckA4015" localSheetId="20" hidden="1">BalanceSheet!$K$48</definedName>
    <definedName name="CheckA4015" localSheetId="16" hidden="1">BS!$K$39</definedName>
    <definedName name="CheckA4015" localSheetId="3" hidden="1">preBS!$K$55</definedName>
    <definedName name="CheckA4015a" localSheetId="25" hidden="1">Notes!$K$4342</definedName>
    <definedName name="CheckA4015b" localSheetId="25" hidden="1">Notes!$K$4332</definedName>
    <definedName name="CheckA4101" localSheetId="20" hidden="1">BalanceSheet!$K$55</definedName>
    <definedName name="CheckA4101" localSheetId="16" hidden="1">BS!$K$46</definedName>
    <definedName name="CheckA4101" localSheetId="3" hidden="1">preBS!$K$62</definedName>
    <definedName name="CheckA4101a" localSheetId="25" hidden="1">Notes!$K$4439</definedName>
    <definedName name="CheckA4101b" localSheetId="25" hidden="1">Notes!$K$4426</definedName>
    <definedName name="CheckA4102" localSheetId="20" hidden="1">BalanceSheet!$K$56</definedName>
    <definedName name="CheckA4102" localSheetId="16" hidden="1">BS!$K$47</definedName>
    <definedName name="CheckA4102" localSheetId="3" hidden="1">preBS!$K$63</definedName>
    <definedName name="CheckA4102a" localSheetId="25" hidden="1">Notes!$K$4451</definedName>
    <definedName name="CheckA4200" localSheetId="20" hidden="1">BalanceSheet!$K$57</definedName>
    <definedName name="CheckA4200" localSheetId="16" hidden="1">BS!$K$48</definedName>
    <definedName name="CheckA4200" localSheetId="3" hidden="1">preBS!$K$64</definedName>
    <definedName name="CheckA4200a" localSheetId="25" hidden="1">Notes!$K$4459</definedName>
    <definedName name="CheckA4200b" localSheetId="25" hidden="1">Notes!$K$4476</definedName>
    <definedName name="CheckA4201" localSheetId="20" hidden="1">BalanceSheet!$K$52</definedName>
    <definedName name="CheckA4201" localSheetId="16" hidden="1">BS!$K$43</definedName>
    <definedName name="CheckA4201" localSheetId="3" hidden="1">preBS!$K$59</definedName>
    <definedName name="CheckA4201a" localSheetId="25" hidden="1">Notes!$K$4362</definedName>
    <definedName name="CheckA4215" localSheetId="20" hidden="1">BalanceSheet!$K$53</definedName>
    <definedName name="CheckA4215" localSheetId="16" hidden="1">BS!$K$44</definedName>
    <definedName name="CheckA4215" localSheetId="3" hidden="1">preBS!$K$60</definedName>
    <definedName name="CheckA4215a" localSheetId="25" hidden="1">Notes!$K$4394</definedName>
    <definedName name="CheckA4215b" localSheetId="25" hidden="1">Notes!$K$4369</definedName>
    <definedName name="CheckA4298" localSheetId="3" hidden="1">preBS!$K$65</definedName>
    <definedName name="CheckA4301" localSheetId="20" hidden="1">BalanceSheet!$K$54</definedName>
    <definedName name="CheckA4301" localSheetId="16" hidden="1">BS!$K$45</definedName>
    <definedName name="CheckA4301" localSheetId="3" hidden="1">preBS!$K$61</definedName>
    <definedName name="CheckA4301a" localSheetId="25" hidden="1">Notes!$K$4415</definedName>
    <definedName name="CheckA4398" localSheetId="3" hidden="1">preBS!$K$66</definedName>
    <definedName name="CheckA4999" localSheetId="20" hidden="1">BalanceSheet!$K$58</definedName>
    <definedName name="CheckA4999" localSheetId="16" hidden="1">BS!$K$49</definedName>
    <definedName name="CheckA4999" localSheetId="3" hidden="1">preBS!$K$67</definedName>
    <definedName name="CheckA5000" localSheetId="20" hidden="1">BalanceSheet!$K$59</definedName>
    <definedName name="CheckA5000" localSheetId="16" hidden="1">BS!$K$50</definedName>
    <definedName name="CheckA5000" localSheetId="3" hidden="1">preBS!$K$68</definedName>
    <definedName name="CheckA6001x" localSheetId="25" hidden="1">Notes!$K$4614</definedName>
    <definedName name="CheckA6064a" localSheetId="25" hidden="1">Notes!$K$4500</definedName>
    <definedName name="CheckA6064b" localSheetId="25" hidden="1">Notes!$K$4509</definedName>
    <definedName name="CheckA6064c" localSheetId="25" hidden="1">Notes!$K$4518</definedName>
    <definedName name="CheckA6064d" localSheetId="25" hidden="1">Notes!$K$4542</definedName>
    <definedName name="CheckA6064e" localSheetId="25" hidden="1">Notes!$K$4565</definedName>
    <definedName name="CheckA6064f" localSheetId="25" hidden="1">Notes!$K$4584</definedName>
    <definedName name="CheckA6064g" localSheetId="25" hidden="1">Notes!$K$4599</definedName>
    <definedName name="CheckA6064h" localSheetId="25" hidden="1">Notes!$K$4490</definedName>
    <definedName name="CheckA6101a" localSheetId="25" hidden="1">Notes!$K$4850</definedName>
    <definedName name="CheckA6101b" localSheetId="25" hidden="1">Notes!$K$4837</definedName>
    <definedName name="CheckA6102a" localSheetId="25" hidden="1">Notes!$K$4823</definedName>
    <definedName name="CheckA6111a" localSheetId="25" hidden="1">Notes!$K$4801</definedName>
    <definedName name="CheckA6171a" localSheetId="25" hidden="1">Notes!$K$4900</definedName>
    <definedName name="CheckA6181a" localSheetId="25" hidden="1">Notes!$K$4778</definedName>
    <definedName name="CheckA6401x" localSheetId="25" hidden="1">Notes!$K$4624</definedName>
    <definedName name="CheckA6600a" localSheetId="25" hidden="1">Notes!$K$4635</definedName>
    <definedName name="CheckA6600x" localSheetId="25" hidden="1">Notes!$K$4654</definedName>
    <definedName name="CheckA6601a" localSheetId="25" hidden="1">Notes!$K$4665</definedName>
    <definedName name="CheckA6601x" localSheetId="25" hidden="1">Notes!$K$4685</definedName>
    <definedName name="CheckA6602a" localSheetId="25" hidden="1">Notes!$K$4696</definedName>
    <definedName name="CheckA6602x" localSheetId="25" hidden="1">Notes!$K$4716</definedName>
    <definedName name="CheckA6603a" localSheetId="25" hidden="1">Notes!$K$4752</definedName>
    <definedName name="CheckA6603x" localSheetId="25" hidden="1">Notes!$K$4767</definedName>
    <definedName name="CheckA6606a" localSheetId="25" hidden="1">Notes!$K$4727</definedName>
    <definedName name="CheckA6606x" localSheetId="25" hidden="1">Notes!$K$4738</definedName>
    <definedName name="CheckA6671a" localSheetId="25" hidden="1">Notes!$K$4878</definedName>
    <definedName name="CheckA6672a" localSheetId="25" hidden="1">Notes!$K$4864</definedName>
    <definedName name="CheckA6710a" localSheetId="25" hidden="1">Notes!$K$4915</definedName>
    <definedName name="CheckA6710b" localSheetId="25" hidden="1">Notes!$K$4928</definedName>
    <definedName name="CheckA6711a" localSheetId="25" hidden="1">Notes!$K$4946</definedName>
    <definedName name="CheckA6791a" localSheetId="25" hidden="1">Notes!$K$4959</definedName>
    <definedName name="CheckA6791b" localSheetId="25" hidden="1">Notes!$K$4967</definedName>
    <definedName name="CheckA6799" localSheetId="21" hidden="1">IncomeStatement!$E$43</definedName>
    <definedName name="CheckA6799" localSheetId="17" hidden="1">IS!$E$30</definedName>
    <definedName name="CheckA6799" localSheetId="4" hidden="1">preIS!$E$45</definedName>
    <definedName name="CheckA6811" localSheetId="4" hidden="1">preIS!$E$50</definedName>
    <definedName name="CheckA6812" localSheetId="4" hidden="1">preIS!$E$51</definedName>
    <definedName name="CheckA6829" localSheetId="21" hidden="1">IncomeStatement!$E$46</definedName>
    <definedName name="CheckA6829" localSheetId="17" hidden="1">IS!$E$33</definedName>
    <definedName name="CheckA6829" localSheetId="4" hidden="1">preIS!$E$52</definedName>
    <definedName name="CheckA6839" localSheetId="21" hidden="1">IncomeStatement!$E$65</definedName>
    <definedName name="CheckA6839" localSheetId="17" hidden="1">IS!$E$52</definedName>
    <definedName name="CheckA6839" localSheetId="4" hidden="1">preIS!$E$74</definedName>
    <definedName name="CheckA6841" localSheetId="4" hidden="1">preIS!$E$75</definedName>
    <definedName name="CheckA6842" localSheetId="4" hidden="1">preIS!$E$76</definedName>
    <definedName name="CheckA7001x" localSheetId="25" hidden="1">Notes!$K$5870</definedName>
    <definedName name="CheckA7046a" localSheetId="25" hidden="1">Notes!$K$5022</definedName>
    <definedName name="CheckA7046x" localSheetId="25" hidden="1">Notes!$K$5881</definedName>
    <definedName name="CheckA7051x" localSheetId="25" hidden="1">Notes!$K$5892</definedName>
    <definedName name="CheckA7061x" localSheetId="25" hidden="1">Notes!$K$5903</definedName>
    <definedName name="CheckA7071x" localSheetId="25" hidden="1">Notes!$K$5914</definedName>
    <definedName name="CheckA7096a" localSheetId="25" hidden="1">Notes!$K$5038</definedName>
    <definedName name="CheckA7096x" localSheetId="25" hidden="1">Notes!$K$5925</definedName>
    <definedName name="CheckA7099" localSheetId="22" hidden="1">CashFlow!$E$33</definedName>
    <definedName name="CheckA7099" localSheetId="18" hidden="1">CF!$E$17</definedName>
    <definedName name="CheckA7099" localSheetId="9" hidden="1">preCF!$E$35</definedName>
    <definedName name="CheckA7101x" localSheetId="25" hidden="1">Notes!$K$5936</definedName>
    <definedName name="CheckA7105x" localSheetId="25" hidden="1">Notes!$K$5947</definedName>
    <definedName name="CheckA7111x" localSheetId="25" hidden="1">Notes!$K$5958</definedName>
    <definedName name="CheckA7146a" localSheetId="25" hidden="1">Notes!$K$5054</definedName>
    <definedName name="CheckA7151x" localSheetId="25" hidden="1">Notes!$K$5977</definedName>
    <definedName name="CheckA7161x" localSheetId="25" hidden="1">Notes!$K$5998</definedName>
    <definedName name="CheckA7196a" localSheetId="25" hidden="1">Notes!$K$5065</definedName>
    <definedName name="CheckA7211x" localSheetId="25" hidden="1">Notes!$K$6009</definedName>
    <definedName name="CheckA7246a" localSheetId="25" hidden="1">Notes!$K$5076</definedName>
    <definedName name="CheckA7251x" localSheetId="25" hidden="1">Notes!$K$6021</definedName>
    <definedName name="CheckA7261x" localSheetId="25" hidden="1">Notes!$K$6033</definedName>
    <definedName name="CheckA7296a" localSheetId="25" hidden="1">Notes!$K$5087</definedName>
    <definedName name="CheckA7348" localSheetId="22" hidden="1">CashFlow!$E$59</definedName>
    <definedName name="CheckA7348" localSheetId="18" hidden="1">CF!$E$42</definedName>
    <definedName name="CheckA7348" localSheetId="9" hidden="1">preCF!$E$63</definedName>
    <definedName name="CheckA7349" localSheetId="22" hidden="1">CashFlow!$E$60</definedName>
    <definedName name="CheckA7349" localSheetId="18" hidden="1">CF!$E$43</definedName>
    <definedName name="CheckA7349" localSheetId="9" hidden="1">preCF!$E$64</definedName>
    <definedName name="CheckA7399" localSheetId="22" hidden="1">CashFlow!$E$61</definedName>
    <definedName name="CheckA7399" localSheetId="18" hidden="1">CF!$E$44</definedName>
    <definedName name="CheckA7399" localSheetId="9" hidden="1">preCF!$E$65</definedName>
    <definedName name="CheckA7500a" localSheetId="25" hidden="1">Notes!$K$5098</definedName>
    <definedName name="CheckA7500b" localSheetId="25" hidden="1">Notes!$K$5121</definedName>
    <definedName name="CheckA7500c" localSheetId="25" hidden="1">Notes!$K$5129</definedName>
    <definedName name="CheckA7500e" localSheetId="25" hidden="1">Notes!$K$5158</definedName>
    <definedName name="CheckA7500f" localSheetId="25" hidden="1">Notes!$K$5174</definedName>
    <definedName name="CheckA7500g" localSheetId="25" hidden="1">Notes!$K$5138</definedName>
    <definedName name="CheckA7500h" localSheetId="25" hidden="1">Notes!$K$5148</definedName>
    <definedName name="CheckA7502" localSheetId="22" hidden="1">CashFlow!$E$68</definedName>
    <definedName name="CheckA7502" localSheetId="18" hidden="1">CF!$E$51</definedName>
    <definedName name="CheckA7502" localSheetId="9" hidden="1">preCF!$E$71</definedName>
    <definedName name="CheckA7503a" localSheetId="25" hidden="1">Notes!$K$6056</definedName>
    <definedName name="CheckA7505a" localSheetId="25" hidden="1">Notes!$K$6065</definedName>
    <definedName name="CheckA7506a" localSheetId="25" hidden="1">Notes!$K$6076</definedName>
    <definedName name="CheckA7507a" localSheetId="25" hidden="1">Notes!$K$6085</definedName>
    <definedName name="CheckA7508a" localSheetId="25" hidden="1">Notes!$K$6094</definedName>
    <definedName name="CheckA7509a" localSheetId="25" hidden="1">Notes!$K$6108</definedName>
    <definedName name="CheckA7510a" localSheetId="25" hidden="1">Notes!$K$6118</definedName>
    <definedName name="CheckA7511a" localSheetId="25" hidden="1">Notes!$K$6127</definedName>
    <definedName name="CheckA7512a" localSheetId="25" hidden="1">Notes!$K$6138</definedName>
    <definedName name="CheckA7515a" localSheetId="25" hidden="1">Notes!$K$6147</definedName>
    <definedName name="CheckA7516a" localSheetId="25" hidden="1">Notes!$K$6156</definedName>
    <definedName name="CheckA7517a" localSheetId="25" hidden="1">Notes!$K$6165</definedName>
    <definedName name="CheckA7518a" localSheetId="25" hidden="1">Notes!$K$6187</definedName>
    <definedName name="CheckA7519a" localSheetId="25" hidden="1">Notes!$K$6214</definedName>
    <definedName name="CheckA7523a" localSheetId="25" hidden="1">Notes!$K$6243</definedName>
    <definedName name="CheckA7525" localSheetId="22" hidden="1">CashFlow!$E$85</definedName>
    <definedName name="CheckA7525" localSheetId="18" hidden="1">CF!$E$68</definedName>
    <definedName name="CheckA7525" localSheetId="9" hidden="1">preCF!$E$88</definedName>
    <definedName name="CheckA7539" localSheetId="22" hidden="1">CashFlow!$E$95</definedName>
    <definedName name="CheckA7539" localSheetId="18" hidden="1">CF!$E$78</definedName>
    <definedName name="CheckA7539" localSheetId="9" hidden="1">preCF!$E$98</definedName>
    <definedName name="CheckA8001" localSheetId="19" hidden="1">CE!$P$9</definedName>
    <definedName name="CheckA8001" localSheetId="23" hidden="1">OwnersEquity!$P$9</definedName>
    <definedName name="CheckA8001" localSheetId="10" hidden="1">preCE!$Q$9</definedName>
    <definedName name="CheckA8010" localSheetId="19" hidden="1">CE!$P$13</definedName>
    <definedName name="CheckA8010" localSheetId="23" hidden="1">OwnersEquity!$P$13</definedName>
    <definedName name="CheckA8010" localSheetId="10" hidden="1">preCE!$Q$14</definedName>
    <definedName name="CheckA8040" localSheetId="19" hidden="1">CE!$P$15</definedName>
    <definedName name="CheckA8040" localSheetId="23" hidden="1">OwnersEquity!$P$15</definedName>
    <definedName name="CheckA8040" localSheetId="10" hidden="1">preCE!$Q$18</definedName>
    <definedName name="CheckA8099" localSheetId="19" hidden="1">CE!$P$36</definedName>
    <definedName name="CheckA8099" localSheetId="23" hidden="1">OwnersEquity!$P$37</definedName>
    <definedName name="CheckA8099" localSheetId="10" hidden="1">preCE!$Q$40</definedName>
    <definedName name="CheckA8101" localSheetId="19" hidden="1">CE!$D$9</definedName>
    <definedName name="CheckA8101" localSheetId="23" hidden="1">OwnersEquity!$D$9</definedName>
    <definedName name="CheckA8101" localSheetId="10" hidden="1">preCE!$D$9</definedName>
    <definedName name="CheckA8110" localSheetId="19" hidden="1">CE!$D$13</definedName>
    <definedName name="CheckA8110" localSheetId="23" hidden="1">OwnersEquity!$D$13</definedName>
    <definedName name="CheckA8110" localSheetId="10" hidden="1">preCE!$D$14</definedName>
    <definedName name="CheckA8199" localSheetId="19" hidden="1">CE!$D$36</definedName>
    <definedName name="CheckA8199" localSheetId="23" hidden="1">OwnersEquity!$D$37</definedName>
    <definedName name="CheckA8199" localSheetId="10" hidden="1">preCE!$D$40</definedName>
    <definedName name="CheckA8201" localSheetId="19" hidden="1">CE!$H$9</definedName>
    <definedName name="CheckA8201" localSheetId="23" hidden="1">OwnersEquity!$H$9</definedName>
    <definedName name="CheckA8201" localSheetId="10" hidden="1">preCE!$H$9</definedName>
    <definedName name="CheckA8210" localSheetId="19" hidden="1">CE!$H$13</definedName>
    <definedName name="CheckA8210" localSheetId="23" hidden="1">OwnersEquity!$H$13</definedName>
    <definedName name="CheckA8210" localSheetId="10" hidden="1">preCE!$H$14</definedName>
    <definedName name="CheckA8299" localSheetId="19" hidden="1">CE!$H$36</definedName>
    <definedName name="CheckA8299" localSheetId="23" hidden="1">OwnersEquity!$H$37</definedName>
    <definedName name="CheckA8299" localSheetId="10" hidden="1">preCE!$H$40</definedName>
    <definedName name="CheckA8301" localSheetId="19" hidden="1">CE!$I$9</definedName>
    <definedName name="CheckA8301" localSheetId="23" hidden="1">OwnersEquity!$I$9</definedName>
    <definedName name="CheckA8301" localSheetId="10" hidden="1">preCE!$I$9</definedName>
    <definedName name="CheckA8310" localSheetId="19" hidden="1">CE!$I$13</definedName>
    <definedName name="CheckA8310" localSheetId="23" hidden="1">OwnersEquity!$I$13</definedName>
    <definedName name="CheckA8310" localSheetId="10" hidden="1">preCE!$I$14</definedName>
    <definedName name="CheckA8399" localSheetId="19" hidden="1">CE!$I$36</definedName>
    <definedName name="CheckA8399" localSheetId="23" hidden="1">OwnersEquity!$I$37</definedName>
    <definedName name="CheckA8399" localSheetId="10" hidden="1">preCE!$I$40</definedName>
    <definedName name="CheckA8401" localSheetId="19" hidden="1">CE!$K$9</definedName>
    <definedName name="CheckA8401" localSheetId="23" hidden="1">OwnersEquity!$K$9</definedName>
    <definedName name="CheckA8401" localSheetId="10" hidden="1">preCE!$K$9</definedName>
    <definedName name="CheckA8410" localSheetId="19" hidden="1">CE!$K$13</definedName>
    <definedName name="CheckA8410" localSheetId="23" hidden="1">OwnersEquity!$K$13</definedName>
    <definedName name="CheckA8410" localSheetId="10" hidden="1">preCE!$K$14</definedName>
    <definedName name="CheckA8499" localSheetId="19" hidden="1">CE!$K$36</definedName>
    <definedName name="CheckA8499" localSheetId="23" hidden="1">OwnersEquity!$K$37</definedName>
    <definedName name="CheckA8499" localSheetId="10" hidden="1">preCE!$K$40</definedName>
    <definedName name="CheckA8501" localSheetId="19" hidden="1">CE!$L$9</definedName>
    <definedName name="CheckA8501" localSheetId="23" hidden="1">OwnersEquity!$L$9</definedName>
    <definedName name="CheckA8501" localSheetId="10" hidden="1">preCE!$L$9</definedName>
    <definedName name="CheckA8510" localSheetId="19" hidden="1">CE!$L$13</definedName>
    <definedName name="CheckA8510" localSheetId="23" hidden="1">OwnersEquity!$L$13</definedName>
    <definedName name="CheckA8510" localSheetId="10" hidden="1">preCE!$L$14</definedName>
    <definedName name="CheckA8599" localSheetId="19" hidden="1">CE!$L$36</definedName>
    <definedName name="CheckA8599" localSheetId="23" hidden="1">OwnersEquity!$L$37</definedName>
    <definedName name="CheckA8599" localSheetId="10" hidden="1">preCE!$L$40</definedName>
    <definedName name="CheckA8601" localSheetId="23" hidden="1">OwnersEquity!$M$9</definedName>
    <definedName name="CheckA8601" localSheetId="10" hidden="1">preCE!$M$9</definedName>
    <definedName name="CheckA8610" localSheetId="23" hidden="1">OwnersEquity!$M$13</definedName>
    <definedName name="CheckA8610" localSheetId="10" hidden="1">preCE!$M$14</definedName>
    <definedName name="CheckA8699" localSheetId="19" hidden="1">CE!$M$36</definedName>
    <definedName name="CheckA8699" localSheetId="23" hidden="1">OwnersEquity!$M$37</definedName>
    <definedName name="CheckA8699" localSheetId="10" hidden="1">preCE!$M$40</definedName>
    <definedName name="CheckA8701" localSheetId="19" hidden="1">CE!$N$9</definedName>
    <definedName name="CheckA8701" localSheetId="23" hidden="1">OwnersEquity!$N$9</definedName>
    <definedName name="CheckA8701" localSheetId="10" hidden="1">preCE!$N$9</definedName>
    <definedName name="CheckA8710" localSheetId="19" hidden="1">CE!$N$13</definedName>
    <definedName name="CheckA8710" localSheetId="23" hidden="1">OwnersEquity!$N$13</definedName>
    <definedName name="CheckA8710" localSheetId="10" hidden="1">preCE!$N$14</definedName>
    <definedName name="CheckA8740" localSheetId="19" hidden="1">CE!$N$15</definedName>
    <definedName name="CheckA8740" localSheetId="23" hidden="1">OwnersEquity!$N$15</definedName>
    <definedName name="CheckA8740" localSheetId="10" hidden="1">preCE!$N$18</definedName>
    <definedName name="CheckA8799" localSheetId="19" hidden="1">CE!$N$36</definedName>
    <definedName name="CheckA8799" localSheetId="23" hidden="1">OwnersEquity!$N$37</definedName>
    <definedName name="CheckA8799" localSheetId="10" hidden="1">preCE!$N$40</definedName>
    <definedName name="CheckA8801" localSheetId="19" hidden="1">CE!$O$9</definedName>
    <definedName name="CheckA8801" localSheetId="23" hidden="1">OwnersEquity!$O$9</definedName>
    <definedName name="CheckA8801" localSheetId="10" hidden="1">preCE!$O$9</definedName>
    <definedName name="CheckA8810" localSheetId="19" hidden="1">CE!$O$13</definedName>
    <definedName name="CheckA8810" localSheetId="23" hidden="1">OwnersEquity!$O$13</definedName>
    <definedName name="CheckA8810" localSheetId="10" hidden="1">preCE!$O$14</definedName>
    <definedName name="CheckA8899" localSheetId="19" hidden="1">CE!$O$36</definedName>
    <definedName name="CheckA8899" localSheetId="23" hidden="1">OwnersEquity!$O$37</definedName>
    <definedName name="CheckA8899" localSheetId="10" hidden="1">preCE!$O$40</definedName>
    <definedName name="CheckA8901" localSheetId="10" hidden="1">preCE!$P$9</definedName>
    <definedName name="CheckA8910" localSheetId="10" hidden="1">preCE!$P$14</definedName>
    <definedName name="CheckA8940" localSheetId="10" hidden="1">preCE!$P$18</definedName>
    <definedName name="CheckA8999" localSheetId="10" hidden="1">preCE!$P$40</definedName>
    <definedName name="CheckA8b01" localSheetId="19" hidden="1">CE!$E$9</definedName>
    <definedName name="CheckA8b01" localSheetId="23" hidden="1">OwnersEquity!$E$9</definedName>
    <definedName name="CheckA8b01" localSheetId="10" hidden="1">preCE!$E$9</definedName>
    <definedName name="CheckA8b10" localSheetId="19" hidden="1">CE!$E$13</definedName>
    <definedName name="CheckA8b10" localSheetId="23" hidden="1">OwnersEquity!$E$13</definedName>
    <definedName name="CheckA8b10" localSheetId="10" hidden="1">preCE!$E$14</definedName>
    <definedName name="CheckA8b99" localSheetId="19" hidden="1">CE!$E$36</definedName>
    <definedName name="CheckA8b99" localSheetId="23" hidden="1">OwnersEquity!$E$37</definedName>
    <definedName name="CheckA8b99" localSheetId="10" hidden="1">preCE!$E$40</definedName>
    <definedName name="CheckA8c01" localSheetId="19" hidden="1">CE!$F$9</definedName>
    <definedName name="CheckA8c01" localSheetId="23" hidden="1">OwnersEquity!$F$9</definedName>
    <definedName name="CheckA8c01" localSheetId="10" hidden="1">preCE!$F$9</definedName>
    <definedName name="CheckA8c10" localSheetId="19" hidden="1">CE!$F$13</definedName>
    <definedName name="CheckA8c10" localSheetId="23" hidden="1">OwnersEquity!$F$13</definedName>
    <definedName name="CheckA8c10" localSheetId="10" hidden="1">preCE!$F$14</definedName>
    <definedName name="CheckA8c99" localSheetId="19" hidden="1">CE!$F$36</definedName>
    <definedName name="CheckA8c99" localSheetId="23" hidden="1">OwnersEquity!$F$37</definedName>
    <definedName name="CheckA8c99" localSheetId="10" hidden="1">preCE!$F$40</definedName>
    <definedName name="CheckA8d01" localSheetId="19" hidden="1">CE!$G$9</definedName>
    <definedName name="CheckA8d01" localSheetId="23" hidden="1">OwnersEquity!$G$9</definedName>
    <definedName name="CheckA8d01" localSheetId="10" hidden="1">preCE!$G$9</definedName>
    <definedName name="CheckA8d10" localSheetId="19" hidden="1">CE!$G$13</definedName>
    <definedName name="CheckA8d10" localSheetId="23" hidden="1">OwnersEquity!$G$13</definedName>
    <definedName name="CheckA8d10" localSheetId="10" hidden="1">preCE!$G$14</definedName>
    <definedName name="CheckA8d99" localSheetId="19" hidden="1">CE!$G$36</definedName>
    <definedName name="CheckA8d99" localSheetId="23" hidden="1">OwnersEquity!$G$37</definedName>
    <definedName name="CheckA8d99" localSheetId="10" hidden="1">preCE!$G$40</definedName>
    <definedName name="CheckA8g01" localSheetId="19" hidden="1">CE!$J$9</definedName>
    <definedName name="CheckA8g01" localSheetId="23" hidden="1">OwnersEquity!$J$9</definedName>
    <definedName name="CheckA8g01" localSheetId="10" hidden="1">preCE!$J$9</definedName>
    <definedName name="CheckA8g10" localSheetId="19" hidden="1">CE!$J$13</definedName>
    <definedName name="CheckA8g10" localSheetId="23" hidden="1">OwnersEquity!$J$13</definedName>
    <definedName name="CheckA8g10" localSheetId="10" hidden="1">preCE!$J$14</definedName>
    <definedName name="CheckA8g40" localSheetId="19" hidden="1">CE!$J$15</definedName>
    <definedName name="CheckA8g40" localSheetId="23" hidden="1">OwnersEquity!$J$15</definedName>
    <definedName name="CheckA8g40" localSheetId="10" hidden="1">preCE!$J$18</definedName>
    <definedName name="CheckA8g99" localSheetId="19" hidden="1">CE!$J$36</definedName>
    <definedName name="CheckA8g99" localSheetId="23" hidden="1">OwnersEquity!$J$37</definedName>
    <definedName name="CheckA8g99" localSheetId="10" hidden="1">preCE!$J$40</definedName>
    <definedName name="CheckA9120c" localSheetId="25" hidden="1">Notes!$K$5649</definedName>
    <definedName name="CheckA9120d" localSheetId="25" hidden="1">Notes!$K$5659</definedName>
    <definedName name="CheckA9120e" localSheetId="25" hidden="1">Notes!$K$5669</definedName>
    <definedName name="CheckA9120f" localSheetId="25" hidden="1">Notes!$K$5679</definedName>
    <definedName name="CheckA9120g" localSheetId="25" hidden="1">Notes!$K$5689</definedName>
    <definedName name="CheckA9120h" localSheetId="25" hidden="1">Notes!$K$5699</definedName>
    <definedName name="CheckA9120i" localSheetId="25" hidden="1">Notes!$K$5709</definedName>
    <definedName name="CheckA9120j" localSheetId="25" hidden="1">Notes!$K$5719</definedName>
    <definedName name="CheckA9120k" localSheetId="25" hidden="1">Notes!$K$5729</definedName>
    <definedName name="CheckA9120l" localSheetId="25" hidden="1">Notes!$K$5739</definedName>
    <definedName name="CheckA9120m" localSheetId="25" hidden="1">Notes!$K$5623</definedName>
    <definedName name="CheckA9120n" localSheetId="25" hidden="1">Notes!$K$5636</definedName>
    <definedName name="CheckA9120o" localSheetId="25" hidden="1">Notes!$K$5747</definedName>
    <definedName name="CheckA9120p" localSheetId="25" hidden="1">Notes!$K$5762</definedName>
    <definedName name="CheckA9314a" localSheetId="25" hidden="1">Notes!$K$5185</definedName>
    <definedName name="CheckA9325g" localSheetId="25" hidden="1">Notes!$K$5321</definedName>
    <definedName name="CheckA9325h" localSheetId="25" hidden="1">Notes!$K$5338</definedName>
    <definedName name="CheckA9325i" localSheetId="25" hidden="1">Notes!$K$5355</definedName>
    <definedName name="CheckA9325j" localSheetId="25" hidden="1">Notes!$K$5371</definedName>
    <definedName name="CheckA9325k" localSheetId="25" hidden="1">Notes!$K$5387</definedName>
    <definedName name="CheckA9325m" localSheetId="25" hidden="1">Notes!$K$5421</definedName>
    <definedName name="CheckA9331a" localSheetId="25" hidden="1">Notes!$K$5456</definedName>
    <definedName name="CheckA9331b" localSheetId="25" hidden="1">Notes!$K$5603</definedName>
    <definedName name="CheckA9331g" localSheetId="25" hidden="1">Notes!$K$5577</definedName>
    <definedName name="CheckA9331i" localSheetId="25" hidden="1">Notes!$K$5550</definedName>
    <definedName name="CheckA9331j" localSheetId="25" hidden="1">Notes!$K$5559</definedName>
    <definedName name="CheckA9331k" localSheetId="25" hidden="1">Notes!$K$5502</definedName>
    <definedName name="CheckA9367a" localSheetId="25" hidden="1">Notes!$K$5776</definedName>
    <definedName name="CheckA9367b" localSheetId="25" hidden="1">Notes!$K$5797</definedName>
    <definedName name="CheckA9371h" localSheetId="25" hidden="1">Notes!$K$5277</definedName>
    <definedName name="CheckA9371i" localSheetId="25" hidden="1">Notes!$K$5292</definedName>
    <definedName name="CheckA9371j" localSheetId="25" hidden="1">Notes!$K$5307</definedName>
    <definedName name="CheckA9601a" localSheetId="25" hidden="1">Notes!$K$5806</definedName>
    <definedName name="CheckA9601b" localSheetId="25" hidden="1">Notes!$K$5848</definedName>
    <definedName name="CheckA9601c" localSheetId="25" hidden="1">Notes!$K$5838</definedName>
    <definedName name="CheckA9601d" localSheetId="25" hidden="1">Notes!$K$5858</definedName>
    <definedName name="CheckA9690a" localSheetId="25" hidden="1">Notes!$K$4986</definedName>
    <definedName name="CheckA9690b" localSheetId="25" hidden="1">Notes!$K$5000</definedName>
    <definedName name="CheckA9690c" localSheetId="25" hidden="1">Notes!$K$5010</definedName>
    <definedName name="CheckB1015a" localSheetId="25" hidden="1">Notes!$N$20</definedName>
    <definedName name="CheckB1015b" localSheetId="25" hidden="1">Notes!$N$10</definedName>
    <definedName name="CheckB1015c" localSheetId="25" hidden="1">Notes!$N$59</definedName>
    <definedName name="CheckB1101a" localSheetId="25" hidden="1">Notes!$N$90</definedName>
    <definedName name="CheckB1102a" localSheetId="25" hidden="1">Notes!$N$71</definedName>
    <definedName name="CheckB1115a" localSheetId="25" hidden="1">Notes!$N$109</definedName>
    <definedName name="CheckB1121a" localSheetId="25" hidden="1">Notes!$N$130</definedName>
    <definedName name="CheckB1121b" localSheetId="25" hidden="1">Notes!$N$138</definedName>
    <definedName name="CheckB1121c" localSheetId="25" hidden="1">Notes!$N$160</definedName>
    <definedName name="CheckB1121d" localSheetId="25" hidden="1">Notes!$N$146</definedName>
    <definedName name="CheckB1121e" localSheetId="25" hidden="1">Notes!$N$120</definedName>
    <definedName name="CheckB1121f" localSheetId="25" hidden="1">Notes!$N$170</definedName>
    <definedName name="CheckB1121g" localSheetId="25" hidden="1">Notes!$N$192</definedName>
    <definedName name="CheckB1121h" localSheetId="25" hidden="1">Notes!$N$214</definedName>
    <definedName name="CheckB1121i" localSheetId="25" hidden="1">Notes!$N$251</definedName>
    <definedName name="CheckB1121j" localSheetId="25" hidden="1">Notes!$N$273</definedName>
    <definedName name="CheckB1121k" localSheetId="25" hidden="1">Notes!$N$286</definedName>
    <definedName name="CheckB1121l" localSheetId="25" hidden="1">Notes!$N$293</definedName>
    <definedName name="CheckB1121m" localSheetId="25" hidden="1">Notes!$N$306</definedName>
    <definedName name="CheckB1121n" localSheetId="25" hidden="1">Notes!$N$236</definedName>
    <definedName name="CheckB112202" localSheetId="25" hidden="1">Notes!$N$415</definedName>
    <definedName name="CheckB11222" localSheetId="25" hidden="1">Notes!$N$415</definedName>
    <definedName name="CheckB1122a" localSheetId="25" hidden="1">Notes!$N$485</definedName>
    <definedName name="CheckB1122b" localSheetId="25" hidden="1">Notes!$N$500</definedName>
    <definedName name="CheckB1122c" localSheetId="25" hidden="1">Notes!$N$668</definedName>
    <definedName name="CheckB1122d" localSheetId="25" hidden="1">Notes!$N$535</definedName>
    <definedName name="CheckB1122e" localSheetId="25" hidden="1">Notes!$N$559</definedName>
    <definedName name="CheckB1122f" localSheetId="25" hidden="1">Notes!$N$569</definedName>
    <definedName name="CheckB1122g" localSheetId="25" hidden="1">Notes!$N$515</definedName>
    <definedName name="CheckB1122h" localSheetId="25" hidden="1">Notes!$N$601</definedName>
    <definedName name="CheckB1122i" localSheetId="25" hidden="1">Notes!$N$618</definedName>
    <definedName name="CheckB1122j" localSheetId="25" hidden="1">Notes!$N$317</definedName>
    <definedName name="CheckB1122k" localSheetId="25" hidden="1">Notes!$N$629</definedName>
    <definedName name="CheckB1122l" localSheetId="25" hidden="1">Notes!$N$678</definedName>
    <definedName name="CheckB1122m" localSheetId="25" hidden="1">Notes!$N$648</definedName>
    <definedName name="CheckB1122n" localSheetId="25" hidden="1">Notes!$N$658</definedName>
    <definedName name="CheckB1122p" localSheetId="25" hidden="1">Notes!$N$334</definedName>
    <definedName name="CheckB1122q" localSheetId="25" hidden="1">Notes!$N$430</definedName>
    <definedName name="CheckB1122r" localSheetId="25" hidden="1">Notes!$N$356</definedName>
    <definedName name="CheckB1122s" localSheetId="25" hidden="1">Notes!$N$378</definedName>
    <definedName name="CheckB1122t" localSheetId="25" hidden="1">Notes!$N$400</definedName>
    <definedName name="CheckB1122u" localSheetId="25" hidden="1">Notes!$N$579</definedName>
    <definedName name="CheckB1122v" localSheetId="25" hidden="1">Notes!$N$611</definedName>
    <definedName name="CheckB1122x" localSheetId="25" hidden="1">Notes!$N$689</definedName>
    <definedName name="CheckB1122y" localSheetId="25" hidden="1">Notes!$N$448</definedName>
    <definedName name="CheckB1122z" localSheetId="25" hidden="1">Notes!$N$468</definedName>
    <definedName name="CheckB1124a" localSheetId="25" hidden="1">Notes!$N$699</definedName>
    <definedName name="CheckB1124b" localSheetId="25" hidden="1">Notes!$N$707</definedName>
    <definedName name="CheckB1124c" localSheetId="25" hidden="1">Notes!$N$722</definedName>
    <definedName name="CheckB1124d" localSheetId="25" hidden="1">Notes!$N$741</definedName>
    <definedName name="CheckB1124e" localSheetId="25" hidden="1">Notes!$N$763</definedName>
    <definedName name="CheckB1124f" localSheetId="25" hidden="1">Notes!$N$849</definedName>
    <definedName name="CheckB1124g" localSheetId="25" hidden="1">Notes!$N$778</definedName>
    <definedName name="CheckB1124h" localSheetId="25" hidden="1">Notes!$N$793</definedName>
    <definedName name="CheckB1124i" localSheetId="25" hidden="1">Notes!$N$812</definedName>
    <definedName name="CheckB1124j" localSheetId="25" hidden="1">Notes!$N$834</definedName>
    <definedName name="CheckB1125a" localSheetId="25" hidden="1">Notes!$N$860</definedName>
    <definedName name="CheckB1125c" localSheetId="25" hidden="1">Notes!$N$872</definedName>
    <definedName name="CheckB1125d" localSheetId="25" hidden="1">Notes!$N$891</definedName>
    <definedName name="CheckB1125e" localSheetId="25" hidden="1">Notes!$N$911</definedName>
    <definedName name="CheckB1125f" localSheetId="25" hidden="1">Notes!$N$901</definedName>
    <definedName name="CheckB1125x" localSheetId="25" hidden="1">Notes!$N$921</definedName>
    <definedName name="CheckB1131a" localSheetId="25" hidden="1">Notes!$N$968</definedName>
    <definedName name="CheckB1131b" localSheetId="25" hidden="1">Notes!$N$978</definedName>
    <definedName name="CheckB1132a" localSheetId="25" hidden="1">Notes!$N$945</definedName>
    <definedName name="CheckB1132b" localSheetId="25" hidden="1">Notes!$N$957</definedName>
    <definedName name="CheckB1220a" localSheetId="25" hidden="1">Notes!$N$935</definedName>
    <definedName name="CheckB122100" localSheetId="25" hidden="1">Notes!$N$1028</definedName>
    <definedName name="CheckB122101" localSheetId="25" hidden="1">Notes!$N$1044</definedName>
    <definedName name="CheckB122102" localSheetId="25" hidden="1">Notes!$N$1132</definedName>
    <definedName name="CheckB122103" localSheetId="25" hidden="1">Notes!$N$1220</definedName>
    <definedName name="CheckB122104" localSheetId="25" hidden="1">Notes!$N$1493</definedName>
    <definedName name="CheckB12211" localSheetId="25" hidden="1">Notes!$N$1058</definedName>
    <definedName name="CheckB122111" localSheetId="25" hidden="1">Notes!$N$1058</definedName>
    <definedName name="CheckB122112" localSheetId="25" hidden="1">Notes!$N$1080</definedName>
    <definedName name="CheckB122113" localSheetId="25" hidden="1">Notes!$N$1102</definedName>
    <definedName name="CheckB122114" localSheetId="25" hidden="1">Notes!$N$1117</definedName>
    <definedName name="CheckB12212" localSheetId="25" hidden="1">Notes!$N$1080</definedName>
    <definedName name="CheckB122121" localSheetId="25" hidden="1">Notes!$N$1146</definedName>
    <definedName name="CheckB122122" localSheetId="25" hidden="1">Notes!$N$1168</definedName>
    <definedName name="CheckB122123" localSheetId="25" hidden="1">Notes!$N$1190</definedName>
    <definedName name="CheckB122124" localSheetId="25" hidden="1">Notes!$N$1205</definedName>
    <definedName name="CheckB12213" localSheetId="25" hidden="1">Notes!$N$1102</definedName>
    <definedName name="CheckB122131" localSheetId="25" hidden="1">Notes!$N$1235</definedName>
    <definedName name="CheckB122132" localSheetId="25" hidden="1">Notes!$N$1257</definedName>
    <definedName name="CheckB122133" localSheetId="25" hidden="1">Notes!$N$1279</definedName>
    <definedName name="CheckB122134" localSheetId="25" hidden="1">Notes!$N$1294</definedName>
    <definedName name="CheckB12214" localSheetId="25" hidden="1">Notes!$N$1493</definedName>
    <definedName name="CheckB1221a" localSheetId="25" hidden="1">Notes!$N$1367</definedName>
    <definedName name="CheckB1221b" localSheetId="25" hidden="1">Notes!$N$1389</definedName>
    <definedName name="CheckB1221c" localSheetId="25" hidden="1">Notes!$N$1589</definedName>
    <definedName name="CheckB1221d" localSheetId="25" hidden="1">Notes!$N$1430</definedName>
    <definedName name="CheckB1221e" localSheetId="25" hidden="1">Notes!$N$1451</definedName>
    <definedName name="CheckB1221f" localSheetId="25" hidden="1">Notes!$N$1461</definedName>
    <definedName name="CheckB1221g" localSheetId="25" hidden="1">Notes!$N$1411</definedName>
    <definedName name="CheckB1221h" localSheetId="25" hidden="1">Notes!$N$1512</definedName>
    <definedName name="CheckB1221i" localSheetId="25" hidden="1">Notes!$N$1529</definedName>
    <definedName name="CheckB1221j" localSheetId="25" hidden="1">Notes!$N$989</definedName>
    <definedName name="CheckB1221k" localSheetId="25" hidden="1">Notes!$N$1540</definedName>
    <definedName name="CheckB1221l" localSheetId="25" hidden="1">Notes!$N$1014</definedName>
    <definedName name="CheckB1221m" localSheetId="25" hidden="1">Notes!$N$1599</definedName>
    <definedName name="CheckB1221n" localSheetId="25" hidden="1">Notes!$N$1569</definedName>
    <definedName name="CheckB1221o" localSheetId="25" hidden="1">Notes!$N$1579</definedName>
    <definedName name="CheckB1221q" localSheetId="25" hidden="1">Notes!$N$1044</definedName>
    <definedName name="CheckB1221r" localSheetId="25" hidden="1">Notes!$N$1559</definedName>
    <definedName name="CheckB1221s" localSheetId="25" hidden="1">Notes!$N$1220</definedName>
    <definedName name="CheckB1221t" localSheetId="25" hidden="1">Notes!$N$1309</definedName>
    <definedName name="CheckB1221u" localSheetId="25" hidden="1">Notes!$N$1117</definedName>
    <definedName name="CheckB1221v" localSheetId="25" hidden="1">Notes!$N$1328</definedName>
    <definedName name="CheckB1221w" localSheetId="25" hidden="1">Notes!$N$1350</definedName>
    <definedName name="CheckB1221x" localSheetId="25" hidden="1">Notes!$N$1609</definedName>
    <definedName name="CheckB1221y" localSheetId="25" hidden="1">Notes!$N$1471</definedName>
    <definedName name="CheckB1221z" localSheetId="25" hidden="1">Notes!$N$1522</definedName>
    <definedName name="CheckB1315b" localSheetId="25" hidden="1">Notes!$N$1766</definedName>
    <definedName name="CheckB1315f" localSheetId="25" hidden="1">Notes!$N$1776</definedName>
    <definedName name="CheckB1400a" localSheetId="25" hidden="1">Notes!$N$1619</definedName>
    <definedName name="CheckB1400b" localSheetId="25" hidden="1">Notes!$N$1638</definedName>
    <definedName name="CheckB1400c" localSheetId="25" hidden="1">Notes!$N$1738</definedName>
    <definedName name="CheckB1400d" localSheetId="25" hidden="1">Notes!$N$1684</definedName>
    <definedName name="CheckB1400e" localSheetId="25" hidden="1">Notes!$N$1701</definedName>
    <definedName name="CheckB1400g" localSheetId="25" hidden="1">Notes!$N$1718</definedName>
    <definedName name="CheckB1400h" localSheetId="25" hidden="1">Notes!$N$1667</definedName>
    <definedName name="CheckB1400s" localSheetId="25" hidden="1">Notes!$N$1728</definedName>
    <definedName name="CheckB1400t" localSheetId="25" hidden="1">Notes!$N$1657</definedName>
    <definedName name="CheckB1400x" localSheetId="25" hidden="1">Notes!$N$1755</definedName>
    <definedName name="CheckB1495a" localSheetId="25" hidden="1">Notes!$N$1792</definedName>
    <definedName name="CheckB1495b" localSheetId="25" hidden="1">Notes!$N$1801</definedName>
    <definedName name="CheckB1496a" localSheetId="25" hidden="1">Notes!$N$1814</definedName>
    <definedName name="CheckB1501a" localSheetId="25" hidden="1">Notes!$N$2159</definedName>
    <definedName name="CheckB1501d" localSheetId="25" hidden="1">Notes!$N$2173</definedName>
    <definedName name="CheckB1501e" localSheetId="25" hidden="1">Notes!$N$2183</definedName>
    <definedName name="CheckB1501f" localSheetId="25" hidden="1">Notes!$N$2193</definedName>
    <definedName name="CheckB1503a" localSheetId="25" hidden="1">Notes!$N$1949</definedName>
    <definedName name="CheckB1503d" localSheetId="25" hidden="1">Notes!$N$2015</definedName>
    <definedName name="CheckB1503e" localSheetId="25" hidden="1">Notes!$N$1963</definedName>
    <definedName name="CheckB1503g" localSheetId="25" hidden="1">Notes!$N$2023</definedName>
    <definedName name="CheckB1503i" localSheetId="25" hidden="1">Notes!$N$1973</definedName>
    <definedName name="CheckB1503j" localSheetId="25" hidden="1">Notes!$N$1988</definedName>
    <definedName name="CheckB1503k" localSheetId="25" hidden="1">Notes!$N$2003</definedName>
    <definedName name="CheckB1505a" localSheetId="25" hidden="1">Notes!$N$1825</definedName>
    <definedName name="CheckB1505b" localSheetId="25" hidden="1">Notes!$N$1840</definedName>
    <definedName name="CheckB1505c" localSheetId="25" hidden="1">Notes!$N$1871</definedName>
    <definedName name="CheckB1505d" localSheetId="25" hidden="1">Notes!$N$1884</definedName>
    <definedName name="CheckB1505e" localSheetId="25" hidden="1">Notes!$N$1897</definedName>
    <definedName name="CheckB1505f" localSheetId="25" hidden="1">Notes!$N$1929</definedName>
    <definedName name="CheckB1505g" localSheetId="25" hidden="1">Notes!$N$1855</definedName>
    <definedName name="CheckB1505k" localSheetId="25" hidden="1">Notes!$N$1910</definedName>
    <definedName name="CheckB1508a" localSheetId="25" hidden="1">Notes!$N$2034</definedName>
    <definedName name="CheckB1508b" localSheetId="25" hidden="1">Notes!$N$2050</definedName>
    <definedName name="CheckB1508c" localSheetId="25" hidden="1">Notes!$N$2065</definedName>
    <definedName name="CheckB1508d" localSheetId="25" hidden="1">Notes!$N$2081</definedName>
    <definedName name="CheckB1508e" localSheetId="25" hidden="1">Notes!$N$2094</definedName>
    <definedName name="CheckB1508f" localSheetId="25" hidden="1">Notes!$N$2107</definedName>
    <definedName name="CheckB1508g" localSheetId="25" hidden="1">Notes!$N$2139</definedName>
    <definedName name="CheckB1508k" localSheetId="25" hidden="1">Notes!$N$2120</definedName>
    <definedName name="CheckB1511b" localSheetId="25" hidden="1">Notes!$N$2465</definedName>
    <definedName name="CheckB1511c" localSheetId="25" hidden="1">Notes!$N$2414</definedName>
    <definedName name="CheckB1511d" localSheetId="25" hidden="1">Notes!$N$2433</definedName>
    <definedName name="CheckB1521b" localSheetId="25" hidden="1">Notes!$N$2601</definedName>
    <definedName name="CheckB1521c" localSheetId="25" hidden="1">Notes!$N$2620</definedName>
    <definedName name="CheckB1521h" localSheetId="25" hidden="1">Notes!$N$2559</definedName>
    <definedName name="CheckB1521s" localSheetId="25" hidden="1">Notes!$N$2630</definedName>
    <definedName name="CheckB1531a" localSheetId="25" hidden="1">Notes!$N$2204</definedName>
    <definedName name="CheckB1531b" localSheetId="25" hidden="1">Notes!$N$2393</definedName>
    <definedName name="CheckB1531c" localSheetId="25" hidden="1">Notes!$N$2370</definedName>
    <definedName name="CheckB1531f" localSheetId="25" hidden="1">Notes!$N$2403</definedName>
    <definedName name="CheckB1531g" localSheetId="25" hidden="1">Notes!$N$2332</definedName>
    <definedName name="CheckB1531h" localSheetId="25" hidden="1">Notes!$N$2295</definedName>
    <definedName name="CheckB1531i" localSheetId="25" hidden="1">Notes!$N$2236</definedName>
    <definedName name="CheckB1531j" localSheetId="25" hidden="1">Notes!$N$2249</definedName>
    <definedName name="CheckB1531k" localSheetId="25" hidden="1">Notes!$N$2262</definedName>
    <definedName name="CheckB1531m" localSheetId="25" hidden="1">Notes!$N$2317</definedName>
    <definedName name="CheckB1531p" localSheetId="25" hidden="1">Notes!$N$2275</definedName>
    <definedName name="CheckB1531q" localSheetId="25" hidden="1">Notes!$N$2351</definedName>
    <definedName name="CheckB1531s" localSheetId="25" hidden="1">Notes!$N$2380</definedName>
    <definedName name="CheckB1531t" localSheetId="25" hidden="1">Notes!$N$2220</definedName>
    <definedName name="CheckB1538a" localSheetId="25" hidden="1">Notes!$N$2499</definedName>
    <definedName name="CheckB1538b" localSheetId="25" hidden="1">Notes!$N$2508</definedName>
    <definedName name="CheckB1539a" localSheetId="25" hidden="1">Notes!$N$2522</definedName>
    <definedName name="CheckB1539b" localSheetId="25" hidden="1">Notes!$N$2532</definedName>
    <definedName name="CheckB1539c" localSheetId="25" hidden="1">Notes!$N$2545</definedName>
    <definedName name="CheckB1601b" localSheetId="25" hidden="1">Notes!$N$2707</definedName>
    <definedName name="CheckB1601c" localSheetId="25" hidden="1">Notes!$N$2721</definedName>
    <definedName name="CheckB1601d" localSheetId="25" hidden="1">Notes!$N$2735</definedName>
    <definedName name="CheckB1601f" localSheetId="25" hidden="1">Notes!$N$2763</definedName>
    <definedName name="CheckB1601k" localSheetId="25" hidden="1">Notes!$N$2650</definedName>
    <definedName name="CheckB1601l" localSheetId="25" hidden="1">Notes!$N$2750</definedName>
    <definedName name="CheckB1601s" localSheetId="25" hidden="1">Notes!$N$2773</definedName>
    <definedName name="CheckB1601x" localSheetId="25" hidden="1">Notes!$N$2783</definedName>
    <definedName name="CheckB1604a" localSheetId="25" hidden="1">Notes!$N$2832</definedName>
    <definedName name="CheckB1604b" localSheetId="25" hidden="1">Notes!$N$2849</definedName>
    <definedName name="CheckB1604c" localSheetId="25" hidden="1">Notes!$N$2864</definedName>
    <definedName name="CheckB1604d" localSheetId="25" hidden="1">Notes!$N$2899</definedName>
    <definedName name="CheckB1604g" localSheetId="25" hidden="1">Notes!$N$2879</definedName>
    <definedName name="CheckB1605a" localSheetId="25" hidden="1">Notes!$N$2910</definedName>
    <definedName name="CheckB1606a" localSheetId="25" hidden="1">Notes!$N$2812</definedName>
    <definedName name="CheckB1606b" localSheetId="25" hidden="1">Notes!$N$2799</definedName>
    <definedName name="CheckB1611a" localSheetId="25" hidden="1">Notes!$N$2641</definedName>
    <definedName name="CheckB1616a" localSheetId="25" hidden="1">Notes!$N$2823</definedName>
    <definedName name="CheckB1621b" localSheetId="25" hidden="1">Notes!$N$2984</definedName>
    <definedName name="CheckB1621c" localSheetId="25" hidden="1">Notes!$N$2922</definedName>
    <definedName name="CheckB1631b" localSheetId="25" hidden="1">Notes!$N$3008</definedName>
    <definedName name="CheckB1700b" localSheetId="25" hidden="1">Notes!$N$3177</definedName>
    <definedName name="CheckB1701a" localSheetId="25" hidden="1">Notes!$N$3045</definedName>
    <definedName name="CheckB1701e" localSheetId="25" hidden="1">Notes!$N$3128</definedName>
    <definedName name="CheckB1701f" localSheetId="25" hidden="1">Notes!$N$3115</definedName>
    <definedName name="CheckB1701g" localSheetId="25" hidden="1">Notes!$N$3138</definedName>
    <definedName name="CheckB1701h" localSheetId="25" hidden="1">Notes!$N$3151</definedName>
    <definedName name="CheckB1701x" localSheetId="25" hidden="1">Notes!$N$3164</definedName>
    <definedName name="CheckB1704a" localSheetId="25" hidden="1">Notes!$N$5210</definedName>
    <definedName name="CheckB1711a" localSheetId="25" hidden="1">Notes!$N$3190</definedName>
    <definedName name="CheckB1711b" localSheetId="25" hidden="1">Notes!$N$3202</definedName>
    <definedName name="CheckB1801a" localSheetId="25" hidden="1">Notes!$N$3215</definedName>
    <definedName name="CheckB1801x" localSheetId="25" hidden="1">Notes!$N$3227</definedName>
    <definedName name="CheckB1829a" localSheetId="25" hidden="1">Notes!$N$3242</definedName>
    <definedName name="CheckB1829b" localSheetId="25" hidden="1">Notes!$N$3258</definedName>
    <definedName name="CheckB1829c" localSheetId="25" hidden="1">Notes!$N$3271</definedName>
    <definedName name="CheckB1829e" localSheetId="25" hidden="1">Notes!$N$3278</definedName>
    <definedName name="CheckB1829f" localSheetId="25" hidden="1">Notes!$N$3288</definedName>
    <definedName name="CheckB1996a" localSheetId="25" hidden="1">Notes!$N$3308</definedName>
    <definedName name="CheckB1997a" localSheetId="25" hidden="1">Notes!$N$5196</definedName>
    <definedName name="CheckB1999" localSheetId="20" hidden="1">BalanceSheet!$H$59</definedName>
    <definedName name="CheckB1999" localSheetId="16" hidden="1">BS!$H$50</definedName>
    <definedName name="CheckB1999" localSheetId="3" hidden="1">preBS!$G$68</definedName>
    <definedName name="CheckB2001a" localSheetId="25" hidden="1">Notes!$N$3321</definedName>
    <definedName name="CheckB2001b" localSheetId="25" hidden="1">Notes!$N$3361</definedName>
    <definedName name="CheckB2001c" localSheetId="25" hidden="1">Notes!$N$3372</definedName>
    <definedName name="CheckB2001d" localSheetId="25" hidden="1">Notes!$N$3331</definedName>
    <definedName name="CheckB2001e" localSheetId="25" hidden="1">Notes!$N$3341</definedName>
    <definedName name="CheckB2001f" localSheetId="25" hidden="1">Notes!$N$3351</definedName>
    <definedName name="CheckB2101a" localSheetId="25" hidden="1">Notes!$N$3411</definedName>
    <definedName name="CheckB2102a" localSheetId="25" hidden="1">Notes!$N$3383</definedName>
    <definedName name="CheckB2102b" localSheetId="25" hidden="1">Notes!$N$3396</definedName>
    <definedName name="CheckB2115a" localSheetId="25" hidden="1">Notes!$N$3423</definedName>
    <definedName name="CheckB2201a" localSheetId="25" hidden="1">Notes!$N$3434</definedName>
    <definedName name="CheckB2202a" localSheetId="25" hidden="1">Notes!$N$3473</definedName>
    <definedName name="CheckB2202c" localSheetId="25" hidden="1">Notes!$N$3493</definedName>
    <definedName name="CheckB2202d" localSheetId="25" hidden="1">Notes!$N$3483</definedName>
    <definedName name="CheckB2202e" localSheetId="25" hidden="1">Notes!$N$3445</definedName>
    <definedName name="CheckB2202f" localSheetId="25" hidden="1">Notes!$N$3456</definedName>
    <definedName name="CheckB2202g" localSheetId="25" hidden="1">Notes!$N$3503</definedName>
    <definedName name="CheckB2202x" localSheetId="25" hidden="1">Notes!$N$3513</definedName>
    <definedName name="CheckB2205a" localSheetId="25" hidden="1">Notes!$N$3560</definedName>
    <definedName name="CheckB2205c" localSheetId="25" hidden="1">Notes!$N$3590</definedName>
    <definedName name="CheckB2205e" localSheetId="25" hidden="1">Notes!$N$3580</definedName>
    <definedName name="CheckB2205f" localSheetId="25" hidden="1">Notes!$N$3533</definedName>
    <definedName name="CheckB2205g" localSheetId="25" hidden="1">Notes!$N$3543</definedName>
    <definedName name="CheckB2205h" localSheetId="25" hidden="1">Notes!$N$3570</definedName>
    <definedName name="CheckB2205x" localSheetId="25" hidden="1">Notes!$N$3600</definedName>
    <definedName name="CheckB2211a" localSheetId="25" hidden="1">Notes!$N$3620</definedName>
    <definedName name="CheckB2211b" localSheetId="25" hidden="1">Notes!$N$3630</definedName>
    <definedName name="CheckB2211c" localSheetId="25" hidden="1">Notes!$N$3659</definedName>
    <definedName name="CheckB2211d" localSheetId="25" hidden="1">Notes!$N$3683</definedName>
    <definedName name="CheckB2211x" localSheetId="25" hidden="1">Notes!$N$3715</definedName>
    <definedName name="CheckB2221a" localSheetId="25" hidden="1">Notes!$N$3729</definedName>
    <definedName name="CheckB2221x" localSheetId="25" hidden="1">Notes!$N$3748</definedName>
    <definedName name="CheckB2231a" localSheetId="25" hidden="1">Notes!$N$3772</definedName>
    <definedName name="CheckB2231b" localSheetId="25" hidden="1">Notes!$N$3792</definedName>
    <definedName name="CheckB2232a" localSheetId="25" hidden="1">Notes!$N$3803</definedName>
    <definedName name="CheckB2232b" localSheetId="25" hidden="1">Notes!$N$3820</definedName>
    <definedName name="CheckB2241a" localSheetId="25" hidden="1">Notes!$N$3888</definedName>
    <definedName name="CheckB2241b" localSheetId="25" hidden="1">Notes!$N$3868</definedName>
    <definedName name="CheckB2241c" localSheetId="25" hidden="1">Notes!$N$3858</definedName>
    <definedName name="CheckB2241e" localSheetId="25" hidden="1">Notes!$N$3831</definedName>
    <definedName name="CheckB2241f" localSheetId="25" hidden="1">Notes!$N$3841</definedName>
    <definedName name="CheckB2241g" localSheetId="25" hidden="1">Notes!$N$3878</definedName>
    <definedName name="CheckB2241x" localSheetId="25" hidden="1">Notes!$N$3898</definedName>
    <definedName name="CheckB2246a" localSheetId="25" hidden="1">Notes!$N$3762</definedName>
    <definedName name="CheckB2315a" localSheetId="25" hidden="1">Notes!$N$3918</definedName>
    <definedName name="CheckB2395a" localSheetId="25" hidden="1">Notes!$N$3929</definedName>
    <definedName name="CheckB2395b" localSheetId="25" hidden="1">Notes!$N$3939</definedName>
    <definedName name="CheckB2395e" localSheetId="25" hidden="1">Notes!$N$3949</definedName>
    <definedName name="CheckB2395f" localSheetId="25" hidden="1">Notes!$N$3959</definedName>
    <definedName name="CheckB2396a" localSheetId="25" hidden="1">Notes!$N$3970</definedName>
    <definedName name="CheckB2396c" localSheetId="25" hidden="1">Notes!$N$3981</definedName>
    <definedName name="CheckB2401a" localSheetId="25" hidden="1">Notes!$N$4263</definedName>
    <definedName name="CheckB2401b" localSheetId="25" hidden="1">Notes!$N$4271</definedName>
    <definedName name="CheckB2501a" localSheetId="25" hidden="1">Notes!$N$3999</definedName>
    <definedName name="CheckB2501c" localSheetId="25" hidden="1">Notes!$N$4042</definedName>
    <definedName name="CheckB2501d" localSheetId="25" hidden="1">Notes!$N$4012</definedName>
    <definedName name="CheckB2501e" localSheetId="25" hidden="1">Notes!$N$4022</definedName>
    <definedName name="CheckB2501f" localSheetId="25" hidden="1">Notes!$N$4032</definedName>
    <definedName name="CheckB2502a" localSheetId="25" hidden="1">Notes!$N$4063</definedName>
    <definedName name="CheckB2502b" localSheetId="25" hidden="1">Notes!$N$4053</definedName>
    <definedName name="CheckB2502c" localSheetId="25" hidden="1">Notes!$N$4086</definedName>
    <definedName name="CheckB2502d" localSheetId="25" hidden="1">Notes!$N$4076</definedName>
    <definedName name="CheckB2502e" localSheetId="25" hidden="1">Notes!$N$4098</definedName>
    <definedName name="CheckB2701c" localSheetId="25" hidden="1">Notes!$N$4120</definedName>
    <definedName name="CheckB2701d" localSheetId="25" hidden="1">Notes!$N$4138</definedName>
    <definedName name="CheckB2706a" localSheetId="25" hidden="1">Notes!$N$4109</definedName>
    <definedName name="CheckB2711a" localSheetId="25" hidden="1">Notes!$N$4149</definedName>
    <definedName name="CheckB2711b" localSheetId="25" hidden="1">Notes!$N$4159</definedName>
    <definedName name="CheckB2715a" localSheetId="25" hidden="1">Notes!$N$4170</definedName>
    <definedName name="CheckB2715b" localSheetId="25" hidden="1">Notes!$N$4180</definedName>
    <definedName name="CheckB2715c" localSheetId="25" hidden="1">Notes!$N$4200</definedName>
    <definedName name="CheckB2715d" localSheetId="25" hidden="1">Notes!$N$4215</definedName>
    <definedName name="CheckB2715g" localSheetId="25" hidden="1">Notes!$N$4224</definedName>
    <definedName name="CheckB2715h" localSheetId="25" hidden="1">Notes!$N$4235</definedName>
    <definedName name="CheckB2801a" localSheetId="25" hidden="1">Notes!$N$4249</definedName>
    <definedName name="CheckB2996a" localSheetId="25" hidden="1">Notes!$N$4289</definedName>
    <definedName name="CheckB2996x" localSheetId="25" hidden="1">Notes!$N$4299</definedName>
    <definedName name="CheckB4001" localSheetId="20" hidden="1">BalanceSheet!$L$47</definedName>
    <definedName name="CheckB4001" localSheetId="16" hidden="1">BS!$L$38</definedName>
    <definedName name="CheckB4001" localSheetId="3" hidden="1">preBS!$L$54</definedName>
    <definedName name="CheckB4001a" localSheetId="25" hidden="1">Notes!$N$4310</definedName>
    <definedName name="CheckB4001b" localSheetId="25" hidden="1">Notes!$N$4319</definedName>
    <definedName name="CheckB4002" localSheetId="20" hidden="1">BalanceSheet!$L$51</definedName>
    <definedName name="CheckB4002" localSheetId="16" hidden="1">BS!$L$42</definedName>
    <definedName name="CheckB4002" localSheetId="3" hidden="1">preBS!$L$58</definedName>
    <definedName name="CheckB4002a" localSheetId="25" hidden="1">Notes!$N$4353</definedName>
    <definedName name="CheckB4015" localSheetId="20" hidden="1">BalanceSheet!$L$48</definedName>
    <definedName name="CheckB4015" localSheetId="16" hidden="1">BS!$L$39</definedName>
    <definedName name="CheckB4015" localSheetId="3" hidden="1">preBS!$L$55</definedName>
    <definedName name="CheckB4015a" localSheetId="25" hidden="1">Notes!$N$4342</definedName>
    <definedName name="CheckB4015b" localSheetId="25" hidden="1">Notes!$N$4332</definedName>
    <definedName name="CheckB4101" localSheetId="20" hidden="1">BalanceSheet!$L$55</definedName>
    <definedName name="CheckB4101" localSheetId="16" hidden="1">BS!$L$46</definedName>
    <definedName name="CheckB4101" localSheetId="3" hidden="1">preBS!$L$62</definedName>
    <definedName name="CheckB4101a" localSheetId="25" hidden="1">Notes!$N$4439</definedName>
    <definedName name="CheckB4101b" localSheetId="25" hidden="1">Notes!$N$4426</definedName>
    <definedName name="CheckB4102" localSheetId="20" hidden="1">BalanceSheet!$L$56</definedName>
    <definedName name="CheckB4102" localSheetId="16" hidden="1">BS!$L$47</definedName>
    <definedName name="CheckB4102" localSheetId="3" hidden="1">preBS!$L$63</definedName>
    <definedName name="CheckB4102a" localSheetId="25" hidden="1">Notes!$N$4451</definedName>
    <definedName name="CheckB4200" localSheetId="20" hidden="1">BalanceSheet!$L$57</definedName>
    <definedName name="CheckB4200" localSheetId="16" hidden="1">BS!$L$48</definedName>
    <definedName name="CheckB4200" localSheetId="3" hidden="1">preBS!$L$64</definedName>
    <definedName name="CheckB4200a" localSheetId="25" hidden="1">Notes!$N$4459</definedName>
    <definedName name="CheckB4200b" localSheetId="25" hidden="1">Notes!$N$4476</definedName>
    <definedName name="CheckB4201" localSheetId="20" hidden="1">BalanceSheet!$L$52</definedName>
    <definedName name="CheckB4201" localSheetId="16" hidden="1">BS!$L$43</definedName>
    <definedName name="CheckB4201" localSheetId="3" hidden="1">preBS!$L$59</definedName>
    <definedName name="CheckB4201a" localSheetId="25" hidden="1">Notes!$N$4362</definedName>
    <definedName name="CheckB4215" localSheetId="20" hidden="1">BalanceSheet!$L$53</definedName>
    <definedName name="CheckB4215" localSheetId="16" hidden="1">BS!$L$44</definedName>
    <definedName name="CheckB4215" localSheetId="3" hidden="1">preBS!$L$60</definedName>
    <definedName name="CheckB4215a" localSheetId="25" hidden="1">Notes!$N$4394</definedName>
    <definedName name="CheckB4215b" localSheetId="25" hidden="1">Notes!$N$4369</definedName>
    <definedName name="CheckB4298" localSheetId="3" hidden="1">preBS!$L$65</definedName>
    <definedName name="CheckB4301" localSheetId="20" hidden="1">BalanceSheet!$L$54</definedName>
    <definedName name="CheckB4301" localSheetId="16" hidden="1">BS!$L$45</definedName>
    <definedName name="CheckB4301" localSheetId="3" hidden="1">preBS!$L$61</definedName>
    <definedName name="CheckB4301a" localSheetId="25" hidden="1">Notes!$N$4415</definedName>
    <definedName name="CheckB4398" localSheetId="3" hidden="1">preBS!$L$66</definedName>
    <definedName name="CheckB4999" localSheetId="20" hidden="1">BalanceSheet!$L$58</definedName>
    <definedName name="CheckB4999" localSheetId="16" hidden="1">BS!$L$49</definedName>
    <definedName name="CheckB4999" localSheetId="3" hidden="1">preBS!$L$67</definedName>
    <definedName name="CheckB5000" localSheetId="20" hidden="1">BalanceSheet!$L$59</definedName>
    <definedName name="CheckB5000" localSheetId="16" hidden="1">BS!$L$50</definedName>
    <definedName name="CheckB5000" localSheetId="3" hidden="1">preBS!$L$68</definedName>
    <definedName name="CheckB6001x" localSheetId="25" hidden="1">Notes!$N$4614</definedName>
    <definedName name="CheckB6064a" localSheetId="25" hidden="1">Notes!$N$4500</definedName>
    <definedName name="CheckB6064b" localSheetId="25" hidden="1">Notes!$N$4509</definedName>
    <definedName name="CheckB6064c" localSheetId="25" hidden="1">Notes!$N$4518</definedName>
    <definedName name="CheckB6064d" localSheetId="25" hidden="1">Notes!$N$4542</definedName>
    <definedName name="CheckB6064e" localSheetId="25" hidden="1">Notes!$N$4565</definedName>
    <definedName name="CheckB6064f" localSheetId="25" hidden="1">Notes!$N$4584</definedName>
    <definedName name="CheckB6064g" localSheetId="25" hidden="1">Notes!$N$4599</definedName>
    <definedName name="CheckB6064h" localSheetId="25" hidden="1">Notes!$N$4490</definedName>
    <definedName name="CheckB6101a" localSheetId="25" hidden="1">Notes!$N$4850</definedName>
    <definedName name="CheckB6101b" localSheetId="25" hidden="1">Notes!$N$4837</definedName>
    <definedName name="CheckB6102a" localSheetId="25" hidden="1">Notes!$N$4823</definedName>
    <definedName name="CheckB6111a" localSheetId="25" hidden="1">Notes!$N$4801</definedName>
    <definedName name="CheckB6171a" localSheetId="25" hidden="1">Notes!$N$4900</definedName>
    <definedName name="CheckB6181a" localSheetId="25" hidden="1">Notes!$N$4778</definedName>
    <definedName name="CheckB6401x" localSheetId="25" hidden="1">Notes!$N$4624</definedName>
    <definedName name="CheckB6600a" localSheetId="25" hidden="1">Notes!$N$4635</definedName>
    <definedName name="CheckB6600x" localSheetId="25" hidden="1">Notes!$N$4654</definedName>
    <definedName name="CheckB6601a" localSheetId="25" hidden="1">Notes!$N$4665</definedName>
    <definedName name="CheckB6601x" localSheetId="25" hidden="1">Notes!$N$4685</definedName>
    <definedName name="CheckB6602a" localSheetId="25" hidden="1">Notes!$N$4696</definedName>
    <definedName name="CheckB6602x" localSheetId="25" hidden="1">Notes!$N$4716</definedName>
    <definedName name="CheckB6603a" localSheetId="25" hidden="1">Notes!$N$4752</definedName>
    <definedName name="CheckB6603x" localSheetId="25" hidden="1">Notes!$N$4767</definedName>
    <definedName name="CheckB6606a" localSheetId="25" hidden="1">Notes!$N$4727</definedName>
    <definedName name="CheckB6606x" localSheetId="25" hidden="1">Notes!$N$4738</definedName>
    <definedName name="CheckB6671a" localSheetId="25" hidden="1">Notes!$N$4878</definedName>
    <definedName name="CheckB6672a" localSheetId="25" hidden="1">Notes!$N$4864</definedName>
    <definedName name="CheckB6710a" localSheetId="25" hidden="1">Notes!$N$4915</definedName>
    <definedName name="CheckB6710b" localSheetId="25" hidden="1">Notes!$N$4928</definedName>
    <definedName name="CheckB6711a" localSheetId="25" hidden="1">Notes!$N$4946</definedName>
    <definedName name="CheckB6791a" localSheetId="25" hidden="1">Notes!$N$4959</definedName>
    <definedName name="CheckB6791b" localSheetId="25" hidden="1">Notes!$N$4967</definedName>
    <definedName name="CheckB6799" localSheetId="21" hidden="1">IncomeStatement!$F$43</definedName>
    <definedName name="CheckB6799" localSheetId="17" hidden="1">IS!$F$30</definedName>
    <definedName name="CheckB6799" localSheetId="4" hidden="1">preIS!$F$45</definedName>
    <definedName name="CheckB6811" localSheetId="4" hidden="1">preIS!$F$50</definedName>
    <definedName name="CheckB6812" localSheetId="4" hidden="1">preIS!$F$51</definedName>
    <definedName name="CheckB6829" localSheetId="21" hidden="1">IncomeStatement!$F$46</definedName>
    <definedName name="CheckB6829" localSheetId="17" hidden="1">IS!$F$33</definedName>
    <definedName name="CheckB6829" localSheetId="4" hidden="1">preIS!$F$52</definedName>
    <definedName name="CheckB6839" localSheetId="21" hidden="1">IncomeStatement!$F$65</definedName>
    <definedName name="CheckB6839" localSheetId="17" hidden="1">IS!$F$52</definedName>
    <definedName name="CheckB6839" localSheetId="4" hidden="1">preIS!$F$74</definedName>
    <definedName name="CheckB6841" localSheetId="4" hidden="1">preIS!$F$75</definedName>
    <definedName name="CheckB6842" localSheetId="4" hidden="1">preIS!$F$76</definedName>
    <definedName name="CheckB7001x" localSheetId="25" hidden="1">Notes!$N$5870</definedName>
    <definedName name="CheckB7046a" localSheetId="25" hidden="1">Notes!$N$5022</definedName>
    <definedName name="CheckB7046x" localSheetId="25" hidden="1">Notes!$N$5881</definedName>
    <definedName name="CheckB7051x" localSheetId="25" hidden="1">Notes!$N$5892</definedName>
    <definedName name="CheckB7061x" localSheetId="25" hidden="1">Notes!$N$5903</definedName>
    <definedName name="CheckB7071x" localSheetId="25" hidden="1">Notes!$N$5914</definedName>
    <definedName name="CheckB7096a" localSheetId="25" hidden="1">Notes!$N$5038</definedName>
    <definedName name="CheckB7096x" localSheetId="25" hidden="1">Notes!$N$5925</definedName>
    <definedName name="CheckB7099" localSheetId="22" hidden="1">CashFlow!$F$33</definedName>
    <definedName name="CheckB7099" localSheetId="18" hidden="1">CF!$F$17</definedName>
    <definedName name="CheckB7099" localSheetId="9" hidden="1">preCF!$F$35</definedName>
    <definedName name="CheckB7101x" localSheetId="25" hidden="1">Notes!$N$5936</definedName>
    <definedName name="CheckB7105x" localSheetId="25" hidden="1">Notes!$N$5947</definedName>
    <definedName name="CheckB7111x" localSheetId="25" hidden="1">Notes!$N$5958</definedName>
    <definedName name="CheckB7146a" localSheetId="25" hidden="1">Notes!$N$5054</definedName>
    <definedName name="CheckB7151x" localSheetId="25" hidden="1">Notes!$N$5977</definedName>
    <definedName name="CheckB7161x" localSheetId="25" hidden="1">Notes!$N$5998</definedName>
    <definedName name="CheckB7196a" localSheetId="25" hidden="1">Notes!$N$5065</definedName>
    <definedName name="CheckB7211x" localSheetId="25" hidden="1">Notes!$N$6009</definedName>
    <definedName name="CheckB7246a" localSheetId="25" hidden="1">Notes!$N$5076</definedName>
    <definedName name="CheckB7251x" localSheetId="25" hidden="1">Notes!$N$6021</definedName>
    <definedName name="CheckB7261x" localSheetId="25" hidden="1">Notes!$N$6033</definedName>
    <definedName name="CheckB7296a" localSheetId="25" hidden="1">Notes!$N$5087</definedName>
    <definedName name="CheckB7348" localSheetId="22" hidden="1">CashFlow!$F$59</definedName>
    <definedName name="CheckB7348" localSheetId="18" hidden="1">CF!$F$42</definedName>
    <definedName name="CheckB7348" localSheetId="9" hidden="1">preCF!$F$63</definedName>
    <definedName name="CheckB7349" localSheetId="22" hidden="1">CashFlow!$F$60</definedName>
    <definedName name="CheckB7349" localSheetId="18" hidden="1">CF!$F$43</definedName>
    <definedName name="CheckB7349" localSheetId="9" hidden="1">preCF!$F$64</definedName>
    <definedName name="CheckB7399" localSheetId="22" hidden="1">CashFlow!$F$61</definedName>
    <definedName name="CheckB7399" localSheetId="18" hidden="1">CF!$F$44</definedName>
    <definedName name="CheckB7399" localSheetId="9" hidden="1">preCF!$F$65</definedName>
    <definedName name="CheckB7500a" localSheetId="25" hidden="1">Notes!$N$5098</definedName>
    <definedName name="CheckB7500b" localSheetId="25" hidden="1">Notes!$N$5121</definedName>
    <definedName name="CheckB7500c" localSheetId="25" hidden="1">Notes!$N$5129</definedName>
    <definedName name="CheckB7500e" localSheetId="25" hidden="1">Notes!$N$5158</definedName>
    <definedName name="CheckB7500f" localSheetId="25" hidden="1">Notes!$N$5174</definedName>
    <definedName name="CheckB7500g" localSheetId="25" hidden="1">Notes!$N$5138</definedName>
    <definedName name="CheckB7500h" localSheetId="25" hidden="1">Notes!$N$5148</definedName>
    <definedName name="CheckB7502" localSheetId="22" hidden="1">CashFlow!$F$68</definedName>
    <definedName name="CheckB7502" localSheetId="18" hidden="1">CF!$F$51</definedName>
    <definedName name="CheckB7502" localSheetId="9" hidden="1">preCF!$F$71</definedName>
    <definedName name="CheckB7503a" localSheetId="25" hidden="1">Notes!$N$6056</definedName>
    <definedName name="CheckB7505a" localSheetId="25" hidden="1">Notes!$N$6065</definedName>
    <definedName name="CheckB7506a" localSheetId="25" hidden="1">Notes!$N$6076</definedName>
    <definedName name="CheckB7507a" localSheetId="25" hidden="1">Notes!$N$6085</definedName>
    <definedName name="CheckB7508a" localSheetId="25" hidden="1">Notes!$N$6094</definedName>
    <definedName name="CheckB7509a" localSheetId="25" hidden="1">Notes!$N$6108</definedName>
    <definedName name="CheckB7510a" localSheetId="25" hidden="1">Notes!$N$6118</definedName>
    <definedName name="CheckB7511a" localSheetId="25" hidden="1">Notes!$N$6127</definedName>
    <definedName name="CheckB7512a" localSheetId="25" hidden="1">Notes!$N$6138</definedName>
    <definedName name="CheckB7515a" localSheetId="25" hidden="1">Notes!$N$6147</definedName>
    <definedName name="CheckB7516a" localSheetId="25" hidden="1">Notes!$N$6156</definedName>
    <definedName name="CheckB7517a" localSheetId="25" hidden="1">Notes!$N$6165</definedName>
    <definedName name="CheckB7518a" localSheetId="25" hidden="1">Notes!$N$6187</definedName>
    <definedName name="CheckB7519a" localSheetId="25" hidden="1">Notes!$N$6214</definedName>
    <definedName name="CheckB7523a" localSheetId="25" hidden="1">Notes!$N$6243</definedName>
    <definedName name="CheckB7525" localSheetId="22" hidden="1">CashFlow!$F$85</definedName>
    <definedName name="CheckB7525" localSheetId="18" hidden="1">CF!$F$68</definedName>
    <definedName name="CheckB7525" localSheetId="9" hidden="1">preCF!$F$88</definedName>
    <definedName name="CheckB7539" localSheetId="22" hidden="1">CashFlow!$F$95</definedName>
    <definedName name="CheckB7539" localSheetId="18" hidden="1">CF!$F$78</definedName>
    <definedName name="CheckB7539" localSheetId="9" hidden="1">preCF!$F$98</definedName>
    <definedName name="CheckB8001" localSheetId="19" hidden="1">CE!$AC$9</definedName>
    <definedName name="CheckB8001" localSheetId="23" hidden="1">OwnersEquity!$AC$9</definedName>
    <definedName name="CheckB8001" localSheetId="10" hidden="1">preCE!$AE$9</definedName>
    <definedName name="CheckB8040" localSheetId="19" hidden="1">CE!$AC$15</definedName>
    <definedName name="CheckB8040" localSheetId="23" hidden="1">OwnersEquity!$AC$15</definedName>
    <definedName name="CheckB8040" localSheetId="10" hidden="1">preCE!$AE$18</definedName>
    <definedName name="CheckB8099" localSheetId="19" hidden="1">CE!$AC$36</definedName>
    <definedName name="CheckB8099" localSheetId="23" hidden="1">OwnersEquity!$AC$37</definedName>
    <definedName name="CheckB8099" localSheetId="10" hidden="1">preCE!$AE$40</definedName>
    <definedName name="CheckB8101" localSheetId="19" hidden="1">CE!$Q$9</definedName>
    <definedName name="CheckB8101" localSheetId="23" hidden="1">OwnersEquity!$Q$9</definedName>
    <definedName name="CheckB8101" localSheetId="10" hidden="1">preCE!$R$9</definedName>
    <definedName name="CheckB8199" localSheetId="19" hidden="1">CE!$Q$36</definedName>
    <definedName name="CheckB8199" localSheetId="23" hidden="1">OwnersEquity!$Q$37</definedName>
    <definedName name="CheckB8199" localSheetId="10" hidden="1">preCE!$R$40</definedName>
    <definedName name="CheckB8201" localSheetId="19" hidden="1">CE!$U$9</definedName>
    <definedName name="CheckB8201" localSheetId="23" hidden="1">OwnersEquity!$U$9</definedName>
    <definedName name="CheckB8201" localSheetId="10" hidden="1">preCE!$V$9</definedName>
    <definedName name="CheckB8299" localSheetId="19" hidden="1">CE!$U$36</definedName>
    <definedName name="CheckB8299" localSheetId="23" hidden="1">OwnersEquity!$U$37</definedName>
    <definedName name="CheckB8299" localSheetId="10" hidden="1">preCE!$V$40</definedName>
    <definedName name="CheckB8301" localSheetId="19" hidden="1">CE!$V$9</definedName>
    <definedName name="CheckB8301" localSheetId="23" hidden="1">OwnersEquity!$V$9</definedName>
    <definedName name="CheckB8301" localSheetId="10" hidden="1">preCE!$W$9</definedName>
    <definedName name="CheckB8399" localSheetId="19" hidden="1">CE!$V$36</definedName>
    <definedName name="CheckB8399" localSheetId="23" hidden="1">OwnersEquity!$V$37</definedName>
    <definedName name="CheckB8399" localSheetId="10" hidden="1">preCE!$W$40</definedName>
    <definedName name="CheckB8401" localSheetId="19" hidden="1">CE!$X$9</definedName>
    <definedName name="CheckB8401" localSheetId="23" hidden="1">OwnersEquity!$X$9</definedName>
    <definedName name="CheckB8401" localSheetId="10" hidden="1">preCE!$Y$9</definedName>
    <definedName name="CheckB8499" localSheetId="19" hidden="1">CE!$X$36</definedName>
    <definedName name="CheckB8499" localSheetId="23" hidden="1">OwnersEquity!$X$37</definedName>
    <definedName name="CheckB8499" localSheetId="10" hidden="1">preCE!$Y$40</definedName>
    <definedName name="CheckB8501" localSheetId="19" hidden="1">CE!$Y$9</definedName>
    <definedName name="CheckB8501" localSheetId="23" hidden="1">OwnersEquity!$Y$9</definedName>
    <definedName name="CheckB8501" localSheetId="10" hidden="1">preCE!$Z$9</definedName>
    <definedName name="CheckB8599" localSheetId="19" hidden="1">CE!$Y$36</definedName>
    <definedName name="CheckB8599" localSheetId="23" hidden="1">OwnersEquity!$Y$37</definedName>
    <definedName name="CheckB8599" localSheetId="10" hidden="1">preCE!$Z$40</definedName>
    <definedName name="CheckB8601" localSheetId="23" hidden="1">OwnersEquity!$Z$9</definedName>
    <definedName name="CheckB8601" localSheetId="10" hidden="1">preCE!$AA$9</definedName>
    <definedName name="CheckB8699" localSheetId="19" hidden="1">CE!$Z$36</definedName>
    <definedName name="CheckB8699" localSheetId="23" hidden="1">OwnersEquity!$Z$37</definedName>
    <definedName name="CheckB8699" localSheetId="10" hidden="1">preCE!$AA$40</definedName>
    <definedName name="CheckB8701" localSheetId="19" hidden="1">CE!$AA$9</definedName>
    <definedName name="CheckB8701" localSheetId="23" hidden="1">OwnersEquity!$AA$9</definedName>
    <definedName name="CheckB8701" localSheetId="10" hidden="1">preCE!$AB$9</definedName>
    <definedName name="CheckB8740" localSheetId="19" hidden="1">CE!$AA$15</definedName>
    <definedName name="CheckB8740" localSheetId="23" hidden="1">OwnersEquity!$AA$15</definedName>
    <definedName name="CheckB8740" localSheetId="10" hidden="1">preCE!$AB$18</definedName>
    <definedName name="CheckB8799" localSheetId="19" hidden="1">CE!$AA$36</definedName>
    <definedName name="CheckB8799" localSheetId="23" hidden="1">OwnersEquity!$AA$37</definedName>
    <definedName name="CheckB8799" localSheetId="10" hidden="1">preCE!$AB$40</definedName>
    <definedName name="CheckB8801" localSheetId="19" hidden="1">CE!$AB$9</definedName>
    <definedName name="CheckB8801" localSheetId="23" hidden="1">OwnersEquity!$AB$9</definedName>
    <definedName name="CheckB8801" localSheetId="10" hidden="1">preCE!$AC$9</definedName>
    <definedName name="CheckB8899" localSheetId="19" hidden="1">CE!$AB$36</definedName>
    <definedName name="CheckB8899" localSheetId="23" hidden="1">OwnersEquity!$AB$37</definedName>
    <definedName name="CheckB8899" localSheetId="10" hidden="1">preCE!$AC$40</definedName>
    <definedName name="CheckB8901" localSheetId="10" hidden="1">preCE!$AD$9</definedName>
    <definedName name="CheckB8940" localSheetId="10" hidden="1">preCE!$AD$18</definedName>
    <definedName name="CheckB8999" localSheetId="10" hidden="1">preCE!$AD$40</definedName>
    <definedName name="CheckB8a01" localSheetId="10" hidden="1">preCE!$S$9</definedName>
    <definedName name="CheckB8b01" localSheetId="19" hidden="1">CE!$R$9</definedName>
    <definedName name="CheckB8b01" localSheetId="23" hidden="1">OwnersEquity!$R$9</definedName>
    <definedName name="CheckB8b99" localSheetId="19" hidden="1">CE!$R$36</definedName>
    <definedName name="CheckB8b99" localSheetId="23" hidden="1">OwnersEquity!$R$37</definedName>
    <definedName name="CheckB8b99" localSheetId="10" hidden="1">preCE!$S$40</definedName>
    <definedName name="CheckB8c01" localSheetId="19" hidden="1">CE!$S$9</definedName>
    <definedName name="CheckB8c01" localSheetId="23" hidden="1">OwnersEquity!$S$9</definedName>
    <definedName name="CheckB8c01" localSheetId="10" hidden="1">preCE!$T$9</definedName>
    <definedName name="CheckB8c99" localSheetId="19" hidden="1">CE!$S$36</definedName>
    <definedName name="CheckB8c99" localSheetId="23" hidden="1">OwnersEquity!$S$37</definedName>
    <definedName name="CheckB8c99" localSheetId="10" hidden="1">preCE!$T$40</definedName>
    <definedName name="CheckB8d01" localSheetId="19" hidden="1">CE!$T$9</definedName>
    <definedName name="CheckB8d01" localSheetId="23" hidden="1">OwnersEquity!$T$9</definedName>
    <definedName name="CheckB8d01" localSheetId="10" hidden="1">preCE!$U$9</definedName>
    <definedName name="CheckB8d99" localSheetId="19" hidden="1">CE!$T$36</definedName>
    <definedName name="CheckB8d99" localSheetId="23" hidden="1">OwnersEquity!$T$37</definedName>
    <definedName name="CheckB8d99" localSheetId="10" hidden="1">preCE!$U$40</definedName>
    <definedName name="CheckB8g01" localSheetId="19" hidden="1">CE!$W$9</definedName>
    <definedName name="CheckB8g01" localSheetId="23" hidden="1">OwnersEquity!$W$9</definedName>
    <definedName name="CheckB8g01" localSheetId="10" hidden="1">preCE!$X$9</definedName>
    <definedName name="CheckB8g40" localSheetId="19" hidden="1">CE!$W$15</definedName>
    <definedName name="CheckB8g40" localSheetId="23" hidden="1">OwnersEquity!$W$15</definedName>
    <definedName name="CheckB8g40" localSheetId="10" hidden="1">preCE!$X$18</definedName>
    <definedName name="CheckB8g99" localSheetId="19" hidden="1">CE!$W$36</definedName>
    <definedName name="CheckB8g99" localSheetId="23" hidden="1">OwnersEquity!$W$37</definedName>
    <definedName name="CheckB8g99" localSheetId="10" hidden="1">preCE!$X$40</definedName>
    <definedName name="CheckB9120c" localSheetId="25" hidden="1">Notes!$N$5649</definedName>
    <definedName name="CheckB9120d" localSheetId="25" hidden="1">Notes!$N$5659</definedName>
    <definedName name="CheckB9120e" localSheetId="25" hidden="1">Notes!$N$5669</definedName>
    <definedName name="CheckB9120f" localSheetId="25" hidden="1">Notes!$N$5679</definedName>
    <definedName name="CheckB9120g" localSheetId="25" hidden="1">Notes!$N$5689</definedName>
    <definedName name="CheckB9120h" localSheetId="25" hidden="1">Notes!$N$5699</definedName>
    <definedName name="CheckB9120i" localSheetId="25" hidden="1">Notes!$N$5709</definedName>
    <definedName name="CheckB9120j" localSheetId="25" hidden="1">Notes!$N$5719</definedName>
    <definedName name="CheckB9120k" localSheetId="25" hidden="1">Notes!$N$5729</definedName>
    <definedName name="CheckB9120l" localSheetId="25" hidden="1">Notes!$N$5739</definedName>
    <definedName name="CheckB9120m" localSheetId="25" hidden="1">Notes!$N$5623</definedName>
    <definedName name="CheckB9120n" localSheetId="25" hidden="1">Notes!$N$5636</definedName>
    <definedName name="CheckB9120o" localSheetId="25" hidden="1">Notes!$N$5747</definedName>
    <definedName name="CheckB9120p" localSheetId="25" hidden="1">Notes!$N$5762</definedName>
    <definedName name="CheckB9314a" localSheetId="25" hidden="1">Notes!$N$5185</definedName>
    <definedName name="CheckB9325g" localSheetId="25" hidden="1">Notes!$N$5321</definedName>
    <definedName name="CheckB9325h" localSheetId="25" hidden="1">Notes!$N$5338</definedName>
    <definedName name="CheckB9325i" localSheetId="25" hidden="1">Notes!$N$5355</definedName>
    <definedName name="CheckB9325j" localSheetId="25" hidden="1">Notes!$N$5371</definedName>
    <definedName name="CheckB9325k" localSheetId="25" hidden="1">Notes!$N$5387</definedName>
    <definedName name="CheckB9325m" localSheetId="25" hidden="1">Notes!$N$5421</definedName>
    <definedName name="CheckB9331a" localSheetId="25" hidden="1">Notes!$N$5456</definedName>
    <definedName name="CheckB9331b" localSheetId="25" hidden="1">Notes!$N$5603</definedName>
    <definedName name="CheckB9331g" localSheetId="25" hidden="1">Notes!$N$5577</definedName>
    <definedName name="CheckB9331i" localSheetId="25" hidden="1">Notes!$N$5550</definedName>
    <definedName name="CheckB9331j" localSheetId="25" hidden="1">Notes!$N$5559</definedName>
    <definedName name="CheckB9331k" localSheetId="25" hidden="1">Notes!$N$5502</definedName>
    <definedName name="CheckB9367a" localSheetId="25" hidden="1">Notes!$N$5776</definedName>
    <definedName name="CheckB9367b" localSheetId="25" hidden="1">Notes!$N$5797</definedName>
    <definedName name="CheckB9371h" localSheetId="25" hidden="1">Notes!$N$5277</definedName>
    <definedName name="CheckB9371i" localSheetId="25" hidden="1">Notes!$N$5292</definedName>
    <definedName name="CheckB9371j" localSheetId="25" hidden="1">Notes!$N$5307</definedName>
    <definedName name="CheckB9601a" localSheetId="25" hidden="1">Notes!$N$5806</definedName>
    <definedName name="CheckB9601b" localSheetId="25" hidden="1">Notes!$N$5848</definedName>
    <definedName name="CheckB9601c" localSheetId="25" hidden="1">Notes!$N$5838</definedName>
    <definedName name="CheckB9601d" localSheetId="25" hidden="1">Notes!$N$5858</definedName>
    <definedName name="CheckB9690a" localSheetId="25" hidden="1">Notes!$N$4986</definedName>
    <definedName name="CheckB9690b" localSheetId="25" hidden="1">Notes!$N$5000</definedName>
    <definedName name="CheckB9690c" localSheetId="25" hidden="1">Notes!$N$5010</definedName>
    <definedName name="CL">[15]master!$M$3:$M$31</definedName>
    <definedName name="COM_QZB_ACT" localSheetId="8">#REF!</definedName>
    <definedName name="COM_QZB_ACT">#REF!</definedName>
    <definedName name="COM_QZB_EST" localSheetId="8">#REF!</definedName>
    <definedName name="COM_QZB_EST">#REF!</definedName>
    <definedName name="COM_TP_ACT" localSheetId="8">#REF!</definedName>
    <definedName name="COM_TP_ACT">#REF!</definedName>
    <definedName name="COM_TP_EST" localSheetId="8">#REF!</definedName>
    <definedName name="COM_TP_EST">#REF!</definedName>
    <definedName name="COMISS_QZB" localSheetId="8">#REF!</definedName>
    <definedName name="COMISS_QZB">#REF!</definedName>
    <definedName name="Company_Name" localSheetId="8">#REF!</definedName>
    <definedName name="Company_Name">#REF!</definedName>
    <definedName name="Company_Number" localSheetId="8">#REF!</definedName>
    <definedName name="Company_Number">#REF!</definedName>
    <definedName name="count" localSheetId="8">#REF!</definedName>
    <definedName name="count">#REF!</definedName>
    <definedName name="Cp101.xls" localSheetId="8">#REF!</definedName>
    <definedName name="Cp101.xls">#REF!</definedName>
    <definedName name="Cp102.xls" localSheetId="8">#REF!</definedName>
    <definedName name="Cp102.xls">#REF!</definedName>
    <definedName name="currcode">[4]上报资产负债表!$B$7</definedName>
    <definedName name="Currency" localSheetId="8">#REF!</definedName>
    <definedName name="Currency">#REF!</definedName>
    <definedName name="Current_account_aging">[14]master!$A$6:$A$9</definedName>
    <definedName name="CUST_DUTY" localSheetId="8">#REF!</definedName>
    <definedName name="CUST_DUTY">#REF!</definedName>
    <definedName name="D1689PA" localSheetId="8">#REF!</definedName>
    <definedName name="D1689PA">#REF!</definedName>
    <definedName name="D1689PB" localSheetId="8">#REF!</definedName>
    <definedName name="D1689PB">#REF!</definedName>
    <definedName name="D1689PL" localSheetId="8">#REF!</definedName>
    <definedName name="D1689PL">#REF!</definedName>
    <definedName name="D1689PO" localSheetId="8">#REF!</definedName>
    <definedName name="D1689PO">#REF!</definedName>
    <definedName name="D1689WB" localSheetId="8">#REF!</definedName>
    <definedName name="D1689WB">#REF!</definedName>
    <definedName name="D1689WE" localSheetId="8">#REF!</definedName>
    <definedName name="D1689WE">#REF!</definedName>
    <definedName name="D1689WL" localSheetId="8">#REF!</definedName>
    <definedName name="D1689WL">#REF!</definedName>
    <definedName name="D1689YA" localSheetId="8">#REF!</definedName>
    <definedName name="D1689YA">#REF!</definedName>
    <definedName name="D1689YB" localSheetId="8">#REF!</definedName>
    <definedName name="D1689YB">#REF!</definedName>
    <definedName name="D1689YL" localSheetId="8">#REF!</definedName>
    <definedName name="D1689YL">#REF!</definedName>
    <definedName name="D1690PA" localSheetId="8">#REF!</definedName>
    <definedName name="D1690PA">#REF!</definedName>
    <definedName name="D1690PB" localSheetId="8">#REF!</definedName>
    <definedName name="D1690PB">#REF!</definedName>
    <definedName name="D1690PL" localSheetId="8">#REF!</definedName>
    <definedName name="D1690PL">#REF!</definedName>
    <definedName name="D1690PO" localSheetId="8">#REF!</definedName>
    <definedName name="D1690PO">#REF!</definedName>
    <definedName name="D1690WB" localSheetId="8">#REF!</definedName>
    <definedName name="D1690WB">#REF!</definedName>
    <definedName name="D1690WE" localSheetId="8">#REF!</definedName>
    <definedName name="D1690WE">#REF!</definedName>
    <definedName name="D1690WL" localSheetId="8">#REF!</definedName>
    <definedName name="D1690WL">#REF!</definedName>
    <definedName name="D1690YA" localSheetId="8">#REF!</definedName>
    <definedName name="D1690YA">#REF!</definedName>
    <definedName name="D1690YB" localSheetId="8">#REF!</definedName>
    <definedName name="D1690YB">#REF!</definedName>
    <definedName name="D1690YL" localSheetId="8">#REF!</definedName>
    <definedName name="D1690YL">#REF!</definedName>
    <definedName name="D1954PA" localSheetId="8">#REF!</definedName>
    <definedName name="D1954PA">#REF!</definedName>
    <definedName name="D1954PB" localSheetId="8">#REF!</definedName>
    <definedName name="D1954PB">#REF!</definedName>
    <definedName name="D1954PL" localSheetId="8">#REF!</definedName>
    <definedName name="D1954PL">#REF!</definedName>
    <definedName name="D1954PO" localSheetId="8">#REF!</definedName>
    <definedName name="D1954PO">#REF!</definedName>
    <definedName name="D1954WB" localSheetId="8">#REF!</definedName>
    <definedName name="D1954WB">#REF!</definedName>
    <definedName name="D1954WE" localSheetId="8">#REF!</definedName>
    <definedName name="D1954WE">#REF!</definedName>
    <definedName name="D1954WL" localSheetId="8">#REF!</definedName>
    <definedName name="D1954WL">#REF!</definedName>
    <definedName name="D1954YA" localSheetId="8">#REF!</definedName>
    <definedName name="D1954YA">#REF!</definedName>
    <definedName name="D1954YB" localSheetId="8">#REF!</definedName>
    <definedName name="D1954YB">#REF!</definedName>
    <definedName name="D1954YL" localSheetId="8">#REF!</definedName>
    <definedName name="D1954YL">#REF!</definedName>
    <definedName name="D2710_">'[3]TB Link'!$D$8</definedName>
    <definedName name="D2710PA" localSheetId="8">#REF!</definedName>
    <definedName name="D2710PA">#REF!</definedName>
    <definedName name="D2710PB" localSheetId="8">#REF!</definedName>
    <definedName name="D2710PB">#REF!</definedName>
    <definedName name="D2710PL" localSheetId="8">#REF!</definedName>
    <definedName name="D2710PL">#REF!</definedName>
    <definedName name="D2710PO" localSheetId="8">#REF!</definedName>
    <definedName name="D2710PO">#REF!</definedName>
    <definedName name="D2710WB" localSheetId="8">#REF!</definedName>
    <definedName name="D2710WB">#REF!</definedName>
    <definedName name="D2710WE" localSheetId="8">#REF!</definedName>
    <definedName name="D2710WE">#REF!</definedName>
    <definedName name="D2710WL" localSheetId="8">#REF!</definedName>
    <definedName name="D2710WL">#REF!</definedName>
    <definedName name="D2710YA" localSheetId="8">#REF!</definedName>
    <definedName name="D2710YA">#REF!</definedName>
    <definedName name="D2710YB" localSheetId="8">#REF!</definedName>
    <definedName name="D2710YB">#REF!</definedName>
    <definedName name="D2710YL" localSheetId="8">#REF!</definedName>
    <definedName name="D2710YL">#REF!</definedName>
    <definedName name="D2715PA" localSheetId="8">#REF!</definedName>
    <definedName name="D2715PA">#REF!</definedName>
    <definedName name="D2715PB" localSheetId="8">#REF!</definedName>
    <definedName name="D2715PB">#REF!</definedName>
    <definedName name="D2715PL" localSheetId="8">#REF!</definedName>
    <definedName name="D2715PL">#REF!</definedName>
    <definedName name="D2715PO" localSheetId="8">#REF!</definedName>
    <definedName name="D2715PO">#REF!</definedName>
    <definedName name="D2715WB" localSheetId="8">#REF!</definedName>
    <definedName name="D2715WB">#REF!</definedName>
    <definedName name="D2715WE" localSheetId="8">#REF!</definedName>
    <definedName name="D2715WE">#REF!</definedName>
    <definedName name="D2715WL" localSheetId="8">#REF!</definedName>
    <definedName name="D2715WL">#REF!</definedName>
    <definedName name="D2715YA" localSheetId="8">#REF!</definedName>
    <definedName name="D2715YA">#REF!</definedName>
    <definedName name="D2715YB" localSheetId="8">#REF!</definedName>
    <definedName name="D2715YB">#REF!</definedName>
    <definedName name="D2715YL" localSheetId="8">#REF!</definedName>
    <definedName name="D2715YL">#REF!</definedName>
    <definedName name="D2720_">'[3]TB Link'!$D$10</definedName>
    <definedName name="D2720PA" localSheetId="8">#REF!</definedName>
    <definedName name="D2720PA">#REF!</definedName>
    <definedName name="D2720PB" localSheetId="8">#REF!</definedName>
    <definedName name="D2720PB">#REF!</definedName>
    <definedName name="D2720PL" localSheetId="8">#REF!</definedName>
    <definedName name="D2720PL">#REF!</definedName>
    <definedName name="D2720PO" localSheetId="8">#REF!</definedName>
    <definedName name="D2720PO">#REF!</definedName>
    <definedName name="D2720WB" localSheetId="8">#REF!</definedName>
    <definedName name="D2720WB">#REF!</definedName>
    <definedName name="D2720WE" localSheetId="8">#REF!</definedName>
    <definedName name="D2720WE">#REF!</definedName>
    <definedName name="D2720WL" localSheetId="8">#REF!</definedName>
    <definedName name="D2720WL">#REF!</definedName>
    <definedName name="D2720YA" localSheetId="8">#REF!</definedName>
    <definedName name="D2720YA">#REF!</definedName>
    <definedName name="D2720YB" localSheetId="8">#REF!</definedName>
    <definedName name="D2720YB">#REF!</definedName>
    <definedName name="D2720YL" localSheetId="8">#REF!</definedName>
    <definedName name="D2720YL">#REF!</definedName>
    <definedName name="D2731_">'[3]TB Link'!$D$11</definedName>
    <definedName name="D2731PA" localSheetId="8">#REF!</definedName>
    <definedName name="D2731PA">#REF!</definedName>
    <definedName name="D2731PB" localSheetId="8">#REF!</definedName>
    <definedName name="D2731PB">#REF!</definedName>
    <definedName name="D2731PL" localSheetId="8">#REF!</definedName>
    <definedName name="D2731PL">#REF!</definedName>
    <definedName name="D2731PO" localSheetId="8">#REF!</definedName>
    <definedName name="D2731PO">#REF!</definedName>
    <definedName name="D2731WB" localSheetId="8">#REF!</definedName>
    <definedName name="D2731WB">#REF!</definedName>
    <definedName name="D2731WE" localSheetId="8">#REF!</definedName>
    <definedName name="D2731WE">#REF!</definedName>
    <definedName name="D2731WL" localSheetId="8">#REF!</definedName>
    <definedName name="D2731WL">#REF!</definedName>
    <definedName name="D2731YA" localSheetId="8">#REF!</definedName>
    <definedName name="D2731YA">#REF!</definedName>
    <definedName name="D2731YB" localSheetId="8">#REF!</definedName>
    <definedName name="D2731YB">#REF!</definedName>
    <definedName name="D2731YL" localSheetId="8">#REF!</definedName>
    <definedName name="D2731YL">#REF!</definedName>
    <definedName name="D2732_">'[3]TB Link'!$D$12</definedName>
    <definedName name="D2732PA" localSheetId="8">#REF!</definedName>
    <definedName name="D2732PA">#REF!</definedName>
    <definedName name="D2732PB" localSheetId="8">#REF!</definedName>
    <definedName name="D2732PB">#REF!</definedName>
    <definedName name="D2732PL" localSheetId="8">#REF!</definedName>
    <definedName name="D2732PL">#REF!</definedName>
    <definedName name="D2732PO" localSheetId="8">#REF!</definedName>
    <definedName name="D2732PO">#REF!</definedName>
    <definedName name="D2732WB" localSheetId="8">#REF!</definedName>
    <definedName name="D2732WB">#REF!</definedName>
    <definedName name="D2732WE" localSheetId="8">#REF!</definedName>
    <definedName name="D2732WE">#REF!</definedName>
    <definedName name="D2732WL" localSheetId="8">#REF!</definedName>
    <definedName name="D2732WL">#REF!</definedName>
    <definedName name="D2732YA" localSheetId="8">#REF!</definedName>
    <definedName name="D2732YA">#REF!</definedName>
    <definedName name="D2732YB" localSheetId="8">#REF!</definedName>
    <definedName name="D2732YB">#REF!</definedName>
    <definedName name="D2732YL" localSheetId="8">#REF!</definedName>
    <definedName name="D2732YL">#REF!</definedName>
    <definedName name="D2733_">'[3]TB Link'!$D$13</definedName>
    <definedName name="D2733PA" localSheetId="8">#REF!</definedName>
    <definedName name="D2733PA">#REF!</definedName>
    <definedName name="D2733PB" localSheetId="8">#REF!</definedName>
    <definedName name="D2733PB">#REF!</definedName>
    <definedName name="D2733PL" localSheetId="8">#REF!</definedName>
    <definedName name="D2733PL">#REF!</definedName>
    <definedName name="D2733PO" localSheetId="8">#REF!</definedName>
    <definedName name="D2733PO">#REF!</definedName>
    <definedName name="D2733WB" localSheetId="8">#REF!</definedName>
    <definedName name="D2733WB">#REF!</definedName>
    <definedName name="D2733WE" localSheetId="8">#REF!</definedName>
    <definedName name="D2733WE">#REF!</definedName>
    <definedName name="D2733WL" localSheetId="8">#REF!</definedName>
    <definedName name="D2733WL">#REF!</definedName>
    <definedName name="D2733YA" localSheetId="8">#REF!</definedName>
    <definedName name="D2733YA">#REF!</definedName>
    <definedName name="D2733YB" localSheetId="8">#REF!</definedName>
    <definedName name="D2733YB">#REF!</definedName>
    <definedName name="D2733YL" localSheetId="8">#REF!</definedName>
    <definedName name="D2733YL">#REF!</definedName>
    <definedName name="D2734_">'[3]TB Link'!$D$14</definedName>
    <definedName name="D2734PA" localSheetId="8">#REF!</definedName>
    <definedName name="D2734PA">#REF!</definedName>
    <definedName name="D2734PB" localSheetId="8">#REF!</definedName>
    <definedName name="D2734PB">#REF!</definedName>
    <definedName name="D2734PL" localSheetId="8">#REF!</definedName>
    <definedName name="D2734PL">#REF!</definedName>
    <definedName name="D2734PO" localSheetId="8">#REF!</definedName>
    <definedName name="D2734PO">#REF!</definedName>
    <definedName name="D2734WB" localSheetId="8">#REF!</definedName>
    <definedName name="D2734WB">#REF!</definedName>
    <definedName name="D2734WE" localSheetId="8">#REF!</definedName>
    <definedName name="D2734WE">#REF!</definedName>
    <definedName name="D2734WL" localSheetId="8">#REF!</definedName>
    <definedName name="D2734WL">#REF!</definedName>
    <definedName name="D2734YA" localSheetId="8">#REF!</definedName>
    <definedName name="D2734YA">#REF!</definedName>
    <definedName name="D2734YB" localSheetId="8">#REF!</definedName>
    <definedName name="D2734YB">#REF!</definedName>
    <definedName name="D2734YL" localSheetId="8">#REF!</definedName>
    <definedName name="D2734YL">#REF!</definedName>
    <definedName name="D2740_">'[3]TB Link'!$D$15</definedName>
    <definedName name="D2740PA" localSheetId="8">#REF!</definedName>
    <definedName name="D2740PA">#REF!</definedName>
    <definedName name="D2740PB" localSheetId="8">#REF!</definedName>
    <definedName name="D2740PB">#REF!</definedName>
    <definedName name="D2740PL" localSheetId="8">#REF!</definedName>
    <definedName name="D2740PL">#REF!</definedName>
    <definedName name="D2740PO" localSheetId="8">#REF!</definedName>
    <definedName name="D2740PO">#REF!</definedName>
    <definedName name="D2740WB" localSheetId="8">#REF!</definedName>
    <definedName name="D2740WB">#REF!</definedName>
    <definedName name="D2740WE" localSheetId="8">#REF!</definedName>
    <definedName name="D2740WE">#REF!</definedName>
    <definedName name="D2740WL" localSheetId="8">#REF!</definedName>
    <definedName name="D2740WL">#REF!</definedName>
    <definedName name="D2740YA" localSheetId="8">#REF!</definedName>
    <definedName name="D2740YA">#REF!</definedName>
    <definedName name="D2740YB" localSheetId="8">#REF!</definedName>
    <definedName name="D2740YB">#REF!</definedName>
    <definedName name="D2740YL" localSheetId="8">#REF!</definedName>
    <definedName name="D2740YL">#REF!</definedName>
    <definedName name="D2745_">'[3]TB Link'!$D$16</definedName>
    <definedName name="D2745PA" localSheetId="8">#REF!</definedName>
    <definedName name="D2745PA">#REF!</definedName>
    <definedName name="D2745PB" localSheetId="8">#REF!</definedName>
    <definedName name="D2745PB">#REF!</definedName>
    <definedName name="D2745PL" localSheetId="8">#REF!</definedName>
    <definedName name="D2745PL">#REF!</definedName>
    <definedName name="D2745PO" localSheetId="8">#REF!</definedName>
    <definedName name="D2745PO">#REF!</definedName>
    <definedName name="D2745WB" localSheetId="8">#REF!</definedName>
    <definedName name="D2745WB">#REF!</definedName>
    <definedName name="D2745WE" localSheetId="8">#REF!</definedName>
    <definedName name="D2745WE">#REF!</definedName>
    <definedName name="D2745WL" localSheetId="8">#REF!</definedName>
    <definedName name="D2745WL">#REF!</definedName>
    <definedName name="D2745YA" localSheetId="8">#REF!</definedName>
    <definedName name="D2745YA">#REF!</definedName>
    <definedName name="D2745YB" localSheetId="8">#REF!</definedName>
    <definedName name="D2745YB">#REF!</definedName>
    <definedName name="D2745YL" localSheetId="8">#REF!</definedName>
    <definedName name="D2745YL">#REF!</definedName>
    <definedName name="D2750_">'[3]TB Link'!$D$17</definedName>
    <definedName name="D2750PA" localSheetId="8">#REF!</definedName>
    <definedName name="D2750PA">#REF!</definedName>
    <definedName name="D2750PB" localSheetId="8">#REF!</definedName>
    <definedName name="D2750PB">#REF!</definedName>
    <definedName name="D2750PL" localSheetId="8">#REF!</definedName>
    <definedName name="D2750PL">#REF!</definedName>
    <definedName name="D2750PO" localSheetId="8">#REF!</definedName>
    <definedName name="D2750PO">#REF!</definedName>
    <definedName name="D2750WB" localSheetId="8">#REF!</definedName>
    <definedName name="D2750WB">#REF!</definedName>
    <definedName name="D2750WE" localSheetId="8">#REF!</definedName>
    <definedName name="D2750WE">#REF!</definedName>
    <definedName name="D2750WL" localSheetId="8">#REF!</definedName>
    <definedName name="D2750WL">#REF!</definedName>
    <definedName name="D2750YA" localSheetId="8">#REF!</definedName>
    <definedName name="D2750YA">#REF!</definedName>
    <definedName name="D2750YB" localSheetId="8">#REF!</definedName>
    <definedName name="D2750YB">#REF!</definedName>
    <definedName name="D2750YL" localSheetId="8">#REF!</definedName>
    <definedName name="D2750YL">#REF!</definedName>
    <definedName name="D2755_">'[3]TB Link'!$D$18</definedName>
    <definedName name="D2755PA" localSheetId="8">#REF!</definedName>
    <definedName name="D2755PA">#REF!</definedName>
    <definedName name="D2755PB" localSheetId="8">#REF!</definedName>
    <definedName name="D2755PB">#REF!</definedName>
    <definedName name="D2755PL" localSheetId="8">#REF!</definedName>
    <definedName name="D2755PL">#REF!</definedName>
    <definedName name="D2755PO" localSheetId="8">#REF!</definedName>
    <definedName name="D2755PO">#REF!</definedName>
    <definedName name="D2755WB" localSheetId="8">#REF!</definedName>
    <definedName name="D2755WB">#REF!</definedName>
    <definedName name="D2755WE" localSheetId="8">#REF!</definedName>
    <definedName name="D2755WE">#REF!</definedName>
    <definedName name="D2755WL" localSheetId="8">#REF!</definedName>
    <definedName name="D2755WL">#REF!</definedName>
    <definedName name="D2755YA" localSheetId="8">#REF!</definedName>
    <definedName name="D2755YA">#REF!</definedName>
    <definedName name="D2755YB" localSheetId="8">#REF!</definedName>
    <definedName name="D2755YB">#REF!</definedName>
    <definedName name="D2755YL" localSheetId="8">#REF!</definedName>
    <definedName name="D2755YL">#REF!</definedName>
    <definedName name="D2760_">'[3]TB Link'!$D$19</definedName>
    <definedName name="D2760PA" localSheetId="8">#REF!</definedName>
    <definedName name="D2760PA">#REF!</definedName>
    <definedName name="D2760PB" localSheetId="8">#REF!</definedName>
    <definedName name="D2760PB">#REF!</definedName>
    <definedName name="D2760PL" localSheetId="8">#REF!</definedName>
    <definedName name="D2760PL">#REF!</definedName>
    <definedName name="D2760PO" localSheetId="8">#REF!</definedName>
    <definedName name="D2760PO">#REF!</definedName>
    <definedName name="D2760WB" localSheetId="8">#REF!</definedName>
    <definedName name="D2760WB">#REF!</definedName>
    <definedName name="D2760WE" localSheetId="8">#REF!</definedName>
    <definedName name="D2760WE">#REF!</definedName>
    <definedName name="D2760WL" localSheetId="8">#REF!</definedName>
    <definedName name="D2760WL">#REF!</definedName>
    <definedName name="D2760YA" localSheetId="8">#REF!</definedName>
    <definedName name="D2760YA">#REF!</definedName>
    <definedName name="D2760YB" localSheetId="8">#REF!</definedName>
    <definedName name="D2760YB">#REF!</definedName>
    <definedName name="D2760YL" localSheetId="8">#REF!</definedName>
    <definedName name="D2760YL">#REF!</definedName>
    <definedName name="D2765_">'[3]TB Link'!$D$20</definedName>
    <definedName name="D2765PA" localSheetId="8">#REF!</definedName>
    <definedName name="D2765PA">#REF!</definedName>
    <definedName name="D2765PB" localSheetId="8">#REF!</definedName>
    <definedName name="D2765PB">#REF!</definedName>
    <definedName name="D2765PL" localSheetId="8">#REF!</definedName>
    <definedName name="D2765PL">#REF!</definedName>
    <definedName name="D2765PO" localSheetId="8">#REF!</definedName>
    <definedName name="D2765PO">#REF!</definedName>
    <definedName name="D2765WB" localSheetId="8">#REF!</definedName>
    <definedName name="D2765WB">#REF!</definedName>
    <definedName name="D2765WE" localSheetId="8">#REF!</definedName>
    <definedName name="D2765WE">#REF!</definedName>
    <definedName name="D2765WL" localSheetId="8">#REF!</definedName>
    <definedName name="D2765WL">#REF!</definedName>
    <definedName name="D2765YA" localSheetId="8">#REF!</definedName>
    <definedName name="D2765YA">#REF!</definedName>
    <definedName name="D2765YB" localSheetId="8">#REF!</definedName>
    <definedName name="D2765YB">#REF!</definedName>
    <definedName name="D2765YL" localSheetId="8">#REF!</definedName>
    <definedName name="D2765YL">#REF!</definedName>
    <definedName name="D2770_">'[3]TB Link'!$D$21</definedName>
    <definedName name="D2770PA" localSheetId="8">#REF!</definedName>
    <definedName name="D2770PA">#REF!</definedName>
    <definedName name="D2770PB" localSheetId="8">#REF!</definedName>
    <definedName name="D2770PB">#REF!</definedName>
    <definedName name="D2770PL" localSheetId="8">#REF!</definedName>
    <definedName name="D2770PL">#REF!</definedName>
    <definedName name="D2770PO" localSheetId="8">#REF!</definedName>
    <definedName name="D2770PO">#REF!</definedName>
    <definedName name="D2770WB" localSheetId="8">#REF!</definedName>
    <definedName name="D2770WB">#REF!</definedName>
    <definedName name="D2770WE" localSheetId="8">#REF!</definedName>
    <definedName name="D2770WE">#REF!</definedName>
    <definedName name="D2770WL" localSheetId="8">#REF!</definedName>
    <definedName name="D2770WL">#REF!</definedName>
    <definedName name="D2770YA" localSheetId="8">#REF!</definedName>
    <definedName name="D2770YA">#REF!</definedName>
    <definedName name="D2770YB" localSheetId="8">#REF!</definedName>
    <definedName name="D2770YB">#REF!</definedName>
    <definedName name="D2770YL" localSheetId="8">#REF!</definedName>
    <definedName name="D2770YL">#REF!</definedName>
    <definedName name="D2775PA" localSheetId="8">#REF!</definedName>
    <definedName name="D2775PA">#REF!</definedName>
    <definedName name="D2775PB" localSheetId="8">#REF!</definedName>
    <definedName name="D2775PB">#REF!</definedName>
    <definedName name="D2775PL" localSheetId="8">#REF!</definedName>
    <definedName name="D2775PL">#REF!</definedName>
    <definedName name="D2775PO" localSheetId="8">#REF!</definedName>
    <definedName name="D2775PO">#REF!</definedName>
    <definedName name="D2775WB" localSheetId="8">#REF!</definedName>
    <definedName name="D2775WB">#REF!</definedName>
    <definedName name="D2775WE" localSheetId="8">#REF!</definedName>
    <definedName name="D2775WE">#REF!</definedName>
    <definedName name="D2775WL" localSheetId="8">#REF!</definedName>
    <definedName name="D2775WL">#REF!</definedName>
    <definedName name="D2775YA" localSheetId="8">#REF!</definedName>
    <definedName name="D2775YA">#REF!</definedName>
    <definedName name="D2775YB" localSheetId="8">#REF!</definedName>
    <definedName name="D2775YB">#REF!</definedName>
    <definedName name="D2775YL" localSheetId="8">#REF!</definedName>
    <definedName name="D2775YL">#REF!</definedName>
    <definedName name="D2780_">'[3]TB Link'!$D$23</definedName>
    <definedName name="D2780PA" localSheetId="8">#REF!</definedName>
    <definedName name="D2780PA">#REF!</definedName>
    <definedName name="D2780PB" localSheetId="8">#REF!</definedName>
    <definedName name="D2780PB">#REF!</definedName>
    <definedName name="D2780PL" localSheetId="8">#REF!</definedName>
    <definedName name="D2780PL">#REF!</definedName>
    <definedName name="D2780PO" localSheetId="8">#REF!</definedName>
    <definedName name="D2780PO">#REF!</definedName>
    <definedName name="D2780WB" localSheetId="8">#REF!</definedName>
    <definedName name="D2780WB">#REF!</definedName>
    <definedName name="D2780WE" localSheetId="8">#REF!</definedName>
    <definedName name="D2780WE">#REF!</definedName>
    <definedName name="D2780WL" localSheetId="8">#REF!</definedName>
    <definedName name="D2780WL">#REF!</definedName>
    <definedName name="D2780YA" localSheetId="8">#REF!</definedName>
    <definedName name="D2780YA">#REF!</definedName>
    <definedName name="D2780YB" localSheetId="8">#REF!</definedName>
    <definedName name="D2780YB">#REF!</definedName>
    <definedName name="D2780YL" localSheetId="8">#REF!</definedName>
    <definedName name="D2780YL">#REF!</definedName>
    <definedName name="D2785_">'[3]TB Link'!$D$24</definedName>
    <definedName name="D2785PA" localSheetId="8">#REF!</definedName>
    <definedName name="D2785PA">#REF!</definedName>
    <definedName name="D2785PB" localSheetId="8">#REF!</definedName>
    <definedName name="D2785PB">#REF!</definedName>
    <definedName name="D2785PL" localSheetId="8">#REF!</definedName>
    <definedName name="D2785PL">#REF!</definedName>
    <definedName name="D2785PO" localSheetId="8">#REF!</definedName>
    <definedName name="D2785PO">#REF!</definedName>
    <definedName name="D2785WB" localSheetId="8">#REF!</definedName>
    <definedName name="D2785WB">#REF!</definedName>
    <definedName name="D2785WE" localSheetId="8">#REF!</definedName>
    <definedName name="D2785WE">#REF!</definedName>
    <definedName name="D2785WL" localSheetId="8">#REF!</definedName>
    <definedName name="D2785WL">#REF!</definedName>
    <definedName name="D2785YA" localSheetId="8">#REF!</definedName>
    <definedName name="D2785YA">#REF!</definedName>
    <definedName name="D2785YB" localSheetId="8">#REF!</definedName>
    <definedName name="D2785YB">#REF!</definedName>
    <definedName name="D2785YL" localSheetId="8">#REF!</definedName>
    <definedName name="D2785YL">#REF!</definedName>
    <definedName name="D2790_">'[3]TB Link'!$D$25</definedName>
    <definedName name="D2790PA" localSheetId="8">#REF!</definedName>
    <definedName name="D2790PA">#REF!</definedName>
    <definedName name="D2790PB" localSheetId="8">#REF!</definedName>
    <definedName name="D2790PB">#REF!</definedName>
    <definedName name="D2790PL" localSheetId="8">#REF!</definedName>
    <definedName name="D2790PL">#REF!</definedName>
    <definedName name="D2790PO" localSheetId="8">#REF!</definedName>
    <definedName name="D2790PO">#REF!</definedName>
    <definedName name="D2790WB" localSheetId="8">#REF!</definedName>
    <definedName name="D2790WB">#REF!</definedName>
    <definedName name="D2790WE" localSheetId="8">#REF!</definedName>
    <definedName name="D2790WE">#REF!</definedName>
    <definedName name="D2790WL" localSheetId="8">#REF!</definedName>
    <definedName name="D2790WL">#REF!</definedName>
    <definedName name="D2790YA" localSheetId="8">#REF!</definedName>
    <definedName name="D2790YA">#REF!</definedName>
    <definedName name="D2790YB" localSheetId="8">#REF!</definedName>
    <definedName name="D2790YB">#REF!</definedName>
    <definedName name="D2790YL" localSheetId="8">#REF!</definedName>
    <definedName name="D2790YL">#REF!</definedName>
    <definedName name="D2795_">'[3]TB Link'!$D$26</definedName>
    <definedName name="D2795PA" localSheetId="8">#REF!</definedName>
    <definedName name="D2795PA">#REF!</definedName>
    <definedName name="D2795PB" localSheetId="8">#REF!</definedName>
    <definedName name="D2795PB">#REF!</definedName>
    <definedName name="D2795PL" localSheetId="8">#REF!</definedName>
    <definedName name="D2795PL">#REF!</definedName>
    <definedName name="D2795PO" localSheetId="8">#REF!</definedName>
    <definedName name="D2795PO">#REF!</definedName>
    <definedName name="D2795WB" localSheetId="8">#REF!</definedName>
    <definedName name="D2795WB">#REF!</definedName>
    <definedName name="D2795WE" localSheetId="8">#REF!</definedName>
    <definedName name="D2795WE">#REF!</definedName>
    <definedName name="D2795WL" localSheetId="8">#REF!</definedName>
    <definedName name="D2795WL">#REF!</definedName>
    <definedName name="D2795YA" localSheetId="8">#REF!</definedName>
    <definedName name="D2795YA">#REF!</definedName>
    <definedName name="D2795YB" localSheetId="8">#REF!</definedName>
    <definedName name="D2795YB">#REF!</definedName>
    <definedName name="D2795YL" localSheetId="8">#REF!</definedName>
    <definedName name="D2795YL">#REF!</definedName>
    <definedName name="D2815_">'[3]TB Link'!$D$27</definedName>
    <definedName name="D2815PA" localSheetId="8">#REF!</definedName>
    <definedName name="D2815PA">#REF!</definedName>
    <definedName name="D2815PB" localSheetId="8">#REF!</definedName>
    <definedName name="D2815PB">#REF!</definedName>
    <definedName name="D2815PL" localSheetId="8">#REF!</definedName>
    <definedName name="D2815PL">#REF!</definedName>
    <definedName name="D2815PO" localSheetId="8">#REF!</definedName>
    <definedName name="D2815PO">#REF!</definedName>
    <definedName name="D2815WB" localSheetId="8">#REF!</definedName>
    <definedName name="D2815WB">#REF!</definedName>
    <definedName name="D2815WE" localSheetId="8">#REF!</definedName>
    <definedName name="D2815WE">#REF!</definedName>
    <definedName name="D2815WL" localSheetId="8">#REF!</definedName>
    <definedName name="D2815WL">#REF!</definedName>
    <definedName name="D2815YA" localSheetId="8">#REF!</definedName>
    <definedName name="D2815YA">#REF!</definedName>
    <definedName name="D2815YB" localSheetId="8">#REF!</definedName>
    <definedName name="D2815YB">#REF!</definedName>
    <definedName name="D2815YL" localSheetId="8">#REF!</definedName>
    <definedName name="D2815YL">#REF!</definedName>
    <definedName name="D2855_">'[3]TB Link'!$D$28</definedName>
    <definedName name="D2855PA" localSheetId="8">#REF!</definedName>
    <definedName name="D2855PA">#REF!</definedName>
    <definedName name="D2855PB" localSheetId="8">#REF!</definedName>
    <definedName name="D2855PB">#REF!</definedName>
    <definedName name="D2855PL" localSheetId="8">#REF!</definedName>
    <definedName name="D2855PL">#REF!</definedName>
    <definedName name="D2855PO" localSheetId="8">#REF!</definedName>
    <definedName name="D2855PO">#REF!</definedName>
    <definedName name="D2855WB" localSheetId="8">#REF!</definedName>
    <definedName name="D2855WB">#REF!</definedName>
    <definedName name="D2855WE" localSheetId="8">#REF!</definedName>
    <definedName name="D2855WE">#REF!</definedName>
    <definedName name="D2855WL" localSheetId="8">#REF!</definedName>
    <definedName name="D2855WL">#REF!</definedName>
    <definedName name="D2855YA" localSheetId="8">#REF!</definedName>
    <definedName name="D2855YA">#REF!</definedName>
    <definedName name="D2855YB" localSheetId="8">#REF!</definedName>
    <definedName name="D2855YB">#REF!</definedName>
    <definedName name="D2855YL" localSheetId="8">#REF!</definedName>
    <definedName name="D2855YL">#REF!</definedName>
    <definedName name="D2860_">'[3]TB Link'!$D$29</definedName>
    <definedName name="D2860PA" localSheetId="8">#REF!</definedName>
    <definedName name="D2860PA">#REF!</definedName>
    <definedName name="D2860PB" localSheetId="8">#REF!</definedName>
    <definedName name="D2860PB">#REF!</definedName>
    <definedName name="D2860PL" localSheetId="8">#REF!</definedName>
    <definedName name="D2860PL">#REF!</definedName>
    <definedName name="D2860PO" localSheetId="8">#REF!</definedName>
    <definedName name="D2860PO">#REF!</definedName>
    <definedName name="D2860WB" localSheetId="8">#REF!</definedName>
    <definedName name="D2860WB">#REF!</definedName>
    <definedName name="D2860WE" localSheetId="8">#REF!</definedName>
    <definedName name="D2860WE">#REF!</definedName>
    <definedName name="D2860WL" localSheetId="8">#REF!</definedName>
    <definedName name="D2860WL">#REF!</definedName>
    <definedName name="D2860YA" localSheetId="8">#REF!</definedName>
    <definedName name="D2860YA">#REF!</definedName>
    <definedName name="D2860YB" localSheetId="8">#REF!</definedName>
    <definedName name="D2860YB">#REF!</definedName>
    <definedName name="D2860YL" localSheetId="8">#REF!</definedName>
    <definedName name="D2860YL">#REF!</definedName>
    <definedName name="D2870_">'[3]TB Link'!$D$30</definedName>
    <definedName name="D2870PA" localSheetId="8">#REF!</definedName>
    <definedName name="D2870PA">#REF!</definedName>
    <definedName name="D2870PB" localSheetId="8">#REF!</definedName>
    <definedName name="D2870PB">#REF!</definedName>
    <definedName name="D2870PL" localSheetId="8">#REF!</definedName>
    <definedName name="D2870PL">#REF!</definedName>
    <definedName name="D2870PO" localSheetId="8">#REF!</definedName>
    <definedName name="D2870PO">#REF!</definedName>
    <definedName name="D2870WB" localSheetId="8">#REF!</definedName>
    <definedName name="D2870WB">#REF!</definedName>
    <definedName name="D2870WE" localSheetId="8">#REF!</definedName>
    <definedName name="D2870WE">#REF!</definedName>
    <definedName name="D2870WL" localSheetId="8">#REF!</definedName>
    <definedName name="D2870WL">#REF!</definedName>
    <definedName name="D2870YA" localSheetId="8">#REF!</definedName>
    <definedName name="D2870YA">#REF!</definedName>
    <definedName name="D2870YB" localSheetId="8">#REF!</definedName>
    <definedName name="D2870YB">#REF!</definedName>
    <definedName name="D2870YL" localSheetId="8">#REF!</definedName>
    <definedName name="D2870YL">#REF!</definedName>
    <definedName name="D2880_">'[3]TB Link'!$D$31</definedName>
    <definedName name="D2880PA" localSheetId="8">#REF!</definedName>
    <definedName name="D2880PA">#REF!</definedName>
    <definedName name="D2880PB" localSheetId="8">#REF!</definedName>
    <definedName name="D2880PB">#REF!</definedName>
    <definedName name="D2880PL" localSheetId="8">#REF!</definedName>
    <definedName name="D2880PL">#REF!</definedName>
    <definedName name="D2880PO" localSheetId="8">#REF!</definedName>
    <definedName name="D2880PO">#REF!</definedName>
    <definedName name="D2880WB" localSheetId="8">#REF!</definedName>
    <definedName name="D2880WB">#REF!</definedName>
    <definedName name="D2880WE" localSheetId="8">#REF!</definedName>
    <definedName name="D2880WE">#REF!</definedName>
    <definedName name="D2880WL" localSheetId="8">#REF!</definedName>
    <definedName name="D2880WL">#REF!</definedName>
    <definedName name="D2880YA" localSheetId="8">#REF!</definedName>
    <definedName name="D2880YA">#REF!</definedName>
    <definedName name="D2880YB" localSheetId="8">#REF!</definedName>
    <definedName name="D2880YB">#REF!</definedName>
    <definedName name="D2880YL" localSheetId="8">#REF!</definedName>
    <definedName name="D2880YL">#REF!</definedName>
    <definedName name="D2920_">'[3]TB Link'!$D$32</definedName>
    <definedName name="D2920PA" localSheetId="8">#REF!</definedName>
    <definedName name="D2920PA">#REF!</definedName>
    <definedName name="D2920PB" localSheetId="8">#REF!</definedName>
    <definedName name="D2920PB">#REF!</definedName>
    <definedName name="D2920PL" localSheetId="8">#REF!</definedName>
    <definedName name="D2920PL">#REF!</definedName>
    <definedName name="D2920PO" localSheetId="8">#REF!</definedName>
    <definedName name="D2920PO">#REF!</definedName>
    <definedName name="D2920WB" localSheetId="8">#REF!</definedName>
    <definedName name="D2920WB">#REF!</definedName>
    <definedName name="D2920WE" localSheetId="8">#REF!</definedName>
    <definedName name="D2920WE">#REF!</definedName>
    <definedName name="D2920WL" localSheetId="8">#REF!</definedName>
    <definedName name="D2920WL">#REF!</definedName>
    <definedName name="D2920YA" localSheetId="8">#REF!</definedName>
    <definedName name="D2920YA">#REF!</definedName>
    <definedName name="D2920YB" localSheetId="8">#REF!</definedName>
    <definedName name="D2920YB">#REF!</definedName>
    <definedName name="D2920YL" localSheetId="8">#REF!</definedName>
    <definedName name="D2920YL">#REF!</definedName>
    <definedName name="D2930_">'[3]TB Link'!$D$33</definedName>
    <definedName name="D2930PA" localSheetId="8">#REF!</definedName>
    <definedName name="D2930PA">#REF!</definedName>
    <definedName name="D2930PB" localSheetId="8">#REF!</definedName>
    <definedName name="D2930PB">#REF!</definedName>
    <definedName name="D2930PL" localSheetId="8">#REF!</definedName>
    <definedName name="D2930PL">#REF!</definedName>
    <definedName name="D2930PO" localSheetId="8">#REF!</definedName>
    <definedName name="D2930PO">#REF!</definedName>
    <definedName name="D2930WB" localSheetId="8">#REF!</definedName>
    <definedName name="D2930WB">#REF!</definedName>
    <definedName name="D2930WE" localSheetId="8">#REF!</definedName>
    <definedName name="D2930WE">#REF!</definedName>
    <definedName name="D2930WL" localSheetId="8">#REF!</definedName>
    <definedName name="D2930WL">#REF!</definedName>
    <definedName name="D2930YA" localSheetId="8">#REF!</definedName>
    <definedName name="D2930YA">#REF!</definedName>
    <definedName name="D2930YB" localSheetId="8">#REF!</definedName>
    <definedName name="D2930YB">#REF!</definedName>
    <definedName name="D2930YL" localSheetId="8">#REF!</definedName>
    <definedName name="D2930YL">#REF!</definedName>
    <definedName name="D2935_">'[3]TB Link'!$D$34</definedName>
    <definedName name="D2935PA" localSheetId="8">#REF!</definedName>
    <definedName name="D2935PA">#REF!</definedName>
    <definedName name="D2935PB" localSheetId="8">#REF!</definedName>
    <definedName name="D2935PB">#REF!</definedName>
    <definedName name="D2935PL" localSheetId="8">#REF!</definedName>
    <definedName name="D2935PL">#REF!</definedName>
    <definedName name="D2935PO" localSheetId="8">#REF!</definedName>
    <definedName name="D2935PO">#REF!</definedName>
    <definedName name="D2935WB" localSheetId="8">#REF!</definedName>
    <definedName name="D2935WB">#REF!</definedName>
    <definedName name="D2935WE" localSheetId="8">#REF!</definedName>
    <definedName name="D2935WE">#REF!</definedName>
    <definedName name="D2935WL" localSheetId="8">#REF!</definedName>
    <definedName name="D2935WL">#REF!</definedName>
    <definedName name="D2935YA" localSheetId="8">#REF!</definedName>
    <definedName name="D2935YA">#REF!</definedName>
    <definedName name="D2935YB" localSheetId="8">#REF!</definedName>
    <definedName name="D2935YB">#REF!</definedName>
    <definedName name="D2935YL" localSheetId="8">#REF!</definedName>
    <definedName name="D2935YL">#REF!</definedName>
    <definedName name="D2940_">'[3]TB Link'!$D$35</definedName>
    <definedName name="D2940PA" localSheetId="8">#REF!</definedName>
    <definedName name="D2940PA">#REF!</definedName>
    <definedName name="D2940PB" localSheetId="8">#REF!</definedName>
    <definedName name="D2940PB">#REF!</definedName>
    <definedName name="D2940PL" localSheetId="8">#REF!</definedName>
    <definedName name="D2940PL">#REF!</definedName>
    <definedName name="D2940PO" localSheetId="8">#REF!</definedName>
    <definedName name="D2940PO">#REF!</definedName>
    <definedName name="D2940WB" localSheetId="8">#REF!</definedName>
    <definedName name="D2940WB">#REF!</definedName>
    <definedName name="D2940WE" localSheetId="8">#REF!</definedName>
    <definedName name="D2940WE">#REF!</definedName>
    <definedName name="D2940WL" localSheetId="8">#REF!</definedName>
    <definedName name="D2940WL">#REF!</definedName>
    <definedName name="D2940YA" localSheetId="8">#REF!</definedName>
    <definedName name="D2940YA">#REF!</definedName>
    <definedName name="D2940YB" localSheetId="8">#REF!</definedName>
    <definedName name="D2940YB">#REF!</definedName>
    <definedName name="D2940YL" localSheetId="8">#REF!</definedName>
    <definedName name="D2940YL">#REF!</definedName>
    <definedName name="D3110PA" localSheetId="8">#REF!</definedName>
    <definedName name="D3110PA">#REF!</definedName>
    <definedName name="D3110PB" localSheetId="8">#REF!</definedName>
    <definedName name="D3110PB">#REF!</definedName>
    <definedName name="D3110PL" localSheetId="8">#REF!</definedName>
    <definedName name="D3110PL">#REF!</definedName>
    <definedName name="D3110PO" localSheetId="8">#REF!</definedName>
    <definedName name="D3110PO">#REF!</definedName>
    <definedName name="D3110WB" localSheetId="8">#REF!</definedName>
    <definedName name="D3110WB">#REF!</definedName>
    <definedName name="D3110WE" localSheetId="8">#REF!</definedName>
    <definedName name="D3110WE">#REF!</definedName>
    <definedName name="D3110WL" localSheetId="8">#REF!</definedName>
    <definedName name="D3110WL">#REF!</definedName>
    <definedName name="D3110YA" localSheetId="8">#REF!</definedName>
    <definedName name="D3110YA">#REF!</definedName>
    <definedName name="D3110YB" localSheetId="8">#REF!</definedName>
    <definedName name="D3110YB">#REF!</definedName>
    <definedName name="D3110YL" localSheetId="8">#REF!</definedName>
    <definedName name="D3110YL">#REF!</definedName>
    <definedName name="D3115PA" localSheetId="8">#REF!</definedName>
    <definedName name="D3115PA">#REF!</definedName>
    <definedName name="D3115PB" localSheetId="8">#REF!</definedName>
    <definedName name="D3115PB">#REF!</definedName>
    <definedName name="D3115PL" localSheetId="8">#REF!</definedName>
    <definedName name="D3115PL">#REF!</definedName>
    <definedName name="D3115PO" localSheetId="8">#REF!</definedName>
    <definedName name="D3115PO">#REF!</definedName>
    <definedName name="D3115WB" localSheetId="8">#REF!</definedName>
    <definedName name="D3115WB">#REF!</definedName>
    <definedName name="D3115WE" localSheetId="8">#REF!</definedName>
    <definedName name="D3115WE">#REF!</definedName>
    <definedName name="D3115WL" localSheetId="8">#REF!</definedName>
    <definedName name="D3115WL">#REF!</definedName>
    <definedName name="D3115YA" localSheetId="8">#REF!</definedName>
    <definedName name="D3115YA">#REF!</definedName>
    <definedName name="D3115YB" localSheetId="8">#REF!</definedName>
    <definedName name="D3115YB">#REF!</definedName>
    <definedName name="D3115YL" localSheetId="8">#REF!</definedName>
    <definedName name="D3115YL">#REF!</definedName>
    <definedName name="D3135PA" localSheetId="8">#REF!</definedName>
    <definedName name="D3135PA">#REF!</definedName>
    <definedName name="D3135PB" localSheetId="8">#REF!</definedName>
    <definedName name="D3135PB">#REF!</definedName>
    <definedName name="D3135PL" localSheetId="8">#REF!</definedName>
    <definedName name="D3135PL">#REF!</definedName>
    <definedName name="D3135PO" localSheetId="8">#REF!</definedName>
    <definedName name="D3135PO">#REF!</definedName>
    <definedName name="D3135WB" localSheetId="8">#REF!</definedName>
    <definedName name="D3135WB">#REF!</definedName>
    <definedName name="D3135WE" localSheetId="8">#REF!</definedName>
    <definedName name="D3135WE">#REF!</definedName>
    <definedName name="D3135WL" localSheetId="8">#REF!</definedName>
    <definedName name="D3135WL">#REF!</definedName>
    <definedName name="D3135YA" localSheetId="8">#REF!</definedName>
    <definedName name="D3135YA">#REF!</definedName>
    <definedName name="D3135YB" localSheetId="8">#REF!</definedName>
    <definedName name="D3135YB">#REF!</definedName>
    <definedName name="D3135YL" localSheetId="8">#REF!</definedName>
    <definedName name="D3135YL">#REF!</definedName>
    <definedName name="D3140PA" localSheetId="8">#REF!</definedName>
    <definedName name="D3140PA">#REF!</definedName>
    <definedName name="D3140PB" localSheetId="8">#REF!</definedName>
    <definedName name="D3140PB">#REF!</definedName>
    <definedName name="D3140PL" localSheetId="8">#REF!</definedName>
    <definedName name="D3140PL">#REF!</definedName>
    <definedName name="D3140PO" localSheetId="8">#REF!</definedName>
    <definedName name="D3140PO">#REF!</definedName>
    <definedName name="D3140WB" localSheetId="8">#REF!</definedName>
    <definedName name="D3140WB">#REF!</definedName>
    <definedName name="D3140WE" localSheetId="8">#REF!</definedName>
    <definedName name="D3140WE">#REF!</definedName>
    <definedName name="D3140WL" localSheetId="8">#REF!</definedName>
    <definedName name="D3140WL">#REF!</definedName>
    <definedName name="D3140YA" localSheetId="8">#REF!</definedName>
    <definedName name="D3140YA">#REF!</definedName>
    <definedName name="D3140YB" localSheetId="8">#REF!</definedName>
    <definedName name="D3140YB">#REF!</definedName>
    <definedName name="D3140YL" localSheetId="8">#REF!</definedName>
    <definedName name="D3140YL">#REF!</definedName>
    <definedName name="D3510PA" localSheetId="8">#REF!</definedName>
    <definedName name="D3510PA">#REF!</definedName>
    <definedName name="D3510PB" localSheetId="8">#REF!</definedName>
    <definedName name="D3510PB">#REF!</definedName>
    <definedName name="D3510PL" localSheetId="8">#REF!</definedName>
    <definedName name="D3510PL">#REF!</definedName>
    <definedName name="D3510PO" localSheetId="8">#REF!</definedName>
    <definedName name="D3510PO">#REF!</definedName>
    <definedName name="D3510WB" localSheetId="8">#REF!</definedName>
    <definedName name="D3510WB">#REF!</definedName>
    <definedName name="D3510WE" localSheetId="8">#REF!</definedName>
    <definedName name="D3510WE">#REF!</definedName>
    <definedName name="D3510WL" localSheetId="8">#REF!</definedName>
    <definedName name="D3510WL">#REF!</definedName>
    <definedName name="D3510YA" localSheetId="8">#REF!</definedName>
    <definedName name="D3510YA">#REF!</definedName>
    <definedName name="D3510YB" localSheetId="8">#REF!</definedName>
    <definedName name="D3510YB">#REF!</definedName>
    <definedName name="D3510YL" localSheetId="8">#REF!</definedName>
    <definedName name="D3510YL">#REF!</definedName>
    <definedName name="D3515PA" localSheetId="8">#REF!</definedName>
    <definedName name="D3515PA">#REF!</definedName>
    <definedName name="D3515PB" localSheetId="8">#REF!</definedName>
    <definedName name="D3515PB">#REF!</definedName>
    <definedName name="D3515PL" localSheetId="8">#REF!</definedName>
    <definedName name="D3515PL">#REF!</definedName>
    <definedName name="D3515PO" localSheetId="8">#REF!</definedName>
    <definedName name="D3515PO">#REF!</definedName>
    <definedName name="D3515WB" localSheetId="8">#REF!</definedName>
    <definedName name="D3515WB">#REF!</definedName>
    <definedName name="D3515WE" localSheetId="8">#REF!</definedName>
    <definedName name="D3515WE">#REF!</definedName>
    <definedName name="D3515WL" localSheetId="8">#REF!</definedName>
    <definedName name="D3515WL">#REF!</definedName>
    <definedName name="D3515YA" localSheetId="8">#REF!</definedName>
    <definedName name="D3515YA">#REF!</definedName>
    <definedName name="D3515YB" localSheetId="8">#REF!</definedName>
    <definedName name="D3515YB">#REF!</definedName>
    <definedName name="D3515YL" localSheetId="8">#REF!</definedName>
    <definedName name="D3515YL">#REF!</definedName>
    <definedName name="D3539PA" localSheetId="8">#REF!</definedName>
    <definedName name="D3539PA">#REF!</definedName>
    <definedName name="D3539PB" localSheetId="8">#REF!</definedName>
    <definedName name="D3539PB">#REF!</definedName>
    <definedName name="D3539PL" localSheetId="8">#REF!</definedName>
    <definedName name="D3539PL">#REF!</definedName>
    <definedName name="D3539PO" localSheetId="8">#REF!</definedName>
    <definedName name="D3539PO">#REF!</definedName>
    <definedName name="D3539WB" localSheetId="8">#REF!</definedName>
    <definedName name="D3539WB">#REF!</definedName>
    <definedName name="D3539WE" localSheetId="8">#REF!</definedName>
    <definedName name="D3539WE">#REF!</definedName>
    <definedName name="D3539WL" localSheetId="8">#REF!</definedName>
    <definedName name="D3539WL">#REF!</definedName>
    <definedName name="D3539YA" localSheetId="8">#REF!</definedName>
    <definedName name="D3539YA">#REF!</definedName>
    <definedName name="D3539YB" localSheetId="8">#REF!</definedName>
    <definedName name="D3539YB">#REF!</definedName>
    <definedName name="D3539YL" localSheetId="8">#REF!</definedName>
    <definedName name="D3539YL">#REF!</definedName>
    <definedName name="D3540PA" localSheetId="8">#REF!</definedName>
    <definedName name="D3540PA">#REF!</definedName>
    <definedName name="D3540PB" localSheetId="8">#REF!</definedName>
    <definedName name="D3540PB">#REF!</definedName>
    <definedName name="D3540PL" localSheetId="8">#REF!</definedName>
    <definedName name="D3540PL">#REF!</definedName>
    <definedName name="D3540PO" localSheetId="8">#REF!</definedName>
    <definedName name="D3540PO">#REF!</definedName>
    <definedName name="D3540WB" localSheetId="8">#REF!</definedName>
    <definedName name="D3540WB">#REF!</definedName>
    <definedName name="D3540WE" localSheetId="8">#REF!</definedName>
    <definedName name="D3540WE">#REF!</definedName>
    <definedName name="D3540WL" localSheetId="8">#REF!</definedName>
    <definedName name="D3540WL">#REF!</definedName>
    <definedName name="D3540YA" localSheetId="8">#REF!</definedName>
    <definedName name="D3540YA">#REF!</definedName>
    <definedName name="D3540YB" localSheetId="8">#REF!</definedName>
    <definedName name="D3540YB">#REF!</definedName>
    <definedName name="D3540YL" localSheetId="8">#REF!</definedName>
    <definedName name="D3540YL">#REF!</definedName>
    <definedName name="_xlnm.Database" localSheetId="8">#REF!</definedName>
    <definedName name="_xlnm.Database">#REF!</definedName>
    <definedName name="Database_Notes" localSheetId="28" hidden="1">STATDATA!$R$1:$AB$1</definedName>
    <definedName name="Database_Parameters" localSheetId="28" hidden="1">STATDATA!$L$1:$M$30</definedName>
    <definedName name="Database_Trialbal" localSheetId="28" hidden="1">STATDATA!$A$1:$I$1</definedName>
    <definedName name="date">[4]上报资产负债表!$B$26</definedName>
    <definedName name="DEM">1/1.95583</definedName>
    <definedName name="dfa" localSheetId="8">[16]B!#REF!</definedName>
    <definedName name="dfa">[16]B!#REF!</definedName>
    <definedName name="E11关联" localSheetId="8">[17]source!#REF!</definedName>
    <definedName name="E11关联">[17]source!#REF!</definedName>
    <definedName name="EAS_Range_AccountDrCr" localSheetId="37">'9000A错报程序表'!$C$1</definedName>
    <definedName name="EAS_Range_AccountDrCr" localSheetId="40">'9000B对错报性质的评价'!$C$1</definedName>
    <definedName name="EAS_Range_AccountDrCr" localSheetId="41">'9000C错报评价'!$C$1</definedName>
    <definedName name="EAS_Range_AccountDrCr" localSheetId="42">'9000D对错报的沟通'!$C$1</definedName>
    <definedName name="EAS_Range_AccountDrCr" localSheetId="38">'9002B未更正错报（不包括披露错报）汇总表'!$C$1</definedName>
    <definedName name="EAS_Range_AccountDrCr" localSheetId="39">'9002C未更正披露错报汇总表'!$C$1</definedName>
    <definedName name="EAS_Range_AccountName" localSheetId="37">'9000A错报程序表'!$A$4</definedName>
    <definedName name="EAS_Range_AccountName" localSheetId="40">'9000B对错报性质的评价'!$A$4</definedName>
    <definedName name="EAS_Range_AccountName" localSheetId="41">'9000C错报评价'!$A$4</definedName>
    <definedName name="EAS_Range_AccountName" localSheetId="42">'9000D对错报的沟通'!$A$4</definedName>
    <definedName name="EAS_Range_AccountName" localSheetId="38">'9002B未更正错报（不包括披露错报）汇总表'!$A$4</definedName>
    <definedName name="EAS_Range_AccountName" localSheetId="39">'9002C未更正披露错报汇总表'!$A$4</definedName>
    <definedName name="EAS_Range_AuditProc" localSheetId="37">'9000A错报程序表'!$A$8:$K$26</definedName>
    <definedName name="EAS_Range_ClientName" localSheetId="37">'9000A错报程序表'!$B$3</definedName>
    <definedName name="EAS_Range_ClientName" localSheetId="40">'9000B对错报性质的评价'!$B$3</definedName>
    <definedName name="EAS_Range_ClientName" localSheetId="41">'9000C错报评价'!$B$3</definedName>
    <definedName name="EAS_Range_ClientName" localSheetId="42">'9000D对错报的沟通'!$B$3</definedName>
    <definedName name="EAS_Range_ClientName" localSheetId="38">'9002B未更正错报（不包括披露错报）汇总表'!$B$3</definedName>
    <definedName name="EAS_Range_ClientName" localSheetId="39">'9002C未更正披露错报汇总表'!$B$3</definedName>
    <definedName name="EAS_Range_PeriodEnd" localSheetId="37">'9000A错报程序表'!$B$5</definedName>
    <definedName name="EAS_Range_PeriodEnd" localSheetId="40">'9000B对错报性质的评价'!$B$5</definedName>
    <definedName name="EAS_Range_PeriodEnd" localSheetId="41">'9000C错报评价'!$B$5</definedName>
    <definedName name="EAS_Range_PeriodEnd" localSheetId="42">'9000D对错报的沟通'!$B$5</definedName>
    <definedName name="EAS_Range_PeriodEnd" localSheetId="38">'9002B未更正错报（不包括披露错报）汇总表'!$B$5</definedName>
    <definedName name="EAS_Range_PeriodEnd" localSheetId="39">'9002C未更正披露错报汇总表'!$B$5</definedName>
    <definedName name="EAS_Range_PreparedDate" localSheetId="37">'9000A错报程序表'!$A$2</definedName>
    <definedName name="EAS_Range_PreparedDate" localSheetId="40">'9000B对错报性质的评价'!$A$2</definedName>
    <definedName name="EAS_Range_PreparedDate" localSheetId="41">'9000C错报评价'!$A$2</definedName>
    <definedName name="EAS_Range_PreparedDate" localSheetId="42">'9000D对错报的沟通'!$A$2</definedName>
    <definedName name="EAS_Range_PreparedDate" localSheetId="38">'9002B未更正错报（不包括披露错报）汇总表'!$A$2</definedName>
    <definedName name="EAS_Range_PreparedDate" localSheetId="39">'9002C未更正披露错报汇总表'!$A$2</definedName>
    <definedName name="EAS_Range_Preparer" localSheetId="37">'9000A错报程序表'!$D$1</definedName>
    <definedName name="EAS_Range_Preparer" localSheetId="40">'9000B对错报性质的评价'!$D$1</definedName>
    <definedName name="EAS_Range_Preparer" localSheetId="41">'9000C错报评价'!$D$1</definedName>
    <definedName name="EAS_Range_Preparer" localSheetId="42">'9000D对错报的沟通'!$D$1</definedName>
    <definedName name="EAS_Range_Preparer" localSheetId="38">'9002B未更正错报（不包括披露错报）汇总表'!$D$1</definedName>
    <definedName name="EAS_Range_Preparer" localSheetId="39">'9002C未更正披露错报汇总表'!$D$1</definedName>
    <definedName name="EAS_Range_ReviewedDate" localSheetId="37">'9000A错报程序表'!$A$6</definedName>
    <definedName name="EAS_Range_ReviewedDate" localSheetId="40">'9000B对错报性质的评价'!$A$6</definedName>
    <definedName name="EAS_Range_ReviewedDate" localSheetId="41">'9000C错报评价'!$A$6</definedName>
    <definedName name="EAS_Range_ReviewedDate" localSheetId="42">'9000D对错报的沟通'!$A$6</definedName>
    <definedName name="EAS_Range_ReviewedDate" localSheetId="38">'9002B未更正错报（不包括披露错报）汇总表'!$A$6</definedName>
    <definedName name="EAS_Range_ReviewedDate" localSheetId="39">'9002C未更正披露错报汇总表'!$A$6</definedName>
    <definedName name="EAS_Range_Reviewer" localSheetId="37">'9000A错报程序表'!$A$5</definedName>
    <definedName name="EAS_Range_Reviewer" localSheetId="40">'9000B对错报性质的评价'!$A$5</definedName>
    <definedName name="EAS_Range_Reviewer" localSheetId="41">'9000C错报评价'!$A$5</definedName>
    <definedName name="EAS_Range_Reviewer" localSheetId="42">'9000D对错报的沟通'!$A$5</definedName>
    <definedName name="EAS_Range_Reviewer" localSheetId="38">'9002B未更正错报（不包括披露错报）汇总表'!$A$5</definedName>
    <definedName name="EAS_Range_Reviewer" localSheetId="39">'9002C未更正披露错报汇总表'!$A$5</definedName>
    <definedName name="EAS_Range_Subject" localSheetId="37">'9000A错报程序表'!$B$4</definedName>
    <definedName name="EAS_Range_Subject" localSheetId="40">'9000B对错报性质的评价'!$B$4</definedName>
    <definedName name="EAS_Range_Subject" localSheetId="41">'9000C错报评价'!$B$4</definedName>
    <definedName name="EAS_Range_Subject" localSheetId="42">'9000D对错报的沟通'!$B$4</definedName>
    <definedName name="EAS_Range_Subject" localSheetId="38">'9002B未更正错报（不包括披露错报）汇总表'!$B$4</definedName>
    <definedName name="EAS_Range_Subject" localSheetId="39">'9002C未更正披露错报汇总表'!$B$4</definedName>
    <definedName name="EAS_Range_TemplID" localSheetId="37">'9000A错报程序表'!$A$3</definedName>
    <definedName name="EAS_Range_TemplID" localSheetId="40">'9000B对错报性质的评价'!$A$3</definedName>
    <definedName name="EAS_Range_TemplID" localSheetId="41">'9000C错报评价'!$A$3</definedName>
    <definedName name="EAS_Range_TemplID" localSheetId="42">'9000D对错报的沟通'!$A$3</definedName>
    <definedName name="EAS_Range_TemplID" localSheetId="38">'9002B未更正错报（不包括披露错报）汇总表'!$A$3</definedName>
    <definedName name="EAS_Range_TemplID" localSheetId="39">'9002C未更正披露错报汇总表'!$A$3</definedName>
    <definedName name="EAS_Range_WPReference" localSheetId="37">'9000A错报程序表'!$B$1</definedName>
    <definedName name="EAS_Range_WPReference" localSheetId="40">'9000B对错报性质的评价'!$B$1</definedName>
    <definedName name="EAS_Range_WPReference" localSheetId="41">'9000C错报评价'!$B$1</definedName>
    <definedName name="EAS_Range_WPReference" localSheetId="42">'9000D对错报的沟通'!$B$1</definedName>
    <definedName name="EAS_Range_WPReference" localSheetId="38">'9002B未更正错报（不包括披露错报）汇总表'!$B$1</definedName>
    <definedName name="EAS_Range_WPReference" localSheetId="39">'9002C未更正披露错报汇总表'!$B$1</definedName>
    <definedName name="EAS_SheetType" localSheetId="37">"FSZ"</definedName>
    <definedName name="EAS_SheetType" localSheetId="40">"FSZ"</definedName>
    <definedName name="EAS_SheetType" localSheetId="41">"FSZ"</definedName>
    <definedName name="EAS_SheetType" localSheetId="42">"FSZ"</definedName>
    <definedName name="EAS_SheetType" localSheetId="38">"FSZ"</definedName>
    <definedName name="EAS_SheetType" localSheetId="39">"FSZ"</definedName>
    <definedName name="EAS_TemplVer" localSheetId="37" hidden="1">"19.09"</definedName>
    <definedName name="EAS_TemplVer" localSheetId="40" hidden="1">"19.09"</definedName>
    <definedName name="EAS_TemplVer" localSheetId="41" hidden="1">"19.09"</definedName>
    <definedName name="EAS_TemplVer" localSheetId="42" hidden="1">"19.09"</definedName>
    <definedName name="EAS_TemplVer" localSheetId="38" hidden="1">"19.09"</definedName>
    <definedName name="EAS_TemplVer" localSheetId="39" hidden="1">"19.09"</definedName>
    <definedName name="ending" localSheetId="8">#REF!</definedName>
    <definedName name="ending">#REF!</definedName>
    <definedName name="ESP">1/166.386</definedName>
    <definedName name="EUR">1.95583</definedName>
    <definedName name="ExRate" localSheetId="8">#REF!</definedName>
    <definedName name="ExRate">#REF!</definedName>
    <definedName name="EXT_INT_IN" localSheetId="8">#REF!</definedName>
    <definedName name="EXT_INT_IN">#REF!</definedName>
    <definedName name="FIM">1/5.94573</definedName>
    <definedName name="fl" localSheetId="8">#REF!</definedName>
    <definedName name="fl">#REF!</definedName>
    <definedName name="form">[4]上报资产负债表!$A$25</definedName>
    <definedName name="fp" localSheetId="8">#REF!</definedName>
    <definedName name="fp">#REF!</definedName>
    <definedName name="FRF">1/6.55957</definedName>
    <definedName name="Getdata">#N/A</definedName>
    <definedName name="IEP">1/0.787564</definedName>
    <definedName name="IndependentReviewer" localSheetId="8">#REF!</definedName>
    <definedName name="IndependentReviewer">#REF!</definedName>
    <definedName name="Int_prod" localSheetId="8">#REF!</definedName>
    <definedName name="Int_prod">#REF!</definedName>
    <definedName name="Intprod" localSheetId="8">#REF!</definedName>
    <definedName name="Intprod">#REF!</definedName>
    <definedName name="investment" localSheetId="8">#REF!</definedName>
    <definedName name="investment">#REF!</definedName>
    <definedName name="ITL">1/1936.27</definedName>
    <definedName name="jishanggongyingpin1" localSheetId="8">#REF!</definedName>
    <definedName name="jishanggongyingpin1">#REF!</definedName>
    <definedName name="jishanggongyingpin2" localSheetId="8">#REF!</definedName>
    <definedName name="jishanggongyingpin2">#REF!</definedName>
    <definedName name="KA_1" localSheetId="8">#REF!</definedName>
    <definedName name="KA_1">#REF!</definedName>
    <definedName name="KA_2" localSheetId="8">#REF!</definedName>
    <definedName name="KA_2">#REF!</definedName>
    <definedName name="last" localSheetId="8">#REF!</definedName>
    <definedName name="last">#REF!</definedName>
    <definedName name="Last_Year" localSheetId="8">#REF!</definedName>
    <definedName name="Last_Year">#REF!</definedName>
    <definedName name="LIQUID" localSheetId="8">[3]SCTB!#REF!</definedName>
    <definedName name="LIQUID">[3]SCTB!#REF!</definedName>
    <definedName name="LUF">1/40.3399</definedName>
    <definedName name="Macro1">#N/A</definedName>
    <definedName name="mno">[4]上报资产负债表!$B$6</definedName>
    <definedName name="month">[4]上报资产负债表!$B$8</definedName>
    <definedName name="name">[4]上报资产负债表!$B$1</definedName>
    <definedName name="new" localSheetId="8">#REF!</definedName>
    <definedName name="new">#REF!</definedName>
    <definedName name="NLG">1/2.20371</definedName>
    <definedName name="note">[18]source!$J$2:$J$4</definedName>
    <definedName name="NOTE_1015a" localSheetId="25" hidden="1">Notes!$E$21:$M$58</definedName>
    <definedName name="NOTE_1015b" localSheetId="25" hidden="1">Notes!$E$11:$I$19</definedName>
    <definedName name="NOTE_1015c" localSheetId="25" hidden="1">Notes!$E$60:$I$69</definedName>
    <definedName name="NOTE_1101a" localSheetId="25" hidden="1">Notes!$E$91:$I$107</definedName>
    <definedName name="NOTE_1102a" localSheetId="25" hidden="1">Notes!$E$72:$I$88</definedName>
    <definedName name="NOTE_1115a" localSheetId="25" hidden="1">Notes!$E$110:$I$118</definedName>
    <definedName name="NOTE_1121a" localSheetId="25" hidden="1">Notes!$E$131:$I$137</definedName>
    <definedName name="NOTE_1121b" localSheetId="25" hidden="1">Notes!$E$139:$H$145</definedName>
    <definedName name="NOTE_1121c" localSheetId="25" hidden="1">Notes!$E$161:$H$169</definedName>
    <definedName name="NOTE_1121d" localSheetId="25" hidden="1">Notes!$E$147:$I$159</definedName>
    <definedName name="NOTE_1121e" localSheetId="25" hidden="1">Notes!$E$121:$M$129</definedName>
    <definedName name="NOTE_1121f" localSheetId="25" hidden="1">Notes!$E$171:$L$184</definedName>
    <definedName name="NOTE_1121fCHKH01" localSheetId="25" hidden="1">Notes!$G$185:$M$191</definedName>
    <definedName name="NOTE_1121g" localSheetId="25" hidden="1">Notes!$E$193:$K$206</definedName>
    <definedName name="NOTE_1121gCHKH01" localSheetId="25" hidden="1">Notes!$G$207:$L$213</definedName>
    <definedName name="NOTE_1121h" localSheetId="25" hidden="1">Notes!$E$215:$J$228</definedName>
    <definedName name="NOTE_1121hCHKH01" localSheetId="25" hidden="1">Notes!$G$229:$K$235</definedName>
    <definedName name="NOTE_1121i" localSheetId="25" hidden="1">Notes!$E$252:$N$265</definedName>
    <definedName name="NOTE_1121iCHKH01" localSheetId="25" hidden="1">Notes!$G$266:$O$272</definedName>
    <definedName name="NOTE_1121j" localSheetId="25" hidden="1">Notes!$E$274:$I$285</definedName>
    <definedName name="NOTE_1121k" localSheetId="25" hidden="1">Notes!$E$287:$H$292</definedName>
    <definedName name="NOTE_1121l" localSheetId="25" hidden="1">Notes!$E$294:$L$305</definedName>
    <definedName name="NOTE_1121m" localSheetId="25" hidden="1">Notes!$E$307:$J$315</definedName>
    <definedName name="NOTE_1121n" localSheetId="25" hidden="1">Notes!$E$237:$J$250</definedName>
    <definedName name="NOTE_112202" localSheetId="25" hidden="1">Notes!$E$416:$J$429</definedName>
    <definedName name="NOTE_1122a" localSheetId="25" hidden="1">Notes!$E$486:$L$499</definedName>
    <definedName name="NOTE_1122b" localSheetId="25" hidden="1">Notes!$E$501:$L$514</definedName>
    <definedName name="NOTE_1122c" localSheetId="25" hidden="1">Notes!$E$669:$J$677</definedName>
    <definedName name="NOTE_1122d" localSheetId="25" hidden="1">Notes!$E$536:$J$551</definedName>
    <definedName name="NOTE_1122dCHKH01" localSheetId="25" hidden="1">Notes!$G$552:$K$558</definedName>
    <definedName name="NOTE_1122e" localSheetId="25" hidden="1">Notes!$E$560:$K$568</definedName>
    <definedName name="NOTE_1122f" localSheetId="25" hidden="1">Notes!$E$570:$L$578</definedName>
    <definedName name="NOTE_1122g" localSheetId="25" hidden="1">Notes!$E$516:$K$527</definedName>
    <definedName name="NOTE_1122gCHKH01" localSheetId="25" hidden="1">Notes!$G$528:$L$534</definedName>
    <definedName name="NOTE_1122h" localSheetId="25" hidden="1">Notes!$E$602:$I$610</definedName>
    <definedName name="NOTE_1122i" localSheetId="25" hidden="1">Notes!$E$619:$L$628</definedName>
    <definedName name="NOTE_1122j" localSheetId="25" hidden="1">Notes!$E$318:$I$333</definedName>
    <definedName name="NOTE_1122k" localSheetId="25" hidden="1">Notes!$E$630:$J$647</definedName>
    <definedName name="NOTE_1122l" localSheetId="25" hidden="1">Notes!$E$679:$K$688</definedName>
    <definedName name="NOTE_1122m" localSheetId="25" hidden="1">Notes!$E$649:$J$657</definedName>
    <definedName name="NOTE_1122n" localSheetId="25" hidden="1">Notes!$E$659:$J$667</definedName>
    <definedName name="NOTE_1122p" localSheetId="25" hidden="1">Notes!$E$335:$L$348</definedName>
    <definedName name="NOTE_1122pCHKH01" localSheetId="25" hidden="1">Notes!$G$349:$M$355</definedName>
    <definedName name="NOTE_1122q" localSheetId="25" hidden="1">Notes!$E$431:$L$440</definedName>
    <definedName name="NOTE_1122qCHKH01" localSheetId="25" hidden="1">Notes!$G$441:$M$447</definedName>
    <definedName name="NOTE_1122r" localSheetId="25" hidden="1">Notes!$E$357:$K$370</definedName>
    <definedName name="NOTE_1122rCHKH01" localSheetId="25" hidden="1">Notes!$G$371:$L$377</definedName>
    <definedName name="NOTE_1122s" localSheetId="25" hidden="1">Notes!$E$379:$J$392</definedName>
    <definedName name="NOTE_1122sCHKH01" localSheetId="25" hidden="1">Notes!$G$393:$K$399</definedName>
    <definedName name="NOTE_1122t" localSheetId="25" hidden="1">Notes!$E$401:$J$414</definedName>
    <definedName name="NOTE_1122u" localSheetId="25" hidden="1">Notes!$E$580:$N$593</definedName>
    <definedName name="NOTE_1122uCHKH01" localSheetId="25" hidden="1">Notes!$G$594:$O$600</definedName>
    <definedName name="NOTE_1122v" localSheetId="25" hidden="1">Notes!$E$612:$H$617</definedName>
    <definedName name="NOTE_1122x" localSheetId="25" hidden="1">Notes!$E$690:$N$697</definedName>
    <definedName name="NOTE_1122y" localSheetId="25" hidden="1">Notes!$E$449:$K$460</definedName>
    <definedName name="NOTE_1122yCHKH01" localSheetId="25" hidden="1">Notes!$G$461:$L$467</definedName>
    <definedName name="NOTE_1122z" localSheetId="25" hidden="1">Notes!$E$469:$J$484</definedName>
    <definedName name="NOTE_1124a" localSheetId="25" hidden="1">Notes!$E$700:$I$706</definedName>
    <definedName name="NOTE_1124b" localSheetId="25" hidden="1">Notes!$E$708:$K$721</definedName>
    <definedName name="NOTE_1124c" localSheetId="25" hidden="1">Notes!$E$723:$K$733</definedName>
    <definedName name="NOTE_1124cCHKH01" localSheetId="25" hidden="1">Notes!$G$734:$L$740</definedName>
    <definedName name="NOTE_1124d" localSheetId="25" hidden="1">Notes!$E$742:$K$755</definedName>
    <definedName name="NOTE_1124dCHKH01" localSheetId="25" hidden="1">Notes!$G$756:$L$762</definedName>
    <definedName name="NOTE_1124e" localSheetId="25" hidden="1">Notes!$E$764:$K$777</definedName>
    <definedName name="NOTE_1124f" localSheetId="25" hidden="1">Notes!$E$850:$N$858</definedName>
    <definedName name="NOTE_1124g" localSheetId="25" hidden="1">Notes!$E$779:$K$792</definedName>
    <definedName name="NOTE_1124h" localSheetId="25" hidden="1">Notes!$E$794:$K$804</definedName>
    <definedName name="NOTE_1124hCHKH01" localSheetId="25" hidden="1">Notes!$G$805:$L$811</definedName>
    <definedName name="NOTE_1124i" localSheetId="25" hidden="1">Notes!$E$813:$K$826</definedName>
    <definedName name="NOTE_1124iCHKH01" localSheetId="25" hidden="1">Notes!$G$827:$L$833</definedName>
    <definedName name="NOTE_1124j" localSheetId="25" hidden="1">Notes!$E$835:$K$848</definedName>
    <definedName name="NOTE_1125a" localSheetId="25" hidden="1">Notes!$E$861:$K$871</definedName>
    <definedName name="NOTE_1125c" localSheetId="25" hidden="1">Notes!$E$873:$I$890</definedName>
    <definedName name="NOTE_1125d" localSheetId="25" hidden="1">Notes!$E$892:$J$900</definedName>
    <definedName name="NOTE_1125e" localSheetId="25" hidden="1">Notes!$E$912:$I$920</definedName>
    <definedName name="NOTE_1125f" localSheetId="25" hidden="1">Notes!$E$902:$I$910</definedName>
    <definedName name="NOTE_1125x" localSheetId="25" hidden="1">Notes!$E$922:$P$933</definedName>
    <definedName name="NOTE_1131a" localSheetId="25" hidden="1">Notes!$E$969:$I$977</definedName>
    <definedName name="NOTE_1131b" localSheetId="25" hidden="1">Notes!$E$979:$K$987</definedName>
    <definedName name="NOTE_1132a" localSheetId="25" hidden="1">Notes!$E$946:$I$956</definedName>
    <definedName name="NOTE_1132b" localSheetId="25" hidden="1">Notes!$E$958:$K$966</definedName>
    <definedName name="NOTE_1220a" localSheetId="25" hidden="1">Notes!$E$936:$I$943</definedName>
    <definedName name="NOTE_122100" localSheetId="25" hidden="1">Notes!$E$1029:$J$1036</definedName>
    <definedName name="NOTE_122100CHKH01" localSheetId="25" hidden="1">Notes!$G$1037:$K$1043</definedName>
    <definedName name="NOTE_122101" localSheetId="25" hidden="1">Notes!$E$1045:$L$1057</definedName>
    <definedName name="NOTE_122102" localSheetId="25" hidden="1">Notes!$E$1133:$L$1145</definedName>
    <definedName name="NOTE_122103" localSheetId="25" hidden="1">Notes!$E$1221:$L$1234</definedName>
    <definedName name="NOTE_122104" localSheetId="25" hidden="1">Notes!$E$1494:$K$1511</definedName>
    <definedName name="NOTE_122111" localSheetId="25" hidden="1">Notes!$E$1059:$K$1072</definedName>
    <definedName name="NOTE_122111CHKH01" localSheetId="25" hidden="1">Notes!$G$1073:$L$1079</definedName>
    <definedName name="NOTE_122112" localSheetId="25" hidden="1">Notes!$E$1081:$J$1094</definedName>
    <definedName name="NOTE_122112CHKH01" localSheetId="25" hidden="1">Notes!$G$1095:$K$1101</definedName>
    <definedName name="NOTE_122113" localSheetId="25" hidden="1">Notes!$E$1103:$J$1116</definedName>
    <definedName name="NOTE_122114" localSheetId="25" hidden="1">Notes!$E$1118:$J$1131</definedName>
    <definedName name="NOTE_122121" localSheetId="25" hidden="1">Notes!$E$1147:$K$1160</definedName>
    <definedName name="NOTE_122121CHKH01" localSheetId="25" hidden="1">Notes!$G$1161:$L$1167</definedName>
    <definedName name="NOTE_122122" localSheetId="25" hidden="1">Notes!$E$1169:$J$1182</definedName>
    <definedName name="NOTE_122122CHKH01" localSheetId="25" hidden="1">Notes!$G$1183:$K$1189</definedName>
    <definedName name="NOTE_122123" localSheetId="25" hidden="1">Notes!$E$1191:$J$1204</definedName>
    <definedName name="NOTE_122124" localSheetId="25" hidden="1">Notes!$E$1206:$J$1219</definedName>
    <definedName name="NOTE_122131" localSheetId="25" hidden="1">Notes!$E$1236:$K$1249</definedName>
    <definedName name="NOTE_122131CHKH01" localSheetId="25" hidden="1">Notes!$G$1250:$L$1256</definedName>
    <definedName name="NOTE_122132" localSheetId="25" hidden="1">Notes!$E$1258:$J$1271</definedName>
    <definedName name="NOTE_122132CHKH01" localSheetId="25" hidden="1">Notes!$G$1272:$K$1278</definedName>
    <definedName name="NOTE_122133" localSheetId="25" hidden="1">Notes!$E$1280:$J$1293</definedName>
    <definedName name="NOTE_122134" localSheetId="25" hidden="1">Notes!$E$1295:$J$1308</definedName>
    <definedName name="NOTE_1221a" localSheetId="25" hidden="1">Notes!$E$1368:$L$1381</definedName>
    <definedName name="NOTE_1221aCHKH01" localSheetId="25" hidden="1">Notes!$G$1382:$M$1388</definedName>
    <definedName name="NOTE_1221b" localSheetId="25" hidden="1">Notes!$E$1390:$L$1403</definedName>
    <definedName name="NOTE_1221bCHKH01" localSheetId="25" hidden="1">Notes!$G$1404:$M$1410</definedName>
    <definedName name="NOTE_1221c" localSheetId="25" hidden="1">Notes!$E$1590:$J$1598</definedName>
    <definedName name="NOTE_1221d" localSheetId="25" hidden="1">Notes!$E$1431:$L$1443</definedName>
    <definedName name="NOTE_1221dCHKH01" localSheetId="25" hidden="1">Notes!$G$1444:$M$1450</definedName>
    <definedName name="NOTE_1221e" localSheetId="25" hidden="1">Notes!$E$1452:$K$1460</definedName>
    <definedName name="NOTE_1221f" localSheetId="25" hidden="1">Notes!$E$1462:$L$1470</definedName>
    <definedName name="NOTE_1221g" localSheetId="25" hidden="1">Notes!$E$1412:$K$1422</definedName>
    <definedName name="NOTE_1221gCHKH01" localSheetId="25" hidden="1">Notes!$G$1423:$L$1429</definedName>
    <definedName name="NOTE_1221h" localSheetId="25" hidden="1">Notes!$E$1513:$I$1521</definedName>
    <definedName name="NOTE_1221i" localSheetId="25" hidden="1">Notes!$E$1530:$L$1539</definedName>
    <definedName name="NOTE_1221j" localSheetId="25" hidden="1">Notes!$E$990:$I$1006</definedName>
    <definedName name="NOTE_1221jCHKH01" localSheetId="25" hidden="1">Notes!$G$1007:$J$1013</definedName>
    <definedName name="NOTE_1221k" localSheetId="25" hidden="1">Notes!$E$1541:$L$1558</definedName>
    <definedName name="NOTE_1221l" localSheetId="25" hidden="1">Notes!$E$1015:$I$1027</definedName>
    <definedName name="NOTE_1221m" localSheetId="25" hidden="1">Notes!$E$1600:$K$1608</definedName>
    <definedName name="NOTE_1221n" localSheetId="25" hidden="1">Notes!$E$1570:$J$1578</definedName>
    <definedName name="NOTE_1221o" localSheetId="25" hidden="1">Notes!$E$1580:$J$1588</definedName>
    <definedName name="NOTE_1221r" localSheetId="25" hidden="1">Notes!$E$1560:$K$1568</definedName>
    <definedName name="NOTE_1221t" localSheetId="25" hidden="1">Notes!$E$1310:$L$1320</definedName>
    <definedName name="NOTE_1221tCHKH01" localSheetId="25" hidden="1">Notes!$G$1321:$M$1327</definedName>
    <definedName name="NOTE_1221v" localSheetId="25" hidden="1">Notes!$E$1329:$K$1342</definedName>
    <definedName name="NOTE_1221vCHKH01" localSheetId="25" hidden="1">Notes!$G$1343:$L$1349</definedName>
    <definedName name="NOTE_1221w" localSheetId="25" hidden="1">Notes!$E$1351:$J$1366</definedName>
    <definedName name="NOTE_1221x" localSheetId="25" hidden="1">Notes!$E$1610:$N$1617</definedName>
    <definedName name="NOTE_1221y" localSheetId="25" hidden="1">Notes!$E$1472:$N$1485</definedName>
    <definedName name="NOTE_1221yCHKH01" localSheetId="25" hidden="1">Notes!$G$1486:$O$1492</definedName>
    <definedName name="NOTE_1221z" localSheetId="25" hidden="1">Notes!$E$1523:$H$1528</definedName>
    <definedName name="NOTE_1315b" localSheetId="25" hidden="1">Notes!$E$1767:$K$1775</definedName>
    <definedName name="NOTE_1315f" localSheetId="25" hidden="1">Notes!$E$1777:$L$1790</definedName>
    <definedName name="NOTE_1400a" localSheetId="25" hidden="1">Notes!$E$1620:$M$1637</definedName>
    <definedName name="NOTE_1400b" localSheetId="25" hidden="1">Notes!$E$1639:$M$1656</definedName>
    <definedName name="NOTE_1400c" localSheetId="25" hidden="1">Notes!$E$1739:$K$1754</definedName>
    <definedName name="NOTE_1400d" localSheetId="25" hidden="1">Notes!$E$1685:$M$1693</definedName>
    <definedName name="NOTE_1400dCHKH01" localSheetId="25" hidden="1">Notes!$G$1694:$N$1700</definedName>
    <definedName name="NOTE_1400e" localSheetId="25" hidden="1">Notes!$E$1702:$M$1710</definedName>
    <definedName name="NOTE_1400eCHKH01" localSheetId="25" hidden="1">Notes!$G$1711:$N$1717</definedName>
    <definedName name="NOTE_1400g" localSheetId="25" hidden="1">Notes!$E$1719:$K$1727</definedName>
    <definedName name="NOTE_1400h" localSheetId="25" hidden="1">Notes!$E$1668:$H$1676</definedName>
    <definedName name="NOTE_1400hCHKH01" localSheetId="25" hidden="1">Notes!$G$1677:$I$1683</definedName>
    <definedName name="NOTE_1400s" localSheetId="25" hidden="1">Notes!$E$1729:$J$1737</definedName>
    <definedName name="NOTE_1400t" localSheetId="25" hidden="1">Notes!$E$1658:$I$1666</definedName>
    <definedName name="NOTE_1400x" localSheetId="25" hidden="1">Notes!$E$1756:$Q$1764</definedName>
    <definedName name="NOTE_1495a" localSheetId="25" hidden="1">Notes!$E$1793:$I$1800</definedName>
    <definedName name="NOTE_1495b" localSheetId="25" hidden="1">Notes!$E$1802:$O$1812</definedName>
    <definedName name="NOTE_1496a" localSheetId="25" hidden="1">Notes!$E$1815:$I$1823</definedName>
    <definedName name="NOTE_1501a" localSheetId="25" hidden="1">Notes!$E$2160:$M$2172</definedName>
    <definedName name="NOTE_1501d" localSheetId="25" hidden="1">Notes!$E$2174:$K$2182</definedName>
    <definedName name="NOTE_1501e" localSheetId="25" hidden="1">Notes!$E$2184:$J$2192</definedName>
    <definedName name="NOTE_1501f" localSheetId="25" hidden="1">Notes!$E$2194:$J$2202</definedName>
    <definedName name="NOTE_1503a" localSheetId="25" hidden="1">Notes!$E$1950:$M$1962</definedName>
    <definedName name="NOTE_1503d" localSheetId="25" hidden="1">Notes!$E$2016:$M$2022</definedName>
    <definedName name="NOTE_1503e" localSheetId="25" hidden="1">Notes!$E$1964:$K$1972</definedName>
    <definedName name="NOTE_1503g" localSheetId="25" hidden="1">Notes!$E$2024:$M$2032</definedName>
    <definedName name="NOTE_1503i" localSheetId="25" hidden="1">Notes!$E$1974:$K$1987</definedName>
    <definedName name="NOTE_1503j" localSheetId="25" hidden="1">Notes!$E$1989:$M$2002</definedName>
    <definedName name="NOTE_1503k" localSheetId="25" hidden="1">Notes!$E$2004:$J$2014</definedName>
    <definedName name="NOTE_1505a" localSheetId="25" hidden="1">Notes!$E$1826:$M$1839</definedName>
    <definedName name="NOTE_1505b" localSheetId="25" hidden="1">Notes!$E$1841:$O$1854</definedName>
    <definedName name="NOTE_1505c" localSheetId="25" hidden="1">Notes!$E$1872:$L$1883</definedName>
    <definedName name="NOTE_1505d" localSheetId="25" hidden="1">Notes!$E$1885:$L$1896</definedName>
    <definedName name="NOTE_1505e" localSheetId="25" hidden="1">Notes!$E$1898:$L$1909</definedName>
    <definedName name="NOTE_1505f" localSheetId="25" hidden="1">Notes!$E$1930:$K$1947</definedName>
    <definedName name="NOTE_1505g" localSheetId="25" hidden="1">Notes!$E$1856:$J$1863</definedName>
    <definedName name="NOTE_1505gCHKH01" localSheetId="25" hidden="1">Notes!$G$1864:$K$1870</definedName>
    <definedName name="NOTE_1505k" localSheetId="25" hidden="1">Notes!$E$1911:$N$1921</definedName>
    <definedName name="NOTE_1505kCHKH01" localSheetId="25" hidden="1">Notes!$G$1922:$O$1928</definedName>
    <definedName name="NOTE_1508a" localSheetId="25" hidden="1">Notes!$E$2035:$Q$2049</definedName>
    <definedName name="NOTE_1508b" localSheetId="25" hidden="1">Notes!$E$2051:$O$2064</definedName>
    <definedName name="NOTE_1508c" localSheetId="25" hidden="1">Notes!$E$2066:$I$2073</definedName>
    <definedName name="NOTE_1508cCHKH01" localSheetId="25" hidden="1">Notes!$G$2074:$J$2080</definedName>
    <definedName name="NOTE_1508d" localSheetId="25" hidden="1">Notes!$E$2082:$K$2093</definedName>
    <definedName name="NOTE_1508e" localSheetId="25" hidden="1">Notes!$E$2095:$K$2106</definedName>
    <definedName name="NOTE_1508f" localSheetId="25" hidden="1">Notes!$E$2108:$K$2119</definedName>
    <definedName name="NOTE_1508g" localSheetId="25" hidden="1">Notes!$E$2140:$K$2157</definedName>
    <definedName name="NOTE_1508k" localSheetId="25" hidden="1">Notes!$E$2121:$N$2131</definedName>
    <definedName name="NOTE_1508kCHKH01" localSheetId="25" hidden="1">Notes!$G$2132:$O$2138</definedName>
    <definedName name="NOTE_1511b" localSheetId="25" hidden="1">Notes!$E$2466:$R$2497</definedName>
    <definedName name="NOTE_1511c" localSheetId="25" hidden="1">Notes!$E$2415:$M$2425</definedName>
    <definedName name="NOTE_1511cCHKH01" localSheetId="25" hidden="1">Notes!$G$2426:$N$2432</definedName>
    <definedName name="NOTE_1511d" localSheetId="25" hidden="1">Notes!$E$2434:$M$2457</definedName>
    <definedName name="NOTE_1511dCHKH01" localSheetId="25" hidden="1">Notes!$G$2458:$N$2464</definedName>
    <definedName name="NOTE_1521b" localSheetId="25" hidden="1">Notes!$E$2602:$K$2619</definedName>
    <definedName name="NOTE_1521c" localSheetId="25" hidden="1">Notes!$E$2621:$I$2629</definedName>
    <definedName name="NOTE_1521h" localSheetId="25" hidden="1">Notes!$E$2560:$K$2600</definedName>
    <definedName name="NOTE_1521s" localSheetId="25" hidden="1">Notes!$E$2631:$L$2639</definedName>
    <definedName name="NOTE_1531a" localSheetId="25" hidden="1">Notes!$E$2205:$N$2219</definedName>
    <definedName name="NOTE_1531b" localSheetId="25" hidden="1">Notes!$E$2394:$I$2402</definedName>
    <definedName name="NOTE_1531c" localSheetId="25" hidden="1">Notes!$E$2371:$J$2379</definedName>
    <definedName name="NOTE_1531f" localSheetId="25" hidden="1">Notes!$E$2404:$J$2412</definedName>
    <definedName name="NOTE_1531g" localSheetId="25" hidden="1">Notes!$E$2333:$N$2343</definedName>
    <definedName name="NOTE_1531gCHKH01" localSheetId="25" hidden="1">Notes!$G$2344:$O$2350</definedName>
    <definedName name="NOTE_1531h" localSheetId="25" hidden="1">Notes!$E$2296:$K$2309</definedName>
    <definedName name="NOTE_1531hCHKH01" localSheetId="25" hidden="1">Notes!$G$2310:$L$2316</definedName>
    <definedName name="NOTE_1531i" localSheetId="25" hidden="1">Notes!$E$2237:$L$2248</definedName>
    <definedName name="NOTE_1531j" localSheetId="25" hidden="1">Notes!$E$2250:$L$2261</definedName>
    <definedName name="NOTE_1531k" localSheetId="25" hidden="1">Notes!$E$2263:$L$2274</definedName>
    <definedName name="NOTE_1531m" localSheetId="25" hidden="1">Notes!$E$2318:$J$2331</definedName>
    <definedName name="NOTE_1531p" localSheetId="25" hidden="1">Notes!$E$2276:$L$2287</definedName>
    <definedName name="NOTE_1531pCHKH01" localSheetId="25" hidden="1">Notes!$G$2288:$M$2294</definedName>
    <definedName name="NOTE_1531q" localSheetId="25" hidden="1">Notes!$E$2352:$K$2369</definedName>
    <definedName name="NOTE_1531s" localSheetId="25" hidden="1">Notes!$E$2381:$J$2392</definedName>
    <definedName name="NOTE_1531t" localSheetId="25" hidden="1">Notes!$E$2221:$J$2228</definedName>
    <definedName name="NOTE_1531tCHKH01" localSheetId="25" hidden="1">Notes!$G$2229:$K$2235</definedName>
    <definedName name="NOTE_1535c" localSheetId="25" hidden="1">Notes!$E$2621:$I$2629</definedName>
    <definedName name="NOTE_1538a" localSheetId="25" hidden="1">Notes!$E$2500:$I$2507</definedName>
    <definedName name="NOTE_1538b" localSheetId="25" hidden="1">Notes!$E$2509:$M$2520</definedName>
    <definedName name="NOTE_1539a" localSheetId="25" hidden="1">Notes!$E$2523:$I$2531</definedName>
    <definedName name="NOTE_1539b" localSheetId="25" hidden="1">Notes!$E$2533:$M$2544</definedName>
    <definedName name="NOTE_1539c" localSheetId="25" hidden="1">Notes!$E$2546:$K$2557</definedName>
    <definedName name="NOTE_1601b" localSheetId="25" hidden="1">Notes!$E$2708:$L$2720</definedName>
    <definedName name="NOTE_1601c" localSheetId="25" hidden="1">Notes!$E$2722:$K$2734</definedName>
    <definedName name="NOTE_1601d" localSheetId="25" hidden="1">Notes!$E$2736:$H$2749</definedName>
    <definedName name="NOTE_1601f" localSheetId="25" hidden="1">Notes!$E$2764:$M$2772</definedName>
    <definedName name="NOTE_1601k" localSheetId="25" hidden="1">Notes!$E$2651:$P$2699</definedName>
    <definedName name="NOTE_1601kCHKH01" localSheetId="25" hidden="1">Notes!$G$2700:$Q$2706</definedName>
    <definedName name="NOTE_1601l" localSheetId="25" hidden="1">Notes!$E$2751:$I$2762</definedName>
    <definedName name="NOTE_1601s" localSheetId="25" hidden="1">Notes!$E$2774:$L$2782</definedName>
    <definedName name="NOTE_1601x" localSheetId="25" hidden="1">Notes!$E$2784:$I$2797</definedName>
    <definedName name="NOTE_1604a" localSheetId="25" hidden="1">Notes!$E$2833:$M$2848</definedName>
    <definedName name="NOTE_1604b" localSheetId="25" hidden="1">Notes!$E$2850:$M$2863</definedName>
    <definedName name="NOTE_1604c" localSheetId="25" hidden="1">Notes!$E$2865:$M$2878</definedName>
    <definedName name="NOTE_1604d" localSheetId="25" hidden="1">Notes!$E$2900:$I$2908</definedName>
    <definedName name="NOTE_1604g" localSheetId="25" hidden="1">Notes!$E$2880:$J$2891</definedName>
    <definedName name="NOTE_1604gCHKH01" localSheetId="25" hidden="1">Notes!$G$2892:$K$2898</definedName>
    <definedName name="NOTE_1605a" localSheetId="25" hidden="1">Notes!$E$2911:$M$2920</definedName>
    <definedName name="NOTE_1606a" localSheetId="25" hidden="1">Notes!$E$2813:$L$2821</definedName>
    <definedName name="NOTE_1606b" localSheetId="25" hidden="1">Notes!$E$2800:$I$2811</definedName>
    <definedName name="NOTE_1611a" localSheetId="25" hidden="1">Notes!$E$2642:$I$2648</definedName>
    <definedName name="NOTE_1616a" localSheetId="25" hidden="1">Notes!$E$2824:$I$2830</definedName>
    <definedName name="NOTE_1621b" localSheetId="25" hidden="1">Notes!$E$2985:$P$3006</definedName>
    <definedName name="NOTE_1621c" localSheetId="25" hidden="1">Notes!$E$2923:$O$2983</definedName>
    <definedName name="NOTE_1631b" localSheetId="25" hidden="1">Notes!$E$3009:$L$3043</definedName>
    <definedName name="NOTE_1700a" localSheetId="25" hidden="1">Notes!$E$3176:$K$3176</definedName>
    <definedName name="NOTE_1700b" localSheetId="25" hidden="1">Notes!$E$3178:$P$3188</definedName>
    <definedName name="NOTE_1701a" localSheetId="25" hidden="1">Notes!$E$3046:$P$3107</definedName>
    <definedName name="NOTE_1701aCHKH01" localSheetId="25" hidden="1">Notes!$G$3108:$Q$3114</definedName>
    <definedName name="NOTE_1701e" localSheetId="25" hidden="1">Notes!$E$3129:$L$3137</definedName>
    <definedName name="NOTE_1701f" localSheetId="25" hidden="1">Notes!$E$3116:$I$3127</definedName>
    <definedName name="NOTE_1701g" localSheetId="25" hidden="1">Notes!$E$3139:$L$3150</definedName>
    <definedName name="NOTE_1701h" localSheetId="25" hidden="1">Notes!$E$3152:$P$3163</definedName>
    <definedName name="NOTE_1701x" localSheetId="25" hidden="1">Notes!$E$3165:$I$3175</definedName>
    <definedName name="NOTE_1704a" localSheetId="25" hidden="1">Notes!$E$5211:$J$5275</definedName>
    <definedName name="NOTE_1711a" localSheetId="25" hidden="1">Notes!$E$3191:$M$3201</definedName>
    <definedName name="NOTE_1711b" localSheetId="25" hidden="1">Notes!$E$3203:$M$3213</definedName>
    <definedName name="NOTE_1801a" localSheetId="25" hidden="1">Notes!$E$3216:$L$3226</definedName>
    <definedName name="NOTE_1801x" localSheetId="25" hidden="1">Notes!$E$3228:$I$3238</definedName>
    <definedName name="NOTE_1811a" localSheetId="25" hidden="1">Notes!$E$3240:$K$3240</definedName>
    <definedName name="NOTE_1829a" localSheetId="25" hidden="1">Notes!$E$3243:$K$3257</definedName>
    <definedName name="NOTE_1829b" localSheetId="25" hidden="1">Notes!$E$3259:$K$3270</definedName>
    <definedName name="NOTE_1829c" localSheetId="25" hidden="1">Notes!$E$3272:$K$3277</definedName>
    <definedName name="NOTE_1829e" localSheetId="25" hidden="1">Notes!$E$3279:$I$3287</definedName>
    <definedName name="NOTE_1829f" localSheetId="25" hidden="1">Notes!$E$3289:$J$3299</definedName>
    <definedName name="NOTE_1829fCHKH01" localSheetId="25" hidden="1">Notes!$G$3300:$J$3306</definedName>
    <definedName name="NOTE_1996a" localSheetId="25" hidden="1">Notes!$E$3309:$I$3319</definedName>
    <definedName name="NOTE_1997a" localSheetId="25" hidden="1">Notes!$E$5197:$I$5208</definedName>
    <definedName name="NOTE_2001a" localSheetId="25" hidden="1">Notes!$E$3322:$I$3330</definedName>
    <definedName name="NOTE_2001b" localSheetId="25" hidden="1">Notes!$E$3362:$K$3371</definedName>
    <definedName name="NOTE_2001c" localSheetId="25" hidden="1">Notes!$E$3373:$J$3381</definedName>
    <definedName name="NOTE_2001d" localSheetId="25" hidden="1">Notes!$E$3332:$J$3340</definedName>
    <definedName name="NOTE_2001e" localSheetId="25" hidden="1">Notes!$E$3342:$J$3350</definedName>
    <definedName name="NOTE_2001f" localSheetId="25" hidden="1">Notes!$E$3352:$J$3360</definedName>
    <definedName name="NOTE_2101a" localSheetId="25" hidden="1">Notes!$E$3412:$I$3421</definedName>
    <definedName name="NOTE_2102a" localSheetId="25" hidden="1">Notes!$E$3384:$K$3395</definedName>
    <definedName name="NOTE_2102b" localSheetId="25" hidden="1">Notes!$E$3397:$J$3409</definedName>
    <definedName name="NOTE_2115a" localSheetId="25" hidden="1">Notes!$E$3424:$I$3432</definedName>
    <definedName name="NOTE_2201a" localSheetId="25" hidden="1">Notes!$E$3435:$I$3443</definedName>
    <definedName name="NOTE_2202a" localSheetId="25" hidden="1">Notes!$E$3474:$I$3482</definedName>
    <definedName name="NOTE_2202c" localSheetId="25" hidden="1">Notes!$E$3494:$I$3502</definedName>
    <definedName name="NOTE_2202d" localSheetId="25" hidden="1">Notes!$E$3484:$J$3492</definedName>
    <definedName name="NOTE_2202e" localSheetId="25" hidden="1">Notes!$E$3446:$I$3455</definedName>
    <definedName name="NOTE_2202f" localSheetId="25" hidden="1">Notes!$E$3457:$I$3465</definedName>
    <definedName name="NOTE_2202fCHKH01" localSheetId="25" hidden="1">Notes!$G$3466:$J$3472</definedName>
    <definedName name="NOTE_2202g" localSheetId="25" hidden="1">Notes!$E$3504:$J$3512</definedName>
    <definedName name="NOTE_2202x" localSheetId="25" hidden="1">Notes!$E$3514:$I$3531</definedName>
    <definedName name="NOTE_2205a" localSheetId="25" hidden="1">Notes!$E$3561:$I$3569</definedName>
    <definedName name="NOTE_2205c" localSheetId="25" hidden="1">Notes!$E$3591:$I$3599</definedName>
    <definedName name="NOTE_2205e" localSheetId="25" hidden="1">Notes!$E$3581:$K$3589</definedName>
    <definedName name="NOTE_2205f" localSheetId="25" hidden="1">Notes!$E$3534:$I$3542</definedName>
    <definedName name="NOTE_2205g" localSheetId="25" hidden="1">Notes!$E$3544:$I$3552</definedName>
    <definedName name="NOTE_2205gCHKH01" localSheetId="25" hidden="1">Notes!$G$3553:$J$3559</definedName>
    <definedName name="NOTE_2205h" localSheetId="25" hidden="1">Notes!$E$3571:$H$3579</definedName>
    <definedName name="NOTE_2205x" localSheetId="25" hidden="1">Notes!$E$3601:$I$3618</definedName>
    <definedName name="NOTE_2211a" localSheetId="25" hidden="1">Notes!$E$3621:$K$3629</definedName>
    <definedName name="NOTE_2211b" localSheetId="25" hidden="1">Notes!$E$3631:$K$3651</definedName>
    <definedName name="NOTE_2211bCHKH01" localSheetId="25" hidden="1">Notes!$G$3652:$L$3658</definedName>
    <definedName name="NOTE_2211c" localSheetId="25" hidden="1">Notes!$E$3660:$K$3675</definedName>
    <definedName name="NOTE_2211cCHKH01" localSheetId="25" hidden="1">Notes!$G$3676:$L$3682</definedName>
    <definedName name="NOTE_2211d" localSheetId="25" hidden="1">Notes!$E$3684:$K$3714</definedName>
    <definedName name="NOTE_2211x" localSheetId="25" hidden="1">Notes!$E$3716:$I$3727</definedName>
    <definedName name="NOTE_2221a" localSheetId="25" hidden="1">Notes!$E$3730:$K$3747</definedName>
    <definedName name="NOTE_2221x" localSheetId="25" hidden="1">Notes!$E$3749:$K$3760</definedName>
    <definedName name="NOTE_2231a" localSheetId="25" hidden="1">Notes!$E$3773:$I$3791</definedName>
    <definedName name="NOTE_2231b" localSheetId="25" hidden="1">Notes!$E$3793:$I$3801</definedName>
    <definedName name="NOTE_2232a" localSheetId="25" hidden="1">Notes!$E$3804:$I$3819</definedName>
    <definedName name="NOTE_2232b" localSheetId="25" hidden="1">Notes!$E$3821:$I$3829</definedName>
    <definedName name="NOTE_2241a" localSheetId="25" hidden="1">Notes!$E$3889:$I$3897</definedName>
    <definedName name="NOTE_2241b" localSheetId="25" hidden="1">Notes!$E$3869:$J$3877</definedName>
    <definedName name="NOTE_2241c" localSheetId="25" hidden="1">Notes!$E$3859:$I$3867</definedName>
    <definedName name="NOTE_2241e" localSheetId="25" hidden="1">Notes!$E$3832:$I$3840</definedName>
    <definedName name="NOTE_2241f" localSheetId="25" hidden="1">Notes!$E$3842:$I$3850</definedName>
    <definedName name="NOTE_2241fCHKH01" localSheetId="25" hidden="1">Notes!$G$3851:$J$3857</definedName>
    <definedName name="NOTE_2241g" localSheetId="25" hidden="1">Notes!$E$3879:$J$3887</definedName>
    <definedName name="NOTE_2241x" localSheetId="25" hidden="1">Notes!$E$3899:$I$3916</definedName>
    <definedName name="NOTE_2246a" localSheetId="25" hidden="1">Notes!$E$3763:$I$3770</definedName>
    <definedName name="NOTE_2315a" localSheetId="25" hidden="1">Notes!$E$3919:$I$3927</definedName>
    <definedName name="NOTE_2395a" localSheetId="25" hidden="1">Notes!$E$3930:$I$3938</definedName>
    <definedName name="NOTE_2395b" localSheetId="25" hidden="1">Notes!$E$3940:$I$3948</definedName>
    <definedName name="NOTE_2395e" localSheetId="25" hidden="1">Notes!$E$3950:$Q$3958</definedName>
    <definedName name="NOTE_2395f" localSheetId="25" hidden="1">Notes!$E$3960:$I$3968</definedName>
    <definedName name="NOTE_2396a" localSheetId="25" hidden="1">Notes!$E$3971:$I$3980</definedName>
    <definedName name="NOTE_2396c" localSheetId="25" hidden="1">Notes!$E$3982:$Q$3990</definedName>
    <definedName name="NOTE_2396cCHKH01" localSheetId="25" hidden="1">Notes!$G$3991:$Q$3997</definedName>
    <definedName name="NOTE_2401a" localSheetId="25" hidden="1">Notes!$E$4264:$L$4270</definedName>
    <definedName name="NOTE_2401b" localSheetId="25" hidden="1">Notes!$E$4272:$N$4280</definedName>
    <definedName name="NOTE_2401bCHKH01" localSheetId="25" hidden="1">Notes!$G$4281:$O$4287</definedName>
    <definedName name="NOTE_2501a" localSheetId="25" hidden="1">Notes!$E$4000:$J$4011</definedName>
    <definedName name="NOTE_2501c" localSheetId="25" hidden="1">Notes!$E$4043:$J$4051</definedName>
    <definedName name="NOTE_2501d" localSheetId="25" hidden="1">Notes!$E$4013:$L$4021</definedName>
    <definedName name="NOTE_2501e" localSheetId="25" hidden="1">Notes!$E$4023:$L$4031</definedName>
    <definedName name="NOTE_2501f" localSheetId="25" hidden="1">Notes!$E$4033:$K$4041</definedName>
    <definedName name="NOTE_2502a" localSheetId="25" hidden="1">Notes!$E$4064:$Q$4075</definedName>
    <definedName name="NOTE_2502b" localSheetId="25" hidden="1">Notes!$E$4054:$I$4062</definedName>
    <definedName name="NOTE_2502c" localSheetId="25" hidden="1">Notes!$E$4087:$O$4097</definedName>
    <definedName name="NOTE_2502d" localSheetId="25" hidden="1">Notes!$E$4077:$O$4085</definedName>
    <definedName name="NOTE_2502e" localSheetId="25" hidden="1">Notes!$E$4099:$J$4107</definedName>
    <definedName name="NOTE_2701c" localSheetId="25" hidden="1">Notes!$E$4121:$I$4130</definedName>
    <definedName name="NOTE_2701cCHKH01" localSheetId="25" hidden="1">Notes!$G$4131:$J$4137</definedName>
    <definedName name="NOTE_2701d" localSheetId="25" hidden="1">Notes!$E$4139:$J$4147</definedName>
    <definedName name="NOTE_2706a" localSheetId="25" hidden="1">Notes!$E$4110:$I$4118</definedName>
    <definedName name="NOTE_2711a" localSheetId="25" hidden="1">Notes!$E$4150:$L$4158</definedName>
    <definedName name="NOTE_2711b" localSheetId="25" hidden="1">Notes!$E$4160:$J$4168</definedName>
    <definedName name="NOTE_2715a" localSheetId="25" hidden="1">Notes!$E$4171:$I$4179</definedName>
    <definedName name="NOTE_2715b" localSheetId="25" hidden="1">Notes!$E$4181:$I$4199</definedName>
    <definedName name="NOTE_2715c" localSheetId="25" hidden="1">Notes!$E$4201:$I$4214</definedName>
    <definedName name="NOTE_2715d" localSheetId="25" hidden="1">Notes!$E$4216:$I$4223</definedName>
    <definedName name="NOTE_2715g" localSheetId="25" hidden="1">Notes!$E$4225:$I$4234</definedName>
    <definedName name="NOTE_2715h" localSheetId="25" hidden="1">Notes!$E$4236:$J$4247</definedName>
    <definedName name="NOTE_2801a" localSheetId="25" hidden="1">Notes!$E$4250:$J$4261</definedName>
    <definedName name="NOTE_2901a" localSheetId="25" hidden="1">Notes!$E$3241:$K$3241</definedName>
    <definedName name="NOTE_2996a" localSheetId="25" hidden="1">Notes!$E$4290:$I$4298</definedName>
    <definedName name="NOTE_2996x" localSheetId="25" hidden="1">Notes!$E$4300:$Q$4308</definedName>
    <definedName name="NOTE_4001a" localSheetId="25" hidden="1">Notes!$E$4311:$N$4318</definedName>
    <definedName name="NOTE_4001b" localSheetId="25" hidden="1">Notes!$E$4320:$M$4330</definedName>
    <definedName name="NOTE_4002a" localSheetId="25" hidden="1">Notes!$E$4354:$K$4360</definedName>
    <definedName name="NOTE_4015a" localSheetId="25" hidden="1">Notes!$E$4343:$O$4351</definedName>
    <definedName name="NOTE_4015b" localSheetId="25" hidden="1">Notes!$E$4333:$O$4341</definedName>
    <definedName name="NOTE_4101a" localSheetId="25" hidden="1">Notes!$E$4440:$K$4449</definedName>
    <definedName name="NOTE_4101b" localSheetId="25" hidden="1">Notes!$E$4427:$M$4438</definedName>
    <definedName name="NOTE_4102a" localSheetId="25" hidden="1">Notes!$E$4452:$K$4457</definedName>
    <definedName name="NOTE_4200a" localSheetId="25" hidden="1">Notes!$E$4460:$I$4475</definedName>
    <definedName name="NOTE_4200b" localSheetId="25" hidden="1">Notes!$E$4477:$H$4486</definedName>
    <definedName name="NOTE_4201a" localSheetId="25" hidden="1">Notes!$E$4363:$K$4367</definedName>
    <definedName name="NOTE_4215a" localSheetId="25" hidden="1">Notes!$E$4395:$N$4413</definedName>
    <definedName name="NOTE_4215b" localSheetId="25" hidden="1">Notes!$E$4370:$P$4393</definedName>
    <definedName name="NOTE_4301a" localSheetId="25" hidden="1">Notes!$E$4416:$K$4424</definedName>
    <definedName name="NOTE_6001a" localSheetId="25" hidden="1">Notes!$E$4488:$I$4488</definedName>
    <definedName name="NOTE_6001x" localSheetId="25" hidden="1">Notes!$E$4615:$I$4623</definedName>
    <definedName name="NOTE_6064a" localSheetId="25" hidden="1">Notes!$E$4501:$I$4508</definedName>
    <definedName name="NOTE_6064b" localSheetId="25" hidden="1">Notes!$E$4510:$I$4517</definedName>
    <definedName name="NOTE_6064c" localSheetId="25" hidden="1">Notes!$E$4519:$K$4534</definedName>
    <definedName name="NOTE_6064cCHKH01" localSheetId="25" hidden="1">Notes!$G$4535:$K$4541</definedName>
    <definedName name="NOTE_6064d" localSheetId="25" hidden="1">Notes!$E$4543:$K$4557</definedName>
    <definedName name="NOTE_6064dCHKH01" localSheetId="25" hidden="1">Notes!$G$4558:$K$4564</definedName>
    <definedName name="NOTE_6064e" localSheetId="25" hidden="1">Notes!$E$4566:$K$4576</definedName>
    <definedName name="NOTE_6064eCHKH01" localSheetId="25" hidden="1">Notes!$G$4577:$K$4583</definedName>
    <definedName name="NOTE_6064f" localSheetId="25" hidden="1">Notes!$E$4585:$H$4598</definedName>
    <definedName name="NOTE_6064g" localSheetId="25" hidden="1">Notes!$E$4600:$H$4613</definedName>
    <definedName name="NOTE_6064h" localSheetId="25" hidden="1">Notes!$E$4491:$K$4499</definedName>
    <definedName name="NOTE_6101a" localSheetId="25" hidden="1">Notes!$E$4851:$I$4862</definedName>
    <definedName name="NOTE_6101b" localSheetId="25" hidden="1">Notes!$E$4838:$I$4849</definedName>
    <definedName name="NOTE_6102a" localSheetId="25" hidden="1">Notes!$E$4824:$I$4835</definedName>
    <definedName name="NOTE_6111a" localSheetId="25" hidden="1">Notes!$E$4802:$I$4821</definedName>
    <definedName name="NOTE_6171a" localSheetId="25" hidden="1">Notes!$E$4901:$I$4913</definedName>
    <definedName name="NOTE_6181a" localSheetId="25" hidden="1">Notes!$E$4779:$J$4791</definedName>
    <definedName name="NOTE_6181aCHKH01" localSheetId="25" hidden="1">Notes!$G$4792:$K$4799</definedName>
    <definedName name="NOTE_6401a" localSheetId="25" hidden="1">Notes!$E$4489:$I$4489</definedName>
    <definedName name="NOTE_6401x" localSheetId="25" hidden="1">Notes!$E$4625:$I$4633</definedName>
    <definedName name="NOTE_6600a" localSheetId="25" hidden="1">Notes!$E$4636:$I$4653</definedName>
    <definedName name="NOTE_6600x" localSheetId="25" hidden="1">Notes!$E$4655:$I$4663</definedName>
    <definedName name="NOTE_6601a" localSheetId="25" hidden="1">Notes!$E$4666:$I$4684</definedName>
    <definedName name="NOTE_6601x" localSheetId="25" hidden="1">Notes!$E$4686:$I$4694</definedName>
    <definedName name="NOTE_6602a" localSheetId="25" hidden="1">Notes!$E$4697:$I$4715</definedName>
    <definedName name="NOTE_6602x" localSheetId="25" hidden="1">Notes!$E$4717:$I$4725</definedName>
    <definedName name="NOTE_6603a" localSheetId="25" hidden="1">Notes!$E$4753:$I$4766</definedName>
    <definedName name="NOTE_6603x" localSheetId="25" hidden="1">Notes!$E$4768:$I$4776</definedName>
    <definedName name="NOTE_6606a" localSheetId="25" hidden="1">Notes!$E$4728:$I$4737</definedName>
    <definedName name="NOTE_6606x" localSheetId="25" hidden="1">Notes!$E$4739:$J$4750</definedName>
    <definedName name="NOTE_6671a" localSheetId="25" hidden="1">Notes!$E$4879:$I$4898</definedName>
    <definedName name="NOTE_6672a" localSheetId="25" hidden="1">Notes!$E$4865:$I$4876</definedName>
    <definedName name="NOTE_6710a" localSheetId="25" hidden="1">Notes!$E$4916:$J$4927</definedName>
    <definedName name="NOTE_6710b" localSheetId="25" hidden="1">Notes!$E$4929:$J$4937</definedName>
    <definedName name="NOTE_6710bCHKH01" localSheetId="25" hidden="1">Notes!$G$4938:$K$4944</definedName>
    <definedName name="NOTE_6711a" localSheetId="25" hidden="1">Notes!$E$4947:$J$4957</definedName>
    <definedName name="NOTE_6791a" localSheetId="25" hidden="1">Notes!$E$4960:$I$4966</definedName>
    <definedName name="NOTE_6791b" localSheetId="25" hidden="1">Notes!$E$4968:$I$4984</definedName>
    <definedName name="NOTE_7001x" localSheetId="25" hidden="1">Notes!$E$5871:$J$5879</definedName>
    <definedName name="NOTE_7046a" localSheetId="25" hidden="1">Notes!$E$5023:$I$5036</definedName>
    <definedName name="NOTE_7046x" localSheetId="25" hidden="1">Notes!$E$5882:$J$5890</definedName>
    <definedName name="NOTE_7051x" localSheetId="25" hidden="1">Notes!$E$5893:$J$5901</definedName>
    <definedName name="NOTE_7061x" localSheetId="25" hidden="1">Notes!$E$5904:$J$5912</definedName>
    <definedName name="NOTE_7071x" localSheetId="25" hidden="1">Notes!$E$5915:$J$5923</definedName>
    <definedName name="NOTE_7096a" localSheetId="25" hidden="1">Notes!$E$5039:$I$5052</definedName>
    <definedName name="NOTE_7096x" localSheetId="25" hidden="1">Notes!$E$5926:$J$5934</definedName>
    <definedName name="NOTE_7101x" localSheetId="25" hidden="1">Notes!$E$5937:$J$5945</definedName>
    <definedName name="NOTE_7105x" localSheetId="25" hidden="1">Notes!$E$5948:$J$5956</definedName>
    <definedName name="NOTE_7111x" localSheetId="25" hidden="1">Notes!$E$5959:$J$5975</definedName>
    <definedName name="NOTE_7146a" localSheetId="25" hidden="1">Notes!$E$5055:$I$5063</definedName>
    <definedName name="NOTE_7151x" localSheetId="25" hidden="1">Notes!$E$5978:$J$5996</definedName>
    <definedName name="NOTE_7161x" localSheetId="25" hidden="1">Notes!$E$5999:$J$6007</definedName>
    <definedName name="NOTE_7196a" localSheetId="25" hidden="1">Notes!$E$5066:$I$5074</definedName>
    <definedName name="NOTE_7211x" localSheetId="25" hidden="1">Notes!$E$6010:$J$6019</definedName>
    <definedName name="NOTE_7246a" localSheetId="25" hidden="1">Notes!$E$5077:$I$5085</definedName>
    <definedName name="NOTE_7251x" localSheetId="25" hidden="1">Notes!$E$6022:$J$6031</definedName>
    <definedName name="NOTE_7261x" localSheetId="25" hidden="1">Notes!$E$6034:$J$6053</definedName>
    <definedName name="NOTE_7296a" localSheetId="25" hidden="1">Notes!$E$5088:$I$5096</definedName>
    <definedName name="NOTE_7400a" localSheetId="25" hidden="1">Notes!$E$5020:$I$5020</definedName>
    <definedName name="NOTE_7500a" localSheetId="25" hidden="1">Notes!$E$5099:$I$5120</definedName>
    <definedName name="NOTE_7500b" localSheetId="25" hidden="1">Notes!$E$5122:$I$5128</definedName>
    <definedName name="NOTE_7500c" localSheetId="25" hidden="1">Notes!$E$5130:$I$5137</definedName>
    <definedName name="NOTE_7500e" localSheetId="25" hidden="1">Notes!$E$5159:$I$5173</definedName>
    <definedName name="NOTE_7500f" localSheetId="25" hidden="1">Notes!$E$5175:$H$5183</definedName>
    <definedName name="NOTE_7500g" localSheetId="25" hidden="1">Notes!$E$5139:$H$5147</definedName>
    <definedName name="NOTE_7500h" localSheetId="25" hidden="1">Notes!$E$5149:$H$5157</definedName>
    <definedName name="NOTE_7503a" localSheetId="25" hidden="1">Notes!$E$6057:$I$6063</definedName>
    <definedName name="NOTE_7505a" localSheetId="25" hidden="1">Notes!$E$6066:$I$6074</definedName>
    <definedName name="NOTE_7506a" localSheetId="25" hidden="1">Notes!$E$6077:$I$6083</definedName>
    <definedName name="NOTE_7507a" localSheetId="25" hidden="1">Notes!$E$6086:$I$6092</definedName>
    <definedName name="NOTE_7508a" localSheetId="25" hidden="1">Notes!$E$6095:$I$6106</definedName>
    <definedName name="NOTE_7509a" localSheetId="25" hidden="1">Notes!$E$6109:$I$6116</definedName>
    <definedName name="NOTE_7510a" localSheetId="25" hidden="1">Notes!$E$6119:$I$6125</definedName>
    <definedName name="NOTE_7511a" localSheetId="25" hidden="1">Notes!$E$6128:$I$6136</definedName>
    <definedName name="NOTE_7512a" localSheetId="25" hidden="1">Notes!$E$6139:$I$6145</definedName>
    <definedName name="NOTE_7515a" localSheetId="25" hidden="1">Notes!$E$6148:$K$6154</definedName>
    <definedName name="NOTE_7516a" localSheetId="25" hidden="1">Notes!$E$6157:$K$6163</definedName>
    <definedName name="NOTE_7517a" localSheetId="25" hidden="1">Notes!$E$6166:$K$6185</definedName>
    <definedName name="NOTE_7518a" localSheetId="25" hidden="1">Notes!$E$6188:$K$6212</definedName>
    <definedName name="NOTE_7519a" localSheetId="25" hidden="1">Notes!$E$6215:$K$6241</definedName>
    <definedName name="NOTE_7523a" localSheetId="25" hidden="1">Notes!$E$6244:$I$6250</definedName>
    <definedName name="NOTE_9120c" localSheetId="25" hidden="1">Notes!$E$5650:$M$5658</definedName>
    <definedName name="NOTE_9120d" localSheetId="25" hidden="1">Notes!$E$5660:$M$5668</definedName>
    <definedName name="NOTE_9120e" localSheetId="25" hidden="1">Notes!$E$5670:$J$5678</definedName>
    <definedName name="NOTE_9120f" localSheetId="25" hidden="1">Notes!$E$5680:$J$5688</definedName>
    <definedName name="NOTE_9120g" localSheetId="25" hidden="1">Notes!$E$5690:$K$5698</definedName>
    <definedName name="NOTE_9120h" localSheetId="25" hidden="1">Notes!$E$5700:$K$5708</definedName>
    <definedName name="NOTE_9120i" localSheetId="25" hidden="1">Notes!$E$5710:$K$5718</definedName>
    <definedName name="NOTE_9120j" localSheetId="25" hidden="1">Notes!$E$5720:$K$5728</definedName>
    <definedName name="NOTE_9120k" localSheetId="25" hidden="1">Notes!$E$5730:$J$5738</definedName>
    <definedName name="NOTE_9120l" localSheetId="25" hidden="1">Notes!$E$5740:$I$5746</definedName>
    <definedName name="NOTE_9120m" localSheetId="25" hidden="1">Notes!$E$5624:$J$5635</definedName>
    <definedName name="NOTE_9120n" localSheetId="25" hidden="1">Notes!$E$5637:$J$5648</definedName>
    <definedName name="NOTE_9120o" localSheetId="25" hidden="1">Notes!$E$5748:$L$5761</definedName>
    <definedName name="NOTE_9120p" localSheetId="25" hidden="1">Notes!$E$5763:$J$5774</definedName>
    <definedName name="NOTE_9314a" localSheetId="25" hidden="1">Notes!$E$5186:$I$5194</definedName>
    <definedName name="NOTE_9325g" localSheetId="25" hidden="1">Notes!$E$5322:$L$5337</definedName>
    <definedName name="NOTE_9325h" localSheetId="25" hidden="1">Notes!$E$5339:$L$5354</definedName>
    <definedName name="NOTE_9325i" localSheetId="25" hidden="1">Notes!$E$5356:$M$5370</definedName>
    <definedName name="NOTE_9325j" localSheetId="25" hidden="1">Notes!$E$5372:$M$5386</definedName>
    <definedName name="NOTE_9325k" localSheetId="25" hidden="1">Notes!$E$5388:$J$5420</definedName>
    <definedName name="NOTE_9325m" localSheetId="25" hidden="1">Notes!$E$5422:$J$5454</definedName>
    <definedName name="NOTE_9331a" localSheetId="25" hidden="1">Notes!$E$5457:$K$5501</definedName>
    <definedName name="NOTE_9331b" localSheetId="25" hidden="1">Notes!$E$5604:$K$5621</definedName>
    <definedName name="NOTE_9331g" localSheetId="25" hidden="1">Notes!$E$5578:$R$5602</definedName>
    <definedName name="NOTE_9331i" localSheetId="25" hidden="1">Notes!$E$5551:$J$5558</definedName>
    <definedName name="NOTE_9331j" localSheetId="25" hidden="1">Notes!$E$5560:$K$5576</definedName>
    <definedName name="NOTE_9331k" localSheetId="25" hidden="1">Notes!$E$5503:$K$5549</definedName>
    <definedName name="NOTE_9367a" localSheetId="25" hidden="1">Notes!$E$5777:$I$5796</definedName>
    <definedName name="NOTE_9367b" localSheetId="25" hidden="1">Notes!$E$5798:$M$5804</definedName>
    <definedName name="NOTE_9371h" localSheetId="25" hidden="1">Notes!$E$5278:$L$5291</definedName>
    <definedName name="NOTE_9371i" localSheetId="25" hidden="1">Notes!$E$5293:$L$5306</definedName>
    <definedName name="NOTE_9371j" localSheetId="25" hidden="1">Notes!$E$5308:$I$5319</definedName>
    <definedName name="NOTE_9601a" localSheetId="25" hidden="1">Notes!$E$5807:$J$5837</definedName>
    <definedName name="NOTE_9601b" localSheetId="25" hidden="1">Notes!$E$5849:$I$5857</definedName>
    <definedName name="NOTE_9601c" localSheetId="25" hidden="1">Notes!$E$5839:$I$5847</definedName>
    <definedName name="NOTE_9601d" localSheetId="25" hidden="1">Notes!$E$5859:$I$5867</definedName>
    <definedName name="NOTE_9690a" localSheetId="25" hidden="1">Notes!$E$4987:$I$4999</definedName>
    <definedName name="NOTE_9690b" localSheetId="25" hidden="1">Notes!$E$5001:$Q$5009</definedName>
    <definedName name="NOTE_9690c" localSheetId="25" hidden="1">Notes!$E$5011:$O$5019</definedName>
    <definedName name="Note5" localSheetId="8">#REF!</definedName>
    <definedName name="Note5">#REF!</definedName>
    <definedName name="Notes" localSheetId="8">#REF!</definedName>
    <definedName name="Notes">#REF!</definedName>
    <definedName name="notes_status" localSheetId="8">#REF!</definedName>
    <definedName name="notes_status">#REF!</definedName>
    <definedName name="Number_of_Month" localSheetId="8">#REF!</definedName>
    <definedName name="Number_of_Month">#REF!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O1_2" localSheetId="8">#REF!</definedName>
    <definedName name="O1_2">#REF!</definedName>
    <definedName name="O1_2_1" localSheetId="8">#REF!</definedName>
    <definedName name="O1_2_1">#REF!</definedName>
    <definedName name="OA">[19]master!$L$3:$L$16</definedName>
    <definedName name="OBS_P7QS" localSheetId="8">#REF!</definedName>
    <definedName name="OBS_P7QS">#REF!</definedName>
    <definedName name="OBS_P7QX" localSheetId="8">#REF!</definedName>
    <definedName name="OBS_P7QX">#REF!</definedName>
    <definedName name="OBS_P7QZB" localSheetId="8">#REF!</definedName>
    <definedName name="OBS_P7QZB">#REF!</definedName>
    <definedName name="OP_nature">[20]Source!$L$2:$L$45</definedName>
    <definedName name="OR_nature">[14]master!$P$3:$P$27</definedName>
    <definedName name="P" localSheetId="8">#REF!</definedName>
    <definedName name="P">#REF!</definedName>
    <definedName name="P1050PA" localSheetId="8">#REF!</definedName>
    <definedName name="P1050PA">#REF!</definedName>
    <definedName name="P1050PB" localSheetId="8">#REF!</definedName>
    <definedName name="P1050PB">#REF!</definedName>
    <definedName name="P1050PL" localSheetId="8">#REF!</definedName>
    <definedName name="P1050PL">#REF!</definedName>
    <definedName name="P1050PO" localSheetId="8">#REF!</definedName>
    <definedName name="P1050PO">#REF!</definedName>
    <definedName name="P1050WB" localSheetId="8">#REF!</definedName>
    <definedName name="P1050WB">#REF!</definedName>
    <definedName name="P1050WE" localSheetId="8">#REF!</definedName>
    <definedName name="P1050WE">#REF!</definedName>
    <definedName name="P1050WL" localSheetId="8">#REF!</definedName>
    <definedName name="P1050WL">#REF!</definedName>
    <definedName name="P1050YA" localSheetId="8">#REF!</definedName>
    <definedName name="P1050YA">#REF!</definedName>
    <definedName name="P1050YB" localSheetId="8">#REF!</definedName>
    <definedName name="P1050YB">#REF!</definedName>
    <definedName name="P1050YL" localSheetId="8">#REF!</definedName>
    <definedName name="P1050YL">#REF!</definedName>
    <definedName name="P1060PA" localSheetId="8">#REF!</definedName>
    <definedName name="P1060PA">#REF!</definedName>
    <definedName name="P1060PB" localSheetId="8">#REF!</definedName>
    <definedName name="P1060PB">#REF!</definedName>
    <definedName name="P1060PL" localSheetId="8">#REF!</definedName>
    <definedName name="P1060PL">#REF!</definedName>
    <definedName name="P1060PO" localSheetId="8">#REF!</definedName>
    <definedName name="P1060PO">#REF!</definedName>
    <definedName name="P1060WB" localSheetId="8">#REF!</definedName>
    <definedName name="P1060WB">#REF!</definedName>
    <definedName name="P1060WE" localSheetId="8">#REF!</definedName>
    <definedName name="P1060WE">#REF!</definedName>
    <definedName name="P1060WL" localSheetId="8">#REF!</definedName>
    <definedName name="P1060WL">#REF!</definedName>
    <definedName name="P1060YA" localSheetId="8">#REF!</definedName>
    <definedName name="P1060YA">#REF!</definedName>
    <definedName name="P1060YB" localSheetId="8">#REF!</definedName>
    <definedName name="P1060YB">#REF!</definedName>
    <definedName name="P1060YL" localSheetId="8">#REF!</definedName>
    <definedName name="P1060YL">#REF!</definedName>
    <definedName name="P1230PA" localSheetId="8">#REF!</definedName>
    <definedName name="P1230PA">#REF!</definedName>
    <definedName name="P1230PB" localSheetId="8">#REF!</definedName>
    <definedName name="P1230PB">#REF!</definedName>
    <definedName name="P1230PL" localSheetId="8">#REF!</definedName>
    <definedName name="P1230PL">#REF!</definedName>
    <definedName name="P1230PO" localSheetId="8">#REF!</definedName>
    <definedName name="P1230PO">#REF!</definedName>
    <definedName name="P1230WB" localSheetId="8">#REF!</definedName>
    <definedName name="P1230WB">#REF!</definedName>
    <definedName name="P1230WE" localSheetId="8">#REF!</definedName>
    <definedName name="P1230WE">#REF!</definedName>
    <definedName name="P1230WL" localSheetId="8">#REF!</definedName>
    <definedName name="P1230WL">#REF!</definedName>
    <definedName name="P1230YA" localSheetId="8">#REF!</definedName>
    <definedName name="P1230YA">#REF!</definedName>
    <definedName name="P1230YB" localSheetId="8">#REF!</definedName>
    <definedName name="P1230YB">#REF!</definedName>
    <definedName name="P1230YL" localSheetId="8">#REF!</definedName>
    <definedName name="P1230YL">#REF!</definedName>
    <definedName name="P1235PA" localSheetId="8">#REF!</definedName>
    <definedName name="P1235PA">#REF!</definedName>
    <definedName name="P1235PB" localSheetId="8">#REF!</definedName>
    <definedName name="P1235PB">#REF!</definedName>
    <definedName name="P1235PL" localSheetId="8">#REF!</definedName>
    <definedName name="P1235PL">#REF!</definedName>
    <definedName name="P1235PO" localSheetId="8">#REF!</definedName>
    <definedName name="P1235PO">#REF!</definedName>
    <definedName name="P1235WB" localSheetId="8">#REF!</definedName>
    <definedName name="P1235WB">#REF!</definedName>
    <definedName name="P1235WE" localSheetId="8">#REF!</definedName>
    <definedName name="P1235WE">#REF!</definedName>
    <definedName name="P1235WL" localSheetId="8">#REF!</definedName>
    <definedName name="P1235WL">#REF!</definedName>
    <definedName name="P1235YA" localSheetId="8">#REF!</definedName>
    <definedName name="P1235YA">#REF!</definedName>
    <definedName name="P1235YB" localSheetId="8">#REF!</definedName>
    <definedName name="P1235YB">#REF!</definedName>
    <definedName name="P1235YL" localSheetId="8">#REF!</definedName>
    <definedName name="P1235YL">#REF!</definedName>
    <definedName name="P1240PA" localSheetId="8">#REF!</definedName>
    <definedName name="P1240PA">#REF!</definedName>
    <definedName name="P1240PB" localSheetId="8">#REF!</definedName>
    <definedName name="P1240PB">#REF!</definedName>
    <definedName name="P1240PL" localSheetId="8">#REF!</definedName>
    <definedName name="P1240PL">#REF!</definedName>
    <definedName name="P1240PO" localSheetId="8">#REF!</definedName>
    <definedName name="P1240PO">#REF!</definedName>
    <definedName name="P1240WB" localSheetId="8">#REF!</definedName>
    <definedName name="P1240WB">#REF!</definedName>
    <definedName name="P1240WE" localSheetId="8">#REF!</definedName>
    <definedName name="P1240WE">#REF!</definedName>
    <definedName name="P1240WL" localSheetId="8">#REF!</definedName>
    <definedName name="P1240WL">#REF!</definedName>
    <definedName name="P1240YA" localSheetId="8">#REF!</definedName>
    <definedName name="P1240YA">#REF!</definedName>
    <definedName name="P1240YB" localSheetId="8">#REF!</definedName>
    <definedName name="P1240YB">#REF!</definedName>
    <definedName name="P1240YL" localSheetId="8">#REF!</definedName>
    <definedName name="P1240YL">#REF!</definedName>
    <definedName name="P1310PA" localSheetId="8">#REF!</definedName>
    <definedName name="P1310PA">#REF!</definedName>
    <definedName name="P1310PB" localSheetId="8">#REF!</definedName>
    <definedName name="P1310PB">#REF!</definedName>
    <definedName name="P1310PL" localSheetId="8">#REF!</definedName>
    <definedName name="P1310PL">#REF!</definedName>
    <definedName name="P1310PO" localSheetId="8">#REF!</definedName>
    <definedName name="P1310PO">#REF!</definedName>
    <definedName name="P1310WB" localSheetId="8">#REF!</definedName>
    <definedName name="P1310WB">#REF!</definedName>
    <definedName name="P1310WE" localSheetId="8">#REF!</definedName>
    <definedName name="P1310WE">#REF!</definedName>
    <definedName name="P1310WL" localSheetId="8">#REF!</definedName>
    <definedName name="P1310WL">#REF!</definedName>
    <definedName name="P1310YA" localSheetId="8">#REF!</definedName>
    <definedName name="P1310YA">#REF!</definedName>
    <definedName name="P1310YB" localSheetId="8">#REF!</definedName>
    <definedName name="P1310YB">#REF!</definedName>
    <definedName name="P1310YL" localSheetId="8">#REF!</definedName>
    <definedName name="P1310YL">#REF!</definedName>
    <definedName name="P1A130PA" localSheetId="8">#REF!</definedName>
    <definedName name="P1A130PA">#REF!</definedName>
    <definedName name="P1A130PB" localSheetId="8">#REF!</definedName>
    <definedName name="P1A130PB">#REF!</definedName>
    <definedName name="P1A130PL" localSheetId="8">#REF!</definedName>
    <definedName name="P1A130PL">#REF!</definedName>
    <definedName name="P1A130PO" localSheetId="8">#REF!</definedName>
    <definedName name="P1A130PO">#REF!</definedName>
    <definedName name="P1A130WB" localSheetId="8">#REF!</definedName>
    <definedName name="P1A130WB">#REF!</definedName>
    <definedName name="P1A130WE" localSheetId="8">#REF!</definedName>
    <definedName name="P1A130WE">#REF!</definedName>
    <definedName name="P1A130WL" localSheetId="8">#REF!</definedName>
    <definedName name="P1A130WL">#REF!</definedName>
    <definedName name="P1A130YA" localSheetId="8">#REF!</definedName>
    <definedName name="P1A130YA">#REF!</definedName>
    <definedName name="P1A130YB" localSheetId="8">#REF!</definedName>
    <definedName name="P1A130YB">#REF!</definedName>
    <definedName name="P1A130YL" localSheetId="8">#REF!</definedName>
    <definedName name="P1A130YL">#REF!</definedName>
    <definedName name="P1A140PA" localSheetId="8">#REF!</definedName>
    <definedName name="P1A140PA">#REF!</definedName>
    <definedName name="P1A140PB" localSheetId="8">#REF!</definedName>
    <definedName name="P1A140PB">#REF!</definedName>
    <definedName name="P1A140PL" localSheetId="8">#REF!</definedName>
    <definedName name="P1A140PL">#REF!</definedName>
    <definedName name="P1A140PO" localSheetId="8">#REF!</definedName>
    <definedName name="P1A140PO">#REF!</definedName>
    <definedName name="P1A140WB" localSheetId="8">#REF!</definedName>
    <definedName name="P1A140WB">#REF!</definedName>
    <definedName name="P1A140WE" localSheetId="8">#REF!</definedName>
    <definedName name="P1A140WE">#REF!</definedName>
    <definedName name="P1A140WL" localSheetId="8">#REF!</definedName>
    <definedName name="P1A140WL">#REF!</definedName>
    <definedName name="P1A140YA" localSheetId="8">#REF!</definedName>
    <definedName name="P1A140YA">#REF!</definedName>
    <definedName name="P1A140YB" localSheetId="8">#REF!</definedName>
    <definedName name="P1A140YB">#REF!</definedName>
    <definedName name="P1A140YL" localSheetId="8">#REF!</definedName>
    <definedName name="P1A140YL">#REF!</definedName>
    <definedName name="P1A150PA" localSheetId="8">#REF!</definedName>
    <definedName name="P1A150PA">#REF!</definedName>
    <definedName name="P1A150PB" localSheetId="8">#REF!</definedName>
    <definedName name="P1A150PB">#REF!</definedName>
    <definedName name="P1A150PL" localSheetId="8">#REF!</definedName>
    <definedName name="P1A150PL">#REF!</definedName>
    <definedName name="P1A150PO" localSheetId="8">#REF!</definedName>
    <definedName name="P1A150PO">#REF!</definedName>
    <definedName name="P1A150WB" localSheetId="8">#REF!</definedName>
    <definedName name="P1A150WB">#REF!</definedName>
    <definedName name="P1A150WE" localSheetId="8">#REF!</definedName>
    <definedName name="P1A150WE">#REF!</definedName>
    <definedName name="P1A150WL" localSheetId="8">#REF!</definedName>
    <definedName name="P1A150WL">#REF!</definedName>
    <definedName name="P1A150YA" localSheetId="8">#REF!</definedName>
    <definedName name="P1A150YA">#REF!</definedName>
    <definedName name="P1A150YB" localSheetId="8">#REF!</definedName>
    <definedName name="P1A150YB">#REF!</definedName>
    <definedName name="P1A150YL" localSheetId="8">#REF!</definedName>
    <definedName name="P1A150YL">#REF!</definedName>
    <definedName name="P1A170PA" localSheetId="8">#REF!</definedName>
    <definedName name="P1A170PA">#REF!</definedName>
    <definedName name="P1A170PB" localSheetId="8">#REF!</definedName>
    <definedName name="P1A170PB">#REF!</definedName>
    <definedName name="P1A170PL" localSheetId="8">#REF!</definedName>
    <definedName name="P1A170PL">#REF!</definedName>
    <definedName name="P1A170PO" localSheetId="8">#REF!</definedName>
    <definedName name="P1A170PO">#REF!</definedName>
    <definedName name="P1A170WB" localSheetId="8">#REF!</definedName>
    <definedName name="P1A170WB">#REF!</definedName>
    <definedName name="P1A170WE" localSheetId="8">#REF!</definedName>
    <definedName name="P1A170WE">#REF!</definedName>
    <definedName name="P1A170WL" localSheetId="8">#REF!</definedName>
    <definedName name="P1A170WL">#REF!</definedName>
    <definedName name="P1A170YA" localSheetId="8">#REF!</definedName>
    <definedName name="P1A170YA">#REF!</definedName>
    <definedName name="P1A170YB" localSheetId="8">#REF!</definedName>
    <definedName name="P1A170YB">#REF!</definedName>
    <definedName name="P1A170YL" localSheetId="8">#REF!</definedName>
    <definedName name="P1A170YL">#REF!</definedName>
    <definedName name="P1A180PA" localSheetId="8">#REF!</definedName>
    <definedName name="P1A180PA">#REF!</definedName>
    <definedName name="P1A180PB" localSheetId="8">#REF!</definedName>
    <definedName name="P1A180PB">#REF!</definedName>
    <definedName name="P1A180PL" localSheetId="8">#REF!</definedName>
    <definedName name="P1A180PL">#REF!</definedName>
    <definedName name="P1A180PO" localSheetId="8">#REF!</definedName>
    <definedName name="P1A180PO">#REF!</definedName>
    <definedName name="P1A180WB" localSheetId="8">#REF!</definedName>
    <definedName name="P1A180WB">#REF!</definedName>
    <definedName name="P1A180WE" localSheetId="8">#REF!</definedName>
    <definedName name="P1A180WE">#REF!</definedName>
    <definedName name="P1A180WL" localSheetId="8">#REF!</definedName>
    <definedName name="P1A180WL">#REF!</definedName>
    <definedName name="P1A180YA" localSheetId="8">#REF!</definedName>
    <definedName name="P1A180YA">#REF!</definedName>
    <definedName name="P1A180YB" localSheetId="8">#REF!</definedName>
    <definedName name="P1A180YB">#REF!</definedName>
    <definedName name="P1A180YL" localSheetId="8">#REF!</definedName>
    <definedName name="P1A180YL">#REF!</definedName>
    <definedName name="P1A190PA" localSheetId="8">#REF!</definedName>
    <definedName name="P1A190PA">#REF!</definedName>
    <definedName name="P1A190PB" localSheetId="8">#REF!</definedName>
    <definedName name="P1A190PB">#REF!</definedName>
    <definedName name="P1A190PL" localSheetId="8">#REF!</definedName>
    <definedName name="P1A190PL">#REF!</definedName>
    <definedName name="P1A190PO" localSheetId="8">#REF!</definedName>
    <definedName name="P1A190PO">#REF!</definedName>
    <definedName name="P1A190WB" localSheetId="8">#REF!</definedName>
    <definedName name="P1A190WB">#REF!</definedName>
    <definedName name="P1A190WE" localSheetId="8">#REF!</definedName>
    <definedName name="P1A190WE">#REF!</definedName>
    <definedName name="P1A190WL" localSheetId="8">#REF!</definedName>
    <definedName name="P1A190WL">#REF!</definedName>
    <definedName name="P1A190YA" localSheetId="8">#REF!</definedName>
    <definedName name="P1A190YA">#REF!</definedName>
    <definedName name="P1A190YB" localSheetId="8">#REF!</definedName>
    <definedName name="P1A190YB">#REF!</definedName>
    <definedName name="P1A190YL" localSheetId="8">#REF!</definedName>
    <definedName name="P1A190YL">#REF!</definedName>
    <definedName name="P1A310PA" localSheetId="8">#REF!</definedName>
    <definedName name="P1A310PA">#REF!</definedName>
    <definedName name="P1A310PB" localSheetId="8">#REF!</definedName>
    <definedName name="P1A310PB">#REF!</definedName>
    <definedName name="P1A310PL" localSheetId="8">#REF!</definedName>
    <definedName name="P1A310PL">#REF!</definedName>
    <definedName name="P1A310PO" localSheetId="8">#REF!</definedName>
    <definedName name="P1A310PO">#REF!</definedName>
    <definedName name="P1A310WB" localSheetId="8">#REF!</definedName>
    <definedName name="P1A310WB">#REF!</definedName>
    <definedName name="P1A310WE" localSheetId="8">#REF!</definedName>
    <definedName name="P1A310WE">#REF!</definedName>
    <definedName name="P1A310WL" localSheetId="8">#REF!</definedName>
    <definedName name="P1A310WL">#REF!</definedName>
    <definedName name="P1A310YA" localSheetId="8">#REF!</definedName>
    <definedName name="P1A310YA">#REF!</definedName>
    <definedName name="P1A310YB" localSheetId="8">#REF!</definedName>
    <definedName name="P1A310YB">#REF!</definedName>
    <definedName name="P1A310YL" localSheetId="8">#REF!</definedName>
    <definedName name="P1A310YL">#REF!</definedName>
    <definedName name="P1A330PA" localSheetId="8">#REF!</definedName>
    <definedName name="P1A330PA">#REF!</definedName>
    <definedName name="P1A330PB" localSheetId="8">#REF!</definedName>
    <definedName name="P1A330PB">#REF!</definedName>
    <definedName name="P1A330PL" localSheetId="8">#REF!</definedName>
    <definedName name="P1A330PL">#REF!</definedName>
    <definedName name="P1A330PO" localSheetId="8">#REF!</definedName>
    <definedName name="P1A330PO">#REF!</definedName>
    <definedName name="P1A330WB" localSheetId="8">#REF!</definedName>
    <definedName name="P1A330WB">#REF!</definedName>
    <definedName name="P1A330WE" localSheetId="8">#REF!</definedName>
    <definedName name="P1A330WE">#REF!</definedName>
    <definedName name="P1A330WL" localSheetId="8">#REF!</definedName>
    <definedName name="P1A330WL">#REF!</definedName>
    <definedName name="P1A330YA" localSheetId="8">#REF!</definedName>
    <definedName name="P1A330YA">#REF!</definedName>
    <definedName name="P1A330YB" localSheetId="8">#REF!</definedName>
    <definedName name="P1A330YB">#REF!</definedName>
    <definedName name="P1A330YL" localSheetId="8">#REF!</definedName>
    <definedName name="P1A330YL">#REF!</definedName>
    <definedName name="P1A350PA" localSheetId="8">#REF!</definedName>
    <definedName name="P1A350PA">#REF!</definedName>
    <definedName name="P1A350PB" localSheetId="8">#REF!</definedName>
    <definedName name="P1A350PB">#REF!</definedName>
    <definedName name="P1A350PL" localSheetId="8">#REF!</definedName>
    <definedName name="P1A350PL">#REF!</definedName>
    <definedName name="P1A350PO" localSheetId="8">#REF!</definedName>
    <definedName name="P1A350PO">#REF!</definedName>
    <definedName name="P1A350WB" localSheetId="8">#REF!</definedName>
    <definedName name="P1A350WB">#REF!</definedName>
    <definedName name="P1A350WE" localSheetId="8">#REF!</definedName>
    <definedName name="P1A350WE">#REF!</definedName>
    <definedName name="P1A350WL" localSheetId="8">#REF!</definedName>
    <definedName name="P1A350WL">#REF!</definedName>
    <definedName name="P1A350YA" localSheetId="8">#REF!</definedName>
    <definedName name="P1A350YA">#REF!</definedName>
    <definedName name="P1A350YB" localSheetId="8">#REF!</definedName>
    <definedName name="P1A350YB">#REF!</definedName>
    <definedName name="P1A350YL" localSheetId="8">#REF!</definedName>
    <definedName name="P1A350YL">#REF!</definedName>
    <definedName name="P1A380PA" localSheetId="8">#REF!</definedName>
    <definedName name="P1A380PA">#REF!</definedName>
    <definedName name="P1A380PB" localSheetId="8">#REF!</definedName>
    <definedName name="P1A380PB">#REF!</definedName>
    <definedName name="P1A380PL" localSheetId="8">#REF!</definedName>
    <definedName name="P1A380PL">#REF!</definedName>
    <definedName name="P1A380PO" localSheetId="8">#REF!</definedName>
    <definedName name="P1A380PO">#REF!</definedName>
    <definedName name="P1A380WB" localSheetId="8">#REF!</definedName>
    <definedName name="P1A380WB">#REF!</definedName>
    <definedName name="P1A380WE" localSheetId="8">#REF!</definedName>
    <definedName name="P1A380WE">#REF!</definedName>
    <definedName name="P1A380WL" localSheetId="8">#REF!</definedName>
    <definedName name="P1A380WL">#REF!</definedName>
    <definedName name="P1A380YA" localSheetId="8">#REF!</definedName>
    <definedName name="P1A380YA">#REF!</definedName>
    <definedName name="P1A380YB" localSheetId="8">#REF!</definedName>
    <definedName name="P1A380YB">#REF!</definedName>
    <definedName name="P1A380YL" localSheetId="8">#REF!</definedName>
    <definedName name="P1A380YL">#REF!</definedName>
    <definedName name="P1A390PA" localSheetId="8">#REF!</definedName>
    <definedName name="P1A390PA">#REF!</definedName>
    <definedName name="P1A390PB" localSheetId="8">#REF!</definedName>
    <definedName name="P1A390PB">#REF!</definedName>
    <definedName name="P1A390PL" localSheetId="8">#REF!</definedName>
    <definedName name="P1A390PL">#REF!</definedName>
    <definedName name="P1A390PO" localSheetId="8">#REF!</definedName>
    <definedName name="P1A390PO">#REF!</definedName>
    <definedName name="P1A390WB" localSheetId="8">#REF!</definedName>
    <definedName name="P1A390WB">#REF!</definedName>
    <definedName name="P1A390WE" localSheetId="8">#REF!</definedName>
    <definedName name="P1A390WE">#REF!</definedName>
    <definedName name="P1A390WL" localSheetId="8">#REF!</definedName>
    <definedName name="P1A390WL">#REF!</definedName>
    <definedName name="P1A390YA" localSheetId="8">#REF!</definedName>
    <definedName name="P1A390YA">#REF!</definedName>
    <definedName name="P1A390YB" localSheetId="8">#REF!</definedName>
    <definedName name="P1A390YB">#REF!</definedName>
    <definedName name="P1A390YL" localSheetId="8">#REF!</definedName>
    <definedName name="P1A390YL">#REF!</definedName>
    <definedName name="P1A510PA" localSheetId="8">#REF!</definedName>
    <definedName name="P1A510PA">#REF!</definedName>
    <definedName name="P1A510PB" localSheetId="8">#REF!</definedName>
    <definedName name="P1A510PB">#REF!</definedName>
    <definedName name="P1A510PL" localSheetId="8">#REF!</definedName>
    <definedName name="P1A510PL">#REF!</definedName>
    <definedName name="P1A510PO" localSheetId="8">#REF!</definedName>
    <definedName name="P1A510PO">#REF!</definedName>
    <definedName name="P1A510WB" localSheetId="8">#REF!</definedName>
    <definedName name="P1A510WB">#REF!</definedName>
    <definedName name="P1A510WE" localSheetId="8">#REF!</definedName>
    <definedName name="P1A510WE">#REF!</definedName>
    <definedName name="P1A510WL" localSheetId="8">#REF!</definedName>
    <definedName name="P1A510WL">#REF!</definedName>
    <definedName name="P1A510YA" localSheetId="8">#REF!</definedName>
    <definedName name="P1A510YA">#REF!</definedName>
    <definedName name="P1A510YB" localSheetId="8">#REF!</definedName>
    <definedName name="P1A510YB">#REF!</definedName>
    <definedName name="P1A510YL" localSheetId="8">#REF!</definedName>
    <definedName name="P1A510YL">#REF!</definedName>
    <definedName name="P1A520PA" localSheetId="8">#REF!</definedName>
    <definedName name="P1A520PA">#REF!</definedName>
    <definedName name="P1A520PB" localSheetId="8">#REF!</definedName>
    <definedName name="P1A520PB">#REF!</definedName>
    <definedName name="P1A520PL" localSheetId="8">#REF!</definedName>
    <definedName name="P1A520PL">#REF!</definedName>
    <definedName name="P1A520PO" localSheetId="8">#REF!</definedName>
    <definedName name="P1A520PO">#REF!</definedName>
    <definedName name="P1A520WB" localSheetId="8">#REF!</definedName>
    <definedName name="P1A520WB">#REF!</definedName>
    <definedName name="P1A520WE" localSheetId="8">#REF!</definedName>
    <definedName name="P1A520WE">#REF!</definedName>
    <definedName name="P1A520WL" localSheetId="8">#REF!</definedName>
    <definedName name="P1A520WL">#REF!</definedName>
    <definedName name="P1A520YA" localSheetId="8">#REF!</definedName>
    <definedName name="P1A520YA">#REF!</definedName>
    <definedName name="P1A520YB" localSheetId="8">#REF!</definedName>
    <definedName name="P1A520YB">#REF!</definedName>
    <definedName name="P1A520YL" localSheetId="8">#REF!</definedName>
    <definedName name="P1A520YL">#REF!</definedName>
    <definedName name="P1A560PA" localSheetId="8">#REF!</definedName>
    <definedName name="P1A560PA">#REF!</definedName>
    <definedName name="P1A560PB" localSheetId="8">#REF!</definedName>
    <definedName name="P1A560PB">#REF!</definedName>
    <definedName name="P1A560PL" localSheetId="8">#REF!</definedName>
    <definedName name="P1A560PL">#REF!</definedName>
    <definedName name="P1A560PO" localSheetId="8">#REF!</definedName>
    <definedName name="P1A560PO">#REF!</definedName>
    <definedName name="P1A560WB" localSheetId="8">#REF!</definedName>
    <definedName name="P1A560WB">#REF!</definedName>
    <definedName name="P1A560WE" localSheetId="8">#REF!</definedName>
    <definedName name="P1A560WE">#REF!</definedName>
    <definedName name="P1A560WL" localSheetId="8">#REF!</definedName>
    <definedName name="P1A560WL">#REF!</definedName>
    <definedName name="P1A560YA" localSheetId="8">#REF!</definedName>
    <definedName name="P1A560YA">#REF!</definedName>
    <definedName name="P1A560YB" localSheetId="8">#REF!</definedName>
    <definedName name="P1A560YB">#REF!</definedName>
    <definedName name="P1A560YL" localSheetId="8">#REF!</definedName>
    <definedName name="P1A560YL">#REF!</definedName>
    <definedName name="P1A580PA" localSheetId="8">#REF!</definedName>
    <definedName name="P1A580PA">#REF!</definedName>
    <definedName name="P1A580PB" localSheetId="8">#REF!</definedName>
    <definedName name="P1A580PB">#REF!</definedName>
    <definedName name="P1A580PL" localSheetId="8">#REF!</definedName>
    <definedName name="P1A580PL">#REF!</definedName>
    <definedName name="P1A580PO" localSheetId="8">#REF!</definedName>
    <definedName name="P1A580PO">#REF!</definedName>
    <definedName name="P1A580WB" localSheetId="8">#REF!</definedName>
    <definedName name="P1A580WB">#REF!</definedName>
    <definedName name="P1A580WE" localSheetId="8">#REF!</definedName>
    <definedName name="P1A580WE">#REF!</definedName>
    <definedName name="P1A580WL" localSheetId="8">#REF!</definedName>
    <definedName name="P1A580WL">#REF!</definedName>
    <definedName name="P1A580YA" localSheetId="8">#REF!</definedName>
    <definedName name="P1A580YA">#REF!</definedName>
    <definedName name="P1A580YB" localSheetId="8">#REF!</definedName>
    <definedName name="P1A580YB">#REF!</definedName>
    <definedName name="P1A580YL" localSheetId="8">#REF!</definedName>
    <definedName name="P1A580YL">#REF!</definedName>
    <definedName name="P1A590PA" localSheetId="8">#REF!</definedName>
    <definedName name="P1A590PA">#REF!</definedName>
    <definedName name="P1A590PB" localSheetId="8">#REF!</definedName>
    <definedName name="P1A590PB">#REF!</definedName>
    <definedName name="P1A590PL" localSheetId="8">#REF!</definedName>
    <definedName name="P1A590PL">#REF!</definedName>
    <definedName name="P1A590PO" localSheetId="8">#REF!</definedName>
    <definedName name="P1A590PO">#REF!</definedName>
    <definedName name="P1A590WB" localSheetId="8">#REF!</definedName>
    <definedName name="P1A590WB">#REF!</definedName>
    <definedName name="P1A590WE" localSheetId="8">#REF!</definedName>
    <definedName name="P1A590WE">#REF!</definedName>
    <definedName name="P1A590WL" localSheetId="8">#REF!</definedName>
    <definedName name="P1A590WL">#REF!</definedName>
    <definedName name="P1A590YA" localSheetId="8">#REF!</definedName>
    <definedName name="P1A590YA">#REF!</definedName>
    <definedName name="P1A590YB" localSheetId="8">#REF!</definedName>
    <definedName name="P1A590YB">#REF!</definedName>
    <definedName name="P1A590YL" localSheetId="8">#REF!</definedName>
    <definedName name="P1A590YL">#REF!</definedName>
    <definedName name="P1AE_TO_P3AP" localSheetId="8">#REF!</definedName>
    <definedName name="P1AE_TO_P3AP">#REF!</definedName>
    <definedName name="P1AE_TO_P3AY" localSheetId="8">#REF!</definedName>
    <definedName name="P1AE_TO_P3AY">#REF!</definedName>
    <definedName name="P2415PA" localSheetId="8">#REF!</definedName>
    <definedName name="P2415PA">#REF!</definedName>
    <definedName name="P2415PB" localSheetId="8">#REF!</definedName>
    <definedName name="P2415PB">#REF!</definedName>
    <definedName name="P2415PL" localSheetId="8">#REF!</definedName>
    <definedName name="P2415PL">#REF!</definedName>
    <definedName name="P2415PO" localSheetId="8">#REF!</definedName>
    <definedName name="P2415PO">#REF!</definedName>
    <definedName name="P2415WB" localSheetId="8">#REF!</definedName>
    <definedName name="P2415WB">#REF!</definedName>
    <definedName name="P2415WE" localSheetId="8">#REF!</definedName>
    <definedName name="P2415WE">#REF!</definedName>
    <definedName name="P2415WL" localSheetId="8">#REF!</definedName>
    <definedName name="P2415WL">#REF!</definedName>
    <definedName name="P2415YA" localSheetId="8">#REF!</definedName>
    <definedName name="P2415YA">#REF!</definedName>
    <definedName name="P2415YB" localSheetId="8">#REF!</definedName>
    <definedName name="P2415YB">#REF!</definedName>
    <definedName name="P2415YL" localSheetId="8">#REF!</definedName>
    <definedName name="P2415YL">#REF!</definedName>
    <definedName name="P2430PA" localSheetId="8">#REF!</definedName>
    <definedName name="P2430PA">#REF!</definedName>
    <definedName name="P2430PB" localSheetId="8">#REF!</definedName>
    <definedName name="P2430PB">#REF!</definedName>
    <definedName name="P2430PL" localSheetId="8">#REF!</definedName>
    <definedName name="P2430PL">#REF!</definedName>
    <definedName name="P2430PO" localSheetId="8">#REF!</definedName>
    <definedName name="P2430PO">#REF!</definedName>
    <definedName name="P2430WB" localSheetId="8">#REF!</definedName>
    <definedName name="P2430WB">#REF!</definedName>
    <definedName name="P2430WE" localSheetId="8">#REF!</definedName>
    <definedName name="P2430WE">#REF!</definedName>
    <definedName name="P2430WL" localSheetId="8">#REF!</definedName>
    <definedName name="P2430WL">#REF!</definedName>
    <definedName name="P2430YA" localSheetId="8">#REF!</definedName>
    <definedName name="P2430YA">#REF!</definedName>
    <definedName name="P2430YB" localSheetId="8">#REF!</definedName>
    <definedName name="P2430YB">#REF!</definedName>
    <definedName name="P2430YL" localSheetId="8">#REF!</definedName>
    <definedName name="P2430YL">#REF!</definedName>
    <definedName name="P2435PA" localSheetId="8">#REF!</definedName>
    <definedName name="P2435PA">#REF!</definedName>
    <definedName name="P2435PB" localSheetId="8">#REF!</definedName>
    <definedName name="P2435PB">#REF!</definedName>
    <definedName name="P2435PL" localSheetId="8">#REF!</definedName>
    <definedName name="P2435PL">#REF!</definedName>
    <definedName name="P2435PO" localSheetId="8">#REF!</definedName>
    <definedName name="P2435PO">#REF!</definedName>
    <definedName name="P2435WB" localSheetId="8">#REF!</definedName>
    <definedName name="P2435WB">#REF!</definedName>
    <definedName name="P2435WE" localSheetId="8">#REF!</definedName>
    <definedName name="P2435WE">#REF!</definedName>
    <definedName name="P2435WL" localSheetId="8">#REF!</definedName>
    <definedName name="P2435WL">#REF!</definedName>
    <definedName name="P2435YA" localSheetId="8">#REF!</definedName>
    <definedName name="P2435YA">#REF!</definedName>
    <definedName name="P2435YB" localSheetId="8">#REF!</definedName>
    <definedName name="P2435YB">#REF!</definedName>
    <definedName name="P2435YL" localSheetId="8">#REF!</definedName>
    <definedName name="P2435YL">#REF!</definedName>
    <definedName name="P2450PA" localSheetId="8">#REF!</definedName>
    <definedName name="P2450PA">#REF!</definedName>
    <definedName name="P2450PB" localSheetId="8">#REF!</definedName>
    <definedName name="P2450PB">#REF!</definedName>
    <definedName name="P2450PL" localSheetId="8">#REF!</definedName>
    <definedName name="P2450PL">#REF!</definedName>
    <definedName name="P2450PO" localSheetId="8">#REF!</definedName>
    <definedName name="P2450PO">#REF!</definedName>
    <definedName name="P2450WB" localSheetId="8">#REF!</definedName>
    <definedName name="P2450WB">#REF!</definedName>
    <definedName name="P2450WE" localSheetId="8">#REF!</definedName>
    <definedName name="P2450WE">#REF!</definedName>
    <definedName name="P2450WL" localSheetId="8">#REF!</definedName>
    <definedName name="P2450WL">#REF!</definedName>
    <definedName name="P2450YA" localSheetId="8">#REF!</definedName>
    <definedName name="P2450YA">#REF!</definedName>
    <definedName name="P2450YB" localSheetId="8">#REF!</definedName>
    <definedName name="P2450YB">#REF!</definedName>
    <definedName name="P2450YL" localSheetId="8">#REF!</definedName>
    <definedName name="P2450YL">#REF!</definedName>
    <definedName name="P2455PA" localSheetId="8">#REF!</definedName>
    <definedName name="P2455PA">#REF!</definedName>
    <definedName name="P2455PB" localSheetId="8">#REF!</definedName>
    <definedName name="P2455PB">#REF!</definedName>
    <definedName name="P2455PL" localSheetId="8">#REF!</definedName>
    <definedName name="P2455PL">#REF!</definedName>
    <definedName name="P2455PO" localSheetId="8">#REF!</definedName>
    <definedName name="P2455PO">#REF!</definedName>
    <definedName name="P2455WB" localSheetId="8">#REF!</definedName>
    <definedName name="P2455WB">#REF!</definedName>
    <definedName name="P2455WE" localSheetId="8">#REF!</definedName>
    <definedName name="P2455WE">#REF!</definedName>
    <definedName name="P2455WL" localSheetId="8">#REF!</definedName>
    <definedName name="P2455WL">#REF!</definedName>
    <definedName name="P2455YA" localSheetId="8">#REF!</definedName>
    <definedName name="P2455YA">#REF!</definedName>
    <definedName name="P2455YB" localSheetId="8">#REF!</definedName>
    <definedName name="P2455YB">#REF!</definedName>
    <definedName name="P2455YL" localSheetId="8">#REF!</definedName>
    <definedName name="P2455YL">#REF!</definedName>
    <definedName name="P2460PA" localSheetId="8">#REF!</definedName>
    <definedName name="P2460PA">#REF!</definedName>
    <definedName name="P2460PB" localSheetId="8">#REF!</definedName>
    <definedName name="P2460PB">#REF!</definedName>
    <definedName name="P2460PL" localSheetId="8">#REF!</definedName>
    <definedName name="P2460PL">#REF!</definedName>
    <definedName name="P2460PO" localSheetId="8">#REF!</definedName>
    <definedName name="P2460PO">#REF!</definedName>
    <definedName name="P2460WB" localSheetId="8">#REF!</definedName>
    <definedName name="P2460WB">#REF!</definedName>
    <definedName name="P2460WE" localSheetId="8">#REF!</definedName>
    <definedName name="P2460WE">#REF!</definedName>
    <definedName name="P2460WL" localSheetId="8">#REF!</definedName>
    <definedName name="P2460WL">#REF!</definedName>
    <definedName name="P2460YA" localSheetId="8">#REF!</definedName>
    <definedName name="P2460YA">#REF!</definedName>
    <definedName name="P2460YB" localSheetId="8">#REF!</definedName>
    <definedName name="P2460YB">#REF!</definedName>
    <definedName name="P2460YL" localSheetId="8">#REF!</definedName>
    <definedName name="P2460YL">#REF!</definedName>
    <definedName name="P2465PA" localSheetId="8">#REF!</definedName>
    <definedName name="P2465PA">#REF!</definedName>
    <definedName name="P2465PB" localSheetId="8">#REF!</definedName>
    <definedName name="P2465PB">#REF!</definedName>
    <definedName name="P2465PL" localSheetId="8">#REF!</definedName>
    <definedName name="P2465PL">#REF!</definedName>
    <definedName name="P2465PO" localSheetId="8">#REF!</definedName>
    <definedName name="P2465PO">#REF!</definedName>
    <definedName name="P2465WB" localSheetId="8">#REF!</definedName>
    <definedName name="P2465WB">#REF!</definedName>
    <definedName name="P2465WE" localSheetId="8">#REF!</definedName>
    <definedName name="P2465WE">#REF!</definedName>
    <definedName name="P2465WL" localSheetId="8">#REF!</definedName>
    <definedName name="P2465WL">#REF!</definedName>
    <definedName name="P2465YA" localSheetId="8">#REF!</definedName>
    <definedName name="P2465YA">#REF!</definedName>
    <definedName name="P2465YB" localSheetId="8">#REF!</definedName>
    <definedName name="P2465YB">#REF!</definedName>
    <definedName name="P2465YL" localSheetId="8">#REF!</definedName>
    <definedName name="P2465YL">#REF!</definedName>
    <definedName name="P2A110PA" localSheetId="8">#REF!</definedName>
    <definedName name="P2A110PA">#REF!</definedName>
    <definedName name="P2A110PB" localSheetId="8">#REF!</definedName>
    <definedName name="P2A110PB">#REF!</definedName>
    <definedName name="P2A110PL" localSheetId="8">#REF!</definedName>
    <definedName name="P2A110PL">#REF!</definedName>
    <definedName name="P2A110PO" localSheetId="8">#REF!</definedName>
    <definedName name="P2A110PO">#REF!</definedName>
    <definedName name="P2A110WB" localSheetId="8">#REF!</definedName>
    <definedName name="P2A110WB">#REF!</definedName>
    <definedName name="P2A110WE" localSheetId="8">#REF!</definedName>
    <definedName name="P2A110WE">#REF!</definedName>
    <definedName name="P2A110WL" localSheetId="8">#REF!</definedName>
    <definedName name="P2A110WL">#REF!</definedName>
    <definedName name="P2A110YA" localSheetId="8">#REF!</definedName>
    <definedName name="P2A110YA">#REF!</definedName>
    <definedName name="P2A110YB" localSheetId="8">#REF!</definedName>
    <definedName name="P2A110YB">#REF!</definedName>
    <definedName name="P2A110YL" localSheetId="8">#REF!</definedName>
    <definedName name="P2A110YL">#REF!</definedName>
    <definedName name="P2A120PA" localSheetId="8">#REF!</definedName>
    <definedName name="P2A120PA">#REF!</definedName>
    <definedName name="P2A120PB" localSheetId="8">#REF!</definedName>
    <definedName name="P2A120PB">#REF!</definedName>
    <definedName name="P2A120PL" localSheetId="8">#REF!</definedName>
    <definedName name="P2A120PL">#REF!</definedName>
    <definedName name="P2A120PO" localSheetId="8">#REF!</definedName>
    <definedName name="P2A120PO">#REF!</definedName>
    <definedName name="P2A120WB" localSheetId="8">#REF!</definedName>
    <definedName name="P2A120WB">#REF!</definedName>
    <definedName name="P2A120WE" localSheetId="8">#REF!</definedName>
    <definedName name="P2A120WE">#REF!</definedName>
    <definedName name="P2A120WL" localSheetId="8">#REF!</definedName>
    <definedName name="P2A120WL">#REF!</definedName>
    <definedName name="P2A120YA" localSheetId="8">#REF!</definedName>
    <definedName name="P2A120YA">#REF!</definedName>
    <definedName name="P2A120YB" localSheetId="8">#REF!</definedName>
    <definedName name="P2A120YB">#REF!</definedName>
    <definedName name="P2A120YL" localSheetId="8">#REF!</definedName>
    <definedName name="P2A120YL">#REF!</definedName>
    <definedName name="P2A240PA" localSheetId="8">#REF!</definedName>
    <definedName name="P2A240PA">#REF!</definedName>
    <definedName name="P2A240PB" localSheetId="8">#REF!</definedName>
    <definedName name="P2A240PB">#REF!</definedName>
    <definedName name="P2A240PL" localSheetId="8">#REF!</definedName>
    <definedName name="P2A240PL">#REF!</definedName>
    <definedName name="P2A240PO" localSheetId="8">#REF!</definedName>
    <definedName name="P2A240PO">#REF!</definedName>
    <definedName name="P2A240WB" localSheetId="8">#REF!</definedName>
    <definedName name="P2A240WB">#REF!</definedName>
    <definedName name="P2A240WE" localSheetId="8">#REF!</definedName>
    <definedName name="P2A240WE">#REF!</definedName>
    <definedName name="P2A240WL" localSheetId="8">#REF!</definedName>
    <definedName name="P2A240WL">#REF!</definedName>
    <definedName name="P2A240YA" localSheetId="8">#REF!</definedName>
    <definedName name="P2A240YA">#REF!</definedName>
    <definedName name="P2A240YB" localSheetId="8">#REF!</definedName>
    <definedName name="P2A240YB">#REF!</definedName>
    <definedName name="P2A240YL" localSheetId="8">#REF!</definedName>
    <definedName name="P2A240YL">#REF!</definedName>
    <definedName name="P2A310PA" localSheetId="8">#REF!</definedName>
    <definedName name="P2A310PA">#REF!</definedName>
    <definedName name="P2A310PB" localSheetId="8">#REF!</definedName>
    <definedName name="P2A310PB">#REF!</definedName>
    <definedName name="P2A310PL" localSheetId="8">#REF!</definedName>
    <definedName name="P2A310PL">#REF!</definedName>
    <definedName name="P2A310PO" localSheetId="8">#REF!</definedName>
    <definedName name="P2A310PO">#REF!</definedName>
    <definedName name="P2A310WB" localSheetId="8">#REF!</definedName>
    <definedName name="P2A310WB">#REF!</definedName>
    <definedName name="P2A310WE" localSheetId="8">#REF!</definedName>
    <definedName name="P2A310WE">#REF!</definedName>
    <definedName name="P2A310WL" localSheetId="8">#REF!</definedName>
    <definedName name="P2A310WL">#REF!</definedName>
    <definedName name="P2A310YA" localSheetId="8">#REF!</definedName>
    <definedName name="P2A310YA">#REF!</definedName>
    <definedName name="P2A310YB" localSheetId="8">#REF!</definedName>
    <definedName name="P2A310YB">#REF!</definedName>
    <definedName name="P2A310YL" localSheetId="8">#REF!</definedName>
    <definedName name="P2A310YL">#REF!</definedName>
    <definedName name="P2A320PA" localSheetId="8">#REF!</definedName>
    <definedName name="P2A320PA">#REF!</definedName>
    <definedName name="P2A320PB" localSheetId="8">#REF!</definedName>
    <definedName name="P2A320PB">#REF!</definedName>
    <definedName name="P2A320PL" localSheetId="8">#REF!</definedName>
    <definedName name="P2A320PL">#REF!</definedName>
    <definedName name="P2A320PO" localSheetId="8">#REF!</definedName>
    <definedName name="P2A320PO">#REF!</definedName>
    <definedName name="P2A320WB" localSheetId="8">#REF!</definedName>
    <definedName name="P2A320WB">#REF!</definedName>
    <definedName name="P2A320WE" localSheetId="8">#REF!</definedName>
    <definedName name="P2A320WE">#REF!</definedName>
    <definedName name="P2A320WL" localSheetId="8">#REF!</definedName>
    <definedName name="P2A320WL">#REF!</definedName>
    <definedName name="P2A320YA" localSheetId="8">#REF!</definedName>
    <definedName name="P2A320YA">#REF!</definedName>
    <definedName name="P2A320YB" localSheetId="8">#REF!</definedName>
    <definedName name="P2A320YB">#REF!</definedName>
    <definedName name="P2A320YL" localSheetId="8">#REF!</definedName>
    <definedName name="P2A320YL">#REF!</definedName>
    <definedName name="P2A330PA" localSheetId="8">#REF!</definedName>
    <definedName name="P2A330PA">#REF!</definedName>
    <definedName name="P2A330PB" localSheetId="8">#REF!</definedName>
    <definedName name="P2A330PB">#REF!</definedName>
    <definedName name="P2A330PL" localSheetId="8">#REF!</definedName>
    <definedName name="P2A330PL">#REF!</definedName>
    <definedName name="P2A330PO" localSheetId="8">#REF!</definedName>
    <definedName name="P2A330PO">#REF!</definedName>
    <definedName name="P2A330WB" localSheetId="8">#REF!</definedName>
    <definedName name="P2A330WB">#REF!</definedName>
    <definedName name="P2A330WE" localSheetId="8">#REF!</definedName>
    <definedName name="P2A330WE">#REF!</definedName>
    <definedName name="P2A330WL" localSheetId="8">#REF!</definedName>
    <definedName name="P2A330WL">#REF!</definedName>
    <definedName name="P2A330YA" localSheetId="8">#REF!</definedName>
    <definedName name="P2A330YA">#REF!</definedName>
    <definedName name="P2A330YB" localSheetId="8">#REF!</definedName>
    <definedName name="P2A330YB">#REF!</definedName>
    <definedName name="P2A330YL" localSheetId="8">#REF!</definedName>
    <definedName name="P2A330YL">#REF!</definedName>
    <definedName name="P2A360PA" localSheetId="8">#REF!</definedName>
    <definedName name="P2A360PA">#REF!</definedName>
    <definedName name="P2A360PB" localSheetId="8">#REF!</definedName>
    <definedName name="P2A360PB">#REF!</definedName>
    <definedName name="P2A360PL" localSheetId="8">#REF!</definedName>
    <definedName name="P2A360PL">#REF!</definedName>
    <definedName name="P2A360PO" localSheetId="8">#REF!</definedName>
    <definedName name="P2A360PO">#REF!</definedName>
    <definedName name="P2A360WB" localSheetId="8">#REF!</definedName>
    <definedName name="P2A360WB">#REF!</definedName>
    <definedName name="P2A360WE" localSheetId="8">#REF!</definedName>
    <definedName name="P2A360WE">#REF!</definedName>
    <definedName name="P2A360WL" localSheetId="8">#REF!</definedName>
    <definedName name="P2A360WL">#REF!</definedName>
    <definedName name="P2A360YA" localSheetId="8">#REF!</definedName>
    <definedName name="P2A360YA">#REF!</definedName>
    <definedName name="P2A360YB" localSheetId="8">#REF!</definedName>
    <definedName name="P2A360YB">#REF!</definedName>
    <definedName name="P2A360YL" localSheetId="8">#REF!</definedName>
    <definedName name="P2A360YL">#REF!</definedName>
    <definedName name="P3030PA" localSheetId="8">#REF!</definedName>
    <definedName name="P3030PA">#REF!</definedName>
    <definedName name="P3030PB" localSheetId="8">#REF!</definedName>
    <definedName name="P3030PB">#REF!</definedName>
    <definedName name="P3030PL" localSheetId="8">#REF!</definedName>
    <definedName name="P3030PL">#REF!</definedName>
    <definedName name="P3030PO" localSheetId="8">#REF!</definedName>
    <definedName name="P3030PO">#REF!</definedName>
    <definedName name="P3030WB" localSheetId="8">#REF!</definedName>
    <definedName name="P3030WB">#REF!</definedName>
    <definedName name="P3030WE" localSheetId="8">#REF!</definedName>
    <definedName name="P3030WE">#REF!</definedName>
    <definedName name="P3030WL" localSheetId="8">#REF!</definedName>
    <definedName name="P3030WL">#REF!</definedName>
    <definedName name="P3030YA" localSheetId="8">#REF!</definedName>
    <definedName name="P3030YA">#REF!</definedName>
    <definedName name="P3030YB" localSheetId="8">#REF!</definedName>
    <definedName name="P3030YB">#REF!</definedName>
    <definedName name="P3030YL" localSheetId="8">#REF!</definedName>
    <definedName name="P3030YL">#REF!</definedName>
    <definedName name="P3040PA" localSheetId="8">#REF!</definedName>
    <definedName name="P3040PA">#REF!</definedName>
    <definedName name="P3040PB" localSheetId="8">#REF!</definedName>
    <definedName name="P3040PB">#REF!</definedName>
    <definedName name="P3040PL" localSheetId="8">#REF!</definedName>
    <definedName name="P3040PL">#REF!</definedName>
    <definedName name="P3040PO" localSheetId="8">#REF!</definedName>
    <definedName name="P3040PO">#REF!</definedName>
    <definedName name="P3040WB" localSheetId="8">#REF!</definedName>
    <definedName name="P3040WB">#REF!</definedName>
    <definedName name="P3040WE" localSheetId="8">#REF!</definedName>
    <definedName name="P3040WE">#REF!</definedName>
    <definedName name="P3040WL" localSheetId="8">#REF!</definedName>
    <definedName name="P3040WL">#REF!</definedName>
    <definedName name="P3040YA" localSheetId="8">#REF!</definedName>
    <definedName name="P3040YA">#REF!</definedName>
    <definedName name="P3040YB" localSheetId="8">#REF!</definedName>
    <definedName name="P3040YB">#REF!</definedName>
    <definedName name="P3040YL" localSheetId="8">#REF!</definedName>
    <definedName name="P3040YL">#REF!</definedName>
    <definedName name="P3050PA" localSheetId="8">#REF!</definedName>
    <definedName name="P3050PA">#REF!</definedName>
    <definedName name="P3050PB" localSheetId="8">#REF!</definedName>
    <definedName name="P3050PB">#REF!</definedName>
    <definedName name="P3050PL" localSheetId="8">#REF!</definedName>
    <definedName name="P3050PL">#REF!</definedName>
    <definedName name="P3050PO" localSheetId="8">#REF!</definedName>
    <definedName name="P3050PO">#REF!</definedName>
    <definedName name="P3050WB" localSheetId="8">#REF!</definedName>
    <definedName name="P3050WB">#REF!</definedName>
    <definedName name="P3050WE" localSheetId="8">#REF!</definedName>
    <definedName name="P3050WE">#REF!</definedName>
    <definedName name="P3050WL" localSheetId="8">#REF!</definedName>
    <definedName name="P3050WL">#REF!</definedName>
    <definedName name="P3050YA" localSheetId="8">#REF!</definedName>
    <definedName name="P3050YA">#REF!</definedName>
    <definedName name="P3050YB" localSheetId="8">#REF!</definedName>
    <definedName name="P3050YB">#REF!</definedName>
    <definedName name="P3050YL" localSheetId="8">#REF!</definedName>
    <definedName name="P3050YL">#REF!</definedName>
    <definedName name="P3060PA" localSheetId="8">#REF!</definedName>
    <definedName name="P3060PA">#REF!</definedName>
    <definedName name="P3060PB" localSheetId="8">#REF!</definedName>
    <definedName name="P3060PB">#REF!</definedName>
    <definedName name="P3060PL" localSheetId="8">#REF!</definedName>
    <definedName name="P3060PL">#REF!</definedName>
    <definedName name="P3060PO" localSheetId="8">#REF!</definedName>
    <definedName name="P3060PO">#REF!</definedName>
    <definedName name="P3060WB" localSheetId="8">#REF!</definedName>
    <definedName name="P3060WB">#REF!</definedName>
    <definedName name="P3060WE" localSheetId="8">#REF!</definedName>
    <definedName name="P3060WE">#REF!</definedName>
    <definedName name="P3060WL" localSheetId="8">#REF!</definedName>
    <definedName name="P3060WL">#REF!</definedName>
    <definedName name="P3060YA" localSheetId="8">#REF!</definedName>
    <definedName name="P3060YA">#REF!</definedName>
    <definedName name="P3060YB" localSheetId="8">#REF!</definedName>
    <definedName name="P3060YB">#REF!</definedName>
    <definedName name="P3060YL" localSheetId="8">#REF!</definedName>
    <definedName name="P3060YL">#REF!</definedName>
    <definedName name="P3070PA" localSheetId="8">#REF!</definedName>
    <definedName name="P3070PA">#REF!</definedName>
    <definedName name="P3070PB" localSheetId="8">#REF!</definedName>
    <definedName name="P3070PB">#REF!</definedName>
    <definedName name="P3070PL" localSheetId="8">#REF!</definedName>
    <definedName name="P3070PL">#REF!</definedName>
    <definedName name="P3070PO" localSheetId="8">#REF!</definedName>
    <definedName name="P3070PO">#REF!</definedName>
    <definedName name="P3070WB" localSheetId="8">#REF!</definedName>
    <definedName name="P3070WB">#REF!</definedName>
    <definedName name="P3070WE" localSheetId="8">#REF!</definedName>
    <definedName name="P3070WE">#REF!</definedName>
    <definedName name="P3070WL" localSheetId="8">#REF!</definedName>
    <definedName name="P3070WL">#REF!</definedName>
    <definedName name="P3070YA" localSheetId="8">#REF!</definedName>
    <definedName name="P3070YA">#REF!</definedName>
    <definedName name="P3070YB" localSheetId="8">#REF!</definedName>
    <definedName name="P3070YB">#REF!</definedName>
    <definedName name="P3070YL" localSheetId="8">#REF!</definedName>
    <definedName name="P3070YL">#REF!</definedName>
    <definedName name="P3090PA" localSheetId="8">#REF!</definedName>
    <definedName name="P3090PA">#REF!</definedName>
    <definedName name="P3090PB" localSheetId="8">#REF!</definedName>
    <definedName name="P3090PB">#REF!</definedName>
    <definedName name="P3090PL" localSheetId="8">#REF!</definedName>
    <definedName name="P3090PL">#REF!</definedName>
    <definedName name="P3090PO" localSheetId="8">#REF!</definedName>
    <definedName name="P3090PO">#REF!</definedName>
    <definedName name="P3090WB" localSheetId="8">#REF!</definedName>
    <definedName name="P3090WB">#REF!</definedName>
    <definedName name="P3090WE" localSheetId="8">#REF!</definedName>
    <definedName name="P3090WE">#REF!</definedName>
    <definedName name="P3090WL" localSheetId="8">#REF!</definedName>
    <definedName name="P3090WL">#REF!</definedName>
    <definedName name="P3090YA" localSheetId="8">#REF!</definedName>
    <definedName name="P3090YA">#REF!</definedName>
    <definedName name="P3090YB" localSheetId="8">#REF!</definedName>
    <definedName name="P3090YB">#REF!</definedName>
    <definedName name="P3090YL" localSheetId="8">#REF!</definedName>
    <definedName name="P3090YL">#REF!</definedName>
    <definedName name="P3100PA" localSheetId="8">#REF!</definedName>
    <definedName name="P3100PA">#REF!</definedName>
    <definedName name="P3100PB" localSheetId="8">#REF!</definedName>
    <definedName name="P3100PB">#REF!</definedName>
    <definedName name="P3100PL" localSheetId="8">#REF!</definedName>
    <definedName name="P3100PL">#REF!</definedName>
    <definedName name="P3100PO" localSheetId="8">#REF!</definedName>
    <definedName name="P3100PO">#REF!</definedName>
    <definedName name="P3100WB" localSheetId="8">#REF!</definedName>
    <definedName name="P3100WB">#REF!</definedName>
    <definedName name="P3100WE" localSheetId="8">#REF!</definedName>
    <definedName name="P3100WE">#REF!</definedName>
    <definedName name="P3100WL" localSheetId="8">#REF!</definedName>
    <definedName name="P3100WL">#REF!</definedName>
    <definedName name="P3100YA" localSheetId="8">#REF!</definedName>
    <definedName name="P3100YA">#REF!</definedName>
    <definedName name="P3100YB" localSheetId="8">#REF!</definedName>
    <definedName name="P3100YB">#REF!</definedName>
    <definedName name="P3100YL" localSheetId="8">#REF!</definedName>
    <definedName name="P3100YL">#REF!</definedName>
    <definedName name="P3110PA" localSheetId="8">#REF!</definedName>
    <definedName name="P3110PA">#REF!</definedName>
    <definedName name="P3110PB" localSheetId="8">#REF!</definedName>
    <definedName name="P3110PB">#REF!</definedName>
    <definedName name="P3110PL" localSheetId="8">#REF!</definedName>
    <definedName name="P3110PL">#REF!</definedName>
    <definedName name="P3110PO" localSheetId="8">#REF!</definedName>
    <definedName name="P3110PO">#REF!</definedName>
    <definedName name="P3110WB" localSheetId="8">#REF!</definedName>
    <definedName name="P3110WB">#REF!</definedName>
    <definedName name="P3110WE" localSheetId="8">#REF!</definedName>
    <definedName name="P3110WE">#REF!</definedName>
    <definedName name="P3110WL" localSheetId="8">#REF!</definedName>
    <definedName name="P3110WL">#REF!</definedName>
    <definedName name="P3110YA" localSheetId="8">#REF!</definedName>
    <definedName name="P3110YA">#REF!</definedName>
    <definedName name="P3110YB" localSheetId="8">#REF!</definedName>
    <definedName name="P3110YB">#REF!</definedName>
    <definedName name="P3110YL" localSheetId="8">#REF!</definedName>
    <definedName name="P3110YL">#REF!</definedName>
    <definedName name="P3120PA" localSheetId="8">#REF!</definedName>
    <definedName name="P3120PA">#REF!</definedName>
    <definedName name="P3120PB" localSheetId="8">#REF!</definedName>
    <definedName name="P3120PB">#REF!</definedName>
    <definedName name="P3120PL" localSheetId="8">#REF!</definedName>
    <definedName name="P3120PL">#REF!</definedName>
    <definedName name="P3120PO" localSheetId="8">#REF!</definedName>
    <definedName name="P3120PO">#REF!</definedName>
    <definedName name="P3120WB" localSheetId="8">#REF!</definedName>
    <definedName name="P3120WB">#REF!</definedName>
    <definedName name="P3120WE" localSheetId="8">#REF!</definedName>
    <definedName name="P3120WE">#REF!</definedName>
    <definedName name="P3120WL" localSheetId="8">#REF!</definedName>
    <definedName name="P3120WL">#REF!</definedName>
    <definedName name="P3120YA" localSheetId="8">#REF!</definedName>
    <definedName name="P3120YA">#REF!</definedName>
    <definedName name="P3120YB" localSheetId="8">#REF!</definedName>
    <definedName name="P3120YB">#REF!</definedName>
    <definedName name="P3120YL" localSheetId="8">#REF!</definedName>
    <definedName name="P3120YL">#REF!</definedName>
    <definedName name="P3130APA" localSheetId="8">[2]LinkData!#REF!</definedName>
    <definedName name="P3130APA">[2]LinkData!#REF!</definedName>
    <definedName name="P3130AYA" localSheetId="8">[2]LinkData!#REF!</definedName>
    <definedName name="P3130AYA">[2]LinkData!#REF!</definedName>
    <definedName name="P3130PA" localSheetId="8">#REF!</definedName>
    <definedName name="P3130PA">#REF!</definedName>
    <definedName name="P3130PB" localSheetId="8">#REF!</definedName>
    <definedName name="P3130PB">#REF!</definedName>
    <definedName name="P3130PL" localSheetId="8">#REF!</definedName>
    <definedName name="P3130PL">#REF!</definedName>
    <definedName name="P3130PO" localSheetId="8">#REF!</definedName>
    <definedName name="P3130PO">#REF!</definedName>
    <definedName name="P3130WB" localSheetId="8">#REF!</definedName>
    <definedName name="P3130WB">#REF!</definedName>
    <definedName name="P3130WE" localSheetId="8">#REF!</definedName>
    <definedName name="P3130WE">#REF!</definedName>
    <definedName name="P3130WL" localSheetId="8">#REF!</definedName>
    <definedName name="P3130WL">#REF!</definedName>
    <definedName name="P3130YA" localSheetId="8">#REF!</definedName>
    <definedName name="P3130YA">#REF!</definedName>
    <definedName name="P3130YB" localSheetId="8">#REF!</definedName>
    <definedName name="P3130YB">#REF!</definedName>
    <definedName name="P3130YL" localSheetId="8">#REF!</definedName>
    <definedName name="P3130YL">#REF!</definedName>
    <definedName name="P3140PA" localSheetId="8">#REF!</definedName>
    <definedName name="P3140PA">#REF!</definedName>
    <definedName name="P3140PB" localSheetId="8">#REF!</definedName>
    <definedName name="P3140PB">#REF!</definedName>
    <definedName name="P3140PL" localSheetId="8">#REF!</definedName>
    <definedName name="P3140PL">#REF!</definedName>
    <definedName name="P3140PO" localSheetId="8">#REF!</definedName>
    <definedName name="P3140PO">#REF!</definedName>
    <definedName name="P3140WB" localSheetId="8">#REF!</definedName>
    <definedName name="P3140WB">#REF!</definedName>
    <definedName name="P3140WE" localSheetId="8">#REF!</definedName>
    <definedName name="P3140WE">#REF!</definedName>
    <definedName name="P3140WL" localSheetId="8">#REF!</definedName>
    <definedName name="P3140WL">#REF!</definedName>
    <definedName name="P3140YA" localSheetId="8">#REF!</definedName>
    <definedName name="P3140YA">#REF!</definedName>
    <definedName name="P3140YB" localSheetId="8">#REF!</definedName>
    <definedName name="P3140YB">#REF!</definedName>
    <definedName name="P3140YL" localSheetId="8">#REF!</definedName>
    <definedName name="P3140YL">#REF!</definedName>
    <definedName name="P3150PA" localSheetId="8">#REF!</definedName>
    <definedName name="P3150PA">#REF!</definedName>
    <definedName name="P3150PB" localSheetId="8">#REF!</definedName>
    <definedName name="P3150PB">#REF!</definedName>
    <definedName name="P3150PL" localSheetId="8">#REF!</definedName>
    <definedName name="P3150PL">#REF!</definedName>
    <definedName name="P3150PO" localSheetId="8">#REF!</definedName>
    <definedName name="P3150PO">#REF!</definedName>
    <definedName name="P3150WB" localSheetId="8">#REF!</definedName>
    <definedName name="P3150WB">#REF!</definedName>
    <definedName name="P3150WE" localSheetId="8">#REF!</definedName>
    <definedName name="P3150WE">#REF!</definedName>
    <definedName name="P3150WL" localSheetId="8">#REF!</definedName>
    <definedName name="P3150WL">#REF!</definedName>
    <definedName name="P3150YA" localSheetId="8">#REF!</definedName>
    <definedName name="P3150YA">#REF!</definedName>
    <definedName name="P3150YB" localSheetId="8">#REF!</definedName>
    <definedName name="P3150YB">#REF!</definedName>
    <definedName name="P3150YL" localSheetId="8">#REF!</definedName>
    <definedName name="P3150YL">#REF!</definedName>
    <definedName name="P3180PA" localSheetId="8">#REF!</definedName>
    <definedName name="P3180PA">#REF!</definedName>
    <definedName name="P3180PB" localSheetId="8">#REF!</definedName>
    <definedName name="P3180PB">#REF!</definedName>
    <definedName name="P3180PL" localSheetId="8">#REF!</definedName>
    <definedName name="P3180PL">#REF!</definedName>
    <definedName name="P3180PO" localSheetId="8">#REF!</definedName>
    <definedName name="P3180PO">#REF!</definedName>
    <definedName name="P3180WB" localSheetId="8">#REF!</definedName>
    <definedName name="P3180WB">#REF!</definedName>
    <definedName name="P3180WE" localSheetId="8">#REF!</definedName>
    <definedName name="P3180WE">#REF!</definedName>
    <definedName name="P3180WL" localSheetId="8">#REF!</definedName>
    <definedName name="P3180WL">#REF!</definedName>
    <definedName name="P3180YA" localSheetId="8">#REF!</definedName>
    <definedName name="P3180YA">#REF!</definedName>
    <definedName name="P3180YB" localSheetId="8">#REF!</definedName>
    <definedName name="P3180YB">#REF!</definedName>
    <definedName name="P3180YL" localSheetId="8">#REF!</definedName>
    <definedName name="P3180YL">#REF!</definedName>
    <definedName name="P3190PA" localSheetId="8">#REF!</definedName>
    <definedName name="P3190PA">#REF!</definedName>
    <definedName name="P3190PB" localSheetId="8">#REF!</definedName>
    <definedName name="P3190PB">#REF!</definedName>
    <definedName name="P3190PL" localSheetId="8">#REF!</definedName>
    <definedName name="P3190PL">#REF!</definedName>
    <definedName name="P3190PO" localSheetId="8">#REF!</definedName>
    <definedName name="P3190PO">#REF!</definedName>
    <definedName name="P3190WB" localSheetId="8">#REF!</definedName>
    <definedName name="P3190WB">#REF!</definedName>
    <definedName name="P3190WE" localSheetId="8">#REF!</definedName>
    <definedName name="P3190WE">#REF!</definedName>
    <definedName name="P3190WL" localSheetId="8">#REF!</definedName>
    <definedName name="P3190WL">#REF!</definedName>
    <definedName name="P3190YA" localSheetId="8">#REF!</definedName>
    <definedName name="P3190YA">#REF!</definedName>
    <definedName name="P3190YB" localSheetId="8">#REF!</definedName>
    <definedName name="P3190YB">#REF!</definedName>
    <definedName name="P3190YL" localSheetId="8">#REF!</definedName>
    <definedName name="P3190YL">#REF!</definedName>
    <definedName name="P3200PA" localSheetId="8">#REF!</definedName>
    <definedName name="P3200PA">#REF!</definedName>
    <definedName name="P3200PB" localSheetId="8">#REF!</definedName>
    <definedName name="P3200PB">#REF!</definedName>
    <definedName name="P3200PL" localSheetId="8">#REF!</definedName>
    <definedName name="P3200PL">#REF!</definedName>
    <definedName name="P3200PO" localSheetId="8">#REF!</definedName>
    <definedName name="P3200PO">#REF!</definedName>
    <definedName name="P3200WB" localSheetId="8">#REF!</definedName>
    <definedName name="P3200WB">#REF!</definedName>
    <definedName name="P3200WE" localSheetId="8">#REF!</definedName>
    <definedName name="P3200WE">#REF!</definedName>
    <definedName name="P3200WL" localSheetId="8">#REF!</definedName>
    <definedName name="P3200WL">#REF!</definedName>
    <definedName name="P3200YA" localSheetId="8">#REF!</definedName>
    <definedName name="P3200YA">#REF!</definedName>
    <definedName name="P3200YB" localSheetId="8">#REF!</definedName>
    <definedName name="P3200YB">#REF!</definedName>
    <definedName name="P3200YL" localSheetId="8">#REF!</definedName>
    <definedName name="P3200YL">#REF!</definedName>
    <definedName name="P7QSINT" localSheetId="8">#REF!</definedName>
    <definedName name="P7QSINT">#REF!</definedName>
    <definedName name="P7QSINTA" localSheetId="8">#REF!</definedName>
    <definedName name="P7QSINTA">#REF!</definedName>
    <definedName name="P7QSINTAP" localSheetId="8">#REF!</definedName>
    <definedName name="P7QSINTAP">#REF!</definedName>
    <definedName name="P7QXINT" localSheetId="8">#REF!</definedName>
    <definedName name="P7QXINT">#REF!</definedName>
    <definedName name="P7QXINTA" localSheetId="8">#REF!</definedName>
    <definedName name="P7QXINTA">#REF!</definedName>
    <definedName name="P7QXINTAP" localSheetId="8">#REF!</definedName>
    <definedName name="P7QXINTAP">#REF!</definedName>
    <definedName name="P7QZBINT" localSheetId="8">#REF!</definedName>
    <definedName name="P7QZBINT">#REF!</definedName>
    <definedName name="P7QZBINTA" localSheetId="8">#REF!</definedName>
    <definedName name="P7QZBINTA">#REF!</definedName>
    <definedName name="P7QZBINTAP" localSheetId="8">#REF!</definedName>
    <definedName name="P7QZBINTAP">#REF!</definedName>
    <definedName name="P8INT" localSheetId="8">#REF!</definedName>
    <definedName name="P8INT">#REF!</definedName>
    <definedName name="P8INTA" localSheetId="8">#REF!</definedName>
    <definedName name="P8INTA">#REF!</definedName>
    <definedName name="P8INTAP" localSheetId="8">#REF!</definedName>
    <definedName name="P8INTAP">#REF!</definedName>
    <definedName name="Parameter_ColsHide" localSheetId="12" hidden="1">"A:A,C:G,AA:AD"</definedName>
    <definedName name="Parameter_ColsHide" localSheetId="15" hidden="1">"A:A,C:G,AA:AD"</definedName>
    <definedName name="Parameter_ColsHide" localSheetId="20" hidden="1">"A:D"</definedName>
    <definedName name="Parameter_ColsHide" localSheetId="16" hidden="1">"A:D"</definedName>
    <definedName name="Parameter_ColsHide" localSheetId="22" hidden="1">"A:B"</definedName>
    <definedName name="Parameter_ColsHide" localSheetId="19">"A:B"</definedName>
    <definedName name="Parameter_ColsHide" localSheetId="18" hidden="1">"A:B"</definedName>
    <definedName name="Parameter_ColsHide" localSheetId="13" hidden="1">"A:A,C:G"</definedName>
    <definedName name="Parameter_ColsHide" localSheetId="2" hidden="1">"D:D,I:I"</definedName>
    <definedName name="Parameter_ColsHide" localSheetId="21" hidden="1">"A:B"</definedName>
    <definedName name="Parameter_ColsHide" localSheetId="17" hidden="1">"A:B"</definedName>
    <definedName name="Parameter_ColsHide" localSheetId="1" hidden="1">"G:H"</definedName>
    <definedName name="Parameter_ColsHide" localSheetId="24" hidden="1">"A:C"</definedName>
    <definedName name="Parameter_ColsHide" localSheetId="25" hidden="1">"A:E"</definedName>
    <definedName name="Parameter_ColsHide" localSheetId="23">"A:B"</definedName>
    <definedName name="Parameter_ColsHide" localSheetId="3" hidden="1">"A:C,H:H"</definedName>
    <definedName name="Parameter_ColsHide" localSheetId="10" hidden="1">"A:B"</definedName>
    <definedName name="Parameter_ColsHide" localSheetId="9" hidden="1">"A:B"</definedName>
    <definedName name="Parameter_ColsHide" localSheetId="4" hidden="1">"A:B"</definedName>
    <definedName name="Parameter_ColsHide" localSheetId="11" hidden="1">"A:C"</definedName>
    <definedName name="Parameter_ColsHide" localSheetId="14" hidden="1">"A:A,C:G,AA:AD"</definedName>
    <definedName name="Parameter_EntryNum" localSheetId="12" hidden="1">AJE!$F$4</definedName>
    <definedName name="Parameter_EntryNum" localSheetId="15" hidden="1">'AJE1'!$F$4</definedName>
    <definedName name="Parameter_EntryNum" localSheetId="13" hidden="1">CFJE!$F$4</definedName>
    <definedName name="Parameter_EntryNum" localSheetId="14" hidden="1">UJE!$F$4</definedName>
    <definedName name="Parameter_RowsHide" localSheetId="12" hidden="1">"1:3"</definedName>
    <definedName name="Parameter_RowsHide" localSheetId="15" hidden="1">"1:3"</definedName>
    <definedName name="Parameter_RowsHide" localSheetId="20" hidden="1">"1:1"</definedName>
    <definedName name="Parameter_RowsHide" localSheetId="16" hidden="1">"1:1"</definedName>
    <definedName name="Parameter_RowsHide" localSheetId="22" hidden="1">"1:1"</definedName>
    <definedName name="Parameter_RowsHide" localSheetId="19">"1:2"</definedName>
    <definedName name="Parameter_RowsHide" localSheetId="18" hidden="1">"1:1"</definedName>
    <definedName name="Parameter_RowsHide" localSheetId="13" hidden="1">"1:3"</definedName>
    <definedName name="Parameter_RowsHide" localSheetId="21" hidden="1">"1:1"</definedName>
    <definedName name="Parameter_RowsHide" localSheetId="17" hidden="1">"1:1"</definedName>
    <definedName name="Parameter_RowsHide" localSheetId="1" hidden="1">"1:1"</definedName>
    <definedName name="Parameter_RowsHide" localSheetId="24" hidden="1">"1:1,7:7"</definedName>
    <definedName name="Parameter_RowsHide" localSheetId="25" hidden="1">"1:1"</definedName>
    <definedName name="Parameter_RowsHide" localSheetId="23">"1:2"</definedName>
    <definedName name="Parameter_RowsHide" localSheetId="3" hidden="1">"1:1,6:7"</definedName>
    <definedName name="Parameter_RowsHide" localSheetId="10" hidden="1">"1:2"</definedName>
    <definedName name="Parameter_RowsHide" localSheetId="9" hidden="1">"1:1,6:7"</definedName>
    <definedName name="Parameter_RowsHide" localSheetId="4" hidden="1">"1:1,6:7"</definedName>
    <definedName name="Parameter_RowsHide" localSheetId="11" hidden="1">"1:1,5:5"</definedName>
    <definedName name="Parameter_RowsHide" localSheetId="14" hidden="1">"1:3"</definedName>
    <definedName name="Parameter_TableCli" localSheetId="12" hidden="1">"1"</definedName>
    <definedName name="Parameter_TableCli" localSheetId="15" hidden="1">"1"</definedName>
    <definedName name="Parameter_TableCli" localSheetId="20" hidden="1">"1"</definedName>
    <definedName name="Parameter_TableCli" localSheetId="16" hidden="1">"1"</definedName>
    <definedName name="Parameter_TableCli" localSheetId="22" hidden="1">"1"</definedName>
    <definedName name="Parameter_TableCli" localSheetId="19">"1"</definedName>
    <definedName name="Parameter_TableCli" localSheetId="18" hidden="1">"1"</definedName>
    <definedName name="Parameter_TableCli" localSheetId="13" hidden="1">"1"</definedName>
    <definedName name="Parameter_TableCli" localSheetId="26" hidden="1">"-1"</definedName>
    <definedName name="Parameter_TableCli" localSheetId="27" hidden="1">"-1"</definedName>
    <definedName name="Parameter_TableCli" localSheetId="2" hidden="1">"1"</definedName>
    <definedName name="Parameter_TableCli" localSheetId="21" hidden="1">"1"</definedName>
    <definedName name="Parameter_TableCli" localSheetId="17" hidden="1">"1"</definedName>
    <definedName name="Parameter_TableCli" localSheetId="1" hidden="1">"-1"</definedName>
    <definedName name="Parameter_TableCli" localSheetId="24" hidden="1">"1"</definedName>
    <definedName name="Parameter_TableCli" localSheetId="25" hidden="1">"1"</definedName>
    <definedName name="Parameter_TableCli" localSheetId="23">"1"</definedName>
    <definedName name="Parameter_TableCli" localSheetId="3" hidden="1">"1"</definedName>
    <definedName name="Parameter_TableCli" localSheetId="10" hidden="1">"1"</definedName>
    <definedName name="Parameter_TableCli" localSheetId="9" hidden="1">"1"</definedName>
    <definedName name="Parameter_TableCli" localSheetId="4" hidden="1">"1"</definedName>
    <definedName name="Parameter_TableCli" localSheetId="11" hidden="1">"1"</definedName>
    <definedName name="Parameter_TableCli" localSheetId="14" hidden="1">"1"</definedName>
    <definedName name="Parameter_TableCli" localSheetId="36" hidden="1">"1"</definedName>
    <definedName name="Parameter_TableCli" localSheetId="32" hidden="1">"1"</definedName>
    <definedName name="Parameter_TableCli" localSheetId="33" hidden="1">"1"</definedName>
    <definedName name="Parameter_TableCli" localSheetId="34" hidden="1">"1"</definedName>
    <definedName name="Parameter_TableCli" localSheetId="35" hidden="1">"1"</definedName>
    <definedName name="Parameter_TableCon" localSheetId="12" hidden="1">"IND"</definedName>
    <definedName name="Parameter_TableCon" localSheetId="15" hidden="1">"IND"</definedName>
    <definedName name="Parameter_TableCon" localSheetId="20" hidden="1">"IND"</definedName>
    <definedName name="Parameter_TableCon" localSheetId="16" hidden="1">"IND"</definedName>
    <definedName name="Parameter_TableCon" localSheetId="22" hidden="1">"IND"</definedName>
    <definedName name="Parameter_TableCon" localSheetId="19">"IND"</definedName>
    <definedName name="Parameter_TableCon" localSheetId="18" hidden="1">"IND"</definedName>
    <definedName name="Parameter_TableCon" localSheetId="13" hidden="1">"IND"</definedName>
    <definedName name="Parameter_TableCon" localSheetId="26" hidden="1">"IND"</definedName>
    <definedName name="Parameter_TableCon" localSheetId="27" hidden="1">"IND"</definedName>
    <definedName name="Parameter_TableCon" localSheetId="2" hidden="1">"GEN"</definedName>
    <definedName name="Parameter_TableCon" localSheetId="21" hidden="1">"IND"</definedName>
    <definedName name="Parameter_TableCon" localSheetId="17" hidden="1">"IND"</definedName>
    <definedName name="Parameter_TableCon" localSheetId="1" hidden="1">"IND"</definedName>
    <definedName name="Parameter_TableCon" localSheetId="24" hidden="1">"GEN"</definedName>
    <definedName name="Parameter_TableCon" localSheetId="25" hidden="1">"IND"</definedName>
    <definedName name="Parameter_TableCon" localSheetId="23">"IND"</definedName>
    <definedName name="Parameter_TableCon" localSheetId="3" hidden="1">"IND"</definedName>
    <definedName name="Parameter_TableCon" localSheetId="10" hidden="1">"IND"</definedName>
    <definedName name="Parameter_TableCon" localSheetId="9" hidden="1">"IND"</definedName>
    <definedName name="Parameter_TableCon" localSheetId="4" hidden="1">"IND"</definedName>
    <definedName name="Parameter_TableCon" localSheetId="11" hidden="1">"IND"</definedName>
    <definedName name="Parameter_TableCon" localSheetId="14" hidden="1">"IND"</definedName>
    <definedName name="Parameter_TableCon" localSheetId="36" hidden="1">"GEN"</definedName>
    <definedName name="Parameter_TableCon" localSheetId="32" hidden="1">"GEN"</definedName>
    <definedName name="Parameter_TableCon" localSheetId="33" hidden="1">"GEN"</definedName>
    <definedName name="Parameter_TableCon" localSheetId="34" hidden="1">"GEN"</definedName>
    <definedName name="Parameter_TableCon" localSheetId="35" hidden="1">"GEN"</definedName>
    <definedName name="Parameter_TableHeaders" localSheetId="20" hidden="1">"2:4"</definedName>
    <definedName name="Parameter_TableHeaders" localSheetId="16" hidden="1">"2:4"</definedName>
    <definedName name="Parameter_TableHeaders" localSheetId="22" hidden="1">"2:5"</definedName>
    <definedName name="Parameter_TableHeaders" localSheetId="19">"3:5"</definedName>
    <definedName name="Parameter_TableHeaders" localSheetId="18" hidden="1">"2:5"</definedName>
    <definedName name="Parameter_TableHeaders" localSheetId="2">"2:6"</definedName>
    <definedName name="Parameter_TableHeaders" localSheetId="21" hidden="1">"2:5"</definedName>
    <definedName name="Parameter_TableHeaders" localSheetId="17" hidden="1">"2:5"</definedName>
    <definedName name="Parameter_TableHeaders" localSheetId="24" hidden="1">"2:6"</definedName>
    <definedName name="Parameter_TableHeaders" localSheetId="25" hidden="1">"2:6"</definedName>
    <definedName name="Parameter_TableHeaders" localSheetId="23">"3:5"</definedName>
    <definedName name="Parameter_TableHeaders" localSheetId="3" hidden="1">"2:5"</definedName>
    <definedName name="Parameter_TableHeaders" localSheetId="10" hidden="1">"3:5"</definedName>
    <definedName name="Parameter_TableHeaders" localSheetId="9" hidden="1">"2:5"</definedName>
    <definedName name="Parameter_TableHeaders" localSheetId="4" hidden="1">"2:5"</definedName>
    <definedName name="Parameter_TableHeaders" localSheetId="11" hidden="1">"2:6"</definedName>
    <definedName name="Parameter_TableHeaders" localSheetId="36">"2:6"</definedName>
    <definedName name="Parameter_TableHeaders" localSheetId="32">"2:6"</definedName>
    <definedName name="Parameter_TableHeaders" localSheetId="33">"2:6"</definedName>
    <definedName name="Parameter_TableHeaders" localSheetId="34">"2:6"</definedName>
    <definedName name="Parameter_TableHeaders" localSheetId="35">"2:6"</definedName>
    <definedName name="Parameter_TableName" localSheetId="12" hidden="1">"JE"</definedName>
    <definedName name="Parameter_TableName" localSheetId="15" hidden="1">"JE"</definedName>
    <definedName name="Parameter_TableName" localSheetId="20" hidden="1">"BS"</definedName>
    <definedName name="Parameter_TableName" localSheetId="16" hidden="1">"BS"</definedName>
    <definedName name="Parameter_TableName" localSheetId="22" hidden="1">"CF"</definedName>
    <definedName name="Parameter_TableName" localSheetId="19">"CE"</definedName>
    <definedName name="Parameter_TableName" localSheetId="18" hidden="1">"CF"</definedName>
    <definedName name="Parameter_TableName" localSheetId="13" hidden="1">"JE"</definedName>
    <definedName name="Parameter_TableName" localSheetId="26" hidden="1">"WP"</definedName>
    <definedName name="Parameter_TableName" localSheetId="27" hidden="1">"WP"</definedName>
    <definedName name="Parameter_TableName" localSheetId="2" hidden="1">"OT"</definedName>
    <definedName name="Parameter_TableName" localSheetId="21" hidden="1">"IS"</definedName>
    <definedName name="Parameter_TableName" localSheetId="17" hidden="1">"IS"</definedName>
    <definedName name="Parameter_TableName" localSheetId="1" hidden="1">"ME"</definedName>
    <definedName name="Parameter_TableName" localSheetId="24" hidden="1">"OT"</definedName>
    <definedName name="Parameter_TableName" localSheetId="25" hidden="1">"NO"</definedName>
    <definedName name="Parameter_TableName" localSheetId="23">"CE"</definedName>
    <definedName name="Parameter_TableName" localSheetId="3" hidden="1">"BS"</definedName>
    <definedName name="Parameter_TableName" localSheetId="10" hidden="1">"CE"</definedName>
    <definedName name="Parameter_TableName" localSheetId="9" hidden="1">"CF"</definedName>
    <definedName name="Parameter_TableName" localSheetId="4" hidden="1">"IS"</definedName>
    <definedName name="Parameter_TableName" localSheetId="11" hidden="1">"TB"</definedName>
    <definedName name="Parameter_TableName" localSheetId="14" hidden="1">"JE"</definedName>
    <definedName name="Parameter_TableName" localSheetId="36" hidden="1">"OT"</definedName>
    <definedName name="Parameter_TableName" localSheetId="32" hidden="1">"OT"</definedName>
    <definedName name="Parameter_TableName" localSheetId="33" hidden="1">"OT"</definedName>
    <definedName name="Parameter_TableName" localSheetId="34" hidden="1">"OT"</definedName>
    <definedName name="Parameter_TableName" localSheetId="35" hidden="1">"OT"</definedName>
    <definedName name="Parameter_TableRep" localSheetId="12" hidden="1">"-1"</definedName>
    <definedName name="Parameter_TableRep" localSheetId="15" hidden="1">"-1"</definedName>
    <definedName name="Parameter_TableRep" localSheetId="20" hidden="1">"1"</definedName>
    <definedName name="Parameter_TableRep" localSheetId="16" hidden="1">"1"</definedName>
    <definedName name="Parameter_TableRep" localSheetId="22" hidden="1">"3"</definedName>
    <definedName name="Parameter_TableRep" localSheetId="19">"4"</definedName>
    <definedName name="Parameter_TableRep" localSheetId="18" hidden="1">"3"</definedName>
    <definedName name="Parameter_TableRep" localSheetId="13" hidden="1">"-1"</definedName>
    <definedName name="Parameter_TableRep" localSheetId="26" hidden="1">"-1"</definedName>
    <definedName name="Parameter_TableRep" localSheetId="27" hidden="1">"-1"</definedName>
    <definedName name="Parameter_TableRep" localSheetId="2" hidden="1">"-1"</definedName>
    <definedName name="Parameter_TableRep" localSheetId="21" hidden="1">"2"</definedName>
    <definedName name="Parameter_TableRep" localSheetId="17" hidden="1">"2"</definedName>
    <definedName name="Parameter_TableRep" localSheetId="1" hidden="1">"-1"</definedName>
    <definedName name="Parameter_TableRep" localSheetId="24" hidden="1">"-1"</definedName>
    <definedName name="Parameter_TableRep" localSheetId="25" hidden="1">"-1"</definedName>
    <definedName name="Parameter_TableRep" localSheetId="23">"4"</definedName>
    <definedName name="Parameter_TableRep" localSheetId="3" hidden="1">"-1"</definedName>
    <definedName name="Parameter_TableRep" localSheetId="10" hidden="1">"-1"</definedName>
    <definedName name="Parameter_TableRep" localSheetId="9" hidden="1">"-1"</definedName>
    <definedName name="Parameter_TableRep" localSheetId="4" hidden="1">"-1"</definedName>
    <definedName name="Parameter_TableRep" localSheetId="11" hidden="1">"-1"</definedName>
    <definedName name="Parameter_TableRep" localSheetId="14" hidden="1">"-1"</definedName>
    <definedName name="Parameter_TableRep" localSheetId="36" hidden="1">"-1"</definedName>
    <definedName name="Parameter_TableRep" localSheetId="32" hidden="1">"-1"</definedName>
    <definedName name="Parameter_TableRep" localSheetId="33" hidden="1">"-1"</definedName>
    <definedName name="Parameter_TableRep" localSheetId="34" hidden="1">"-1"</definedName>
    <definedName name="Parameter_TableRep" localSheetId="35" hidden="1">"-1"</definedName>
    <definedName name="Parameter_TableTem" localSheetId="12" hidden="1">"A11.03GEN"</definedName>
    <definedName name="Parameter_TableTem" localSheetId="15" hidden="1">"A11.03GEN"</definedName>
    <definedName name="Parameter_TableTem" localSheetId="20" hidden="1">"A11.03GEN"</definedName>
    <definedName name="Parameter_TableTem" localSheetId="16" hidden="1">"A11.03GEN"</definedName>
    <definedName name="Parameter_TableTem" localSheetId="22" hidden="1">"A11.03GEN"</definedName>
    <definedName name="Parameter_TableTem" localSheetId="19">"A11.03GEN"</definedName>
    <definedName name="Parameter_TableTem" localSheetId="18" hidden="1">"A11.03GEN"</definedName>
    <definedName name="Parameter_TableTem" localSheetId="13" hidden="1">"A11.03GEN"</definedName>
    <definedName name="Parameter_TableTem" localSheetId="26" hidden="1">"A11.03GEN"</definedName>
    <definedName name="Parameter_TableTem" localSheetId="27" hidden="1">"A11.03GEN"</definedName>
    <definedName name="Parameter_TableTem" localSheetId="2" hidden="1">"A11.03GEN"</definedName>
    <definedName name="Parameter_TableTem" localSheetId="21" hidden="1">"A11.03GEN"</definedName>
    <definedName name="Parameter_TableTem" localSheetId="17" hidden="1">"A11.03GEN"</definedName>
    <definedName name="Parameter_TableTem" localSheetId="1" hidden="1">"A11.03GEN"</definedName>
    <definedName name="Parameter_TableTem" localSheetId="24" hidden="1">"A11.03GEN"</definedName>
    <definedName name="Parameter_TableTem" localSheetId="25" hidden="1">"A11.03GEN"</definedName>
    <definedName name="Parameter_TableTem" localSheetId="23">"A11.03GEN"</definedName>
    <definedName name="Parameter_TableTem" localSheetId="3" hidden="1">"A11.03GEN"</definedName>
    <definedName name="Parameter_TableTem" localSheetId="10" hidden="1">"A11.03GEN"</definedName>
    <definedName name="Parameter_TableTem" localSheetId="9" hidden="1">"A11.03GEN"</definedName>
    <definedName name="Parameter_TableTem" localSheetId="4" hidden="1">"A11.03GEN"</definedName>
    <definedName name="Parameter_TableTem" localSheetId="11" hidden="1">"A11.03GEN"</definedName>
    <definedName name="Parameter_TableTem" localSheetId="14" hidden="1">"A11.03GEN"</definedName>
    <definedName name="Parameter_TableTem" localSheetId="36" hidden="1">"A11.03GEN"</definedName>
    <definedName name="Parameter_TableTem" localSheetId="32" hidden="1">"A11.03GEN"</definedName>
    <definedName name="Parameter_TableTem" localSheetId="33" hidden="1">"A11.03GEN"</definedName>
    <definedName name="Parameter_TableTem" localSheetId="34" hidden="1">"A11.03GEN"</definedName>
    <definedName name="Parameter_TableTem" localSheetId="35" hidden="1">"A11.03GEN"</definedName>
    <definedName name="Parameter_TableVersion" localSheetId="12" hidden="1">"WPERE211.1225"</definedName>
    <definedName name="Parameter_TableVersion" localSheetId="15" hidden="1">"WPERE211.1225"</definedName>
    <definedName name="Parameter_TableVersion" localSheetId="20" hidden="1">"WPERE211.1225"</definedName>
    <definedName name="Parameter_TableVersion" localSheetId="16" hidden="1">"WPERE211.1225"</definedName>
    <definedName name="Parameter_TableVersion" localSheetId="22" hidden="1">"WPERE211.1225"</definedName>
    <definedName name="Parameter_TableVersion" localSheetId="19">"WPERE211.1225"</definedName>
    <definedName name="Parameter_TableVersion" localSheetId="18" hidden="1">"WPERE211.1225"</definedName>
    <definedName name="Parameter_TableVersion" localSheetId="13" hidden="1">"WPERE211.1225"</definedName>
    <definedName name="Parameter_TableVersion" localSheetId="26" hidden="1">"WPERE211.1225"</definedName>
    <definedName name="Parameter_TableVersion" localSheetId="27" hidden="1">"WPERE211.1225"</definedName>
    <definedName name="Parameter_TableVersion" localSheetId="2" hidden="1">"WPERE211.1225"</definedName>
    <definedName name="Parameter_TableVersion" localSheetId="21" hidden="1">"WPERE211.1225"</definedName>
    <definedName name="Parameter_TableVersion" localSheetId="17" hidden="1">"WPERE211.1225"</definedName>
    <definedName name="Parameter_TableVersion" localSheetId="1" hidden="1">"WPERE211.1225"</definedName>
    <definedName name="Parameter_TableVersion" localSheetId="24" hidden="1">"WPERE211.1225"</definedName>
    <definedName name="Parameter_TableVersion" localSheetId="31" hidden="1">"WPERE211.1225"</definedName>
    <definedName name="Parameter_TableVersion" localSheetId="30" hidden="1">"WPERE211.1225"</definedName>
    <definedName name="Parameter_TableVersion" localSheetId="25" hidden="1">"WPERE215.1025"</definedName>
    <definedName name="Parameter_TableVersion" localSheetId="23">"WPERE211.1225"</definedName>
    <definedName name="Parameter_TableVersion" localSheetId="3" hidden="1">"WPERE211.1225"</definedName>
    <definedName name="Parameter_TableVersion" localSheetId="10" hidden="1">"WPERE211.1225"</definedName>
    <definedName name="Parameter_TableVersion" localSheetId="9" hidden="1">"WPERE211.1225"</definedName>
    <definedName name="Parameter_TableVersion" localSheetId="4" hidden="1">"WPERE211.1225"</definedName>
    <definedName name="Parameter_TableVersion" localSheetId="28" hidden="1">"WPERE211.1225"</definedName>
    <definedName name="Parameter_TableVersion" localSheetId="0" hidden="1">"WPERE211.1225"</definedName>
    <definedName name="Parameter_TableVersion" localSheetId="11" hidden="1">"WPERE211.1225"</definedName>
    <definedName name="Parameter_TableVersion" localSheetId="29" hidden="1">"WPERE211.1225"</definedName>
    <definedName name="Parameter_TableVersion" localSheetId="14" hidden="1">"WPERE211.1225"</definedName>
    <definedName name="Parameter_TableVersion" localSheetId="36" hidden="1">"WPERE211.1225"</definedName>
    <definedName name="Parameter_TableVersion" localSheetId="32" hidden="1">"WPERE211.1225"</definedName>
    <definedName name="Parameter_TableVersion" localSheetId="33" hidden="1">"WPERE211.1225"</definedName>
    <definedName name="Parameter_TableVersion" localSheetId="34" hidden="1">"WPERE211.1225"</definedName>
    <definedName name="Parameter_TableVersion" localSheetId="35" hidden="1">"WPERE211.1225"</definedName>
    <definedName name="Period" localSheetId="8">#REF!</definedName>
    <definedName name="Period">#REF!</definedName>
    <definedName name="PinYin" hidden="1">STATPARA!$AD$1:$AE$23</definedName>
    <definedName name="PL" localSheetId="8">#REF!</definedName>
    <definedName name="PL">#REF!</definedName>
    <definedName name="PLaudited" localSheetId="8">#REF!</definedName>
    <definedName name="PLaudited">#REF!</definedName>
    <definedName name="Pledged_or_not">[14]master!$A$3:$A$5</definedName>
    <definedName name="PLopening" localSheetId="8">#REF!</definedName>
    <definedName name="PLopening">#REF!</definedName>
    <definedName name="PREPAYM" localSheetId="8">[3]SCTB!#REF!</definedName>
    <definedName name="PREPAYM">[3]SCTB!#REF!</definedName>
    <definedName name="_xlnm.Print_Area" localSheetId="37">'9000A错报程序表'!$B$2:$J$28</definedName>
    <definedName name="_xlnm.Print_Area" localSheetId="40">'9000B对错报性质的评价'!$B$2:$H$38</definedName>
    <definedName name="_xlnm.Print_Area" localSheetId="41">'9000C错报评价'!$B$2:$K$33</definedName>
    <definedName name="_xlnm.Print_Area" localSheetId="42">'9000D对错报的沟通'!$B$2:$K$41</definedName>
    <definedName name="_xlnm.Print_Area" localSheetId="38">'9002B未更正错报（不包括披露错报）汇总表'!$B$2:$P$33</definedName>
    <definedName name="_xlnm.Print_Area" localSheetId="39">'9002C未更正披露错报汇总表'!$B$2:$H$25</definedName>
    <definedName name="_xlnm.Print_Area" localSheetId="12">AJE!$I$4:$P$245</definedName>
    <definedName name="_xlnm.Print_Area" localSheetId="15">'AJE1'!$I$4:$P$48</definedName>
    <definedName name="_xlnm.Print_Area" localSheetId="20">BalanceSheet!$E$2:$L$61</definedName>
    <definedName name="_xlnm.Print_Area" localSheetId="16">BS!$E$2:$L$52</definedName>
    <definedName name="_xlnm.Print_Area" localSheetId="22">CashFlow!$C$2:$F$62</definedName>
    <definedName name="_xlnm.Print_Area" localSheetId="19">CE!$C$3:$AC$37</definedName>
    <definedName name="_xlnm.Print_Area" localSheetId="18">CF!$C$2:$F$45</definedName>
    <definedName name="_xlnm.Print_Area" localSheetId="13">CFJE!$I$4:$P$49</definedName>
    <definedName name="_xlnm.Print_Area" localSheetId="26">CFWP1!$B$2:$J$113</definedName>
    <definedName name="_xlnm.Print_Area" localSheetId="27">CFWP2!$B$2:$I$196</definedName>
    <definedName name="_xlnm.Print_Area" localSheetId="8">#REF!</definedName>
    <definedName name="_xlnm.Print_Area" localSheetId="2">Checks!$B$2:$N$85</definedName>
    <definedName name="_xlnm.Print_Area" localSheetId="21">IncomeStatement!$C$2:$F$70</definedName>
    <definedName name="_xlnm.Print_Area" localSheetId="17">IS!$C$2:$F$57</definedName>
    <definedName name="_xlnm.Print_Area" localSheetId="1">Lead!$B$3:$K$59</definedName>
    <definedName name="_xlnm.Print_Area" localSheetId="24">noteChecks!$D$2:$N$409</definedName>
    <definedName name="_xlnm.Print_Area" localSheetId="25">Notes!$G$2:$R$6251</definedName>
    <definedName name="_xlnm.Print_Area" localSheetId="23">OwnersEquity!$C$3:$AC$38</definedName>
    <definedName name="_xlnm.Print_Area" localSheetId="3">preBS!$D$2:$L$69</definedName>
    <definedName name="_xlnm.Print_Area" localSheetId="10">preCE!$C$3:$AE$41</definedName>
    <definedName name="_xlnm.Print_Area" localSheetId="9">preCF!$C$2:$F$66</definedName>
    <definedName name="_xlnm.Print_Area" localSheetId="4">preIS!$C$2:$F$81</definedName>
    <definedName name="_xlnm.Print_Area" localSheetId="11">TB!$E$2:$M$764</definedName>
    <definedName name="_xlnm.Print_Area" localSheetId="14">UJE!$I$4:$P$51</definedName>
    <definedName name="_xlnm.Print_Area" localSheetId="36">非财务信息!$B$2:$I$17</definedName>
    <definedName name="_xlnm.Print_Area" localSheetId="32">未审报表分析!$B$2:$K$130</definedName>
    <definedName name="_xlnm.Print_Area" localSheetId="33">未审财务指标分析!$B$2:$I$39</definedName>
    <definedName name="_xlnm.Print_Area" localSheetId="34">已审报表分析!$B$2:$K$130</definedName>
    <definedName name="_xlnm.Print_Area" localSheetId="35">已审财务指标分析!$B$2:$I$66</definedName>
    <definedName name="_xlnm.Print_Area">#REF!</definedName>
    <definedName name="_xlnm.Print_Titles" localSheetId="37">'9000A错报程序表'!$2:$6</definedName>
    <definedName name="_xlnm.Print_Titles" localSheetId="40">'9000B对错报性质的评价'!$2:$6</definedName>
    <definedName name="_xlnm.Print_Titles" localSheetId="41">'9000C错报评价'!$2:$6</definedName>
    <definedName name="_xlnm.Print_Titles" localSheetId="42">'9000D对错报的沟通'!$2:$6</definedName>
    <definedName name="_xlnm.Print_Titles" localSheetId="38">'9002B未更正错报（不包括披露错报）汇总表'!$2:$6</definedName>
    <definedName name="_xlnm.Print_Titles" localSheetId="39">'9002C未更正披露错报汇总表'!$2:$6</definedName>
    <definedName name="_xlnm.Print_Titles" localSheetId="12">AJE!$4:$8</definedName>
    <definedName name="_xlnm.Print_Titles" localSheetId="15">'AJE1'!$4:$8</definedName>
    <definedName name="_xlnm.Print_Titles" localSheetId="19">CE!$C:$C</definedName>
    <definedName name="_xlnm.Print_Titles" localSheetId="13">CFJE!$4:$8</definedName>
    <definedName name="_xlnm.Print_Titles" localSheetId="26">CFWP1!$2:$6</definedName>
    <definedName name="_xlnm.Print_Titles" localSheetId="27">CFWP2!$2:$6</definedName>
    <definedName name="_xlnm.Print_Titles" localSheetId="2">Checks!$2:$8</definedName>
    <definedName name="_xlnm.Print_Titles" localSheetId="24">noteChecks!$2:$8</definedName>
    <definedName name="_xlnm.Print_Titles" localSheetId="25">Notes!$2:$6</definedName>
    <definedName name="_xlnm.Print_Titles" localSheetId="23">OwnersEquity!$C:$C</definedName>
    <definedName name="_xlnm.Print_Titles" localSheetId="11">TB!$2:$8</definedName>
    <definedName name="_xlnm.Print_Titles" localSheetId="14">UJE!$4:$8</definedName>
    <definedName name="_xlnm.Print_Titles" localSheetId="36">非财务信息!$2:$7</definedName>
    <definedName name="_xlnm.Print_Titles" localSheetId="32">未审报表分析!$2:$8</definedName>
    <definedName name="_xlnm.Print_Titles" localSheetId="33">未审财务指标分析!$2:$8</definedName>
    <definedName name="_xlnm.Print_Titles" localSheetId="34">已审报表分析!$2:$8</definedName>
    <definedName name="_xlnm.Print_Titles" localSheetId="35">已审财务指标分析!$2:$8</definedName>
    <definedName name="PTE">1/200.482</definedName>
    <definedName name="QSCOMISS" localSheetId="8">#REF!</definedName>
    <definedName name="QSCOMISS">#REF!</definedName>
    <definedName name="QZBCOMISS" localSheetId="8">#REF!</definedName>
    <definedName name="QZBCOMISS">#REF!</definedName>
    <definedName name="Reclass" localSheetId="8">#REF!</definedName>
    <definedName name="Reclass">#REF!</definedName>
    <definedName name="Reporting_Period" localSheetId="8">#REF!</definedName>
    <definedName name="Reporting_Period">#REF!</definedName>
    <definedName name="rpt">[21]source!$B$2:$B$5</definedName>
    <definedName name="s" localSheetId="8">#REF!</definedName>
    <definedName name="s">#REF!</definedName>
    <definedName name="SALES_TRANSACTION_TEST_DETAILS" localSheetId="8">#REF!</definedName>
    <definedName name="SALES_TRANSACTION_TEST_DETAILS">#REF!</definedName>
    <definedName name="shadeB8">[4]补充表!$I$10:$U$12,[4]补充表!$I$14:$U$17,[4]补充表!$J$19,[4]补充表!$I$22:$U$22,[4]补充表!$I$25:$U$31,[4]补充表!$I$35:$U$35,[4]补充表!$I$37:$U$37</definedName>
    <definedName name="shadeB9" localSheetId="8">#REF!,#REF!,#REF!</definedName>
    <definedName name="shadeB9">#REF!,#REF!,#REF!</definedName>
    <definedName name="Sheet_AcctClass" localSheetId="8" hidden="1">[7]STATPARA!$AK$1:$AK$8</definedName>
    <definedName name="Sheet_AcctClass" localSheetId="6" hidden="1">[8]STATPARA!$AK$1:$AK$8</definedName>
    <definedName name="Sheet_AcctClass" localSheetId="5" hidden="1">[9]STATPARA!$AK$1:$AK$8</definedName>
    <definedName name="Sheet_AcctClass" localSheetId="7" hidden="1">[8]STATPARA!$AK$1:$AK$8</definedName>
    <definedName name="Sheet_AcctClass" hidden="1">STATPARA!$AK$1:$AK$8</definedName>
    <definedName name="Sheet_Adjentry" localSheetId="12" hidden="1">AJE!$A$8:$AE$235</definedName>
    <definedName name="Sheet_Adjentry" localSheetId="15" hidden="1">'AJE1'!$A$8:$AE$38</definedName>
    <definedName name="Sheet_Adjentry" localSheetId="13" hidden="1">CFJE!$A$8:$T$38</definedName>
    <definedName name="Sheet_Adjentry" localSheetId="14" hidden="1">UJE!$A$8:$AE$38</definedName>
    <definedName name="Sheet_AjeProof" localSheetId="8" hidden="1">[7]STATPARA!$AI$1:$AI$22</definedName>
    <definedName name="Sheet_AjeProof" localSheetId="6" hidden="1">[8]STATPARA!$AI$1:$AI$22</definedName>
    <definedName name="Sheet_AjeProof" localSheetId="5" hidden="1">[9]STATPARA!$AI$1:$AI$22</definedName>
    <definedName name="Sheet_AjeProof" localSheetId="7" hidden="1">[8]STATPARA!$AI$1:$AI$22</definedName>
    <definedName name="Sheet_AjeProof" hidden="1">STATPARA!$AI$1:$AI$22</definedName>
    <definedName name="Sheet_AjeSatus" localSheetId="8" hidden="1">[7]STATPARA!$AG$1:$AG$22</definedName>
    <definedName name="Sheet_AjeSatus" localSheetId="6" hidden="1">[8]STATPARA!$AG$1:$AG$22</definedName>
    <definedName name="Sheet_AjeSatus" localSheetId="5" hidden="1">[9]STATPARA!$AG$1:$AG$22</definedName>
    <definedName name="Sheet_AjeSatus" localSheetId="7" hidden="1">[8]STATPARA!$AG$1:$AG$22</definedName>
    <definedName name="Sheet_AjeSatus" hidden="1">STATPARA!$AG$1:$AG$22</definedName>
    <definedName name="Sheet_AnalyData" localSheetId="36" hidden="1">非财务信息!$A$7:$I$17</definedName>
    <definedName name="Sheet_AnalyData" localSheetId="32" hidden="1">未审报表分析!$A$8:$K$130</definedName>
    <definedName name="Sheet_AnalyData" localSheetId="33" hidden="1">未审财务指标分析!$A$8:$I$70</definedName>
    <definedName name="Sheet_AnalyData" localSheetId="34" hidden="1">已审报表分析!$A$8:$K$130</definedName>
    <definedName name="Sheet_AnalyData" localSheetId="35" hidden="1">已审财务指标分析!$A$8:$I$109</definedName>
    <definedName name="Sheet_Balance1" localSheetId="8" hidden="1">[7]TB!$T$6:$U$712</definedName>
    <definedName name="Sheet_Balance1" localSheetId="6" hidden="1">[22]TB!$T$6:$U$739</definedName>
    <definedName name="Sheet_Balance1" localSheetId="5" hidden="1">[22]TB!$T$6:$U$739</definedName>
    <definedName name="Sheet_Balance1" localSheetId="7" hidden="1">[22]TB!$T$6:$U$739</definedName>
    <definedName name="Sheet_Balance1" hidden="1">TB!$T$6:$U$739</definedName>
    <definedName name="Sheet_BS1" hidden="1">BS!$C$6:$H$51</definedName>
    <definedName name="Sheet_BS2" hidden="1">BS!$D$6:$L$51</definedName>
    <definedName name="Sheet_Caption1" localSheetId="20" hidden="1">BalanceSheet!$E$2:$L$2</definedName>
    <definedName name="Sheet_Caption1" localSheetId="16" hidden="1">BS!$E$2:$L$2</definedName>
    <definedName name="Sheet_Caption1" localSheetId="22" hidden="1">CashFlow!$C$2:$F$2</definedName>
    <definedName name="Sheet_Caption1" localSheetId="19" hidden="1">CE!$H$3</definedName>
    <definedName name="Sheet_Caption1" localSheetId="18" hidden="1">CF!$C$2:$F$2</definedName>
    <definedName name="Sheet_Caption1" localSheetId="21" hidden="1">IncomeStatement!$C$2:$F$2</definedName>
    <definedName name="Sheet_Caption1" localSheetId="17" hidden="1">IS!$C$2:$F$2</definedName>
    <definedName name="Sheet_Caption1" localSheetId="23" hidden="1">OwnersEquity!$H$3</definedName>
    <definedName name="Sheet_Caption2" localSheetId="19" hidden="1">CE!$T$3</definedName>
    <definedName name="Sheet_Caption2" localSheetId="23"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8" hidden="1">[7]CF!$B$50:$F$78</definedName>
    <definedName name="Sheet_CF7" localSheetId="6" hidden="1">[8]CF!$B$50:$F$78</definedName>
    <definedName name="Sheet_CF7" localSheetId="5" hidden="1">[8]CF!$B$50:$F$78</definedName>
    <definedName name="Sheet_CF7" localSheetId="7" hidden="1">[8]CF!$B$50:$F$78</definedName>
    <definedName name="Sheet_CF7" hidden="1">CF!$B$49:$F$78</definedName>
    <definedName name="Sheet_Check1" localSheetId="20" hidden="1">BalanceSheet!$E$65:$E$69</definedName>
    <definedName name="Sheet_Check1" localSheetId="16" hidden="1">BS!$E$56:$E$60</definedName>
    <definedName name="Sheet_Check1" localSheetId="22" hidden="1">CashFlow!$C$97:$C$101</definedName>
    <definedName name="Sheet_Check1" localSheetId="19" hidden="1">CE!$C$41:$C$45</definedName>
    <definedName name="Sheet_Check1" localSheetId="18" hidden="1">CF!$C$80:$C$84</definedName>
    <definedName name="Sheet_Check1" localSheetId="21" hidden="1">IncomeStatement!$C$74:$C$81</definedName>
    <definedName name="Sheet_Check1" localSheetId="17" hidden="1">IS!$C$61:$C$68</definedName>
    <definedName name="Sheet_Check1" localSheetId="25">Notes!$G$6253:$G$6257</definedName>
    <definedName name="Sheet_Check1" localSheetId="23" hidden="1">OwnersEquity!$C$42:$C$46</definedName>
    <definedName name="Sheet_Check1" localSheetId="3" hidden="1">preBS!$D$90:$D$97</definedName>
    <definedName name="Sheet_Check1" localSheetId="10" hidden="1">preCE!$C$45:$C$57</definedName>
    <definedName name="Sheet_Check1" localSheetId="9" hidden="1">preCF!$C$100:$C$129</definedName>
    <definedName name="Sheet_Check1" localSheetId="4" hidden="1">preIS!$C$85:$C$129</definedName>
    <definedName name="Sheet_Check1" localSheetId="11" hidden="1">TB!$E$784:$E$877</definedName>
    <definedName name="Sheet_Freeze1" localSheetId="12" hidden="1">AJE!$L$9</definedName>
    <definedName name="Sheet_Freeze1" localSheetId="15" hidden="1">'AJE1'!$L$9</definedName>
    <definedName name="Sheet_Freeze1" localSheetId="20" hidden="1">BalanceSheet!$F$7</definedName>
    <definedName name="Sheet_Freeze1" localSheetId="16" hidden="1">BS!$F$7</definedName>
    <definedName name="Sheet_Freeze1" localSheetId="22" hidden="1">CashFlow!$D$7</definedName>
    <definedName name="Sheet_Freeze1" localSheetId="19" hidden="1">CE!$D$9</definedName>
    <definedName name="Sheet_Freeze1" localSheetId="18" hidden="1">CF!$D$7</definedName>
    <definedName name="Sheet_Freeze1" localSheetId="13" hidden="1">CFJE!$L$9</definedName>
    <definedName name="Sheet_Freeze1" localSheetId="21" hidden="1">IncomeStatement!$D$7</definedName>
    <definedName name="Sheet_Freeze1" localSheetId="17" hidden="1">IS!$D$7</definedName>
    <definedName name="Sheet_Freeze1" localSheetId="25" hidden="1">Notes!$H$8</definedName>
    <definedName name="Sheet_Freeze1" localSheetId="23" hidden="1">OwnersEquity!$D$9</definedName>
    <definedName name="Sheet_Freeze1" localSheetId="3" hidden="1">preBS!$E$9</definedName>
    <definedName name="Sheet_Freeze1" localSheetId="10" hidden="1">preCE!$D$9</definedName>
    <definedName name="Sheet_Freeze1" localSheetId="9" hidden="1">preCF!$D$9</definedName>
    <definedName name="Sheet_Freeze1" localSheetId="4" hidden="1">preIS!$D$9</definedName>
    <definedName name="Sheet_Freeze1" localSheetId="11" hidden="1">TB!$F$9</definedName>
    <definedName name="Sheet_Freeze1" localSheetId="14"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localSheetId="8" hidden="1">[7]STATPARA!$B$1:$J$802</definedName>
    <definedName name="Sheet_Items" localSheetId="6" hidden="1">[8]STATPARA!$B$1:$J$832</definedName>
    <definedName name="Sheet_Items" localSheetId="5" hidden="1">[9]STATPARA!$B$1:$J$802</definedName>
    <definedName name="Sheet_Items" localSheetId="7" hidden="1">[8]STATPARA!$B$1:$J$832</definedName>
    <definedName name="Sheet_Items" hidden="1">STATPARA!$B$1:$J$875</definedName>
    <definedName name="Sheet_Items2" localSheetId="8" hidden="1">[7]STATPARA!$C$1:$J$802</definedName>
    <definedName name="Sheet_Items2" localSheetId="6" hidden="1">[8]STATPARA!$C$1:$J$832</definedName>
    <definedName name="Sheet_Items2" localSheetId="5" hidden="1">[9]STATPARA!$C$1:$J$802</definedName>
    <definedName name="Sheet_Items2" localSheetId="7" hidden="1">[8]STATPARA!$C$1:$J$832</definedName>
    <definedName name="Sheet_Items2" hidden="1">STATPARA!$C$1:$J$875</definedName>
    <definedName name="Sheet_Link1" localSheetId="33" hidden="1">未审财务指标分析!$C$42</definedName>
    <definedName name="Sheet_Link1" localSheetId="35" hidden="1">已审财务指标分析!$C$69</definedName>
    <definedName name="Sheet_MisstaCause" localSheetId="8" hidden="1">[7]STATPARA!$AQ$1:$AQ$2</definedName>
    <definedName name="Sheet_MisstaCause" localSheetId="6" hidden="1">[8]STATPARA!$AQ$1:$AQ$2</definedName>
    <definedName name="Sheet_MisstaCause" localSheetId="5" hidden="1">[9]STATPARA!$AQ$1:$AQ$2</definedName>
    <definedName name="Sheet_MisstaCause" localSheetId="7" hidden="1">[8]STATPARA!$AQ$1:$AQ$2</definedName>
    <definedName name="Sheet_MisstaCause" hidden="1">STATPARA!$AQ$1:$AQ$2</definedName>
    <definedName name="Sheet_MisstaType" localSheetId="8" hidden="1">[7]STATPARA!$AM$1:$AM$3</definedName>
    <definedName name="Sheet_MisstaType" localSheetId="6" hidden="1">[8]STATPARA!$AM$1:$AM$3</definedName>
    <definedName name="Sheet_MisstaType" localSheetId="5" hidden="1">[9]STATPARA!$AM$1:$AM$3</definedName>
    <definedName name="Sheet_MisstaType" localSheetId="7" hidden="1">[8]STATPARA!$AM$1:$AM$3</definedName>
    <definedName name="Sheet_MisstaType" hidden="1">STATPARA!$AM$1:$AM$3</definedName>
    <definedName name="Sheet_NoteChecks" localSheetId="24" hidden="1">noteChecks!$A$8:$Y$408</definedName>
    <definedName name="Sheet_NoteList" localSheetId="8" hidden="1">[7]STATPARA!$S$1:$X$333</definedName>
    <definedName name="Sheet_NoteList" localSheetId="6" hidden="1">[8]STATPARA!$S$1:$X$355</definedName>
    <definedName name="Sheet_NoteList" localSheetId="5" hidden="1">[9]STATPARA!$S$1:$X$333</definedName>
    <definedName name="Sheet_NoteList" localSheetId="7" hidden="1">[8]STATPARA!$S$1:$X$355</definedName>
    <definedName name="Sheet_NoteList" hidden="1">STATPARA!$S$1:$X$485</definedName>
    <definedName name="Sheet_Prebs1" localSheetId="8" hidden="1">[7]preBS!$C$8:$G$67</definedName>
    <definedName name="Sheet_Prebs1" localSheetId="6" hidden="1">[8]preBS!$C$8:$G$70</definedName>
    <definedName name="Sheet_Prebs1" localSheetId="5" hidden="1">[9]preBS!$C$8:$G$67</definedName>
    <definedName name="Sheet_Prebs1" localSheetId="7" hidden="1">[8]preBS!$C$8:$G$70</definedName>
    <definedName name="Sheet_Prebs1" hidden="1">preBS!$C$8:$G$68</definedName>
    <definedName name="Sheet_Prebs2" localSheetId="8" hidden="1">[7]preBS!$H$8:$L$67</definedName>
    <definedName name="Sheet_Prebs2" localSheetId="6" hidden="1">[8]preBS!$H$8:$L$70</definedName>
    <definedName name="Sheet_Prebs2" localSheetId="5" hidden="1">[9]preBS!$H$8:$L$67</definedName>
    <definedName name="Sheet_Prebs2" localSheetId="7" hidden="1">[8]preBS!$H$8:$L$70</definedName>
    <definedName name="Sheet_Prebs2" hidden="1">preBS!$H$8:$L$68</definedName>
    <definedName name="Sheet_Prebs3" localSheetId="8" hidden="1">[7]preBS!$C$70:$G$87</definedName>
    <definedName name="Sheet_Prebs3" localSheetId="6" hidden="1">[8]preBS!$C$73:$G$90</definedName>
    <definedName name="Sheet_Prebs3" localSheetId="5" hidden="1">[9]preBS!$C$70:$G$87</definedName>
    <definedName name="Sheet_Prebs3" localSheetId="7" hidden="1">[8]preBS!$C$73:$G$90</definedName>
    <definedName name="Sheet_Prebs3" hidden="1">preBS!$C$71:$G$88</definedName>
    <definedName name="Sheet_Precf" localSheetId="8" hidden="1">[7]preCF!$B$8:$F$66</definedName>
    <definedName name="Sheet_Precf" localSheetId="6" hidden="1">[8]preCF!$B$8:$F$66</definedName>
    <definedName name="Sheet_Precf" localSheetId="5" hidden="1">[9]preCF!$B$8:$F$66</definedName>
    <definedName name="Sheet_Precf" localSheetId="7" hidden="1">[8]preCF!$B$8:$F$66</definedName>
    <definedName name="Sheet_Precf" hidden="1">preCF!$B$8:$F$65</definedName>
    <definedName name="Sheet_Precf7" localSheetId="8" hidden="1">[7]preCF!$B$70:$F$98</definedName>
    <definedName name="Sheet_Precf7" localSheetId="6" hidden="1">[8]preCF!$B$70:$F$98</definedName>
    <definedName name="Sheet_Precf7" localSheetId="5" hidden="1">[9]preCF!$B$70:$F$98</definedName>
    <definedName name="Sheet_Precf7" localSheetId="7" hidden="1">[8]preCF!$B$70:$F$98</definedName>
    <definedName name="Sheet_Precf7" hidden="1">preCF!$B$69:$F$98</definedName>
    <definedName name="Sheet_Preis" localSheetId="8" hidden="1">[7]preIS!$B$8:$F$64</definedName>
    <definedName name="Sheet_Preis" localSheetId="6" hidden="1">[8]preIS!$B$8:$F$70</definedName>
    <definedName name="Sheet_Preis" localSheetId="5" hidden="1">[9]preIS!$B$8:$F$64</definedName>
    <definedName name="Sheet_Preis" localSheetId="7" hidden="1">[8]preIS!$B$8:$F$70</definedName>
    <definedName name="Sheet_Preis" hidden="1">preIS!$B$8:$F$79</definedName>
    <definedName name="Sheet_Presc" localSheetId="8" hidden="1">[7]preCE!$B$2:$AE$39</definedName>
    <definedName name="Sheet_Presc" localSheetId="6" hidden="1">[8]preCE!$B$2:$AE$39</definedName>
    <definedName name="Sheet_Presc" localSheetId="5" hidden="1">[9]preCE!$B$2:$AE$39</definedName>
    <definedName name="Sheet_Presc" localSheetId="7" hidden="1">[8]preCE!$B$2:$AE$39</definedName>
    <definedName name="Sheet_Presc" hidden="1">preCE!$B$2:$AE$40</definedName>
    <definedName name="Sheet_Presccol" localSheetId="8" hidden="1">[7]preCE!$B$2:$AE$2</definedName>
    <definedName name="Sheet_Presccol" localSheetId="6" hidden="1">[8]preCE!$B$2:$AE$2</definedName>
    <definedName name="Sheet_Presccol" localSheetId="5" hidden="1">[9]preCE!$B$2:$AE$2</definedName>
    <definedName name="Sheet_Presccol" localSheetId="7" hidden="1">[8]preCE!$B$2:$AE$2</definedName>
    <definedName name="Sheet_Presccol" hidden="1">preCE!$B$2:$AE$2</definedName>
    <definedName name="Sheet_Prescrow" localSheetId="8" hidden="1">[7]preCE!$B$2:$B$39</definedName>
    <definedName name="Sheet_Prescrow" localSheetId="6" hidden="1">[8]preCE!$B$2:$B$39</definedName>
    <definedName name="Sheet_Prescrow" localSheetId="5" hidden="1">[9]preCE!$B$2:$B$39</definedName>
    <definedName name="Sheet_Prescrow" localSheetId="7" hidden="1">[8]preCE!$B$2:$B$39</definedName>
    <definedName name="Sheet_Prescrow" hidden="1">preCE!$B$2:$B$40</definedName>
    <definedName name="Sheet_Trialbal" localSheetId="8" hidden="1">[7]TB!$D$6:$M$712</definedName>
    <definedName name="Sheet_Trialbal" localSheetId="6" hidden="1">[8]TB!$D$6:$M$739</definedName>
    <definedName name="Sheet_Trialbal" localSheetId="5" hidden="1">[9]TB!$D$6:$M$712</definedName>
    <definedName name="Sheet_Trialbal" localSheetId="7" hidden="1">[8]TB!$D$6:$M$739</definedName>
    <definedName name="Sheet_Trialbal" hidden="1">TB!$D$6:$M$781</definedName>
    <definedName name="Sheet_TypeName" hidden="1">STATPARA!$BF$1:$BF$8</definedName>
    <definedName name="Sheet_UncorMistaType" localSheetId="8" hidden="1">[7]STATPARA!$AO$1:$AO$3</definedName>
    <definedName name="Sheet_UncorMistaType" localSheetId="6" hidden="1">[8]STATPARA!$AO$1:$AO$3</definedName>
    <definedName name="Sheet_UncorMistaType" localSheetId="5" hidden="1">[9]STATPARA!$AO$1:$AO$3</definedName>
    <definedName name="Sheet_UncorMistaType" localSheetId="7" hidden="1">[8]STATPARA!$AO$1:$AO$3</definedName>
    <definedName name="Sheet_UncorMistaType" hidden="1">STATPARA!$AO$1:$AO$3</definedName>
    <definedName name="Sheet1" localSheetId="8">#REF!</definedName>
    <definedName name="Sheet1">#REF!</definedName>
    <definedName name="src" localSheetId="8">#REF!</definedName>
    <definedName name="src">#REF!</definedName>
    <definedName name="ss" localSheetId="8">[16]B!#REF!</definedName>
    <definedName name="ss">[16]B!#REF!</definedName>
    <definedName name="st_investment">[14]master!$C$3:$C$11</definedName>
    <definedName name="Steps" localSheetId="8">#REF!</definedName>
    <definedName name="Steps">#REF!</definedName>
    <definedName name="STOCK_P7QS" localSheetId="8">#REF!</definedName>
    <definedName name="STOCK_P7QS">#REF!</definedName>
    <definedName name="STOCK_P7QX" localSheetId="8">#REF!</definedName>
    <definedName name="STOCK_P7QX">#REF!</definedName>
    <definedName name="STOCK_P7QZB" localSheetId="8">#REF!</definedName>
    <definedName name="STOCK_P7QZB">#REF!</definedName>
    <definedName name="TBLink1000" localSheetId="11" hidden="1">TB!$E$9:$E$13</definedName>
    <definedName name="TBLink1900" localSheetId="11" hidden="1">TB!$E$717:$E$721</definedName>
    <definedName name="TBLink2000" localSheetId="11" hidden="1">TB!$E$65:$E$68</definedName>
    <definedName name="TBLink6000" localSheetId="11" hidden="1">TB!$E$126:$E$130</definedName>
    <definedName name="TBLink7000" localSheetId="11" hidden="1">TB!$E$656:$E$660</definedName>
    <definedName name="TBLink7500" localSheetId="11" hidden="1">TB!$E$735:$E$740</definedName>
    <definedName name="TBLink8000" localSheetId="11" hidden="1">TB!$E$201:$E$205</definedName>
    <definedName name="test\" localSheetId="8">#REF!</definedName>
    <definedName name="test\">#REF!</definedName>
    <definedName name="TEST1" localSheetId="8">#REF!</definedName>
    <definedName name="TEST1">#REF!</definedName>
    <definedName name="TEST2" localSheetId="8">#REF!</definedName>
    <definedName name="TEST2">#REF!</definedName>
    <definedName name="TESTHKEY" localSheetId="8">#REF!</definedName>
    <definedName name="TESTHKEY">#REF!</definedName>
    <definedName name="TESTKEYS" localSheetId="8">#REF!</definedName>
    <definedName name="TESTKEYS">#REF!</definedName>
    <definedName name="TESTVKEY" localSheetId="8">#REF!</definedName>
    <definedName name="TESTVKEY">#REF!</definedName>
    <definedName name="TextRefCopy1" localSheetId="8">#REF!</definedName>
    <definedName name="TextRefCopy1">#REF!</definedName>
    <definedName name="TextRefCopy10" localSheetId="8">#REF!</definedName>
    <definedName name="TextRefCopy10">#REF!</definedName>
    <definedName name="TextRefCopy11">[23]Sheet1!$G$5</definedName>
    <definedName name="TextRefCopy12">[23]Sheet1!$G$7</definedName>
    <definedName name="TextRefCopy13">[23]Sheet1!$G$9</definedName>
    <definedName name="TextRefCopy14">[23]Sheet1!$G$9</definedName>
    <definedName name="TextRefCopy15" localSheetId="8">#REF!</definedName>
    <definedName name="TextRefCopy15">#REF!</definedName>
    <definedName name="TextRefCopy16" localSheetId="8">#REF!</definedName>
    <definedName name="TextRefCopy16">#REF!</definedName>
    <definedName name="TextRefCopy17" localSheetId="8">#REF!</definedName>
    <definedName name="TextRefCopy17">#REF!</definedName>
    <definedName name="TextRefCopy2" localSheetId="8">#REF!</definedName>
    <definedName name="TextRefCopy2">#REF!</definedName>
    <definedName name="TextRefCopy20" localSheetId="8">#REF!</definedName>
    <definedName name="TextRefCopy20">#REF!</definedName>
    <definedName name="TextRefCopy21" localSheetId="8">#REF!</definedName>
    <definedName name="TextRefCopy21">#REF!</definedName>
    <definedName name="TextRefCopy3" localSheetId="8">#REF!</definedName>
    <definedName name="TextRefCopy3">#REF!</definedName>
    <definedName name="TextRefCopy4" localSheetId="8">#REF!</definedName>
    <definedName name="TextRefCopy4">#REF!</definedName>
    <definedName name="TextRefCopy5" localSheetId="8">#REF!</definedName>
    <definedName name="TextRefCopy5">#REF!</definedName>
    <definedName name="TextRefCopy6" localSheetId="8">#REF!</definedName>
    <definedName name="TextRefCopy6">#REF!</definedName>
    <definedName name="TextRefCopy7" localSheetId="8">#REF!</definedName>
    <definedName name="TextRefCopy7">#REF!</definedName>
    <definedName name="TextRefCopy8" localSheetId="8">#REF!</definedName>
    <definedName name="TextRefCopy8">#REF!</definedName>
    <definedName name="TextRefCopy9" localSheetId="8">#REF!</definedName>
    <definedName name="TextRefCopy9">#REF!</definedName>
    <definedName name="TextRefCopyRangeCount" hidden="1">4</definedName>
    <definedName name="TH_INV" localSheetId="8">'[3]TB Link'!#REF!</definedName>
    <definedName name="TH_INV">'[3]TB Link'!#REF!</definedName>
    <definedName name="TH_INVP" localSheetId="8">'[3]TB Link'!#REF!</definedName>
    <definedName name="TH_INVP">'[3]TB Link'!#REF!</definedName>
    <definedName name="TH_ORDER" localSheetId="8">'[3]TB Link'!#REF!</definedName>
    <definedName name="TH_ORDER">'[3]TB Link'!#REF!</definedName>
    <definedName name="TH_ORDERP" localSheetId="8">'[3]TB Link'!#REF!</definedName>
    <definedName name="TH_ORDERP">'[3]TB Link'!#REF!</definedName>
    <definedName name="time">[4]上报资产负债表!$A$26</definedName>
    <definedName name="TO_P1A_ADM" localSheetId="8">#REF!</definedName>
    <definedName name="TO_P1A_ADM">#REF!</definedName>
    <definedName name="TO_P1A_PRD" localSheetId="8">#REF!</definedName>
    <definedName name="TO_P1A_PRD">#REF!</definedName>
    <definedName name="TO_P1A_SAL" localSheetId="8">#REF!</definedName>
    <definedName name="TO_P1A_SAL">#REF!</definedName>
    <definedName name="TO_P1AE" localSheetId="8">#REF!</definedName>
    <definedName name="TO_P1AE">#REF!</definedName>
    <definedName name="TO_P1AE_P" localSheetId="8">#REF!</definedName>
    <definedName name="TO_P1AE_P">#REF!</definedName>
    <definedName name="TO_P1AE_Y" localSheetId="8">#REF!</definedName>
    <definedName name="TO_P1AE_Y">#REF!</definedName>
    <definedName name="Toggle1" localSheetId="8">#REF!</definedName>
    <definedName name="Toggle1">#REF!</definedName>
    <definedName name="ToggleCheckSum" localSheetId="8">#REF!</definedName>
    <definedName name="ToggleCheckSum">#REF!</definedName>
    <definedName name="TOTAL_AP_GROUP" localSheetId="8">#REF!</definedName>
    <definedName name="TOTAL_AP_GROUP">#REF!</definedName>
    <definedName name="TOTAL_AR_GROUP" localSheetId="8">#REF!</definedName>
    <definedName name="TOTAL_AR_GROUP">#REF!</definedName>
    <definedName name="TR_BACKLOG_EST" localSheetId="8">'[3]TB Link'!#REF!</definedName>
    <definedName name="TR_BACKLOG_EST">'[3]TB Link'!#REF!</definedName>
    <definedName name="TR_GM_EST" localSheetId="8">'[3]TB Link'!#REF!</definedName>
    <definedName name="TR_GM_EST">'[3]TB Link'!#REF!</definedName>
    <definedName name="TR_INV" localSheetId="8">'[3]TB Link'!#REF!</definedName>
    <definedName name="TR_INV">'[3]TB Link'!#REF!</definedName>
    <definedName name="TR_INV_EST" localSheetId="8">'[3]TB Link'!#REF!</definedName>
    <definedName name="TR_INV_EST">'[3]TB Link'!#REF!</definedName>
    <definedName name="TR_INVP" localSheetId="8">'[3]TB Link'!#REF!</definedName>
    <definedName name="TR_INVP">'[3]TB Link'!#REF!</definedName>
    <definedName name="TR_ORDER" localSheetId="8">'[3]TB Link'!#REF!</definedName>
    <definedName name="TR_ORDER">'[3]TB Link'!#REF!</definedName>
    <definedName name="TR_ORDER_EST" localSheetId="8">'[3]TB Link'!#REF!</definedName>
    <definedName name="TR_ORDER_EST">'[3]TB Link'!#REF!</definedName>
    <definedName name="TR_ORDERP" localSheetId="8">'[3]TB Link'!#REF!</definedName>
    <definedName name="TR_ORDERP">'[3]TB Link'!#REF!</definedName>
    <definedName name="Trade_Debtor_Current" localSheetId="8">[24]F101!#REF!</definedName>
    <definedName name="Trade_Debtor_Current">[24]F101!#REF!</definedName>
    <definedName name="Trade_Debtor_Prior" localSheetId="8">[24]F101!#REF!</definedName>
    <definedName name="Trade_Debtor_Prior">[24]F101!#REF!</definedName>
    <definedName name="UFPrn20021217113109" localSheetId="8">#REF!</definedName>
    <definedName name="UFPrn20021217113109">#REF!</definedName>
    <definedName name="UFPrn20021217113550" localSheetId="8">#REF!</definedName>
    <definedName name="UFPrn20021217113550">#REF!</definedName>
    <definedName name="UFPrn20021217145908" localSheetId="8">#REF!</definedName>
    <definedName name="UFPrn20021217145908">#REF!</definedName>
    <definedName name="UFPrn20021218150038">[25]K110!$A$4:$J$52</definedName>
    <definedName name="UFPrn20021219114701">[25]G210!$A$7:$E$78</definedName>
    <definedName name="UFPrn20021220114055">[25]O111!$A$6:$C$29</definedName>
    <definedName name="UFPrn20030113135659" localSheetId="8">#REF!</definedName>
    <definedName name="UFPrn20030113135659">#REF!</definedName>
    <definedName name="UFPrn20030625090333" localSheetId="8">#REF!</definedName>
    <definedName name="UFPrn20030625090333">#REF!</definedName>
    <definedName name="UFPrn20031219195424" localSheetId="8">#REF!</definedName>
    <definedName name="UFPrn20031219195424">#REF!</definedName>
    <definedName name="UFPrn20040319152128" localSheetId="8">#REF!</definedName>
    <definedName name="UFPrn20040319152128">#REF!</definedName>
    <definedName name="Untitled" localSheetId="8">#REF!</definedName>
    <definedName name="Untitled">#REF!</definedName>
    <definedName name="USD_Exchange_Rate" localSheetId="8">#REF!</definedName>
    <definedName name="USD_Exchange_Rate">#REF!</definedName>
    <definedName name="v">[26]Source!$D$20:$D$23</definedName>
    <definedName name="VAD_OH" localSheetId="8">#REF!</definedName>
    <definedName name="VAD_OH">#REF!</definedName>
    <definedName name="VAR" localSheetId="8">#REF!</definedName>
    <definedName name="VAR">#REF!</definedName>
    <definedName name="w" localSheetId="8">#REF!</definedName>
    <definedName name="w">#REF!</definedName>
    <definedName name="WPE" localSheetId="8">#REF!</definedName>
    <definedName name="WPE">#REF!</definedName>
    <definedName name="WPE_ClientName" localSheetId="37" hidden="1">'9000A错报程序表'!$B$3</definedName>
    <definedName name="WPE_ClientName" localSheetId="40" hidden="1">'9000B对错报性质的评价'!$B$3</definedName>
    <definedName name="WPE_ClientName" localSheetId="41" hidden="1">'9000C错报评价'!$B$3</definedName>
    <definedName name="WPE_ClientName" localSheetId="42" hidden="1">'9000D对错报的沟通'!$B$3</definedName>
    <definedName name="WPE_ClientName" localSheetId="38" hidden="1">'9002B未更正错报（不包括披露错报）汇总表'!$B$3</definedName>
    <definedName name="WPE_ClientName" localSheetId="39" hidden="1">'9002C未更正披露错报汇总表'!$B$3</definedName>
    <definedName name="WPE_PeriodEnd" localSheetId="37" hidden="1">'9000A错报程序表'!$B$5</definedName>
    <definedName name="WPE_PeriodEnd" localSheetId="40" hidden="1">'9000B对错报性质的评价'!$B$5</definedName>
    <definedName name="WPE_PeriodEnd" localSheetId="41" hidden="1">'9000C错报评价'!$B$5</definedName>
    <definedName name="WPE_PeriodEnd" localSheetId="42" hidden="1">'9000D对错报的沟通'!$B$5</definedName>
    <definedName name="WPE_PeriodEnd" localSheetId="38" hidden="1">'9002B未更正错报（不包括披露错报）汇总表'!$B$5</definedName>
    <definedName name="WPE_PeriodEnd" localSheetId="39" hidden="1">'9002C未更正披露错报汇总表'!$B$5</definedName>
    <definedName name="WPE_PreparedDate" localSheetId="37" hidden="1">'9000A错报程序表'!$A$2</definedName>
    <definedName name="WPE_PreparedDate" localSheetId="40" hidden="1">'9000B对错报性质的评价'!$A$2</definedName>
    <definedName name="WPE_PreparedDate" localSheetId="41" hidden="1">'9000C错报评价'!$A$2</definedName>
    <definedName name="WPE_PreparedDate" localSheetId="42" hidden="1">'9000D对错报的沟通'!$A$2</definedName>
    <definedName name="WPE_PreparedDate" localSheetId="38" hidden="1">'9002B未更正错报（不包括披露错报）汇总表'!$A$2</definedName>
    <definedName name="WPE_PreparedDate" localSheetId="39" hidden="1">'9002C未更正披露错报汇总表'!$A$2</definedName>
    <definedName name="WPE_Preparer" localSheetId="37" hidden="1">'9000A错报程序表'!$D$1</definedName>
    <definedName name="WPE_Preparer" localSheetId="40" hidden="1">'9000B对错报性质的评价'!$D$1</definedName>
    <definedName name="WPE_Preparer" localSheetId="41" hidden="1">'9000C错报评价'!$D$1</definedName>
    <definedName name="WPE_Preparer" localSheetId="42" hidden="1">'9000D对错报的沟通'!$D$1</definedName>
    <definedName name="WPE_Preparer" localSheetId="38" hidden="1">'9002B未更正错报（不包括披露错报）汇总表'!$D$1</definedName>
    <definedName name="WPE_Preparer" localSheetId="39" hidden="1">'9002C未更正披露错报汇总表'!$D$1</definedName>
    <definedName name="WPE_Range_AccountDrCr" localSheetId="37" hidden="1">'9000A错报程序表'!$C$1</definedName>
    <definedName name="WPE_Range_AccountDrCr" localSheetId="40" hidden="1">'9000B对错报性质的评价'!$C$1</definedName>
    <definedName name="WPE_Range_AccountDrCr" localSheetId="41" hidden="1">'9000C错报评价'!$C$1</definedName>
    <definedName name="WPE_Range_AccountDrCr" localSheetId="42" hidden="1">'9000D对错报的沟通'!$C$1</definedName>
    <definedName name="WPE_Range_AccountDrCr" localSheetId="38" hidden="1">'9002B未更正错报（不包括披露错报）汇总表'!$C$1</definedName>
    <definedName name="WPE_Range_AccountDrCr" localSheetId="39" hidden="1">'9002C未更正披露错报汇总表'!$C$1</definedName>
    <definedName name="WPE_Range_AccountName" localSheetId="37" hidden="1">'9000A错报程序表'!$A$4</definedName>
    <definedName name="WPE_Range_AccountName" localSheetId="40" hidden="1">'9000B对错报性质的评价'!$A$4</definedName>
    <definedName name="WPE_Range_AccountName" localSheetId="41" hidden="1">'9000C错报评价'!$A$4</definedName>
    <definedName name="WPE_Range_AccountName" localSheetId="42" hidden="1">'9000D对错报的沟通'!$A$4</definedName>
    <definedName name="WPE_Range_AccountName" localSheetId="38" hidden="1">'9002B未更正错报（不包括披露错报）汇总表'!$A$4</definedName>
    <definedName name="WPE_Range_AccountName" localSheetId="39" hidden="1">'9002C未更正披露错报汇总表'!$A$4</definedName>
    <definedName name="WPE_Range_AuditProc" localSheetId="37" hidden="1">'9000A错报程序表'!$A$8:$K$26</definedName>
    <definedName name="WPE_Range_GuideButton1" localSheetId="37" hidden="1">'9000A错报程序表'!$I$8</definedName>
    <definedName name="WPE_Range_GuideTxtbox1" localSheetId="37" hidden="1">'9000A错报程序表'!$B$32</definedName>
    <definedName name="WPE_Range_StHeader" localSheetId="37" hidden="1">'9000A错报程序表'!$B$2:$J$6</definedName>
    <definedName name="WPE_Range_StHeader" localSheetId="40" hidden="1">'9000B对错报性质的评价'!$B$2:$H$6</definedName>
    <definedName name="WPE_Range_StHeader" localSheetId="41" hidden="1">'9000C错报评价'!$B$2:$K$6</definedName>
    <definedName name="WPE_Range_StHeader" localSheetId="42" hidden="1">'9000D对错报的沟通'!$B$2:$K$6</definedName>
    <definedName name="WPE_Range_StHeader" localSheetId="38" hidden="1">'9002B未更正错报（不包括披露错报）汇总表'!$B$2:$P$6</definedName>
    <definedName name="WPE_Range_StHeader" localSheetId="39" hidden="1">'9002C未更正披露错报汇总表'!$B$2:$H$6</definedName>
    <definedName name="WPE_Range_Subject" localSheetId="37" hidden="1">'9000A错报程序表'!$B$4</definedName>
    <definedName name="WPE_Range_Subject" localSheetId="40" hidden="1">'9000B对错报性质的评价'!$B$4</definedName>
    <definedName name="WPE_Range_Subject" localSheetId="41" hidden="1">'9000C错报评价'!$B$4</definedName>
    <definedName name="WPE_Range_Subject" localSheetId="42" hidden="1">'9000D对错报的沟通'!$B$4</definedName>
    <definedName name="WPE_Range_Subject" localSheetId="38" hidden="1">'9002B未更正错报（不包括披露错报）汇总表'!$B$4</definedName>
    <definedName name="WPE_Range_Subject" localSheetId="39" hidden="1">'9002C未更正披露错报汇总表'!$B$4</definedName>
    <definedName name="WPE_Range_TemplID" localSheetId="37" hidden="1">'9000A错报程序表'!$A$3</definedName>
    <definedName name="WPE_Range_TemplID" localSheetId="40" hidden="1">'9000B对错报性质的评价'!$A$3</definedName>
    <definedName name="WPE_Range_TemplID" localSheetId="41" hidden="1">'9000C错报评价'!$A$3</definedName>
    <definedName name="WPE_Range_TemplID" localSheetId="42" hidden="1">'9000D对错报的沟通'!$A$3</definedName>
    <definedName name="WPE_Range_TemplID" localSheetId="38" hidden="1">'9002B未更正错报（不包括披露错报）汇总表'!$A$3</definedName>
    <definedName name="WPE_Range_TemplID" localSheetId="39" hidden="1">'9002C未更正披露错报汇总表'!$A$3</definedName>
    <definedName name="WPE_Range_WPReference" localSheetId="37" hidden="1">'9000A错报程序表'!$B$1</definedName>
    <definedName name="WPE_Range_WPReference" localSheetId="40" hidden="1">'9000B对错报性质的评价'!$B$1</definedName>
    <definedName name="WPE_Range_WPReference" localSheetId="41" hidden="1">'9000C错报评价'!$B$1</definedName>
    <definedName name="WPE_Range_WPReference" localSheetId="42" hidden="1">'9000D对错报的沟通'!$B$1</definedName>
    <definedName name="WPE_Range_WPReference" localSheetId="38" hidden="1">'9002B未更正错报（不包括披露错报）汇总表'!$B$1</definedName>
    <definedName name="WPE_Range_WPReference" localSheetId="39" hidden="1">'9002C未更正披露错报汇总表'!$B$1</definedName>
    <definedName name="WPE_ReviewedDate" localSheetId="37" hidden="1">'9000A错报程序表'!$A$6</definedName>
    <definedName name="WPE_ReviewedDate" localSheetId="40" hidden="1">'9000B对错报性质的评价'!$A$6</definedName>
    <definedName name="WPE_ReviewedDate" localSheetId="41" hidden="1">'9000C错报评价'!$A$6</definedName>
    <definedName name="WPE_ReviewedDate" localSheetId="42" hidden="1">'9000D对错报的沟通'!$A$6</definedName>
    <definedName name="WPE_ReviewedDate" localSheetId="38" hidden="1">'9002B未更正错报（不包括披露错报）汇总表'!$A$6</definedName>
    <definedName name="WPE_ReviewedDate" localSheetId="39" hidden="1">'9002C未更正披露错报汇总表'!$A$6</definedName>
    <definedName name="WPE_Reviewer" localSheetId="37" hidden="1">'9000A错报程序表'!$A$5</definedName>
    <definedName name="WPE_Reviewer" localSheetId="40" hidden="1">'9000B对错报性质的评价'!$A$5</definedName>
    <definedName name="WPE_Reviewer" localSheetId="41" hidden="1">'9000C错报评价'!$A$5</definedName>
    <definedName name="WPE_Reviewer" localSheetId="42" hidden="1">'9000D对错报的沟通'!$A$5</definedName>
    <definedName name="WPE_Reviewer" localSheetId="38" hidden="1">'9002B未更正错报（不包括披露错报）汇总表'!$A$5</definedName>
    <definedName name="WPE_Reviewer" localSheetId="39" hidden="1">'9002C未更正披露错报汇总表'!$A$5</definedName>
    <definedName name="WPE_SheetType" localSheetId="37" hidden="1">"FSZ"</definedName>
    <definedName name="WPE_SheetType" localSheetId="40" hidden="1">"FSZ"</definedName>
    <definedName name="WPE_SheetType" localSheetId="41" hidden="1">"FSZ"</definedName>
    <definedName name="WPE_SheetType" localSheetId="42" hidden="1">"FSZ"</definedName>
    <definedName name="WPE_SheetType" localSheetId="38" hidden="1">"FSZ"</definedName>
    <definedName name="WPE_SheetType" localSheetId="39" hidden="1">"FSZ"</definedName>
    <definedName name="WPE_TemplVer" localSheetId="37" hidden="1">"19.09"</definedName>
    <definedName name="WPE_TemplVer" localSheetId="40" hidden="1">"19.09"</definedName>
    <definedName name="WPE_TemplVer" localSheetId="41" hidden="1">"19.09"</definedName>
    <definedName name="WPE_TemplVer" localSheetId="42" hidden="1">"19.09"</definedName>
    <definedName name="WPE_TemplVer" localSheetId="38" hidden="1">"19.09"</definedName>
    <definedName name="WPE_TemplVer" localSheetId="39" hidden="1">"19.09"</definedName>
    <definedName name="WPE名称" localSheetId="8">#REF!</definedName>
    <definedName name="WPE名称">#REF!</definedName>
    <definedName name="wrn.All._.M._.Schedules." localSheetId="8" hidden="1">{"M1Print",#N/A,TRUE,"M1";"M2Print",#N/A,TRUE,"M2";"M1sPrint",#N/A,TRUE,"M1s";"M2aPrint",#N/A,TRUE,"M2a";"M4Print",#N/A,TRUE,"M4";"M5Print",#N/A,TRUE,"M5";"M6Print",#N/A,TRUE,"M6";"M6_1Print",#N/A,TRUE,"M6_1";"M6_2Print",#N/A,TRUE,"M6_2";"M7_1Print",#N/A,TRUE,"M7_1";"M7_2Print",#N/A,TRUE,"M7_2"}</definedName>
    <definedName name="wrn.All._.M._.Schedules." hidden="1">{"M1Print",#N/A,TRUE,"M1";"M2Print",#N/A,TRUE,"M2";"M1sPrint",#N/A,TRUE,"M1s";"M2aPrint",#N/A,TRUE,"M2a";"M4Print",#N/A,TRUE,"M4";"M5Print",#N/A,TRUE,"M5";"M6Print",#N/A,TRUE,"M6";"M6_1Print",#N/A,TRUE,"M6_1";"M6_2Print",#N/A,TRUE,"M6_2";"M7_1Print",#N/A,TRUE,"M7_1";"M7_2Print",#N/A,TRUE,"M7_2"}</definedName>
    <definedName name="wrn.all._.M._.Schedules.1" localSheetId="8" hidden="1">{"M1Print",#N/A,TRUE,"M1";"M2Print",#N/A,TRUE,"M2";"M1sPrint",#N/A,TRUE,"M1s";"M2aPrint",#N/A,TRUE,"M2a";"M4Print",#N/A,TRUE,"M4";"M5Print",#N/A,TRUE,"M5";"M6Print",#N/A,TRUE,"M6";"M6_1Print",#N/A,TRUE,"M6_1";"M6_2Print",#N/A,TRUE,"M6_2";"M7_1Print",#N/A,TRUE,"M7_1";"M7_2Print",#N/A,TRUE,"M7_2"}</definedName>
    <definedName name="wrn.all._.M._.Schedules.1" hidden="1">{"M1Print",#N/A,TRUE,"M1";"M2Print",#N/A,TRUE,"M2";"M1sPrint",#N/A,TRUE,"M1s";"M2aPrint",#N/A,TRUE,"M2a";"M4Print",#N/A,TRUE,"M4";"M5Print",#N/A,TRUE,"M5";"M6Print",#N/A,TRUE,"M6";"M6_1Print",#N/A,TRUE,"M6_1";"M6_2Print",#N/A,TRUE,"M6_2";"M7_1Print",#N/A,TRUE,"M7_1";"M7_2Print",#N/A,TRUE,"M7_2"}</definedName>
    <definedName name="wrn.Board._.Reports." localSheetId="8" hidden="1">{#N/A,#N/A,FALSE,"M1s Board";#N/A,#N/A,FALSE,"M3 Board";#N/A,#N/A,FALSE,"M6 Board";#N/A,#N/A,FALSE,"M7";#N/A,#N/A,FALSE,"M7B";#N/A,#N/A,FALSE,"M8";#N/A,#N/A,FALSE,"M8A Board";#N/A,#N/A,FALSE,"AF1 Board"}</definedName>
    <definedName name="wrn.Board._.Reports." hidden="1">{#N/A,#N/A,FALSE,"M1s Board";#N/A,#N/A,FALSE,"M3 Board";#N/A,#N/A,FALSE,"M6 Board";#N/A,#N/A,FALSE,"M7";#N/A,#N/A,FALSE,"M7B";#N/A,#N/A,FALSE,"M8";#N/A,#N/A,FALSE,"M8A Board";#N/A,#N/A,FALSE,"AF1 Board"}</definedName>
    <definedName name="wrn.M1._.Operating._.Statement." localSheetId="8" hidden="1">{"M1Print",#N/A,FALSE,"M1"}</definedName>
    <definedName name="wrn.M1._.Operating._.Statement." hidden="1">{"M1Print",#N/A,FALSE,"M1"}</definedName>
    <definedName name="wrn.M1s._.Statistics." localSheetId="8" hidden="1">{"M1sPrint",#N/A,FALSE,"M1s"}</definedName>
    <definedName name="wrn.M1s._.Statistics." hidden="1">{"M1sPrint",#N/A,FALSE,"M1s"}</definedName>
    <definedName name="wrn.M2._.Balance._.Sheet." localSheetId="8" hidden="1">{"M2Print",#N/A,FALSE,"M2"}</definedName>
    <definedName name="wrn.M2._.Balance._.Sheet." hidden="1">{"M2Print",#N/A,FALSE,"M2"}</definedName>
    <definedName name="wrn.M2a._.Cashflow." localSheetId="8" hidden="1">{"M2aPrint",#N/A,FALSE,"M2a"}</definedName>
    <definedName name="wrn.M2a._.Cashflow." hidden="1">{"M2aPrint",#N/A,FALSE,"M2a"}</definedName>
    <definedName name="wrn.M4._.Inventories." localSheetId="8" hidden="1">{"M4Print",#N/A,FALSE,"M4"}</definedName>
    <definedName name="wrn.M4._.Inventories." hidden="1">{"M4Print",#N/A,FALSE,"M4"}</definedName>
    <definedName name="wrn.M5._.Flash._.and._.Forecast." localSheetId="8" hidden="1">{"M5Print",#N/A,FALSE,"M5"}</definedName>
    <definedName name="wrn.M5._.Flash._.and._.Forecast." hidden="1">{"M5Print",#N/A,FALSE,"M5"}</definedName>
    <definedName name="wrn.M6._.Management._.Summary." localSheetId="8" hidden="1">{"M6Print",#N/A,FALSE,"M6";"M6_1Print",#N/A,FALSE,"M6_1";"M6_2Print",#N/A,FALSE,"M6_2"}</definedName>
    <definedName name="wrn.M6._.Management._.Summary." hidden="1">{"M6Print",#N/A,FALSE,"M6";"M6_1Print",#N/A,FALSE,"M6_1";"M6_2Print",#N/A,FALSE,"M6_2"}</definedName>
    <definedName name="wrn.M7._.Financial._.Controllers._.report." localSheetId="8" hidden="1">{"M7_1Print",#N/A,TRUE,"M7_1";"M7_2Print",#N/A,TRUE,"M7_2"}</definedName>
    <definedName name="wrn.M7._.Financial._.Controllers._.report." hidden="1">{"M7_1Print",#N/A,TRUE,"M7_1";"M7_2Print",#N/A,TRUE,"M7_2"}</definedName>
    <definedName name="ws" localSheetId="8">[27]B!#REF!</definedName>
    <definedName name="ws">[27]B!#REF!</definedName>
    <definedName name="x" localSheetId="8">#REF!</definedName>
    <definedName name="x">#REF!</definedName>
    <definedName name="XD_jb查" localSheetId="8">#REF!</definedName>
    <definedName name="XD_jb查">#REF!</definedName>
    <definedName name="XDjb2_3月数查询" localSheetId="8">#REF!</definedName>
    <definedName name="XDjb2_3月数查询">#REF!</definedName>
    <definedName name="XREF_COLUMN_1" localSheetId="8" hidden="1">#REF!</definedName>
    <definedName name="XREF_COLUMN_1" hidden="1">#REF!</definedName>
    <definedName name="XREF_COLUMN_2" localSheetId="8" hidden="1">#REF!</definedName>
    <definedName name="XREF_COLUMN_2" hidden="1">#REF!</definedName>
    <definedName name="XREF_COLUMN_3" localSheetId="8" hidden="1">#REF!</definedName>
    <definedName name="XREF_COLUMN_3" hidden="1">#REF!</definedName>
    <definedName name="XREF_COLUMN_4" localSheetId="8" hidden="1">#REF!</definedName>
    <definedName name="XREF_COLUMN_4" hidden="1">#REF!</definedName>
    <definedName name="XRefActiveRow" localSheetId="8" hidden="1">#REF!</definedName>
    <definedName name="XRefActiveRow" hidden="1">#REF!</definedName>
    <definedName name="XRefColumnsCount" hidden="1">3</definedName>
    <definedName name="XRefCopy1" localSheetId="8" hidden="1">#REF!</definedName>
    <definedName name="XRefCopy1" hidden="1">#REF!</definedName>
    <definedName name="XRefCopy10" localSheetId="8" hidden="1">#REF!</definedName>
    <definedName name="XRefCopy10" hidden="1">#REF!</definedName>
    <definedName name="XRefCopy11" localSheetId="8" hidden="1">#REF!</definedName>
    <definedName name="XRefCopy11" hidden="1">#REF!</definedName>
    <definedName name="XRefCopy12" localSheetId="8" hidden="1">#REF!</definedName>
    <definedName name="XRefCopy12" hidden="1">#REF!</definedName>
    <definedName name="XRefCopy13" localSheetId="8" hidden="1">#REF!</definedName>
    <definedName name="XRefCopy13" hidden="1">#REF!</definedName>
    <definedName name="XRefCopy14" localSheetId="8" hidden="1">#REF!</definedName>
    <definedName name="XRefCopy14" hidden="1">#REF!</definedName>
    <definedName name="XRefCopy15" localSheetId="8" hidden="1">#REF!</definedName>
    <definedName name="XRefCopy15" hidden="1">#REF!</definedName>
    <definedName name="XRefCopy1Row" localSheetId="8" hidden="1">#REF!</definedName>
    <definedName name="XRefCopy1Row" hidden="1">#REF!</definedName>
    <definedName name="XRefCopy2" localSheetId="8" hidden="1">#REF!</definedName>
    <definedName name="XRefCopy2" hidden="1">#REF!</definedName>
    <definedName name="XRefCopy2Row" localSheetId="8" hidden="1">#REF!</definedName>
    <definedName name="XRefCopy2Row" hidden="1">#REF!</definedName>
    <definedName name="XRefCopy3" localSheetId="8" hidden="1">#REF!</definedName>
    <definedName name="XRefCopy3" hidden="1">#REF!</definedName>
    <definedName name="XRefCopy3Row" localSheetId="8" hidden="1">#REF!</definedName>
    <definedName name="XRefCopy3Row" hidden="1">#REF!</definedName>
    <definedName name="XRefCopy4" localSheetId="8" hidden="1">#REF!</definedName>
    <definedName name="XRefCopy4" hidden="1">#REF!</definedName>
    <definedName name="XRefCopy4Row" localSheetId="8" hidden="1">#REF!</definedName>
    <definedName name="XRefCopy4Row" hidden="1">#REF!</definedName>
    <definedName name="XRefCopy5" localSheetId="8" hidden="1">#REF!</definedName>
    <definedName name="XRefCopy5" hidden="1">#REF!</definedName>
    <definedName name="XRefCopy5Row" localSheetId="8" hidden="1">#REF!</definedName>
    <definedName name="XRefCopy5Row" hidden="1">#REF!</definedName>
    <definedName name="XRefCopy6" localSheetId="8" hidden="1">#REF!</definedName>
    <definedName name="XRefCopy6" hidden="1">#REF!</definedName>
    <definedName name="XRefCopy6Row" localSheetId="8" hidden="1">#REF!</definedName>
    <definedName name="XRefCopy6Row" hidden="1">#REF!</definedName>
    <definedName name="XRefCopy7" localSheetId="8" hidden="1">#REF!</definedName>
    <definedName name="XRefCopy7" hidden="1">#REF!</definedName>
    <definedName name="XRefCopy7Row" localSheetId="8" hidden="1">#REF!</definedName>
    <definedName name="XRefCopy7Row" hidden="1">#REF!</definedName>
    <definedName name="XRefCopy8" localSheetId="8" hidden="1">#REF!</definedName>
    <definedName name="XRefCopy8" hidden="1">#REF!</definedName>
    <definedName name="XRefCopy8Row" localSheetId="8" hidden="1">#REF!</definedName>
    <definedName name="XRefCopy8Row" hidden="1">#REF!</definedName>
    <definedName name="XRefCopy9" localSheetId="8" hidden="1">#REF!</definedName>
    <definedName name="XRefCopy9" hidden="1">#REF!</definedName>
    <definedName name="XRefCopyRangeCount" hidden="1">8</definedName>
    <definedName name="XRefPaste1" localSheetId="8" hidden="1">#REF!</definedName>
    <definedName name="XRefPaste1" hidden="1">#REF!</definedName>
    <definedName name="XRefPaste10" localSheetId="8" hidden="1">#REF!</definedName>
    <definedName name="XRefPaste10" hidden="1">#REF!</definedName>
    <definedName name="XRefPaste11" localSheetId="8" hidden="1">#REF!</definedName>
    <definedName name="XRefPaste11" hidden="1">#REF!</definedName>
    <definedName name="XRefPaste1Row" localSheetId="8" hidden="1">#REF!</definedName>
    <definedName name="XRefPaste1Row" hidden="1">#REF!</definedName>
    <definedName name="XRefPaste2" hidden="1">[23]Sheet1!$G$17</definedName>
    <definedName name="XRefPaste2Row" localSheetId="8" hidden="1">#REF!</definedName>
    <definedName name="XRefPaste2Row" hidden="1">#REF!</definedName>
    <definedName name="XRefPaste3" localSheetId="8" hidden="1">#REF!</definedName>
    <definedName name="XRefPaste3" hidden="1">#REF!</definedName>
    <definedName name="XRefPaste3Row" localSheetId="8" hidden="1">#REF!</definedName>
    <definedName name="XRefPaste3Row" hidden="1">#REF!</definedName>
    <definedName name="XRefPaste4" localSheetId="8" hidden="1">#REF!</definedName>
    <definedName name="XRefPaste4" hidden="1">#REF!</definedName>
    <definedName name="XRefPaste4Row" localSheetId="8" hidden="1">#REF!</definedName>
    <definedName name="XRefPaste4Row" hidden="1">#REF!</definedName>
    <definedName name="XRefPaste5" localSheetId="8" hidden="1">#REF!</definedName>
    <definedName name="XRefPaste5" hidden="1">#REF!</definedName>
    <definedName name="XRefPaste6" localSheetId="8" hidden="1">#REF!</definedName>
    <definedName name="XRefPaste6" hidden="1">#REF!</definedName>
    <definedName name="XRefPaste7" localSheetId="8" hidden="1">#REF!</definedName>
    <definedName name="XRefPaste7" hidden="1">#REF!</definedName>
    <definedName name="XRefPaste8" localSheetId="8" hidden="1">#REF!</definedName>
    <definedName name="XRefPaste8" hidden="1">#REF!</definedName>
    <definedName name="XRefPaste9" localSheetId="8" hidden="1">#REF!</definedName>
    <definedName name="XRefPaste9" hidden="1">#REF!</definedName>
    <definedName name="XRefPasteRangeCount" hidden="1">4</definedName>
    <definedName name="year">[4]上报资产负债表!$B$5</definedName>
    <definedName name="year_end">[12]Sheet3!$A$1</definedName>
    <definedName name="yes">[28]master!$N$3:$N$5</definedName>
    <definedName name="YesNoRange" localSheetId="8">#REF!</definedName>
    <definedName name="YesNoRange">#REF!</definedName>
    <definedName name="yinhang" localSheetId="8">[14]master!#REF!</definedName>
    <definedName name="yinhang">[14]master!#REF!</definedName>
    <definedName name="Z_E738B51C_56AE_4F9F_8D8A_36AD6137B90D_.wvu.Cols" localSheetId="8" hidden="1">#REF!</definedName>
    <definedName name="Z_E738B51C_56AE_4F9F_8D8A_36AD6137B90D_.wvu.Cols" hidden="1">#REF!</definedName>
    <definedName name="Z_E738B51C_56AE_4F9F_8D8A_36AD6137B90D_.wvu.PrintArea" localSheetId="8" hidden="1">#REF!</definedName>
    <definedName name="Z_E738B51C_56AE_4F9F_8D8A_36AD6137B90D_.wvu.PrintArea" hidden="1">#REF!</definedName>
    <definedName name="Z_E738B51C_56AE_4F9F_8D8A_36AD6137B90D_.wvu.PrintTitles" localSheetId="8" hidden="1">#REF!,#REF!</definedName>
    <definedName name="Z_E738B51C_56AE_4F9F_8D8A_36AD6137B90D_.wvu.PrintTitles" hidden="1">#REF!,#REF!</definedName>
    <definedName name="Z_E738B51C_56AE_4F9F_8D8A_36AD6137B90D_.wvu.Rows" localSheetId="8" hidden="1">#REF!</definedName>
    <definedName name="Z_E738B51C_56AE_4F9F_8D8A_36AD6137B90D_.wvu.Rows" hidden="1">#REF!</definedName>
    <definedName name="报表编码" localSheetId="8">[29]参数!$G$68:$G$207</definedName>
    <definedName name="报表编码">[30]参数!$G$68:$G$207</definedName>
    <definedName name="表外项目" localSheetId="8">[31]B!#REF!</definedName>
    <definedName name="表外项目">[31]B!#REF!</definedName>
    <definedName name="存货93期初">[32]企业表一!$C$7</definedName>
    <definedName name="存货93期末">[32]企业表一!$D$7</definedName>
    <definedName name="存货94期初">[32]企业表一!$E$7</definedName>
    <definedName name="存货94期末">[32]企业表一!$F$7</definedName>
    <definedName name="存货95期初">[32]企业表一!$G$7</definedName>
    <definedName name="存货95期末">[32]企业表一!$H$7</definedName>
    <definedName name="存款" localSheetId="8">#REF!</definedName>
    <definedName name="存款">#REF!</definedName>
    <definedName name="贷款清单2" localSheetId="8">[31]B!#REF!</definedName>
    <definedName name="贷款清单2">[31]B!#REF!</definedName>
    <definedName name="待处理固定资产净损失明细表" localSheetId="8">#REF!</definedName>
    <definedName name="待处理固定资产净损失明细表">#REF!</definedName>
    <definedName name="担保并贴现_查询5" localSheetId="8">#REF!</definedName>
    <definedName name="担保并贴现_查询5">#REF!</definedName>
    <definedName name="单位总数" localSheetId="8">#REF!</definedName>
    <definedName name="单位总数">#REF!</definedName>
    <definedName name="第三方">[33]Source!$B$30:$B$31</definedName>
    <definedName name="短期投资_债券_明细表" localSheetId="8">#REF!</definedName>
    <definedName name="短期投资_债券_明细表">#REF!</definedName>
    <definedName name="分类">[18]source!$B$2:$B$4</definedName>
    <definedName name="负债表" localSheetId="8">#REF!</definedName>
    <definedName name="负债表">#REF!</definedName>
    <definedName name="负债合计93期末">[32]企业表一!$D$17</definedName>
    <definedName name="负债合计94期末">[32]企业表一!$F$17</definedName>
    <definedName name="负债合计95期末">[32]企业表一!$H$17</definedName>
    <definedName name="公司类别">[34]Source!$B$5:$B$13</definedName>
    <definedName name="股份会计科目" localSheetId="8">[29]参数!$L$68:$L$208</definedName>
    <definedName name="股份会计科目">[30]参数!$L$68:$L$208</definedName>
    <definedName name="关联">[35]source!$B$2:$B$8</definedName>
    <definedName name="关联交易">[18]source!$F$2:$F$11</definedName>
    <definedName name="管理费用明细表" localSheetId="8">#REF!</definedName>
    <definedName name="管理费用明细表">#REF!</definedName>
    <definedName name="合并价差明细表" localSheetId="8">#REF!</definedName>
    <definedName name="合并价差明细表">#REF!</definedName>
    <definedName name="汇率" localSheetId="8">#REF!</definedName>
    <definedName name="汇率">#REF!</definedName>
    <definedName name="会计机构负责人" localSheetId="8">[29]主菜单!$A$44</definedName>
    <definedName name="会计机构负责人">[30]主菜单!$A$44</definedName>
    <definedName name="会计科目编码" localSheetId="8">[29]参数!$L$68:$M$208</definedName>
    <definedName name="会计科目编码">[30]参数!$L$68:$M$208</definedName>
    <definedName name="货币资金注释" localSheetId="8">#REF!</definedName>
    <definedName name="货币资金注释">#REF!</definedName>
    <definedName name="计划及实际价格入库记录" localSheetId="8">#REF!</definedName>
    <definedName name="计划及实际价格入库记录">#REF!</definedName>
    <definedName name="借款性质">[36]source!$A$2:$A$6</definedName>
    <definedName name="经营">[18]source!$D$2:$D$4</definedName>
    <definedName name="净_利_润93">'[32]M-5C'!$B$24</definedName>
    <definedName name="净_利_润94">'[32]M-5C'!$D$24</definedName>
    <definedName name="净_利_润95">'[32]M-5C'!$F$24</definedName>
    <definedName name="净资产合计93期初">[32]企业表一!$C$20</definedName>
    <definedName name="净资产合计93期末">[32]企业表一!$D$20</definedName>
    <definedName name="净资产合计94期初">[32]企业表一!$E$20</definedName>
    <definedName name="净资产合计94期末">[32]企业表一!$F$20</definedName>
    <definedName name="净资产合计95期初">[32]企业表一!$G$20</definedName>
    <definedName name="净资产合计95期末">[32]企业表一!$H$20</definedName>
    <definedName name="开办费明细表" localSheetId="8">#REF!</definedName>
    <definedName name="开办费明细表">#REF!</definedName>
    <definedName name="苛" localSheetId="8" hidden="1">{"M1sPrint",#N/A,FALSE,"M1s"}</definedName>
    <definedName name="苛" hidden="1">{"M1sPrint",#N/A,FALSE,"M1s"}</definedName>
    <definedName name="科目表" localSheetId="8">#REF!</definedName>
    <definedName name="科目表">#REF!</definedName>
    <definedName name="科目余额表" localSheetId="8">#REF!</definedName>
    <definedName name="科目余额表">#REF!</definedName>
    <definedName name="累计折旧明细表" localSheetId="8">#REF!</definedName>
    <definedName name="累计折旧明细表">#REF!</definedName>
    <definedName name="利_润_总_额93">'[32]M-5A'!$B$10</definedName>
    <definedName name="利_润_总_额94">'[32]M-5A'!$C$10</definedName>
    <definedName name="利_润_总_额95">'[32]M-5A'!$D$10</definedName>
    <definedName name="利润表" localSheetId="8">#REF!</definedName>
    <definedName name="利润表">#REF!</definedName>
    <definedName name="流_动_资_产93">'[32]M-5A'!$B$15</definedName>
    <definedName name="流_动_资_产94">'[32]M-5A'!$C$15</definedName>
    <definedName name="流_动_资_产95">'[32]M-5A'!$D$15</definedName>
    <definedName name="流动负债93期末">[32]企业表一!$D$15</definedName>
    <definedName name="流动负债94期末">[32]企业表一!$F$15</definedName>
    <definedName name="流动负债95期末">[32]企业表一!$H$15</definedName>
    <definedName name="流量编码" localSheetId="8">[29]参数!$D$69:$D$139</definedName>
    <definedName name="流量编码">[30]参数!$D$69:$D$139</definedName>
    <definedName name="母公司" localSheetId="8">#REF!</definedName>
    <definedName name="母公司">#REF!</definedName>
    <definedName name="年度">[37]主菜单!$C$7:$C$10</definedName>
    <definedName name="期初">[38]source!$G$2:$G$5</definedName>
    <definedName name="期初或年初日期">[39]source!$D$1:$D$5</definedName>
    <definedName name="期间" hidden="1">TRIM([40]索引!$C$7&amp;[40]索引!$D$7)</definedName>
    <definedName name="期末">[38]source!$H$2:$H$6</definedName>
    <definedName name="期末或年末日期">[39]source!$D$7:$D$12</definedName>
    <definedName name="其他货币资金明细表" localSheetId="8">#REF!</definedName>
    <definedName name="其他货币资金明细表">#REF!</definedName>
    <definedName name="其他未交款明细表" localSheetId="8">#REF!</definedName>
    <definedName name="其他未交款明细表">#REF!</definedName>
    <definedName name="其他应付款明细表" localSheetId="8">#REF!</definedName>
    <definedName name="其他应付款明细表">#REF!</definedName>
    <definedName name="其他应收款明细表" localSheetId="8">#REF!</definedName>
    <definedName name="其他应收款明细表">#REF!</definedName>
    <definedName name="企业负责人" localSheetId="8">[29]主菜单!$A$42</definedName>
    <definedName name="企业负责人">[30]主菜单!$A$42</definedName>
    <definedName name="上海电气集团股份有限公司" localSheetId="8">#REF!</definedName>
    <definedName name="上海电气集团股份有限公司">#REF!</definedName>
    <definedName name="设备">[41]设备部房屋!$C$5:$AC$108</definedName>
    <definedName name="审计程序Procedures" localSheetId="37">'9000A错报程序表'!$B$8:$J$26</definedName>
    <definedName name="生产列1" localSheetId="8">#REF!</definedName>
    <definedName name="生产列1">#REF!</definedName>
    <definedName name="生产列11" localSheetId="8">#REF!</definedName>
    <definedName name="生产列11">#REF!</definedName>
    <definedName name="生产列15" localSheetId="8">#REF!</definedName>
    <definedName name="生产列15">#REF!</definedName>
    <definedName name="生产列16" localSheetId="8">#REF!</definedName>
    <definedName name="生产列16">#REF!</definedName>
    <definedName name="生产列17" localSheetId="8">#REF!</definedName>
    <definedName name="生产列17">#REF!</definedName>
    <definedName name="生产列19" localSheetId="8">#REF!</definedName>
    <definedName name="生产列19">#REF!</definedName>
    <definedName name="生产列2" localSheetId="8">#REF!</definedName>
    <definedName name="生产列2">#REF!</definedName>
    <definedName name="生产列20" localSheetId="8">#REF!</definedName>
    <definedName name="生产列20">#REF!</definedName>
    <definedName name="生产列3" localSheetId="8">#REF!</definedName>
    <definedName name="生产列3">#REF!</definedName>
    <definedName name="生产列4" localSheetId="8">#REF!</definedName>
    <definedName name="生产列4">#REF!</definedName>
    <definedName name="生产列5" localSheetId="8">[42]E1020!#REF!</definedName>
    <definedName name="生产列5">[42]E1020!#REF!</definedName>
    <definedName name="生产列6" localSheetId="8">#REF!</definedName>
    <definedName name="生产列6">#REF!</definedName>
    <definedName name="生产列7" localSheetId="8">#REF!</definedName>
    <definedName name="生产列7">#REF!</definedName>
    <definedName name="生产列8" localSheetId="8">#REF!</definedName>
    <definedName name="生产列8">#REF!</definedName>
    <definedName name="生产列9" localSheetId="8">#REF!</definedName>
    <definedName name="生产列9">#REF!</definedName>
    <definedName name="生产期" localSheetId="8">#REF!</definedName>
    <definedName name="生产期">#REF!</definedName>
    <definedName name="生产期1" localSheetId="8">#REF!</definedName>
    <definedName name="生产期1">#REF!</definedName>
    <definedName name="生产期11" localSheetId="8">#REF!</definedName>
    <definedName name="生产期11">#REF!</definedName>
    <definedName name="生产期15" localSheetId="8">#REF!</definedName>
    <definedName name="生产期15">#REF!</definedName>
    <definedName name="生产期16" localSheetId="8">#REF!</definedName>
    <definedName name="生产期16">#REF!</definedName>
    <definedName name="生产期17" localSheetId="8">#REF!</definedName>
    <definedName name="生产期17">#REF!</definedName>
    <definedName name="生产期19" localSheetId="8">#REF!</definedName>
    <definedName name="生产期19">#REF!</definedName>
    <definedName name="生产期2" localSheetId="8">#REF!</definedName>
    <definedName name="生产期2">#REF!</definedName>
    <definedName name="生产期20" localSheetId="8">#REF!</definedName>
    <definedName name="生产期20">#REF!</definedName>
    <definedName name="生产期3" localSheetId="8">#REF!</definedName>
    <definedName name="生产期3">#REF!</definedName>
    <definedName name="生产期4" localSheetId="8">#REF!</definedName>
    <definedName name="生产期4">#REF!</definedName>
    <definedName name="生产期5" localSheetId="8">[42]E1020!#REF!</definedName>
    <definedName name="生产期5">[42]E1020!#REF!</definedName>
    <definedName name="生产期6" localSheetId="8">#REF!</definedName>
    <definedName name="生产期6">#REF!</definedName>
    <definedName name="生产期7" localSheetId="8">#REF!</definedName>
    <definedName name="生产期7">#REF!</definedName>
    <definedName name="生产期8" localSheetId="8">#REF!</definedName>
    <definedName name="生产期8">#REF!</definedName>
    <definedName name="生产期9" localSheetId="8">#REF!</definedName>
    <definedName name="生产期9">#REF!</definedName>
    <definedName name="试算表数" localSheetId="8">[29]试算平衡表!$A:$F</definedName>
    <definedName name="试算表数">[30]试算平衡表!$A:$F</definedName>
    <definedName name="是" localSheetId="8">#REF!</definedName>
    <definedName name="是">#REF!</definedName>
    <definedName name="数字" localSheetId="8">[43]Source!#REF!</definedName>
    <definedName name="数字">[43]Source!#REF!</definedName>
    <definedName name="说" localSheetId="8">#REF!</definedName>
    <definedName name="说">#REF!</definedName>
    <definedName name="速_动_资_产93">'[32]M-5A'!$B$14</definedName>
    <definedName name="速_动_资_产94">'[32]M-5A'!$C$14</definedName>
    <definedName name="速_动_资_产95">'[32]M-5A'!$D$14</definedName>
    <definedName name="投资收益明细表" localSheetId="8">#REF!</definedName>
    <definedName name="投资收益明细表">#REF!</definedName>
    <definedName name="未交税金明细表" localSheetId="8">#REF!</definedName>
    <definedName name="未交税金明细表">#REF!</definedName>
    <definedName name="无对应明细表的报表项目" localSheetId="8">#REF!</definedName>
    <definedName name="无对应明细表的报表项目">#REF!</definedName>
    <definedName name="现金流量" localSheetId="8">[29]参数!$E$68:$E$139</definedName>
    <definedName name="现金流量">[30]参数!$E$68:$E$139</definedName>
    <definedName name="现金流量编码" localSheetId="8">[29]参数!$E$69:$F$139</definedName>
    <definedName name="现金流量编码">[30]参数!$E$69:$F$139</definedName>
    <definedName name="一级子公司" localSheetId="8">#REF!</definedName>
    <definedName name="一级子公司">#REF!</definedName>
    <definedName name="以前年度损益调整明细表" localSheetId="8">#REF!</definedName>
    <definedName name="以前年度损益调整明细表">#REF!</definedName>
    <definedName name="营业外支出明细表" localSheetId="8">#REF!</definedName>
    <definedName name="营业外支出明细表">#REF!</definedName>
    <definedName name="应付股利明细表" localSheetId="8">#REF!</definedName>
    <definedName name="应付股利明细表">#REF!</definedName>
    <definedName name="应付票据明细表" localSheetId="8">#REF!</definedName>
    <definedName name="应付票据明细表">#REF!</definedName>
    <definedName name="应收帐款93期初">[32]企业表一!$C$6</definedName>
    <definedName name="应收帐款93期末">[32]企业表一!$D$6</definedName>
    <definedName name="应收帐款94期初">[32]企业表一!$E$6</definedName>
    <definedName name="应收帐款94期末">[32]企业表一!$F$6</definedName>
    <definedName name="应收帐款95期初">[32]企业表一!$G$6</definedName>
    <definedName name="应收帐款95期末">[32]企业表一!$H$6</definedName>
    <definedName name="有">[44]master!$D$17:$D$18+[44]master!$D$17:$D$18</definedName>
    <definedName name="预付帐款明细表" localSheetId="8">#REF!</definedName>
    <definedName name="预付帐款明细表">#REF!</definedName>
    <definedName name="预收货款明细表" localSheetId="8">#REF!</definedName>
    <definedName name="预收货款明细表">#REF!</definedName>
    <definedName name="预提费用明细表" localSheetId="8">#REF!</definedName>
    <definedName name="预提费用明细表">#REF!</definedName>
    <definedName name="帐龄">[45]master!$E$8:$E$10</definedName>
    <definedName name="账龄分析表" localSheetId="8">#REF!</definedName>
    <definedName name="账龄分析表">#REF!</definedName>
    <definedName name="主管会计工作负责人" localSheetId="8">[29]主菜单!$A$43</definedName>
    <definedName name="主管会计工作负责人">[30]主菜单!$A$43</definedName>
    <definedName name="资产负债表日">[40]索引!$C$6</definedName>
    <definedName name="资产合计93期初">[32]企业表一!$C$14</definedName>
    <definedName name="资产合计93期末">[32]企业表一!$D$14</definedName>
    <definedName name="资产合计94期初">[32]企业表一!$E$14</definedName>
    <definedName name="资产合计94期末">[32]企业表一!$F$14</definedName>
    <definedName name="资产合计95期初">[32]企业表一!$G$14</definedName>
    <definedName name="资产合计95期末">[32]企业表一!$H$14</definedName>
    <definedName name="子公司名称">[39]source!$B$1:$B$19</definedName>
  </definedNames>
  <calcPr calcId="162913" fullPrecision="0"/>
</workbook>
</file>

<file path=xl/calcChain.xml><?xml version="1.0" encoding="utf-8"?>
<calcChain xmlns="http://schemas.openxmlformats.org/spreadsheetml/2006/main">
  <c r="E78" i="8" l="1"/>
  <c r="E77" i="8"/>
  <c r="H4889" i="18" l="1"/>
  <c r="P224" i="6"/>
  <c r="E94" i="8" l="1"/>
  <c r="E80" i="8"/>
  <c r="I3247" i="18"/>
  <c r="F47" i="74" l="1"/>
  <c r="E156" i="91" l="1"/>
  <c r="AD235" i="6"/>
  <c r="AC235" i="6"/>
  <c r="R235" i="6"/>
  <c r="J235" i="6"/>
  <c r="AE235" i="6" s="1"/>
  <c r="G235" i="6"/>
  <c r="E235" i="6"/>
  <c r="D235" i="6"/>
  <c r="C235" i="6"/>
  <c r="Q235" i="6" s="1"/>
  <c r="B235" i="6"/>
  <c r="AD234" i="6"/>
  <c r="AC234" i="6"/>
  <c r="R234" i="6"/>
  <c r="J234" i="6"/>
  <c r="AE234" i="6" s="1"/>
  <c r="G234" i="6"/>
  <c r="E234" i="6"/>
  <c r="D234" i="6"/>
  <c r="C234" i="6"/>
  <c r="Q234" i="6" s="1"/>
  <c r="B234" i="6"/>
  <c r="AD233" i="6"/>
  <c r="AC233" i="6"/>
  <c r="J233" i="6"/>
  <c r="G233" i="6" s="1"/>
  <c r="C233" i="6"/>
  <c r="R233" i="6" s="1"/>
  <c r="B233" i="6"/>
  <c r="AD232" i="6"/>
  <c r="AC232" i="6"/>
  <c r="J232" i="6"/>
  <c r="C232" i="6"/>
  <c r="R232" i="6" s="1"/>
  <c r="B232" i="6"/>
  <c r="AD231" i="6"/>
  <c r="AC231" i="6"/>
  <c r="E231" i="6"/>
  <c r="E232" i="6" s="1"/>
  <c r="E233" i="6" s="1"/>
  <c r="C231" i="6"/>
  <c r="R231" i="6" s="1"/>
  <c r="B231" i="6"/>
  <c r="F234" i="6" l="1"/>
  <c r="F235" i="6"/>
  <c r="Q233" i="6"/>
  <c r="AE233" i="6" s="1"/>
  <c r="F233" i="6"/>
  <c r="Q232" i="6"/>
  <c r="AE232" i="6" s="1"/>
  <c r="Q231" i="6"/>
  <c r="AE231" i="6" s="1"/>
  <c r="F232" i="6"/>
  <c r="D231" i="6"/>
  <c r="D232" i="6" s="1"/>
  <c r="D233" i="6" s="1"/>
  <c r="G232" i="6"/>
  <c r="G231" i="6"/>
  <c r="H4699" i="18"/>
  <c r="I3633" i="18"/>
  <c r="P229" i="6" l="1"/>
  <c r="AD229" i="6" s="1"/>
  <c r="J229" i="6"/>
  <c r="G229" i="6" s="1"/>
  <c r="C229" i="6"/>
  <c r="Q229" i="6" s="1"/>
  <c r="AD228" i="6"/>
  <c r="AC228" i="6"/>
  <c r="J228" i="6"/>
  <c r="G228" i="6"/>
  <c r="C228" i="6"/>
  <c r="Q228" i="6" s="1"/>
  <c r="AD230" i="6"/>
  <c r="AC230" i="6"/>
  <c r="J230" i="6"/>
  <c r="G230" i="6" s="1"/>
  <c r="E230" i="6"/>
  <c r="F231" i="6" s="1"/>
  <c r="C230" i="6"/>
  <c r="R230" i="6" s="1"/>
  <c r="B230" i="6"/>
  <c r="AD227" i="6"/>
  <c r="AC227" i="6"/>
  <c r="J227" i="6"/>
  <c r="G227" i="6" s="1"/>
  <c r="C227" i="6"/>
  <c r="Q227" i="6" s="1"/>
  <c r="AD226" i="6"/>
  <c r="AC226" i="6"/>
  <c r="G226" i="6"/>
  <c r="E226" i="6"/>
  <c r="E227" i="6" s="1"/>
  <c r="F227" i="6" s="1"/>
  <c r="C226" i="6"/>
  <c r="Q226" i="6" s="1"/>
  <c r="B226" i="6"/>
  <c r="B227" i="6" l="1"/>
  <c r="D230" i="6"/>
  <c r="AC229" i="6"/>
  <c r="E228" i="6"/>
  <c r="F228" i="6" s="1"/>
  <c r="AE229" i="6"/>
  <c r="B228" i="6"/>
  <c r="R229" i="6"/>
  <c r="B229" i="6"/>
  <c r="R228" i="6"/>
  <c r="AE228" i="6"/>
  <c r="Q230" i="6"/>
  <c r="AE230" i="6" s="1"/>
  <c r="R227" i="6"/>
  <c r="AE227" i="6"/>
  <c r="D226" i="6"/>
  <c r="D227" i="6" s="1"/>
  <c r="D228" i="6" s="1"/>
  <c r="D229" i="6" s="1"/>
  <c r="R226" i="6"/>
  <c r="AE226" i="6"/>
  <c r="E229" i="6" l="1"/>
  <c r="F230" i="6" s="1"/>
  <c r="F229" i="6" l="1"/>
  <c r="E72" i="91" l="1"/>
  <c r="E71" i="91"/>
  <c r="E109" i="91" l="1"/>
  <c r="E53" i="91"/>
  <c r="H4759" i="18" l="1"/>
  <c r="P177" i="6" l="1"/>
  <c r="C24" i="89"/>
  <c r="E200" i="91" l="1"/>
  <c r="AD225" i="6" l="1"/>
  <c r="AC225" i="6"/>
  <c r="J225" i="6"/>
  <c r="G225" i="6" s="1"/>
  <c r="E225" i="6"/>
  <c r="F226" i="6" s="1"/>
  <c r="C225" i="6"/>
  <c r="R225" i="6" s="1"/>
  <c r="B225" i="6"/>
  <c r="AD224" i="6"/>
  <c r="AC224" i="6"/>
  <c r="J224" i="6"/>
  <c r="G224" i="6" s="1"/>
  <c r="C224" i="6"/>
  <c r="Q224" i="6" s="1"/>
  <c r="AD223" i="6"/>
  <c r="AC223" i="6"/>
  <c r="J223" i="6"/>
  <c r="C223" i="6"/>
  <c r="Q223" i="6" s="1"/>
  <c r="AD222" i="6"/>
  <c r="AC222" i="6"/>
  <c r="D222" i="6"/>
  <c r="E222" i="6"/>
  <c r="E223" i="6" s="1"/>
  <c r="E224" i="6" s="1"/>
  <c r="C222" i="6"/>
  <c r="Q222" i="6" s="1"/>
  <c r="B222" i="6"/>
  <c r="B224" i="6" l="1"/>
  <c r="B223" i="6"/>
  <c r="D225" i="6"/>
  <c r="Q225" i="6"/>
  <c r="AE225" i="6" s="1"/>
  <c r="AE224" i="6"/>
  <c r="D223" i="6"/>
  <c r="D224" i="6" s="1"/>
  <c r="F225" i="6"/>
  <c r="F224" i="6"/>
  <c r="R224" i="6"/>
  <c r="R223" i="6"/>
  <c r="G222" i="6"/>
  <c r="AE223" i="6"/>
  <c r="F223" i="6"/>
  <c r="R222" i="6"/>
  <c r="G223" i="6"/>
  <c r="AE222" i="6"/>
  <c r="H4669" i="18"/>
  <c r="I4495" i="18"/>
  <c r="P220" i="6"/>
  <c r="J220" i="6" s="1"/>
  <c r="AD221" i="6"/>
  <c r="AC221" i="6"/>
  <c r="J221" i="6"/>
  <c r="G221" i="6" s="1"/>
  <c r="E221" i="6"/>
  <c r="F222" i="6" s="1"/>
  <c r="C221" i="6"/>
  <c r="Q221" i="6" s="1"/>
  <c r="B221" i="6"/>
  <c r="AD218" i="6"/>
  <c r="AC218" i="6"/>
  <c r="J218" i="6"/>
  <c r="C218" i="6"/>
  <c r="Q218" i="6" s="1"/>
  <c r="AD217" i="6"/>
  <c r="AC217" i="6"/>
  <c r="J217" i="6"/>
  <c r="C217" i="6"/>
  <c r="Q217" i="6" s="1"/>
  <c r="AD220" i="6"/>
  <c r="AC220" i="6"/>
  <c r="C220" i="6"/>
  <c r="Q220" i="6" s="1"/>
  <c r="AD219" i="6"/>
  <c r="AC219" i="6"/>
  <c r="J219" i="6"/>
  <c r="C219" i="6"/>
  <c r="Q219" i="6" s="1"/>
  <c r="AD216" i="6"/>
  <c r="AC216" i="6"/>
  <c r="J216" i="6"/>
  <c r="G216" i="6" s="1"/>
  <c r="C216" i="6"/>
  <c r="R216" i="6" s="1"/>
  <c r="AD215" i="6"/>
  <c r="AC215" i="6"/>
  <c r="G215" i="6"/>
  <c r="E215" i="6"/>
  <c r="E216" i="6" s="1"/>
  <c r="E217" i="6" s="1"/>
  <c r="E218" i="6" s="1"/>
  <c r="E219" i="6" s="1"/>
  <c r="E220" i="6" s="1"/>
  <c r="C215" i="6"/>
  <c r="R215" i="6" s="1"/>
  <c r="B215" i="6"/>
  <c r="F221" i="6" l="1"/>
  <c r="R217" i="6"/>
  <c r="B217" i="6"/>
  <c r="D221" i="6"/>
  <c r="R221" i="6"/>
  <c r="B220" i="6"/>
  <c r="AE221" i="6"/>
  <c r="AE220" i="6"/>
  <c r="B218" i="6"/>
  <c r="B219" i="6"/>
  <c r="R218" i="6"/>
  <c r="F220" i="6"/>
  <c r="F217" i="6"/>
  <c r="F218" i="6"/>
  <c r="AE217" i="6"/>
  <c r="B216" i="6"/>
  <c r="AE218" i="6"/>
  <c r="R219" i="6"/>
  <c r="R220" i="6"/>
  <c r="G217" i="6"/>
  <c r="G218" i="6"/>
  <c r="AE219" i="6"/>
  <c r="F219" i="6"/>
  <c r="G219" i="6"/>
  <c r="G220" i="6"/>
  <c r="Q216" i="6"/>
  <c r="AE216" i="6" s="1"/>
  <c r="F216" i="6"/>
  <c r="Q215" i="6"/>
  <c r="AE215" i="6" s="1"/>
  <c r="D215" i="6"/>
  <c r="D216" i="6" s="1"/>
  <c r="D217" i="6" s="1"/>
  <c r="D218" i="6" s="1"/>
  <c r="D219" i="6" s="1"/>
  <c r="D220" i="6" s="1"/>
  <c r="G26" i="89"/>
  <c r="AD214" i="6"/>
  <c r="AC214" i="6"/>
  <c r="J214" i="6"/>
  <c r="D214" i="6" s="1"/>
  <c r="E214" i="6"/>
  <c r="F215" i="6" s="1"/>
  <c r="C214" i="6"/>
  <c r="Q214" i="6" s="1"/>
  <c r="B214" i="6"/>
  <c r="AD213" i="6"/>
  <c r="AC213" i="6"/>
  <c r="J213" i="6"/>
  <c r="G213" i="6" s="1"/>
  <c r="C213" i="6"/>
  <c r="Q213" i="6" s="1"/>
  <c r="AD212" i="6"/>
  <c r="AC212" i="6"/>
  <c r="J212" i="6"/>
  <c r="G212" i="6" s="1"/>
  <c r="C212" i="6"/>
  <c r="Q212" i="6" s="1"/>
  <c r="AD211" i="6"/>
  <c r="AC211" i="6"/>
  <c r="D211" i="6"/>
  <c r="E211" i="6"/>
  <c r="E212" i="6" s="1"/>
  <c r="E213" i="6" s="1"/>
  <c r="C211" i="6"/>
  <c r="Q211" i="6" s="1"/>
  <c r="B211" i="6"/>
  <c r="E234" i="91"/>
  <c r="G20" i="87"/>
  <c r="H4887" i="18"/>
  <c r="R214" i="6" l="1"/>
  <c r="B213" i="6"/>
  <c r="F214" i="6"/>
  <c r="D212" i="6"/>
  <c r="D213" i="6" s="1"/>
  <c r="R213" i="6"/>
  <c r="F213" i="6"/>
  <c r="B212" i="6"/>
  <c r="AE214" i="6"/>
  <c r="G214" i="6"/>
  <c r="AE213" i="6"/>
  <c r="AE211" i="6"/>
  <c r="R211" i="6"/>
  <c r="G211" i="6"/>
  <c r="F212" i="6"/>
  <c r="AE212" i="6"/>
  <c r="R212" i="6"/>
  <c r="AD210" i="6"/>
  <c r="AC210" i="6"/>
  <c r="J210" i="6"/>
  <c r="G210" i="6" s="1"/>
  <c r="E210" i="6"/>
  <c r="F211" i="6" s="1"/>
  <c r="C210" i="6"/>
  <c r="Q210" i="6" s="1"/>
  <c r="B210" i="6"/>
  <c r="AD209" i="6"/>
  <c r="AC209" i="6"/>
  <c r="J209" i="6"/>
  <c r="G209" i="6" s="1"/>
  <c r="C209" i="6"/>
  <c r="Q209" i="6" s="1"/>
  <c r="AE209" i="6" s="1"/>
  <c r="AD208" i="6"/>
  <c r="AC208" i="6"/>
  <c r="J208" i="6"/>
  <c r="C208" i="6"/>
  <c r="Q208" i="6" s="1"/>
  <c r="AD207" i="6"/>
  <c r="AC207" i="6"/>
  <c r="D207" i="6"/>
  <c r="E207" i="6"/>
  <c r="E208" i="6" s="1"/>
  <c r="E209" i="6" s="1"/>
  <c r="C207" i="6"/>
  <c r="R207" i="6" s="1"/>
  <c r="B207" i="6"/>
  <c r="AE210" i="6" l="1"/>
  <c r="R210" i="6"/>
  <c r="D210" i="6"/>
  <c r="B208" i="6"/>
  <c r="B209" i="6"/>
  <c r="D208" i="6"/>
  <c r="D209" i="6" s="1"/>
  <c r="F210" i="6"/>
  <c r="F209" i="6"/>
  <c r="R209" i="6"/>
  <c r="R208" i="6"/>
  <c r="G207" i="6"/>
  <c r="AE208" i="6"/>
  <c r="Q207" i="6"/>
  <c r="AE207" i="6" s="1"/>
  <c r="F208" i="6"/>
  <c r="G208" i="6"/>
  <c r="AD206" i="6" l="1"/>
  <c r="AC206" i="6"/>
  <c r="J206" i="6"/>
  <c r="D206" i="6" s="1"/>
  <c r="E206" i="6"/>
  <c r="F207" i="6" s="1"/>
  <c r="C206" i="6"/>
  <c r="Q206" i="6" s="1"/>
  <c r="B206" i="6"/>
  <c r="AD205" i="6"/>
  <c r="AC205" i="6"/>
  <c r="J205" i="6"/>
  <c r="G205" i="6" s="1"/>
  <c r="C205" i="6"/>
  <c r="R205" i="6" s="1"/>
  <c r="AD204" i="6"/>
  <c r="AC204" i="6"/>
  <c r="J204" i="6"/>
  <c r="G204" i="6" s="1"/>
  <c r="C204" i="6"/>
  <c r="Q204" i="6" s="1"/>
  <c r="G206" i="6" l="1"/>
  <c r="B205" i="6"/>
  <c r="AE204" i="6"/>
  <c r="R204" i="6"/>
  <c r="B204" i="6"/>
  <c r="AE206" i="6"/>
  <c r="Q205" i="6"/>
  <c r="AE205" i="6" s="1"/>
  <c r="R206" i="6"/>
  <c r="L30" i="87"/>
  <c r="E57" i="91"/>
  <c r="K3247" i="18" l="1"/>
  <c r="K1476" i="18" l="1"/>
  <c r="H1053" i="18" l="1"/>
  <c r="J1223" i="18"/>
  <c r="H1227" i="18"/>
  <c r="H1223" i="18" s="1"/>
  <c r="D1223" i="18"/>
  <c r="D1224" i="18"/>
  <c r="D1225" i="18"/>
  <c r="D1226" i="18"/>
  <c r="D1227" i="18"/>
  <c r="D1228" i="18"/>
  <c r="D1229" i="18"/>
  <c r="D1230" i="18"/>
  <c r="D1231" i="18"/>
  <c r="D1232" i="18"/>
  <c r="D1233" i="18"/>
  <c r="H993" i="18"/>
  <c r="K1227" i="18" l="1"/>
  <c r="H5042" i="18"/>
  <c r="E161" i="91"/>
  <c r="E30" i="91" s="1"/>
  <c r="H5027" i="18" s="1"/>
  <c r="H4906" i="18"/>
  <c r="E158" i="91" s="1"/>
  <c r="E185" i="91" s="1"/>
  <c r="G13" i="87"/>
  <c r="D203" i="6" l="1"/>
  <c r="D204" i="6" s="1"/>
  <c r="D205" i="6" s="1"/>
  <c r="C203" i="6"/>
  <c r="AD203" i="6"/>
  <c r="AC203" i="6"/>
  <c r="E203" i="6"/>
  <c r="E202" i="6"/>
  <c r="B203" i="6"/>
  <c r="J202" i="6"/>
  <c r="D202" i="6" s="1"/>
  <c r="C202" i="6"/>
  <c r="AD202" i="6"/>
  <c r="AC202" i="6"/>
  <c r="E199" i="6"/>
  <c r="B202" i="6"/>
  <c r="J201" i="6"/>
  <c r="C201" i="6"/>
  <c r="Q201" i="6" s="1"/>
  <c r="AD201" i="6"/>
  <c r="AC201" i="6"/>
  <c r="D199" i="6"/>
  <c r="D200" i="6" s="1"/>
  <c r="D201" i="6" s="1"/>
  <c r="J200" i="6"/>
  <c r="C200" i="6"/>
  <c r="Q200" i="6" s="1"/>
  <c r="AD200" i="6"/>
  <c r="AC200" i="6"/>
  <c r="C199" i="6"/>
  <c r="AD199" i="6"/>
  <c r="AC199" i="6"/>
  <c r="G199" i="6"/>
  <c r="E198" i="6"/>
  <c r="B199" i="6"/>
  <c r="J198" i="6"/>
  <c r="C198" i="6"/>
  <c r="Q198" i="6" s="1"/>
  <c r="AD198" i="6"/>
  <c r="AC198" i="6"/>
  <c r="E195" i="6"/>
  <c r="B198" i="6"/>
  <c r="J197" i="6"/>
  <c r="C197" i="6"/>
  <c r="Q197" i="6" s="1"/>
  <c r="AD197" i="6"/>
  <c r="AC197" i="6"/>
  <c r="G197" i="6"/>
  <c r="D195" i="6"/>
  <c r="D196" i="6" s="1"/>
  <c r="D197" i="6" s="1"/>
  <c r="J196" i="6"/>
  <c r="G196" i="6" s="1"/>
  <c r="C196" i="6"/>
  <c r="AD196" i="6"/>
  <c r="AC196" i="6"/>
  <c r="C195" i="6"/>
  <c r="AD195" i="6"/>
  <c r="AC195" i="6"/>
  <c r="G195" i="6"/>
  <c r="E194" i="6"/>
  <c r="B195" i="6"/>
  <c r="H49" i="18"/>
  <c r="H15" i="18"/>
  <c r="J194" i="6"/>
  <c r="D194" i="6" s="1"/>
  <c r="C194" i="6"/>
  <c r="AD194" i="6"/>
  <c r="AC194" i="6"/>
  <c r="E191" i="6"/>
  <c r="E192" i="6" s="1"/>
  <c r="E193" i="6" s="1"/>
  <c r="F193" i="6" s="1"/>
  <c r="B194" i="6"/>
  <c r="J193" i="6"/>
  <c r="C193" i="6"/>
  <c r="Q193" i="6" s="1"/>
  <c r="AD193" i="6"/>
  <c r="AC193" i="6"/>
  <c r="D191" i="6"/>
  <c r="D192" i="6" s="1"/>
  <c r="D193" i="6" s="1"/>
  <c r="J192" i="6"/>
  <c r="C192" i="6"/>
  <c r="Q192" i="6" s="1"/>
  <c r="AD192" i="6"/>
  <c r="AC192" i="6"/>
  <c r="C191" i="6"/>
  <c r="Q191" i="6" s="1"/>
  <c r="AE191" i="6" s="1"/>
  <c r="AD191" i="6"/>
  <c r="AC191" i="6"/>
  <c r="G191" i="6"/>
  <c r="E190" i="6"/>
  <c r="B191" i="6"/>
  <c r="O176" i="6"/>
  <c r="I4523" i="18" s="1"/>
  <c r="H3452" i="18"/>
  <c r="J190" i="6"/>
  <c r="D190" i="6" s="1"/>
  <c r="C190" i="6"/>
  <c r="AD190" i="6"/>
  <c r="AC190" i="6"/>
  <c r="E187" i="6"/>
  <c r="E188" i="6" s="1"/>
  <c r="B190" i="6"/>
  <c r="J189" i="6"/>
  <c r="G189" i="6" s="1"/>
  <c r="C189" i="6"/>
  <c r="B189" i="6" s="1"/>
  <c r="AD189" i="6"/>
  <c r="AC189" i="6"/>
  <c r="D187" i="6"/>
  <c r="D188" i="6" s="1"/>
  <c r="D189" i="6" s="1"/>
  <c r="J188" i="6"/>
  <c r="C188" i="6"/>
  <c r="Q188" i="6" s="1"/>
  <c r="AD188" i="6"/>
  <c r="AC188" i="6"/>
  <c r="C187" i="6"/>
  <c r="Q187" i="6" s="1"/>
  <c r="AE187" i="6" s="1"/>
  <c r="AD187" i="6"/>
  <c r="AC187" i="6"/>
  <c r="G187" i="6"/>
  <c r="E186" i="6"/>
  <c r="B187" i="6"/>
  <c r="H13" i="87"/>
  <c r="E121" i="91" s="1"/>
  <c r="J184" i="6"/>
  <c r="C184" i="6"/>
  <c r="AD184" i="6"/>
  <c r="AC184" i="6"/>
  <c r="E181" i="6"/>
  <c r="D181" i="6"/>
  <c r="D182" i="6" s="1"/>
  <c r="D183" i="6" s="1"/>
  <c r="D184" i="6" s="1"/>
  <c r="D185" i="6" s="1"/>
  <c r="J183" i="6"/>
  <c r="G183" i="6" s="1"/>
  <c r="C183" i="6"/>
  <c r="B183" i="6" s="1"/>
  <c r="AD183" i="6"/>
  <c r="AC183" i="6"/>
  <c r="J186" i="6"/>
  <c r="C186" i="6"/>
  <c r="AD186" i="6"/>
  <c r="AC186" i="6"/>
  <c r="D186" i="6"/>
  <c r="B186" i="6"/>
  <c r="J185" i="6"/>
  <c r="G185" i="6" s="1"/>
  <c r="C185" i="6"/>
  <c r="B185" i="6" s="1"/>
  <c r="AD185" i="6"/>
  <c r="AC185" i="6"/>
  <c r="J182" i="6"/>
  <c r="C182" i="6"/>
  <c r="Q182" i="6" s="1"/>
  <c r="AD182" i="6"/>
  <c r="AC182" i="6"/>
  <c r="C181" i="6"/>
  <c r="Q181" i="6" s="1"/>
  <c r="AE181" i="6" s="1"/>
  <c r="AD181" i="6"/>
  <c r="AC181" i="6"/>
  <c r="G181" i="6"/>
  <c r="E180" i="6"/>
  <c r="B181" i="6"/>
  <c r="E122" i="91"/>
  <c r="G7" i="87"/>
  <c r="H7" i="87" s="1"/>
  <c r="G16" i="87"/>
  <c r="H16" i="87" s="1"/>
  <c r="E8" i="88" s="1"/>
  <c r="F8" i="88" s="1"/>
  <c r="H8" i="88" s="1"/>
  <c r="AD180" i="6"/>
  <c r="AC180" i="6"/>
  <c r="C180" i="6"/>
  <c r="Q180" i="6" s="1"/>
  <c r="J180" i="6"/>
  <c r="G180" i="6" s="1"/>
  <c r="B180" i="6"/>
  <c r="AD179" i="6"/>
  <c r="AC179" i="6"/>
  <c r="J179" i="6"/>
  <c r="G179" i="6" s="1"/>
  <c r="C179" i="6"/>
  <c r="AD178" i="6"/>
  <c r="AC178" i="6"/>
  <c r="J178" i="6"/>
  <c r="G178" i="6" s="1"/>
  <c r="C178" i="6"/>
  <c r="C177" i="6"/>
  <c r="C176" i="6"/>
  <c r="R176" i="6" s="1"/>
  <c r="AD175" i="6"/>
  <c r="AC175" i="6"/>
  <c r="D175" i="6"/>
  <c r="E175" i="6"/>
  <c r="C175" i="6"/>
  <c r="B175" i="6"/>
  <c r="G175" i="6"/>
  <c r="AD174" i="6"/>
  <c r="AC174" i="6"/>
  <c r="J174" i="6"/>
  <c r="D174" i="6" s="1"/>
  <c r="E174" i="6"/>
  <c r="C174" i="6"/>
  <c r="B174" i="6"/>
  <c r="AD173" i="6"/>
  <c r="AC173" i="6"/>
  <c r="J173" i="6"/>
  <c r="G173" i="6" s="1"/>
  <c r="C173" i="6"/>
  <c r="R173" i="6" s="1"/>
  <c r="AD172" i="6"/>
  <c r="AC172" i="6"/>
  <c r="J172" i="6"/>
  <c r="G172" i="6" s="1"/>
  <c r="C172" i="6"/>
  <c r="R172" i="6" s="1"/>
  <c r="J168" i="6"/>
  <c r="G168" i="6" s="1"/>
  <c r="AD170" i="6"/>
  <c r="AC170" i="6"/>
  <c r="J170" i="6"/>
  <c r="G170" i="6" s="1"/>
  <c r="E170" i="6"/>
  <c r="C170" i="6"/>
  <c r="B170" i="6"/>
  <c r="AD169" i="6"/>
  <c r="AC169" i="6"/>
  <c r="J169" i="6"/>
  <c r="C169" i="6"/>
  <c r="R169" i="6" s="1"/>
  <c r="AD168" i="6"/>
  <c r="AC168" i="6"/>
  <c r="C168" i="6"/>
  <c r="R168" i="6" s="1"/>
  <c r="AD171" i="6"/>
  <c r="AC171" i="6"/>
  <c r="G171" i="6"/>
  <c r="E171" i="6"/>
  <c r="D171" i="6"/>
  <c r="D172" i="6" s="1"/>
  <c r="D173" i="6" s="1"/>
  <c r="C171" i="6"/>
  <c r="B171" i="6"/>
  <c r="AD167" i="6"/>
  <c r="AC167" i="6"/>
  <c r="G167" i="6"/>
  <c r="E167" i="6"/>
  <c r="E168" i="6" s="1"/>
  <c r="E169" i="6" s="1"/>
  <c r="D167" i="6"/>
  <c r="D168" i="6" s="1"/>
  <c r="D169" i="6" s="1"/>
  <c r="C167" i="6"/>
  <c r="Q167" i="6" s="1"/>
  <c r="AE167" i="6" s="1"/>
  <c r="B167" i="6"/>
  <c r="H3732" i="18"/>
  <c r="AD158" i="6"/>
  <c r="AC158" i="6"/>
  <c r="G158" i="6"/>
  <c r="E158" i="6"/>
  <c r="E159" i="6" s="1"/>
  <c r="D158" i="6"/>
  <c r="D159" i="6" s="1"/>
  <c r="D160" i="6" s="1"/>
  <c r="D161" i="6" s="1"/>
  <c r="C158" i="6"/>
  <c r="Q158" i="6" s="1"/>
  <c r="AE158" i="6" s="1"/>
  <c r="B158" i="6"/>
  <c r="AD157" i="6"/>
  <c r="AC157" i="6"/>
  <c r="J157" i="6"/>
  <c r="G157" i="6" s="1"/>
  <c r="E157" i="6"/>
  <c r="C157" i="6"/>
  <c r="R157" i="6" s="1"/>
  <c r="B157" i="6"/>
  <c r="AD162" i="6"/>
  <c r="AC162" i="6"/>
  <c r="J162" i="6"/>
  <c r="G162" i="6" s="1"/>
  <c r="E162" i="6"/>
  <c r="C162" i="6"/>
  <c r="Q162" i="6" s="1"/>
  <c r="B162" i="6"/>
  <c r="AD161" i="6"/>
  <c r="AC161" i="6"/>
  <c r="J161" i="6"/>
  <c r="G161" i="6" s="1"/>
  <c r="C161" i="6"/>
  <c r="R161" i="6" s="1"/>
  <c r="AD166" i="6"/>
  <c r="AC166" i="6"/>
  <c r="J166" i="6"/>
  <c r="G166" i="6" s="1"/>
  <c r="E166" i="6"/>
  <c r="C166" i="6"/>
  <c r="B166" i="6"/>
  <c r="AD165" i="6"/>
  <c r="AC165" i="6"/>
  <c r="J165" i="6"/>
  <c r="G165" i="6" s="1"/>
  <c r="C165" i="6"/>
  <c r="R165" i="6" s="1"/>
  <c r="AD164" i="6"/>
  <c r="AC164" i="6"/>
  <c r="J164" i="6"/>
  <c r="G164" i="6" s="1"/>
  <c r="C164" i="6"/>
  <c r="R164" i="6" s="1"/>
  <c r="AD163" i="6"/>
  <c r="AC163" i="6"/>
  <c r="D163" i="6"/>
  <c r="D164" i="6" s="1"/>
  <c r="D165" i="6" s="1"/>
  <c r="G163" i="6"/>
  <c r="E163" i="6"/>
  <c r="E164" i="6" s="1"/>
  <c r="C163" i="6"/>
  <c r="B163" i="6"/>
  <c r="AD160" i="6"/>
  <c r="AC160" i="6"/>
  <c r="J160" i="6"/>
  <c r="G160" i="6" s="1"/>
  <c r="C160" i="6"/>
  <c r="Q160" i="6" s="1"/>
  <c r="AD159" i="6"/>
  <c r="AC159" i="6"/>
  <c r="J159" i="6"/>
  <c r="C159" i="6"/>
  <c r="Q159" i="6" s="1"/>
  <c r="AD156" i="6"/>
  <c r="AC156" i="6"/>
  <c r="J156" i="6"/>
  <c r="G156" i="6" s="1"/>
  <c r="C156" i="6"/>
  <c r="B156" i="6" s="1"/>
  <c r="AD155" i="6"/>
  <c r="AC155" i="6"/>
  <c r="J155" i="6"/>
  <c r="G155" i="6" s="1"/>
  <c r="C155" i="6"/>
  <c r="B155" i="6" s="1"/>
  <c r="AD154" i="6"/>
  <c r="AC154" i="6"/>
  <c r="J154" i="6"/>
  <c r="G154" i="6" s="1"/>
  <c r="C154" i="6"/>
  <c r="Q154" i="6" s="1"/>
  <c r="AD152" i="6"/>
  <c r="AC152" i="6"/>
  <c r="J152" i="6"/>
  <c r="D152" i="6" s="1"/>
  <c r="E152" i="6"/>
  <c r="C152" i="6"/>
  <c r="Q152" i="6" s="1"/>
  <c r="B152" i="6"/>
  <c r="AD151" i="6"/>
  <c r="AC151" i="6"/>
  <c r="J151" i="6"/>
  <c r="G151" i="6" s="1"/>
  <c r="C151" i="6"/>
  <c r="R151" i="6" s="1"/>
  <c r="AD150" i="6"/>
  <c r="AC150" i="6"/>
  <c r="J150" i="6"/>
  <c r="G150" i="6" s="1"/>
  <c r="C150" i="6"/>
  <c r="R150" i="6" s="1"/>
  <c r="AD149" i="6"/>
  <c r="AC149" i="6"/>
  <c r="J149" i="6"/>
  <c r="G149" i="6" s="1"/>
  <c r="C149" i="6"/>
  <c r="R149" i="6" s="1"/>
  <c r="AD146" i="6"/>
  <c r="AC146" i="6"/>
  <c r="J146" i="6"/>
  <c r="C146" i="6"/>
  <c r="R146" i="6" s="1"/>
  <c r="AD145" i="6"/>
  <c r="AC145" i="6"/>
  <c r="J145" i="6"/>
  <c r="C145" i="6"/>
  <c r="Q145" i="6" s="1"/>
  <c r="AD148" i="6"/>
  <c r="AC148" i="6"/>
  <c r="E148" i="6"/>
  <c r="D148" i="6"/>
  <c r="D149" i="6" s="1"/>
  <c r="D150" i="6" s="1"/>
  <c r="D151" i="6" s="1"/>
  <c r="C148" i="6"/>
  <c r="Q148" i="6" s="1"/>
  <c r="AE148" i="6" s="1"/>
  <c r="B148" i="6"/>
  <c r="AD147" i="6"/>
  <c r="AC147" i="6"/>
  <c r="J147" i="6"/>
  <c r="E147" i="6"/>
  <c r="C147" i="6"/>
  <c r="R147" i="6" s="1"/>
  <c r="B147" i="6"/>
  <c r="AD144" i="6"/>
  <c r="AC144" i="6"/>
  <c r="J144" i="6"/>
  <c r="C144" i="6"/>
  <c r="R144" i="6" s="1"/>
  <c r="AD133" i="6"/>
  <c r="AC133" i="6"/>
  <c r="E133" i="6"/>
  <c r="D133" i="6"/>
  <c r="D134" i="6" s="1"/>
  <c r="D135" i="6" s="1"/>
  <c r="D136" i="6" s="1"/>
  <c r="C133" i="6"/>
  <c r="R133" i="6" s="1"/>
  <c r="B133" i="6"/>
  <c r="AD132" i="6"/>
  <c r="AC132" i="6"/>
  <c r="J132" i="6"/>
  <c r="D132" i="6" s="1"/>
  <c r="E132" i="6"/>
  <c r="C132" i="6"/>
  <c r="Q132" i="6" s="1"/>
  <c r="B132" i="6"/>
  <c r="AD131" i="6"/>
  <c r="AC131" i="6"/>
  <c r="J131" i="6"/>
  <c r="G131" i="6" s="1"/>
  <c r="C131" i="6"/>
  <c r="B131" i="6" s="1"/>
  <c r="AD130" i="6"/>
  <c r="AC130" i="6"/>
  <c r="J130" i="6"/>
  <c r="G130" i="6" s="1"/>
  <c r="C130" i="6"/>
  <c r="Q130" i="6" s="1"/>
  <c r="AD129" i="6"/>
  <c r="AC129" i="6"/>
  <c r="J129" i="6"/>
  <c r="G129" i="6" s="1"/>
  <c r="C129" i="6"/>
  <c r="Q129" i="6" s="1"/>
  <c r="AD137" i="6"/>
  <c r="AC137" i="6"/>
  <c r="J137" i="6"/>
  <c r="D137" i="6" s="1"/>
  <c r="E137" i="6"/>
  <c r="C137" i="6"/>
  <c r="Q137" i="6" s="1"/>
  <c r="B137" i="6"/>
  <c r="AD136" i="6"/>
  <c r="AC136" i="6"/>
  <c r="J136" i="6"/>
  <c r="C136" i="6"/>
  <c r="R136" i="6" s="1"/>
  <c r="AD135" i="6"/>
  <c r="AC135" i="6"/>
  <c r="J135" i="6"/>
  <c r="G135" i="6" s="1"/>
  <c r="C135" i="6"/>
  <c r="B135" i="6" s="1"/>
  <c r="AD134" i="6"/>
  <c r="AC134" i="6"/>
  <c r="J134" i="6"/>
  <c r="G134" i="6" s="1"/>
  <c r="C134" i="6"/>
  <c r="B134" i="6" s="1"/>
  <c r="AD141" i="6"/>
  <c r="AC141" i="6"/>
  <c r="J141" i="6"/>
  <c r="G141" i="6" s="1"/>
  <c r="C141" i="6"/>
  <c r="R141" i="6" s="1"/>
  <c r="AD140" i="6"/>
  <c r="AC140" i="6"/>
  <c r="J140" i="6"/>
  <c r="G140" i="6" s="1"/>
  <c r="C140" i="6"/>
  <c r="R140" i="6" s="1"/>
  <c r="AD139" i="6"/>
  <c r="AC139" i="6"/>
  <c r="J139" i="6"/>
  <c r="G139" i="6" s="1"/>
  <c r="C139" i="6"/>
  <c r="R139" i="6" s="1"/>
  <c r="AD138" i="6"/>
  <c r="AC138" i="6"/>
  <c r="G138" i="6"/>
  <c r="E138" i="6"/>
  <c r="E139" i="6" s="1"/>
  <c r="D138" i="6"/>
  <c r="D139" i="6" s="1"/>
  <c r="D140" i="6" s="1"/>
  <c r="D141" i="6" s="1"/>
  <c r="C138" i="6"/>
  <c r="Q138" i="6" s="1"/>
  <c r="AE138" i="6" s="1"/>
  <c r="B138" i="6"/>
  <c r="AD143" i="6"/>
  <c r="AC143" i="6"/>
  <c r="E143" i="6"/>
  <c r="F143" i="6" s="1"/>
  <c r="D143" i="6"/>
  <c r="D144" i="6" s="1"/>
  <c r="D145" i="6" s="1"/>
  <c r="D146" i="6" s="1"/>
  <c r="C143" i="6"/>
  <c r="Q143" i="6" s="1"/>
  <c r="AE143" i="6" s="1"/>
  <c r="B143" i="6"/>
  <c r="AD142" i="6"/>
  <c r="AC142" i="6"/>
  <c r="J142" i="6"/>
  <c r="D142" i="6" s="1"/>
  <c r="E142" i="6"/>
  <c r="C142" i="6"/>
  <c r="Q142" i="6" s="1"/>
  <c r="B142" i="6"/>
  <c r="AD153" i="6"/>
  <c r="AC153" i="6"/>
  <c r="G153" i="6"/>
  <c r="E153" i="6"/>
  <c r="D153" i="6"/>
  <c r="D154" i="6" s="1"/>
  <c r="D155" i="6" s="1"/>
  <c r="D156" i="6" s="1"/>
  <c r="C153" i="6"/>
  <c r="Q153" i="6" s="1"/>
  <c r="AE153" i="6" s="1"/>
  <c r="B153" i="6"/>
  <c r="G147" i="6"/>
  <c r="G148" i="6"/>
  <c r="G133" i="6"/>
  <c r="G143" i="6"/>
  <c r="H4463" i="18"/>
  <c r="H4675" i="18"/>
  <c r="AD128" i="6"/>
  <c r="AC128" i="6"/>
  <c r="E128" i="6"/>
  <c r="D128" i="6"/>
  <c r="D129" i="6" s="1"/>
  <c r="D130" i="6" s="1"/>
  <c r="D131" i="6" s="1"/>
  <c r="C128" i="6"/>
  <c r="Q128" i="6" s="1"/>
  <c r="AE128" i="6" s="1"/>
  <c r="B128" i="6"/>
  <c r="AD127" i="6"/>
  <c r="AC127" i="6"/>
  <c r="J127" i="6"/>
  <c r="G127" i="6" s="1"/>
  <c r="E127" i="6"/>
  <c r="C127" i="6"/>
  <c r="R127" i="6" s="1"/>
  <c r="B127" i="6"/>
  <c r="AD125" i="6"/>
  <c r="AC125" i="6"/>
  <c r="J125" i="6"/>
  <c r="C125" i="6"/>
  <c r="R125" i="6" s="1"/>
  <c r="AD124" i="6"/>
  <c r="AC124" i="6"/>
  <c r="G124" i="6"/>
  <c r="E124" i="6"/>
  <c r="E125" i="6" s="1"/>
  <c r="C124" i="6"/>
  <c r="R124" i="6" s="1"/>
  <c r="B124" i="6"/>
  <c r="AD123" i="6"/>
  <c r="AC123" i="6"/>
  <c r="J123" i="6"/>
  <c r="D123" i="6" s="1"/>
  <c r="E123" i="6"/>
  <c r="C123" i="6"/>
  <c r="R123" i="6" s="1"/>
  <c r="B123" i="6"/>
  <c r="AD122" i="6"/>
  <c r="AC122" i="6"/>
  <c r="J122" i="6"/>
  <c r="C122" i="6"/>
  <c r="R122" i="6" s="1"/>
  <c r="AD121" i="6"/>
  <c r="AC121" i="6"/>
  <c r="J121" i="6"/>
  <c r="G121" i="6" s="1"/>
  <c r="C121" i="6"/>
  <c r="Q121" i="6" s="1"/>
  <c r="AD126" i="6"/>
  <c r="AC126" i="6"/>
  <c r="J126" i="6"/>
  <c r="G126" i="6" s="1"/>
  <c r="C126" i="6"/>
  <c r="B126" i="6" s="1"/>
  <c r="AD117" i="6"/>
  <c r="AC117" i="6"/>
  <c r="J117" i="6"/>
  <c r="G117" i="6" s="1"/>
  <c r="C117" i="6"/>
  <c r="R117" i="6" s="1"/>
  <c r="AD116" i="6"/>
  <c r="AC116" i="6"/>
  <c r="J116" i="6"/>
  <c r="C116" i="6"/>
  <c r="R116" i="6" s="1"/>
  <c r="AD115" i="6"/>
  <c r="AC115" i="6"/>
  <c r="D115" i="6"/>
  <c r="D116" i="6" s="1"/>
  <c r="D117" i="6" s="1"/>
  <c r="D118" i="6" s="1"/>
  <c r="E115" i="6"/>
  <c r="F115" i="6" s="1"/>
  <c r="C115" i="6"/>
  <c r="R115" i="6" s="1"/>
  <c r="B115" i="6"/>
  <c r="AD114" i="6"/>
  <c r="AC114" i="6"/>
  <c r="J114" i="6"/>
  <c r="G114" i="6" s="1"/>
  <c r="E114" i="6"/>
  <c r="C114" i="6"/>
  <c r="R114" i="6" s="1"/>
  <c r="B114" i="6"/>
  <c r="AD113" i="6"/>
  <c r="AC113" i="6"/>
  <c r="J113" i="6"/>
  <c r="G113" i="6" s="1"/>
  <c r="C113" i="6"/>
  <c r="R113" i="6" s="1"/>
  <c r="AD112" i="6"/>
  <c r="AC112" i="6"/>
  <c r="J112" i="6"/>
  <c r="G112" i="6" s="1"/>
  <c r="C112" i="6"/>
  <c r="B112" i="6" s="1"/>
  <c r="AD111" i="6"/>
  <c r="AC111" i="6"/>
  <c r="J111" i="6"/>
  <c r="C111" i="6"/>
  <c r="B111" i="6" s="1"/>
  <c r="AD120" i="6"/>
  <c r="AC120" i="6"/>
  <c r="G120" i="6"/>
  <c r="E120" i="6"/>
  <c r="F120" i="6" s="1"/>
  <c r="D120" i="6"/>
  <c r="D121" i="6" s="1"/>
  <c r="D122" i="6" s="1"/>
  <c r="C120" i="6"/>
  <c r="Q120" i="6" s="1"/>
  <c r="AE120" i="6" s="1"/>
  <c r="B120" i="6"/>
  <c r="AD119" i="6"/>
  <c r="AC119" i="6"/>
  <c r="J119" i="6"/>
  <c r="D119" i="6" s="1"/>
  <c r="E119" i="6"/>
  <c r="C119" i="6"/>
  <c r="R119" i="6" s="1"/>
  <c r="B119" i="6"/>
  <c r="AD118" i="6"/>
  <c r="AC118" i="6"/>
  <c r="J118" i="6"/>
  <c r="C118" i="6"/>
  <c r="B118" i="6" s="1"/>
  <c r="AD110" i="6"/>
  <c r="AC110" i="6"/>
  <c r="G110" i="6"/>
  <c r="E110" i="6"/>
  <c r="C110" i="6"/>
  <c r="R110" i="6" s="1"/>
  <c r="B110" i="6"/>
  <c r="AD109" i="6"/>
  <c r="AC109" i="6"/>
  <c r="J109" i="6"/>
  <c r="G109" i="6" s="1"/>
  <c r="E109" i="6"/>
  <c r="C109" i="6"/>
  <c r="R109" i="6" s="1"/>
  <c r="B109" i="6"/>
  <c r="G128" i="6"/>
  <c r="D124" i="6"/>
  <c r="D125" i="6" s="1"/>
  <c r="D126" i="6" s="1"/>
  <c r="G115" i="6"/>
  <c r="D110" i="6"/>
  <c r="D111" i="6" s="1"/>
  <c r="D112" i="6" s="1"/>
  <c r="D113" i="6" s="1"/>
  <c r="I347" i="18"/>
  <c r="AD108" i="6"/>
  <c r="AC108" i="6"/>
  <c r="J108" i="6"/>
  <c r="G108" i="6" s="1"/>
  <c r="C108" i="6"/>
  <c r="Q108" i="6" s="1"/>
  <c r="AD107" i="6"/>
  <c r="AC107" i="6"/>
  <c r="J107" i="6"/>
  <c r="G107" i="6" s="1"/>
  <c r="C107" i="6"/>
  <c r="Q107" i="6" s="1"/>
  <c r="E189" i="91"/>
  <c r="E39" i="8" s="1"/>
  <c r="F687" i="5" s="1"/>
  <c r="J6237" i="18"/>
  <c r="I6230" i="18"/>
  <c r="I6238" i="18" s="1"/>
  <c r="E54" i="91"/>
  <c r="E160" i="91"/>
  <c r="E287" i="91" s="1"/>
  <c r="E290" i="91" s="1"/>
  <c r="E57" i="8" s="1"/>
  <c r="F705" i="5" s="1"/>
  <c r="E152" i="91"/>
  <c r="E246" i="91" s="1"/>
  <c r="E76" i="8"/>
  <c r="E151" i="91"/>
  <c r="E243" i="91" s="1"/>
  <c r="E75" i="8"/>
  <c r="E240" i="91"/>
  <c r="E157" i="91"/>
  <c r="E239" i="91"/>
  <c r="E145" i="91"/>
  <c r="H2676" i="18"/>
  <c r="E142" i="91"/>
  <c r="E231" i="91" s="1"/>
  <c r="P2676" i="18"/>
  <c r="E138" i="91"/>
  <c r="E227" i="91" s="1"/>
  <c r="E74" i="8"/>
  <c r="AD105" i="6"/>
  <c r="AC105" i="6"/>
  <c r="E105" i="6"/>
  <c r="E106" i="6" s="1"/>
  <c r="D105" i="6"/>
  <c r="D106" i="6" s="1"/>
  <c r="D107" i="6" s="1"/>
  <c r="D108" i="6" s="1"/>
  <c r="C105" i="6"/>
  <c r="Q105" i="6" s="1"/>
  <c r="AE105" i="6" s="1"/>
  <c r="B105" i="6"/>
  <c r="AD104" i="6"/>
  <c r="AC104" i="6"/>
  <c r="J104" i="6"/>
  <c r="D104" i="6" s="1"/>
  <c r="E104" i="6"/>
  <c r="C104" i="6"/>
  <c r="R104" i="6" s="1"/>
  <c r="B104" i="6"/>
  <c r="AD103" i="6"/>
  <c r="AC103" i="6"/>
  <c r="J103" i="6"/>
  <c r="G103" i="6" s="1"/>
  <c r="C103" i="6"/>
  <c r="R103" i="6" s="1"/>
  <c r="AD102" i="6"/>
  <c r="AC102" i="6"/>
  <c r="J102" i="6"/>
  <c r="G102" i="6" s="1"/>
  <c r="C102" i="6"/>
  <c r="B102" i="6" s="1"/>
  <c r="E64" i="91"/>
  <c r="E63" i="91"/>
  <c r="E12" i="91"/>
  <c r="G105" i="6"/>
  <c r="AD106" i="6"/>
  <c r="AC106" i="6"/>
  <c r="J106" i="6"/>
  <c r="G106" i="6" s="1"/>
  <c r="C106" i="6"/>
  <c r="R106" i="6" s="1"/>
  <c r="AD101" i="6"/>
  <c r="AC101" i="6"/>
  <c r="D101" i="6"/>
  <c r="D102" i="6" s="1"/>
  <c r="D103" i="6" s="1"/>
  <c r="E101" i="6"/>
  <c r="E102" i="6" s="1"/>
  <c r="F102" i="6" s="1"/>
  <c r="C101" i="6"/>
  <c r="R101" i="6" s="1"/>
  <c r="B101" i="6"/>
  <c r="AD100" i="6"/>
  <c r="AC100" i="6"/>
  <c r="J100" i="6"/>
  <c r="D100" i="6" s="1"/>
  <c r="E100" i="6"/>
  <c r="C100" i="6"/>
  <c r="Q100" i="6" s="1"/>
  <c r="B100" i="6"/>
  <c r="G101" i="6"/>
  <c r="AD99" i="6"/>
  <c r="AC99" i="6"/>
  <c r="C99" i="6"/>
  <c r="Q99" i="6" s="1"/>
  <c r="AE99" i="6" s="1"/>
  <c r="AD98" i="6"/>
  <c r="AC98" i="6"/>
  <c r="C98" i="6"/>
  <c r="J97" i="6"/>
  <c r="G97" i="6" s="1"/>
  <c r="C97" i="6"/>
  <c r="Q97" i="6" s="1"/>
  <c r="C96" i="6"/>
  <c r="AD95" i="6"/>
  <c r="AC95" i="6"/>
  <c r="D95" i="6"/>
  <c r="E95" i="6"/>
  <c r="C95" i="6"/>
  <c r="Q95" i="6" s="1"/>
  <c r="AE95" i="6" s="1"/>
  <c r="B95" i="6"/>
  <c r="G98" i="6"/>
  <c r="G99" i="6"/>
  <c r="G95" i="6"/>
  <c r="C41" i="89"/>
  <c r="L25" i="87"/>
  <c r="C13" i="89"/>
  <c r="L21" i="87"/>
  <c r="C11" i="89"/>
  <c r="G6" i="89"/>
  <c r="G7" i="89"/>
  <c r="C20" i="89"/>
  <c r="D16" i="88"/>
  <c r="C16" i="88"/>
  <c r="G16" i="88"/>
  <c r="E12" i="88"/>
  <c r="E10" i="88"/>
  <c r="C12" i="88"/>
  <c r="J12" i="88"/>
  <c r="C11" i="88"/>
  <c r="D11" i="88"/>
  <c r="C10" i="88"/>
  <c r="D10" i="88"/>
  <c r="C9" i="88"/>
  <c r="D9" i="88"/>
  <c r="F12" i="88"/>
  <c r="H12" i="88"/>
  <c r="F10" i="88"/>
  <c r="D12" i="88"/>
  <c r="E293" i="91"/>
  <c r="E295" i="91" s="1"/>
  <c r="E59" i="8" s="1"/>
  <c r="E278" i="91"/>
  <c r="E54" i="8" s="1"/>
  <c r="F702" i="5" s="1"/>
  <c r="M13" i="72"/>
  <c r="E14" i="91"/>
  <c r="E84" i="91"/>
  <c r="E285" i="91"/>
  <c r="E56" i="8" s="1"/>
  <c r="F704" i="5" s="1"/>
  <c r="E274" i="91"/>
  <c r="E53" i="8" s="1"/>
  <c r="E269" i="91"/>
  <c r="E51" i="8" s="1"/>
  <c r="F699" i="5" s="1"/>
  <c r="E264" i="91"/>
  <c r="E47" i="8" s="1"/>
  <c r="F695" i="5" s="1"/>
  <c r="E262" i="91"/>
  <c r="E46" i="8" s="1"/>
  <c r="F694" i="5" s="1"/>
  <c r="E259" i="91"/>
  <c r="E44" i="8" s="1"/>
  <c r="F692" i="5" s="1"/>
  <c r="E251" i="91"/>
  <c r="E250" i="91"/>
  <c r="E249" i="91"/>
  <c r="E248" i="91"/>
  <c r="E244" i="91"/>
  <c r="E233" i="91"/>
  <c r="E232" i="91"/>
  <c r="E230" i="91"/>
  <c r="E229" i="91"/>
  <c r="E228" i="91"/>
  <c r="E196" i="91"/>
  <c r="E41" i="8" s="1"/>
  <c r="F689" i="5" s="1"/>
  <c r="E193" i="91"/>
  <c r="E40" i="8" s="1"/>
  <c r="F688" i="5" s="1"/>
  <c r="E180" i="91"/>
  <c r="E38" i="8" s="1"/>
  <c r="F686" i="5" s="1"/>
  <c r="E171" i="91"/>
  <c r="E37" i="8" s="1"/>
  <c r="E124" i="91"/>
  <c r="E123" i="91"/>
  <c r="E116" i="91"/>
  <c r="E115" i="91"/>
  <c r="E110" i="91"/>
  <c r="E108" i="91"/>
  <c r="E100" i="91"/>
  <c r="E99" i="91"/>
  <c r="E95" i="91"/>
  <c r="E93" i="91"/>
  <c r="E86" i="91"/>
  <c r="E85" i="91"/>
  <c r="E83" i="91"/>
  <c r="E21" i="91"/>
  <c r="E25" i="91" s="1"/>
  <c r="E21" i="8" s="1"/>
  <c r="F669" i="5" s="1"/>
  <c r="M14" i="91"/>
  <c r="H24" i="87"/>
  <c r="L24" i="87" s="1"/>
  <c r="C10" i="89" s="1"/>
  <c r="H4711" i="18"/>
  <c r="H4643" i="18"/>
  <c r="H4462" i="18"/>
  <c r="O91" i="6"/>
  <c r="AD91" i="6" s="1"/>
  <c r="AD94" i="6"/>
  <c r="AC94" i="6"/>
  <c r="J94" i="6"/>
  <c r="D94" i="6" s="1"/>
  <c r="E94" i="6"/>
  <c r="C94" i="6"/>
  <c r="B94" i="6"/>
  <c r="AD93" i="6"/>
  <c r="AC93" i="6"/>
  <c r="J93" i="6"/>
  <c r="G93" i="6" s="1"/>
  <c r="C93" i="6"/>
  <c r="B93" i="6" s="1"/>
  <c r="AD92" i="6"/>
  <c r="AC92" i="6"/>
  <c r="J92" i="6"/>
  <c r="G92" i="6" s="1"/>
  <c r="C92" i="6"/>
  <c r="R92" i="6" s="1"/>
  <c r="AC91" i="6"/>
  <c r="C91" i="6"/>
  <c r="R91" i="6" s="1"/>
  <c r="AD90" i="6"/>
  <c r="AC90" i="6"/>
  <c r="D90" i="6"/>
  <c r="D91" i="6" s="1"/>
  <c r="D92" i="6" s="1"/>
  <c r="D93" i="6" s="1"/>
  <c r="E90" i="6"/>
  <c r="C90" i="6"/>
  <c r="B90" i="6"/>
  <c r="J1957" i="18"/>
  <c r="G90" i="6"/>
  <c r="J1267" i="18"/>
  <c r="J1266" i="18"/>
  <c r="I1229" i="18"/>
  <c r="J1086" i="18"/>
  <c r="J1085" i="18"/>
  <c r="I1052" i="18"/>
  <c r="J1032" i="18"/>
  <c r="J1033" i="18"/>
  <c r="J1031" i="18"/>
  <c r="C8" i="88"/>
  <c r="D8" i="88"/>
  <c r="C7" i="88"/>
  <c r="AD89" i="6"/>
  <c r="AC89" i="6"/>
  <c r="J89" i="6"/>
  <c r="G89" i="6" s="1"/>
  <c r="E89" i="6"/>
  <c r="C89" i="6"/>
  <c r="R89" i="6" s="1"/>
  <c r="B89" i="6"/>
  <c r="AD88" i="6"/>
  <c r="AC88" i="6"/>
  <c r="J88" i="6"/>
  <c r="G88" i="6" s="1"/>
  <c r="C88" i="6"/>
  <c r="B88" i="6" s="1"/>
  <c r="AD87" i="6"/>
  <c r="AC87" i="6"/>
  <c r="J87" i="6"/>
  <c r="G87" i="6" s="1"/>
  <c r="C87" i="6"/>
  <c r="R87" i="6" s="1"/>
  <c r="AD84" i="6"/>
  <c r="AC84" i="6"/>
  <c r="G84" i="6"/>
  <c r="C84" i="6"/>
  <c r="R84" i="6" s="1"/>
  <c r="AD83" i="6"/>
  <c r="AC83" i="6"/>
  <c r="G83" i="6"/>
  <c r="C83" i="6"/>
  <c r="Q83" i="6" s="1"/>
  <c r="AE83" i="6" s="1"/>
  <c r="AD82" i="6"/>
  <c r="AC82" i="6"/>
  <c r="G82" i="6"/>
  <c r="E82" i="6"/>
  <c r="E83" i="6"/>
  <c r="E84" i="6"/>
  <c r="D82" i="6"/>
  <c r="D83" i="6"/>
  <c r="D84" i="6"/>
  <c r="C82" i="6"/>
  <c r="Q82" i="6" s="1"/>
  <c r="AE82" i="6" s="1"/>
  <c r="B82" i="6"/>
  <c r="AD81" i="6"/>
  <c r="AC81" i="6"/>
  <c r="J81" i="6"/>
  <c r="D81" i="6" s="1"/>
  <c r="E81" i="6"/>
  <c r="C81" i="6"/>
  <c r="Q81" i="6" s="1"/>
  <c r="B81" i="6"/>
  <c r="C80" i="6"/>
  <c r="R80" i="6" s="1"/>
  <c r="C79" i="6"/>
  <c r="Q79" i="6" s="1"/>
  <c r="AD78" i="6"/>
  <c r="AC78" i="6"/>
  <c r="G78" i="6"/>
  <c r="E78" i="6"/>
  <c r="D78" i="6"/>
  <c r="C78" i="6"/>
  <c r="Q78" i="6" s="1"/>
  <c r="AE78" i="6" s="1"/>
  <c r="B78" i="6"/>
  <c r="C77" i="6"/>
  <c r="Q77" i="6" s="1"/>
  <c r="C76" i="6"/>
  <c r="R76" i="6" s="1"/>
  <c r="J73" i="6"/>
  <c r="J72" i="6"/>
  <c r="AD86" i="6"/>
  <c r="AC86" i="6"/>
  <c r="E86" i="6"/>
  <c r="D86" i="6"/>
  <c r="D87" i="6" s="1"/>
  <c r="D88" i="6" s="1"/>
  <c r="C86" i="6"/>
  <c r="Q86" i="6" s="1"/>
  <c r="AE86" i="6" s="1"/>
  <c r="B86" i="6"/>
  <c r="AD85" i="6"/>
  <c r="AC85" i="6"/>
  <c r="J85" i="6"/>
  <c r="G85" i="6" s="1"/>
  <c r="E85" i="6"/>
  <c r="C85" i="6"/>
  <c r="R85" i="6" s="1"/>
  <c r="B85" i="6"/>
  <c r="G86" i="6"/>
  <c r="I4498" i="18"/>
  <c r="N4490" i="18" s="1"/>
  <c r="O4490" i="18" s="1"/>
  <c r="O6540" i="18" s="1"/>
  <c r="H870" i="18"/>
  <c r="I877" i="18" s="1"/>
  <c r="I878" i="18"/>
  <c r="I879" i="18"/>
  <c r="I880" i="18"/>
  <c r="H4668" i="18"/>
  <c r="I638" i="18"/>
  <c r="D681" i="18"/>
  <c r="D682" i="18"/>
  <c r="D683" i="18"/>
  <c r="D684" i="18"/>
  <c r="D685" i="18"/>
  <c r="D686" i="18"/>
  <c r="D687" i="18"/>
  <c r="K687" i="18"/>
  <c r="J687" i="18"/>
  <c r="I687" i="18"/>
  <c r="H687" i="18"/>
  <c r="I439" i="18"/>
  <c r="AD75" i="6"/>
  <c r="AC75" i="6"/>
  <c r="D75" i="6"/>
  <c r="E75" i="6"/>
  <c r="F75" i="6" s="1"/>
  <c r="C75" i="6"/>
  <c r="R75" i="6" s="1"/>
  <c r="B75" i="6"/>
  <c r="AD74" i="6"/>
  <c r="AC74" i="6"/>
  <c r="J74" i="6"/>
  <c r="G74" i="6" s="1"/>
  <c r="E74" i="6"/>
  <c r="C74" i="6"/>
  <c r="R74" i="6" s="1"/>
  <c r="B74" i="6"/>
  <c r="AD73" i="6"/>
  <c r="AC73" i="6"/>
  <c r="C73" i="6"/>
  <c r="B73" i="6" s="1"/>
  <c r="AD72" i="6"/>
  <c r="AC72" i="6"/>
  <c r="C72" i="6"/>
  <c r="R72" i="6" s="1"/>
  <c r="AD71" i="6"/>
  <c r="AC71" i="6"/>
  <c r="G71" i="6"/>
  <c r="E71" i="6"/>
  <c r="E72" i="6" s="1"/>
  <c r="E73" i="6" s="1"/>
  <c r="D71" i="6"/>
  <c r="D72" i="6" s="1"/>
  <c r="D73" i="6" s="1"/>
  <c r="C71" i="6"/>
  <c r="B71" i="6"/>
  <c r="AD70" i="6"/>
  <c r="AC70" i="6"/>
  <c r="J70" i="6"/>
  <c r="D70" i="6" s="1"/>
  <c r="E70" i="6"/>
  <c r="C70" i="6"/>
  <c r="Q70" i="6" s="1"/>
  <c r="B70" i="6"/>
  <c r="AD69" i="6"/>
  <c r="AC69" i="6"/>
  <c r="C69" i="6"/>
  <c r="R69" i="6" s="1"/>
  <c r="G69" i="6"/>
  <c r="J61" i="6"/>
  <c r="G61" i="6" s="1"/>
  <c r="C61" i="6"/>
  <c r="Q61" i="6" s="1"/>
  <c r="AD61" i="6"/>
  <c r="AC61" i="6"/>
  <c r="E51" i="6"/>
  <c r="E52" i="6" s="1"/>
  <c r="D51" i="6"/>
  <c r="D52" i="6" s="1"/>
  <c r="D53" i="6" s="1"/>
  <c r="D54" i="6" s="1"/>
  <c r="D55" i="6" s="1"/>
  <c r="D56" i="6" s="1"/>
  <c r="D57" i="6" s="1"/>
  <c r="D58" i="6" s="1"/>
  <c r="D59" i="6" s="1"/>
  <c r="D60" i="6" s="1"/>
  <c r="D61" i="6" s="1"/>
  <c r="J60" i="6"/>
  <c r="C60" i="6"/>
  <c r="Q60" i="6" s="1"/>
  <c r="AD60" i="6"/>
  <c r="AC60" i="6"/>
  <c r="J59" i="6"/>
  <c r="G59" i="6" s="1"/>
  <c r="C59" i="6"/>
  <c r="Q59" i="6" s="1"/>
  <c r="AD59" i="6"/>
  <c r="AC59" i="6"/>
  <c r="J58" i="6"/>
  <c r="G58" i="6" s="1"/>
  <c r="C58" i="6"/>
  <c r="Q58" i="6" s="1"/>
  <c r="AD58" i="6"/>
  <c r="AC58" i="6"/>
  <c r="J57" i="6"/>
  <c r="C57" i="6"/>
  <c r="Q57" i="6" s="1"/>
  <c r="AD57" i="6"/>
  <c r="AC57" i="6"/>
  <c r="J56" i="6"/>
  <c r="G56" i="6" s="1"/>
  <c r="C56" i="6"/>
  <c r="Q56" i="6" s="1"/>
  <c r="AD56" i="6"/>
  <c r="AC56" i="6"/>
  <c r="J55" i="6"/>
  <c r="G55" i="6" s="1"/>
  <c r="C55" i="6"/>
  <c r="B55" i="6" s="1"/>
  <c r="AD55" i="6"/>
  <c r="AC55" i="6"/>
  <c r="J54" i="6"/>
  <c r="G54" i="6" s="1"/>
  <c r="C54" i="6"/>
  <c r="B54" i="6" s="1"/>
  <c r="AD54" i="6"/>
  <c r="AC54" i="6"/>
  <c r="J53" i="6"/>
  <c r="G53" i="6" s="1"/>
  <c r="C53" i="6"/>
  <c r="R53" i="6" s="1"/>
  <c r="AD53" i="6"/>
  <c r="AC53" i="6"/>
  <c r="J52" i="6"/>
  <c r="G52" i="6" s="1"/>
  <c r="C52" i="6"/>
  <c r="Q52" i="6" s="1"/>
  <c r="AD52" i="6"/>
  <c r="AC52" i="6"/>
  <c r="J66" i="6"/>
  <c r="G66" i="6" s="1"/>
  <c r="C66" i="6"/>
  <c r="Q66" i="6" s="1"/>
  <c r="AD66" i="6"/>
  <c r="AC66" i="6"/>
  <c r="E66" i="6"/>
  <c r="B66" i="6"/>
  <c r="J65" i="6"/>
  <c r="G65" i="6" s="1"/>
  <c r="C65" i="6"/>
  <c r="Q65" i="6" s="1"/>
  <c r="AD65" i="6"/>
  <c r="AC65" i="6"/>
  <c r="J64" i="6"/>
  <c r="G64" i="6" s="1"/>
  <c r="C64" i="6"/>
  <c r="B64" i="6" s="1"/>
  <c r="AD64" i="6"/>
  <c r="AC64" i="6"/>
  <c r="E63" i="6"/>
  <c r="F63" i="6" s="1"/>
  <c r="C63" i="6"/>
  <c r="Q63" i="6" s="1"/>
  <c r="AE63" i="6" s="1"/>
  <c r="AD63" i="6"/>
  <c r="AC63" i="6"/>
  <c r="G63" i="6"/>
  <c r="E62" i="6"/>
  <c r="D63" i="6"/>
  <c r="D64" i="6" s="1"/>
  <c r="D65" i="6" s="1"/>
  <c r="B63" i="6"/>
  <c r="J62" i="6"/>
  <c r="G62" i="6" s="1"/>
  <c r="C62" i="6"/>
  <c r="AD62" i="6"/>
  <c r="AC62" i="6"/>
  <c r="B62" i="6"/>
  <c r="C68" i="6"/>
  <c r="R68" i="6" s="1"/>
  <c r="AD68" i="6"/>
  <c r="AC68" i="6"/>
  <c r="G68" i="6"/>
  <c r="E67" i="6"/>
  <c r="F67" i="6" s="1"/>
  <c r="C67" i="6"/>
  <c r="Q67" i="6" s="1"/>
  <c r="AE67" i="6" s="1"/>
  <c r="AD67" i="6"/>
  <c r="AC67" i="6"/>
  <c r="G67" i="6"/>
  <c r="D67" i="6"/>
  <c r="D68" i="6" s="1"/>
  <c r="D69" i="6" s="1"/>
  <c r="B67" i="6"/>
  <c r="J44" i="6"/>
  <c r="G44" i="6" s="1"/>
  <c r="C44" i="6"/>
  <c r="Q44" i="6" s="1"/>
  <c r="AD44" i="6"/>
  <c r="AC44" i="6"/>
  <c r="E35" i="6"/>
  <c r="E36" i="6" s="1"/>
  <c r="D35" i="6"/>
  <c r="D36" i="6" s="1"/>
  <c r="D37" i="6" s="1"/>
  <c r="D38" i="6" s="1"/>
  <c r="D39" i="6" s="1"/>
  <c r="D40" i="6" s="1"/>
  <c r="D41" i="6" s="1"/>
  <c r="D42" i="6" s="1"/>
  <c r="D43" i="6" s="1"/>
  <c r="D44" i="6" s="1"/>
  <c r="D45" i="6" s="1"/>
  <c r="D46" i="6" s="1"/>
  <c r="D47" i="6" s="1"/>
  <c r="D48" i="6" s="1"/>
  <c r="D49" i="6" s="1"/>
  <c r="J43" i="6"/>
  <c r="G43" i="6" s="1"/>
  <c r="C43" i="6"/>
  <c r="B43" i="6" s="1"/>
  <c r="AD43" i="6"/>
  <c r="AC43" i="6"/>
  <c r="J42" i="6"/>
  <c r="G42" i="6" s="1"/>
  <c r="C42" i="6"/>
  <c r="Q42" i="6" s="1"/>
  <c r="AD42" i="6"/>
  <c r="AC42" i="6"/>
  <c r="J41" i="6"/>
  <c r="G41" i="6" s="1"/>
  <c r="C41" i="6"/>
  <c r="Q41" i="6" s="1"/>
  <c r="AD41" i="6"/>
  <c r="AC41" i="6"/>
  <c r="J40" i="6"/>
  <c r="G40" i="6" s="1"/>
  <c r="C40" i="6"/>
  <c r="Q40" i="6" s="1"/>
  <c r="AD40" i="6"/>
  <c r="AC40" i="6"/>
  <c r="J39" i="6"/>
  <c r="G39" i="6" s="1"/>
  <c r="C39" i="6"/>
  <c r="B39" i="6" s="1"/>
  <c r="AD39" i="6"/>
  <c r="AC39" i="6"/>
  <c r="J38" i="6"/>
  <c r="G38" i="6" s="1"/>
  <c r="C38" i="6"/>
  <c r="Q38" i="6" s="1"/>
  <c r="AD38" i="6"/>
  <c r="AC38" i="6"/>
  <c r="J37" i="6"/>
  <c r="G37" i="6" s="1"/>
  <c r="C37" i="6"/>
  <c r="B37" i="6" s="1"/>
  <c r="AD37" i="6"/>
  <c r="AC37" i="6"/>
  <c r="J36" i="6"/>
  <c r="G36" i="6" s="1"/>
  <c r="C36" i="6"/>
  <c r="Q36" i="6" s="1"/>
  <c r="AD36" i="6"/>
  <c r="AC36" i="6"/>
  <c r="J49" i="6"/>
  <c r="G49" i="6" s="1"/>
  <c r="C49" i="6"/>
  <c r="R49" i="6" s="1"/>
  <c r="AD49" i="6"/>
  <c r="AC49" i="6"/>
  <c r="J48" i="6"/>
  <c r="G48" i="6" s="1"/>
  <c r="C48" i="6"/>
  <c r="R48" i="6" s="1"/>
  <c r="AD48" i="6"/>
  <c r="AC48" i="6"/>
  <c r="J47" i="6"/>
  <c r="G47" i="6" s="1"/>
  <c r="C47" i="6"/>
  <c r="B47" i="6" s="1"/>
  <c r="AD47" i="6"/>
  <c r="AC47" i="6"/>
  <c r="J46" i="6"/>
  <c r="G46" i="6" s="1"/>
  <c r="C46" i="6"/>
  <c r="B46" i="6" s="1"/>
  <c r="AD46" i="6"/>
  <c r="AC46" i="6"/>
  <c r="J45" i="6"/>
  <c r="G45" i="6" s="1"/>
  <c r="C45" i="6"/>
  <c r="B45" i="6" s="1"/>
  <c r="AD45" i="6"/>
  <c r="AC45" i="6"/>
  <c r="J34" i="6"/>
  <c r="G34" i="6" s="1"/>
  <c r="C34" i="6"/>
  <c r="Q34" i="6" s="1"/>
  <c r="AD34" i="6"/>
  <c r="AC34" i="6"/>
  <c r="E34" i="6"/>
  <c r="E31" i="6"/>
  <c r="E32" i="6" s="1"/>
  <c r="F32" i="6" s="1"/>
  <c r="B34" i="6"/>
  <c r="J33" i="6"/>
  <c r="G33" i="6" s="1"/>
  <c r="C33" i="6"/>
  <c r="Q33" i="6" s="1"/>
  <c r="AD33" i="6"/>
  <c r="AC33" i="6"/>
  <c r="D31" i="6"/>
  <c r="D32" i="6" s="1"/>
  <c r="D33" i="6" s="1"/>
  <c r="C35" i="6"/>
  <c r="AD35" i="6"/>
  <c r="AC35" i="6"/>
  <c r="G35" i="6"/>
  <c r="B35" i="6"/>
  <c r="J18" i="6"/>
  <c r="G18" i="6" s="1"/>
  <c r="J3668" i="18"/>
  <c r="J3674" i="18"/>
  <c r="J3624" i="18"/>
  <c r="I3668" i="18"/>
  <c r="I3674" i="18"/>
  <c r="I3624" i="18"/>
  <c r="J12" i="6"/>
  <c r="J11" i="6"/>
  <c r="G11" i="6" s="1"/>
  <c r="M49" i="18"/>
  <c r="J49" i="18"/>
  <c r="M50" i="18"/>
  <c r="J50" i="18"/>
  <c r="M36" i="18"/>
  <c r="M35" i="18"/>
  <c r="J35" i="18"/>
  <c r="J26" i="18"/>
  <c r="M26" i="18"/>
  <c r="I4760" i="18"/>
  <c r="I4757" i="18"/>
  <c r="H3094" i="18"/>
  <c r="P3065" i="18"/>
  <c r="Y9" i="2"/>
  <c r="E95" i="8"/>
  <c r="G30" i="89"/>
  <c r="G31" i="89"/>
  <c r="G29" i="89"/>
  <c r="G32" i="89" s="1"/>
  <c r="C31" i="89" s="1"/>
  <c r="C32" i="89"/>
  <c r="G22" i="89"/>
  <c r="G16" i="89"/>
  <c r="I25" i="89"/>
  <c r="J25" i="89"/>
  <c r="C29" i="89"/>
  <c r="G9" i="89"/>
  <c r="G10" i="89"/>
  <c r="H22" i="88"/>
  <c r="E22" i="88"/>
  <c r="H20" i="88"/>
  <c r="G20" i="88"/>
  <c r="F20" i="88"/>
  <c r="E20" i="88"/>
  <c r="D20" i="88"/>
  <c r="C20" i="88"/>
  <c r="F15" i="88"/>
  <c r="H15" i="88"/>
  <c r="D15" i="88"/>
  <c r="H14" i="88"/>
  <c r="F14" i="88"/>
  <c r="D14" i="88"/>
  <c r="F13" i="88"/>
  <c r="H13" i="88"/>
  <c r="D13" i="88"/>
  <c r="D7" i="88"/>
  <c r="L27" i="87"/>
  <c r="H26" i="87"/>
  <c r="H25" i="87"/>
  <c r="H23" i="87"/>
  <c r="H22" i="87"/>
  <c r="H21" i="87"/>
  <c r="H20" i="87"/>
  <c r="H19" i="87"/>
  <c r="H18" i="87"/>
  <c r="F17" i="87"/>
  <c r="D17" i="87"/>
  <c r="K17" i="87"/>
  <c r="G14" i="87"/>
  <c r="F14" i="87"/>
  <c r="D14" i="87"/>
  <c r="K14" i="87"/>
  <c r="I11" i="87"/>
  <c r="H11" i="87"/>
  <c r="J11" i="87"/>
  <c r="K11" i="87"/>
  <c r="G11" i="87"/>
  <c r="F11" i="87"/>
  <c r="E11" i="87"/>
  <c r="D11" i="87"/>
  <c r="H10" i="87"/>
  <c r="L10" i="87"/>
  <c r="H9" i="87"/>
  <c r="G8" i="87"/>
  <c r="F8" i="87"/>
  <c r="D8" i="87"/>
  <c r="K8" i="87"/>
  <c r="E6572" i="18"/>
  <c r="E6588" i="18"/>
  <c r="E6599" i="18"/>
  <c r="E6615" i="18"/>
  <c r="O6652" i="18"/>
  <c r="O6651" i="18"/>
  <c r="O6650" i="18"/>
  <c r="O6649" i="18"/>
  <c r="O6648" i="18"/>
  <c r="O6647" i="18"/>
  <c r="O6646" i="18"/>
  <c r="O6645" i="18"/>
  <c r="O6644" i="18"/>
  <c r="O6643" i="18"/>
  <c r="O6642" i="18"/>
  <c r="O6641" i="18"/>
  <c r="O6640" i="18"/>
  <c r="O6639" i="18"/>
  <c r="O6638" i="18"/>
  <c r="O6637" i="18"/>
  <c r="O6636" i="18"/>
  <c r="O6635" i="18"/>
  <c r="O6634" i="18"/>
  <c r="O6633" i="18"/>
  <c r="O6632" i="18"/>
  <c r="O6631" i="18"/>
  <c r="O6630" i="18"/>
  <c r="O6629" i="18"/>
  <c r="O6628" i="18"/>
  <c r="O6627" i="18"/>
  <c r="O6626" i="18"/>
  <c r="O6625" i="18"/>
  <c r="O6624" i="18"/>
  <c r="O6623" i="18"/>
  <c r="E6623" i="18"/>
  <c r="L6623" i="18"/>
  <c r="O6622" i="18"/>
  <c r="L6622" i="18"/>
  <c r="E6622" i="18"/>
  <c r="O6621" i="18"/>
  <c r="L6621" i="18"/>
  <c r="E6621" i="18"/>
  <c r="O6620" i="18"/>
  <c r="L6620" i="18"/>
  <c r="E6620" i="18"/>
  <c r="O6619" i="18"/>
  <c r="E6619" i="18"/>
  <c r="L6619" i="18"/>
  <c r="O6618" i="18"/>
  <c r="L6618" i="18"/>
  <c r="E6618" i="18"/>
  <c r="O6617" i="18"/>
  <c r="L6617" i="18"/>
  <c r="E6617" i="18"/>
  <c r="O6616" i="18"/>
  <c r="L6616" i="18"/>
  <c r="E6616" i="18"/>
  <c r="O6615" i="18"/>
  <c r="L6615" i="18"/>
  <c r="O6614" i="18"/>
  <c r="L6614" i="18"/>
  <c r="E6614" i="18"/>
  <c r="O6613" i="18"/>
  <c r="L6613" i="18"/>
  <c r="E6613" i="18"/>
  <c r="O6612" i="18"/>
  <c r="L6612" i="18"/>
  <c r="E6612" i="18"/>
  <c r="O6611" i="18"/>
  <c r="E6611" i="18"/>
  <c r="L6611" i="18"/>
  <c r="O6610" i="18"/>
  <c r="L6610" i="18"/>
  <c r="E6610" i="18"/>
  <c r="O6609" i="18"/>
  <c r="L6609" i="18"/>
  <c r="E6609" i="18"/>
  <c r="O6608" i="18"/>
  <c r="L6608" i="18"/>
  <c r="E6608" i="18"/>
  <c r="O6607" i="18"/>
  <c r="E6607" i="18"/>
  <c r="L6607" i="18"/>
  <c r="O6606" i="18"/>
  <c r="L6606" i="18"/>
  <c r="E6606" i="18"/>
  <c r="O6605" i="18"/>
  <c r="L6605" i="18"/>
  <c r="E6605" i="18"/>
  <c r="O6604" i="18"/>
  <c r="L6604" i="18"/>
  <c r="E6604" i="18"/>
  <c r="O6603" i="18"/>
  <c r="E6603" i="18"/>
  <c r="L6603" i="18"/>
  <c r="O6602" i="18"/>
  <c r="L6602" i="18"/>
  <c r="E6602" i="18"/>
  <c r="O6601" i="18"/>
  <c r="L6601" i="18"/>
  <c r="E6601" i="18"/>
  <c r="O6600" i="18"/>
  <c r="L6600" i="18"/>
  <c r="E6600" i="18"/>
  <c r="O6599" i="18"/>
  <c r="L6599" i="18"/>
  <c r="O6598" i="18"/>
  <c r="L6598" i="18"/>
  <c r="E6598" i="18"/>
  <c r="O6597" i="18"/>
  <c r="L6597" i="18"/>
  <c r="E6597" i="18"/>
  <c r="O6596" i="18"/>
  <c r="L6596" i="18"/>
  <c r="E6596" i="18"/>
  <c r="O6595" i="18"/>
  <c r="E6595" i="18"/>
  <c r="L6595" i="18"/>
  <c r="O6594" i="18"/>
  <c r="L6594" i="18"/>
  <c r="E6594" i="18"/>
  <c r="O6593" i="18"/>
  <c r="L6593" i="18"/>
  <c r="O6592" i="18"/>
  <c r="L6592" i="18"/>
  <c r="E6592" i="18"/>
  <c r="O6591" i="18"/>
  <c r="L6591" i="18"/>
  <c r="O6590" i="18"/>
  <c r="L6590" i="18"/>
  <c r="E6590" i="18"/>
  <c r="O6589" i="18"/>
  <c r="L6589" i="18"/>
  <c r="O6588" i="18"/>
  <c r="L6588" i="18"/>
  <c r="O6587" i="18"/>
  <c r="L6587" i="18"/>
  <c r="O6586" i="18"/>
  <c r="L6586" i="18"/>
  <c r="E6586" i="18"/>
  <c r="O6585" i="18"/>
  <c r="L6585" i="18"/>
  <c r="O6584" i="18"/>
  <c r="L6584" i="18"/>
  <c r="E6584" i="18"/>
  <c r="O6583" i="18"/>
  <c r="L6583" i="18"/>
  <c r="O6582" i="18"/>
  <c r="L6582" i="18"/>
  <c r="E6582" i="18"/>
  <c r="O6581" i="18"/>
  <c r="L6581" i="18"/>
  <c r="O6574" i="18"/>
  <c r="L6574" i="18"/>
  <c r="E6574" i="18"/>
  <c r="O6573" i="18"/>
  <c r="L6573" i="18"/>
  <c r="O6572" i="18"/>
  <c r="L6572" i="18"/>
  <c r="O6568" i="18"/>
  <c r="L6568" i="18"/>
  <c r="O6559" i="18"/>
  <c r="L6559" i="18"/>
  <c r="O6555" i="18"/>
  <c r="L6555" i="18"/>
  <c r="O6551" i="18"/>
  <c r="L6551" i="18"/>
  <c r="O6549" i="18"/>
  <c r="L6549" i="18"/>
  <c r="O6548" i="18"/>
  <c r="L6548" i="18"/>
  <c r="E6548" i="18"/>
  <c r="O6547" i="18"/>
  <c r="L6547" i="18"/>
  <c r="O6546" i="18"/>
  <c r="L6546" i="18"/>
  <c r="O6539" i="18"/>
  <c r="L6539" i="18"/>
  <c r="O6530" i="18"/>
  <c r="L6530" i="18"/>
  <c r="O6528" i="18"/>
  <c r="L6528" i="18"/>
  <c r="O6527" i="18"/>
  <c r="L6527" i="18"/>
  <c r="O6525" i="18"/>
  <c r="L6525" i="18"/>
  <c r="O6522" i="18"/>
  <c r="L6522" i="18"/>
  <c r="O6521" i="18"/>
  <c r="L6521" i="18"/>
  <c r="O6520" i="18"/>
  <c r="L6520" i="18"/>
  <c r="O6519" i="18"/>
  <c r="L6519" i="18"/>
  <c r="O6518" i="18"/>
  <c r="L6518" i="18"/>
  <c r="L6516" i="18"/>
  <c r="L6514" i="18"/>
  <c r="O6512" i="18"/>
  <c r="L6512" i="18"/>
  <c r="O6510" i="18"/>
  <c r="L6510" i="18"/>
  <c r="O6509" i="18"/>
  <c r="L6509" i="18"/>
  <c r="E6509" i="18"/>
  <c r="O6508" i="18"/>
  <c r="E6508" i="18"/>
  <c r="L6508" i="18"/>
  <c r="O6506" i="18"/>
  <c r="L6506" i="18"/>
  <c r="O6505" i="18"/>
  <c r="L6505" i="18"/>
  <c r="E6505" i="18"/>
  <c r="O6504" i="18"/>
  <c r="L6504" i="18"/>
  <c r="O6503" i="18"/>
  <c r="L6503" i="18"/>
  <c r="E6503" i="18"/>
  <c r="O6501" i="18"/>
  <c r="L6501" i="18"/>
  <c r="E6501" i="18"/>
  <c r="O6494" i="18"/>
  <c r="L6494" i="18"/>
  <c r="O6493" i="18"/>
  <c r="L6493" i="18"/>
  <c r="E6493" i="18"/>
  <c r="O6492" i="18"/>
  <c r="L6492" i="18"/>
  <c r="O6491" i="18"/>
  <c r="O6490" i="18"/>
  <c r="O6487" i="18"/>
  <c r="L6487" i="18"/>
  <c r="E6487" i="18"/>
  <c r="O6485" i="18"/>
  <c r="L6485" i="18"/>
  <c r="E6485" i="18"/>
  <c r="O6483" i="18"/>
  <c r="L6483" i="18"/>
  <c r="E6483" i="18"/>
  <c r="O6482" i="18"/>
  <c r="L6482" i="18"/>
  <c r="O6480" i="18"/>
  <c r="L6480" i="18"/>
  <c r="O6479" i="18"/>
  <c r="L6479" i="18"/>
  <c r="E6479" i="18"/>
  <c r="O6478" i="18"/>
  <c r="L6478" i="18"/>
  <c r="O6477" i="18"/>
  <c r="L6477" i="18"/>
  <c r="E6477" i="18"/>
  <c r="O6475" i="18"/>
  <c r="L6475" i="18"/>
  <c r="E6475" i="18"/>
  <c r="O6474" i="18"/>
  <c r="L6474" i="18"/>
  <c r="O6472" i="18"/>
  <c r="L6472" i="18"/>
  <c r="O6471" i="18"/>
  <c r="O6468" i="18"/>
  <c r="L6468" i="18"/>
  <c r="O6467" i="18"/>
  <c r="O6466" i="18"/>
  <c r="L6466" i="18"/>
  <c r="L6465" i="18"/>
  <c r="O6464" i="18"/>
  <c r="O6456" i="18"/>
  <c r="L6456" i="18"/>
  <c r="O6455" i="18"/>
  <c r="L6455" i="18"/>
  <c r="E6455" i="18"/>
  <c r="O6454" i="18"/>
  <c r="L6454" i="18"/>
  <c r="O6453" i="18"/>
  <c r="L6453" i="18"/>
  <c r="E6453" i="18"/>
  <c r="O6452" i="18"/>
  <c r="L6452" i="18"/>
  <c r="O6449" i="18"/>
  <c r="L6449" i="18"/>
  <c r="E6449" i="18"/>
  <c r="O6448" i="18"/>
  <c r="L6448" i="18"/>
  <c r="O6447" i="18"/>
  <c r="L6447" i="18"/>
  <c r="E6447" i="18"/>
  <c r="O6444" i="18"/>
  <c r="E6444" i="18"/>
  <c r="L6444" i="18"/>
  <c r="O6442" i="18"/>
  <c r="L6442" i="18"/>
  <c r="O6439" i="18"/>
  <c r="L6439" i="18"/>
  <c r="E6439" i="18"/>
  <c r="O6437" i="18"/>
  <c r="L6437" i="18"/>
  <c r="E6437" i="18"/>
  <c r="O6436" i="18"/>
  <c r="L6436" i="18"/>
  <c r="O6435" i="18"/>
  <c r="L6435" i="18"/>
  <c r="E6435" i="18"/>
  <c r="O6434" i="18"/>
  <c r="L6434" i="18"/>
  <c r="O6431" i="18"/>
  <c r="L6431" i="18"/>
  <c r="E6431" i="18"/>
  <c r="O6428" i="18"/>
  <c r="O6427" i="18"/>
  <c r="L6427" i="18"/>
  <c r="E6427" i="18"/>
  <c r="O6425" i="18"/>
  <c r="L6425" i="18"/>
  <c r="E6425" i="18"/>
  <c r="O6422" i="18"/>
  <c r="L6422" i="18"/>
  <c r="O6421" i="18"/>
  <c r="L6421" i="18"/>
  <c r="E6421" i="18"/>
  <c r="O6420" i="18"/>
  <c r="L6420" i="18"/>
  <c r="E6420" i="18"/>
  <c r="O6418" i="18"/>
  <c r="L6418" i="18"/>
  <c r="O6417" i="18"/>
  <c r="L6417" i="18"/>
  <c r="E6417" i="18"/>
  <c r="O6416" i="18"/>
  <c r="O6413" i="18"/>
  <c r="L6413" i="18"/>
  <c r="E6413" i="18"/>
  <c r="O6412" i="18"/>
  <c r="E6412" i="18"/>
  <c r="L6412" i="18"/>
  <c r="O6409" i="18"/>
  <c r="L6409" i="18"/>
  <c r="E6409" i="18"/>
  <c r="O6408" i="18"/>
  <c r="L6408" i="18"/>
  <c r="O6406" i="18"/>
  <c r="L6406" i="18"/>
  <c r="O6404" i="18"/>
  <c r="L6404" i="18"/>
  <c r="O6401" i="18"/>
  <c r="L6401" i="18"/>
  <c r="E6401" i="18"/>
  <c r="O6399" i="18"/>
  <c r="L6399" i="18"/>
  <c r="E6399" i="18"/>
  <c r="O6398" i="18"/>
  <c r="L6398" i="18"/>
  <c r="O6397" i="18"/>
  <c r="L6397" i="18"/>
  <c r="E6397" i="18"/>
  <c r="O6396" i="18"/>
  <c r="L6396" i="18"/>
  <c r="O6395" i="18"/>
  <c r="L6395" i="18"/>
  <c r="E6395" i="18"/>
  <c r="O6394" i="18"/>
  <c r="L6394" i="18"/>
  <c r="O6393" i="18"/>
  <c r="L6393" i="18"/>
  <c r="E6393" i="18"/>
  <c r="O6392" i="18"/>
  <c r="L6392" i="18"/>
  <c r="O6391" i="18"/>
  <c r="L6391" i="18"/>
  <c r="E6391" i="18"/>
  <c r="O6390" i="18"/>
  <c r="L6390" i="18"/>
  <c r="O6389" i="18"/>
  <c r="O6386" i="18"/>
  <c r="L6386" i="18"/>
  <c r="O6385" i="18"/>
  <c r="L6385" i="18"/>
  <c r="E6385" i="18"/>
  <c r="O6383" i="18"/>
  <c r="L6383" i="18"/>
  <c r="E6383" i="18"/>
  <c r="O6382" i="18"/>
  <c r="L6382" i="18"/>
  <c r="O6381" i="18"/>
  <c r="L6381" i="18"/>
  <c r="E6381" i="18"/>
  <c r="O6380" i="18"/>
  <c r="E6380" i="18"/>
  <c r="L6380" i="18"/>
  <c r="O6379" i="18"/>
  <c r="L6379" i="18"/>
  <c r="E6379" i="18"/>
  <c r="O6378" i="18"/>
  <c r="L6378" i="18"/>
  <c r="O6377" i="18"/>
  <c r="L6377" i="18"/>
  <c r="E6377" i="18"/>
  <c r="O6375" i="18"/>
  <c r="L6375" i="18"/>
  <c r="E6375" i="18"/>
  <c r="O6374" i="18"/>
  <c r="L6374" i="18"/>
  <c r="O6373" i="18"/>
  <c r="L6373" i="18"/>
  <c r="E6373" i="18"/>
  <c r="O6372" i="18"/>
  <c r="L6372" i="18"/>
  <c r="O6371" i="18"/>
  <c r="L6371" i="18"/>
  <c r="E6371" i="18"/>
  <c r="O6369" i="18"/>
  <c r="L6369" i="18"/>
  <c r="E6369" i="18"/>
  <c r="O6367" i="18"/>
  <c r="L6367" i="18"/>
  <c r="E6367" i="18"/>
  <c r="O6366" i="18"/>
  <c r="L6366" i="18"/>
  <c r="O6365" i="18"/>
  <c r="L6365" i="18"/>
  <c r="E6365" i="18"/>
  <c r="O6363" i="18"/>
  <c r="L6363" i="18"/>
  <c r="E6363" i="18"/>
  <c r="O6360" i="18"/>
  <c r="L6360" i="18"/>
  <c r="O6358" i="18"/>
  <c r="L6358" i="18"/>
  <c r="O6357" i="18"/>
  <c r="L6357" i="18"/>
  <c r="E6357" i="18"/>
  <c r="O6356" i="18"/>
  <c r="L6356" i="18"/>
  <c r="O6355" i="18"/>
  <c r="L6355" i="18"/>
  <c r="E6355" i="18"/>
  <c r="O6354" i="18"/>
  <c r="L6354" i="18"/>
  <c r="O6353" i="18"/>
  <c r="L6353" i="18"/>
  <c r="E6353" i="18"/>
  <c r="O6352" i="18"/>
  <c r="L6352" i="18"/>
  <c r="O6351" i="18"/>
  <c r="L6351" i="18"/>
  <c r="E6351" i="18"/>
  <c r="O6350" i="18"/>
  <c r="L6350" i="18"/>
  <c r="O6349" i="18"/>
  <c r="L6349" i="18"/>
  <c r="E6349" i="18"/>
  <c r="O6348" i="18"/>
  <c r="E6348" i="18"/>
  <c r="L6348" i="18"/>
  <c r="O6346" i="18"/>
  <c r="L6346" i="18"/>
  <c r="O6345" i="18"/>
  <c r="L6345" i="18"/>
  <c r="E6345" i="18"/>
  <c r="O6344" i="18"/>
  <c r="O6343" i="18"/>
  <c r="L6343" i="18"/>
  <c r="E6343" i="18"/>
  <c r="L6342" i="18"/>
  <c r="L6339" i="18"/>
  <c r="O6337" i="18"/>
  <c r="L6337" i="18"/>
  <c r="E6337" i="18"/>
  <c r="O6335" i="18"/>
  <c r="L6335" i="18"/>
  <c r="E6335" i="18"/>
  <c r="O6334" i="18"/>
  <c r="L6334" i="18"/>
  <c r="O6333" i="18"/>
  <c r="L6333" i="18"/>
  <c r="E6333" i="18"/>
  <c r="L6332" i="18"/>
  <c r="O6329" i="18"/>
  <c r="L6329" i="18"/>
  <c r="E6329" i="18"/>
  <c r="O6328" i="18"/>
  <c r="L6328" i="18"/>
  <c r="O6327" i="18"/>
  <c r="L6327" i="18"/>
  <c r="E6327" i="18"/>
  <c r="O6326" i="18"/>
  <c r="L6326" i="18"/>
  <c r="O6325" i="18"/>
  <c r="L6325" i="18"/>
  <c r="E6325" i="18"/>
  <c r="O6324" i="18"/>
  <c r="L6324" i="18"/>
  <c r="O6323" i="18"/>
  <c r="L6323" i="18"/>
  <c r="E6323" i="18"/>
  <c r="O6322" i="18"/>
  <c r="L6322" i="18"/>
  <c r="O6321" i="18"/>
  <c r="L6321" i="18"/>
  <c r="E6321" i="18"/>
  <c r="O6320" i="18"/>
  <c r="L6320" i="18"/>
  <c r="O6319" i="18"/>
  <c r="L6319" i="18"/>
  <c r="E6319" i="18"/>
  <c r="O6317" i="18"/>
  <c r="L6317" i="18"/>
  <c r="E6317" i="18"/>
  <c r="O6316" i="18"/>
  <c r="O6313" i="18"/>
  <c r="L6313" i="18"/>
  <c r="E6313" i="18"/>
  <c r="O6311" i="18"/>
  <c r="L6311" i="18"/>
  <c r="E6311" i="18"/>
  <c r="O6309" i="18"/>
  <c r="L6309" i="18"/>
  <c r="E6309" i="18"/>
  <c r="O6308" i="18"/>
  <c r="L6308" i="18"/>
  <c r="E6308" i="18"/>
  <c r="O6307" i="18"/>
  <c r="L6307" i="18"/>
  <c r="E6307" i="18"/>
  <c r="O6306" i="18"/>
  <c r="L6306" i="18"/>
  <c r="O6302" i="18"/>
  <c r="O6301" i="18"/>
  <c r="L6301" i="18"/>
  <c r="E6301" i="18"/>
  <c r="O6300" i="18"/>
  <c r="L6300" i="18"/>
  <c r="E6300" i="18"/>
  <c r="O6299" i="18"/>
  <c r="L6299" i="18"/>
  <c r="E6299" i="18"/>
  <c r="O6298" i="18"/>
  <c r="L6298" i="18"/>
  <c r="O6297" i="18"/>
  <c r="L6297" i="18"/>
  <c r="E6297" i="18"/>
  <c r="O6296" i="18"/>
  <c r="L6296" i="18"/>
  <c r="O6295" i="18"/>
  <c r="L6295" i="18"/>
  <c r="E6295" i="18"/>
  <c r="O6294" i="18"/>
  <c r="L6294" i="18"/>
  <c r="O6292" i="18"/>
  <c r="L6292" i="18"/>
  <c r="O6291" i="18"/>
  <c r="L6291" i="18"/>
  <c r="E6291" i="18"/>
  <c r="O6290" i="18"/>
  <c r="O6289" i="18"/>
  <c r="L6289" i="18"/>
  <c r="E6289" i="18"/>
  <c r="L6288" i="18"/>
  <c r="L6287" i="18"/>
  <c r="L6286" i="18"/>
  <c r="O6285" i="18"/>
  <c r="L6285" i="18"/>
  <c r="E6285" i="18"/>
  <c r="O6284" i="18"/>
  <c r="E6284" i="18"/>
  <c r="L6284" i="18"/>
  <c r="O6283" i="18"/>
  <c r="L6283" i="18"/>
  <c r="E6283" i="18"/>
  <c r="O6282" i="18"/>
  <c r="L6282" i="18"/>
  <c r="O6281" i="18"/>
  <c r="L6281" i="18"/>
  <c r="E6281" i="18"/>
  <c r="L6280" i="18"/>
  <c r="O6279" i="18"/>
  <c r="L6279" i="18"/>
  <c r="E6279" i="18"/>
  <c r="O6278" i="18"/>
  <c r="L6278" i="18"/>
  <c r="O6277" i="18"/>
  <c r="L6277" i="18"/>
  <c r="E6277" i="18"/>
  <c r="O6276" i="18"/>
  <c r="L6276" i="18"/>
  <c r="O6275" i="18"/>
  <c r="O6272" i="18"/>
  <c r="L6272" i="18"/>
  <c r="O6271" i="18"/>
  <c r="L6271" i="18"/>
  <c r="E6271" i="18"/>
  <c r="O6270" i="18"/>
  <c r="L6270" i="18"/>
  <c r="O6269" i="18"/>
  <c r="L6269" i="18"/>
  <c r="E6269" i="18"/>
  <c r="O6267" i="18"/>
  <c r="L6267" i="18"/>
  <c r="E6267" i="18"/>
  <c r="O6266" i="18"/>
  <c r="L6266" i="18"/>
  <c r="O6265" i="18"/>
  <c r="O6264" i="18"/>
  <c r="L6264" i="18"/>
  <c r="O6263" i="18"/>
  <c r="L6263" i="18"/>
  <c r="E6263" i="18"/>
  <c r="O6262" i="18"/>
  <c r="L6262" i="18"/>
  <c r="L6257" i="18"/>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K754" i="5"/>
  <c r="G754" i="5"/>
  <c r="R9" i="2"/>
  <c r="S9" i="2"/>
  <c r="T9" i="2"/>
  <c r="U9" i="2"/>
  <c r="V9" i="2"/>
  <c r="W9" i="2"/>
  <c r="X9" i="2"/>
  <c r="Z9" i="2"/>
  <c r="AA9" i="2"/>
  <c r="AB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V25" i="2"/>
  <c r="W25" i="2"/>
  <c r="X25" i="2"/>
  <c r="Y25" i="2"/>
  <c r="Z25" i="2"/>
  <c r="AA25" i="2"/>
  <c r="AB25" i="2"/>
  <c r="AC25" i="2"/>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T37" i="2"/>
  <c r="U37" i="2"/>
  <c r="V37" i="2"/>
  <c r="V36" i="2"/>
  <c r="W37" i="2"/>
  <c r="X37" i="2"/>
  <c r="Y37" i="2"/>
  <c r="Z37" i="2"/>
  <c r="AA37" i="2"/>
  <c r="AB37" i="2"/>
  <c r="AC37" i="2"/>
  <c r="AD37" i="2"/>
  <c r="R38" i="2"/>
  <c r="S38" i="2"/>
  <c r="T38" i="2"/>
  <c r="U38" i="2"/>
  <c r="V38" i="2"/>
  <c r="W38" i="2"/>
  <c r="X38" i="2"/>
  <c r="Y38" i="2"/>
  <c r="Z38" i="2"/>
  <c r="AA38" i="2"/>
  <c r="AA36"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J668" i="5"/>
  <c r="M668" i="5" s="1"/>
  <c r="F18" i="70" s="1"/>
  <c r="F21" i="8"/>
  <c r="F22" i="8"/>
  <c r="F24" i="8"/>
  <c r="F25" i="8"/>
  <c r="F26" i="8"/>
  <c r="F27" i="8"/>
  <c r="F28" i="8"/>
  <c r="F29" i="8"/>
  <c r="F30" i="8"/>
  <c r="F31" i="8"/>
  <c r="F32" i="8"/>
  <c r="F33" i="8"/>
  <c r="F36" i="8"/>
  <c r="F37" i="8"/>
  <c r="F38" i="8"/>
  <c r="F39" i="8"/>
  <c r="F40" i="8"/>
  <c r="F41" i="8"/>
  <c r="F43" i="8"/>
  <c r="F44" i="8"/>
  <c r="F45" i="8"/>
  <c r="F46" i="8"/>
  <c r="F47" i="8"/>
  <c r="F50" i="8"/>
  <c r="F51" i="8"/>
  <c r="F52" i="8"/>
  <c r="F53" i="8"/>
  <c r="F54" i="8"/>
  <c r="F56" i="8"/>
  <c r="F57" i="8"/>
  <c r="F58" i="8"/>
  <c r="F59" i="8"/>
  <c r="F62" i="8"/>
  <c r="F64" i="8"/>
  <c r="F11" i="21"/>
  <c r="F12" i="21"/>
  <c r="F13" i="21"/>
  <c r="F19" i="21"/>
  <c r="F20" i="21"/>
  <c r="F21" i="21"/>
  <c r="F22" i="21"/>
  <c r="F26" i="21"/>
  <c r="F27" i="21"/>
  <c r="F28" i="21"/>
  <c r="F29" i="21"/>
  <c r="F30" i="21"/>
  <c r="F31" i="21"/>
  <c r="F32" i="21"/>
  <c r="F33" i="21"/>
  <c r="F34" i="21"/>
  <c r="F35" i="21"/>
  <c r="F36" i="21"/>
  <c r="F37" i="21"/>
  <c r="F39" i="21"/>
  <c r="F41" i="21"/>
  <c r="F42" i="21"/>
  <c r="F44" i="21"/>
  <c r="F46" i="21"/>
  <c r="F48" i="21"/>
  <c r="F49" i="21"/>
  <c r="F51" i="21"/>
  <c r="F76" i="21"/>
  <c r="F55" i="21"/>
  <c r="F56" i="21"/>
  <c r="F57" i="21"/>
  <c r="F58" i="21"/>
  <c r="F59" i="21"/>
  <c r="F61" i="21"/>
  <c r="F60" i="21"/>
  <c r="F62" i="21"/>
  <c r="F63" i="21"/>
  <c r="F64" i="21"/>
  <c r="F65" i="21"/>
  <c r="F66" i="21"/>
  <c r="F67" i="21"/>
  <c r="F68" i="21"/>
  <c r="F69" i="21"/>
  <c r="F70" i="21"/>
  <c r="F71" i="21"/>
  <c r="F72" i="21"/>
  <c r="F73" i="21"/>
  <c r="F77" i="21"/>
  <c r="F78" i="21"/>
  <c r="F79" i="21"/>
  <c r="F80" i="21"/>
  <c r="L9" i="7"/>
  <c r="L10" i="7"/>
  <c r="L11" i="7"/>
  <c r="L12" i="7"/>
  <c r="L13" i="7"/>
  <c r="L14" i="7"/>
  <c r="L15" i="7"/>
  <c r="L16" i="7"/>
  <c r="L19" i="7"/>
  <c r="L20" i="7"/>
  <c r="L21" i="7"/>
  <c r="L22" i="7"/>
  <c r="L23" i="7"/>
  <c r="L27" i="7"/>
  <c r="L26" i="7"/>
  <c r="L28" i="7"/>
  <c r="L30" i="7"/>
  <c r="L31" i="7"/>
  <c r="L32" i="7"/>
  <c r="L33" i="7"/>
  <c r="L34" i="7"/>
  <c r="L36" i="7"/>
  <c r="L37" i="7"/>
  <c r="L38" i="7"/>
  <c r="L39" i="7"/>
  <c r="L40" i="7"/>
  <c r="L41" i="7"/>
  <c r="L42" i="7"/>
  <c r="L44" i="7"/>
  <c r="L45" i="7"/>
  <c r="L46" i="7"/>
  <c r="L47" i="7"/>
  <c r="L48" i="7"/>
  <c r="L49" i="7"/>
  <c r="L50" i="7"/>
  <c r="L53" i="7"/>
  <c r="L54" i="7"/>
  <c r="L55" i="7"/>
  <c r="L56" i="7"/>
  <c r="L57" i="7"/>
  <c r="L58" i="7"/>
  <c r="L59" i="7"/>
  <c r="L60" i="7"/>
  <c r="L61" i="7"/>
  <c r="M61" i="7"/>
  <c r="L62" i="7"/>
  <c r="L63" i="7"/>
  <c r="L66" i="7"/>
  <c r="G9" i="7"/>
  <c r="G10" i="7"/>
  <c r="G11" i="7"/>
  <c r="G12" i="7"/>
  <c r="G13" i="7"/>
  <c r="G14" i="7"/>
  <c r="G15" i="7"/>
  <c r="G18" i="7"/>
  <c r="G20" i="7"/>
  <c r="G21" i="7"/>
  <c r="G22" i="7"/>
  <c r="G24" i="7"/>
  <c r="G23" i="7"/>
  <c r="G25" i="7"/>
  <c r="G27" i="7"/>
  <c r="G29" i="7"/>
  <c r="G30" i="7"/>
  <c r="G31" i="7"/>
  <c r="G32" i="7"/>
  <c r="G33" i="7"/>
  <c r="G34" i="7"/>
  <c r="G36" i="7"/>
  <c r="G37" i="7"/>
  <c r="G38" i="7"/>
  <c r="G39" i="7"/>
  <c r="G40" i="7"/>
  <c r="G41" i="7"/>
  <c r="G42" i="7"/>
  <c r="G43" i="7"/>
  <c r="G44" i="7"/>
  <c r="G45" i="7"/>
  <c r="G46" i="7"/>
  <c r="G48" i="7"/>
  <c r="G47" i="7"/>
  <c r="G49" i="7"/>
  <c r="G53" i="7"/>
  <c r="G54" i="7"/>
  <c r="G55" i="7"/>
  <c r="G56" i="7"/>
  <c r="G57" i="7"/>
  <c r="G58" i="7"/>
  <c r="G59" i="7"/>
  <c r="G60" i="7"/>
  <c r="G62" i="7"/>
  <c r="G63" i="7"/>
  <c r="G64" i="7"/>
  <c r="G65" i="7"/>
  <c r="G66" i="7"/>
  <c r="S36" i="2"/>
  <c r="AD36" i="2"/>
  <c r="Z36" i="2"/>
  <c r="R36" i="2"/>
  <c r="W36" i="2"/>
  <c r="Y24" i="2"/>
  <c r="U19" i="2"/>
  <c r="G50" i="7"/>
  <c r="W14" i="2"/>
  <c r="Z29" i="2"/>
  <c r="W29" i="2"/>
  <c r="R19" i="2"/>
  <c r="Y14" i="2"/>
  <c r="Y36" i="2"/>
  <c r="U29" i="2"/>
  <c r="AB19" i="2"/>
  <c r="E6276" i="18"/>
  <c r="E6324" i="18"/>
  <c r="E6356" i="18"/>
  <c r="E6372" i="18"/>
  <c r="E6468" i="18"/>
  <c r="E6492" i="18"/>
  <c r="E6292" i="18"/>
  <c r="E6396" i="18"/>
  <c r="E6404" i="18"/>
  <c r="E6436" i="18"/>
  <c r="E6452" i="18"/>
  <c r="E6519" i="18"/>
  <c r="E6521" i="18"/>
  <c r="E6525" i="18"/>
  <c r="E6527" i="18"/>
  <c r="E6539" i="18"/>
  <c r="E6547" i="18"/>
  <c r="E6549" i="18"/>
  <c r="E6551" i="18"/>
  <c r="E6555" i="18"/>
  <c r="E6559" i="18"/>
  <c r="E6568" i="18"/>
  <c r="E6262" i="18"/>
  <c r="E6264" i="18"/>
  <c r="E6266" i="18"/>
  <c r="E6270" i="18"/>
  <c r="E6272" i="18"/>
  <c r="E6278" i="18"/>
  <c r="E6282" i="18"/>
  <c r="E6294" i="18"/>
  <c r="E6296" i="18"/>
  <c r="E6298" i="18"/>
  <c r="E6306" i="18"/>
  <c r="E6320" i="18"/>
  <c r="E6322" i="18"/>
  <c r="E6326" i="18"/>
  <c r="E6328" i="18"/>
  <c r="E6334" i="18"/>
  <c r="E6346" i="18"/>
  <c r="E6350" i="18"/>
  <c r="E6352" i="18"/>
  <c r="E6354" i="18"/>
  <c r="E6358" i="18"/>
  <c r="E6360" i="18"/>
  <c r="E6366" i="18"/>
  <c r="E6374" i="18"/>
  <c r="E6378" i="18"/>
  <c r="E6382" i="18"/>
  <c r="E6386" i="18"/>
  <c r="E6390" i="18"/>
  <c r="E6392" i="18"/>
  <c r="E6394" i="18"/>
  <c r="E6398" i="18"/>
  <c r="E6406" i="18"/>
  <c r="E6408" i="18"/>
  <c r="E6418" i="18"/>
  <c r="E6422" i="18"/>
  <c r="E6434" i="18"/>
  <c r="E6442" i="18"/>
  <c r="E6448" i="18"/>
  <c r="E6454" i="18"/>
  <c r="E6456" i="18"/>
  <c r="E6466" i="18"/>
  <c r="E6472" i="18"/>
  <c r="E6474" i="18"/>
  <c r="E6478" i="18"/>
  <c r="E6480" i="18"/>
  <c r="E6482" i="18"/>
  <c r="E6494" i="18"/>
  <c r="E6504" i="18"/>
  <c r="E6506" i="18"/>
  <c r="E6510" i="18"/>
  <c r="E6512" i="18"/>
  <c r="E6518" i="18"/>
  <c r="E6520" i="18"/>
  <c r="E6522" i="18"/>
  <c r="E6528" i="18"/>
  <c r="E6530" i="18"/>
  <c r="E6546" i="18"/>
  <c r="E6573" i="18"/>
  <c r="E6581" i="18"/>
  <c r="E6583" i="18"/>
  <c r="E6585" i="18"/>
  <c r="E6587" i="18"/>
  <c r="E6589" i="18"/>
  <c r="E6591" i="18"/>
  <c r="E6593" i="18"/>
  <c r="A6" i="81"/>
  <c r="B5" i="81"/>
  <c r="A5" i="81"/>
  <c r="B3" i="81"/>
  <c r="A2" i="81"/>
  <c r="K4" i="81"/>
  <c r="D1" i="81"/>
  <c r="A6" i="80"/>
  <c r="B5" i="80"/>
  <c r="A5" i="80"/>
  <c r="B3" i="80"/>
  <c r="A2" i="80"/>
  <c r="D1" i="80"/>
  <c r="K4" i="80"/>
  <c r="A6" i="79"/>
  <c r="B5" i="79"/>
  <c r="A5" i="79"/>
  <c r="H5" i="79"/>
  <c r="B3" i="79"/>
  <c r="A2" i="79"/>
  <c r="H4" i="79"/>
  <c r="D1" i="79"/>
  <c r="A6" i="78"/>
  <c r="B5" i="78"/>
  <c r="A5" i="78"/>
  <c r="H5" i="78"/>
  <c r="B3" i="78"/>
  <c r="A2" i="78"/>
  <c r="D1" i="78"/>
  <c r="A6" i="77"/>
  <c r="B5" i="77"/>
  <c r="A5" i="77"/>
  <c r="P5" i="77"/>
  <c r="B3" i="77"/>
  <c r="A2" i="77"/>
  <c r="D1" i="77"/>
  <c r="P4" i="77"/>
  <c r="A6" i="76"/>
  <c r="B5" i="76"/>
  <c r="A5" i="76"/>
  <c r="B3" i="76"/>
  <c r="A2" i="76"/>
  <c r="J4" i="76"/>
  <c r="D1" i="76"/>
  <c r="K5" i="81"/>
  <c r="K3" i="81"/>
  <c r="K5" i="80"/>
  <c r="K3" i="80"/>
  <c r="H3" i="79"/>
  <c r="H4" i="78"/>
  <c r="H3" i="78"/>
  <c r="M30" i="77"/>
  <c r="L30" i="77"/>
  <c r="K30" i="77"/>
  <c r="J30" i="77"/>
  <c r="I30" i="77"/>
  <c r="H30" i="77"/>
  <c r="G30" i="77"/>
  <c r="F30" i="77"/>
  <c r="N30" i="77"/>
  <c r="N29" i="77"/>
  <c r="N28" i="77"/>
  <c r="N27" i="77"/>
  <c r="N26" i="77"/>
  <c r="N25" i="77"/>
  <c r="J23" i="77"/>
  <c r="J31" i="77"/>
  <c r="F23" i="77"/>
  <c r="F31" i="77"/>
  <c r="M22" i="77"/>
  <c r="L22" i="77"/>
  <c r="L23" i="77"/>
  <c r="L31" i="77"/>
  <c r="K22" i="77"/>
  <c r="K23" i="77"/>
  <c r="K31" i="77"/>
  <c r="J22" i="77"/>
  <c r="I22" i="77"/>
  <c r="H22" i="77"/>
  <c r="H23" i="77"/>
  <c r="H31" i="77"/>
  <c r="G22" i="77"/>
  <c r="G23" i="77"/>
  <c r="G31" i="77"/>
  <c r="F22" i="77"/>
  <c r="N22" i="77"/>
  <c r="N21" i="77"/>
  <c r="N20" i="77"/>
  <c r="N19" i="77"/>
  <c r="N18" i="77"/>
  <c r="N17" i="77"/>
  <c r="M15" i="77"/>
  <c r="M23" i="77"/>
  <c r="M31" i="77"/>
  <c r="L15" i="77"/>
  <c r="K15" i="77"/>
  <c r="J15" i="77"/>
  <c r="I15" i="77"/>
  <c r="I23" i="77"/>
  <c r="I31" i="77"/>
  <c r="H15" i="77"/>
  <c r="G15" i="77"/>
  <c r="F15" i="77"/>
  <c r="N15" i="77"/>
  <c r="N14" i="77"/>
  <c r="N13" i="77"/>
  <c r="N12" i="77"/>
  <c r="N11" i="77"/>
  <c r="N10"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3" i="12"/>
  <c r="B14"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C32" i="6"/>
  <c r="B32" i="6" s="1"/>
  <c r="B50" i="6"/>
  <c r="B51" i="6"/>
  <c r="B20" i="6"/>
  <c r="B21" i="6"/>
  <c r="C22" i="6"/>
  <c r="R22" i="6" s="1"/>
  <c r="C23" i="6"/>
  <c r="Q23" i="6" s="1"/>
  <c r="B24" i="6"/>
  <c r="B25" i="6"/>
  <c r="C26" i="6"/>
  <c r="R26" i="6" s="1"/>
  <c r="C27" i="6"/>
  <c r="Q27" i="6" s="1"/>
  <c r="C28" i="6"/>
  <c r="Q28" i="6" s="1"/>
  <c r="C29" i="6"/>
  <c r="B16" i="6"/>
  <c r="L12" i="18"/>
  <c r="K12" i="18"/>
  <c r="G2076" i="18"/>
  <c r="G2075" i="18"/>
  <c r="G2134" i="18"/>
  <c r="G2133" i="18"/>
  <c r="I2072" i="18"/>
  <c r="K2065" i="18"/>
  <c r="N23" i="77"/>
  <c r="N31" i="77"/>
  <c r="I2076" i="18"/>
  <c r="P852" i="18"/>
  <c r="Q857" i="18"/>
  <c r="R852" i="18"/>
  <c r="G829" i="18"/>
  <c r="G828" i="18"/>
  <c r="G807" i="18"/>
  <c r="G806" i="18"/>
  <c r="G758" i="18"/>
  <c r="G757" i="18"/>
  <c r="G736" i="18"/>
  <c r="G735" i="18"/>
  <c r="J847" i="18"/>
  <c r="J825" i="18"/>
  <c r="J829" i="18"/>
  <c r="J803" i="18"/>
  <c r="J807" i="18"/>
  <c r="J776" i="18"/>
  <c r="K763" i="18"/>
  <c r="J754" i="18"/>
  <c r="K741" i="18"/>
  <c r="J732" i="18"/>
  <c r="K722" i="18"/>
  <c r="H834" i="18"/>
  <c r="H812" i="18"/>
  <c r="H793" i="18"/>
  <c r="K834" i="18"/>
  <c r="D839" i="18"/>
  <c r="D840" i="18"/>
  <c r="D841" i="18"/>
  <c r="D842" i="18"/>
  <c r="D843" i="18"/>
  <c r="D844" i="18"/>
  <c r="D845" i="18"/>
  <c r="D846" i="18"/>
  <c r="D847" i="18"/>
  <c r="D834" i="18"/>
  <c r="G834" i="18"/>
  <c r="K812" i="18"/>
  <c r="D817" i="18"/>
  <c r="D818" i="18"/>
  <c r="D819" i="18"/>
  <c r="D820" i="18"/>
  <c r="D821" i="18"/>
  <c r="D822" i="18"/>
  <c r="D823" i="18"/>
  <c r="D824" i="18"/>
  <c r="D825" i="18"/>
  <c r="D812" i="18"/>
  <c r="G812" i="18"/>
  <c r="K793" i="18"/>
  <c r="D798" i="18"/>
  <c r="D799" i="18"/>
  <c r="D800" i="18"/>
  <c r="D801" i="18"/>
  <c r="D802" i="18"/>
  <c r="D803" i="18"/>
  <c r="D793" i="18"/>
  <c r="G793" i="18" s="1"/>
  <c r="D783" i="18"/>
  <c r="D784" i="18"/>
  <c r="D785" i="18"/>
  <c r="D786" i="18"/>
  <c r="D787" i="18"/>
  <c r="D788" i="18"/>
  <c r="D789" i="18"/>
  <c r="D790" i="18"/>
  <c r="D791" i="18"/>
  <c r="J787" i="18"/>
  <c r="J783" i="18"/>
  <c r="H778" i="18"/>
  <c r="L828" i="18"/>
  <c r="D778" i="18"/>
  <c r="G778" i="18"/>
  <c r="L4965" i="18"/>
  <c r="M4961" i="18"/>
  <c r="K4961" i="18"/>
  <c r="G4795" i="18"/>
  <c r="G4793" i="18"/>
  <c r="G4794" i="18"/>
  <c r="K4637" i="18"/>
  <c r="L4652" i="18"/>
  <c r="M4652" i="18"/>
  <c r="N4637" i="18"/>
  <c r="G4283" i="18"/>
  <c r="G4282" i="18"/>
  <c r="G4133" i="18"/>
  <c r="G4132" i="18"/>
  <c r="M3931" i="18"/>
  <c r="L3931" i="18"/>
  <c r="K3931" i="18"/>
  <c r="G3853" i="18"/>
  <c r="G3852" i="18"/>
  <c r="J758" i="18"/>
  <c r="J736" i="18"/>
  <c r="R855" i="18"/>
  <c r="L806" i="18"/>
  <c r="J791" i="18"/>
  <c r="K778" i="18"/>
  <c r="M3764" i="18"/>
  <c r="L3764" i="18"/>
  <c r="K3764" i="18"/>
  <c r="G3678" i="18"/>
  <c r="G3677" i="18"/>
  <c r="G3654" i="18"/>
  <c r="G3653" i="18"/>
  <c r="G3555" i="18"/>
  <c r="G3554" i="18"/>
  <c r="G3468" i="18"/>
  <c r="G3467" i="18"/>
  <c r="G2894" i="18"/>
  <c r="G2893" i="18"/>
  <c r="M2825" i="18"/>
  <c r="L2825" i="18"/>
  <c r="K2825" i="18"/>
  <c r="M2643" i="18"/>
  <c r="L2643" i="18"/>
  <c r="K2643" i="18"/>
  <c r="G2428" i="18"/>
  <c r="G2427" i="18"/>
  <c r="G2460" i="18"/>
  <c r="G2459" i="18"/>
  <c r="G2346" i="18"/>
  <c r="G2345" i="18"/>
  <c r="G2312" i="18"/>
  <c r="G2311" i="18"/>
  <c r="G2290" i="18"/>
  <c r="G2289" i="18"/>
  <c r="N2222" i="18"/>
  <c r="M2222" i="18"/>
  <c r="L2222" i="18"/>
  <c r="O2222" i="18"/>
  <c r="G2231" i="18"/>
  <c r="G2230" i="18"/>
  <c r="L2067" i="18"/>
  <c r="M2067" i="18"/>
  <c r="N1857" i="18"/>
  <c r="M1857" i="18"/>
  <c r="L1857" i="18"/>
  <c r="O1857" i="18"/>
  <c r="G1924" i="18"/>
  <c r="G1923" i="18"/>
  <c r="G1866" i="18"/>
  <c r="G1865" i="18"/>
  <c r="M1794" i="18"/>
  <c r="L1794" i="18"/>
  <c r="K1794" i="18"/>
  <c r="G1713" i="18"/>
  <c r="G1712" i="18"/>
  <c r="G1696" i="18"/>
  <c r="G1695" i="18"/>
  <c r="G1679" i="18"/>
  <c r="G1678" i="18"/>
  <c r="G1009" i="18"/>
  <c r="G1008" i="18"/>
  <c r="G1446" i="18"/>
  <c r="G1445" i="18"/>
  <c r="G1425" i="18"/>
  <c r="G1424" i="18"/>
  <c r="G1406" i="18"/>
  <c r="G1405" i="18"/>
  <c r="G1384" i="18"/>
  <c r="G1383" i="18"/>
  <c r="G1345" i="18"/>
  <c r="G1344" i="18"/>
  <c r="G1274" i="18"/>
  <c r="G1273" i="18"/>
  <c r="G1252" i="18"/>
  <c r="G1251" i="18"/>
  <c r="G1185" i="18"/>
  <c r="G1184" i="18"/>
  <c r="G1163" i="18"/>
  <c r="G1162" i="18"/>
  <c r="G1097" i="18"/>
  <c r="G1096" i="18"/>
  <c r="G1075" i="18"/>
  <c r="G1074" i="18"/>
  <c r="N1030" i="18"/>
  <c r="M1030" i="18"/>
  <c r="L1030" i="18"/>
  <c r="M1484" i="18"/>
  <c r="L1484" i="18"/>
  <c r="K1484" i="18"/>
  <c r="I1484" i="18"/>
  <c r="H1484" i="18"/>
  <c r="H1488" i="18"/>
  <c r="G1488" i="18"/>
  <c r="G1487" i="18"/>
  <c r="G1323" i="18"/>
  <c r="G1322" i="18"/>
  <c r="G1039" i="18"/>
  <c r="G1038" i="18"/>
  <c r="L937" i="18"/>
  <c r="K937" i="18"/>
  <c r="G554" i="18"/>
  <c r="G553" i="18"/>
  <c r="G530" i="18"/>
  <c r="G529" i="18"/>
  <c r="G463" i="18"/>
  <c r="G462" i="18"/>
  <c r="G596" i="18"/>
  <c r="G595" i="18"/>
  <c r="G443" i="18"/>
  <c r="G442" i="18"/>
  <c r="G395" i="18"/>
  <c r="G394" i="18"/>
  <c r="G373" i="18"/>
  <c r="G372" i="18"/>
  <c r="G351" i="18"/>
  <c r="G350" i="18"/>
  <c r="H4738" i="18"/>
  <c r="H4319" i="18"/>
  <c r="H2545" i="18"/>
  <c r="H2532" i="18"/>
  <c r="H20" i="18"/>
  <c r="H236" i="18"/>
  <c r="G5241" i="18"/>
  <c r="G5240" i="18"/>
  <c r="G5239" i="18"/>
  <c r="D5217" i="18"/>
  <c r="D5222" i="18"/>
  <c r="D5227" i="18"/>
  <c r="D5232" i="18"/>
  <c r="D5237" i="18"/>
  <c r="D5242" i="18"/>
  <c r="D5247" i="18"/>
  <c r="D5252" i="18"/>
  <c r="D5257" i="18"/>
  <c r="D5262" i="18"/>
  <c r="D5267" i="18"/>
  <c r="D5272" i="18"/>
  <c r="D5273" i="18"/>
  <c r="D5274" i="18"/>
  <c r="D4741" i="18"/>
  <c r="D4742" i="18"/>
  <c r="D4743" i="18"/>
  <c r="D4744" i="18"/>
  <c r="D4745" i="18"/>
  <c r="D4746" i="18"/>
  <c r="D4747" i="18"/>
  <c r="D4748" i="18"/>
  <c r="D4749" i="18"/>
  <c r="D4738" i="18"/>
  <c r="G4738" i="18" s="1"/>
  <c r="C72" i="8"/>
  <c r="C52" i="74"/>
  <c r="C69" i="70"/>
  <c r="G5102" i="18"/>
  <c r="H5502" i="18"/>
  <c r="K5546" i="18"/>
  <c r="K5545" i="18"/>
  <c r="K5543" i="18"/>
  <c r="K5542" i="18"/>
  <c r="K5534" i="18"/>
  <c r="K5535" i="18"/>
  <c r="K5536" i="18"/>
  <c r="K5537" i="18"/>
  <c r="K5538" i="18"/>
  <c r="K5539" i="18"/>
  <c r="K5527" i="18"/>
  <c r="K5529" i="18"/>
  <c r="K5530" i="18"/>
  <c r="K5531" i="18"/>
  <c r="K5519" i="18"/>
  <c r="K5520" i="18"/>
  <c r="K5521" i="18"/>
  <c r="K5522" i="18"/>
  <c r="K5524" i="18"/>
  <c r="K5525" i="18"/>
  <c r="K5526" i="18"/>
  <c r="K5510" i="18"/>
  <c r="K5511" i="18"/>
  <c r="K5512" i="18"/>
  <c r="K5513" i="18"/>
  <c r="K5515" i="18"/>
  <c r="K5516" i="18"/>
  <c r="K5517" i="18"/>
  <c r="I5509" i="18"/>
  <c r="J5509" i="18"/>
  <c r="I5514" i="18"/>
  <c r="J5514" i="18"/>
  <c r="I5518" i="18"/>
  <c r="J5518" i="18"/>
  <c r="I5523" i="18"/>
  <c r="J5523" i="18"/>
  <c r="I5528" i="18"/>
  <c r="J5528" i="18"/>
  <c r="I5533" i="18"/>
  <c r="I5540" i="18"/>
  <c r="J5533" i="18"/>
  <c r="J5540" i="18"/>
  <c r="I5544" i="18"/>
  <c r="J5544" i="18"/>
  <c r="I5547" i="18"/>
  <c r="J5547" i="18"/>
  <c r="H5547" i="18"/>
  <c r="H5544" i="18"/>
  <c r="H5533" i="18"/>
  <c r="H5528" i="18"/>
  <c r="H5523" i="18"/>
  <c r="H5518" i="18"/>
  <c r="H5514" i="18"/>
  <c r="H5509"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K5488" i="18"/>
  <c r="K5478" i="18"/>
  <c r="K5470" i="18"/>
  <c r="K5466" i="18"/>
  <c r="N5502" i="18"/>
  <c r="K5502" i="18"/>
  <c r="D5502" i="18"/>
  <c r="G5502" i="18" s="1"/>
  <c r="H5508" i="18"/>
  <c r="K5523" i="18"/>
  <c r="K5547" i="18"/>
  <c r="K5544" i="18"/>
  <c r="J5508" i="18"/>
  <c r="J5532" i="18"/>
  <c r="K5528" i="18"/>
  <c r="K5509" i="18"/>
  <c r="K5518" i="18"/>
  <c r="H5532" i="18"/>
  <c r="K5533" i="18"/>
  <c r="H5540" i="18"/>
  <c r="K5540" i="18"/>
  <c r="I5508" i="18"/>
  <c r="I5532" i="18"/>
  <c r="K5514" i="18"/>
  <c r="K5532" i="18"/>
  <c r="K5508" i="18"/>
  <c r="I5832" i="18"/>
  <c r="I5834" i="18"/>
  <c r="H4760" i="18"/>
  <c r="H4757" i="18"/>
  <c r="D4970" i="18"/>
  <c r="D4971" i="18"/>
  <c r="D4972" i="18"/>
  <c r="D4973" i="18"/>
  <c r="D4974" i="18"/>
  <c r="D4975" i="18"/>
  <c r="D4976" i="18"/>
  <c r="D4977" i="18"/>
  <c r="D4978" i="18"/>
  <c r="D4979" i="18"/>
  <c r="D4980" i="18"/>
  <c r="D4981" i="18"/>
  <c r="D4982" i="18"/>
  <c r="D4983" i="18"/>
  <c r="Q4386" i="18"/>
  <c r="Q4387" i="18"/>
  <c r="Q4388" i="18"/>
  <c r="Q4389" i="18"/>
  <c r="Q4390" i="18"/>
  <c r="Q4391" i="18"/>
  <c r="Q4375" i="18"/>
  <c r="Q4376" i="18"/>
  <c r="Q4377" i="18"/>
  <c r="Q4378" i="18"/>
  <c r="Q4379" i="18"/>
  <c r="Q4380" i="18"/>
  <c r="Q4382" i="18"/>
  <c r="Q4383" i="18"/>
  <c r="Q4384" i="18"/>
  <c r="Q4385" i="18"/>
  <c r="P4391" i="18"/>
  <c r="P4390" i="18"/>
  <c r="P4389" i="18"/>
  <c r="P4388" i="18"/>
  <c r="P4385" i="18"/>
  <c r="P4384" i="18"/>
  <c r="P4383" i="18"/>
  <c r="P4382" i="18"/>
  <c r="P4380" i="18"/>
  <c r="P4379" i="18"/>
  <c r="P4378" i="18"/>
  <c r="P4377" i="18"/>
  <c r="P4376" i="18"/>
  <c r="P4375" i="18"/>
  <c r="M4275" i="18"/>
  <c r="M4276" i="18"/>
  <c r="M4277" i="18"/>
  <c r="M4278" i="18"/>
  <c r="M4274" i="18"/>
  <c r="D3765" i="18"/>
  <c r="D3766" i="18"/>
  <c r="D3767" i="18"/>
  <c r="D3768" i="18"/>
  <c r="D3769" i="18"/>
  <c r="J3669" i="18"/>
  <c r="I3669" i="18"/>
  <c r="H3669" i="18"/>
  <c r="H3668" i="18"/>
  <c r="D3662" i="18"/>
  <c r="D3663" i="18"/>
  <c r="D3664" i="18"/>
  <c r="D3665" i="18"/>
  <c r="D3666" i="18"/>
  <c r="D3667" i="18"/>
  <c r="D3668" i="18"/>
  <c r="D3669" i="18"/>
  <c r="D3670" i="18"/>
  <c r="D3671" i="18"/>
  <c r="D3672" i="18"/>
  <c r="D3673" i="18"/>
  <c r="D3674" i="18"/>
  <c r="K3672" i="18"/>
  <c r="D2826" i="18"/>
  <c r="D2827" i="18"/>
  <c r="D2828" i="18"/>
  <c r="D2829" i="18"/>
  <c r="D2644" i="18"/>
  <c r="D2645" i="18"/>
  <c r="D2646" i="18"/>
  <c r="D2647" i="18"/>
  <c r="Q2495" i="18"/>
  <c r="Q2494" i="18"/>
  <c r="Q2492" i="18"/>
  <c r="Q2491" i="18"/>
  <c r="Q2490" i="18"/>
  <c r="Q2489" i="18"/>
  <c r="Q2488" i="18"/>
  <c r="Q2487" i="18"/>
  <c r="Q2486" i="18"/>
  <c r="Q2485" i="18"/>
  <c r="Q2484" i="18"/>
  <c r="Q2483" i="18"/>
  <c r="Q2482" i="18"/>
  <c r="Q2480" i="18"/>
  <c r="Q2479" i="18"/>
  <c r="Q2478" i="18"/>
  <c r="Q2477" i="18"/>
  <c r="Q2476" i="18"/>
  <c r="Q2475" i="18"/>
  <c r="Q2474" i="18"/>
  <c r="Q2473" i="18"/>
  <c r="Q2472" i="18"/>
  <c r="Q2471" i="18"/>
  <c r="J2047" i="18"/>
  <c r="M2047" i="18"/>
  <c r="J2038" i="18"/>
  <c r="M2038" i="18"/>
  <c r="J2039" i="18"/>
  <c r="M2039" i="18"/>
  <c r="J2040" i="18"/>
  <c r="M2040" i="18"/>
  <c r="J2041" i="18"/>
  <c r="M2041" i="18"/>
  <c r="J2042" i="18"/>
  <c r="M2042" i="18"/>
  <c r="J2043" i="18"/>
  <c r="M2043" i="18"/>
  <c r="J2044" i="18"/>
  <c r="M2044" i="18"/>
  <c r="J2045" i="18"/>
  <c r="M2045" i="18"/>
  <c r="J2037" i="18"/>
  <c r="M2037" i="18"/>
  <c r="J2269" i="18"/>
  <c r="H2269" i="18"/>
  <c r="J2265" i="18"/>
  <c r="H2265" i="18"/>
  <c r="J2256" i="18"/>
  <c r="H2256" i="18"/>
  <c r="J2252" i="18"/>
  <c r="H2252" i="18"/>
  <c r="J2243" i="18"/>
  <c r="H2243" i="18"/>
  <c r="J2239" i="18"/>
  <c r="H2239" i="18"/>
  <c r="J2114" i="18"/>
  <c r="J2110" i="18"/>
  <c r="J2101" i="18"/>
  <c r="J2097" i="18"/>
  <c r="J2088" i="18"/>
  <c r="J2084" i="18"/>
  <c r="J1228" i="18"/>
  <c r="J1233" i="18" s="1"/>
  <c r="H1228" i="18"/>
  <c r="H1233" i="18" s="1"/>
  <c r="J1139" i="18"/>
  <c r="H1139" i="18"/>
  <c r="J1135" i="18"/>
  <c r="H1135" i="18"/>
  <c r="J716" i="18"/>
  <c r="J712" i="18"/>
  <c r="J343" i="18"/>
  <c r="L343" i="18"/>
  <c r="H343" i="18"/>
  <c r="L339" i="18"/>
  <c r="J1904" i="18"/>
  <c r="J1900" i="18"/>
  <c r="H1904" i="18"/>
  <c r="H1900" i="18"/>
  <c r="J1891" i="18"/>
  <c r="J1887" i="18"/>
  <c r="H1891" i="18"/>
  <c r="H1887" i="18"/>
  <c r="J1878" i="18"/>
  <c r="J1874" i="18"/>
  <c r="H1878" i="18"/>
  <c r="H1874" i="18"/>
  <c r="L1955" i="18"/>
  <c r="K1955" i="18"/>
  <c r="J1955" i="18"/>
  <c r="J1961" i="18"/>
  <c r="I1955" i="18"/>
  <c r="H1955" i="18"/>
  <c r="D1435" i="18"/>
  <c r="D1436" i="18"/>
  <c r="D1437" i="18"/>
  <c r="D1438" i="18"/>
  <c r="D1439" i="18"/>
  <c r="D1440" i="18"/>
  <c r="D1441" i="18"/>
  <c r="D1442" i="18"/>
  <c r="D938" i="18"/>
  <c r="D939" i="18"/>
  <c r="D940" i="18"/>
  <c r="D941" i="18"/>
  <c r="D942" i="18"/>
  <c r="I249" i="18"/>
  <c r="N236" i="18"/>
  <c r="H249" i="18"/>
  <c r="K236" i="18"/>
  <c r="D241" i="18"/>
  <c r="D242" i="18"/>
  <c r="D243" i="18"/>
  <c r="D244" i="18"/>
  <c r="D245" i="18"/>
  <c r="D246" i="18"/>
  <c r="D247" i="18"/>
  <c r="D248" i="18"/>
  <c r="D249" i="18"/>
  <c r="D236" i="18"/>
  <c r="G236" i="18" s="1"/>
  <c r="J2092" i="18"/>
  <c r="K2081" i="18"/>
  <c r="J2118" i="18"/>
  <c r="K2107" i="18"/>
  <c r="J2105" i="18"/>
  <c r="K2094" i="18"/>
  <c r="J720" i="18"/>
  <c r="K707" i="18"/>
  <c r="H6243" i="18"/>
  <c r="H6214" i="18"/>
  <c r="H6187" i="18"/>
  <c r="H6165" i="18"/>
  <c r="H6156" i="18"/>
  <c r="H6147" i="18"/>
  <c r="H6138" i="18"/>
  <c r="H6127" i="18"/>
  <c r="H6118" i="18"/>
  <c r="H6108" i="18"/>
  <c r="H6094" i="18"/>
  <c r="H6085" i="18"/>
  <c r="H6076" i="18"/>
  <c r="H6065" i="18"/>
  <c r="H6056" i="18"/>
  <c r="H6033" i="18"/>
  <c r="H6021" i="18"/>
  <c r="H6009" i="18"/>
  <c r="H5998" i="18"/>
  <c r="H5977" i="18"/>
  <c r="H5958" i="18"/>
  <c r="H5947" i="18"/>
  <c r="H5936" i="18"/>
  <c r="H5925" i="18"/>
  <c r="H5914" i="18"/>
  <c r="H5903" i="18"/>
  <c r="H5892" i="18"/>
  <c r="H5881" i="18"/>
  <c r="H5870" i="18"/>
  <c r="H5858" i="18"/>
  <c r="H5848" i="18"/>
  <c r="H5797" i="18"/>
  <c r="H5174" i="18"/>
  <c r="H5010" i="18"/>
  <c r="H5000" i="18"/>
  <c r="H4986" i="18"/>
  <c r="H4837" i="18"/>
  <c r="H4767" i="18"/>
  <c r="H4716" i="18"/>
  <c r="H4685" i="18"/>
  <c r="H4654" i="18"/>
  <c r="H4624" i="18"/>
  <c r="H4614" i="18"/>
  <c r="H4599" i="18"/>
  <c r="H4584" i="18"/>
  <c r="H4476" i="18"/>
  <c r="H4451" i="18"/>
  <c r="H4299" i="18"/>
  <c r="H4159" i="18"/>
  <c r="H4138" i="18"/>
  <c r="H4098" i="18"/>
  <c r="H4042" i="18"/>
  <c r="H4032" i="18"/>
  <c r="H4022" i="18"/>
  <c r="H4012" i="18"/>
  <c r="H3959" i="18"/>
  <c r="H3949" i="18"/>
  <c r="H3939" i="18"/>
  <c r="H3898" i="18"/>
  <c r="H3888" i="18"/>
  <c r="H3878" i="18"/>
  <c r="H3868" i="18"/>
  <c r="H3841" i="18"/>
  <c r="H3748" i="18"/>
  <c r="H3715" i="18"/>
  <c r="H3683" i="18"/>
  <c r="H3600" i="18"/>
  <c r="H3590" i="18"/>
  <c r="H3580" i="18"/>
  <c r="H3543" i="18"/>
  <c r="H3513" i="18"/>
  <c r="H3503" i="18"/>
  <c r="H3493" i="18"/>
  <c r="H3483" i="18"/>
  <c r="H3456" i="18"/>
  <c r="H3372" i="18"/>
  <c r="H3351" i="18"/>
  <c r="H3341" i="18"/>
  <c r="H3331" i="18"/>
  <c r="H3227" i="18"/>
  <c r="H2899" i="18"/>
  <c r="H2864" i="18"/>
  <c r="H2849" i="18"/>
  <c r="H2812" i="18"/>
  <c r="H2783" i="18"/>
  <c r="H2773" i="18"/>
  <c r="H2630" i="18"/>
  <c r="H2433" i="18"/>
  <c r="H2414" i="18"/>
  <c r="N2459" i="18"/>
  <c r="H2403" i="18"/>
  <c r="H2393" i="18"/>
  <c r="H2220" i="18"/>
  <c r="H2193" i="18"/>
  <c r="H2015" i="18"/>
  <c r="H1657" i="18"/>
  <c r="H1102" i="18"/>
  <c r="H1058" i="18"/>
  <c r="H1028" i="18"/>
  <c r="H921" i="18"/>
  <c r="H911" i="18"/>
  <c r="H901" i="18"/>
  <c r="H891" i="18"/>
  <c r="H763" i="18"/>
  <c r="H689" i="18"/>
  <c r="H678" i="18"/>
  <c r="H668" i="18"/>
  <c r="H569" i="18"/>
  <c r="H559" i="18"/>
  <c r="H500" i="18"/>
  <c r="H485" i="18"/>
  <c r="H415" i="18"/>
  <c r="H306" i="18"/>
  <c r="H130" i="18"/>
  <c r="H59" i="18"/>
  <c r="H1609" i="18"/>
  <c r="H1599" i="18"/>
  <c r="H1589" i="18"/>
  <c r="H1461" i="18"/>
  <c r="H1451" i="18"/>
  <c r="H1430" i="18"/>
  <c r="H1294" i="18"/>
  <c r="H1279" i="18"/>
  <c r="H1257" i="18"/>
  <c r="H1235" i="18"/>
  <c r="H1205" i="18"/>
  <c r="H1190" i="18"/>
  <c r="H1168" i="18"/>
  <c r="H1146" i="18"/>
  <c r="H1132" i="18"/>
  <c r="L1162" i="18"/>
  <c r="K1184" i="18"/>
  <c r="O1032" i="18"/>
  <c r="L529" i="18"/>
  <c r="K553" i="18"/>
  <c r="L4279" i="18"/>
  <c r="K4279" i="18"/>
  <c r="J4279" i="18"/>
  <c r="I4279" i="18"/>
  <c r="Y3" i="18"/>
  <c r="H1977" i="18"/>
  <c r="U5" i="18"/>
  <c r="W5" i="18" s="1"/>
  <c r="J5625" i="18" s="1"/>
  <c r="J5634" i="18" s="1"/>
  <c r="V5" i="18"/>
  <c r="U4" i="18"/>
  <c r="U2" i="18"/>
  <c r="W2" i="18"/>
  <c r="M5803" i="18"/>
  <c r="L5803" i="18"/>
  <c r="K5803" i="18"/>
  <c r="J5803" i="18"/>
  <c r="I5803" i="18"/>
  <c r="N5797" i="18"/>
  <c r="H5803" i="18"/>
  <c r="K5797" i="18"/>
  <c r="D5800" i="18"/>
  <c r="D5801" i="18"/>
  <c r="D5802" i="18"/>
  <c r="D5803" i="18"/>
  <c r="D5797" i="18"/>
  <c r="G5797" i="18" s="1"/>
  <c r="K5281" i="18"/>
  <c r="K5290" i="18" s="1"/>
  <c r="N5277" i="18" s="1"/>
  <c r="H5605" i="18"/>
  <c r="G3020" i="18"/>
  <c r="V2" i="18"/>
  <c r="H1083" i="18" s="1"/>
  <c r="H781" i="18"/>
  <c r="G2006" i="18"/>
  <c r="H1992" i="18"/>
  <c r="I4803" i="18"/>
  <c r="I5067" i="18"/>
  <c r="I5073" i="18" s="1"/>
  <c r="I4861" i="18"/>
  <c r="H4861" i="18"/>
  <c r="D4853" i="18"/>
  <c r="D4854" i="18"/>
  <c r="D4855" i="18"/>
  <c r="D4856" i="18"/>
  <c r="D4857" i="18"/>
  <c r="D4858" i="18"/>
  <c r="D4859" i="18"/>
  <c r="D4860" i="18"/>
  <c r="D4861" i="18"/>
  <c r="H766" i="18"/>
  <c r="N1913" i="18"/>
  <c r="H2881" i="18"/>
  <c r="K3661" i="18"/>
  <c r="H1061" i="18"/>
  <c r="I5741" i="18"/>
  <c r="I5744" i="18" s="1"/>
  <c r="H3972" i="18"/>
  <c r="H403" i="18"/>
  <c r="N4313" i="18"/>
  <c r="H1828" i="18"/>
  <c r="H111" i="18"/>
  <c r="H3572" i="18"/>
  <c r="N1474" i="18"/>
  <c r="H4111" i="18"/>
  <c r="H132" i="18"/>
  <c r="H418" i="18"/>
  <c r="K2534" i="18"/>
  <c r="H4055" i="18"/>
  <c r="D4840" i="18"/>
  <c r="D4841" i="18"/>
  <c r="D4842" i="18"/>
  <c r="D4843" i="18"/>
  <c r="D4844" i="18"/>
  <c r="D4845" i="18"/>
  <c r="D4846" i="18"/>
  <c r="D4847" i="18"/>
  <c r="D4848" i="18"/>
  <c r="D4837" i="18"/>
  <c r="G4837" i="18"/>
  <c r="D4755" i="18"/>
  <c r="D4756" i="18"/>
  <c r="D4757" i="18"/>
  <c r="D4758" i="18"/>
  <c r="D4759" i="18"/>
  <c r="D4760" i="18"/>
  <c r="D4761" i="18"/>
  <c r="D4762" i="18"/>
  <c r="D4763" i="18"/>
  <c r="D4764" i="18"/>
  <c r="D4765" i="18"/>
  <c r="D4442" i="18"/>
  <c r="D4443" i="18"/>
  <c r="D4444" i="18"/>
  <c r="D4445" i="18"/>
  <c r="D4446" i="18"/>
  <c r="D4447" i="18"/>
  <c r="D4448" i="18"/>
  <c r="H4439" i="18"/>
  <c r="H4394" i="18"/>
  <c r="M4329" i="18"/>
  <c r="L4329" i="18"/>
  <c r="K4329" i="18"/>
  <c r="I4329" i="18"/>
  <c r="D4324" i="18"/>
  <c r="D4325" i="18"/>
  <c r="D4326" i="18"/>
  <c r="D4327" i="18"/>
  <c r="D4328" i="18"/>
  <c r="D4329" i="18"/>
  <c r="D4183" i="18"/>
  <c r="D4184" i="18"/>
  <c r="D4185" i="18"/>
  <c r="D4186" i="18"/>
  <c r="D4187" i="18"/>
  <c r="D4188" i="18"/>
  <c r="D4189" i="18"/>
  <c r="D4190" i="18"/>
  <c r="D4191" i="18"/>
  <c r="D4192" i="18"/>
  <c r="D4193" i="18"/>
  <c r="D4194" i="18"/>
  <c r="D4195" i="18"/>
  <c r="D4196" i="18"/>
  <c r="D4197" i="18"/>
  <c r="D4198" i="18"/>
  <c r="D4203" i="18"/>
  <c r="D4204" i="18"/>
  <c r="D4205" i="18"/>
  <c r="D4206" i="18"/>
  <c r="D4207" i="18"/>
  <c r="D4208" i="18"/>
  <c r="D4209" i="18"/>
  <c r="D4210" i="18"/>
  <c r="D4211" i="18"/>
  <c r="D4212" i="18"/>
  <c r="D4213" i="18"/>
  <c r="D4112" i="18"/>
  <c r="D4113" i="18"/>
  <c r="D4114" i="18"/>
  <c r="D4115" i="18"/>
  <c r="D4116" i="18"/>
  <c r="D4117" i="18"/>
  <c r="J3390" i="18"/>
  <c r="I3390" i="18"/>
  <c r="J3386" i="18"/>
  <c r="I3386" i="18"/>
  <c r="K3149" i="18"/>
  <c r="K3138" i="18"/>
  <c r="J3149" i="18"/>
  <c r="I3149" i="18"/>
  <c r="H3149" i="18"/>
  <c r="H3138" i="18"/>
  <c r="H3151" i="18"/>
  <c r="P3162" i="18"/>
  <c r="M3162" i="18"/>
  <c r="J3162" i="18"/>
  <c r="I3162" i="18"/>
  <c r="N3151" i="18"/>
  <c r="H3162" i="18"/>
  <c r="K3151" i="18"/>
  <c r="D3154" i="18"/>
  <c r="D3155" i="18"/>
  <c r="D3156" i="18"/>
  <c r="D3157" i="18"/>
  <c r="D3158" i="18"/>
  <c r="D3159" i="18"/>
  <c r="D3160" i="18"/>
  <c r="D3161" i="18"/>
  <c r="D3162" i="18"/>
  <c r="D3151" i="18"/>
  <c r="G3151" i="18"/>
  <c r="D3141" i="18"/>
  <c r="D3142" i="18"/>
  <c r="D3143" i="18"/>
  <c r="D3144" i="18"/>
  <c r="D3145" i="18"/>
  <c r="D3146" i="18"/>
  <c r="D3147" i="18"/>
  <c r="D3148" i="18"/>
  <c r="D3149" i="18"/>
  <c r="D3138" i="18"/>
  <c r="G3138" i="18" s="1"/>
  <c r="H3164" i="18"/>
  <c r="H3128" i="18"/>
  <c r="L2862" i="18"/>
  <c r="K2862" i="18"/>
  <c r="J2862" i="18"/>
  <c r="H2862" i="18"/>
  <c r="D2852" i="18"/>
  <c r="D2853" i="18"/>
  <c r="D2854" i="18"/>
  <c r="D2855" i="18"/>
  <c r="D2856" i="18"/>
  <c r="D2857" i="18"/>
  <c r="D2858" i="18"/>
  <c r="D2859" i="18"/>
  <c r="D2860" i="18"/>
  <c r="D2861" i="18"/>
  <c r="D2862" i="18"/>
  <c r="M2853" i="18"/>
  <c r="M2854" i="18"/>
  <c r="M2855" i="18"/>
  <c r="M2856" i="18"/>
  <c r="M2857" i="18"/>
  <c r="M2858" i="18"/>
  <c r="M2859" i="18"/>
  <c r="M2860" i="18"/>
  <c r="M2861" i="18"/>
  <c r="M2852" i="18"/>
  <c r="H2763" i="18"/>
  <c r="H1963" i="18"/>
  <c r="H1766" i="18"/>
  <c r="P932" i="18"/>
  <c r="M932" i="18"/>
  <c r="J932" i="18"/>
  <c r="I932" i="18"/>
  <c r="N921" i="18"/>
  <c r="H932" i="18"/>
  <c r="K921" i="18"/>
  <c r="D924" i="18"/>
  <c r="D925" i="18"/>
  <c r="D926" i="18"/>
  <c r="D927" i="18"/>
  <c r="D928" i="18"/>
  <c r="D929" i="18"/>
  <c r="D930" i="18"/>
  <c r="D931" i="18"/>
  <c r="D932" i="18"/>
  <c r="D921" i="18"/>
  <c r="G921" i="18" s="1"/>
  <c r="H2370" i="18"/>
  <c r="H2183" i="18"/>
  <c r="H1755" i="18"/>
  <c r="H1738" i="18"/>
  <c r="H1728" i="18"/>
  <c r="H1718" i="18"/>
  <c r="H1701" i="18"/>
  <c r="H1684" i="18"/>
  <c r="H1493" i="18"/>
  <c r="H1389" i="18"/>
  <c r="H1367" i="18"/>
  <c r="L1424" i="18"/>
  <c r="M1445" i="18"/>
  <c r="G268" i="18"/>
  <c r="G267" i="18"/>
  <c r="G231" i="18"/>
  <c r="G230" i="18"/>
  <c r="G209" i="18"/>
  <c r="G208" i="18"/>
  <c r="G187" i="18"/>
  <c r="J179" i="18"/>
  <c r="J175" i="18"/>
  <c r="H179" i="18"/>
  <c r="H175" i="18"/>
  <c r="G186" i="18"/>
  <c r="J1047" i="18"/>
  <c r="H1047" i="18"/>
  <c r="J1051" i="18"/>
  <c r="J1056" i="18"/>
  <c r="H1051" i="18"/>
  <c r="H1056" i="18" s="1"/>
  <c r="D2322" i="18"/>
  <c r="D2323" i="18"/>
  <c r="D2324" i="18"/>
  <c r="D2325" i="18"/>
  <c r="D2326" i="18"/>
  <c r="D2327" i="18"/>
  <c r="D2328" i="18"/>
  <c r="D2329" i="18"/>
  <c r="D2330" i="18"/>
  <c r="J2224" i="18"/>
  <c r="J2225" i="18"/>
  <c r="J2226" i="18"/>
  <c r="J2223" i="18"/>
  <c r="I2227" i="18"/>
  <c r="I2231" i="18"/>
  <c r="H2227" i="18"/>
  <c r="D2223" i="18"/>
  <c r="D2224" i="18"/>
  <c r="D2225" i="18"/>
  <c r="D2226" i="18"/>
  <c r="D2227" i="18"/>
  <c r="D2220" i="18"/>
  <c r="G2220" i="18"/>
  <c r="M2130" i="18"/>
  <c r="L2130" i="18"/>
  <c r="K2130" i="18"/>
  <c r="I2130" i="18"/>
  <c r="H2130" i="18"/>
  <c r="D2125" i="18"/>
  <c r="D2126" i="18"/>
  <c r="D2127" i="18"/>
  <c r="D2128" i="18"/>
  <c r="D2129" i="18"/>
  <c r="D2130" i="18"/>
  <c r="J2126" i="18"/>
  <c r="N2126" i="18"/>
  <c r="J2127" i="18"/>
  <c r="N2127" i="18"/>
  <c r="J2128" i="18"/>
  <c r="J2129" i="18"/>
  <c r="N2129" i="18"/>
  <c r="J2125" i="18"/>
  <c r="N2125" i="18"/>
  <c r="D2068" i="18"/>
  <c r="D2069" i="18"/>
  <c r="D2070" i="18"/>
  <c r="D2071" i="18"/>
  <c r="D2072" i="18"/>
  <c r="M1920" i="18"/>
  <c r="L1920" i="18"/>
  <c r="K1920" i="18"/>
  <c r="I1920" i="18"/>
  <c r="H1920" i="18"/>
  <c r="H1924" i="18"/>
  <c r="D1915" i="18"/>
  <c r="D1916" i="18"/>
  <c r="D1917" i="18"/>
  <c r="D1918" i="18"/>
  <c r="D1919" i="18"/>
  <c r="D1920" i="18"/>
  <c r="J1916" i="18"/>
  <c r="N1916" i="18"/>
  <c r="J1917" i="18"/>
  <c r="N1917" i="18"/>
  <c r="J1918" i="18"/>
  <c r="N1918" i="18"/>
  <c r="J1919" i="18"/>
  <c r="N1919" i="18"/>
  <c r="J1915" i="18"/>
  <c r="N1915" i="18"/>
  <c r="D1858" i="18"/>
  <c r="D1859" i="18"/>
  <c r="D1860" i="18"/>
  <c r="D1861" i="18"/>
  <c r="D1862" i="18"/>
  <c r="J1862" i="18"/>
  <c r="J1866" i="18"/>
  <c r="I1862" i="18"/>
  <c r="I1866" i="18"/>
  <c r="H1862" i="18"/>
  <c r="H1866" i="18"/>
  <c r="D1284" i="18"/>
  <c r="D1285" i="18"/>
  <c r="D1286" i="18"/>
  <c r="D1287" i="18"/>
  <c r="D1288" i="18"/>
  <c r="D1289" i="18"/>
  <c r="D1290" i="18"/>
  <c r="D1291" i="18"/>
  <c r="D1292" i="18"/>
  <c r="D1195" i="18"/>
  <c r="D1196" i="18"/>
  <c r="D1197" i="18"/>
  <c r="D1198" i="18"/>
  <c r="D1199" i="18"/>
  <c r="D1200" i="18"/>
  <c r="D1201" i="18"/>
  <c r="D1202" i="18"/>
  <c r="D1203" i="18"/>
  <c r="D1262" i="18"/>
  <c r="D1263" i="18"/>
  <c r="D1264" i="18"/>
  <c r="D1265" i="18"/>
  <c r="D1266" i="18"/>
  <c r="D1267" i="18"/>
  <c r="D1268" i="18"/>
  <c r="D1269" i="18"/>
  <c r="D1270" i="18"/>
  <c r="D1173" i="18"/>
  <c r="D1174" i="18"/>
  <c r="D1175" i="18"/>
  <c r="D1176" i="18"/>
  <c r="D1177" i="18"/>
  <c r="D1178" i="18"/>
  <c r="D1179" i="18"/>
  <c r="D1180" i="18"/>
  <c r="D1181" i="18"/>
  <c r="D1107" i="18"/>
  <c r="D1108" i="18"/>
  <c r="D1109" i="18"/>
  <c r="D1110" i="18"/>
  <c r="D1111" i="18"/>
  <c r="D1112" i="18"/>
  <c r="D1113" i="18"/>
  <c r="D1114" i="18"/>
  <c r="D1115" i="18"/>
  <c r="D1085" i="18"/>
  <c r="D1086" i="18"/>
  <c r="D1087" i="18"/>
  <c r="D1088" i="18"/>
  <c r="D1089" i="18"/>
  <c r="D1090" i="18"/>
  <c r="D1091" i="18"/>
  <c r="D1092" i="18"/>
  <c r="D1093" i="18"/>
  <c r="D1122" i="18"/>
  <c r="D1123" i="18"/>
  <c r="D1124" i="18"/>
  <c r="D1125" i="18"/>
  <c r="D1126" i="18"/>
  <c r="D1127" i="18"/>
  <c r="D1128" i="18"/>
  <c r="D1129" i="18"/>
  <c r="D1130" i="18"/>
  <c r="I1130" i="18"/>
  <c r="H1130" i="18"/>
  <c r="I1307" i="18"/>
  <c r="N1294" i="18"/>
  <c r="H1307" i="18"/>
  <c r="K1294" i="18"/>
  <c r="D1299" i="18"/>
  <c r="D1300" i="18"/>
  <c r="D1301" i="18"/>
  <c r="D1302" i="18"/>
  <c r="D1303" i="18"/>
  <c r="D1304" i="18"/>
  <c r="D1305" i="18"/>
  <c r="D1306" i="18"/>
  <c r="D1307" i="18"/>
  <c r="I1292" i="18"/>
  <c r="N1279" i="18"/>
  <c r="H1292" i="18"/>
  <c r="K1279" i="18"/>
  <c r="I1270" i="18"/>
  <c r="I1274" i="18" s="1"/>
  <c r="H1270" i="18"/>
  <c r="K1257" i="18" s="1"/>
  <c r="I1248" i="18"/>
  <c r="I1252" i="18"/>
  <c r="H1248" i="18"/>
  <c r="K1235" i="18"/>
  <c r="D1240" i="18"/>
  <c r="D1241" i="18"/>
  <c r="D1242" i="18"/>
  <c r="D1243" i="18"/>
  <c r="D1244" i="18"/>
  <c r="D1245" i="18"/>
  <c r="D1246" i="18"/>
  <c r="D1247" i="18"/>
  <c r="D1248" i="18"/>
  <c r="K1231" i="18"/>
  <c r="I1218" i="18"/>
  <c r="H1218" i="18"/>
  <c r="K1205" i="18"/>
  <c r="D1210" i="18"/>
  <c r="D1211" i="18"/>
  <c r="D1212" i="18"/>
  <c r="D1213" i="18"/>
  <c r="D1214" i="18"/>
  <c r="D1215" i="18"/>
  <c r="D1216" i="18"/>
  <c r="D1217" i="18"/>
  <c r="D1218" i="18"/>
  <c r="I1203" i="18"/>
  <c r="H1203" i="18"/>
  <c r="K1190" i="18"/>
  <c r="I1181" i="18"/>
  <c r="I1185" i="18"/>
  <c r="H1181" i="18"/>
  <c r="D1151" i="18"/>
  <c r="D1152" i="18"/>
  <c r="D1153" i="18"/>
  <c r="D1154" i="18"/>
  <c r="D1155" i="18"/>
  <c r="D1156" i="18"/>
  <c r="D1157" i="18"/>
  <c r="D1158" i="18"/>
  <c r="D1159" i="18"/>
  <c r="I1159" i="18"/>
  <c r="I1163" i="18"/>
  <c r="H1159" i="18"/>
  <c r="D1135" i="18"/>
  <c r="D1136" i="18"/>
  <c r="D1137" i="18"/>
  <c r="D1138" i="18"/>
  <c r="D1139" i="18"/>
  <c r="D1140" i="18"/>
  <c r="D1141" i="18"/>
  <c r="D1142" i="18"/>
  <c r="D1143" i="18"/>
  <c r="D1144" i="18"/>
  <c r="J1144" i="18"/>
  <c r="H1144" i="18"/>
  <c r="K1132" i="18"/>
  <c r="K1142" i="18"/>
  <c r="D1047" i="18"/>
  <c r="D1048" i="18"/>
  <c r="D1049" i="18"/>
  <c r="D1050" i="18"/>
  <c r="D1051" i="18"/>
  <c r="D1052" i="18"/>
  <c r="D1053" i="18"/>
  <c r="D1054" i="18"/>
  <c r="D1055" i="18"/>
  <c r="D1056" i="18"/>
  <c r="K1054" i="18"/>
  <c r="D1294" i="18"/>
  <c r="G1294" i="18" s="1"/>
  <c r="D1279" i="18"/>
  <c r="G1279" i="18" s="1"/>
  <c r="D1257" i="18"/>
  <c r="G1257" i="18" s="1"/>
  <c r="D1235" i="18"/>
  <c r="G1235" i="18" s="1"/>
  <c r="J1218" i="18"/>
  <c r="D1205" i="18"/>
  <c r="G1205" i="18"/>
  <c r="J1203" i="18"/>
  <c r="D1190" i="18"/>
  <c r="G1190" i="18" s="1"/>
  <c r="D1168" i="18"/>
  <c r="G1168" i="18" s="1"/>
  <c r="D1146" i="18"/>
  <c r="G1146" i="18" s="1"/>
  <c r="K1136" i="18"/>
  <c r="K1137" i="18"/>
  <c r="K1138" i="18"/>
  <c r="K1139" i="18"/>
  <c r="K1140" i="18"/>
  <c r="K1141" i="18"/>
  <c r="K1143" i="18"/>
  <c r="K1135" i="18"/>
  <c r="N1132" i="18"/>
  <c r="D1132" i="18"/>
  <c r="G1132" i="18"/>
  <c r="I1035" i="18"/>
  <c r="I1039" i="18" s="1"/>
  <c r="H1035" i="18"/>
  <c r="H1039" i="18" s="1"/>
  <c r="D1031" i="18"/>
  <c r="D1032" i="18"/>
  <c r="D1033" i="18"/>
  <c r="D1034" i="18"/>
  <c r="D1035" i="18"/>
  <c r="D1028" i="18"/>
  <c r="G1028" i="18" s="1"/>
  <c r="K1146" i="18"/>
  <c r="H1163" i="18"/>
  <c r="H1252" i="18"/>
  <c r="H1274" i="18"/>
  <c r="K2220" i="18"/>
  <c r="H2231" i="18"/>
  <c r="K1168" i="18"/>
  <c r="H1185" i="18"/>
  <c r="J2130" i="18"/>
  <c r="J2227" i="18"/>
  <c r="J2231" i="18"/>
  <c r="N2128" i="18"/>
  <c r="N2130" i="18"/>
  <c r="N1920" i="18"/>
  <c r="N1924" i="18"/>
  <c r="J1920" i="18"/>
  <c r="J166" i="5"/>
  <c r="J165" i="5"/>
  <c r="F166" i="5"/>
  <c r="F165" i="5"/>
  <c r="F93" i="21"/>
  <c r="E93" i="21"/>
  <c r="F45" i="69"/>
  <c r="F44" i="69"/>
  <c r="E78" i="69"/>
  <c r="F32" i="73"/>
  <c r="I59" i="68"/>
  <c r="I70" i="68"/>
  <c r="I58" i="68"/>
  <c r="I47" i="68"/>
  <c r="I46" i="68"/>
  <c r="K2120" i="18"/>
  <c r="N2134" i="18"/>
  <c r="I47" i="72"/>
  <c r="G1" i="5"/>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D2495" i="18"/>
  <c r="D2496" i="18"/>
  <c r="K2453" i="18"/>
  <c r="K2454" i="18"/>
  <c r="K2455" i="18"/>
  <c r="K2437" i="18"/>
  <c r="K2438" i="18"/>
  <c r="K2439" i="18"/>
  <c r="K2440" i="18"/>
  <c r="K2441" i="18"/>
  <c r="K2442" i="18"/>
  <c r="K2443" i="18"/>
  <c r="K2444" i="18"/>
  <c r="K2445" i="18"/>
  <c r="K2446" i="18"/>
  <c r="K2447" i="18"/>
  <c r="K2448" i="18"/>
  <c r="K2449" i="18"/>
  <c r="K2450" i="18"/>
  <c r="K2451" i="18"/>
  <c r="K2452" i="18"/>
  <c r="K2436" i="18"/>
  <c r="D2436" i="18"/>
  <c r="D2437" i="18"/>
  <c r="D2438" i="18"/>
  <c r="D2439" i="18"/>
  <c r="D2440" i="18"/>
  <c r="D2441" i="18"/>
  <c r="D2442" i="18"/>
  <c r="D2443" i="18"/>
  <c r="D2444" i="18"/>
  <c r="D2445" i="18"/>
  <c r="D2446" i="18"/>
  <c r="D2447" i="18"/>
  <c r="D2448" i="18"/>
  <c r="D2449" i="18"/>
  <c r="D2450" i="18"/>
  <c r="D2451" i="18"/>
  <c r="D2452" i="18"/>
  <c r="D2453" i="18"/>
  <c r="D2454" i="18"/>
  <c r="D2455" i="18"/>
  <c r="D2456" i="18"/>
  <c r="M2456" i="18"/>
  <c r="M2460" i="18"/>
  <c r="L2456" i="18"/>
  <c r="J2456" i="18"/>
  <c r="I2456" i="18"/>
  <c r="N2433" i="18"/>
  <c r="D2433" i="18"/>
  <c r="G2433" i="18"/>
  <c r="M2420" i="18"/>
  <c r="M2419" i="18"/>
  <c r="J2420" i="18"/>
  <c r="J2419" i="18"/>
  <c r="L2424" i="18"/>
  <c r="K2424" i="18"/>
  <c r="I2424" i="18"/>
  <c r="H2424" i="18"/>
  <c r="K2414" i="18"/>
  <c r="D2419" i="18"/>
  <c r="D2420" i="18"/>
  <c r="D2421" i="18"/>
  <c r="D2422" i="18"/>
  <c r="D2423" i="18"/>
  <c r="D2424" i="18"/>
  <c r="D2414" i="18"/>
  <c r="G2414" i="18" s="1"/>
  <c r="H2458" i="18" s="1"/>
  <c r="K1508" i="18"/>
  <c r="K1507" i="18"/>
  <c r="K1506" i="18"/>
  <c r="K1505" i="18"/>
  <c r="K1504" i="18"/>
  <c r="K1498" i="18"/>
  <c r="K1503" i="18"/>
  <c r="K1502" i="18"/>
  <c r="K1501" i="18"/>
  <c r="K1500" i="18"/>
  <c r="J1510" i="18"/>
  <c r="I1510" i="18"/>
  <c r="H1510" i="18"/>
  <c r="D1509" i="18"/>
  <c r="N2414" i="18"/>
  <c r="I2428" i="18"/>
  <c r="M798" i="5"/>
  <c r="M799" i="5"/>
  <c r="I798" i="5"/>
  <c r="I799" i="5"/>
  <c r="J2424" i="18"/>
  <c r="J2428" i="18"/>
  <c r="M2424" i="18"/>
  <c r="M2428" i="18"/>
  <c r="K1510" i="18"/>
  <c r="C38" i="7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c r="E3" i="72"/>
  <c r="Y37" i="75"/>
  <c r="L37" i="75"/>
  <c r="T37" i="75"/>
  <c r="G37" i="75"/>
  <c r="C37" i="75"/>
  <c r="C34" i="75"/>
  <c r="C33" i="75"/>
  <c r="C27" i="75"/>
  <c r="C26" i="75"/>
  <c r="C23" i="75"/>
  <c r="C19" i="75"/>
  <c r="C17" i="75"/>
  <c r="C16" i="75"/>
  <c r="C45" i="74"/>
  <c r="C57" i="73"/>
  <c r="C32" i="73"/>
  <c r="C31" i="73"/>
  <c r="K51" i="72"/>
  <c r="H51" i="72"/>
  <c r="E51" i="72"/>
  <c r="C36" i="75"/>
  <c r="C35" i="75"/>
  <c r="C32" i="75"/>
  <c r="C31" i="75"/>
  <c r="C30" i="75"/>
  <c r="C29" i="75"/>
  <c r="C28" i="75"/>
  <c r="C25" i="75"/>
  <c r="C24" i="75"/>
  <c r="C22" i="75"/>
  <c r="C21" i="75"/>
  <c r="C20" i="75"/>
  <c r="C18" i="75"/>
  <c r="C15" i="75"/>
  <c r="C78" i="73"/>
  <c r="C14" i="75"/>
  <c r="C13" i="75"/>
  <c r="C12" i="75"/>
  <c r="C11" i="75"/>
  <c r="C10" i="75"/>
  <c r="C9" i="75"/>
  <c r="C5" i="75"/>
  <c r="U4" i="75"/>
  <c r="H4" i="75"/>
  <c r="C89" i="74"/>
  <c r="C78" i="74"/>
  <c r="C105" i="74"/>
  <c r="A78" i="74"/>
  <c r="C77" i="74"/>
  <c r="A77" i="74"/>
  <c r="C76" i="74"/>
  <c r="A76" i="74"/>
  <c r="C75" i="74"/>
  <c r="C101" i="74"/>
  <c r="A75" i="74"/>
  <c r="C74" i="74"/>
  <c r="C97" i="74"/>
  <c r="A74" i="74"/>
  <c r="C73" i="74"/>
  <c r="A73" i="74"/>
  <c r="C72" i="74"/>
  <c r="A72" i="74"/>
  <c r="C71" i="74"/>
  <c r="A71" i="74"/>
  <c r="C70" i="74"/>
  <c r="A70" i="74"/>
  <c r="C69" i="74"/>
  <c r="A69" i="74"/>
  <c r="C68" i="74"/>
  <c r="C93" i="74"/>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c r="A51" i="74"/>
  <c r="C50" i="74"/>
  <c r="A50" i="74"/>
  <c r="C44" i="74"/>
  <c r="A44" i="74"/>
  <c r="C43" i="74"/>
  <c r="C102" i="74"/>
  <c r="A43" i="74"/>
  <c r="C42" i="74"/>
  <c r="C106" i="74"/>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c r="A33" i="73"/>
  <c r="A32" i="73"/>
  <c r="A31" i="73"/>
  <c r="C30" i="73"/>
  <c r="C64"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c r="E50" i="72"/>
  <c r="E61" i="72"/>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c r="C36" i="71"/>
  <c r="C32" i="71"/>
  <c r="C30" i="71"/>
  <c r="C29" i="71"/>
  <c r="C28" i="71"/>
  <c r="C27" i="71"/>
  <c r="C25" i="71"/>
  <c r="C24" i="71"/>
  <c r="C23" i="71"/>
  <c r="C22" i="71"/>
  <c r="C35" i="71"/>
  <c r="C34" i="71"/>
  <c r="C20" i="71"/>
  <c r="C19" i="71"/>
  <c r="C18" i="71"/>
  <c r="C17" i="71"/>
  <c r="C16" i="71"/>
  <c r="C15" i="71"/>
  <c r="C83" i="69"/>
  <c r="C14" i="71"/>
  <c r="C13" i="71"/>
  <c r="L44" i="71"/>
  <c r="C12" i="71"/>
  <c r="C11" i="71"/>
  <c r="C10" i="71"/>
  <c r="C9" i="71"/>
  <c r="U4" i="71"/>
  <c r="H4" i="71"/>
  <c r="C106" i="70"/>
  <c r="C95" i="70"/>
  <c r="C122" i="70"/>
  <c r="A95" i="70"/>
  <c r="C94" i="70"/>
  <c r="A94" i="70"/>
  <c r="C93" i="70"/>
  <c r="A93" i="70"/>
  <c r="C92" i="70"/>
  <c r="C118" i="70"/>
  <c r="A92" i="70"/>
  <c r="C91" i="70"/>
  <c r="C114" i="70"/>
  <c r="A91" i="70"/>
  <c r="C90" i="70"/>
  <c r="A90" i="70"/>
  <c r="C89" i="70"/>
  <c r="A89" i="70"/>
  <c r="C88" i="70"/>
  <c r="A88" i="70"/>
  <c r="C87" i="70"/>
  <c r="A87" i="70"/>
  <c r="C86" i="70"/>
  <c r="A86" i="70"/>
  <c r="C85" i="70"/>
  <c r="C110" i="70"/>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c r="A68" i="70"/>
  <c r="C67" i="70"/>
  <c r="A67" i="70"/>
  <c r="C61" i="70"/>
  <c r="C115" i="70"/>
  <c r="A61" i="70"/>
  <c r="C60" i="70"/>
  <c r="C119" i="70"/>
  <c r="A60" i="70"/>
  <c r="C59" i="70"/>
  <c r="C123" i="70"/>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c r="C64" i="69"/>
  <c r="C56" i="69"/>
  <c r="C55" i="69"/>
  <c r="C54" i="69"/>
  <c r="C52" i="69"/>
  <c r="C49" i="69"/>
  <c r="C48" i="69"/>
  <c r="C46" i="69"/>
  <c r="C86" i="69"/>
  <c r="C45" i="69"/>
  <c r="C44" i="69"/>
  <c r="C78" i="69"/>
  <c r="C43" i="69"/>
  <c r="C82"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70" i="68"/>
  <c r="E68" i="68"/>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M676" i="5" s="1"/>
  <c r="F676" i="5"/>
  <c r="E676" i="5"/>
  <c r="C676" i="5"/>
  <c r="B676" i="5"/>
  <c r="A676"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c r="C43" i="21"/>
  <c r="C40" i="21"/>
  <c r="C33" i="21"/>
  <c r="C10" i="21"/>
  <c r="K26" i="7"/>
  <c r="K35" i="7"/>
  <c r="F23" i="7"/>
  <c r="F35" i="7"/>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C65" i="73"/>
  <c r="C77" i="69"/>
  <c r="L43" i="75"/>
  <c r="E59" i="72"/>
  <c r="C74" i="73"/>
  <c r="C70" i="73"/>
  <c r="C83" i="74"/>
  <c r="I59" i="72"/>
  <c r="C91" i="69"/>
  <c r="I68" i="68"/>
  <c r="C100" i="70"/>
  <c r="D60" i="7"/>
  <c r="D59" i="7"/>
  <c r="D58" i="7"/>
  <c r="D57" i="7"/>
  <c r="D56" i="7"/>
  <c r="I47" i="7"/>
  <c r="I46" i="7"/>
  <c r="I38" i="7"/>
  <c r="D42" i="7"/>
  <c r="D37" i="7"/>
  <c r="D33" i="7"/>
  <c r="D34" i="7"/>
  <c r="D25" i="7"/>
  <c r="I25" i="7"/>
  <c r="I19" i="7"/>
  <c r="I15" i="7"/>
  <c r="D15" i="7"/>
  <c r="I14" i="7"/>
  <c r="D14" i="7"/>
  <c r="D21" i="7"/>
  <c r="N1493" i="18"/>
  <c r="K1493" i="18"/>
  <c r="D1493" i="18"/>
  <c r="G1493" i="18" s="1"/>
  <c r="D3732" i="18"/>
  <c r="D3733" i="18"/>
  <c r="D3734" i="18"/>
  <c r="D3735" i="18"/>
  <c r="D3736" i="18"/>
  <c r="D3737" i="18"/>
  <c r="D3738" i="18"/>
  <c r="D3739" i="18"/>
  <c r="D3740" i="18"/>
  <c r="D3741" i="18"/>
  <c r="D3742" i="18"/>
  <c r="D3743" i="18"/>
  <c r="D3744" i="18"/>
  <c r="D3745" i="18"/>
  <c r="D3746" i="18"/>
  <c r="K3746" i="18"/>
  <c r="J3746" i="18"/>
  <c r="I81" i="18"/>
  <c r="I74" i="18"/>
  <c r="H81" i="18"/>
  <c r="H74" i="18"/>
  <c r="D74" i="18"/>
  <c r="D75" i="18"/>
  <c r="D76" i="18"/>
  <c r="D77" i="18"/>
  <c r="D78" i="18"/>
  <c r="D79" i="18"/>
  <c r="D80" i="18"/>
  <c r="D81" i="18"/>
  <c r="D82" i="18"/>
  <c r="D83" i="18"/>
  <c r="D84" i="18"/>
  <c r="D85" i="18"/>
  <c r="D86" i="18"/>
  <c r="D87" i="18"/>
  <c r="J2556" i="18"/>
  <c r="I2556" i="18"/>
  <c r="N2545" i="18"/>
  <c r="D2548" i="18"/>
  <c r="D2549" i="18"/>
  <c r="D2550" i="18"/>
  <c r="D2551" i="18"/>
  <c r="D2552" i="18"/>
  <c r="D2553" i="18"/>
  <c r="D2554" i="18"/>
  <c r="D2555" i="18"/>
  <c r="D2556" i="18"/>
  <c r="D2545" i="18"/>
  <c r="G2545" i="18"/>
  <c r="M2543" i="18"/>
  <c r="J2543" i="18"/>
  <c r="I2543" i="18"/>
  <c r="N2532" i="18"/>
  <c r="D2535" i="18"/>
  <c r="D2536" i="18"/>
  <c r="D2537" i="18"/>
  <c r="D2538" i="18"/>
  <c r="D2539" i="18"/>
  <c r="D2540" i="18"/>
  <c r="D2541" i="18"/>
  <c r="D2542" i="18"/>
  <c r="D2543" i="18"/>
  <c r="D2532" i="18"/>
  <c r="G2532" i="18" s="1"/>
  <c r="G5221" i="18"/>
  <c r="G5220" i="18"/>
  <c r="G5219" i="18"/>
  <c r="J4106" i="18"/>
  <c r="N4098" i="18"/>
  <c r="K4098" i="18"/>
  <c r="D4101" i="18"/>
  <c r="D4102" i="18"/>
  <c r="D4103" i="18"/>
  <c r="D4104" i="18"/>
  <c r="D4105" i="18"/>
  <c r="D4106" i="18"/>
  <c r="D4098" i="18"/>
  <c r="G4098" i="18" s="1"/>
  <c r="J2201" i="18"/>
  <c r="N2193" i="18"/>
  <c r="K2193" i="18"/>
  <c r="D2196" i="18"/>
  <c r="D2197" i="18"/>
  <c r="D2198" i="18"/>
  <c r="D2199" i="18"/>
  <c r="D2200" i="18"/>
  <c r="D2201" i="18"/>
  <c r="D2193" i="18"/>
  <c r="G2193" i="18"/>
  <c r="J314" i="18"/>
  <c r="N306" i="18"/>
  <c r="K306" i="18"/>
  <c r="D309" i="18"/>
  <c r="D310" i="18"/>
  <c r="D311" i="18"/>
  <c r="D312" i="18"/>
  <c r="D313" i="18"/>
  <c r="D314" i="18"/>
  <c r="D306" i="18"/>
  <c r="G306" i="18" s="1"/>
  <c r="H64" i="18"/>
  <c r="R2493" i="18"/>
  <c r="P2493" i="18"/>
  <c r="O2493" i="18"/>
  <c r="N2493" i="18"/>
  <c r="M2493" i="18"/>
  <c r="L2493" i="18"/>
  <c r="K2493" i="18"/>
  <c r="J2493" i="18"/>
  <c r="I2493" i="18"/>
  <c r="H2493" i="18"/>
  <c r="R2481" i="18"/>
  <c r="P2481" i="18"/>
  <c r="O2481" i="18"/>
  <c r="N2481" i="18"/>
  <c r="M2481" i="18"/>
  <c r="L2481" i="18"/>
  <c r="K2481" i="18"/>
  <c r="J2481" i="18"/>
  <c r="I2481" i="18"/>
  <c r="H2481" i="18"/>
  <c r="H1080" i="18"/>
  <c r="D420" i="18"/>
  <c r="D421" i="18"/>
  <c r="D422" i="18"/>
  <c r="D423" i="18"/>
  <c r="D424" i="18"/>
  <c r="D425" i="18"/>
  <c r="D426" i="18"/>
  <c r="D427" i="18"/>
  <c r="D428" i="18"/>
  <c r="I428" i="18"/>
  <c r="H428" i="18"/>
  <c r="K415" i="18"/>
  <c r="D415" i="18"/>
  <c r="G415" i="18" s="1"/>
  <c r="I1115" i="18"/>
  <c r="H1115" i="18"/>
  <c r="K1102" i="18" s="1"/>
  <c r="I1093" i="18"/>
  <c r="I1097" i="18" s="1"/>
  <c r="H1093" i="18"/>
  <c r="K1080" i="18" s="1"/>
  <c r="D1102" i="18"/>
  <c r="G1102" i="18" s="1"/>
  <c r="D1080" i="18"/>
  <c r="G1080" i="18" s="1"/>
  <c r="H3729" i="18"/>
  <c r="M4962" i="18"/>
  <c r="D6097" i="18"/>
  <c r="D6098" i="18"/>
  <c r="D6099" i="18"/>
  <c r="D6100" i="18"/>
  <c r="D6101" i="18"/>
  <c r="D6102" i="18"/>
  <c r="D6103" i="18"/>
  <c r="D6104" i="18"/>
  <c r="D6105" i="18"/>
  <c r="H6105" i="18"/>
  <c r="K6094" i="18"/>
  <c r="I1071" i="18"/>
  <c r="H1071" i="18"/>
  <c r="D1063" i="18"/>
  <c r="D1064" i="18"/>
  <c r="D1065" i="18"/>
  <c r="D1066" i="18"/>
  <c r="D1067" i="18"/>
  <c r="D1068" i="18"/>
  <c r="D1069" i="18"/>
  <c r="D1070" i="18"/>
  <c r="D1071" i="18"/>
  <c r="D1058" i="18"/>
  <c r="G1058" i="18" s="1"/>
  <c r="N763" i="18"/>
  <c r="D768" i="18"/>
  <c r="D769" i="18"/>
  <c r="D770" i="18"/>
  <c r="D771" i="18"/>
  <c r="D772" i="18"/>
  <c r="D773" i="18"/>
  <c r="D774" i="18"/>
  <c r="D775" i="18"/>
  <c r="D776" i="18"/>
  <c r="D763" i="18"/>
  <c r="G763" i="18" s="1"/>
  <c r="H448" i="18"/>
  <c r="H468" i="18"/>
  <c r="I476" i="18"/>
  <c r="I483" i="18"/>
  <c r="H476" i="18"/>
  <c r="H483" i="18"/>
  <c r="N468" i="18"/>
  <c r="D473" i="18"/>
  <c r="D474" i="18"/>
  <c r="D475" i="18"/>
  <c r="D476" i="18"/>
  <c r="D477" i="18"/>
  <c r="D478" i="18"/>
  <c r="D479" i="18"/>
  <c r="D480" i="18"/>
  <c r="D481" i="18"/>
  <c r="D482" i="18"/>
  <c r="D483" i="18"/>
  <c r="D468" i="18"/>
  <c r="G468" i="18" s="1"/>
  <c r="I459" i="18"/>
  <c r="I463" i="18"/>
  <c r="H459" i="18"/>
  <c r="N448" i="18"/>
  <c r="D453" i="18"/>
  <c r="D454" i="18"/>
  <c r="D455" i="18"/>
  <c r="D456" i="18"/>
  <c r="D457" i="18"/>
  <c r="D458" i="18"/>
  <c r="D459" i="18"/>
  <c r="D448" i="18"/>
  <c r="G448" i="18"/>
  <c r="P4381" i="18"/>
  <c r="O4381" i="18"/>
  <c r="N4381" i="18"/>
  <c r="M4381" i="18"/>
  <c r="L4381" i="18"/>
  <c r="K4381" i="18"/>
  <c r="J4381" i="18"/>
  <c r="I4381" i="18"/>
  <c r="H4381" i="18"/>
  <c r="P4374" i="18"/>
  <c r="O4374" i="18"/>
  <c r="N4374" i="18"/>
  <c r="M4374" i="18"/>
  <c r="L4374" i="18"/>
  <c r="K4374" i="18"/>
  <c r="J4374" i="18"/>
  <c r="I4374" i="18"/>
  <c r="H4374" i="18"/>
  <c r="D4374" i="18"/>
  <c r="D4375" i="18"/>
  <c r="D4376" i="18"/>
  <c r="D4377" i="18"/>
  <c r="D4378" i="18"/>
  <c r="D4379" i="18"/>
  <c r="D4380" i="18"/>
  <c r="D4381" i="18"/>
  <c r="D4382" i="18"/>
  <c r="D4383" i="18"/>
  <c r="D4384" i="18"/>
  <c r="D4385" i="18"/>
  <c r="D4386" i="18"/>
  <c r="D4387" i="18"/>
  <c r="D4388" i="18"/>
  <c r="D4389" i="18"/>
  <c r="D4390" i="18"/>
  <c r="D4391" i="18"/>
  <c r="D4392" i="18"/>
  <c r="G2701" i="18"/>
  <c r="G3109" i="18"/>
  <c r="G3110" i="18"/>
  <c r="G2702" i="18"/>
  <c r="P1641" i="18"/>
  <c r="P1642" i="18"/>
  <c r="O1642" i="18"/>
  <c r="G1" i="18"/>
  <c r="J4578" i="18" s="1"/>
  <c r="D13" i="18"/>
  <c r="D14" i="18"/>
  <c r="D15" i="18"/>
  <c r="D16" i="18"/>
  <c r="D17" i="18"/>
  <c r="H5838" i="18"/>
  <c r="H5806" i="18"/>
  <c r="H5776" i="18"/>
  <c r="H5762" i="18"/>
  <c r="H5747" i="18"/>
  <c r="H5739" i="18"/>
  <c r="H5729" i="18"/>
  <c r="H5719" i="18"/>
  <c r="H5709" i="18"/>
  <c r="H5699" i="18"/>
  <c r="H5689" i="18"/>
  <c r="H5679" i="18"/>
  <c r="H5669" i="18"/>
  <c r="H5659" i="18"/>
  <c r="H5649" i="18"/>
  <c r="H5636" i="18"/>
  <c r="H5623" i="18"/>
  <c r="H5603" i="18"/>
  <c r="H5577" i="18"/>
  <c r="H5559" i="18"/>
  <c r="D5550" i="18"/>
  <c r="G5550" i="18"/>
  <c r="H5550" i="18"/>
  <c r="H5456" i="18"/>
  <c r="H5421" i="18"/>
  <c r="H5387" i="18"/>
  <c r="H5371" i="18"/>
  <c r="H5355" i="18"/>
  <c r="H5338" i="18"/>
  <c r="H5321" i="18"/>
  <c r="H5307" i="18"/>
  <c r="H5292" i="18"/>
  <c r="H5277" i="18"/>
  <c r="H5210" i="18"/>
  <c r="H5196" i="18"/>
  <c r="H5185" i="18"/>
  <c r="H5158" i="18"/>
  <c r="H5148" i="18"/>
  <c r="H5138" i="18"/>
  <c r="H5129" i="18"/>
  <c r="H5121" i="18"/>
  <c r="H5098" i="18"/>
  <c r="H5087" i="18"/>
  <c r="H5076" i="18"/>
  <c r="H5065" i="18"/>
  <c r="H5054" i="18"/>
  <c r="H5038" i="18"/>
  <c r="H5022" i="18"/>
  <c r="H4967" i="18"/>
  <c r="H4959" i="18"/>
  <c r="H4946" i="18"/>
  <c r="H4928" i="18"/>
  <c r="H4915" i="18"/>
  <c r="K4939" i="18"/>
  <c r="H4900" i="18"/>
  <c r="H4878" i="18"/>
  <c r="H4864" i="18"/>
  <c r="H4850" i="18"/>
  <c r="H4823" i="18"/>
  <c r="H4801" i="18"/>
  <c r="H4778" i="18"/>
  <c r="H4752" i="18"/>
  <c r="H4727" i="18"/>
  <c r="H4696" i="18"/>
  <c r="H4665" i="18"/>
  <c r="H4635" i="18"/>
  <c r="H4565" i="18"/>
  <c r="H4542" i="18"/>
  <c r="H4518" i="18"/>
  <c r="H4509" i="18"/>
  <c r="H4500" i="18"/>
  <c r="H4490" i="18"/>
  <c r="H4459" i="18"/>
  <c r="H4426" i="18"/>
  <c r="H4415" i="18"/>
  <c r="H4369" i="18"/>
  <c r="H4362" i="18"/>
  <c r="H4353" i="18"/>
  <c r="H4342" i="18"/>
  <c r="H4332" i="18"/>
  <c r="H4310" i="18"/>
  <c r="H4289" i="18"/>
  <c r="H4271" i="18"/>
  <c r="K4793" i="18"/>
  <c r="H4263" i="18"/>
  <c r="O4282" i="18"/>
  <c r="H4249" i="18"/>
  <c r="H4235" i="18"/>
  <c r="H4224" i="18"/>
  <c r="H4215" i="18"/>
  <c r="H4200" i="18"/>
  <c r="H4180" i="18"/>
  <c r="H4170" i="18"/>
  <c r="H4149" i="18"/>
  <c r="H4120" i="18"/>
  <c r="H4109" i="18"/>
  <c r="H4086" i="18"/>
  <c r="H4076" i="18"/>
  <c r="H4063" i="18"/>
  <c r="H4053" i="18"/>
  <c r="M3933" i="18"/>
  <c r="H3999" i="18"/>
  <c r="M3932" i="18"/>
  <c r="H3981" i="18"/>
  <c r="H3970" i="18"/>
  <c r="R3992" i="18"/>
  <c r="H3929" i="18"/>
  <c r="H3918" i="18"/>
  <c r="H3858" i="18"/>
  <c r="H3831" i="18"/>
  <c r="H3820" i="18"/>
  <c r="H3803" i="18"/>
  <c r="M3766" i="18"/>
  <c r="H3792" i="18"/>
  <c r="H3772" i="18"/>
  <c r="M3765" i="18"/>
  <c r="H3762" i="18"/>
  <c r="H3659" i="18"/>
  <c r="H3630" i="18"/>
  <c r="H3620" i="18"/>
  <c r="H3570" i="18"/>
  <c r="H3560" i="18"/>
  <c r="H3533" i="18"/>
  <c r="J3554" i="18"/>
  <c r="H3473" i="18"/>
  <c r="H3445" i="18"/>
  <c r="J3467" i="18"/>
  <c r="H3434" i="18"/>
  <c r="H3423" i="18"/>
  <c r="H3411" i="18"/>
  <c r="H3396" i="18"/>
  <c r="H3383" i="18"/>
  <c r="H3361" i="18"/>
  <c r="H3321" i="18"/>
  <c r="H3308" i="18"/>
  <c r="H3288" i="18"/>
  <c r="J3302" i="18"/>
  <c r="H3278" i="18"/>
  <c r="J3301" i="18"/>
  <c r="H3271" i="18"/>
  <c r="H3258" i="18"/>
  <c r="H3242" i="18"/>
  <c r="H3215" i="18"/>
  <c r="H3202" i="18"/>
  <c r="H3190" i="18"/>
  <c r="H3177" i="18"/>
  <c r="H3115" i="18"/>
  <c r="H3045" i="18"/>
  <c r="H3008" i="18"/>
  <c r="H2984" i="18"/>
  <c r="H2922" i="18"/>
  <c r="H2910" i="18"/>
  <c r="M2827" i="18"/>
  <c r="H2879" i="18"/>
  <c r="H2832" i="18"/>
  <c r="H2823" i="18"/>
  <c r="H2799" i="18"/>
  <c r="M2645" i="18"/>
  <c r="H2750" i="18"/>
  <c r="H2735" i="18"/>
  <c r="H2721" i="18"/>
  <c r="H2707" i="18"/>
  <c r="H2650" i="18"/>
  <c r="M2644" i="18"/>
  <c r="H2641" i="18"/>
  <c r="H2620" i="18"/>
  <c r="H2601" i="18"/>
  <c r="H2559" i="18"/>
  <c r="H2522" i="18"/>
  <c r="H2508" i="18"/>
  <c r="H2499" i="18"/>
  <c r="H2465" i="18"/>
  <c r="N2427" i="18"/>
  <c r="H2380" i="18"/>
  <c r="H2332" i="18"/>
  <c r="H2351" i="18"/>
  <c r="H2295" i="18"/>
  <c r="H2275" i="18"/>
  <c r="L2311" i="18"/>
  <c r="H2317" i="18"/>
  <c r="H2262" i="18"/>
  <c r="O2225" i="18"/>
  <c r="H2249" i="18"/>
  <c r="O2224" i="18"/>
  <c r="H2236" i="18"/>
  <c r="O2223" i="18"/>
  <c r="H2204" i="18"/>
  <c r="M1797" i="18"/>
  <c r="H2173" i="18"/>
  <c r="H2159" i="18"/>
  <c r="H2120" i="18"/>
  <c r="H2107" i="18"/>
  <c r="M2070" i="18"/>
  <c r="H2094" i="18"/>
  <c r="M2069" i="18"/>
  <c r="H2081" i="18"/>
  <c r="M2068" i="18"/>
  <c r="H2139" i="18"/>
  <c r="H2065" i="18"/>
  <c r="O2133" i="18"/>
  <c r="H2050" i="18"/>
  <c r="H2034" i="18"/>
  <c r="H2023" i="18"/>
  <c r="H2003" i="18"/>
  <c r="H1988" i="18"/>
  <c r="H1973" i="18"/>
  <c r="H1949" i="18"/>
  <c r="H1910" i="18"/>
  <c r="H1897" i="18"/>
  <c r="O1860" i="18"/>
  <c r="H1884" i="18"/>
  <c r="O1859" i="18"/>
  <c r="H1871" i="18"/>
  <c r="O1858" i="18"/>
  <c r="H1929" i="18"/>
  <c r="H1855" i="18"/>
  <c r="H1840" i="18"/>
  <c r="H1825" i="18"/>
  <c r="H1814" i="18"/>
  <c r="H1801" i="18"/>
  <c r="H1792" i="18"/>
  <c r="H1776" i="18"/>
  <c r="H1667" i="18"/>
  <c r="H1638" i="18"/>
  <c r="H1619" i="18"/>
  <c r="H1579" i="18"/>
  <c r="H1569" i="18"/>
  <c r="H1559" i="18"/>
  <c r="H1540" i="18"/>
  <c r="H1529" i="18"/>
  <c r="H1522" i="18"/>
  <c r="H1512" i="18"/>
  <c r="H1471" i="18"/>
  <c r="H1350" i="18"/>
  <c r="H1328" i="18"/>
  <c r="H1117" i="18"/>
  <c r="H1411" i="18"/>
  <c r="H1309" i="18"/>
  <c r="L1344" i="18"/>
  <c r="H1220" i="18"/>
  <c r="H1044" i="18"/>
  <c r="H1014" i="18"/>
  <c r="H989" i="18"/>
  <c r="H978" i="18"/>
  <c r="H968" i="18"/>
  <c r="H957" i="18"/>
  <c r="H945" i="18"/>
  <c r="H935" i="18"/>
  <c r="H872" i="18"/>
  <c r="H860" i="18"/>
  <c r="H849" i="18"/>
  <c r="H741" i="18"/>
  <c r="H722" i="18"/>
  <c r="H707" i="18"/>
  <c r="H699" i="18"/>
  <c r="H658" i="18"/>
  <c r="H648" i="18"/>
  <c r="H629" i="18"/>
  <c r="H618" i="18"/>
  <c r="H611" i="18"/>
  <c r="H601" i="18"/>
  <c r="H579" i="18"/>
  <c r="H535" i="18"/>
  <c r="H515" i="18"/>
  <c r="H400" i="18"/>
  <c r="H378" i="18"/>
  <c r="H356" i="18"/>
  <c r="H430" i="18"/>
  <c r="L462" i="18"/>
  <c r="H334" i="18"/>
  <c r="H317" i="18"/>
  <c r="H293" i="18"/>
  <c r="H286" i="18"/>
  <c r="H273" i="18"/>
  <c r="H251" i="18"/>
  <c r="H214" i="18"/>
  <c r="H192" i="18"/>
  <c r="H170" i="18"/>
  <c r="H160" i="18"/>
  <c r="H146" i="18"/>
  <c r="H138" i="18"/>
  <c r="H120" i="18"/>
  <c r="H109" i="18"/>
  <c r="H90" i="18"/>
  <c r="H71" i="18"/>
  <c r="H10" i="18"/>
  <c r="N1801" i="18"/>
  <c r="H1811" i="18"/>
  <c r="K1801" i="18"/>
  <c r="D992" i="18"/>
  <c r="D993" i="18"/>
  <c r="D994" i="18"/>
  <c r="D995" i="18"/>
  <c r="D996" i="18"/>
  <c r="D997" i="18"/>
  <c r="D998" i="18"/>
  <c r="D999" i="18"/>
  <c r="D1000" i="18"/>
  <c r="D1001" i="18"/>
  <c r="D1002" i="18"/>
  <c r="D1003" i="18"/>
  <c r="D1004" i="18"/>
  <c r="D1005" i="18"/>
  <c r="D320" i="18"/>
  <c r="D321" i="18"/>
  <c r="D322" i="18"/>
  <c r="D323" i="18"/>
  <c r="D324" i="18"/>
  <c r="D325" i="18"/>
  <c r="D326" i="18"/>
  <c r="D327" i="18"/>
  <c r="D328" i="18"/>
  <c r="D329" i="18"/>
  <c r="D330" i="18"/>
  <c r="D331" i="18"/>
  <c r="D332" i="18"/>
  <c r="G2697" i="18"/>
  <c r="G2696" i="18"/>
  <c r="G2695" i="18"/>
  <c r="G2694" i="18"/>
  <c r="G2693" i="18"/>
  <c r="G2692" i="18"/>
  <c r="G2691" i="18"/>
  <c r="G2690" i="18"/>
  <c r="G2689" i="18"/>
  <c r="G2686" i="18"/>
  <c r="G2685" i="18"/>
  <c r="G2684" i="18"/>
  <c r="G2683" i="18"/>
  <c r="G2682" i="18"/>
  <c r="G2681" i="18"/>
  <c r="G2680" i="18"/>
  <c r="G2679" i="18"/>
  <c r="G2678" i="18"/>
  <c r="G2675" i="18"/>
  <c r="G2674" i="18"/>
  <c r="G2673" i="18"/>
  <c r="G2672" i="18"/>
  <c r="G2671" i="18"/>
  <c r="G2670" i="18"/>
  <c r="G2669" i="18"/>
  <c r="G2668" i="18"/>
  <c r="G2667" i="18"/>
  <c r="O2687" i="18"/>
  <c r="N2687" i="18"/>
  <c r="M2687" i="18"/>
  <c r="L2687" i="18"/>
  <c r="K2687" i="18"/>
  <c r="J2687" i="18"/>
  <c r="I2687" i="18"/>
  <c r="H2687" i="18"/>
  <c r="O2676" i="18"/>
  <c r="N2676" i="18"/>
  <c r="M2676" i="18"/>
  <c r="L2676" i="18"/>
  <c r="K2676" i="18"/>
  <c r="J2676" i="18"/>
  <c r="I2676" i="18"/>
  <c r="O2665" i="18"/>
  <c r="N2665" i="18"/>
  <c r="M2665" i="18"/>
  <c r="M2698" i="18"/>
  <c r="L2665" i="18"/>
  <c r="K2665" i="18"/>
  <c r="J2665" i="18"/>
  <c r="I2665" i="18"/>
  <c r="I2698" i="18"/>
  <c r="H2665" i="18"/>
  <c r="H2697" i="18"/>
  <c r="H2696" i="18"/>
  <c r="H2695" i="18"/>
  <c r="H2694" i="18"/>
  <c r="H2693" i="18"/>
  <c r="H2692" i="18"/>
  <c r="H2691" i="18"/>
  <c r="H2690" i="18"/>
  <c r="H2689" i="18"/>
  <c r="P2686" i="18"/>
  <c r="P2685" i="18"/>
  <c r="P2684" i="18"/>
  <c r="P2683" i="18"/>
  <c r="P2682" i="18"/>
  <c r="P2681" i="18"/>
  <c r="P2680" i="18"/>
  <c r="P2679" i="18"/>
  <c r="P2687" i="18" s="1"/>
  <c r="P2678" i="18"/>
  <c r="P2675" i="18"/>
  <c r="P2674" i="18"/>
  <c r="P2673" i="18"/>
  <c r="P2672" i="18"/>
  <c r="P2671" i="18"/>
  <c r="P2670" i="18"/>
  <c r="P2669" i="18"/>
  <c r="P2668" i="18"/>
  <c r="P2667" i="18"/>
  <c r="P2664" i="18"/>
  <c r="P2663" i="18"/>
  <c r="P2662" i="18"/>
  <c r="P2661" i="18"/>
  <c r="P2660" i="18"/>
  <c r="P2659" i="18"/>
  <c r="P2658" i="18"/>
  <c r="P2657" i="18"/>
  <c r="P2656" i="18"/>
  <c r="I5419" i="18"/>
  <c r="N5387" i="18"/>
  <c r="K5387" i="18"/>
  <c r="D5430" i="18"/>
  <c r="D5435" i="18"/>
  <c r="D5440" i="18"/>
  <c r="D5445" i="18"/>
  <c r="D5450" i="18"/>
  <c r="D5451" i="18"/>
  <c r="D5452" i="18"/>
  <c r="I5453" i="18"/>
  <c r="N5421" i="18"/>
  <c r="G5449" i="18"/>
  <c r="G5448" i="18"/>
  <c r="G5447" i="18"/>
  <c r="G5444" i="18"/>
  <c r="G5443" i="18"/>
  <c r="G5442" i="18"/>
  <c r="G5439" i="18"/>
  <c r="G5438" i="18"/>
  <c r="G5437" i="18"/>
  <c r="G5434" i="18"/>
  <c r="G5433" i="18"/>
  <c r="G5432" i="18"/>
  <c r="G5429" i="18"/>
  <c r="G5428" i="18"/>
  <c r="G5427" i="18"/>
  <c r="D5396" i="18"/>
  <c r="D5401" i="18"/>
  <c r="D5406" i="18"/>
  <c r="D5411" i="18"/>
  <c r="D5416" i="18"/>
  <c r="D5417" i="18"/>
  <c r="D5418" i="18"/>
  <c r="G5415" i="18"/>
  <c r="G5414" i="18"/>
  <c r="G5413" i="18"/>
  <c r="G5410" i="18"/>
  <c r="G5409" i="18"/>
  <c r="G5408" i="18"/>
  <c r="G5405" i="18"/>
  <c r="G5404" i="18"/>
  <c r="G5403" i="18"/>
  <c r="G5400" i="18"/>
  <c r="G5399" i="18"/>
  <c r="G5398" i="18"/>
  <c r="G5395" i="18"/>
  <c r="G5394" i="18"/>
  <c r="G5393" i="18"/>
  <c r="D5127" i="18"/>
  <c r="G5271" i="18"/>
  <c r="G5270" i="18"/>
  <c r="G5269" i="18"/>
  <c r="G5266" i="18"/>
  <c r="G5265" i="18"/>
  <c r="G5264" i="18"/>
  <c r="G5261" i="18"/>
  <c r="G5260" i="18"/>
  <c r="G5259" i="18"/>
  <c r="G5256" i="18"/>
  <c r="G5255" i="18"/>
  <c r="G5254" i="18"/>
  <c r="G5251" i="18"/>
  <c r="G5250" i="18"/>
  <c r="G5249" i="18"/>
  <c r="G5246" i="18"/>
  <c r="G5245" i="18"/>
  <c r="G5244" i="18"/>
  <c r="G5236" i="18"/>
  <c r="G5235" i="18"/>
  <c r="G5234" i="18"/>
  <c r="G5231" i="18"/>
  <c r="G5230" i="18"/>
  <c r="G5229" i="18"/>
  <c r="G5226" i="18"/>
  <c r="G5225" i="18"/>
  <c r="G5224" i="18"/>
  <c r="G5216" i="18"/>
  <c r="G5215" i="18"/>
  <c r="G5214" i="18"/>
  <c r="G5103" i="18"/>
  <c r="D4781" i="18"/>
  <c r="D4782" i="18"/>
  <c r="D4783" i="18"/>
  <c r="D4784" i="18"/>
  <c r="D4785" i="18"/>
  <c r="D4786" i="18"/>
  <c r="D4787" i="18"/>
  <c r="D4788" i="18"/>
  <c r="D4789" i="18"/>
  <c r="D4790" i="18"/>
  <c r="I4786" i="18"/>
  <c r="H4786" i="18"/>
  <c r="I4781" i="18"/>
  <c r="H4781" i="18"/>
  <c r="J4496" i="18"/>
  <c r="H4496" i="18"/>
  <c r="J4495" i="18"/>
  <c r="J4498" i="18"/>
  <c r="H4495" i="18"/>
  <c r="H4498" i="18" s="1"/>
  <c r="K4490" i="18" s="1"/>
  <c r="L4490" i="18" s="1"/>
  <c r="L6540" i="18" s="1"/>
  <c r="I4115" i="18"/>
  <c r="H4115" i="18"/>
  <c r="I4059" i="18"/>
  <c r="H4059" i="18"/>
  <c r="D4056" i="18"/>
  <c r="D4057" i="18"/>
  <c r="D4058" i="18"/>
  <c r="D4059" i="18"/>
  <c r="D4060" i="18"/>
  <c r="D4061" i="18"/>
  <c r="I4008" i="18"/>
  <c r="H4008" i="18"/>
  <c r="D4002" i="18"/>
  <c r="D4003" i="18"/>
  <c r="D4004" i="18"/>
  <c r="D4005" i="18"/>
  <c r="D4006" i="18"/>
  <c r="D4007" i="18"/>
  <c r="D4008" i="18"/>
  <c r="D4009" i="18"/>
  <c r="D4010" i="18"/>
  <c r="I3816" i="18"/>
  <c r="H3816" i="18"/>
  <c r="I3811" i="18"/>
  <c r="H3811" i="18"/>
  <c r="D3806" i="18"/>
  <c r="D3807" i="18"/>
  <c r="D3808" i="18"/>
  <c r="D3809" i="18"/>
  <c r="D3810" i="18"/>
  <c r="D3811" i="18"/>
  <c r="D3812" i="18"/>
  <c r="D3813" i="18"/>
  <c r="D3814" i="18"/>
  <c r="D3815" i="18"/>
  <c r="D3816" i="18"/>
  <c r="D3817" i="18"/>
  <c r="D3818" i="18"/>
  <c r="I3787" i="18"/>
  <c r="H3787" i="18"/>
  <c r="I3782" i="18"/>
  <c r="H3782" i="18"/>
  <c r="D3775" i="18"/>
  <c r="D3776" i="18"/>
  <c r="D3777" i="18"/>
  <c r="D3778" i="18"/>
  <c r="D3779" i="18"/>
  <c r="D3780" i="18"/>
  <c r="D3781" i="18"/>
  <c r="D3782" i="18"/>
  <c r="D3783" i="18"/>
  <c r="D3784" i="18"/>
  <c r="D3785" i="18"/>
  <c r="D3786" i="18"/>
  <c r="D3787" i="18"/>
  <c r="D3788" i="18"/>
  <c r="D3789" i="18"/>
  <c r="D3790" i="18"/>
  <c r="D2612" i="18"/>
  <c r="D2617" i="18"/>
  <c r="K2609" i="18"/>
  <c r="K2610" i="18"/>
  <c r="D2570" i="18"/>
  <c r="D2574" i="18"/>
  <c r="D2580" i="18"/>
  <c r="D2584" i="18"/>
  <c r="D2590" i="18"/>
  <c r="D2594" i="18"/>
  <c r="D2599" i="18"/>
  <c r="K2568" i="18"/>
  <c r="K2569" i="18"/>
  <c r="K3387" i="18"/>
  <c r="K3388" i="18"/>
  <c r="K3389" i="18"/>
  <c r="K3390" i="18"/>
  <c r="K3391" i="18"/>
  <c r="K3392" i="18"/>
  <c r="K3393" i="18"/>
  <c r="K3386" i="18"/>
  <c r="M2916" i="18"/>
  <c r="M2917" i="18"/>
  <c r="M2918" i="18"/>
  <c r="M2915" i="18"/>
  <c r="M2919" i="18" s="1"/>
  <c r="N2910" i="18" s="1"/>
  <c r="J2916" i="18"/>
  <c r="J2917" i="18"/>
  <c r="J2918" i="18"/>
  <c r="J2915" i="18"/>
  <c r="K2266" i="18"/>
  <c r="K2267" i="18"/>
  <c r="K2268" i="18"/>
  <c r="K2269" i="18"/>
  <c r="K2270" i="18"/>
  <c r="K2271" i="18"/>
  <c r="K2272" i="18"/>
  <c r="K2265" i="18"/>
  <c r="K2253" i="18"/>
  <c r="K2254" i="18"/>
  <c r="K2255" i="18"/>
  <c r="K2256" i="18"/>
  <c r="K2257" i="18"/>
  <c r="K2258" i="18"/>
  <c r="K2259" i="18"/>
  <c r="K2252" i="18"/>
  <c r="M2209" i="18"/>
  <c r="K1994" i="18"/>
  <c r="K1995" i="18"/>
  <c r="K1996" i="18"/>
  <c r="K1997" i="18"/>
  <c r="K1998" i="18"/>
  <c r="K1999" i="18"/>
  <c r="K2000" i="18"/>
  <c r="K1993" i="18"/>
  <c r="K1979" i="18"/>
  <c r="K1980" i="18"/>
  <c r="K1981" i="18"/>
  <c r="K1982" i="18"/>
  <c r="K1983" i="18"/>
  <c r="K1984" i="18"/>
  <c r="K1985" i="18"/>
  <c r="K1978" i="18"/>
  <c r="K1901" i="18"/>
  <c r="K1902" i="18"/>
  <c r="K1903" i="18"/>
  <c r="K1904" i="18"/>
  <c r="K1905" i="18"/>
  <c r="K1906" i="18"/>
  <c r="K1907" i="18"/>
  <c r="K1900" i="18"/>
  <c r="J4430" i="18"/>
  <c r="M4430" i="18"/>
  <c r="J4431" i="18"/>
  <c r="M4431" i="18"/>
  <c r="J4432" i="18"/>
  <c r="M4432" i="18"/>
  <c r="J4433" i="18"/>
  <c r="M4433" i="18"/>
  <c r="J4429" i="18"/>
  <c r="M4429" i="18"/>
  <c r="J2338" i="18"/>
  <c r="N2338" i="18"/>
  <c r="J2339" i="18"/>
  <c r="N2339" i="18"/>
  <c r="J2340" i="18"/>
  <c r="N2340" i="18"/>
  <c r="J2341" i="18"/>
  <c r="N2341" i="18"/>
  <c r="J2337" i="18"/>
  <c r="N2337" i="18"/>
  <c r="J1477" i="18"/>
  <c r="N1477" i="18"/>
  <c r="J1478" i="18"/>
  <c r="N1478" i="18"/>
  <c r="J1479" i="18"/>
  <c r="N1479" i="18"/>
  <c r="J1480" i="18"/>
  <c r="J1481" i="18"/>
  <c r="N1481" i="18"/>
  <c r="J1482" i="18"/>
  <c r="N1482" i="18"/>
  <c r="J1483" i="18"/>
  <c r="N1483" i="18"/>
  <c r="J1476" i="18"/>
  <c r="J1484" i="18"/>
  <c r="J855" i="18"/>
  <c r="N855" i="18" s="1"/>
  <c r="J856" i="18"/>
  <c r="N856" i="18" s="1"/>
  <c r="J854" i="18"/>
  <c r="N854" i="18"/>
  <c r="J585" i="18"/>
  <c r="J586" i="18"/>
  <c r="N586" i="18"/>
  <c r="J587" i="18"/>
  <c r="N587" i="18"/>
  <c r="J588" i="18"/>
  <c r="N588" i="18"/>
  <c r="J589" i="18"/>
  <c r="N589" i="18"/>
  <c r="J590" i="18"/>
  <c r="N590" i="18"/>
  <c r="J591" i="18"/>
  <c r="N591" i="18"/>
  <c r="J584" i="18"/>
  <c r="N584" i="18"/>
  <c r="J257" i="18"/>
  <c r="J258" i="18"/>
  <c r="N258" i="18" s="1"/>
  <c r="J259" i="18"/>
  <c r="N259" i="18" s="1"/>
  <c r="J260" i="18"/>
  <c r="N260" i="18" s="1"/>
  <c r="J261" i="18"/>
  <c r="N261" i="18" s="1"/>
  <c r="J262" i="18"/>
  <c r="N262" i="18" s="1"/>
  <c r="J263" i="18"/>
  <c r="N263" i="18" s="1"/>
  <c r="J256" i="18"/>
  <c r="N256" i="18"/>
  <c r="K2367" i="18"/>
  <c r="K2366" i="18"/>
  <c r="K2365" i="18"/>
  <c r="K2364" i="18"/>
  <c r="K2363" i="18"/>
  <c r="K2362" i="18"/>
  <c r="K2361" i="18"/>
  <c r="K2360" i="18"/>
  <c r="K2359" i="18"/>
  <c r="K2358" i="18"/>
  <c r="K2356" i="18"/>
  <c r="K2155" i="18"/>
  <c r="K2154" i="18"/>
  <c r="K2153" i="18"/>
  <c r="K2152" i="18"/>
  <c r="K2151" i="18"/>
  <c r="K2150" i="18"/>
  <c r="K2149" i="18"/>
  <c r="K2148" i="18"/>
  <c r="K2147" i="18"/>
  <c r="K2146" i="18"/>
  <c r="K2144" i="18"/>
  <c r="K1934" i="18"/>
  <c r="K1940" i="18"/>
  <c r="K1941" i="18"/>
  <c r="K1942" i="18"/>
  <c r="K1943" i="18"/>
  <c r="K1944" i="18"/>
  <c r="K1945" i="18"/>
  <c r="K1937" i="18"/>
  <c r="K1938" i="18"/>
  <c r="K1939" i="18"/>
  <c r="K1936" i="18"/>
  <c r="O3091" i="18"/>
  <c r="N3091" i="18"/>
  <c r="M3091" i="18"/>
  <c r="L3091" i="18"/>
  <c r="H3091" i="18"/>
  <c r="O3077" i="18"/>
  <c r="N3077" i="18"/>
  <c r="M3077" i="18"/>
  <c r="L3077" i="18"/>
  <c r="H3077" i="18"/>
  <c r="O3063" i="18"/>
  <c r="N3063" i="18"/>
  <c r="M3063" i="18"/>
  <c r="K3063" i="18"/>
  <c r="J3063" i="18"/>
  <c r="I3063" i="18"/>
  <c r="H3063" i="18"/>
  <c r="H3095" i="18"/>
  <c r="H3096" i="18"/>
  <c r="H3097" i="18"/>
  <c r="H3098" i="18"/>
  <c r="H3099" i="18"/>
  <c r="H3100" i="18"/>
  <c r="H3101" i="18"/>
  <c r="H3102" i="18"/>
  <c r="H3103" i="18"/>
  <c r="H3104" i="18"/>
  <c r="H3093" i="18"/>
  <c r="G3104" i="18"/>
  <c r="G3103" i="18"/>
  <c r="G3102" i="18"/>
  <c r="G3101" i="18"/>
  <c r="G3100" i="18"/>
  <c r="G3099" i="18"/>
  <c r="G3098" i="18"/>
  <c r="G3097" i="18"/>
  <c r="G3096" i="18"/>
  <c r="G3095" i="18"/>
  <c r="G3094" i="18"/>
  <c r="G3093" i="18"/>
  <c r="G3090" i="18"/>
  <c r="G3089" i="18"/>
  <c r="G3088" i="18"/>
  <c r="G3087" i="18"/>
  <c r="G3086" i="18"/>
  <c r="G3085" i="18"/>
  <c r="G3084" i="18"/>
  <c r="G3083" i="18"/>
  <c r="G3082" i="18"/>
  <c r="G3081" i="18"/>
  <c r="G3080" i="18"/>
  <c r="G3079" i="18"/>
  <c r="G3076" i="18"/>
  <c r="G3075" i="18"/>
  <c r="G3074" i="18"/>
  <c r="G3073" i="18"/>
  <c r="G3072" i="18"/>
  <c r="G3071" i="18"/>
  <c r="G3070" i="18"/>
  <c r="G3069" i="18"/>
  <c r="G3068" i="18"/>
  <c r="G3067" i="18"/>
  <c r="G3066" i="18"/>
  <c r="G3065" i="18"/>
  <c r="P3090" i="18"/>
  <c r="P3089" i="18"/>
  <c r="P3088" i="18"/>
  <c r="P3087" i="18"/>
  <c r="P3086" i="18"/>
  <c r="P3085" i="18"/>
  <c r="P3084" i="18"/>
  <c r="P3083" i="18"/>
  <c r="P3082" i="18"/>
  <c r="P3081" i="18"/>
  <c r="P3080" i="18"/>
  <c r="P3079" i="18"/>
  <c r="P3076" i="18"/>
  <c r="P3075" i="18"/>
  <c r="P3074" i="18"/>
  <c r="P3073" i="18"/>
  <c r="P3072" i="18"/>
  <c r="P3071" i="18"/>
  <c r="P3070" i="18"/>
  <c r="P3069" i="18"/>
  <c r="P3068" i="18"/>
  <c r="P3067" i="18"/>
  <c r="P3066" i="18"/>
  <c r="H2981" i="18"/>
  <c r="H2980" i="18"/>
  <c r="H2978" i="18"/>
  <c r="H2977" i="18"/>
  <c r="H2975" i="18"/>
  <c r="H2974" i="18"/>
  <c r="H2972" i="18"/>
  <c r="H2971" i="18"/>
  <c r="O2967" i="18"/>
  <c r="O2966" i="18"/>
  <c r="O2964" i="18"/>
  <c r="O2963" i="18"/>
  <c r="O2961" i="18"/>
  <c r="O2960" i="18"/>
  <c r="O2958" i="18"/>
  <c r="O2957" i="18"/>
  <c r="O2953" i="18"/>
  <c r="O2952" i="18"/>
  <c r="O2950" i="18"/>
  <c r="O2949" i="18"/>
  <c r="O2947" i="18"/>
  <c r="O2946" i="18"/>
  <c r="O2944" i="18"/>
  <c r="O2943" i="18"/>
  <c r="N2968" i="18"/>
  <c r="M2968" i="18"/>
  <c r="L2968" i="18"/>
  <c r="K2968" i="18"/>
  <c r="H2968" i="18"/>
  <c r="N2954" i="18"/>
  <c r="M2954" i="18"/>
  <c r="L2954" i="18"/>
  <c r="K2954" i="18"/>
  <c r="H2954" i="18"/>
  <c r="N2940" i="18"/>
  <c r="M2940" i="18"/>
  <c r="L2940" i="18"/>
  <c r="J2940" i="18"/>
  <c r="I2940" i="18"/>
  <c r="H2940" i="18"/>
  <c r="G2981" i="18"/>
  <c r="G2980" i="18"/>
  <c r="G2979" i="18"/>
  <c r="G2978" i="18"/>
  <c r="G2977" i="18"/>
  <c r="G2976" i="18"/>
  <c r="G2975" i="18"/>
  <c r="G2974" i="18"/>
  <c r="G2973" i="18"/>
  <c r="G2972" i="18"/>
  <c r="G2971" i="18"/>
  <c r="G2970" i="18"/>
  <c r="G2967" i="18"/>
  <c r="G2966" i="18"/>
  <c r="G2965" i="18"/>
  <c r="G2964" i="18"/>
  <c r="G2963" i="18"/>
  <c r="G2962" i="18"/>
  <c r="G2961" i="18"/>
  <c r="G2960" i="18"/>
  <c r="G2959" i="18"/>
  <c r="G2958" i="18"/>
  <c r="G2957" i="18"/>
  <c r="G2956" i="18"/>
  <c r="G2953" i="18"/>
  <c r="G2952" i="18"/>
  <c r="G2951" i="18"/>
  <c r="G2950" i="18"/>
  <c r="G2949" i="18"/>
  <c r="G2948" i="18"/>
  <c r="G2945" i="18"/>
  <c r="G2947" i="18"/>
  <c r="G2946" i="18"/>
  <c r="G2944" i="18"/>
  <c r="G2943" i="18"/>
  <c r="G2942" i="18"/>
  <c r="D5326" i="18"/>
  <c r="D5327" i="18"/>
  <c r="D5328" i="18"/>
  <c r="D5329" i="18"/>
  <c r="D5330" i="18"/>
  <c r="D5331" i="18"/>
  <c r="D5332" i="18"/>
  <c r="D5333" i="18"/>
  <c r="D5334" i="18"/>
  <c r="D5335" i="18"/>
  <c r="D5336" i="18"/>
  <c r="L5336" i="18"/>
  <c r="K5336" i="18"/>
  <c r="J5336" i="18"/>
  <c r="I5336" i="18"/>
  <c r="N5321" i="18"/>
  <c r="H5336" i="18"/>
  <c r="K5321" i="18"/>
  <c r="I3041" i="18"/>
  <c r="J3041" i="18"/>
  <c r="K3041" i="18"/>
  <c r="I3035" i="18"/>
  <c r="J3035" i="18"/>
  <c r="K3035" i="18"/>
  <c r="I3032" i="18"/>
  <c r="J3032" i="18"/>
  <c r="K3032" i="18"/>
  <c r="I3026" i="18"/>
  <c r="J3026" i="18"/>
  <c r="K3026" i="18"/>
  <c r="I3023" i="18"/>
  <c r="J3023" i="18"/>
  <c r="K3023" i="18"/>
  <c r="I3017" i="18"/>
  <c r="J3017" i="18"/>
  <c r="K3017" i="18"/>
  <c r="I3013" i="18"/>
  <c r="J3013" i="18"/>
  <c r="K3013" i="18"/>
  <c r="L3036" i="18"/>
  <c r="L3037" i="18"/>
  <c r="L3022" i="18"/>
  <c r="L3024" i="18"/>
  <c r="L3025" i="18"/>
  <c r="L3027" i="18"/>
  <c r="L3028" i="18"/>
  <c r="L3031" i="18"/>
  <c r="L3033" i="18"/>
  <c r="L3034" i="18"/>
  <c r="L3014" i="18"/>
  <c r="L3015" i="18"/>
  <c r="L3016" i="18"/>
  <c r="L3018" i="18"/>
  <c r="L3019" i="18"/>
  <c r="L3012" i="18"/>
  <c r="H3041" i="18"/>
  <c r="H3035" i="18"/>
  <c r="H3032" i="18"/>
  <c r="H3026" i="18"/>
  <c r="H3023" i="18"/>
  <c r="H3017" i="18"/>
  <c r="H3013" i="18"/>
  <c r="K2617" i="18"/>
  <c r="K2616" i="18"/>
  <c r="K2615" i="18"/>
  <c r="K2614" i="18"/>
  <c r="K2612" i="18"/>
  <c r="K2611" i="18"/>
  <c r="K2608" i="18"/>
  <c r="K2607" i="18"/>
  <c r="K2606" i="18"/>
  <c r="K2604" i="18"/>
  <c r="N2601" i="18"/>
  <c r="I2605" i="18"/>
  <c r="J2605" i="18"/>
  <c r="I2613" i="18"/>
  <c r="J2613" i="18"/>
  <c r="H2613" i="18"/>
  <c r="H2605" i="18"/>
  <c r="K2594" i="18"/>
  <c r="K2593" i="18"/>
  <c r="K2592" i="18"/>
  <c r="K2590" i="18"/>
  <c r="K2589" i="18"/>
  <c r="K2587" i="18"/>
  <c r="K2584" i="18"/>
  <c r="K2583" i="18"/>
  <c r="K2582" i="18"/>
  <c r="K2580" i="18"/>
  <c r="K2579" i="18"/>
  <c r="K2577" i="18"/>
  <c r="K2574" i="18"/>
  <c r="K2573" i="18"/>
  <c r="K2572" i="18"/>
  <c r="K2570" i="18"/>
  <c r="K2567" i="18"/>
  <c r="K2566" i="18"/>
  <c r="K2565" i="18"/>
  <c r="K2563" i="18"/>
  <c r="J2598" i="18"/>
  <c r="J2591" i="18"/>
  <c r="J2588" i="18"/>
  <c r="J2581" i="18"/>
  <c r="J2578" i="18"/>
  <c r="J2571" i="18"/>
  <c r="J2564" i="18"/>
  <c r="I2598" i="18"/>
  <c r="I2591" i="18"/>
  <c r="I2588" i="18"/>
  <c r="I2581" i="18"/>
  <c r="I2578" i="18"/>
  <c r="I2571" i="18"/>
  <c r="I2564" i="18"/>
  <c r="H2598" i="18"/>
  <c r="H2591" i="18"/>
  <c r="H2588" i="18"/>
  <c r="H2581" i="18"/>
  <c r="H2578" i="18"/>
  <c r="H2571" i="18"/>
  <c r="H2564" i="18"/>
  <c r="K2559" i="18"/>
  <c r="L2281" i="18"/>
  <c r="L2282" i="18"/>
  <c r="L2283" i="18"/>
  <c r="L2284" i="18"/>
  <c r="L2285" i="18"/>
  <c r="L2280" i="18"/>
  <c r="K2240" i="18"/>
  <c r="K2241" i="18"/>
  <c r="K2242" i="18"/>
  <c r="K2243" i="18"/>
  <c r="K2244" i="18"/>
  <c r="K2245" i="18"/>
  <c r="K2246" i="18"/>
  <c r="K2239" i="18"/>
  <c r="J2007" i="18"/>
  <c r="J2008" i="18"/>
  <c r="J2009" i="18"/>
  <c r="J2010" i="18"/>
  <c r="J2011" i="18"/>
  <c r="J2012" i="18"/>
  <c r="J2006" i="18"/>
  <c r="D2012" i="18"/>
  <c r="I2013" i="18"/>
  <c r="H2013" i="18"/>
  <c r="J1986" i="18"/>
  <c r="I1986" i="18"/>
  <c r="H1986" i="18"/>
  <c r="M1956" i="18"/>
  <c r="M1957" i="18"/>
  <c r="M1958" i="18"/>
  <c r="M1959" i="18"/>
  <c r="M1960" i="18"/>
  <c r="K1910" i="18"/>
  <c r="K1894" i="18"/>
  <c r="K1893" i="18"/>
  <c r="K1892" i="18"/>
  <c r="K1891" i="18"/>
  <c r="K1890" i="18"/>
  <c r="K1889" i="18"/>
  <c r="K1888" i="18"/>
  <c r="K1887" i="18"/>
  <c r="K1875" i="18"/>
  <c r="K1876" i="18"/>
  <c r="K1877" i="18"/>
  <c r="K1878" i="18"/>
  <c r="K1879" i="18"/>
  <c r="K1880" i="18"/>
  <c r="K1881" i="18"/>
  <c r="K1874" i="18"/>
  <c r="D1945" i="18"/>
  <c r="J1837" i="18"/>
  <c r="J1835" i="18"/>
  <c r="J1834" i="18"/>
  <c r="J1833" i="18"/>
  <c r="J1832" i="18"/>
  <c r="J1831" i="18"/>
  <c r="J1830" i="18"/>
  <c r="D1355" i="18"/>
  <c r="D1356" i="18"/>
  <c r="D1357" i="18"/>
  <c r="D1358" i="18"/>
  <c r="D1359" i="18"/>
  <c r="D1360" i="18"/>
  <c r="D1361" i="18"/>
  <c r="D1362" i="18"/>
  <c r="D1363" i="18"/>
  <c r="D1364" i="18"/>
  <c r="D1365" i="18"/>
  <c r="L1315" i="18"/>
  <c r="L1316" i="18"/>
  <c r="L1317" i="18"/>
  <c r="L1318" i="18"/>
  <c r="L1314" i="18"/>
  <c r="K1232" i="18"/>
  <c r="K1230" i="18"/>
  <c r="K1229" i="18"/>
  <c r="K1226" i="18"/>
  <c r="K1225" i="18"/>
  <c r="K1224" i="18"/>
  <c r="K1223" i="18"/>
  <c r="K1055" i="18"/>
  <c r="K1053" i="18"/>
  <c r="K1052" i="18"/>
  <c r="K1050" i="18"/>
  <c r="K1049" i="18"/>
  <c r="K1048" i="18"/>
  <c r="K1047" i="18"/>
  <c r="D1017" i="18"/>
  <c r="D1018" i="18"/>
  <c r="D1019" i="18"/>
  <c r="D1020" i="18"/>
  <c r="D1021" i="18"/>
  <c r="D1022" i="18"/>
  <c r="D1023" i="18"/>
  <c r="D1024" i="18"/>
  <c r="D1025" i="18"/>
  <c r="D1026" i="18"/>
  <c r="D981" i="18"/>
  <c r="D982" i="18"/>
  <c r="D983" i="18"/>
  <c r="D984" i="18"/>
  <c r="D985" i="18"/>
  <c r="D986" i="18"/>
  <c r="H857" i="18"/>
  <c r="N849" i="18"/>
  <c r="J666" i="18"/>
  <c r="I666" i="18"/>
  <c r="D632" i="18"/>
  <c r="D633" i="18"/>
  <c r="D634" i="18"/>
  <c r="D635" i="18"/>
  <c r="D636" i="18"/>
  <c r="D637" i="18"/>
  <c r="D638" i="18"/>
  <c r="D639" i="18"/>
  <c r="D640" i="18"/>
  <c r="D641" i="18"/>
  <c r="D642" i="18"/>
  <c r="D643" i="18"/>
  <c r="D644" i="18"/>
  <c r="D645" i="18"/>
  <c r="D646" i="18"/>
  <c r="D614" i="18"/>
  <c r="D615" i="18"/>
  <c r="D616" i="18"/>
  <c r="H616" i="18"/>
  <c r="K611" i="18"/>
  <c r="D540" i="18"/>
  <c r="D541" i="18"/>
  <c r="D542" i="18"/>
  <c r="D543" i="18"/>
  <c r="D544" i="18"/>
  <c r="D545" i="18"/>
  <c r="D546" i="18"/>
  <c r="D547" i="18"/>
  <c r="D548" i="18"/>
  <c r="D549" i="18"/>
  <c r="D550" i="18"/>
  <c r="L436" i="18"/>
  <c r="L437" i="18"/>
  <c r="L438" i="18"/>
  <c r="L435" i="18"/>
  <c r="L439" i="18" s="1"/>
  <c r="L443" i="18" s="1"/>
  <c r="L340" i="18"/>
  <c r="L341" i="18"/>
  <c r="L342" i="18"/>
  <c r="L344" i="18"/>
  <c r="L345" i="18"/>
  <c r="L346" i="18"/>
  <c r="L176" i="18"/>
  <c r="L177" i="18"/>
  <c r="L178" i="18"/>
  <c r="L179" i="18"/>
  <c r="L180" i="18"/>
  <c r="L181" i="18"/>
  <c r="L182" i="18"/>
  <c r="L175" i="18"/>
  <c r="J183" i="18"/>
  <c r="J187" i="18"/>
  <c r="H183" i="18"/>
  <c r="H187" i="18"/>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c r="C102" i="47"/>
  <c r="H101" i="47"/>
  <c r="C101" i="47"/>
  <c r="J100" i="47"/>
  <c r="I100" i="47"/>
  <c r="H100" i="47"/>
  <c r="C100" i="47"/>
  <c r="H99" i="47"/>
  <c r="C99" i="47"/>
  <c r="C98" i="47"/>
  <c r="C97" i="47"/>
  <c r="C96" i="47"/>
  <c r="C95" i="47"/>
  <c r="C94" i="47"/>
  <c r="C93" i="47"/>
  <c r="C92" i="47"/>
  <c r="C91" i="47"/>
  <c r="C90" i="47"/>
  <c r="C89" i="47"/>
  <c r="C88" i="47"/>
  <c r="C87" i="47"/>
  <c r="I86" i="47"/>
  <c r="J86" i="47"/>
  <c r="H86" i="47"/>
  <c r="C86" i="47"/>
  <c r="C85" i="47"/>
  <c r="C84" i="47"/>
  <c r="C83" i="47"/>
  <c r="C82" i="47"/>
  <c r="C81" i="47"/>
  <c r="C80" i="47"/>
  <c r="C79" i="47"/>
  <c r="C78" i="47"/>
  <c r="C77" i="47"/>
  <c r="C76" i="47"/>
  <c r="C75" i="47"/>
  <c r="C74" i="47"/>
  <c r="I73" i="47"/>
  <c r="J73" i="47"/>
  <c r="H73" i="47"/>
  <c r="C73" i="47"/>
  <c r="C72" i="47"/>
  <c r="C71" i="47"/>
  <c r="C70" i="47"/>
  <c r="C69" i="47"/>
  <c r="C68" i="47"/>
  <c r="C67" i="47"/>
  <c r="C66" i="47"/>
  <c r="C65" i="47"/>
  <c r="C64" i="47"/>
  <c r="C63" i="47"/>
  <c r="C62" i="47"/>
  <c r="C61" i="47"/>
  <c r="C60" i="47"/>
  <c r="C59" i="47"/>
  <c r="C58" i="47"/>
  <c r="C57" i="47"/>
  <c r="I56" i="47"/>
  <c r="J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c r="H29" i="47"/>
  <c r="C29" i="47"/>
  <c r="C28" i="47"/>
  <c r="C27" i="47"/>
  <c r="C26" i="47"/>
  <c r="C25" i="47"/>
  <c r="C24" i="47"/>
  <c r="C23" i="47"/>
  <c r="C22" i="47"/>
  <c r="C21" i="47"/>
  <c r="C20" i="47"/>
  <c r="C19" i="47"/>
  <c r="C18" i="47"/>
  <c r="C17" i="47"/>
  <c r="C16" i="47"/>
  <c r="C15" i="47"/>
  <c r="C14" i="47"/>
  <c r="C13" i="47"/>
  <c r="J12" i="47"/>
  <c r="C12" i="47"/>
  <c r="I11" i="47"/>
  <c r="J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H115" i="51"/>
  <c r="C101" i="51"/>
  <c r="I100" i="51"/>
  <c r="J100" i="51"/>
  <c r="H100" i="51"/>
  <c r="C100" i="51"/>
  <c r="H99" i="51"/>
  <c r="C99" i="51"/>
  <c r="C98" i="51"/>
  <c r="C97" i="51"/>
  <c r="C96" i="51"/>
  <c r="C95" i="51"/>
  <c r="C94" i="51"/>
  <c r="C93" i="51"/>
  <c r="C92" i="51"/>
  <c r="C91" i="51"/>
  <c r="C90" i="51"/>
  <c r="C89" i="51"/>
  <c r="C88" i="51"/>
  <c r="C87" i="51"/>
  <c r="I86" i="51"/>
  <c r="J86" i="51"/>
  <c r="H86" i="51"/>
  <c r="C86" i="51"/>
  <c r="C85" i="51"/>
  <c r="C84" i="51"/>
  <c r="C83" i="51"/>
  <c r="C82" i="51"/>
  <c r="C81" i="51"/>
  <c r="C80" i="51"/>
  <c r="C79" i="51"/>
  <c r="C78" i="51"/>
  <c r="C77" i="51"/>
  <c r="C76" i="51"/>
  <c r="C75" i="51"/>
  <c r="C74" i="51"/>
  <c r="I73" i="51"/>
  <c r="J73" i="51"/>
  <c r="H73" i="51"/>
  <c r="C73" i="51"/>
  <c r="C72" i="51"/>
  <c r="C71" i="51"/>
  <c r="C70" i="51"/>
  <c r="C69" i="51"/>
  <c r="C68" i="51"/>
  <c r="C67" i="51"/>
  <c r="C66" i="51"/>
  <c r="C65" i="51"/>
  <c r="C64" i="51"/>
  <c r="C63" i="51"/>
  <c r="C62" i="51"/>
  <c r="C61" i="51"/>
  <c r="C60" i="51"/>
  <c r="C59" i="51"/>
  <c r="C58" i="51"/>
  <c r="C57" i="51"/>
  <c r="I56" i="51"/>
  <c r="J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c r="H29" i="51"/>
  <c r="C29" i="51"/>
  <c r="C28" i="51"/>
  <c r="C27" i="51"/>
  <c r="C26" i="51"/>
  <c r="C25" i="51"/>
  <c r="C24" i="51"/>
  <c r="C23" i="51"/>
  <c r="C22" i="51"/>
  <c r="C21" i="51"/>
  <c r="C20" i="51"/>
  <c r="C19" i="51"/>
  <c r="C18" i="51"/>
  <c r="C17" i="51"/>
  <c r="C16" i="51"/>
  <c r="C15" i="51"/>
  <c r="C14" i="51"/>
  <c r="C13" i="51"/>
  <c r="J12" i="51"/>
  <c r="C12" i="51"/>
  <c r="I11" i="51"/>
  <c r="J11" i="51"/>
  <c r="H11" i="51"/>
  <c r="C11" i="51"/>
  <c r="I4" i="51"/>
  <c r="G4" i="51"/>
  <c r="C4" i="51"/>
  <c r="I3" i="51"/>
  <c r="G3" i="51"/>
  <c r="C2" i="51"/>
  <c r="G4" i="17"/>
  <c r="F4" i="17"/>
  <c r="C4" i="17"/>
  <c r="G3" i="17"/>
  <c r="F3" i="17"/>
  <c r="C2" i="17"/>
  <c r="D24" i="16"/>
  <c r="H4" i="16"/>
  <c r="F4" i="16"/>
  <c r="C4" i="16"/>
  <c r="H3" i="16"/>
  <c r="F3" i="16"/>
  <c r="C2" i="16"/>
  <c r="H6249" i="18"/>
  <c r="K6243" i="18"/>
  <c r="D6249" i="18"/>
  <c r="D6248" i="18"/>
  <c r="D6247" i="18"/>
  <c r="D6246" i="18"/>
  <c r="D6243" i="18"/>
  <c r="G6243" i="18"/>
  <c r="C6242" i="18"/>
  <c r="G6242" i="18"/>
  <c r="D6240" i="18"/>
  <c r="D6239" i="18"/>
  <c r="H6238" i="18"/>
  <c r="D6238" i="18"/>
  <c r="D6237" i="18"/>
  <c r="J6236" i="18"/>
  <c r="D6236" i="18"/>
  <c r="J6235" i="18"/>
  <c r="D6235" i="18"/>
  <c r="J6234" i="18"/>
  <c r="D6234" i="18"/>
  <c r="J6233" i="18"/>
  <c r="D6233" i="18"/>
  <c r="J6232" i="18"/>
  <c r="D6232" i="18"/>
  <c r="J6231" i="18"/>
  <c r="D6231" i="18"/>
  <c r="D6230" i="18"/>
  <c r="J6229" i="18"/>
  <c r="D6229" i="18"/>
  <c r="D6228" i="18"/>
  <c r="D6227" i="18"/>
  <c r="D6226" i="18"/>
  <c r="J6225" i="18"/>
  <c r="D6225" i="18"/>
  <c r="J6224" i="18"/>
  <c r="D6224" i="18"/>
  <c r="D6223" i="18"/>
  <c r="D6222" i="18"/>
  <c r="D6221" i="18"/>
  <c r="D6220" i="18"/>
  <c r="D6219" i="18"/>
  <c r="D6218" i="18"/>
  <c r="D6217" i="18"/>
  <c r="D6214" i="18"/>
  <c r="G6214" i="18"/>
  <c r="C6213" i="18"/>
  <c r="G6213" i="18"/>
  <c r="D6211" i="18"/>
  <c r="J6210" i="18"/>
  <c r="D6210" i="18"/>
  <c r="I6209" i="18"/>
  <c r="H6209" i="18"/>
  <c r="D6209" i="18"/>
  <c r="J6208" i="18"/>
  <c r="D6208" i="18"/>
  <c r="J6207" i="18"/>
  <c r="D6207" i="18"/>
  <c r="J6206" i="18"/>
  <c r="D6206" i="18"/>
  <c r="J6205" i="18"/>
  <c r="D6205" i="18"/>
  <c r="J6204" i="18"/>
  <c r="D6204" i="18"/>
  <c r="J6203" i="18"/>
  <c r="D6203" i="18"/>
  <c r="J6202" i="18"/>
  <c r="D6202" i="18"/>
  <c r="J6201" i="18"/>
  <c r="D6201" i="18"/>
  <c r="J6200" i="18"/>
  <c r="D6200" i="18"/>
  <c r="D6199" i="18"/>
  <c r="D6198" i="18"/>
  <c r="D6197" i="18"/>
  <c r="J6196" i="18"/>
  <c r="D6196" i="18"/>
  <c r="D6195" i="18"/>
  <c r="D6194" i="18"/>
  <c r="D6193" i="18"/>
  <c r="D6192" i="18"/>
  <c r="D6191" i="18"/>
  <c r="D6190" i="18"/>
  <c r="D6187" i="18"/>
  <c r="G6187" i="18"/>
  <c r="C6186" i="18"/>
  <c r="G6186" i="18" s="1"/>
  <c r="D6184" i="18"/>
  <c r="D6183" i="18"/>
  <c r="H6182" i="18"/>
  <c r="D6182" i="18"/>
  <c r="D6181" i="18"/>
  <c r="D6180" i="18"/>
  <c r="D6179" i="18"/>
  <c r="D6178" i="18"/>
  <c r="D6177" i="18"/>
  <c r="D6176" i="18"/>
  <c r="D6175" i="18"/>
  <c r="D6174" i="18"/>
  <c r="D6173" i="18"/>
  <c r="D6172" i="18"/>
  <c r="D6171" i="18"/>
  <c r="H6170" i="18"/>
  <c r="D6170" i="18"/>
  <c r="D6169" i="18"/>
  <c r="D6168" i="18"/>
  <c r="D6165" i="18"/>
  <c r="G6165" i="18"/>
  <c r="C6164" i="18"/>
  <c r="G6164" i="18"/>
  <c r="I6162" i="18"/>
  <c r="H6162" i="18"/>
  <c r="D6162" i="18"/>
  <c r="D6161" i="18"/>
  <c r="D6160" i="18"/>
  <c r="J6159" i="18"/>
  <c r="J6162" i="18"/>
  <c r="K6156" i="18"/>
  <c r="D6159" i="18"/>
  <c r="D6156" i="18"/>
  <c r="G6156" i="18" s="1"/>
  <c r="C6155" i="18"/>
  <c r="G6155" i="18" s="1"/>
  <c r="I6153" i="18"/>
  <c r="H6153" i="18"/>
  <c r="D6153" i="18"/>
  <c r="D6152" i="18"/>
  <c r="D6151" i="18"/>
  <c r="J6150" i="18"/>
  <c r="J6153" i="18"/>
  <c r="K6147" i="18"/>
  <c r="D6150" i="18"/>
  <c r="D6147" i="18"/>
  <c r="G6147" i="18"/>
  <c r="C6146" i="18"/>
  <c r="G6146" i="18"/>
  <c r="H6144" i="18"/>
  <c r="K6138" i="18"/>
  <c r="D6144" i="18"/>
  <c r="D6143" i="18"/>
  <c r="D6142" i="18"/>
  <c r="D6141" i="18"/>
  <c r="D6138" i="18"/>
  <c r="G6138" i="18"/>
  <c r="C6137" i="18"/>
  <c r="G6137" i="18"/>
  <c r="H6135" i="18"/>
  <c r="K6127" i="18"/>
  <c r="D6135" i="18"/>
  <c r="D6134" i="18"/>
  <c r="D6133" i="18"/>
  <c r="D6132" i="18"/>
  <c r="D6131" i="18"/>
  <c r="D6130" i="18"/>
  <c r="D6127" i="18"/>
  <c r="G6127" i="18"/>
  <c r="C6126" i="18"/>
  <c r="G6126" i="18"/>
  <c r="H6124" i="18"/>
  <c r="K6118" i="18"/>
  <c r="D6124" i="18"/>
  <c r="D6123" i="18"/>
  <c r="D6122" i="18"/>
  <c r="D6121" i="18"/>
  <c r="D6118" i="18"/>
  <c r="G6118" i="18"/>
  <c r="C6117" i="18"/>
  <c r="G6117" i="18"/>
  <c r="H6115" i="18"/>
  <c r="K6108" i="18"/>
  <c r="D6115" i="18"/>
  <c r="D6114" i="18"/>
  <c r="D6113" i="18"/>
  <c r="D6112" i="18"/>
  <c r="D6111" i="18"/>
  <c r="D6108" i="18"/>
  <c r="G6108" i="18"/>
  <c r="C6107" i="18"/>
  <c r="G6107" i="18" s="1"/>
  <c r="D6094" i="18"/>
  <c r="G6094" i="18" s="1"/>
  <c r="C6093" i="18"/>
  <c r="G6093" i="18" s="1"/>
  <c r="H6091" i="18"/>
  <c r="K6085" i="18"/>
  <c r="D6091" i="18"/>
  <c r="D6090" i="18"/>
  <c r="D6089" i="18"/>
  <c r="D6088" i="18"/>
  <c r="D6085" i="18"/>
  <c r="G6085" i="18" s="1"/>
  <c r="C6084" i="18"/>
  <c r="G6084" i="18" s="1"/>
  <c r="H6082" i="18"/>
  <c r="K6076" i="18"/>
  <c r="D6082" i="18"/>
  <c r="D6081" i="18"/>
  <c r="D6080" i="18"/>
  <c r="D6079" i="18"/>
  <c r="D6076" i="18"/>
  <c r="G6076" i="18" s="1"/>
  <c r="C6075" i="18"/>
  <c r="G6075" i="18" s="1"/>
  <c r="H6073" i="18"/>
  <c r="K6065" i="18"/>
  <c r="D6073" i="18"/>
  <c r="D6072" i="18"/>
  <c r="D6071" i="18"/>
  <c r="D6070" i="18"/>
  <c r="D6069" i="18"/>
  <c r="D6068" i="18"/>
  <c r="D6065" i="18"/>
  <c r="G6065" i="18" s="1"/>
  <c r="C6064" i="18"/>
  <c r="G6064" i="18" s="1"/>
  <c r="H6062" i="18"/>
  <c r="K6056" i="18"/>
  <c r="D6062" i="18"/>
  <c r="D6061" i="18"/>
  <c r="D6060" i="18"/>
  <c r="D6059" i="18"/>
  <c r="D6056" i="18"/>
  <c r="G6056" i="18" s="1"/>
  <c r="C6055" i="18"/>
  <c r="G6055" i="18" s="1"/>
  <c r="D6052" i="18"/>
  <c r="D6051" i="18"/>
  <c r="D6050" i="18"/>
  <c r="D6049" i="18"/>
  <c r="D6048" i="18"/>
  <c r="D6047" i="18"/>
  <c r="D6046" i="18"/>
  <c r="I6045" i="18"/>
  <c r="D6045" i="18"/>
  <c r="D6044" i="18"/>
  <c r="D6043" i="18"/>
  <c r="D6042" i="18"/>
  <c r="I6041" i="18"/>
  <c r="D6041" i="18"/>
  <c r="D6040" i="18"/>
  <c r="D6039" i="18"/>
  <c r="I6038" i="18"/>
  <c r="D6038" i="18"/>
  <c r="D6037" i="18"/>
  <c r="D6036" i="18"/>
  <c r="D6033" i="18"/>
  <c r="G6033" i="18" s="1"/>
  <c r="C6032" i="18"/>
  <c r="G6032" i="18" s="1"/>
  <c r="I6030" i="18"/>
  <c r="D6030" i="18"/>
  <c r="D6029" i="18"/>
  <c r="D6028" i="18"/>
  <c r="D6027" i="18"/>
  <c r="D6026" i="18"/>
  <c r="D6025" i="18"/>
  <c r="D6024" i="18"/>
  <c r="K6021" i="18"/>
  <c r="D6021" i="18"/>
  <c r="G6021" i="18"/>
  <c r="C6020" i="18"/>
  <c r="G6020" i="18"/>
  <c r="I6018" i="18"/>
  <c r="D6018" i="18"/>
  <c r="D6017" i="18"/>
  <c r="D6016" i="18"/>
  <c r="D6015" i="18"/>
  <c r="D6014" i="18"/>
  <c r="D6013" i="18"/>
  <c r="D6012" i="18"/>
  <c r="K6009" i="18"/>
  <c r="D6009" i="18"/>
  <c r="G6009" i="18" s="1"/>
  <c r="C6008" i="18"/>
  <c r="G6008" i="18" s="1"/>
  <c r="I6006" i="18"/>
  <c r="K5998" i="18"/>
  <c r="D6006" i="18"/>
  <c r="D6005" i="18"/>
  <c r="D6004" i="18"/>
  <c r="D6003" i="18"/>
  <c r="D6002" i="18"/>
  <c r="D6001" i="18"/>
  <c r="D5998" i="18"/>
  <c r="G5998" i="18" s="1"/>
  <c r="C5997" i="18"/>
  <c r="G5997" i="18" s="1"/>
  <c r="I5995" i="18"/>
  <c r="K5977" i="18"/>
  <c r="D5995" i="18"/>
  <c r="D5994" i="18"/>
  <c r="D5993" i="18"/>
  <c r="D5992" i="18"/>
  <c r="D5991" i="18"/>
  <c r="D5990" i="18"/>
  <c r="D5989" i="18"/>
  <c r="D5988" i="18"/>
  <c r="D5987" i="18"/>
  <c r="D5986" i="18"/>
  <c r="D5985" i="18"/>
  <c r="D5984" i="18"/>
  <c r="D5983" i="18"/>
  <c r="D5982" i="18"/>
  <c r="D5981" i="18"/>
  <c r="D5980" i="18"/>
  <c r="D5977" i="18"/>
  <c r="G5977" i="18" s="1"/>
  <c r="C5976" i="18"/>
  <c r="G5976" i="18" s="1"/>
  <c r="I5974" i="18"/>
  <c r="K5958" i="18"/>
  <c r="D5974" i="18"/>
  <c r="D5973" i="18"/>
  <c r="D5972" i="18"/>
  <c r="D5971" i="18"/>
  <c r="D5970" i="18"/>
  <c r="D5969" i="18"/>
  <c r="D5968" i="18"/>
  <c r="D5967" i="18"/>
  <c r="D5966" i="18"/>
  <c r="D5965" i="18"/>
  <c r="D5964" i="18"/>
  <c r="D5963" i="18"/>
  <c r="D5962" i="18"/>
  <c r="D5961" i="18"/>
  <c r="D5958" i="18"/>
  <c r="G5958" i="18" s="1"/>
  <c r="C5957" i="18"/>
  <c r="G5957" i="18" s="1"/>
  <c r="I5955" i="18"/>
  <c r="K5947" i="18"/>
  <c r="D5955" i="18"/>
  <c r="D5954" i="18"/>
  <c r="D5953" i="18"/>
  <c r="D5952" i="18"/>
  <c r="D5951" i="18"/>
  <c r="D5950" i="18"/>
  <c r="D5947" i="18"/>
  <c r="G5947" i="18" s="1"/>
  <c r="C5946" i="18"/>
  <c r="G5946" i="18" s="1"/>
  <c r="I5944" i="18"/>
  <c r="K5936" i="18"/>
  <c r="D5944" i="18"/>
  <c r="D5943" i="18"/>
  <c r="D5942" i="18"/>
  <c r="D5941" i="18"/>
  <c r="D5940" i="18"/>
  <c r="D5939" i="18"/>
  <c r="D5936" i="18"/>
  <c r="G5936" i="18" s="1"/>
  <c r="C5935" i="18"/>
  <c r="G5935" i="18" s="1"/>
  <c r="I5933" i="18"/>
  <c r="K5925" i="18"/>
  <c r="D5933" i="18"/>
  <c r="D5932" i="18"/>
  <c r="D5931" i="18"/>
  <c r="D5930" i="18"/>
  <c r="D5929" i="18"/>
  <c r="D5928" i="18"/>
  <c r="D5925" i="18"/>
  <c r="G5925" i="18" s="1"/>
  <c r="C5924" i="18"/>
  <c r="G5924" i="18" s="1"/>
  <c r="I5922" i="18"/>
  <c r="K5914" i="18"/>
  <c r="D5922" i="18"/>
  <c r="D5921" i="18"/>
  <c r="D5920" i="18"/>
  <c r="D5919" i="18"/>
  <c r="D5918" i="18"/>
  <c r="D5917" i="18"/>
  <c r="D5914" i="18"/>
  <c r="G5914" i="18" s="1"/>
  <c r="C5913" i="18"/>
  <c r="G5913" i="18" s="1"/>
  <c r="I5911" i="18"/>
  <c r="K5903" i="18"/>
  <c r="D5911" i="18"/>
  <c r="D5910" i="18"/>
  <c r="D5909" i="18"/>
  <c r="D5908" i="18"/>
  <c r="D5907" i="18"/>
  <c r="D5906" i="18"/>
  <c r="D5903" i="18"/>
  <c r="G5903" i="18" s="1"/>
  <c r="C5902" i="18"/>
  <c r="G5902" i="18" s="1"/>
  <c r="I5900" i="18"/>
  <c r="K5892" i="18"/>
  <c r="D5900" i="18"/>
  <c r="D5899" i="18"/>
  <c r="D5898" i="18"/>
  <c r="D5897" i="18"/>
  <c r="D5896" i="18"/>
  <c r="D5895" i="18"/>
  <c r="D5892" i="18"/>
  <c r="G5892" i="18" s="1"/>
  <c r="C5891" i="18"/>
  <c r="G5891" i="18" s="1"/>
  <c r="I5889" i="18"/>
  <c r="K5881" i="18"/>
  <c r="D5889" i="18"/>
  <c r="D5888" i="18"/>
  <c r="D5887" i="18"/>
  <c r="D5886" i="18"/>
  <c r="D5885" i="18"/>
  <c r="D5884" i="18"/>
  <c r="D5881" i="18"/>
  <c r="G5881" i="18" s="1"/>
  <c r="C5880" i="18"/>
  <c r="G5880" i="18" s="1"/>
  <c r="I5878" i="18"/>
  <c r="K5870" i="18"/>
  <c r="D5878" i="18"/>
  <c r="D5877" i="18"/>
  <c r="D5876" i="18"/>
  <c r="D5875" i="18"/>
  <c r="D5874" i="18"/>
  <c r="D5873" i="18"/>
  <c r="D5870" i="18"/>
  <c r="G5870" i="18" s="1"/>
  <c r="C5869" i="18"/>
  <c r="G5869" i="18" s="1"/>
  <c r="H5866" i="18"/>
  <c r="D5866" i="18"/>
  <c r="D5865" i="18"/>
  <c r="D5864" i="18"/>
  <c r="D5863" i="18"/>
  <c r="D5862" i="18"/>
  <c r="D5861" i="18"/>
  <c r="D5858" i="18"/>
  <c r="G5858" i="18"/>
  <c r="H5856" i="18"/>
  <c r="D5856" i="18"/>
  <c r="D5855" i="18"/>
  <c r="D5854" i="18"/>
  <c r="D5853" i="18"/>
  <c r="D5852" i="18"/>
  <c r="D5851" i="18"/>
  <c r="D5848" i="18"/>
  <c r="G5848" i="18" s="1"/>
  <c r="H5846" i="18"/>
  <c r="D5846" i="18"/>
  <c r="D5845" i="18"/>
  <c r="D5844" i="18"/>
  <c r="D5843" i="18"/>
  <c r="D5842" i="18"/>
  <c r="D5841" i="18"/>
  <c r="D5838" i="18"/>
  <c r="G5838" i="18"/>
  <c r="D5836" i="18"/>
  <c r="D5835" i="18"/>
  <c r="D5834" i="18"/>
  <c r="D5833" i="18"/>
  <c r="H5832" i="18"/>
  <c r="D5832" i="18"/>
  <c r="D5831"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6" i="18"/>
  <c r="G5806" i="18" s="1"/>
  <c r="C5805" i="18"/>
  <c r="G5805" i="18" s="1"/>
  <c r="D5795" i="18"/>
  <c r="D5794" i="18"/>
  <c r="D5793" i="18"/>
  <c r="D5792" i="18"/>
  <c r="D5791" i="18"/>
  <c r="D5790" i="18"/>
  <c r="D5789" i="18"/>
  <c r="D5788" i="18"/>
  <c r="I5787" i="18"/>
  <c r="H5787" i="18"/>
  <c r="D5787" i="18"/>
  <c r="D5786" i="18"/>
  <c r="D5785" i="18"/>
  <c r="D5784" i="18"/>
  <c r="I5783" i="18"/>
  <c r="H5783" i="18"/>
  <c r="D5783" i="18"/>
  <c r="D5782" i="18"/>
  <c r="D5781" i="18"/>
  <c r="D5780" i="18"/>
  <c r="D5779" i="18"/>
  <c r="D5776" i="18"/>
  <c r="G5776" i="18"/>
  <c r="C5775" i="18"/>
  <c r="G5775" i="18"/>
  <c r="I5318" i="18"/>
  <c r="N5307" i="18"/>
  <c r="H5318" i="18"/>
  <c r="K5307" i="18"/>
  <c r="D5318" i="18"/>
  <c r="D5317" i="18"/>
  <c r="D5316" i="18"/>
  <c r="D5315" i="18"/>
  <c r="D5314" i="18"/>
  <c r="D5313" i="18"/>
  <c r="D5312" i="18"/>
  <c r="D5311" i="18"/>
  <c r="D5310" i="18"/>
  <c r="D5307" i="18"/>
  <c r="G5307" i="18" s="1"/>
  <c r="I5305" i="18"/>
  <c r="H5305" i="18"/>
  <c r="D5305" i="18"/>
  <c r="D5304" i="18"/>
  <c r="D5303" i="18"/>
  <c r="D5302" i="18"/>
  <c r="D5301" i="18"/>
  <c r="D5300" i="18"/>
  <c r="D5299" i="18"/>
  <c r="D5298" i="18"/>
  <c r="D5297" i="18"/>
  <c r="D5292" i="18"/>
  <c r="G5292" i="18"/>
  <c r="I5290" i="18"/>
  <c r="H5290" i="18"/>
  <c r="D5290" i="18"/>
  <c r="D5289" i="18"/>
  <c r="D5288" i="18"/>
  <c r="D5287" i="18"/>
  <c r="D5286" i="18"/>
  <c r="D5285" i="18"/>
  <c r="D5284" i="18"/>
  <c r="D5283" i="18"/>
  <c r="D5282" i="18"/>
  <c r="D5277" i="18"/>
  <c r="G5277" i="18" s="1"/>
  <c r="C5276" i="18"/>
  <c r="G5276" i="18" s="1"/>
  <c r="P5601" i="18"/>
  <c r="O5601" i="18"/>
  <c r="N5601" i="18"/>
  <c r="M5601" i="18"/>
  <c r="L5601" i="18"/>
  <c r="K5601" i="18"/>
  <c r="J5601" i="18"/>
  <c r="I5601" i="18"/>
  <c r="H5601" i="18"/>
  <c r="D5601" i="18"/>
  <c r="D5600" i="18"/>
  <c r="D5599" i="18"/>
  <c r="D5598" i="18"/>
  <c r="D5597" i="18"/>
  <c r="D5596" i="18"/>
  <c r="R5595" i="18"/>
  <c r="Q5595" i="18"/>
  <c r="D5595" i="18"/>
  <c r="D5594" i="18"/>
  <c r="D5593" i="18"/>
  <c r="D5592" i="18"/>
  <c r="D5591" i="18"/>
  <c r="R5590" i="18"/>
  <c r="Q5590" i="18"/>
  <c r="D5590" i="18"/>
  <c r="D5589" i="18"/>
  <c r="D5588" i="18"/>
  <c r="D5587" i="18"/>
  <c r="D5586" i="18"/>
  <c r="D5585" i="18"/>
  <c r="D5584" i="18"/>
  <c r="D5583" i="18"/>
  <c r="D5582" i="18"/>
  <c r="D5577" i="18"/>
  <c r="G5577" i="18"/>
  <c r="D5620" i="18"/>
  <c r="K5619" i="18"/>
  <c r="J5619" i="18"/>
  <c r="I5619" i="18"/>
  <c r="H5619" i="18"/>
  <c r="D5619" i="18"/>
  <c r="D5618" i="18"/>
  <c r="D5617" i="18"/>
  <c r="D5616" i="18"/>
  <c r="D5615" i="18"/>
  <c r="D5614" i="18"/>
  <c r="D5613" i="18"/>
  <c r="K5612" i="18"/>
  <c r="J5612" i="18"/>
  <c r="I5612" i="18"/>
  <c r="H5612" i="18"/>
  <c r="D5612" i="18"/>
  <c r="D5611" i="18"/>
  <c r="D5610" i="18"/>
  <c r="D5609" i="18"/>
  <c r="D5608" i="18"/>
  <c r="D5607" i="18"/>
  <c r="D5606" i="18"/>
  <c r="D5603" i="18"/>
  <c r="G5603" i="18" s="1"/>
  <c r="D5575" i="18"/>
  <c r="D5574" i="18"/>
  <c r="D5573" i="18"/>
  <c r="D5572" i="18"/>
  <c r="D5571" i="18"/>
  <c r="D5570" i="18"/>
  <c r="D5569" i="18"/>
  <c r="D5568" i="18"/>
  <c r="D5567" i="18"/>
  <c r="D5566" i="18"/>
  <c r="D5565" i="18"/>
  <c r="D5564" i="18"/>
  <c r="D5563" i="18"/>
  <c r="D5562" i="18"/>
  <c r="K5559" i="18"/>
  <c r="D5559" i="18"/>
  <c r="G5559" i="18"/>
  <c r="K5550" i="18"/>
  <c r="D5557" i="18"/>
  <c r="D5556" i="18"/>
  <c r="D5555" i="18"/>
  <c r="D5554" i="18"/>
  <c r="D5553" i="18"/>
  <c r="J5499" i="18"/>
  <c r="I5499" i="18"/>
  <c r="H5499" i="18"/>
  <c r="K5498" i="18"/>
  <c r="K5497" i="18"/>
  <c r="J5496" i="18"/>
  <c r="I5496" i="18"/>
  <c r="H5496" i="18"/>
  <c r="K5495" i="18"/>
  <c r="K5494" i="18"/>
  <c r="K5491" i="18"/>
  <c r="K5490" i="18"/>
  <c r="K5489" i="18"/>
  <c r="K5487" i="18"/>
  <c r="K5486" i="18"/>
  <c r="J5485" i="18"/>
  <c r="J5492" i="18"/>
  <c r="I5485" i="18"/>
  <c r="I5492" i="18"/>
  <c r="H5485" i="18"/>
  <c r="H5492" i="18"/>
  <c r="K5483" i="18"/>
  <c r="K5482" i="18"/>
  <c r="K5481" i="18"/>
  <c r="J5480" i="18"/>
  <c r="I5480" i="18"/>
  <c r="H5480" i="18"/>
  <c r="K5479" i="18"/>
  <c r="K5477" i="18"/>
  <c r="K5476" i="18"/>
  <c r="J5475" i="18"/>
  <c r="I5475" i="18"/>
  <c r="H5475" i="18"/>
  <c r="K5474" i="18"/>
  <c r="K5473" i="18"/>
  <c r="K5472" i="18"/>
  <c r="K5471" i="18"/>
  <c r="K5469" i="18"/>
  <c r="J5468" i="18"/>
  <c r="I5468" i="18"/>
  <c r="H5468" i="18"/>
  <c r="K5467" i="18"/>
  <c r="K5465" i="18"/>
  <c r="K5464" i="18"/>
  <c r="J5463" i="18"/>
  <c r="I5463" i="18"/>
  <c r="H5463" i="18"/>
  <c r="D5456" i="18"/>
  <c r="G5456" i="18" s="1"/>
  <c r="C5455" i="18"/>
  <c r="G5455" i="18" s="1"/>
  <c r="K5421" i="18"/>
  <c r="D5421" i="18"/>
  <c r="G5421" i="18"/>
  <c r="D5387" i="18"/>
  <c r="G5387" i="18"/>
  <c r="M5385" i="18"/>
  <c r="L5385" i="18"/>
  <c r="K5385" i="18"/>
  <c r="J5385" i="18"/>
  <c r="I5385" i="18"/>
  <c r="H5385" i="18"/>
  <c r="D5385" i="18"/>
  <c r="D5384" i="18"/>
  <c r="D5383" i="18"/>
  <c r="D5382" i="18"/>
  <c r="D5381" i="18"/>
  <c r="D5380" i="18"/>
  <c r="D5379" i="18"/>
  <c r="D5378" i="18"/>
  <c r="D5377" i="18"/>
  <c r="D5376" i="18"/>
  <c r="N5371" i="18"/>
  <c r="K5371" i="18"/>
  <c r="D5371" i="18"/>
  <c r="G5371" i="18"/>
  <c r="M5369" i="18"/>
  <c r="L5369" i="18"/>
  <c r="K5369" i="18"/>
  <c r="J5369" i="18"/>
  <c r="I5369" i="18"/>
  <c r="H5369" i="18"/>
  <c r="D5369" i="18"/>
  <c r="D5368" i="18"/>
  <c r="D5367" i="18"/>
  <c r="D5366" i="18"/>
  <c r="D5365" i="18"/>
  <c r="D5364" i="18"/>
  <c r="D5363" i="18"/>
  <c r="D5362" i="18"/>
  <c r="D5361" i="18"/>
  <c r="D5360" i="18"/>
  <c r="N5355" i="18"/>
  <c r="K5355" i="18"/>
  <c r="D5355" i="18"/>
  <c r="G5355" i="18"/>
  <c r="L5353" i="18"/>
  <c r="K5353" i="18"/>
  <c r="J5353" i="18"/>
  <c r="I5353" i="18"/>
  <c r="N5338" i="18"/>
  <c r="H5353" i="18"/>
  <c r="K5338" i="18"/>
  <c r="D5353" i="18"/>
  <c r="D5352" i="18"/>
  <c r="D5351" i="18"/>
  <c r="D5350" i="18"/>
  <c r="D5349" i="18"/>
  <c r="D5348" i="18"/>
  <c r="D5347" i="18"/>
  <c r="D5346" i="18"/>
  <c r="D5345" i="18"/>
  <c r="D5344" i="18"/>
  <c r="D5343" i="18"/>
  <c r="D5338" i="18"/>
  <c r="G5338" i="18"/>
  <c r="D5321" i="18"/>
  <c r="G5321" i="18"/>
  <c r="C5320" i="18"/>
  <c r="G5320" i="18"/>
  <c r="H5773" i="18"/>
  <c r="D5773" i="18"/>
  <c r="D5772" i="18"/>
  <c r="D5771" i="18"/>
  <c r="D5770" i="18"/>
  <c r="D5769" i="18"/>
  <c r="D5768" i="18"/>
  <c r="D5767" i="18"/>
  <c r="D5766" i="18"/>
  <c r="D5765" i="18"/>
  <c r="D5762" i="18"/>
  <c r="G5762" i="18"/>
  <c r="J5760" i="18"/>
  <c r="I5760" i="18"/>
  <c r="N5747" i="18"/>
  <c r="H5760" i="18"/>
  <c r="K5747" i="18"/>
  <c r="D5760" i="18"/>
  <c r="D5759" i="18"/>
  <c r="D5758" i="18"/>
  <c r="D5757" i="18"/>
  <c r="D5756" i="18"/>
  <c r="D5755" i="18"/>
  <c r="D5754" i="18"/>
  <c r="D5753" i="18"/>
  <c r="D5752" i="18"/>
  <c r="D5747" i="18"/>
  <c r="G5747" i="18"/>
  <c r="D5744" i="18"/>
  <c r="D5743" i="18"/>
  <c r="D5742" i="18"/>
  <c r="D5739" i="18"/>
  <c r="G5739" i="18"/>
  <c r="D5737" i="18"/>
  <c r="D5736" i="18"/>
  <c r="D5735" i="18"/>
  <c r="D5734" i="18"/>
  <c r="D5733" i="18"/>
  <c r="D5732" i="18"/>
  <c r="D5729" i="18"/>
  <c r="G5729" i="18" s="1"/>
  <c r="H5727" i="18"/>
  <c r="D5727" i="18"/>
  <c r="D5726" i="18"/>
  <c r="D5725" i="18"/>
  <c r="D5724" i="18"/>
  <c r="D5723" i="18"/>
  <c r="D5722" i="18"/>
  <c r="D5719" i="18"/>
  <c r="G5719" i="18"/>
  <c r="H5717" i="18"/>
  <c r="D5717" i="18"/>
  <c r="D5716" i="18"/>
  <c r="D5715" i="18"/>
  <c r="D5714" i="18"/>
  <c r="D5713" i="18"/>
  <c r="D5712" i="18"/>
  <c r="D5709" i="18"/>
  <c r="G5709" i="18"/>
  <c r="H5707" i="18"/>
  <c r="D5707" i="18"/>
  <c r="D5706" i="18"/>
  <c r="D5705" i="18"/>
  <c r="D5704" i="18"/>
  <c r="D5703" i="18"/>
  <c r="D5702" i="18"/>
  <c r="D5699" i="18"/>
  <c r="G5699" i="18" s="1"/>
  <c r="H5697" i="18"/>
  <c r="D5697" i="18"/>
  <c r="D5696" i="18"/>
  <c r="D5695" i="18"/>
  <c r="D5694" i="18"/>
  <c r="D5693" i="18"/>
  <c r="D5692" i="18"/>
  <c r="D5689" i="18"/>
  <c r="G5689" i="18" s="1"/>
  <c r="D5687" i="18"/>
  <c r="D5686" i="18"/>
  <c r="D5685" i="18"/>
  <c r="D5684" i="18"/>
  <c r="D5683" i="18"/>
  <c r="D5682" i="18"/>
  <c r="D5679" i="18"/>
  <c r="G5679" i="18"/>
  <c r="D5677" i="18"/>
  <c r="D5676" i="18"/>
  <c r="D5675" i="18"/>
  <c r="D5674" i="18"/>
  <c r="D5673" i="18"/>
  <c r="D5672" i="18"/>
  <c r="D5669" i="18"/>
  <c r="G5669" i="18" s="1"/>
  <c r="M5667" i="18"/>
  <c r="D5667" i="18"/>
  <c r="D5666" i="18"/>
  <c r="D5665" i="18"/>
  <c r="D5664" i="18"/>
  <c r="D5663" i="18"/>
  <c r="D5662" i="18"/>
  <c r="D5659" i="18"/>
  <c r="G5659" i="18"/>
  <c r="M5657" i="18"/>
  <c r="D5657" i="18"/>
  <c r="D5656" i="18"/>
  <c r="D5655" i="18"/>
  <c r="D5654" i="18"/>
  <c r="D5653" i="18"/>
  <c r="D5652" i="18"/>
  <c r="D5649" i="18"/>
  <c r="G5649" i="18"/>
  <c r="D5647" i="18"/>
  <c r="D5646" i="18"/>
  <c r="D5645" i="18"/>
  <c r="D5644" i="18"/>
  <c r="D5643" i="18"/>
  <c r="D5642" i="18"/>
  <c r="D5641" i="18"/>
  <c r="D5640" i="18"/>
  <c r="D5639" i="18"/>
  <c r="D5636" i="18"/>
  <c r="G5636" i="18"/>
  <c r="D5634" i="18"/>
  <c r="D5633" i="18"/>
  <c r="D5632" i="18"/>
  <c r="D5631" i="18"/>
  <c r="D5630" i="18"/>
  <c r="D5629" i="18"/>
  <c r="D5628" i="18"/>
  <c r="D5627" i="18"/>
  <c r="D5626" i="18"/>
  <c r="K5623" i="18"/>
  <c r="D5623" i="18"/>
  <c r="G5623" i="18" s="1"/>
  <c r="C5622" i="18"/>
  <c r="G5622" i="18" s="1"/>
  <c r="D5210" i="18"/>
  <c r="G5210" i="18" s="1"/>
  <c r="C5209" i="18"/>
  <c r="G5209" i="18"/>
  <c r="D5207" i="18"/>
  <c r="D5206" i="18"/>
  <c r="D5205" i="18"/>
  <c r="D5204" i="18"/>
  <c r="D5203" i="18"/>
  <c r="D5202" i="18"/>
  <c r="D5201" i="18"/>
  <c r="D5200" i="18"/>
  <c r="D5199" i="18"/>
  <c r="D5196" i="18"/>
  <c r="G5196" i="18"/>
  <c r="C5195" i="18"/>
  <c r="G5195" i="18" s="1"/>
  <c r="H5193" i="18"/>
  <c r="D5193" i="18"/>
  <c r="D5192" i="18"/>
  <c r="D5191" i="18"/>
  <c r="D5190" i="18"/>
  <c r="D5189" i="18"/>
  <c r="D5188" i="18"/>
  <c r="D5185" i="18"/>
  <c r="G5185" i="18" s="1"/>
  <c r="C5184" i="18"/>
  <c r="G5184" i="18" s="1"/>
  <c r="H5182" i="18"/>
  <c r="D5182" i="18"/>
  <c r="D5181" i="18"/>
  <c r="D5180" i="18"/>
  <c r="D5179" i="18"/>
  <c r="D5178" i="18"/>
  <c r="D5177" i="18"/>
  <c r="D5174" i="18"/>
  <c r="G5174" i="18"/>
  <c r="D5172" i="18"/>
  <c r="D5171" i="18"/>
  <c r="D5170" i="18"/>
  <c r="D5169" i="18"/>
  <c r="D5168" i="18"/>
  <c r="D5167" i="18"/>
  <c r="D5166" i="18"/>
  <c r="D5165" i="18"/>
  <c r="D5164" i="18"/>
  <c r="D5163" i="18"/>
  <c r="D5162" i="18"/>
  <c r="I5161" i="18"/>
  <c r="I5170" i="18" s="1"/>
  <c r="H5161" i="18"/>
  <c r="H5170" i="18" s="1"/>
  <c r="D5161" i="18"/>
  <c r="D5158" i="18"/>
  <c r="G5158" i="18"/>
  <c r="H5156" i="18"/>
  <c r="D5156" i="18"/>
  <c r="D5155" i="18"/>
  <c r="D5154" i="18"/>
  <c r="D5153" i="18"/>
  <c r="D5152" i="18"/>
  <c r="D5151" i="18"/>
  <c r="D5148" i="18"/>
  <c r="G5148" i="18" s="1"/>
  <c r="H5146" i="18"/>
  <c r="D5146" i="18"/>
  <c r="D5145" i="18"/>
  <c r="D5144" i="18"/>
  <c r="D5143" i="18"/>
  <c r="D5142" i="18"/>
  <c r="D5141" i="18"/>
  <c r="D5138" i="18"/>
  <c r="G5138" i="18"/>
  <c r="G5135" i="18"/>
  <c r="G5134" i="18"/>
  <c r="G5133" i="18"/>
  <c r="G5132" i="18"/>
  <c r="D5129" i="18"/>
  <c r="G5129" i="18" s="1"/>
  <c r="G5126" i="18"/>
  <c r="G5125" i="18"/>
  <c r="G5124" i="18"/>
  <c r="D5121" i="18"/>
  <c r="G5121" i="18" s="1"/>
  <c r="G5117" i="18"/>
  <c r="G5116" i="18"/>
  <c r="G5115" i="18"/>
  <c r="G5114" i="18"/>
  <c r="G5113" i="18"/>
  <c r="G5112" i="18"/>
  <c r="G5111" i="18"/>
  <c r="G5110" i="18"/>
  <c r="G5109" i="18"/>
  <c r="G5108" i="18"/>
  <c r="G5107" i="18"/>
  <c r="G5106" i="18"/>
  <c r="G5105" i="18"/>
  <c r="G5104" i="18"/>
  <c r="G5101" i="18"/>
  <c r="D5098" i="18"/>
  <c r="G5098" i="18"/>
  <c r="C5097" i="18"/>
  <c r="G5097" i="18"/>
  <c r="D5095" i="18"/>
  <c r="D5094" i="18"/>
  <c r="D5093" i="18"/>
  <c r="D5092" i="18"/>
  <c r="D5091" i="18"/>
  <c r="D5090" i="18"/>
  <c r="D5087" i="18"/>
  <c r="G5087" i="18"/>
  <c r="C5086" i="18"/>
  <c r="G5086" i="18"/>
  <c r="D5084" i="18"/>
  <c r="D5083" i="18"/>
  <c r="D5082" i="18"/>
  <c r="D5081" i="18"/>
  <c r="D5080" i="18"/>
  <c r="D5079" i="18"/>
  <c r="D5076" i="18"/>
  <c r="G5076" i="18"/>
  <c r="C5075" i="18"/>
  <c r="G5075" i="18"/>
  <c r="N5065" i="18"/>
  <c r="D5073" i="18"/>
  <c r="D5072" i="18"/>
  <c r="D5071" i="18"/>
  <c r="D5070" i="18"/>
  <c r="D5069" i="18"/>
  <c r="D5068" i="18"/>
  <c r="D5065" i="18"/>
  <c r="G5065" i="18"/>
  <c r="C5064" i="18"/>
  <c r="G5064" i="18" s="1"/>
  <c r="D5062" i="18"/>
  <c r="D5061" i="18"/>
  <c r="D5060" i="18"/>
  <c r="D5059" i="18"/>
  <c r="D5058" i="18"/>
  <c r="D5057" i="18"/>
  <c r="D5054" i="18"/>
  <c r="G5054" i="18"/>
  <c r="C5053" i="18"/>
  <c r="G5053" i="18"/>
  <c r="D5051" i="18"/>
  <c r="D5050" i="18"/>
  <c r="D5049" i="18"/>
  <c r="D5048" i="18"/>
  <c r="D5047" i="18"/>
  <c r="D5046" i="18"/>
  <c r="D5045" i="18"/>
  <c r="D5044" i="18"/>
  <c r="D5043" i="18"/>
  <c r="D5042" i="18"/>
  <c r="D5041" i="18"/>
  <c r="D5038" i="18"/>
  <c r="G5038" i="18" s="1"/>
  <c r="C5037" i="18"/>
  <c r="G5037" i="18"/>
  <c r="D5035" i="18"/>
  <c r="D5034" i="18"/>
  <c r="D5033" i="18"/>
  <c r="D5032" i="18"/>
  <c r="D5031" i="18"/>
  <c r="D5030" i="18"/>
  <c r="D5029" i="18"/>
  <c r="D5028" i="18"/>
  <c r="D5027" i="18"/>
  <c r="D5026" i="18"/>
  <c r="D5025" i="18"/>
  <c r="D5022" i="18"/>
  <c r="G5022" i="18" s="1"/>
  <c r="C5021" i="18"/>
  <c r="G5021" i="18" s="1"/>
  <c r="C5020" i="18"/>
  <c r="G5020" i="18" s="1"/>
  <c r="L5018" i="18"/>
  <c r="K5018" i="18"/>
  <c r="J5018" i="18"/>
  <c r="I5018" i="18"/>
  <c r="H5018" i="18"/>
  <c r="D5018" i="18"/>
  <c r="D5017" i="18"/>
  <c r="D5016" i="18"/>
  <c r="D5015" i="18"/>
  <c r="D5014" i="18"/>
  <c r="D5013" i="18"/>
  <c r="D5010" i="18"/>
  <c r="G5010" i="18"/>
  <c r="N5008" i="18"/>
  <c r="M5008" i="18"/>
  <c r="L5008" i="18"/>
  <c r="J5008" i="18"/>
  <c r="I5008" i="18"/>
  <c r="H5008" i="18"/>
  <c r="D5008" i="18"/>
  <c r="K5007" i="18"/>
  <c r="D5007" i="18"/>
  <c r="K5006" i="18"/>
  <c r="D5006" i="18"/>
  <c r="K5005" i="18"/>
  <c r="D5005" i="18"/>
  <c r="K5004" i="18"/>
  <c r="D5004" i="18"/>
  <c r="K5003" i="18"/>
  <c r="D5003" i="18"/>
  <c r="D5000" i="18"/>
  <c r="G5000" i="18" s="1"/>
  <c r="D4998" i="18"/>
  <c r="D4997" i="18"/>
  <c r="D4996" i="18"/>
  <c r="D4995" i="18"/>
  <c r="D4994" i="18"/>
  <c r="D4993" i="18"/>
  <c r="D4992" i="18"/>
  <c r="D4991" i="18"/>
  <c r="D4990" i="18"/>
  <c r="D4989" i="18"/>
  <c r="D4986" i="18"/>
  <c r="G4986" i="18" s="1"/>
  <c r="C4985" i="18"/>
  <c r="G4985" i="18" s="1"/>
  <c r="D4967" i="18"/>
  <c r="G4967" i="18" s="1"/>
  <c r="D4965" i="18"/>
  <c r="D4964" i="18"/>
  <c r="D4963" i="18"/>
  <c r="D4962" i="18"/>
  <c r="D4959" i="18"/>
  <c r="G4959" i="18" s="1"/>
  <c r="C4958" i="18"/>
  <c r="G4958" i="18" s="1"/>
  <c r="J4956" i="18"/>
  <c r="D4956" i="18"/>
  <c r="D4955" i="18"/>
  <c r="D4954" i="18"/>
  <c r="D4953" i="18"/>
  <c r="D4952" i="18"/>
  <c r="D4951" i="18"/>
  <c r="D4950" i="18"/>
  <c r="D4949" i="18"/>
  <c r="D4946" i="18"/>
  <c r="G4946" i="18"/>
  <c r="C4945" i="18"/>
  <c r="G4945" i="18"/>
  <c r="G4939" i="18"/>
  <c r="D4936" i="18"/>
  <c r="D4935" i="18"/>
  <c r="D4934" i="18"/>
  <c r="D4933" i="18"/>
  <c r="D4932" i="18"/>
  <c r="D4931" i="18"/>
  <c r="D4928" i="18"/>
  <c r="G4928" i="18" s="1"/>
  <c r="J4926" i="18"/>
  <c r="D4926" i="18"/>
  <c r="D4925" i="18"/>
  <c r="D4924" i="18"/>
  <c r="D4923" i="18"/>
  <c r="D4922" i="18"/>
  <c r="D4921" i="18"/>
  <c r="D4920" i="18"/>
  <c r="D4919" i="18"/>
  <c r="D4918" i="18"/>
  <c r="D4915" i="18"/>
  <c r="G4915" i="18" s="1"/>
  <c r="H4938" i="18"/>
  <c r="C4914" i="18"/>
  <c r="G4914" i="18"/>
  <c r="D4912" i="18"/>
  <c r="D4911" i="18"/>
  <c r="D4910" i="18"/>
  <c r="D4909" i="18"/>
  <c r="D4908" i="18"/>
  <c r="D4907" i="18"/>
  <c r="D4906" i="18"/>
  <c r="D4905" i="18"/>
  <c r="D4904" i="18"/>
  <c r="D4903" i="18"/>
  <c r="D4900" i="18"/>
  <c r="G4900" i="18"/>
  <c r="C4899" i="18"/>
  <c r="G4899" i="18"/>
  <c r="D4897" i="18"/>
  <c r="D4896" i="18"/>
  <c r="D4895" i="18"/>
  <c r="D4894" i="18"/>
  <c r="D4893" i="18"/>
  <c r="D4892" i="18"/>
  <c r="D4891" i="18"/>
  <c r="D4890" i="18"/>
  <c r="D4889" i="18"/>
  <c r="D4888" i="18"/>
  <c r="D4887" i="18"/>
  <c r="D4886" i="18"/>
  <c r="D4885" i="18"/>
  <c r="D4884" i="18"/>
  <c r="D4883" i="18"/>
  <c r="D4882" i="18"/>
  <c r="D4881" i="18"/>
  <c r="D4878" i="18"/>
  <c r="G4878" i="18" s="1"/>
  <c r="C4877" i="18"/>
  <c r="G4877" i="18" s="1"/>
  <c r="D4875" i="18"/>
  <c r="D4874" i="18"/>
  <c r="D4873" i="18"/>
  <c r="D4872" i="18"/>
  <c r="D4871" i="18"/>
  <c r="D4870" i="18"/>
  <c r="D4869" i="18"/>
  <c r="D4868" i="18"/>
  <c r="D4867" i="18"/>
  <c r="D4864" i="18"/>
  <c r="G4864" i="18"/>
  <c r="C4863" i="18"/>
  <c r="G4863" i="18"/>
  <c r="N4850" i="18"/>
  <c r="K4850" i="18"/>
  <c r="D4850" i="18"/>
  <c r="G4850" i="18"/>
  <c r="C4836" i="18"/>
  <c r="G4836" i="18"/>
  <c r="D4834" i="18"/>
  <c r="D4833" i="18"/>
  <c r="D4832" i="18"/>
  <c r="D4831" i="18"/>
  <c r="D4830" i="18"/>
  <c r="D4829" i="18"/>
  <c r="D4828" i="18"/>
  <c r="D4827" i="18"/>
  <c r="D4826" i="18"/>
  <c r="D4823" i="18"/>
  <c r="G4823" i="18" s="1"/>
  <c r="C4822" i="18"/>
  <c r="G4822" i="18" s="1"/>
  <c r="I4820" i="18"/>
  <c r="N4801" i="18" s="1"/>
  <c r="D4820" i="18"/>
  <c r="D4819" i="18"/>
  <c r="D4818" i="18"/>
  <c r="D4817" i="18"/>
  <c r="D4816" i="18"/>
  <c r="D4815" i="18"/>
  <c r="D4814" i="18"/>
  <c r="D4813" i="18"/>
  <c r="D4812" i="18"/>
  <c r="D4811" i="18"/>
  <c r="D4810" i="18"/>
  <c r="D4809" i="18"/>
  <c r="D4808" i="18"/>
  <c r="D4807" i="18"/>
  <c r="D4806" i="18"/>
  <c r="D4805" i="18"/>
  <c r="D4804" i="18"/>
  <c r="D4801" i="18"/>
  <c r="G4801" i="18"/>
  <c r="C4800" i="18"/>
  <c r="G4800" i="18"/>
  <c r="D4778" i="18"/>
  <c r="G4778" i="18"/>
  <c r="C4777" i="18"/>
  <c r="G4777" i="18"/>
  <c r="D4775" i="18"/>
  <c r="D4774" i="18"/>
  <c r="D4773" i="18"/>
  <c r="D4772" i="18"/>
  <c r="D4771" i="18"/>
  <c r="D4770" i="18"/>
  <c r="D4767" i="18"/>
  <c r="G4767" i="18"/>
  <c r="D4752" i="18"/>
  <c r="G4752" i="18"/>
  <c r="C4751" i="18"/>
  <c r="G4751" i="18"/>
  <c r="D4736" i="18"/>
  <c r="D4735" i="18"/>
  <c r="D4734" i="18"/>
  <c r="D4733" i="18"/>
  <c r="D4732" i="18"/>
  <c r="D4731" i="18"/>
  <c r="D4730" i="18"/>
  <c r="D4727" i="18"/>
  <c r="G4727" i="18" s="1"/>
  <c r="C4726" i="18"/>
  <c r="G4726" i="18" s="1"/>
  <c r="I4724" i="18"/>
  <c r="N4716" i="18"/>
  <c r="H4724" i="18"/>
  <c r="K4716" i="18"/>
  <c r="D4724" i="18"/>
  <c r="D4723" i="18"/>
  <c r="D4722" i="18"/>
  <c r="D4721" i="18"/>
  <c r="D4720" i="18"/>
  <c r="D4719" i="18"/>
  <c r="D4716" i="18"/>
  <c r="G4716" i="18" s="1"/>
  <c r="D4714" i="18"/>
  <c r="D4713" i="18"/>
  <c r="D4712" i="18"/>
  <c r="D4711" i="18"/>
  <c r="D4710" i="18"/>
  <c r="D4709" i="18"/>
  <c r="D4708" i="18"/>
  <c r="D4707" i="18"/>
  <c r="D4706" i="18"/>
  <c r="D4705" i="18"/>
  <c r="D4704" i="18"/>
  <c r="D4703" i="18"/>
  <c r="D4702" i="18"/>
  <c r="D4701" i="18"/>
  <c r="D4700" i="18"/>
  <c r="D4699" i="18"/>
  <c r="D4696" i="18"/>
  <c r="G4696" i="18" s="1"/>
  <c r="C4695" i="18"/>
  <c r="G4695" i="18" s="1"/>
  <c r="I4693" i="18"/>
  <c r="H4693" i="18"/>
  <c r="D4693" i="18"/>
  <c r="D4692" i="18"/>
  <c r="D4691" i="18"/>
  <c r="D4690" i="18"/>
  <c r="D4689" i="18"/>
  <c r="D4688" i="18"/>
  <c r="N4685" i="18"/>
  <c r="K4685" i="18"/>
  <c r="L4685" i="18"/>
  <c r="L6553" i="18"/>
  <c r="E6553" i="18"/>
  <c r="D4685" i="18"/>
  <c r="G4685" i="18"/>
  <c r="D4683" i="18"/>
  <c r="D4682" i="18"/>
  <c r="D4681" i="18"/>
  <c r="D4680" i="18"/>
  <c r="D4679" i="18"/>
  <c r="D4678" i="18"/>
  <c r="D4677" i="18"/>
  <c r="D4676" i="18"/>
  <c r="D4675" i="18"/>
  <c r="D4674" i="18"/>
  <c r="D4673" i="18"/>
  <c r="D4672" i="18"/>
  <c r="D4671" i="18"/>
  <c r="D4670" i="18"/>
  <c r="D4669" i="18"/>
  <c r="D4668" i="18"/>
  <c r="D4665" i="18"/>
  <c r="G4665" i="18"/>
  <c r="C4664" i="18"/>
  <c r="G4664" i="18"/>
  <c r="I4662" i="18"/>
  <c r="N4654" i="18"/>
  <c r="H4662" i="18"/>
  <c r="K4654" i="18"/>
  <c r="D4662" i="18"/>
  <c r="D4661" i="18"/>
  <c r="D4660" i="18"/>
  <c r="D4659" i="18"/>
  <c r="D4658" i="18"/>
  <c r="D4657" i="18"/>
  <c r="D4654" i="18"/>
  <c r="G4654" i="18"/>
  <c r="D4652" i="18"/>
  <c r="D4651" i="18"/>
  <c r="D4650" i="18"/>
  <c r="D4649" i="18"/>
  <c r="D4648" i="18"/>
  <c r="D4647" i="18"/>
  <c r="D4646" i="18"/>
  <c r="D4645" i="18"/>
  <c r="D4644" i="18"/>
  <c r="D4643" i="18"/>
  <c r="D4642" i="18"/>
  <c r="D4641" i="18"/>
  <c r="D4640" i="18"/>
  <c r="D4639" i="18"/>
  <c r="D4638" i="18"/>
  <c r="D4635" i="18"/>
  <c r="C4634" i="18"/>
  <c r="G4634" i="18" s="1"/>
  <c r="I4632" i="18"/>
  <c r="N4624" i="18"/>
  <c r="H4632" i="18"/>
  <c r="K4624" i="18"/>
  <c r="D4632" i="18"/>
  <c r="D4631" i="18"/>
  <c r="D4630" i="18"/>
  <c r="D4629" i="18"/>
  <c r="D4628" i="18"/>
  <c r="D4627" i="18"/>
  <c r="D4624" i="18"/>
  <c r="G4624" i="18" s="1"/>
  <c r="I4622" i="18"/>
  <c r="N4614" i="18"/>
  <c r="H4622" i="18"/>
  <c r="K4614" i="18"/>
  <c r="D4622" i="18"/>
  <c r="D4621" i="18"/>
  <c r="D4620" i="18"/>
  <c r="D4619" i="18"/>
  <c r="D4618" i="18"/>
  <c r="D4617" i="18"/>
  <c r="D4614" i="18"/>
  <c r="G4614" i="18" s="1"/>
  <c r="H4612" i="18"/>
  <c r="D4612" i="18"/>
  <c r="D4611" i="18"/>
  <c r="D4610" i="18"/>
  <c r="D4609" i="18"/>
  <c r="D4608" i="18"/>
  <c r="D4607" i="18"/>
  <c r="D4606" i="18"/>
  <c r="D4605" i="18"/>
  <c r="D4604" i="18"/>
  <c r="D4603" i="18"/>
  <c r="D4602" i="18"/>
  <c r="D4599" i="18"/>
  <c r="G4599" i="18" s="1"/>
  <c r="H4597" i="18"/>
  <c r="D4597" i="18"/>
  <c r="D4596" i="18"/>
  <c r="D4595" i="18"/>
  <c r="D4594" i="18"/>
  <c r="D4593" i="18"/>
  <c r="D4592" i="18"/>
  <c r="D4591" i="18"/>
  <c r="D4590" i="18"/>
  <c r="D4589" i="18"/>
  <c r="D4588" i="18"/>
  <c r="D4587" i="18"/>
  <c r="D4584" i="18"/>
  <c r="G4584" i="18" s="1"/>
  <c r="G4578" i="18"/>
  <c r="H4575" i="18"/>
  <c r="H4579" i="18" s="1"/>
  <c r="D4575" i="18"/>
  <c r="D4574" i="18"/>
  <c r="D4573" i="18"/>
  <c r="D4572" i="18"/>
  <c r="D4571" i="18"/>
  <c r="D4570" i="18"/>
  <c r="D4565" i="18"/>
  <c r="G4565" i="18" s="1"/>
  <c r="G4559" i="18"/>
  <c r="H4556" i="18"/>
  <c r="H4560" i="18" s="1"/>
  <c r="D4556" i="18"/>
  <c r="D4555" i="18"/>
  <c r="D4554" i="18"/>
  <c r="D4553" i="18"/>
  <c r="D4552" i="18"/>
  <c r="D4551" i="18"/>
  <c r="D4550" i="18"/>
  <c r="D4549" i="18"/>
  <c r="D4548" i="18"/>
  <c r="D4547" i="18"/>
  <c r="D4542" i="18"/>
  <c r="G4542" i="18"/>
  <c r="G4536" i="18"/>
  <c r="K4533" i="18"/>
  <c r="J4533" i="18"/>
  <c r="H4533" i="18"/>
  <c r="D4533" i="18"/>
  <c r="D4532" i="18"/>
  <c r="D4531" i="18"/>
  <c r="D4530" i="18"/>
  <c r="D4529" i="18"/>
  <c r="D4528" i="18"/>
  <c r="D4527" i="18"/>
  <c r="D4526" i="18"/>
  <c r="D4525" i="18"/>
  <c r="D4524" i="18"/>
  <c r="D4523" i="18"/>
  <c r="D4518" i="18"/>
  <c r="G4518" i="18"/>
  <c r="D4516" i="18"/>
  <c r="D4515" i="18"/>
  <c r="D4514" i="18"/>
  <c r="D4513" i="18"/>
  <c r="I4512" i="18"/>
  <c r="D4512" i="18"/>
  <c r="D4509" i="18"/>
  <c r="G4509" i="18" s="1"/>
  <c r="J4558" i="18" s="1"/>
  <c r="D4507" i="18"/>
  <c r="D4506" i="18"/>
  <c r="D4505" i="18"/>
  <c r="D4504" i="18"/>
  <c r="I4503" i="18"/>
  <c r="H4503" i="18"/>
  <c r="D4503" i="18"/>
  <c r="D4500" i="18"/>
  <c r="G4500" i="18" s="1"/>
  <c r="D4498" i="18"/>
  <c r="D4497" i="18"/>
  <c r="D4496" i="18"/>
  <c r="D4495" i="18"/>
  <c r="D4490" i="18"/>
  <c r="G4490" i="18" s="1"/>
  <c r="C4489" i="18"/>
  <c r="G4489" i="18" s="1"/>
  <c r="C4488" i="18"/>
  <c r="G4488" i="18" s="1"/>
  <c r="C4487" i="18"/>
  <c r="G4487" i="18" s="1"/>
  <c r="H4485" i="18"/>
  <c r="K4476" i="18"/>
  <c r="D4485" i="18"/>
  <c r="D4484" i="18"/>
  <c r="D4483" i="18"/>
  <c r="D4482" i="18"/>
  <c r="D4481" i="18"/>
  <c r="D4480" i="18"/>
  <c r="D4479" i="18"/>
  <c r="D4476" i="18"/>
  <c r="G4476" i="18"/>
  <c r="D4474" i="18"/>
  <c r="D4473" i="18"/>
  <c r="D4472" i="18"/>
  <c r="D4471" i="18"/>
  <c r="D4470" i="18"/>
  <c r="D4469" i="18"/>
  <c r="D4468" i="18"/>
  <c r="D4467" i="18"/>
  <c r="D4466" i="18"/>
  <c r="D4465" i="18"/>
  <c r="D4464" i="18"/>
  <c r="D4463" i="18"/>
  <c r="D4462" i="18"/>
  <c r="D4459" i="18"/>
  <c r="G4459" i="18"/>
  <c r="C4458" i="18"/>
  <c r="G4458" i="18"/>
  <c r="J4456" i="18"/>
  <c r="I4456" i="18"/>
  <c r="H4456" i="18"/>
  <c r="N4451" i="18"/>
  <c r="D4456" i="18"/>
  <c r="K4455" i="18"/>
  <c r="D4455" i="18"/>
  <c r="K4454" i="18"/>
  <c r="D4454" i="18"/>
  <c r="D4451" i="18"/>
  <c r="G4451" i="18" s="1"/>
  <c r="C4450" i="18"/>
  <c r="G4450" i="18" s="1"/>
  <c r="J4448" i="18"/>
  <c r="I4448" i="18"/>
  <c r="H4448" i="18"/>
  <c r="N4439" i="18"/>
  <c r="K4447" i="18"/>
  <c r="K4446" i="18"/>
  <c r="K4445" i="18"/>
  <c r="K4444" i="18"/>
  <c r="K4443" i="18"/>
  <c r="K4442" i="18"/>
  <c r="D4439" i="18"/>
  <c r="G4439" i="18" s="1"/>
  <c r="L4437" i="18"/>
  <c r="K4437" i="18"/>
  <c r="I4437" i="18"/>
  <c r="D4437" i="18"/>
  <c r="D4436" i="18"/>
  <c r="D4435" i="18"/>
  <c r="D4434" i="18"/>
  <c r="D4433" i="18"/>
  <c r="D4432" i="18"/>
  <c r="D4431" i="18"/>
  <c r="D4430" i="18"/>
  <c r="D4429" i="18"/>
  <c r="D4426" i="18"/>
  <c r="G4426" i="18" s="1"/>
  <c r="C4425" i="18"/>
  <c r="G4425" i="18" s="1"/>
  <c r="J4423" i="18"/>
  <c r="I4423" i="18"/>
  <c r="D4423" i="18"/>
  <c r="K4422" i="18"/>
  <c r="D4422" i="18"/>
  <c r="K4421" i="18"/>
  <c r="D4421" i="18"/>
  <c r="K4420" i="18"/>
  <c r="D4420" i="18"/>
  <c r="K4419" i="18"/>
  <c r="D4419" i="18"/>
  <c r="K4418" i="18"/>
  <c r="D4418" i="18"/>
  <c r="D4415" i="18"/>
  <c r="G4415" i="18"/>
  <c r="C4414" i="18"/>
  <c r="G4414" i="18"/>
  <c r="D4412" i="18"/>
  <c r="O4411" i="18"/>
  <c r="N4411" i="18"/>
  <c r="D4411" i="18"/>
  <c r="O4410" i="18"/>
  <c r="N4410" i="18"/>
  <c r="D4410" i="18"/>
  <c r="O4409" i="18"/>
  <c r="N4409" i="18"/>
  <c r="D4409" i="18"/>
  <c r="O4408" i="18"/>
  <c r="N4408" i="18"/>
  <c r="D4408" i="18"/>
  <c r="O4407" i="18"/>
  <c r="N4407" i="18"/>
  <c r="D4407" i="18"/>
  <c r="O4406" i="18"/>
  <c r="N4406" i="18"/>
  <c r="D4406" i="18"/>
  <c r="O4405" i="18"/>
  <c r="N4405" i="18"/>
  <c r="D4405" i="18"/>
  <c r="M4404" i="18"/>
  <c r="L4404" i="18"/>
  <c r="K4404" i="18"/>
  <c r="J4404" i="18"/>
  <c r="I4404" i="18"/>
  <c r="H4404" i="18"/>
  <c r="D4404" i="18"/>
  <c r="O4403" i="18"/>
  <c r="N4403" i="18"/>
  <c r="D4403" i="18"/>
  <c r="O4402" i="18"/>
  <c r="N4402" i="18"/>
  <c r="D4402" i="18"/>
  <c r="O4401" i="18"/>
  <c r="N4401" i="18"/>
  <c r="D4401" i="18"/>
  <c r="O4400" i="18"/>
  <c r="N4400" i="18"/>
  <c r="D4400" i="18"/>
  <c r="M4399" i="18"/>
  <c r="L4399" i="18"/>
  <c r="K4399" i="18"/>
  <c r="J4399" i="18"/>
  <c r="I4399" i="18"/>
  <c r="H4399" i="18"/>
  <c r="D4399" i="18"/>
  <c r="D4394" i="18"/>
  <c r="G4394" i="18"/>
  <c r="D4369" i="18"/>
  <c r="G4369" i="18"/>
  <c r="C4368" i="18"/>
  <c r="G4368" i="18"/>
  <c r="J4366" i="18"/>
  <c r="I4366" i="18"/>
  <c r="D4366" i="18"/>
  <c r="K4365" i="18"/>
  <c r="D4365" i="18"/>
  <c r="D4362" i="18"/>
  <c r="G4362" i="18" s="1"/>
  <c r="C4361" i="18"/>
  <c r="G4361" i="18" s="1"/>
  <c r="J4359" i="18"/>
  <c r="I4359" i="18"/>
  <c r="D4359" i="18"/>
  <c r="K4358" i="18"/>
  <c r="D4358" i="18"/>
  <c r="K4357" i="18"/>
  <c r="D4357" i="18"/>
  <c r="K4356" i="18"/>
  <c r="D4356" i="18"/>
  <c r="D4353" i="18"/>
  <c r="G4353" i="18"/>
  <c r="C4352" i="18"/>
  <c r="G4352" i="18"/>
  <c r="M4350" i="18"/>
  <c r="L4350" i="18"/>
  <c r="K4350" i="18"/>
  <c r="J4350" i="18"/>
  <c r="I4350" i="18"/>
  <c r="N4342" i="18"/>
  <c r="H4350" i="18"/>
  <c r="D4350" i="18"/>
  <c r="O4349" i="18"/>
  <c r="N4349" i="18"/>
  <c r="D4349" i="18"/>
  <c r="O4348" i="18"/>
  <c r="N4348" i="18"/>
  <c r="D4348" i="18"/>
  <c r="O4347" i="18"/>
  <c r="N4347" i="18"/>
  <c r="D4347" i="18"/>
  <c r="D4342" i="18"/>
  <c r="G4342" i="18" s="1"/>
  <c r="M4340" i="18"/>
  <c r="D4340" i="18"/>
  <c r="L4339" i="18"/>
  <c r="D4339" i="18"/>
  <c r="L4338" i="18"/>
  <c r="D4338" i="18"/>
  <c r="L4337" i="18"/>
  <c r="D4337" i="18"/>
  <c r="L4336" i="18"/>
  <c r="D4336" i="18"/>
  <c r="L4335" i="18"/>
  <c r="D4335" i="18"/>
  <c r="K4332" i="18"/>
  <c r="D4332" i="18"/>
  <c r="G4332" i="18"/>
  <c r="C4331" i="18"/>
  <c r="G4331" i="18"/>
  <c r="H4329" i="18"/>
  <c r="J4329" i="18"/>
  <c r="N4319" i="18"/>
  <c r="D4319" i="18"/>
  <c r="G4319" i="18" s="1"/>
  <c r="D4317" i="18"/>
  <c r="D4316" i="18"/>
  <c r="M4315" i="18"/>
  <c r="D4315" i="18"/>
  <c r="D4310" i="18"/>
  <c r="G4310" i="18" s="1"/>
  <c r="C4309" i="18"/>
  <c r="G4309" i="18" s="1"/>
  <c r="N4307" i="18"/>
  <c r="M4307" i="18"/>
  <c r="L4307" i="18"/>
  <c r="J4307" i="18"/>
  <c r="I4307" i="18"/>
  <c r="H4307" i="18"/>
  <c r="N4299" i="18"/>
  <c r="D4307" i="18"/>
  <c r="K4306" i="18"/>
  <c r="D4306" i="18"/>
  <c r="K4305" i="18"/>
  <c r="D4305" i="18"/>
  <c r="K4304" i="18"/>
  <c r="D4304" i="18"/>
  <c r="K4303" i="18"/>
  <c r="D4303" i="18"/>
  <c r="K4302" i="18"/>
  <c r="D4302" i="18"/>
  <c r="D4299" i="18"/>
  <c r="G4299" i="18" s="1"/>
  <c r="D4297" i="18"/>
  <c r="D4296" i="18"/>
  <c r="D4295" i="18"/>
  <c r="D4294" i="18"/>
  <c r="D4293" i="18"/>
  <c r="D4292" i="18"/>
  <c r="D4289" i="18"/>
  <c r="G4289" i="18" s="1"/>
  <c r="C4288" i="18"/>
  <c r="G4288" i="18" s="1"/>
  <c r="D4279" i="18"/>
  <c r="D4278" i="18"/>
  <c r="D4277" i="18"/>
  <c r="D4276" i="18"/>
  <c r="D4275" i="18"/>
  <c r="D4274" i="18"/>
  <c r="D4271" i="18"/>
  <c r="G4271" i="18" s="1"/>
  <c r="H4792" i="18" s="1"/>
  <c r="J4269" i="18"/>
  <c r="I4269" i="18"/>
  <c r="D4269" i="18"/>
  <c r="K4268" i="18"/>
  <c r="D4268" i="18"/>
  <c r="K4267" i="18"/>
  <c r="D4267" i="18"/>
  <c r="K4266" i="18"/>
  <c r="D4266" i="18"/>
  <c r="D4263" i="18"/>
  <c r="G4263" i="18" s="1"/>
  <c r="H4281" i="18" s="1"/>
  <c r="C4262" i="18"/>
  <c r="G4262" i="18"/>
  <c r="D4260" i="18"/>
  <c r="D4259" i="18"/>
  <c r="D4258" i="18"/>
  <c r="D4257" i="18"/>
  <c r="D4256" i="18"/>
  <c r="D4255" i="18"/>
  <c r="D4254" i="18"/>
  <c r="D4253" i="18"/>
  <c r="D4252" i="18"/>
  <c r="D4249" i="18"/>
  <c r="G4249" i="18" s="1"/>
  <c r="C4248" i="18"/>
  <c r="G4248" i="18" s="1"/>
  <c r="D4246" i="18"/>
  <c r="D4245" i="18"/>
  <c r="D4244" i="18"/>
  <c r="D4243" i="18"/>
  <c r="D4242" i="18"/>
  <c r="D4241" i="18"/>
  <c r="D4240" i="18"/>
  <c r="D4235" i="18"/>
  <c r="G4235" i="18"/>
  <c r="D4233" i="18"/>
  <c r="D4232" i="18"/>
  <c r="D4231" i="18"/>
  <c r="D4230" i="18"/>
  <c r="D4229" i="18"/>
  <c r="D4228" i="18"/>
  <c r="D4227" i="18"/>
  <c r="D4224" i="18"/>
  <c r="G4224" i="18" s="1"/>
  <c r="D4222" i="18"/>
  <c r="D4221" i="18"/>
  <c r="D4220" i="18"/>
  <c r="D4219" i="18"/>
  <c r="D4218" i="18"/>
  <c r="D4215" i="18"/>
  <c r="G4215" i="18"/>
  <c r="D4200" i="18"/>
  <c r="G4200" i="18"/>
  <c r="D4180" i="18"/>
  <c r="G4180" i="18"/>
  <c r="D4178" i="18"/>
  <c r="D4177" i="18"/>
  <c r="D4176" i="18"/>
  <c r="D4175" i="18"/>
  <c r="D4174" i="18"/>
  <c r="D4173" i="18"/>
  <c r="D4170" i="18"/>
  <c r="G4170" i="18"/>
  <c r="C4169" i="18"/>
  <c r="G4169" i="18"/>
  <c r="J4167" i="18"/>
  <c r="K4159" i="18"/>
  <c r="D4167" i="18"/>
  <c r="D4166" i="18"/>
  <c r="D4165" i="18"/>
  <c r="D4164" i="18"/>
  <c r="D4163" i="18"/>
  <c r="D4162" i="18"/>
  <c r="D4159" i="18"/>
  <c r="G4159" i="18"/>
  <c r="J4157" i="18"/>
  <c r="I4157" i="18"/>
  <c r="D4157" i="18"/>
  <c r="K4156" i="18"/>
  <c r="D4156" i="18"/>
  <c r="K4155" i="18"/>
  <c r="D4155" i="18"/>
  <c r="K4154" i="18"/>
  <c r="D4154" i="18"/>
  <c r="K4153" i="18"/>
  <c r="D4153" i="18"/>
  <c r="K4152" i="18"/>
  <c r="D4152" i="18"/>
  <c r="D4149" i="18"/>
  <c r="G4149" i="18" s="1"/>
  <c r="C4148" i="18"/>
  <c r="G4148" i="18" s="1"/>
  <c r="J4146" i="18"/>
  <c r="K4138" i="18"/>
  <c r="D4146" i="18"/>
  <c r="D4145" i="18"/>
  <c r="D4144" i="18"/>
  <c r="D4143" i="18"/>
  <c r="D4142" i="18"/>
  <c r="D4141" i="18"/>
  <c r="D4138" i="18"/>
  <c r="G4138" i="18" s="1"/>
  <c r="D4129" i="18"/>
  <c r="D4128" i="18"/>
  <c r="I4127" i="18"/>
  <c r="H4127" i="18"/>
  <c r="D4127" i="18"/>
  <c r="D4126" i="18"/>
  <c r="D4125" i="18"/>
  <c r="D4124" i="18"/>
  <c r="D4123" i="18"/>
  <c r="D4120" i="18"/>
  <c r="G4120" i="18"/>
  <c r="C4119" i="18"/>
  <c r="G4119" i="18"/>
  <c r="D4109" i="18"/>
  <c r="G4109" i="18"/>
  <c r="H4131" i="18" s="1"/>
  <c r="C4108" i="18"/>
  <c r="G4108" i="18" s="1"/>
  <c r="M4096" i="18"/>
  <c r="K4096" i="18"/>
  <c r="I4096" i="18"/>
  <c r="N4086" i="18"/>
  <c r="D4096" i="18"/>
  <c r="O4095" i="18"/>
  <c r="N4095" i="18"/>
  <c r="D4095" i="18"/>
  <c r="O4094" i="18"/>
  <c r="N4094" i="18"/>
  <c r="D4094" i="18"/>
  <c r="O4093" i="18"/>
  <c r="N4093" i="18"/>
  <c r="D4093" i="18"/>
  <c r="O4092" i="18"/>
  <c r="N4092" i="18"/>
  <c r="D4092" i="18"/>
  <c r="O4091" i="18"/>
  <c r="N4091" i="18"/>
  <c r="D4091" i="18"/>
  <c r="D4086" i="18"/>
  <c r="G4086" i="18" s="1"/>
  <c r="D4084" i="18"/>
  <c r="L4083" i="18"/>
  <c r="D4083" i="18"/>
  <c r="L4082" i="18"/>
  <c r="D4082" i="18"/>
  <c r="L4081" i="18"/>
  <c r="D4081" i="18"/>
  <c r="L4080" i="18"/>
  <c r="D4080" i="18"/>
  <c r="L4079" i="18"/>
  <c r="D4079" i="18"/>
  <c r="K4076" i="18"/>
  <c r="D4076" i="18"/>
  <c r="G4076" i="18" s="1"/>
  <c r="D4074" i="18"/>
  <c r="Q4073" i="18"/>
  <c r="D4073" i="18"/>
  <c r="P4072" i="18"/>
  <c r="P4074" i="18"/>
  <c r="O4072" i="18"/>
  <c r="O4074" i="18"/>
  <c r="N4072" i="18"/>
  <c r="N4074" i="18"/>
  <c r="M4072" i="18"/>
  <c r="M4074" i="18"/>
  <c r="L4072" i="18"/>
  <c r="K4072" i="18"/>
  <c r="K4074" i="18"/>
  <c r="H4072" i="18"/>
  <c r="H4074" i="18"/>
  <c r="D4072" i="18"/>
  <c r="Q4071" i="18"/>
  <c r="D4071" i="18"/>
  <c r="Q4070" i="18"/>
  <c r="D4070" i="18"/>
  <c r="Q4069" i="18"/>
  <c r="D4069" i="18"/>
  <c r="Q4068" i="18"/>
  <c r="D4068" i="18"/>
  <c r="Q4067" i="18"/>
  <c r="D4067" i="18"/>
  <c r="D4066" i="18"/>
  <c r="D4063" i="18"/>
  <c r="G4063" i="18" s="1"/>
  <c r="D4053" i="18"/>
  <c r="G4053" i="18" s="1"/>
  <c r="C4052" i="18"/>
  <c r="G4052" i="18" s="1"/>
  <c r="K4040" i="18"/>
  <c r="H4040" i="18"/>
  <c r="K4032" i="18"/>
  <c r="D4040" i="18"/>
  <c r="D4039" i="18"/>
  <c r="D4038" i="18"/>
  <c r="D4037" i="18"/>
  <c r="D4036" i="18"/>
  <c r="D4035" i="18"/>
  <c r="D4032" i="18"/>
  <c r="G4032" i="18"/>
  <c r="K4030" i="18"/>
  <c r="H4030" i="18"/>
  <c r="K4022" i="18"/>
  <c r="D4030" i="18"/>
  <c r="D4029" i="18"/>
  <c r="D4028" i="18"/>
  <c r="D4027" i="18"/>
  <c r="D4026" i="18"/>
  <c r="D4025" i="18"/>
  <c r="D4022" i="18"/>
  <c r="G4022" i="18" s="1"/>
  <c r="K4020" i="18"/>
  <c r="H4020" i="18"/>
  <c r="K4012" i="18"/>
  <c r="D4020" i="18"/>
  <c r="D4019" i="18"/>
  <c r="D4018" i="18"/>
  <c r="D4017" i="18"/>
  <c r="D4016" i="18"/>
  <c r="D4015" i="18"/>
  <c r="D4012" i="18"/>
  <c r="G4012" i="18"/>
  <c r="J4050" i="18"/>
  <c r="K4042" i="18"/>
  <c r="D4050" i="18"/>
  <c r="D4049" i="18"/>
  <c r="D4048" i="18"/>
  <c r="D4047" i="18"/>
  <c r="D4046" i="18"/>
  <c r="D4045" i="18"/>
  <c r="N4042" i="18"/>
  <c r="D4042" i="18"/>
  <c r="G4042" i="18" s="1"/>
  <c r="D3999" i="18"/>
  <c r="G3999" i="18" s="1"/>
  <c r="C3998" i="18"/>
  <c r="G3998" i="18" s="1"/>
  <c r="G3992" i="18"/>
  <c r="P3989" i="18"/>
  <c r="O3989" i="18"/>
  <c r="N3989" i="18"/>
  <c r="M3989" i="18"/>
  <c r="K3989" i="18"/>
  <c r="H3989" i="18"/>
  <c r="D3989" i="18"/>
  <c r="Q3988" i="18"/>
  <c r="D3988" i="18"/>
  <c r="Q3987" i="18"/>
  <c r="D3987" i="18"/>
  <c r="Q3986" i="18"/>
  <c r="D3986" i="18"/>
  <c r="Q3985" i="18"/>
  <c r="D3985" i="18"/>
  <c r="Q3984" i="18"/>
  <c r="D3984" i="18"/>
  <c r="D3981" i="18"/>
  <c r="G3981" i="18" s="1"/>
  <c r="H3979" i="18"/>
  <c r="K3970" i="18" s="1"/>
  <c r="D3979" i="18"/>
  <c r="D3978" i="18"/>
  <c r="D3977" i="18"/>
  <c r="D3976" i="18"/>
  <c r="D3975" i="18"/>
  <c r="D3974" i="18"/>
  <c r="D3973" i="18"/>
  <c r="D3970" i="18"/>
  <c r="G3970" i="18"/>
  <c r="H3991" i="18" s="1"/>
  <c r="C3969" i="18"/>
  <c r="G3969" i="18" s="1"/>
  <c r="I3967" i="18"/>
  <c r="N3959" i="18"/>
  <c r="H3967" i="18"/>
  <c r="K3959" i="18"/>
  <c r="D3967" i="18"/>
  <c r="D3966" i="18"/>
  <c r="D3965" i="18"/>
  <c r="D3964" i="18"/>
  <c r="D3963" i="18"/>
  <c r="D3962" i="18"/>
  <c r="D3959" i="18"/>
  <c r="G3959" i="18" s="1"/>
  <c r="P3957" i="18"/>
  <c r="O3957" i="18"/>
  <c r="N3957" i="18"/>
  <c r="M3957" i="18"/>
  <c r="L3957" i="18"/>
  <c r="N3949" i="18"/>
  <c r="K3957" i="18"/>
  <c r="H3957" i="18"/>
  <c r="D3957" i="18"/>
  <c r="Q3956" i="18"/>
  <c r="D3956" i="18"/>
  <c r="Q3955" i="18"/>
  <c r="D3955" i="18"/>
  <c r="Q3954" i="18"/>
  <c r="D3954" i="18"/>
  <c r="Q3953" i="18"/>
  <c r="D3953" i="18"/>
  <c r="Q3952" i="18"/>
  <c r="D3952" i="18"/>
  <c r="D3949" i="18"/>
  <c r="G3949" i="18"/>
  <c r="I3947" i="18"/>
  <c r="N3939" i="18"/>
  <c r="H3947" i="18"/>
  <c r="K3939" i="18"/>
  <c r="D3947" i="18"/>
  <c r="D3946" i="18"/>
  <c r="D3945" i="18"/>
  <c r="D3944" i="18"/>
  <c r="D3943" i="18"/>
  <c r="D3942" i="18"/>
  <c r="D3939" i="18"/>
  <c r="G3939" i="18"/>
  <c r="D3937" i="18"/>
  <c r="D3936" i="18"/>
  <c r="D3935" i="18"/>
  <c r="D3934" i="18"/>
  <c r="D3933" i="18"/>
  <c r="D3932" i="18"/>
  <c r="D3929" i="18"/>
  <c r="G3929" i="18"/>
  <c r="C3928" i="18"/>
  <c r="G3928" i="18"/>
  <c r="D3926" i="18"/>
  <c r="D3925" i="18"/>
  <c r="D3924" i="18"/>
  <c r="D3923" i="18"/>
  <c r="D3922" i="18"/>
  <c r="D3921" i="18"/>
  <c r="D3918" i="18"/>
  <c r="G3918" i="18"/>
  <c r="C3917" i="18"/>
  <c r="G3917" i="18"/>
  <c r="D3915" i="18"/>
  <c r="H3914" i="18"/>
  <c r="D3914" i="18"/>
  <c r="D3913" i="18"/>
  <c r="D3912" i="18"/>
  <c r="D3911" i="18"/>
  <c r="D3910" i="18"/>
  <c r="D3909" i="18"/>
  <c r="D3908" i="18"/>
  <c r="H3907" i="18"/>
  <c r="D3907" i="18"/>
  <c r="D3906" i="18"/>
  <c r="D3905" i="18"/>
  <c r="D3904" i="18"/>
  <c r="D3903" i="18"/>
  <c r="D3902" i="18"/>
  <c r="D3901" i="18"/>
  <c r="D3898" i="18"/>
  <c r="G3898" i="18" s="1"/>
  <c r="I3896" i="18"/>
  <c r="H3896" i="18"/>
  <c r="D3896" i="18"/>
  <c r="D3895" i="18"/>
  <c r="D3894" i="18"/>
  <c r="D3893" i="18"/>
  <c r="D3892" i="18"/>
  <c r="D3891" i="18"/>
  <c r="D3888" i="18"/>
  <c r="G3888" i="18" s="1"/>
  <c r="J3886" i="18"/>
  <c r="Q3878" i="18"/>
  <c r="D3886" i="18"/>
  <c r="D3885" i="18"/>
  <c r="D3884" i="18"/>
  <c r="D3883" i="18"/>
  <c r="D3882" i="18"/>
  <c r="D3881" i="18"/>
  <c r="D3878" i="18"/>
  <c r="G3878" i="18" s="1"/>
  <c r="H3876" i="18"/>
  <c r="K3868" i="18"/>
  <c r="D3876" i="18"/>
  <c r="D3875" i="18"/>
  <c r="D3874" i="18"/>
  <c r="D3873" i="18"/>
  <c r="D3872" i="18"/>
  <c r="D3871" i="18"/>
  <c r="D3868" i="18"/>
  <c r="G3868" i="18" s="1"/>
  <c r="D3866" i="18"/>
  <c r="D3865" i="18"/>
  <c r="D3864" i="18"/>
  <c r="D3863" i="18"/>
  <c r="D3862" i="18"/>
  <c r="D3861" i="18"/>
  <c r="D3858" i="18"/>
  <c r="G3858" i="18" s="1"/>
  <c r="I3849" i="18"/>
  <c r="N3841" i="18"/>
  <c r="H3849" i="18"/>
  <c r="K3841" i="18"/>
  <c r="D3849" i="18"/>
  <c r="D3848" i="18"/>
  <c r="D3847" i="18"/>
  <c r="D3846" i="18"/>
  <c r="D3845" i="18"/>
  <c r="D3844" i="18"/>
  <c r="D3841" i="18"/>
  <c r="G3841" i="18" s="1"/>
  <c r="D3839" i="18"/>
  <c r="D3838" i="18"/>
  <c r="D3837" i="18"/>
  <c r="D3836" i="18"/>
  <c r="D3835" i="18"/>
  <c r="D3834" i="18"/>
  <c r="D3831" i="18"/>
  <c r="G3831" i="18" s="1"/>
  <c r="H3851" i="18" s="1"/>
  <c r="C3830" i="18"/>
  <c r="G3830" i="18"/>
  <c r="D3828" i="18"/>
  <c r="D3827" i="18"/>
  <c r="D3826" i="18"/>
  <c r="D3825" i="18"/>
  <c r="D3824" i="18"/>
  <c r="D3823" i="18"/>
  <c r="D3820" i="18"/>
  <c r="G3820" i="18"/>
  <c r="D3803" i="18"/>
  <c r="G3803" i="18"/>
  <c r="C3802" i="18"/>
  <c r="G3802" i="18"/>
  <c r="H3800" i="18"/>
  <c r="Q3792" i="18"/>
  <c r="D3800" i="18"/>
  <c r="D3799" i="18"/>
  <c r="D3798" i="18"/>
  <c r="D3797" i="18"/>
  <c r="D3796" i="18"/>
  <c r="D3795" i="18"/>
  <c r="D3792" i="18"/>
  <c r="G3792" i="18"/>
  <c r="D3772" i="18"/>
  <c r="G3772" i="18"/>
  <c r="C3771" i="18"/>
  <c r="G3771" i="18"/>
  <c r="D3762" i="18"/>
  <c r="G3762" i="18"/>
  <c r="C3761" i="18"/>
  <c r="G3761" i="18"/>
  <c r="K3759" i="18"/>
  <c r="K3748" i="18"/>
  <c r="J3759" i="18"/>
  <c r="I3759" i="18"/>
  <c r="H3759" i="18"/>
  <c r="N3748" i="18"/>
  <c r="D3759" i="18"/>
  <c r="D3758" i="18"/>
  <c r="D3757" i="18"/>
  <c r="D3756" i="18"/>
  <c r="D3755" i="18"/>
  <c r="D3754" i="18"/>
  <c r="D3753" i="18"/>
  <c r="D3752" i="18"/>
  <c r="D3751" i="18"/>
  <c r="D3748" i="18"/>
  <c r="G3748" i="18" s="1"/>
  <c r="D3729" i="18"/>
  <c r="G3729" i="18" s="1"/>
  <c r="C3728" i="18"/>
  <c r="G3728" i="18" s="1"/>
  <c r="H3726" i="18"/>
  <c r="D3726" i="18"/>
  <c r="D3725" i="18"/>
  <c r="D3724" i="18"/>
  <c r="D3723" i="18"/>
  <c r="D3722" i="18"/>
  <c r="D3721" i="18"/>
  <c r="D3720" i="18"/>
  <c r="D3719" i="18"/>
  <c r="D3718" i="18"/>
  <c r="N3715" i="18"/>
  <c r="K3715" i="18"/>
  <c r="D3715" i="18"/>
  <c r="G3715" i="18" s="1"/>
  <c r="D3713" i="18"/>
  <c r="K3712" i="18"/>
  <c r="D3712" i="18"/>
  <c r="J3711" i="18"/>
  <c r="I3711" i="18"/>
  <c r="H3711" i="18"/>
  <c r="D3711" i="18"/>
  <c r="K3710" i="18"/>
  <c r="D3710" i="18"/>
  <c r="K3709" i="18"/>
  <c r="D3709" i="18"/>
  <c r="K3708" i="18"/>
  <c r="D3708" i="18"/>
  <c r="K3707" i="18"/>
  <c r="D3707" i="18"/>
  <c r="J3706" i="18"/>
  <c r="I3706" i="18"/>
  <c r="H3706" i="18"/>
  <c r="D3706" i="18"/>
  <c r="K3705" i="18"/>
  <c r="D3705" i="18"/>
  <c r="K3704" i="18"/>
  <c r="D3704" i="18"/>
  <c r="K3703" i="18"/>
  <c r="D3703" i="18"/>
  <c r="K3702" i="18"/>
  <c r="D3702" i="18"/>
  <c r="K3701" i="18"/>
  <c r="D3701" i="18"/>
  <c r="K3700" i="18"/>
  <c r="D3700" i="18"/>
  <c r="J3699" i="18"/>
  <c r="I3699" i="18"/>
  <c r="I3713" i="18"/>
  <c r="H3699" i="18"/>
  <c r="D3699" i="18"/>
  <c r="K3698" i="18"/>
  <c r="D3698" i="18"/>
  <c r="K3697" i="18"/>
  <c r="D3697" i="18"/>
  <c r="K3696" i="18"/>
  <c r="D3696" i="18"/>
  <c r="K3695" i="18"/>
  <c r="D3695" i="18"/>
  <c r="K3694" i="18"/>
  <c r="D3694" i="18"/>
  <c r="K3693" i="18"/>
  <c r="D3693" i="18"/>
  <c r="K3692" i="18"/>
  <c r="D3692" i="18"/>
  <c r="K3691" i="18"/>
  <c r="D3691" i="18"/>
  <c r="K3690" i="18"/>
  <c r="D3690" i="18"/>
  <c r="D3689" i="18"/>
  <c r="K3688" i="18"/>
  <c r="D3688" i="18"/>
  <c r="K3687" i="18"/>
  <c r="D3687" i="18"/>
  <c r="K3686" i="18"/>
  <c r="D3686" i="18"/>
  <c r="D3683" i="18"/>
  <c r="G3683" i="18"/>
  <c r="K3673" i="18"/>
  <c r="K3671" i="18"/>
  <c r="K3670" i="18"/>
  <c r="K3667" i="18"/>
  <c r="K3666" i="18"/>
  <c r="K3665" i="18"/>
  <c r="K3664" i="18"/>
  <c r="K3663" i="18"/>
  <c r="D3659" i="18"/>
  <c r="G3659" i="18"/>
  <c r="D3650" i="18"/>
  <c r="K3649" i="18"/>
  <c r="D3649" i="18"/>
  <c r="K3648" i="18"/>
  <c r="D3648" i="18"/>
  <c r="K3647" i="18"/>
  <c r="D3647" i="18"/>
  <c r="K3646" i="18"/>
  <c r="D3646" i="18"/>
  <c r="K3645" i="18"/>
  <c r="D3645" i="18"/>
  <c r="K3644" i="18"/>
  <c r="D3644" i="18"/>
  <c r="K3643" i="18"/>
  <c r="D3643" i="18"/>
  <c r="J3642" i="18"/>
  <c r="J3650" i="18"/>
  <c r="I3642" i="18"/>
  <c r="I3650" i="18" s="1"/>
  <c r="I3654" i="18" s="1"/>
  <c r="H3642" i="18"/>
  <c r="D3642" i="18"/>
  <c r="K3641" i="18"/>
  <c r="D3641" i="18"/>
  <c r="K3640" i="18"/>
  <c r="D3640" i="18"/>
  <c r="K3639" i="18"/>
  <c r="D3639" i="18"/>
  <c r="K3638" i="18"/>
  <c r="D3638" i="18"/>
  <c r="K3637" i="18"/>
  <c r="D3637" i="18"/>
  <c r="K3636" i="18"/>
  <c r="D3636" i="18"/>
  <c r="D3635" i="18"/>
  <c r="K3634" i="18"/>
  <c r="D3634" i="18"/>
  <c r="K3633" i="18"/>
  <c r="D3633" i="18"/>
  <c r="D3630" i="18"/>
  <c r="G3630" i="18"/>
  <c r="D3628" i="18"/>
  <c r="K3627" i="18"/>
  <c r="D3627" i="18"/>
  <c r="K3626" i="18"/>
  <c r="D3626" i="18"/>
  <c r="K3625" i="18"/>
  <c r="D3625" i="18"/>
  <c r="K3624" i="18"/>
  <c r="D3624" i="18"/>
  <c r="D3623" i="18"/>
  <c r="D3620" i="18"/>
  <c r="G3620" i="18"/>
  <c r="C3619" i="18"/>
  <c r="G3619" i="18"/>
  <c r="D3617" i="18"/>
  <c r="H3616" i="18"/>
  <c r="D3616" i="18"/>
  <c r="D3615" i="18"/>
  <c r="D3614" i="18"/>
  <c r="D3613" i="18"/>
  <c r="D3612" i="18"/>
  <c r="D3611" i="18"/>
  <c r="D3610" i="18"/>
  <c r="H3609" i="18"/>
  <c r="D3609" i="18"/>
  <c r="D3608" i="18"/>
  <c r="D3607" i="18"/>
  <c r="D3606" i="18"/>
  <c r="D3605" i="18"/>
  <c r="D3604" i="18"/>
  <c r="D3603" i="18"/>
  <c r="D3600" i="18"/>
  <c r="G3600" i="18" s="1"/>
  <c r="I3598" i="18"/>
  <c r="H3598" i="18"/>
  <c r="D3598" i="18"/>
  <c r="D3597" i="18"/>
  <c r="D3596" i="18"/>
  <c r="D3595" i="18"/>
  <c r="D3594" i="18"/>
  <c r="D3593" i="18"/>
  <c r="D3590" i="18"/>
  <c r="G3590" i="18" s="1"/>
  <c r="I3588" i="18"/>
  <c r="N3580" i="18"/>
  <c r="H3588" i="18"/>
  <c r="K3580" i="18"/>
  <c r="D3588" i="18"/>
  <c r="D3587" i="18"/>
  <c r="D3586" i="18"/>
  <c r="D3585" i="18"/>
  <c r="D3584" i="18"/>
  <c r="D3583" i="18"/>
  <c r="D3580" i="18"/>
  <c r="G3580" i="18" s="1"/>
  <c r="H3578" i="18"/>
  <c r="Q3570" i="18" s="1"/>
  <c r="D3578" i="18"/>
  <c r="D3577" i="18"/>
  <c r="D3576" i="18"/>
  <c r="D3575" i="18"/>
  <c r="D3574" i="18"/>
  <c r="D3573" i="18"/>
  <c r="D3570" i="18"/>
  <c r="G3570" i="18" s="1"/>
  <c r="D3568" i="18"/>
  <c r="D3567" i="18"/>
  <c r="D3566" i="18"/>
  <c r="D3565" i="18"/>
  <c r="D3564" i="18"/>
  <c r="D3563" i="18"/>
  <c r="D3560" i="18"/>
  <c r="G3560" i="18" s="1"/>
  <c r="I3551" i="18"/>
  <c r="H3551" i="18"/>
  <c r="K3543" i="18"/>
  <c r="D3551" i="18"/>
  <c r="D3550" i="18"/>
  <c r="D3549" i="18"/>
  <c r="D3548" i="18"/>
  <c r="D3547" i="18"/>
  <c r="D3546" i="18"/>
  <c r="D3543" i="18"/>
  <c r="G3543" i="18"/>
  <c r="D3541" i="18"/>
  <c r="D3540" i="18"/>
  <c r="D3539" i="18"/>
  <c r="D3538" i="18"/>
  <c r="D3537" i="18"/>
  <c r="D3536" i="18"/>
  <c r="D3533" i="18"/>
  <c r="G3533" i="18"/>
  <c r="H3553" i="18" s="1"/>
  <c r="C3532" i="18"/>
  <c r="G3532" i="18" s="1"/>
  <c r="D3530" i="18"/>
  <c r="H3529" i="18"/>
  <c r="D3529" i="18"/>
  <c r="D3528" i="18"/>
  <c r="D3527" i="18"/>
  <c r="D3526" i="18"/>
  <c r="D3525" i="18"/>
  <c r="D3524" i="18"/>
  <c r="D3523" i="18"/>
  <c r="H3522" i="18"/>
  <c r="D3522" i="18"/>
  <c r="D3521" i="18"/>
  <c r="D3520" i="18"/>
  <c r="D3519" i="18"/>
  <c r="D3518" i="18"/>
  <c r="D3517" i="18"/>
  <c r="D3516" i="18"/>
  <c r="D3513" i="18"/>
  <c r="G3513" i="18"/>
  <c r="H3511" i="18"/>
  <c r="K3503" i="18"/>
  <c r="D3511" i="18"/>
  <c r="D3510" i="18"/>
  <c r="D3509" i="18"/>
  <c r="D3508" i="18"/>
  <c r="D3507" i="18"/>
  <c r="D3506" i="18"/>
  <c r="D3503" i="18"/>
  <c r="G3503" i="18"/>
  <c r="I3501" i="18"/>
  <c r="H3501" i="18"/>
  <c r="D3501" i="18"/>
  <c r="D3500" i="18"/>
  <c r="D3499" i="18"/>
  <c r="D3498" i="18"/>
  <c r="D3497" i="18"/>
  <c r="D3496" i="18"/>
  <c r="D3493" i="18"/>
  <c r="G3493" i="18"/>
  <c r="J3491" i="18"/>
  <c r="K3483" i="18"/>
  <c r="D3491" i="18"/>
  <c r="D3490" i="18"/>
  <c r="D3489" i="18"/>
  <c r="D3488" i="18"/>
  <c r="D3487" i="18"/>
  <c r="D3486" i="18"/>
  <c r="D3483" i="18"/>
  <c r="G3483" i="18"/>
  <c r="D3481" i="18"/>
  <c r="D3480" i="18"/>
  <c r="D3479" i="18"/>
  <c r="D3478" i="18"/>
  <c r="D3477" i="18"/>
  <c r="D3476" i="18"/>
  <c r="D3473" i="18"/>
  <c r="G3473" i="18"/>
  <c r="I3464" i="18"/>
  <c r="H3464" i="18"/>
  <c r="D3464" i="18"/>
  <c r="D3463" i="18"/>
  <c r="D3462" i="18"/>
  <c r="D3461" i="18"/>
  <c r="D3460" i="18"/>
  <c r="D3459" i="18"/>
  <c r="D3456" i="18"/>
  <c r="G3456" i="18"/>
  <c r="D3454" i="18"/>
  <c r="D3453" i="18"/>
  <c r="D3452" i="18"/>
  <c r="D3451" i="18"/>
  <c r="D3450" i="18"/>
  <c r="D3449" i="18"/>
  <c r="D3448" i="18"/>
  <c r="D3445" i="18"/>
  <c r="G3445" i="18" s="1"/>
  <c r="H3466" i="18"/>
  <c r="C3444" i="18"/>
  <c r="G3444" i="18"/>
  <c r="D3441" i="18"/>
  <c r="D3440" i="18"/>
  <c r="D3439" i="18"/>
  <c r="D3438" i="18"/>
  <c r="D3437" i="18"/>
  <c r="D3434" i="18"/>
  <c r="G3434" i="18" s="1"/>
  <c r="C3433" i="18"/>
  <c r="G3433" i="18" s="1"/>
  <c r="D3431" i="18"/>
  <c r="D3430" i="18"/>
  <c r="D3429" i="18"/>
  <c r="D3428" i="18"/>
  <c r="D3427" i="18"/>
  <c r="D3426" i="18"/>
  <c r="D3423" i="18"/>
  <c r="G3423" i="18" s="1"/>
  <c r="C3422" i="18"/>
  <c r="G3422" i="18" s="1"/>
  <c r="D3420" i="18"/>
  <c r="D3419" i="18"/>
  <c r="D3418" i="18"/>
  <c r="D3417" i="18"/>
  <c r="D3416" i="18"/>
  <c r="D3415" i="18"/>
  <c r="D3414" i="18"/>
  <c r="D3411" i="18"/>
  <c r="G3411" i="18"/>
  <c r="C3410" i="18"/>
  <c r="G3410" i="18"/>
  <c r="J3407" i="18"/>
  <c r="I3407" i="18"/>
  <c r="N3396" i="18"/>
  <c r="H3407" i="18"/>
  <c r="K3396" i="18"/>
  <c r="D3407" i="18"/>
  <c r="D3406" i="18"/>
  <c r="D3405" i="18"/>
  <c r="D3404" i="18"/>
  <c r="D3403" i="18"/>
  <c r="D3402" i="18"/>
  <c r="D3401" i="18"/>
  <c r="D3400" i="18"/>
  <c r="D3399" i="18"/>
  <c r="D3396" i="18"/>
  <c r="G3396" i="18"/>
  <c r="J3394" i="18"/>
  <c r="I3394" i="18"/>
  <c r="N3383" i="18"/>
  <c r="D3394" i="18"/>
  <c r="D3393" i="18"/>
  <c r="D3392" i="18"/>
  <c r="D3391" i="18"/>
  <c r="D3390" i="18"/>
  <c r="D3389" i="18"/>
  <c r="D3388" i="18"/>
  <c r="D3387" i="18"/>
  <c r="D3386" i="18"/>
  <c r="D3383" i="18"/>
  <c r="G3383" i="18"/>
  <c r="C3382" i="18"/>
  <c r="G3382" i="18"/>
  <c r="J3380" i="18"/>
  <c r="K3372" i="18"/>
  <c r="D3380" i="18"/>
  <c r="D3379" i="18"/>
  <c r="D3378" i="18"/>
  <c r="D3377" i="18"/>
  <c r="D3376" i="18"/>
  <c r="D3375" i="18"/>
  <c r="N3372" i="18"/>
  <c r="D3372" i="18"/>
  <c r="G3372" i="18" s="1"/>
  <c r="D3369" i="18"/>
  <c r="D3368" i="18"/>
  <c r="D3367" i="18"/>
  <c r="D3366" i="18"/>
  <c r="D3365" i="18"/>
  <c r="D3364" i="18"/>
  <c r="D3361" i="18"/>
  <c r="G3361" i="18" s="1"/>
  <c r="H3359" i="18"/>
  <c r="K3351" i="18"/>
  <c r="D3359" i="18"/>
  <c r="D3358" i="18"/>
  <c r="D3357" i="18"/>
  <c r="D3356" i="18"/>
  <c r="D3355" i="18"/>
  <c r="D3354" i="18"/>
  <c r="D3351" i="18"/>
  <c r="G3351" i="18" s="1"/>
  <c r="H3349" i="18"/>
  <c r="K3341" i="18"/>
  <c r="D3349" i="18"/>
  <c r="D3348" i="18"/>
  <c r="D3347" i="18"/>
  <c r="D3346" i="18"/>
  <c r="D3345" i="18"/>
  <c r="D3344" i="18"/>
  <c r="D3341" i="18"/>
  <c r="G3341" i="18" s="1"/>
  <c r="H3339" i="18"/>
  <c r="K3331" i="18"/>
  <c r="D3339" i="18"/>
  <c r="D3338" i="18"/>
  <c r="D3337" i="18"/>
  <c r="D3336" i="18"/>
  <c r="D3335" i="18"/>
  <c r="D3334" i="18"/>
  <c r="D3331" i="18"/>
  <c r="G3331" i="18" s="1"/>
  <c r="D3329" i="18"/>
  <c r="D3328" i="18"/>
  <c r="D3327" i="18"/>
  <c r="D3326" i="18"/>
  <c r="D3325" i="18"/>
  <c r="D3324" i="18"/>
  <c r="D3321" i="18"/>
  <c r="G3321" i="18" s="1"/>
  <c r="C3320" i="18"/>
  <c r="G3320" i="18" s="1"/>
  <c r="D3318" i="18"/>
  <c r="D3317" i="18"/>
  <c r="D3316" i="18"/>
  <c r="D3315" i="18"/>
  <c r="D3314" i="18"/>
  <c r="D3313" i="18"/>
  <c r="D3312" i="18"/>
  <c r="D3311" i="18"/>
  <c r="D3308" i="18"/>
  <c r="G3308" i="18" s="1"/>
  <c r="C3307" i="18"/>
  <c r="G3307" i="18" s="1"/>
  <c r="G3301" i="18"/>
  <c r="D3298" i="18"/>
  <c r="D3297" i="18"/>
  <c r="D3296" i="18"/>
  <c r="D3295" i="18"/>
  <c r="D3294" i="18"/>
  <c r="D3293" i="18"/>
  <c r="D3292" i="18"/>
  <c r="D3291" i="18"/>
  <c r="D3288" i="18"/>
  <c r="G3288" i="18"/>
  <c r="D3286" i="18"/>
  <c r="D3285" i="18"/>
  <c r="D3284" i="18"/>
  <c r="D3283" i="18"/>
  <c r="D3282" i="18"/>
  <c r="D3281" i="18"/>
  <c r="D3278" i="18"/>
  <c r="G3278" i="18"/>
  <c r="H3300" i="18" s="1"/>
  <c r="D3276" i="18"/>
  <c r="D3275" i="18"/>
  <c r="D3274" i="18"/>
  <c r="Q3271" i="18"/>
  <c r="D3271" i="18"/>
  <c r="G3271" i="18" s="1"/>
  <c r="K3269" i="18"/>
  <c r="J3269" i="18"/>
  <c r="I3269" i="18"/>
  <c r="K3258" i="18"/>
  <c r="H3269" i="18"/>
  <c r="D3269" i="18"/>
  <c r="D3268" i="18"/>
  <c r="D3267" i="18"/>
  <c r="D3266" i="18"/>
  <c r="D3265" i="18"/>
  <c r="D3264" i="18"/>
  <c r="D3263" i="18"/>
  <c r="D3258" i="18"/>
  <c r="G3258" i="18" s="1"/>
  <c r="K3256" i="18"/>
  <c r="N3242" i="18" s="1"/>
  <c r="J3256" i="18"/>
  <c r="D3256" i="18"/>
  <c r="D3255" i="18"/>
  <c r="D3254" i="18"/>
  <c r="D3253" i="18"/>
  <c r="D3252" i="18"/>
  <c r="D3251" i="18"/>
  <c r="D3250" i="18"/>
  <c r="D3249" i="18"/>
  <c r="D3248" i="18"/>
  <c r="D3247" i="18"/>
  <c r="D3242" i="18"/>
  <c r="G3242" i="18"/>
  <c r="C3241" i="18"/>
  <c r="G3241" i="18"/>
  <c r="C3240" i="18"/>
  <c r="G3240" i="18"/>
  <c r="C3239" i="18"/>
  <c r="G3239" i="18"/>
  <c r="H3237" i="18"/>
  <c r="D3237" i="18"/>
  <c r="D3236" i="18"/>
  <c r="D3235" i="18"/>
  <c r="D3234" i="18"/>
  <c r="D3233" i="18"/>
  <c r="D3232" i="18"/>
  <c r="D3231" i="18"/>
  <c r="D3230" i="18"/>
  <c r="D3227" i="18"/>
  <c r="G3227" i="18" s="1"/>
  <c r="K3225" i="18"/>
  <c r="J3225" i="18"/>
  <c r="I3225" i="18"/>
  <c r="H3225" i="18"/>
  <c r="N3215" i="18"/>
  <c r="D3225" i="18"/>
  <c r="L3224" i="18"/>
  <c r="D3224" i="18"/>
  <c r="L3223" i="18"/>
  <c r="D3223" i="18"/>
  <c r="L3222" i="18"/>
  <c r="D3222" i="18"/>
  <c r="L3221" i="18"/>
  <c r="D3221" i="18"/>
  <c r="L3220" i="18"/>
  <c r="D3220" i="18"/>
  <c r="D3215" i="18"/>
  <c r="G3215" i="18" s="1"/>
  <c r="C3214" i="18"/>
  <c r="G3214" i="18" s="1"/>
  <c r="L3212" i="18"/>
  <c r="K3212" i="18"/>
  <c r="J3212" i="18"/>
  <c r="I3212" i="18"/>
  <c r="H3212" i="18"/>
  <c r="N3202" i="18"/>
  <c r="D3212" i="18"/>
  <c r="M3211" i="18"/>
  <c r="D3211" i="18"/>
  <c r="M3210" i="18"/>
  <c r="D3210" i="18"/>
  <c r="M3209" i="18"/>
  <c r="D3209" i="18"/>
  <c r="M3208" i="18"/>
  <c r="D3208" i="18"/>
  <c r="M3207" i="18"/>
  <c r="D3207" i="18"/>
  <c r="D3202" i="18"/>
  <c r="G3202" i="18"/>
  <c r="L3200" i="18"/>
  <c r="K3200" i="18"/>
  <c r="J3200" i="18"/>
  <c r="I3200" i="18"/>
  <c r="H3200" i="18"/>
  <c r="D3200" i="18"/>
  <c r="M3199" i="18"/>
  <c r="D3199" i="18"/>
  <c r="M3198" i="18"/>
  <c r="D3198" i="18"/>
  <c r="M3197" i="18"/>
  <c r="D3197" i="18"/>
  <c r="M3196" i="18"/>
  <c r="D3196" i="18"/>
  <c r="M3195" i="18"/>
  <c r="D3195" i="18"/>
  <c r="D3190" i="18"/>
  <c r="G3190" i="18"/>
  <c r="C3189" i="18"/>
  <c r="G3189" i="18"/>
  <c r="L3187" i="18"/>
  <c r="K3187" i="18"/>
  <c r="J3187" i="18"/>
  <c r="I3187" i="18"/>
  <c r="H3187" i="18"/>
  <c r="N3177" i="18"/>
  <c r="D3187" i="18"/>
  <c r="M3186" i="18"/>
  <c r="D3186" i="18"/>
  <c r="M3185" i="18"/>
  <c r="D3185" i="18"/>
  <c r="M3184" i="18"/>
  <c r="D3184" i="18"/>
  <c r="M3183" i="18"/>
  <c r="D3183" i="18"/>
  <c r="M3182" i="18"/>
  <c r="D3182" i="18"/>
  <c r="D3177" i="18"/>
  <c r="G3177" i="18" s="1"/>
  <c r="C3176" i="18"/>
  <c r="G3176" i="18" s="1"/>
  <c r="H3174" i="18"/>
  <c r="D3174" i="18"/>
  <c r="D3173" i="18"/>
  <c r="D3172" i="18"/>
  <c r="D3171" i="18"/>
  <c r="D3170" i="18"/>
  <c r="D3169" i="18"/>
  <c r="D3168" i="18"/>
  <c r="D3167" i="18"/>
  <c r="D3164" i="18"/>
  <c r="G3164" i="18"/>
  <c r="D3136" i="18"/>
  <c r="D3135" i="18"/>
  <c r="D3134" i="18"/>
  <c r="D3133" i="18"/>
  <c r="D3132" i="18"/>
  <c r="D3131" i="18"/>
  <c r="Q3128" i="18"/>
  <c r="D3128" i="18"/>
  <c r="G3128" i="18" s="1"/>
  <c r="H3126" i="18"/>
  <c r="K3115" i="18"/>
  <c r="D3126" i="18"/>
  <c r="D3125" i="18"/>
  <c r="D3124" i="18"/>
  <c r="D3123" i="18"/>
  <c r="D3122" i="18"/>
  <c r="D3121" i="18"/>
  <c r="D3120" i="18"/>
  <c r="D3119" i="18"/>
  <c r="D3118" i="18"/>
  <c r="D3115" i="18"/>
  <c r="G3115" i="18"/>
  <c r="P3062" i="18"/>
  <c r="P3061" i="18"/>
  <c r="P3060" i="18"/>
  <c r="P3059" i="18"/>
  <c r="P3058" i="18"/>
  <c r="P3057" i="18"/>
  <c r="P3056" i="18"/>
  <c r="P3055" i="18"/>
  <c r="P3054" i="18"/>
  <c r="P3053" i="18"/>
  <c r="P3052" i="18"/>
  <c r="P3051" i="18"/>
  <c r="D3045" i="18"/>
  <c r="G3045" i="18"/>
  <c r="C3044" i="18"/>
  <c r="G3044" i="18"/>
  <c r="N3008" i="18"/>
  <c r="K3008" i="18"/>
  <c r="D3042" i="18"/>
  <c r="D3037" i="18"/>
  <c r="D3034" i="18"/>
  <c r="D3028" i="18"/>
  <c r="D3025" i="18"/>
  <c r="D3019" i="18"/>
  <c r="D3016" i="18"/>
  <c r="D3008" i="18"/>
  <c r="G3008" i="18" s="1"/>
  <c r="C3007" i="18"/>
  <c r="G3007" i="18" s="1"/>
  <c r="D3005" i="18"/>
  <c r="O3004" i="18"/>
  <c r="N3004" i="18"/>
  <c r="M3004" i="18"/>
  <c r="L3004" i="18"/>
  <c r="K3004" i="18"/>
  <c r="J3004" i="18"/>
  <c r="I3004" i="18"/>
  <c r="H3004" i="18"/>
  <c r="D3004" i="18"/>
  <c r="P3003" i="18"/>
  <c r="D3003" i="18"/>
  <c r="P3002" i="18"/>
  <c r="D3002" i="18"/>
  <c r="D3001" i="18"/>
  <c r="O3000" i="18"/>
  <c r="N3000" i="18"/>
  <c r="M3000" i="18"/>
  <c r="L3000" i="18"/>
  <c r="K3000" i="18"/>
  <c r="J3000" i="18"/>
  <c r="I3000" i="18"/>
  <c r="H3000" i="18"/>
  <c r="D3000" i="18"/>
  <c r="P2999" i="18"/>
  <c r="D2999" i="18"/>
  <c r="P2998" i="18"/>
  <c r="D2998" i="18"/>
  <c r="D2997" i="18"/>
  <c r="O2996" i="18"/>
  <c r="N2996" i="18"/>
  <c r="M2996" i="18"/>
  <c r="L2996" i="18"/>
  <c r="K2996" i="18"/>
  <c r="J2996" i="18"/>
  <c r="I2996" i="18"/>
  <c r="H2996" i="18"/>
  <c r="D2996" i="18"/>
  <c r="P2995" i="18"/>
  <c r="D2995" i="18"/>
  <c r="P2994" i="18"/>
  <c r="D2994" i="18"/>
  <c r="D2993" i="18"/>
  <c r="O2992" i="18"/>
  <c r="N2992" i="18"/>
  <c r="M2992" i="18"/>
  <c r="L2992" i="18"/>
  <c r="K2992" i="18"/>
  <c r="J2992" i="18"/>
  <c r="I2992" i="18"/>
  <c r="H2992" i="18"/>
  <c r="D2992" i="18"/>
  <c r="P2991" i="18"/>
  <c r="D2991" i="18"/>
  <c r="P2990" i="18"/>
  <c r="D2990" i="18"/>
  <c r="D2989" i="18"/>
  <c r="D2984" i="18"/>
  <c r="G2984" i="18"/>
  <c r="O2939" i="18"/>
  <c r="O2938" i="18"/>
  <c r="O2936" i="18"/>
  <c r="O2935" i="18"/>
  <c r="O2933" i="18"/>
  <c r="O2932" i="18"/>
  <c r="O2930" i="18"/>
  <c r="O2929" i="18"/>
  <c r="D2922" i="18"/>
  <c r="G2922" i="18"/>
  <c r="C2921" i="18"/>
  <c r="G2921" i="18"/>
  <c r="L2919" i="18"/>
  <c r="K2919" i="18"/>
  <c r="I2919" i="18"/>
  <c r="H2919" i="18"/>
  <c r="D2919" i="18"/>
  <c r="D2918" i="18"/>
  <c r="D2917" i="18"/>
  <c r="D2916" i="18"/>
  <c r="D2915" i="18"/>
  <c r="D2910" i="18"/>
  <c r="G2910" i="18" s="1"/>
  <c r="C2909" i="18"/>
  <c r="G2909" i="18" s="1"/>
  <c r="H2907" i="18"/>
  <c r="K2899" i="18"/>
  <c r="D2907" i="18"/>
  <c r="D2906" i="18"/>
  <c r="D2905" i="18"/>
  <c r="D2904" i="18"/>
  <c r="D2903" i="18"/>
  <c r="D2902" i="18"/>
  <c r="D2899" i="18"/>
  <c r="G2899" i="18" s="1"/>
  <c r="J2890" i="18"/>
  <c r="H2890" i="18"/>
  <c r="K2879" i="18"/>
  <c r="D2890" i="18"/>
  <c r="D2889" i="18"/>
  <c r="D2888" i="18"/>
  <c r="D2887" i="18"/>
  <c r="D2886" i="18"/>
  <c r="D2885" i="18"/>
  <c r="D2884" i="18"/>
  <c r="D2883" i="18"/>
  <c r="D2882" i="18"/>
  <c r="D2879" i="18"/>
  <c r="G2879" i="18" s="1"/>
  <c r="Q2864" i="18"/>
  <c r="G2876" i="18"/>
  <c r="D2876" i="18"/>
  <c r="G2875" i="18"/>
  <c r="D2875" i="18"/>
  <c r="G2874" i="18"/>
  <c r="D2874" i="18"/>
  <c r="G2873" i="18"/>
  <c r="D2873" i="18"/>
  <c r="G2872" i="18"/>
  <c r="D2872" i="18"/>
  <c r="G2871" i="18"/>
  <c r="D2871" i="18"/>
  <c r="G2870" i="18"/>
  <c r="D2870" i="18"/>
  <c r="G2869" i="18"/>
  <c r="D2869" i="18"/>
  <c r="G2868" i="18"/>
  <c r="D2868" i="18"/>
  <c r="G2867" i="18"/>
  <c r="D2864" i="18"/>
  <c r="G2864" i="18" s="1"/>
  <c r="D2849" i="18"/>
  <c r="G2849" i="18" s="1"/>
  <c r="L2847" i="18"/>
  <c r="I2893" i="18"/>
  <c r="K2847" i="18"/>
  <c r="I2847" i="18"/>
  <c r="H2893" i="18" s="1"/>
  <c r="H2847" i="18"/>
  <c r="L2864" i="18" s="1"/>
  <c r="L6428" i="18" s="1"/>
  <c r="E6428" i="18" s="1"/>
  <c r="D2847" i="18"/>
  <c r="M2846" i="18"/>
  <c r="J2846" i="18"/>
  <c r="D2846" i="18"/>
  <c r="M2845" i="18"/>
  <c r="J2845" i="18"/>
  <c r="D2845" i="18"/>
  <c r="M2844" i="18"/>
  <c r="J2844" i="18"/>
  <c r="D2844" i="18"/>
  <c r="M2843" i="18"/>
  <c r="J2843" i="18"/>
  <c r="D2843" i="18"/>
  <c r="M2842" i="18"/>
  <c r="J2842" i="18"/>
  <c r="D2842" i="18"/>
  <c r="M2841" i="18"/>
  <c r="J2841" i="18"/>
  <c r="D2841" i="18"/>
  <c r="M2840" i="18"/>
  <c r="J2840" i="18"/>
  <c r="D2840" i="18"/>
  <c r="M2839" i="18"/>
  <c r="J2839" i="18"/>
  <c r="D2839" i="18"/>
  <c r="M2838" i="18"/>
  <c r="M2847" i="18" s="1"/>
  <c r="J2838" i="18"/>
  <c r="D2838" i="18"/>
  <c r="M2837" i="18"/>
  <c r="J2837" i="18"/>
  <c r="D2837" i="18"/>
  <c r="D2832" i="18"/>
  <c r="G2832" i="18" s="1"/>
  <c r="H2892" i="18" s="1"/>
  <c r="C2831" i="18"/>
  <c r="G2831" i="18"/>
  <c r="D2823" i="18"/>
  <c r="G2823" i="18"/>
  <c r="C2822" i="18"/>
  <c r="G2822" i="18"/>
  <c r="I2820" i="18"/>
  <c r="N2812" i="18"/>
  <c r="H2820" i="18"/>
  <c r="K2812" i="18"/>
  <c r="D2820" i="18"/>
  <c r="D2819" i="18"/>
  <c r="D2818" i="18"/>
  <c r="D2817" i="18"/>
  <c r="D2816" i="18"/>
  <c r="D2815" i="18"/>
  <c r="D2812" i="18"/>
  <c r="G2812" i="18"/>
  <c r="D2810" i="18"/>
  <c r="D2809" i="18"/>
  <c r="D2808" i="18"/>
  <c r="D2807" i="18"/>
  <c r="D2806" i="18"/>
  <c r="D2805" i="18"/>
  <c r="D2804" i="18"/>
  <c r="D2803" i="18"/>
  <c r="D2802" i="18"/>
  <c r="D2799" i="18"/>
  <c r="G2799" i="18" s="1"/>
  <c r="C2798" i="18"/>
  <c r="G2798" i="18" s="1"/>
  <c r="H2761" i="18"/>
  <c r="K2750" i="18"/>
  <c r="D2761" i="18"/>
  <c r="D2760" i="18"/>
  <c r="D2759" i="18"/>
  <c r="D2758" i="18"/>
  <c r="D2757" i="18"/>
  <c r="D2756" i="18"/>
  <c r="D2755" i="18"/>
  <c r="D2754" i="18"/>
  <c r="D2753" i="18"/>
  <c r="N2750" i="18"/>
  <c r="D2750" i="18"/>
  <c r="G2750" i="18" s="1"/>
  <c r="H2748" i="18"/>
  <c r="K2735" i="18"/>
  <c r="D2748" i="18"/>
  <c r="D2747" i="18"/>
  <c r="D2746" i="18"/>
  <c r="D2745" i="18"/>
  <c r="D2744" i="18"/>
  <c r="D2743" i="18"/>
  <c r="D2742" i="18"/>
  <c r="D2741" i="18"/>
  <c r="D2740" i="18"/>
  <c r="D2739" i="18"/>
  <c r="D2738" i="18"/>
  <c r="D2735" i="18"/>
  <c r="G2735" i="18"/>
  <c r="J2733" i="18"/>
  <c r="I2733" i="18"/>
  <c r="H2733" i="18"/>
  <c r="K2732" i="18"/>
  <c r="D2732" i="18"/>
  <c r="K2731" i="18"/>
  <c r="D2731" i="18"/>
  <c r="K2730" i="18"/>
  <c r="D2730" i="18"/>
  <c r="K2729" i="18"/>
  <c r="K2728" i="18"/>
  <c r="K2727" i="18"/>
  <c r="K2726" i="18"/>
  <c r="K2725" i="18"/>
  <c r="K2724" i="18"/>
  <c r="D2721" i="18"/>
  <c r="G2721" i="18" s="1"/>
  <c r="J2719" i="18"/>
  <c r="I2719" i="18"/>
  <c r="H2719" i="18"/>
  <c r="K2718" i="18"/>
  <c r="D2718" i="18"/>
  <c r="K2717" i="18"/>
  <c r="D2717" i="18"/>
  <c r="K2716" i="18"/>
  <c r="D2716" i="18"/>
  <c r="K2715" i="18"/>
  <c r="K2714" i="18"/>
  <c r="K2713" i="18"/>
  <c r="K2712" i="18"/>
  <c r="K2711" i="18"/>
  <c r="K2710" i="18"/>
  <c r="D2707" i="18"/>
  <c r="G2707" i="18"/>
  <c r="H2796" i="18"/>
  <c r="K2783" i="18"/>
  <c r="D2796" i="18"/>
  <c r="D2795" i="18"/>
  <c r="D2794" i="18"/>
  <c r="D2793" i="18"/>
  <c r="D2792" i="18"/>
  <c r="D2791" i="18"/>
  <c r="D2790" i="18"/>
  <c r="D2789" i="18"/>
  <c r="D2788" i="18"/>
  <c r="D2787" i="18"/>
  <c r="D2786" i="18"/>
  <c r="D2783" i="18"/>
  <c r="G2783" i="18" s="1"/>
  <c r="D2781" i="18"/>
  <c r="D2780" i="18"/>
  <c r="D2779" i="18"/>
  <c r="D2778" i="18"/>
  <c r="D2777" i="18"/>
  <c r="D2776" i="18"/>
  <c r="D2773" i="18"/>
  <c r="G2773" i="18" s="1"/>
  <c r="D2771" i="18"/>
  <c r="D2770" i="18"/>
  <c r="D2769" i="18"/>
  <c r="D2768" i="18"/>
  <c r="D2767" i="18"/>
  <c r="D2766" i="18"/>
  <c r="Q2763" i="18"/>
  <c r="D2763" i="18"/>
  <c r="G2763" i="18"/>
  <c r="D2650" i="18"/>
  <c r="G2650" i="18"/>
  <c r="C2649" i="18"/>
  <c r="G2649" i="18"/>
  <c r="D2641" i="18"/>
  <c r="G2641" i="18"/>
  <c r="C2640" i="18"/>
  <c r="G2640" i="18"/>
  <c r="D2638" i="18"/>
  <c r="D2637" i="18"/>
  <c r="D2636" i="18"/>
  <c r="D2635" i="18"/>
  <c r="D2634" i="18"/>
  <c r="D2633" i="18"/>
  <c r="D2630" i="18"/>
  <c r="G2630" i="18"/>
  <c r="H2628" i="18"/>
  <c r="Q2620" i="18"/>
  <c r="D2628" i="18"/>
  <c r="D2627" i="18"/>
  <c r="D2626" i="18"/>
  <c r="D2625" i="18"/>
  <c r="D2624" i="18"/>
  <c r="D2623" i="18"/>
  <c r="D2620" i="18"/>
  <c r="G2620" i="18" s="1"/>
  <c r="D2601" i="18"/>
  <c r="G2601" i="18"/>
  <c r="N2559" i="18"/>
  <c r="D2559" i="18"/>
  <c r="G2559" i="18" s="1"/>
  <c r="C2558" i="18"/>
  <c r="G2558" i="18" s="1"/>
  <c r="D2530" i="18"/>
  <c r="D2529" i="18"/>
  <c r="D2528" i="18"/>
  <c r="D2527" i="18"/>
  <c r="D2526" i="18"/>
  <c r="D2525" i="18"/>
  <c r="D2522" i="18"/>
  <c r="G2522" i="18" s="1"/>
  <c r="C2521" i="18"/>
  <c r="G2521" i="18" s="1"/>
  <c r="K2519" i="18"/>
  <c r="J2519" i="18"/>
  <c r="I2519" i="18"/>
  <c r="H2519" i="18"/>
  <c r="K2508" i="18"/>
  <c r="D2519" i="18"/>
  <c r="D2518" i="18"/>
  <c r="D2517" i="18"/>
  <c r="D2516" i="18"/>
  <c r="D2515" i="18"/>
  <c r="D2514" i="18"/>
  <c r="D2513" i="18"/>
  <c r="D2512" i="18"/>
  <c r="D2511" i="18"/>
  <c r="D2508" i="18"/>
  <c r="G2508" i="18" s="1"/>
  <c r="D2506" i="18"/>
  <c r="D2505" i="18"/>
  <c r="D2504" i="18"/>
  <c r="D2503" i="18"/>
  <c r="D2502" i="18"/>
  <c r="D2499" i="18"/>
  <c r="G2499" i="18"/>
  <c r="C2498" i="18"/>
  <c r="G2498" i="18"/>
  <c r="D2465" i="18"/>
  <c r="G2465" i="18"/>
  <c r="H2426" i="18" s="1"/>
  <c r="C2413" i="18"/>
  <c r="G2413" i="18" s="1"/>
  <c r="J2411" i="18"/>
  <c r="Q2403" i="18"/>
  <c r="D2411" i="18"/>
  <c r="D2410" i="18"/>
  <c r="D2409" i="18"/>
  <c r="D2408" i="18"/>
  <c r="D2407" i="18"/>
  <c r="D2406" i="18"/>
  <c r="D2403" i="18"/>
  <c r="G2403" i="18" s="1"/>
  <c r="J2378" i="18"/>
  <c r="I2378" i="18"/>
  <c r="K2370" i="18"/>
  <c r="D2378" i="18"/>
  <c r="D2377" i="18"/>
  <c r="D2376" i="18"/>
  <c r="D2375" i="18"/>
  <c r="D2374" i="18"/>
  <c r="D2373" i="18"/>
  <c r="D2370" i="18"/>
  <c r="G2370" i="18" s="1"/>
  <c r="I2401" i="18"/>
  <c r="N2393" i="18"/>
  <c r="H2401" i="18"/>
  <c r="K2393" i="18"/>
  <c r="D2401" i="18"/>
  <c r="D2400" i="18"/>
  <c r="D2399" i="18"/>
  <c r="D2398" i="18"/>
  <c r="D2397" i="18"/>
  <c r="D2396" i="18"/>
  <c r="D2393" i="18"/>
  <c r="G2393" i="18" s="1"/>
  <c r="J2391" i="18"/>
  <c r="I2391" i="18"/>
  <c r="D2391" i="18"/>
  <c r="D2390" i="18"/>
  <c r="D2389" i="18"/>
  <c r="D2388" i="18"/>
  <c r="D2387" i="18"/>
  <c r="D2386" i="18"/>
  <c r="D2385" i="18"/>
  <c r="D2384" i="18"/>
  <c r="D2383" i="18"/>
  <c r="K2380" i="18"/>
  <c r="D2380" i="18"/>
  <c r="G2380" i="18"/>
  <c r="M2342" i="18"/>
  <c r="L2342" i="18"/>
  <c r="K2342" i="18"/>
  <c r="I2342" i="18"/>
  <c r="H2342" i="18"/>
  <c r="D2342" i="18"/>
  <c r="D2341" i="18"/>
  <c r="D2340" i="18"/>
  <c r="D2339" i="18"/>
  <c r="D2338" i="18"/>
  <c r="D2337" i="18"/>
  <c r="D2332" i="18"/>
  <c r="G2332" i="18" s="1"/>
  <c r="J2368" i="18"/>
  <c r="I2368" i="18"/>
  <c r="H2368" i="18"/>
  <c r="D2367" i="18"/>
  <c r="D2351" i="18"/>
  <c r="G2351" i="18" s="1"/>
  <c r="I2308" i="18"/>
  <c r="I2312" i="18"/>
  <c r="H2308" i="18"/>
  <c r="H2312" i="18"/>
  <c r="D2308" i="18"/>
  <c r="D2307" i="18"/>
  <c r="D2306" i="18"/>
  <c r="D2305" i="18"/>
  <c r="D2304" i="18"/>
  <c r="D2303" i="18"/>
  <c r="D2302" i="18"/>
  <c r="D2301" i="18"/>
  <c r="D2300" i="18"/>
  <c r="D2295" i="18"/>
  <c r="G2295" i="18" s="1"/>
  <c r="J2286" i="18"/>
  <c r="J2290" i="18"/>
  <c r="I2286" i="18"/>
  <c r="H2286" i="18"/>
  <c r="D2286" i="18"/>
  <c r="D2285" i="18"/>
  <c r="D2284" i="18"/>
  <c r="D2283" i="18"/>
  <c r="D2282" i="18"/>
  <c r="D2281" i="18"/>
  <c r="D2280" i="18"/>
  <c r="D2275" i="18"/>
  <c r="G2275" i="18" s="1"/>
  <c r="H2310" i="18" s="1"/>
  <c r="I2330" i="18"/>
  <c r="H2330" i="18"/>
  <c r="K2317" i="18"/>
  <c r="D2317" i="18"/>
  <c r="G2317" i="18" s="1"/>
  <c r="J2273" i="18"/>
  <c r="H2273" i="18"/>
  <c r="D2273" i="18"/>
  <c r="D2272" i="18"/>
  <c r="D2271" i="18"/>
  <c r="D2270" i="18"/>
  <c r="D2269" i="18"/>
  <c r="D2268" i="18"/>
  <c r="D2267" i="18"/>
  <c r="D2266" i="18"/>
  <c r="D2265" i="18"/>
  <c r="D2262" i="18"/>
  <c r="G2262" i="18"/>
  <c r="J2260" i="18"/>
  <c r="H2260" i="18"/>
  <c r="D2260" i="18"/>
  <c r="D2259" i="18"/>
  <c r="D2258" i="18"/>
  <c r="D2257" i="18"/>
  <c r="D2256" i="18"/>
  <c r="D2255" i="18"/>
  <c r="D2254" i="18"/>
  <c r="D2253" i="18"/>
  <c r="D2252" i="18"/>
  <c r="D2249" i="18"/>
  <c r="G2249" i="18" s="1"/>
  <c r="J2247" i="18"/>
  <c r="H2247" i="18"/>
  <c r="D2247" i="18"/>
  <c r="D2246" i="18"/>
  <c r="D2245" i="18"/>
  <c r="D2244" i="18"/>
  <c r="D2243" i="18"/>
  <c r="D2242" i="18"/>
  <c r="D2241" i="18"/>
  <c r="D2240" i="18"/>
  <c r="D2239" i="18"/>
  <c r="D2236" i="18"/>
  <c r="G2236" i="18"/>
  <c r="L2218" i="18"/>
  <c r="K2218" i="18"/>
  <c r="I2218" i="18"/>
  <c r="H2218" i="18"/>
  <c r="D2218" i="18"/>
  <c r="D2217" i="18"/>
  <c r="M2216" i="18"/>
  <c r="J2216" i="18"/>
  <c r="D2216" i="18"/>
  <c r="M2215" i="18"/>
  <c r="J2215" i="18"/>
  <c r="D2215" i="18"/>
  <c r="M2214" i="18"/>
  <c r="J2214" i="18"/>
  <c r="D2214" i="18"/>
  <c r="M2213" i="18"/>
  <c r="J2213" i="18"/>
  <c r="D2213" i="18"/>
  <c r="M2212" i="18"/>
  <c r="J2212" i="18"/>
  <c r="D2212" i="18"/>
  <c r="M2211" i="18"/>
  <c r="J2211" i="18"/>
  <c r="D2211" i="18"/>
  <c r="M2210" i="18"/>
  <c r="J2210" i="18"/>
  <c r="D2210" i="18"/>
  <c r="J2209" i="18"/>
  <c r="D2209" i="18"/>
  <c r="D2204" i="18"/>
  <c r="G2204" i="18" s="1"/>
  <c r="C2203" i="18"/>
  <c r="G2203" i="18" s="1"/>
  <c r="H2191" i="18"/>
  <c r="Q2183" i="18"/>
  <c r="D2191" i="18"/>
  <c r="D2190" i="18"/>
  <c r="D2189" i="18"/>
  <c r="D2188" i="18"/>
  <c r="D2187" i="18"/>
  <c r="D2186" i="18"/>
  <c r="D2183" i="18"/>
  <c r="G2183" i="18" s="1"/>
  <c r="H2181" i="18"/>
  <c r="Q2173" i="18"/>
  <c r="D2181" i="18"/>
  <c r="D2180" i="18"/>
  <c r="D2179" i="18"/>
  <c r="D2178" i="18"/>
  <c r="D2177" i="18"/>
  <c r="D2176" i="18"/>
  <c r="D2173" i="18"/>
  <c r="G2173" i="18"/>
  <c r="L2171" i="18"/>
  <c r="K2171" i="18"/>
  <c r="I2171" i="18"/>
  <c r="H2171" i="18"/>
  <c r="D2171" i="18"/>
  <c r="M2170" i="18"/>
  <c r="D2170" i="18"/>
  <c r="M2169" i="18"/>
  <c r="D2169" i="18"/>
  <c r="M2168" i="18"/>
  <c r="D2168" i="18"/>
  <c r="M2167" i="18"/>
  <c r="D2167" i="18"/>
  <c r="M2166" i="18"/>
  <c r="D2166" i="18"/>
  <c r="M2165" i="18"/>
  <c r="D2165" i="18"/>
  <c r="M2164" i="18"/>
  <c r="D2164" i="18"/>
  <c r="D2159" i="18"/>
  <c r="G2159" i="18" s="1"/>
  <c r="C2158" i="18"/>
  <c r="G2158" i="18" s="1"/>
  <c r="D2120" i="18"/>
  <c r="G2120" i="18" s="1"/>
  <c r="D2118" i="18"/>
  <c r="D2117" i="18"/>
  <c r="D2116" i="18"/>
  <c r="D2115" i="18"/>
  <c r="D2114" i="18"/>
  <c r="D2113" i="18"/>
  <c r="D2112" i="18"/>
  <c r="D2111" i="18"/>
  <c r="D2110" i="18"/>
  <c r="D2107" i="18"/>
  <c r="G2107" i="18"/>
  <c r="D2105" i="18"/>
  <c r="D2104" i="18"/>
  <c r="D2103" i="18"/>
  <c r="D2102" i="18"/>
  <c r="D2101" i="18"/>
  <c r="D2100" i="18"/>
  <c r="D2099" i="18"/>
  <c r="D2098" i="18"/>
  <c r="D2097" i="18"/>
  <c r="D2094" i="18"/>
  <c r="G2094" i="18" s="1"/>
  <c r="D2092" i="18"/>
  <c r="D2091" i="18"/>
  <c r="D2090" i="18"/>
  <c r="D2089" i="18"/>
  <c r="D2088" i="18"/>
  <c r="D2087" i="18"/>
  <c r="D2086" i="18"/>
  <c r="D2085" i="18"/>
  <c r="D2084" i="18"/>
  <c r="D2081" i="18"/>
  <c r="G2081" i="18" s="1"/>
  <c r="J2156" i="18"/>
  <c r="I2156" i="18"/>
  <c r="H2156" i="18"/>
  <c r="K2139" i="18"/>
  <c r="D2155" i="18"/>
  <c r="D2139" i="18"/>
  <c r="G2139" i="18" s="1"/>
  <c r="D2065" i="18"/>
  <c r="G2065" i="18" s="1"/>
  <c r="H2132" i="18"/>
  <c r="H2063" i="18"/>
  <c r="K2050" i="18"/>
  <c r="D2063" i="18"/>
  <c r="D2062" i="18"/>
  <c r="D2061" i="18"/>
  <c r="D2060" i="18"/>
  <c r="D2059" i="18"/>
  <c r="D2058" i="18"/>
  <c r="D2057" i="18"/>
  <c r="D2056" i="18"/>
  <c r="D2055" i="18"/>
  <c r="N2050" i="18"/>
  <c r="D2050" i="18"/>
  <c r="G2050" i="18" s="1"/>
  <c r="D2048" i="18"/>
  <c r="D2047" i="18"/>
  <c r="P2046" i="18"/>
  <c r="P2048" i="18"/>
  <c r="O2046" i="18"/>
  <c r="O2048" i="18"/>
  <c r="N2046" i="18"/>
  <c r="N2048" i="18"/>
  <c r="M2046" i="18"/>
  <c r="L2046" i="18"/>
  <c r="L2048" i="18"/>
  <c r="K2046" i="18"/>
  <c r="K2048" i="18"/>
  <c r="J2046" i="18"/>
  <c r="J2048" i="18"/>
  <c r="I2046" i="18"/>
  <c r="I2048" i="18"/>
  <c r="N2034" i="18"/>
  <c r="D2046" i="18"/>
  <c r="D2045" i="18"/>
  <c r="D2044" i="18"/>
  <c r="D2043" i="18"/>
  <c r="D2042" i="18"/>
  <c r="D2041" i="18"/>
  <c r="D2040" i="18"/>
  <c r="D2039" i="18"/>
  <c r="D2038" i="18"/>
  <c r="D2037" i="18"/>
  <c r="D2034" i="18"/>
  <c r="G2034" i="18"/>
  <c r="H2074" i="18" s="1"/>
  <c r="C2033" i="18"/>
  <c r="G2033" i="18" s="1"/>
  <c r="M2031" i="18"/>
  <c r="L2031" i="18"/>
  <c r="H2031" i="18"/>
  <c r="D2031" i="18"/>
  <c r="D2030" i="18"/>
  <c r="D2029" i="18"/>
  <c r="D2028" i="18"/>
  <c r="D2027" i="18"/>
  <c r="D2026" i="18"/>
  <c r="D2023" i="18"/>
  <c r="G2023" i="18" s="1"/>
  <c r="L2021" i="18"/>
  <c r="K2021" i="18"/>
  <c r="J2021" i="18"/>
  <c r="I2021" i="18"/>
  <c r="H2021" i="18"/>
  <c r="D2021" i="18"/>
  <c r="M2020" i="18"/>
  <c r="D2020" i="18"/>
  <c r="M2019" i="18"/>
  <c r="D2019" i="18"/>
  <c r="M2018" i="18"/>
  <c r="D2018" i="18"/>
  <c r="D2015" i="18"/>
  <c r="G2015" i="18"/>
  <c r="D2003" i="18"/>
  <c r="G2003" i="18" s="1"/>
  <c r="M2001" i="18"/>
  <c r="J2001" i="18"/>
  <c r="I2001" i="18"/>
  <c r="H2001" i="18"/>
  <c r="D2001" i="18"/>
  <c r="D2000" i="18"/>
  <c r="D1999" i="18"/>
  <c r="D1998" i="18"/>
  <c r="D1997" i="18"/>
  <c r="D1996" i="18"/>
  <c r="D1995" i="18"/>
  <c r="D1994" i="18"/>
  <c r="D1993" i="18"/>
  <c r="D1988" i="18"/>
  <c r="G1988" i="18" s="1"/>
  <c r="D1986" i="18"/>
  <c r="D1985" i="18"/>
  <c r="D1984" i="18"/>
  <c r="D1983" i="18"/>
  <c r="D1982" i="18"/>
  <c r="D1981" i="18"/>
  <c r="D1980" i="18"/>
  <c r="D1979" i="18"/>
  <c r="D1978" i="18"/>
  <c r="D1973" i="18"/>
  <c r="G1973" i="18"/>
  <c r="K1971" i="18"/>
  <c r="J1971" i="18"/>
  <c r="I1971" i="18"/>
  <c r="H1971" i="18"/>
  <c r="D1971" i="18"/>
  <c r="L1970" i="18"/>
  <c r="D1970" i="18"/>
  <c r="L1969" i="18"/>
  <c r="D1969" i="18"/>
  <c r="L1968" i="18"/>
  <c r="D1968" i="18"/>
  <c r="D1963" i="18"/>
  <c r="G1963" i="18" s="1"/>
  <c r="L1961" i="18"/>
  <c r="K1961" i="18"/>
  <c r="I1961" i="18"/>
  <c r="H1961" i="18"/>
  <c r="D1961" i="18"/>
  <c r="D1960" i="18"/>
  <c r="D1959" i="18"/>
  <c r="D1958" i="18"/>
  <c r="D1957" i="18"/>
  <c r="D1956" i="18"/>
  <c r="D1955" i="18"/>
  <c r="M1954" i="18"/>
  <c r="D1954" i="18"/>
  <c r="D1949" i="18"/>
  <c r="G1949" i="18"/>
  <c r="C1948" i="18"/>
  <c r="G1948" i="18" s="1"/>
  <c r="N1910" i="18"/>
  <c r="D1910" i="18"/>
  <c r="G1910" i="18" s="1"/>
  <c r="J1908" i="18"/>
  <c r="H1908" i="18"/>
  <c r="D1908" i="18"/>
  <c r="D1907" i="18"/>
  <c r="D1906" i="18"/>
  <c r="D1905" i="18"/>
  <c r="D1904" i="18"/>
  <c r="D1903" i="18"/>
  <c r="D1902" i="18"/>
  <c r="D1901" i="18"/>
  <c r="D1900" i="18"/>
  <c r="D1897" i="18"/>
  <c r="G1897" i="18" s="1"/>
  <c r="J1895" i="18"/>
  <c r="H1895" i="18"/>
  <c r="D1895" i="18"/>
  <c r="D1894" i="18"/>
  <c r="D1893" i="18"/>
  <c r="D1892" i="18"/>
  <c r="D1891" i="18"/>
  <c r="D1890" i="18"/>
  <c r="D1889" i="18"/>
  <c r="D1888" i="18"/>
  <c r="D1887" i="18"/>
  <c r="D1884" i="18"/>
  <c r="G1884" i="18" s="1"/>
  <c r="J1882" i="18"/>
  <c r="H1882" i="18"/>
  <c r="D1882" i="18"/>
  <c r="D1881" i="18"/>
  <c r="D1880" i="18"/>
  <c r="D1879" i="18"/>
  <c r="D1878" i="18"/>
  <c r="D1877" i="18"/>
  <c r="D1876" i="18"/>
  <c r="D1875" i="18"/>
  <c r="D1874" i="18"/>
  <c r="D1871" i="18"/>
  <c r="G1871" i="18"/>
  <c r="J1946" i="18"/>
  <c r="I1946" i="18"/>
  <c r="H1946" i="18"/>
  <c r="K1929" i="18"/>
  <c r="D1929" i="18"/>
  <c r="G1929" i="18" s="1"/>
  <c r="N1855" i="18"/>
  <c r="D1855" i="18"/>
  <c r="G1855" i="18" s="1"/>
  <c r="N1840" i="18"/>
  <c r="H1853" i="18"/>
  <c r="K1840" i="18"/>
  <c r="D1853" i="18"/>
  <c r="D1852" i="18"/>
  <c r="D1851" i="18"/>
  <c r="D1850" i="18"/>
  <c r="D1849" i="18"/>
  <c r="D1848" i="18"/>
  <c r="D1847" i="18"/>
  <c r="D1846" i="18"/>
  <c r="D1845" i="18"/>
  <c r="D1840" i="18"/>
  <c r="G1840" i="18" s="1"/>
  <c r="D1838" i="18"/>
  <c r="D1837" i="18"/>
  <c r="I1836" i="18"/>
  <c r="I1838" i="18"/>
  <c r="H1836" i="18"/>
  <c r="H1838" i="18"/>
  <c r="D1836" i="18"/>
  <c r="D1835" i="18"/>
  <c r="D1834" i="18"/>
  <c r="D1833" i="18"/>
  <c r="D1832" i="18"/>
  <c r="D1831" i="18"/>
  <c r="D1830" i="18"/>
  <c r="D1825" i="18"/>
  <c r="G1825" i="18" s="1"/>
  <c r="C1824" i="18"/>
  <c r="G1824" i="18" s="1"/>
  <c r="D1822" i="18"/>
  <c r="D1821" i="18"/>
  <c r="D1820" i="18"/>
  <c r="D1819" i="18"/>
  <c r="D1818" i="18"/>
  <c r="D1817" i="18"/>
  <c r="D1814" i="18"/>
  <c r="G1814" i="18" s="1"/>
  <c r="C1813" i="18"/>
  <c r="G1813" i="18" s="1"/>
  <c r="D1811" i="18"/>
  <c r="D1810" i="18"/>
  <c r="D1809" i="18"/>
  <c r="D1808" i="18"/>
  <c r="D1807" i="18"/>
  <c r="D1806" i="18"/>
  <c r="D1801" i="18"/>
  <c r="G1801" i="18" s="1"/>
  <c r="D1799" i="18"/>
  <c r="D1798" i="18"/>
  <c r="D1797" i="18"/>
  <c r="D1796" i="18"/>
  <c r="D1795" i="18"/>
  <c r="D1792" i="18"/>
  <c r="G1792" i="18" s="1"/>
  <c r="C1791" i="18"/>
  <c r="G1791" i="18"/>
  <c r="K1789" i="18"/>
  <c r="J1789" i="18"/>
  <c r="I1789" i="18"/>
  <c r="H1789" i="18"/>
  <c r="N1776" i="18"/>
  <c r="D1789" i="18"/>
  <c r="L1788" i="18"/>
  <c r="D1788" i="18"/>
  <c r="L1787" i="18"/>
  <c r="D1787" i="18"/>
  <c r="L1786" i="18"/>
  <c r="D1786" i="18"/>
  <c r="L1785" i="18"/>
  <c r="D1785" i="18"/>
  <c r="L1784" i="18"/>
  <c r="D1784" i="18"/>
  <c r="L1783" i="18"/>
  <c r="D1783" i="18"/>
  <c r="L1782" i="18"/>
  <c r="D1782" i="18"/>
  <c r="L1781" i="18"/>
  <c r="D1781" i="18"/>
  <c r="D1776" i="18"/>
  <c r="G1776" i="18"/>
  <c r="J1774" i="18"/>
  <c r="D1774" i="18"/>
  <c r="D1773" i="18"/>
  <c r="D1772" i="18"/>
  <c r="D1771" i="18"/>
  <c r="D1770" i="18"/>
  <c r="D1769" i="18"/>
  <c r="D1766" i="18"/>
  <c r="G1766" i="18" s="1"/>
  <c r="C1765" i="18"/>
  <c r="G1765" i="18" s="1"/>
  <c r="N1763" i="18"/>
  <c r="M1763" i="18"/>
  <c r="L1763" i="18"/>
  <c r="K1763" i="18"/>
  <c r="J1763" i="18"/>
  <c r="I1763" i="18"/>
  <c r="H1763" i="18"/>
  <c r="D1763" i="18"/>
  <c r="D1762" i="18"/>
  <c r="D1761" i="18"/>
  <c r="D1760" i="18"/>
  <c r="D1759" i="18"/>
  <c r="D1758" i="18"/>
  <c r="D1755" i="18"/>
  <c r="G1755" i="18" s="1"/>
  <c r="I1736" i="18"/>
  <c r="H1736" i="18"/>
  <c r="D1736" i="18"/>
  <c r="D1735" i="18"/>
  <c r="D1734" i="18"/>
  <c r="D1733" i="18"/>
  <c r="D1732" i="18"/>
  <c r="D1731" i="18"/>
  <c r="D1728" i="18"/>
  <c r="G1728" i="18"/>
  <c r="D1675" i="18"/>
  <c r="D1674" i="18"/>
  <c r="D1673" i="18"/>
  <c r="D1672" i="18"/>
  <c r="D1671" i="18"/>
  <c r="D1670" i="18"/>
  <c r="D1667" i="18"/>
  <c r="G1667" i="18"/>
  <c r="J1726" i="18"/>
  <c r="I1726" i="18"/>
  <c r="H1726" i="18"/>
  <c r="D1726" i="18"/>
  <c r="K1725" i="18"/>
  <c r="D1725" i="18"/>
  <c r="K1724" i="18"/>
  <c r="D1724" i="18"/>
  <c r="K1723" i="18"/>
  <c r="D1723" i="18"/>
  <c r="K1722" i="18"/>
  <c r="D1722" i="18"/>
  <c r="K1721" i="18"/>
  <c r="D1721" i="18"/>
  <c r="D1718" i="18"/>
  <c r="G1718" i="18"/>
  <c r="M1709" i="18"/>
  <c r="M1713" i="18"/>
  <c r="K1709" i="18"/>
  <c r="J1709" i="18"/>
  <c r="I1709" i="18"/>
  <c r="I1713" i="18"/>
  <c r="D1709" i="18"/>
  <c r="L1708" i="18"/>
  <c r="D1708" i="18"/>
  <c r="L1707" i="18"/>
  <c r="D1707" i="18"/>
  <c r="L1706" i="18"/>
  <c r="D1706" i="18"/>
  <c r="L1705" i="18"/>
  <c r="D1705" i="18"/>
  <c r="L1704" i="18"/>
  <c r="D1704" i="18"/>
  <c r="D1701" i="18"/>
  <c r="G1701" i="18" s="1"/>
  <c r="M1692" i="18"/>
  <c r="M1696" i="18"/>
  <c r="L1692" i="18"/>
  <c r="L1696" i="18"/>
  <c r="K1692" i="18"/>
  <c r="K1696" i="18"/>
  <c r="J1692" i="18"/>
  <c r="D1692" i="18"/>
  <c r="D1691" i="18"/>
  <c r="D1690" i="18"/>
  <c r="D1689" i="18"/>
  <c r="D1688" i="18"/>
  <c r="D1687" i="18"/>
  <c r="D1684" i="18"/>
  <c r="G1684" i="18" s="1"/>
  <c r="H1665" i="18"/>
  <c r="Q1657" i="18"/>
  <c r="D1665" i="18"/>
  <c r="D1664" i="18"/>
  <c r="D1663" i="18"/>
  <c r="D1662" i="18"/>
  <c r="D1661" i="18"/>
  <c r="D1660" i="18"/>
  <c r="D1657" i="18"/>
  <c r="G1657" i="18"/>
  <c r="K1753" i="18"/>
  <c r="J1753" i="18"/>
  <c r="D1753" i="18"/>
  <c r="D1752" i="18"/>
  <c r="D1751" i="18"/>
  <c r="D1750" i="18"/>
  <c r="D1749" i="18"/>
  <c r="D1748" i="18"/>
  <c r="D1747" i="18"/>
  <c r="D1746" i="18"/>
  <c r="D1745" i="18"/>
  <c r="D1744" i="18"/>
  <c r="D1743" i="18"/>
  <c r="D1742" i="18"/>
  <c r="D1741" i="18"/>
  <c r="Q1738" i="18"/>
  <c r="D1738" i="18"/>
  <c r="G1738" i="18" s="1"/>
  <c r="L1655" i="18"/>
  <c r="K1655" i="18"/>
  <c r="J1655" i="18"/>
  <c r="I1655" i="18"/>
  <c r="H1655" i="18"/>
  <c r="D1655" i="18"/>
  <c r="M1654" i="18"/>
  <c r="D1654" i="18"/>
  <c r="M1653" i="18"/>
  <c r="D1653" i="18"/>
  <c r="M1652" i="18"/>
  <c r="D1652" i="18"/>
  <c r="M1651" i="18"/>
  <c r="D1651" i="18"/>
  <c r="M1650" i="18"/>
  <c r="D1650" i="18"/>
  <c r="M1649" i="18"/>
  <c r="D1649" i="18"/>
  <c r="M1648" i="18"/>
  <c r="D1648" i="18"/>
  <c r="M1647" i="18"/>
  <c r="D1647" i="18"/>
  <c r="M1646" i="18"/>
  <c r="D1646" i="18"/>
  <c r="M1645" i="18"/>
  <c r="M1655" i="18" s="1"/>
  <c r="Q1638" i="18" s="1"/>
  <c r="D1645" i="18"/>
  <c r="M1644" i="18"/>
  <c r="D1644" i="18"/>
  <c r="M1643" i="18"/>
  <c r="D1643" i="18"/>
  <c r="D1638" i="18"/>
  <c r="G1638" i="18" s="1"/>
  <c r="L1636" i="18"/>
  <c r="K1636" i="18"/>
  <c r="I1636" i="18"/>
  <c r="H1636" i="18"/>
  <c r="I84" i="8" s="1"/>
  <c r="D1636" i="18"/>
  <c r="M1635" i="18"/>
  <c r="J1635" i="18"/>
  <c r="D1635" i="18"/>
  <c r="M1634" i="18"/>
  <c r="J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D1619" i="18"/>
  <c r="G1619" i="18" s="1"/>
  <c r="H1711" i="18" s="1"/>
  <c r="C1618" i="18"/>
  <c r="G1618" i="18"/>
  <c r="K1607" i="18"/>
  <c r="J1607" i="18"/>
  <c r="I1607" i="18"/>
  <c r="H1607" i="18"/>
  <c r="D1607" i="18"/>
  <c r="D1606" i="18"/>
  <c r="D1605" i="18"/>
  <c r="D1604" i="18"/>
  <c r="D1603" i="18"/>
  <c r="D1602" i="18"/>
  <c r="D1599" i="18"/>
  <c r="G1599" i="18"/>
  <c r="J1597" i="18"/>
  <c r="K1589" i="18"/>
  <c r="D1597" i="18"/>
  <c r="D1596" i="18"/>
  <c r="D1595" i="18"/>
  <c r="D1594" i="18"/>
  <c r="D1593" i="18"/>
  <c r="D1592" i="18"/>
  <c r="D1589" i="18"/>
  <c r="G1589" i="18" s="1"/>
  <c r="J1587" i="18"/>
  <c r="I1587" i="18"/>
  <c r="Q1579" i="18"/>
  <c r="D1587" i="18"/>
  <c r="D1586" i="18"/>
  <c r="D1585" i="18"/>
  <c r="D1584" i="18"/>
  <c r="D1583" i="18"/>
  <c r="D1582" i="18"/>
  <c r="K1579" i="18"/>
  <c r="D1579" i="18"/>
  <c r="G1579" i="18" s="1"/>
  <c r="J1577" i="18"/>
  <c r="I1577" i="18"/>
  <c r="K1569" i="18"/>
  <c r="D1577" i="18"/>
  <c r="D1576" i="18"/>
  <c r="D1575" i="18"/>
  <c r="D1574" i="18"/>
  <c r="D1573" i="18"/>
  <c r="D1572" i="18"/>
  <c r="O1569" i="18"/>
  <c r="O6342" i="18"/>
  <c r="E6342" i="18"/>
  <c r="D1569" i="18"/>
  <c r="G1569" i="18"/>
  <c r="D1567" i="18"/>
  <c r="D1566" i="18"/>
  <c r="D1565" i="18"/>
  <c r="D1564" i="18"/>
  <c r="D1563" i="18"/>
  <c r="D1562" i="18"/>
  <c r="O1559" i="18"/>
  <c r="O6341" i="18"/>
  <c r="D1559" i="18"/>
  <c r="G1559" i="18" s="1"/>
  <c r="D1557" i="18"/>
  <c r="L1556" i="18"/>
  <c r="I1556" i="18"/>
  <c r="D1556" i="18"/>
  <c r="D1555" i="18"/>
  <c r="D1554" i="18"/>
  <c r="D1553" i="18"/>
  <c r="D1552" i="18"/>
  <c r="D1551" i="18"/>
  <c r="D1550" i="18"/>
  <c r="L1549" i="18"/>
  <c r="I1549" i="18"/>
  <c r="D1549" i="18"/>
  <c r="D1548" i="18"/>
  <c r="D1547" i="18"/>
  <c r="D1546" i="18"/>
  <c r="D1545" i="18"/>
  <c r="D1544" i="18"/>
  <c r="D1543" i="18"/>
  <c r="O1540" i="18"/>
  <c r="O6340" i="18"/>
  <c r="D1540" i="18"/>
  <c r="G1540" i="18" s="1"/>
  <c r="I1537" i="18"/>
  <c r="Q1529" i="18"/>
  <c r="D1537" i="18"/>
  <c r="D1536" i="18"/>
  <c r="D1535" i="18"/>
  <c r="D1534" i="18"/>
  <c r="D1533" i="18"/>
  <c r="D1532" i="18"/>
  <c r="O1529" i="18"/>
  <c r="O6339" i="18"/>
  <c r="E6339" i="18"/>
  <c r="D1529" i="18"/>
  <c r="G1529" i="18" s="1"/>
  <c r="H1527" i="18"/>
  <c r="K1522" i="18"/>
  <c r="D1527" i="18"/>
  <c r="D1526" i="18"/>
  <c r="D1525" i="18"/>
  <c r="N1522" i="18"/>
  <c r="D1522" i="18"/>
  <c r="G1522" i="18" s="1"/>
  <c r="H1520" i="18"/>
  <c r="Q1512" i="18"/>
  <c r="D1520" i="18"/>
  <c r="D1519" i="18"/>
  <c r="D1518" i="18"/>
  <c r="D1517" i="18"/>
  <c r="D1516" i="18"/>
  <c r="D1515" i="18"/>
  <c r="D1512" i="18"/>
  <c r="G1512" i="18"/>
  <c r="M1616" i="18"/>
  <c r="K1609" i="18"/>
  <c r="L1616" i="18"/>
  <c r="K1616" i="18"/>
  <c r="J1616" i="18"/>
  <c r="I1616" i="18"/>
  <c r="H1616" i="18"/>
  <c r="N1609" i="18"/>
  <c r="D1616" i="18"/>
  <c r="N1615" i="18"/>
  <c r="D1615" i="18"/>
  <c r="N1614" i="18"/>
  <c r="D1614" i="18"/>
  <c r="D1609" i="18"/>
  <c r="G1609" i="18" s="1"/>
  <c r="I1469" i="18"/>
  <c r="H1469" i="18"/>
  <c r="D1469" i="18"/>
  <c r="K1468" i="18"/>
  <c r="J1468" i="18"/>
  <c r="D1468" i="18"/>
  <c r="K1467" i="18"/>
  <c r="J1467" i="18"/>
  <c r="D1467" i="18"/>
  <c r="K1466" i="18"/>
  <c r="J1466" i="18"/>
  <c r="D1466" i="18"/>
  <c r="K1465" i="18"/>
  <c r="J1465" i="18"/>
  <c r="D1465" i="18"/>
  <c r="K1464" i="18"/>
  <c r="J1464" i="18"/>
  <c r="D1464" i="18"/>
  <c r="D1461" i="18"/>
  <c r="G1461" i="18" s="1"/>
  <c r="I1459" i="18"/>
  <c r="H1459" i="18"/>
  <c r="D1459" i="18"/>
  <c r="K1458" i="18"/>
  <c r="J1458" i="18"/>
  <c r="D1458" i="18"/>
  <c r="K1457" i="18"/>
  <c r="J1457" i="18"/>
  <c r="D1457" i="18"/>
  <c r="K1456" i="18"/>
  <c r="J1456" i="18"/>
  <c r="D1456" i="18"/>
  <c r="K1455" i="18"/>
  <c r="J1455" i="18"/>
  <c r="D1455" i="18"/>
  <c r="K1454" i="18"/>
  <c r="J1454" i="18"/>
  <c r="D1454" i="18"/>
  <c r="O1451" i="18"/>
  <c r="D1451" i="18"/>
  <c r="G1451" i="18"/>
  <c r="J1442" i="18"/>
  <c r="J1446" i="18"/>
  <c r="H1442" i="18"/>
  <c r="L1441" i="18"/>
  <c r="K1441" i="18"/>
  <c r="L1440" i="18"/>
  <c r="K1440" i="18"/>
  <c r="L1439" i="18"/>
  <c r="K1439" i="18"/>
  <c r="L1438" i="18"/>
  <c r="K1438" i="18"/>
  <c r="L1437" i="18"/>
  <c r="K1437" i="18"/>
  <c r="L1436" i="18"/>
  <c r="K1436" i="18"/>
  <c r="L1435" i="18"/>
  <c r="K1435" i="18"/>
  <c r="D1430" i="18"/>
  <c r="G1430" i="18" s="1"/>
  <c r="N1471" i="18"/>
  <c r="D1484" i="18"/>
  <c r="D1483" i="18"/>
  <c r="D1482" i="18"/>
  <c r="D1481" i="18"/>
  <c r="D1480" i="18"/>
  <c r="D1479" i="18"/>
  <c r="D1478" i="18"/>
  <c r="D1477" i="18"/>
  <c r="D1476" i="18"/>
  <c r="D1471" i="18"/>
  <c r="G1471" i="18" s="1"/>
  <c r="I1358" i="18"/>
  <c r="I1365" i="18" s="1"/>
  <c r="N1350" i="18" s="1"/>
  <c r="H1358" i="18"/>
  <c r="H1365" i="18" s="1"/>
  <c r="D1350" i="18"/>
  <c r="G1350" i="18" s="1"/>
  <c r="I1341" i="18"/>
  <c r="I1345" i="18"/>
  <c r="H1341" i="18"/>
  <c r="H1345" i="18"/>
  <c r="D1341" i="18"/>
  <c r="D1340" i="18"/>
  <c r="D1339" i="18"/>
  <c r="D1338" i="18"/>
  <c r="D1337" i="18"/>
  <c r="D1336" i="18"/>
  <c r="D1335" i="18"/>
  <c r="D1334" i="18"/>
  <c r="D1333" i="18"/>
  <c r="D1328" i="18"/>
  <c r="G1328" i="18"/>
  <c r="K1117" i="18"/>
  <c r="D1117" i="18"/>
  <c r="G1117" i="18" s="1"/>
  <c r="I1421" i="18"/>
  <c r="I1425" i="18"/>
  <c r="H1421" i="18"/>
  <c r="H1425" i="18"/>
  <c r="D1421" i="18"/>
  <c r="J1420" i="18"/>
  <c r="D1420" i="18"/>
  <c r="J1419" i="18"/>
  <c r="D1419" i="18"/>
  <c r="J1418" i="18"/>
  <c r="D1418" i="18"/>
  <c r="J1417" i="18"/>
  <c r="D1417" i="18"/>
  <c r="J1416" i="18"/>
  <c r="D1416" i="18"/>
  <c r="D1411" i="18"/>
  <c r="G1411" i="18"/>
  <c r="J1319" i="18"/>
  <c r="J1323" i="18" s="1"/>
  <c r="I1319" i="18"/>
  <c r="H1319" i="18"/>
  <c r="H1323" i="18" s="1"/>
  <c r="D1319" i="18"/>
  <c r="D1318" i="18"/>
  <c r="D1317" i="18"/>
  <c r="D1316" i="18"/>
  <c r="D1315" i="18"/>
  <c r="D1314" i="18"/>
  <c r="D1309" i="18"/>
  <c r="G1309" i="18" s="1"/>
  <c r="H1343" i="18" s="1"/>
  <c r="I1233" i="18"/>
  <c r="D1220" i="18"/>
  <c r="G1220" i="18" s="1"/>
  <c r="D1044" i="18"/>
  <c r="G1044" i="18" s="1"/>
  <c r="H1095" i="18"/>
  <c r="D1402" i="18"/>
  <c r="L1401" i="18"/>
  <c r="K1401" i="18"/>
  <c r="D1401" i="18"/>
  <c r="L1400" i="18"/>
  <c r="K1400" i="18"/>
  <c r="D1400" i="18"/>
  <c r="J1399" i="18"/>
  <c r="J1402" i="18"/>
  <c r="J1406" i="18"/>
  <c r="H1399" i="18"/>
  <c r="H1402" i="18"/>
  <c r="H1406" i="18"/>
  <c r="D1399" i="18"/>
  <c r="L1398" i="18"/>
  <c r="K1398" i="18"/>
  <c r="D1398" i="18"/>
  <c r="L1397" i="18"/>
  <c r="K1397" i="18"/>
  <c r="D1397" i="18"/>
  <c r="L1396" i="18"/>
  <c r="K1396" i="18"/>
  <c r="D1396" i="18"/>
  <c r="D1395" i="18"/>
  <c r="L1394" i="18"/>
  <c r="K1394" i="18"/>
  <c r="D1394" i="18"/>
  <c r="D1389" i="18"/>
  <c r="G1389" i="18" s="1"/>
  <c r="D1380" i="18"/>
  <c r="L1379" i="18"/>
  <c r="K1379" i="18"/>
  <c r="D1379" i="18"/>
  <c r="L1378" i="18"/>
  <c r="K1378" i="18"/>
  <c r="D1378" i="18"/>
  <c r="J1377" i="18"/>
  <c r="J1380" i="18"/>
  <c r="J1384" i="18"/>
  <c r="H1377" i="18"/>
  <c r="H1380" i="18"/>
  <c r="H1384" i="18"/>
  <c r="D1377" i="18"/>
  <c r="L1376" i="18"/>
  <c r="K1376" i="18"/>
  <c r="D1376" i="18"/>
  <c r="L1375" i="18"/>
  <c r="K1375" i="18"/>
  <c r="D1375" i="18"/>
  <c r="L1374" i="18"/>
  <c r="K1374" i="18"/>
  <c r="D1374" i="18"/>
  <c r="D1373" i="18"/>
  <c r="L1372" i="18"/>
  <c r="K1372" i="18"/>
  <c r="D1372" i="18"/>
  <c r="D1367" i="18"/>
  <c r="G1367" i="18" s="1"/>
  <c r="H1444" i="18" s="1"/>
  <c r="I1024" i="18"/>
  <c r="H1024" i="18"/>
  <c r="D1014" i="18"/>
  <c r="G1014" i="18" s="1"/>
  <c r="H1404" i="18" s="1"/>
  <c r="I996" i="18"/>
  <c r="H996" i="18"/>
  <c r="H1003" i="18" s="1"/>
  <c r="E12" i="87" s="1"/>
  <c r="D989" i="18"/>
  <c r="G989" i="18"/>
  <c r="H1486" i="18" s="1"/>
  <c r="C988" i="18"/>
  <c r="G988" i="18" s="1"/>
  <c r="D978" i="18"/>
  <c r="G978" i="18" s="1"/>
  <c r="D976" i="18"/>
  <c r="D975" i="18"/>
  <c r="I974" i="18"/>
  <c r="H974" i="18"/>
  <c r="D974" i="18"/>
  <c r="D973" i="18"/>
  <c r="D972" i="18"/>
  <c r="D971" i="18"/>
  <c r="D968" i="18"/>
  <c r="G968" i="18" s="1"/>
  <c r="C967" i="18"/>
  <c r="G967" i="18" s="1"/>
  <c r="D965" i="18"/>
  <c r="D964" i="18"/>
  <c r="D963" i="18"/>
  <c r="D962" i="18"/>
  <c r="D961" i="18"/>
  <c r="D960" i="18"/>
  <c r="D957" i="18"/>
  <c r="G957" i="18" s="1"/>
  <c r="D955" i="18"/>
  <c r="D954" i="18"/>
  <c r="I953" i="18"/>
  <c r="H953" i="18"/>
  <c r="D953" i="18"/>
  <c r="D952" i="18"/>
  <c r="D951" i="18"/>
  <c r="D950" i="18"/>
  <c r="D949" i="18"/>
  <c r="D948" i="18"/>
  <c r="D945" i="18"/>
  <c r="G945" i="18" s="1"/>
  <c r="C944" i="18"/>
  <c r="G944" i="18" s="1"/>
  <c r="D935" i="18"/>
  <c r="G935" i="18" s="1"/>
  <c r="C934" i="18"/>
  <c r="G934" i="18" s="1"/>
  <c r="I909" i="18"/>
  <c r="N901" i="18"/>
  <c r="H909" i="18"/>
  <c r="K901" i="18"/>
  <c r="D909" i="18"/>
  <c r="D908" i="18"/>
  <c r="D907" i="18"/>
  <c r="D906" i="18"/>
  <c r="D905" i="18"/>
  <c r="D904" i="18"/>
  <c r="D901" i="18"/>
  <c r="G901" i="18" s="1"/>
  <c r="I919" i="18"/>
  <c r="N911" i="18"/>
  <c r="H919" i="18"/>
  <c r="K911" i="18"/>
  <c r="D919" i="18"/>
  <c r="D918" i="18"/>
  <c r="D917" i="18"/>
  <c r="D916" i="18"/>
  <c r="D915" i="18"/>
  <c r="D914" i="18"/>
  <c r="D911" i="18"/>
  <c r="G911" i="18" s="1"/>
  <c r="D889" i="18"/>
  <c r="H888" i="18"/>
  <c r="D888" i="18"/>
  <c r="D887" i="18"/>
  <c r="D886" i="18"/>
  <c r="D885" i="18"/>
  <c r="D884" i="18"/>
  <c r="D883" i="18"/>
  <c r="D882" i="18"/>
  <c r="H881" i="18"/>
  <c r="D881" i="18"/>
  <c r="D880" i="18"/>
  <c r="D879" i="18"/>
  <c r="D878" i="18"/>
  <c r="D877" i="18"/>
  <c r="D876" i="18"/>
  <c r="D875" i="18"/>
  <c r="D872" i="18"/>
  <c r="G872" i="18" s="1"/>
  <c r="H899" i="18"/>
  <c r="K891" i="18"/>
  <c r="D899" i="18"/>
  <c r="D898" i="18"/>
  <c r="D897" i="18"/>
  <c r="D896" i="18"/>
  <c r="D895" i="18"/>
  <c r="D894" i="18"/>
  <c r="D891" i="18"/>
  <c r="G891" i="18"/>
  <c r="J870" i="18"/>
  <c r="K867" i="18"/>
  <c r="I868" i="18"/>
  <c r="D870" i="18"/>
  <c r="D869" i="18"/>
  <c r="D868" i="18"/>
  <c r="D867" i="18"/>
  <c r="D866" i="18"/>
  <c r="D865" i="18"/>
  <c r="D860" i="18"/>
  <c r="G860" i="18" s="1"/>
  <c r="C859" i="18"/>
  <c r="G859" i="18" s="1"/>
  <c r="M857" i="18"/>
  <c r="L857" i="18"/>
  <c r="K857" i="18"/>
  <c r="I857" i="18"/>
  <c r="D857" i="18"/>
  <c r="D856" i="18"/>
  <c r="D855" i="18"/>
  <c r="D854" i="18"/>
  <c r="D849" i="18"/>
  <c r="G849" i="18" s="1"/>
  <c r="D754" i="18"/>
  <c r="D753" i="18"/>
  <c r="D752" i="18"/>
  <c r="D751" i="18"/>
  <c r="D750" i="18"/>
  <c r="D749" i="18"/>
  <c r="D748" i="18"/>
  <c r="D747" i="18"/>
  <c r="D746" i="18"/>
  <c r="D741" i="18"/>
  <c r="G741" i="18" s="1"/>
  <c r="D732" i="18"/>
  <c r="D731" i="18"/>
  <c r="D730" i="18"/>
  <c r="D729" i="18"/>
  <c r="D728" i="18"/>
  <c r="D727" i="18"/>
  <c r="D722" i="18"/>
  <c r="G722" i="18" s="1"/>
  <c r="D720" i="18"/>
  <c r="D719" i="18"/>
  <c r="D718" i="18"/>
  <c r="D717" i="18"/>
  <c r="D716" i="18"/>
  <c r="D715" i="18"/>
  <c r="D714" i="18"/>
  <c r="D713" i="18"/>
  <c r="D712" i="18"/>
  <c r="D707" i="18"/>
  <c r="G707" i="18" s="1"/>
  <c r="D705" i="18"/>
  <c r="D704" i="18"/>
  <c r="D703" i="18"/>
  <c r="D702" i="18"/>
  <c r="D699" i="18"/>
  <c r="G699" i="18" s="1"/>
  <c r="C698" i="18"/>
  <c r="G698" i="18" s="1"/>
  <c r="D678" i="18"/>
  <c r="G678" i="18" s="1"/>
  <c r="J676" i="18"/>
  <c r="K668" i="18"/>
  <c r="D676" i="18"/>
  <c r="D675" i="18"/>
  <c r="D674" i="18"/>
  <c r="D673" i="18"/>
  <c r="D672" i="18"/>
  <c r="D671" i="18"/>
  <c r="D668" i="18"/>
  <c r="G668" i="18" s="1"/>
  <c r="D666" i="18"/>
  <c r="D665" i="18"/>
  <c r="D664" i="18"/>
  <c r="D663" i="18"/>
  <c r="D662" i="18"/>
  <c r="D661" i="18"/>
  <c r="D658" i="18"/>
  <c r="G658" i="18" s="1"/>
  <c r="J656" i="18"/>
  <c r="I656" i="18"/>
  <c r="K648" i="18"/>
  <c r="D656" i="18"/>
  <c r="D655" i="18"/>
  <c r="D654" i="18"/>
  <c r="D653" i="18"/>
  <c r="D652" i="18"/>
  <c r="D651" i="18"/>
  <c r="O648" i="18"/>
  <c r="O6288" i="18"/>
  <c r="E6288" i="18"/>
  <c r="D648" i="18"/>
  <c r="G648" i="18" s="1"/>
  <c r="J645" i="18"/>
  <c r="H645" i="18"/>
  <c r="J638" i="18"/>
  <c r="H638" i="18"/>
  <c r="H646" i="18"/>
  <c r="K629" i="18"/>
  <c r="O629" i="18"/>
  <c r="O6287" i="18"/>
  <c r="E6287" i="18"/>
  <c r="D629" i="18"/>
  <c r="G629" i="18"/>
  <c r="I626" i="18"/>
  <c r="K618" i="18"/>
  <c r="D626" i="18"/>
  <c r="D625" i="18"/>
  <c r="D624" i="18"/>
  <c r="D623" i="18"/>
  <c r="D622" i="18"/>
  <c r="D621" i="18"/>
  <c r="O618" i="18"/>
  <c r="O6286" i="18"/>
  <c r="E6286" i="18"/>
  <c r="D618" i="18"/>
  <c r="G618" i="18" s="1"/>
  <c r="D611" i="18"/>
  <c r="G611" i="18" s="1"/>
  <c r="H609" i="18"/>
  <c r="Q601" i="18"/>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6" i="18"/>
  <c r="L696" i="18"/>
  <c r="K696" i="18"/>
  <c r="J696" i="18"/>
  <c r="I696" i="18"/>
  <c r="H696" i="18"/>
  <c r="N689" i="18"/>
  <c r="D696" i="18"/>
  <c r="N695" i="18"/>
  <c r="D695" i="18"/>
  <c r="N694" i="18"/>
  <c r="D694" i="18"/>
  <c r="D689" i="18"/>
  <c r="G689"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c r="I543" i="18"/>
  <c r="I550" i="18"/>
  <c r="I554" i="18"/>
  <c r="H543" i="18"/>
  <c r="H550" i="18"/>
  <c r="H554" i="18"/>
  <c r="N535" i="18"/>
  <c r="D535" i="18"/>
  <c r="G535" i="18" s="1"/>
  <c r="I526" i="18"/>
  <c r="I530" i="18"/>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c r="H510" i="18"/>
  <c r="H513" i="18"/>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c r="H495" i="18"/>
  <c r="H498" i="18"/>
  <c r="D495" i="18"/>
  <c r="L494" i="18"/>
  <c r="K494" i="18"/>
  <c r="D494" i="18"/>
  <c r="L493" i="18"/>
  <c r="K493" i="18"/>
  <c r="D493" i="18"/>
  <c r="L492" i="18"/>
  <c r="D492" i="18"/>
  <c r="D491" i="18"/>
  <c r="L490" i="18"/>
  <c r="K490" i="18"/>
  <c r="D490" i="18"/>
  <c r="D485" i="18"/>
  <c r="G485" i="18"/>
  <c r="H552" i="18" s="1"/>
  <c r="I413" i="18"/>
  <c r="H413" i="18"/>
  <c r="K400" i="18"/>
  <c r="D413" i="18"/>
  <c r="D412" i="18"/>
  <c r="D411" i="18"/>
  <c r="D410" i="18"/>
  <c r="D409" i="18"/>
  <c r="D408" i="18"/>
  <c r="D407" i="18"/>
  <c r="D406" i="18"/>
  <c r="D405" i="18"/>
  <c r="D400" i="18"/>
  <c r="G400" i="18" s="1"/>
  <c r="I391" i="18"/>
  <c r="I395" i="18"/>
  <c r="H391" i="18"/>
  <c r="D391" i="18"/>
  <c r="D390" i="18"/>
  <c r="D389" i="18"/>
  <c r="D388" i="18"/>
  <c r="D387" i="18"/>
  <c r="D386" i="18"/>
  <c r="D385" i="18"/>
  <c r="D384" i="18"/>
  <c r="D383" i="18"/>
  <c r="D378" i="18"/>
  <c r="G378" i="18"/>
  <c r="I369" i="18"/>
  <c r="I373" i="18"/>
  <c r="H369" i="18"/>
  <c r="D369" i="18"/>
  <c r="D368" i="18"/>
  <c r="D367" i="18"/>
  <c r="D366" i="18"/>
  <c r="D365" i="18"/>
  <c r="D364" i="18"/>
  <c r="D363" i="18"/>
  <c r="D362" i="18"/>
  <c r="D361" i="18"/>
  <c r="D356" i="18"/>
  <c r="G356" i="18" s="1"/>
  <c r="J439" i="18"/>
  <c r="H439" i="18"/>
  <c r="H443" i="18"/>
  <c r="D439" i="18"/>
  <c r="D438" i="18"/>
  <c r="D437" i="18"/>
  <c r="D436" i="18"/>
  <c r="D435" i="18"/>
  <c r="D430" i="18"/>
  <c r="G430" i="18"/>
  <c r="H461" i="18" s="1"/>
  <c r="D347" i="18"/>
  <c r="D346" i="18"/>
  <c r="D345" i="18"/>
  <c r="D344" i="18"/>
  <c r="D343" i="18"/>
  <c r="D342" i="18"/>
  <c r="D341" i="18"/>
  <c r="D340" i="18"/>
  <c r="D339" i="18"/>
  <c r="D334" i="18"/>
  <c r="G334" i="18"/>
  <c r="H371" i="18" s="1"/>
  <c r="I323" i="18"/>
  <c r="I330" i="18" s="1"/>
  <c r="H323" i="18"/>
  <c r="H330" i="18" s="1"/>
  <c r="E6" i="87" s="1"/>
  <c r="D317" i="18"/>
  <c r="G317" i="18"/>
  <c r="H594" i="18" s="1"/>
  <c r="C316" i="18"/>
  <c r="G316" i="18" s="1"/>
  <c r="I304" i="18"/>
  <c r="K293" i="18"/>
  <c r="D304" i="18"/>
  <c r="D303" i="18"/>
  <c r="D302" i="18"/>
  <c r="D301" i="18"/>
  <c r="D300" i="18"/>
  <c r="D299" i="18"/>
  <c r="D298" i="18"/>
  <c r="D297" i="18"/>
  <c r="D296" i="18"/>
  <c r="D293" i="18"/>
  <c r="G293" i="18"/>
  <c r="H291" i="18"/>
  <c r="K286" i="18"/>
  <c r="D291" i="18"/>
  <c r="D290" i="18"/>
  <c r="D289" i="18"/>
  <c r="D286" i="18"/>
  <c r="G286" i="18" s="1"/>
  <c r="H284" i="18"/>
  <c r="K273" i="18"/>
  <c r="D284" i="18"/>
  <c r="D283" i="18"/>
  <c r="D282" i="18"/>
  <c r="D281" i="18"/>
  <c r="D280" i="18"/>
  <c r="D279" i="18"/>
  <c r="D278" i="18"/>
  <c r="D277" i="18"/>
  <c r="D276" i="18"/>
  <c r="D273" i="18"/>
  <c r="G273" i="18"/>
  <c r="M264" i="18"/>
  <c r="L264" i="18"/>
  <c r="K251" i="18"/>
  <c r="K264" i="18"/>
  <c r="I264" i="18"/>
  <c r="H264" i="18"/>
  <c r="D264" i="18"/>
  <c r="D263" i="18"/>
  <c r="D262" i="18"/>
  <c r="D261" i="18"/>
  <c r="D260" i="18"/>
  <c r="D259" i="18"/>
  <c r="D258" i="18"/>
  <c r="D257" i="18"/>
  <c r="D256" i="18"/>
  <c r="D251" i="18"/>
  <c r="G251" i="18" s="1"/>
  <c r="I227" i="18"/>
  <c r="I231" i="18"/>
  <c r="H227" i="18"/>
  <c r="D227" i="18"/>
  <c r="D226" i="18"/>
  <c r="D225" i="18"/>
  <c r="D224" i="18"/>
  <c r="D223" i="18"/>
  <c r="D222" i="18"/>
  <c r="D221" i="18"/>
  <c r="D220" i="18"/>
  <c r="D219" i="18"/>
  <c r="D214" i="18"/>
  <c r="G214" i="18" s="1"/>
  <c r="I205" i="18"/>
  <c r="I209" i="18"/>
  <c r="H205" i="18"/>
  <c r="D205" i="18"/>
  <c r="D204" i="18"/>
  <c r="D203" i="18"/>
  <c r="D202" i="18"/>
  <c r="D201" i="18"/>
  <c r="D200" i="18"/>
  <c r="D199" i="18"/>
  <c r="D198" i="18"/>
  <c r="D197" i="18"/>
  <c r="D192" i="18"/>
  <c r="G192" i="18" s="1"/>
  <c r="I183" i="18"/>
  <c r="D170" i="18"/>
  <c r="G170" i="18"/>
  <c r="H168" i="18"/>
  <c r="Q160" i="18"/>
  <c r="D168" i="18"/>
  <c r="D167" i="18"/>
  <c r="D166" i="18"/>
  <c r="D165" i="18"/>
  <c r="D164" i="18"/>
  <c r="D163" i="18"/>
  <c r="D160" i="18"/>
  <c r="G160" i="18" s="1"/>
  <c r="I157" i="18"/>
  <c r="I158" i="18"/>
  <c r="H157" i="18"/>
  <c r="H158" i="18"/>
  <c r="Q146" i="18"/>
  <c r="D146" i="18"/>
  <c r="G146" i="18" s="1"/>
  <c r="H144" i="18"/>
  <c r="K138" i="18"/>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c r="E37" i="12"/>
  <c r="C37" i="12"/>
  <c r="AD36" i="12"/>
  <c r="AC36" i="12"/>
  <c r="J36" i="12"/>
  <c r="G36" i="12"/>
  <c r="E36" i="12"/>
  <c r="F36" i="12" s="1"/>
  <c r="D36" i="12"/>
  <c r="C36" i="12"/>
  <c r="Q36" i="12"/>
  <c r="AD35" i="12"/>
  <c r="AC35" i="12"/>
  <c r="J35" i="12"/>
  <c r="G35" i="12"/>
  <c r="E35" i="12"/>
  <c r="C35" i="12"/>
  <c r="R35" i="12"/>
  <c r="AD34" i="12"/>
  <c r="AC34" i="12"/>
  <c r="J34" i="12"/>
  <c r="G34" i="12"/>
  <c r="E34" i="12"/>
  <c r="D34" i="12"/>
  <c r="C34" i="12"/>
  <c r="Q34" i="12"/>
  <c r="AE34" i="12"/>
  <c r="AD33" i="12"/>
  <c r="AC33" i="12"/>
  <c r="J33" i="12"/>
  <c r="G33" i="12"/>
  <c r="E33" i="12"/>
  <c r="F33" i="12" s="1"/>
  <c r="C33" i="12"/>
  <c r="AD32" i="12"/>
  <c r="AC32" i="12"/>
  <c r="J32" i="12"/>
  <c r="D32" i="12"/>
  <c r="E32" i="12"/>
  <c r="C32" i="12"/>
  <c r="R32" i="12"/>
  <c r="AD31" i="12"/>
  <c r="AC31" i="12"/>
  <c r="J31" i="12"/>
  <c r="G31" i="12"/>
  <c r="E31" i="12"/>
  <c r="F31" i="12" s="1"/>
  <c r="C31" i="12"/>
  <c r="R31" i="12"/>
  <c r="AD30" i="12"/>
  <c r="AC30" i="12"/>
  <c r="J30" i="12"/>
  <c r="D30" i="12"/>
  <c r="E30" i="12"/>
  <c r="F30" i="12" s="1"/>
  <c r="C30" i="12"/>
  <c r="Q30" i="12"/>
  <c r="AE30" i="12"/>
  <c r="AD29" i="12"/>
  <c r="AC29" i="12"/>
  <c r="J29" i="12"/>
  <c r="G29" i="12"/>
  <c r="E29" i="12"/>
  <c r="F29" i="12" s="1"/>
  <c r="C29" i="12"/>
  <c r="AD28" i="12"/>
  <c r="AC28" i="12"/>
  <c r="J28" i="12"/>
  <c r="D28" i="12"/>
  <c r="G28" i="12"/>
  <c r="E28" i="12"/>
  <c r="C28" i="12"/>
  <c r="Q28" i="12"/>
  <c r="AE28" i="12"/>
  <c r="AD27" i="12"/>
  <c r="AC27" i="12"/>
  <c r="J27" i="12"/>
  <c r="G27" i="12"/>
  <c r="E27" i="12"/>
  <c r="C27" i="12"/>
  <c r="R27" i="12"/>
  <c r="AD26" i="12"/>
  <c r="AC26" i="12"/>
  <c r="J26" i="12"/>
  <c r="D26" i="12"/>
  <c r="E26" i="12"/>
  <c r="C26" i="12"/>
  <c r="Q26" i="12"/>
  <c r="AE26" i="12"/>
  <c r="AD25" i="12"/>
  <c r="AC25" i="12"/>
  <c r="J25" i="12"/>
  <c r="G25" i="12"/>
  <c r="E25" i="12"/>
  <c r="D25" i="12"/>
  <c r="C25" i="12"/>
  <c r="AD24" i="12"/>
  <c r="AC24" i="12"/>
  <c r="J24" i="12"/>
  <c r="G24" i="12"/>
  <c r="E24" i="12"/>
  <c r="F24" i="12" s="1"/>
  <c r="C24" i="12"/>
  <c r="R24" i="12"/>
  <c r="AD23" i="12"/>
  <c r="AC23" i="12"/>
  <c r="J23" i="12"/>
  <c r="G23" i="12"/>
  <c r="E23" i="12"/>
  <c r="D23" i="12"/>
  <c r="C23" i="12"/>
  <c r="R23" i="12"/>
  <c r="AD22" i="12"/>
  <c r="AC22" i="12"/>
  <c r="J22" i="12"/>
  <c r="G22" i="12"/>
  <c r="E22" i="12"/>
  <c r="D22" i="12"/>
  <c r="C22" i="12"/>
  <c r="Q22" i="12"/>
  <c r="AE22" i="12"/>
  <c r="AD21" i="12"/>
  <c r="AC21" i="12"/>
  <c r="J21" i="12"/>
  <c r="G21" i="12"/>
  <c r="E21" i="12"/>
  <c r="F22" i="12" s="1"/>
  <c r="C21" i="12"/>
  <c r="AD20" i="12"/>
  <c r="AC20" i="12"/>
  <c r="J20" i="12"/>
  <c r="G20" i="12"/>
  <c r="E20" i="12"/>
  <c r="D20" i="12"/>
  <c r="C20" i="12"/>
  <c r="Q20" i="12"/>
  <c r="AD19" i="12"/>
  <c r="AC19" i="12"/>
  <c r="J19" i="12"/>
  <c r="G19" i="12"/>
  <c r="E19" i="12"/>
  <c r="F19" i="12" s="1"/>
  <c r="C19" i="12"/>
  <c r="R19" i="12"/>
  <c r="AD18" i="12"/>
  <c r="AC18" i="12"/>
  <c r="J18" i="12"/>
  <c r="G18" i="12"/>
  <c r="E18" i="12"/>
  <c r="D18" i="12"/>
  <c r="C18" i="12"/>
  <c r="Q18" i="12"/>
  <c r="AD17" i="12"/>
  <c r="AC17" i="12"/>
  <c r="J17" i="12"/>
  <c r="G17" i="12"/>
  <c r="E17" i="12"/>
  <c r="C17" i="12"/>
  <c r="AD16" i="12"/>
  <c r="AC16" i="12"/>
  <c r="C16" i="12"/>
  <c r="R16" i="12"/>
  <c r="AD15" i="12"/>
  <c r="AC15" i="12"/>
  <c r="G15" i="12"/>
  <c r="E15" i="12"/>
  <c r="E16" i="12"/>
  <c r="F16" i="12" s="1"/>
  <c r="C15" i="12"/>
  <c r="R15" i="12"/>
  <c r="AD14" i="12"/>
  <c r="AC14" i="12"/>
  <c r="D14" i="12"/>
  <c r="E14" i="12"/>
  <c r="C14" i="12"/>
  <c r="Q14" i="12"/>
  <c r="AE14" i="12"/>
  <c r="AD13" i="12"/>
  <c r="AC13" i="12"/>
  <c r="J13" i="12"/>
  <c r="G13" i="12"/>
  <c r="E13" i="12"/>
  <c r="C13" i="12"/>
  <c r="AD12" i="12"/>
  <c r="AC12" i="12"/>
  <c r="J12" i="12"/>
  <c r="G12" i="12"/>
  <c r="C12" i="12"/>
  <c r="Q12" i="12"/>
  <c r="AD11" i="12"/>
  <c r="AC11" i="12"/>
  <c r="G11" i="12"/>
  <c r="C11" i="12"/>
  <c r="R11" i="12"/>
  <c r="AD10" i="12"/>
  <c r="AC10" i="12"/>
  <c r="E10" i="12"/>
  <c r="F11" i="12" s="1"/>
  <c r="E11" i="12"/>
  <c r="C10" i="12"/>
  <c r="AD9" i="12"/>
  <c r="AC9" i="12"/>
  <c r="G9" i="12"/>
  <c r="E9" i="12"/>
  <c r="F9" i="12"/>
  <c r="D9" i="12"/>
  <c r="D10" i="12"/>
  <c r="D11" i="12"/>
  <c r="D12" i="12"/>
  <c r="C9" i="12"/>
  <c r="R9" i="12"/>
  <c r="O6" i="12"/>
  <c r="M6" i="12"/>
  <c r="J6" i="12"/>
  <c r="O5" i="12"/>
  <c r="M5" i="12"/>
  <c r="J4" i="12"/>
  <c r="F4" i="12"/>
  <c r="AD3" i="12"/>
  <c r="AC3" i="12"/>
  <c r="J3" i="12"/>
  <c r="G3" i="12"/>
  <c r="E3" i="12"/>
  <c r="F3" i="12"/>
  <c r="D3" i="12"/>
  <c r="C3" i="12"/>
  <c r="B3" i="12"/>
  <c r="P40" i="11"/>
  <c r="O40" i="11"/>
  <c r="AD38" i="11"/>
  <c r="AC38" i="11"/>
  <c r="J38" i="11"/>
  <c r="G38" i="11"/>
  <c r="E38" i="11"/>
  <c r="C38" i="11"/>
  <c r="Q38" i="11"/>
  <c r="B38" i="11"/>
  <c r="AD37" i="11"/>
  <c r="AC37" i="11"/>
  <c r="J37" i="11"/>
  <c r="D37" i="11"/>
  <c r="G37" i="11"/>
  <c r="E37" i="11"/>
  <c r="C37" i="11"/>
  <c r="Q37" i="11"/>
  <c r="AE37" i="11"/>
  <c r="AD36" i="11"/>
  <c r="AC36" i="11"/>
  <c r="J36" i="11"/>
  <c r="G36" i="11"/>
  <c r="E36" i="11"/>
  <c r="D36" i="11"/>
  <c r="C36" i="11"/>
  <c r="R36" i="11"/>
  <c r="AD35" i="11"/>
  <c r="AC35" i="11"/>
  <c r="J35" i="11"/>
  <c r="G35" i="11"/>
  <c r="E35" i="11"/>
  <c r="D35" i="11"/>
  <c r="C35" i="11"/>
  <c r="Q35" i="11"/>
  <c r="AE35" i="11"/>
  <c r="AD34" i="11"/>
  <c r="AC34" i="11"/>
  <c r="J34" i="11"/>
  <c r="G34" i="11"/>
  <c r="E34" i="11"/>
  <c r="C34" i="11"/>
  <c r="AD33" i="11"/>
  <c r="AC33" i="11"/>
  <c r="J33" i="11"/>
  <c r="D33" i="11"/>
  <c r="E33" i="11"/>
  <c r="C33" i="11"/>
  <c r="R33" i="11"/>
  <c r="AD32" i="11"/>
  <c r="AC32" i="11"/>
  <c r="J32" i="11"/>
  <c r="G32" i="11"/>
  <c r="E32" i="11"/>
  <c r="C32" i="11"/>
  <c r="R32" i="11"/>
  <c r="AD31" i="11"/>
  <c r="AC31" i="11"/>
  <c r="J31" i="11"/>
  <c r="G31" i="11"/>
  <c r="E31" i="11"/>
  <c r="F32" i="11"/>
  <c r="D31" i="11"/>
  <c r="C31" i="11"/>
  <c r="Q31" i="11"/>
  <c r="AE31" i="11"/>
  <c r="AD30" i="11"/>
  <c r="AC30" i="11"/>
  <c r="J30" i="11"/>
  <c r="G30" i="11"/>
  <c r="E30" i="11"/>
  <c r="C30" i="11"/>
  <c r="AD29" i="11"/>
  <c r="AC29" i="11"/>
  <c r="J29" i="11"/>
  <c r="G29" i="11"/>
  <c r="E29" i="11"/>
  <c r="D29" i="11"/>
  <c r="C29" i="11"/>
  <c r="R29" i="11"/>
  <c r="AD28" i="11"/>
  <c r="AC28" i="11"/>
  <c r="J28" i="11"/>
  <c r="G28" i="11"/>
  <c r="E28" i="11"/>
  <c r="C28" i="11"/>
  <c r="R28" i="11"/>
  <c r="AD27" i="11"/>
  <c r="AC27" i="11"/>
  <c r="J27" i="11"/>
  <c r="D27" i="11"/>
  <c r="E27" i="11"/>
  <c r="C27" i="11"/>
  <c r="Q27" i="11"/>
  <c r="AE27" i="11"/>
  <c r="AD26" i="11"/>
  <c r="AC26" i="11"/>
  <c r="J26" i="11"/>
  <c r="G26" i="11"/>
  <c r="E26" i="11"/>
  <c r="C26" i="11"/>
  <c r="AD25" i="11"/>
  <c r="AC25" i="11"/>
  <c r="J25" i="11"/>
  <c r="D25" i="11"/>
  <c r="E25" i="11"/>
  <c r="C25" i="11"/>
  <c r="Q25" i="11"/>
  <c r="AD24" i="11"/>
  <c r="AC24" i="11"/>
  <c r="J24" i="11"/>
  <c r="G24" i="11"/>
  <c r="E24" i="11"/>
  <c r="C24" i="11"/>
  <c r="R24" i="11"/>
  <c r="AD23" i="11"/>
  <c r="AC23" i="11"/>
  <c r="J23" i="11"/>
  <c r="D23" i="11"/>
  <c r="E23" i="11"/>
  <c r="C23" i="11"/>
  <c r="Q23" i="11"/>
  <c r="AD22" i="11"/>
  <c r="AC22" i="11"/>
  <c r="J22" i="11"/>
  <c r="G22" i="11"/>
  <c r="E22" i="11"/>
  <c r="C22" i="11"/>
  <c r="AD21" i="11"/>
  <c r="AC21" i="11"/>
  <c r="J21" i="11"/>
  <c r="D21" i="11"/>
  <c r="G21" i="11"/>
  <c r="E21" i="11"/>
  <c r="C21" i="11"/>
  <c r="R21" i="11"/>
  <c r="AD20" i="11"/>
  <c r="AC20" i="11"/>
  <c r="J20" i="11"/>
  <c r="G20" i="11"/>
  <c r="E20" i="11"/>
  <c r="D20" i="11"/>
  <c r="C20" i="11"/>
  <c r="R20" i="11"/>
  <c r="AD19" i="11"/>
  <c r="AC19" i="11"/>
  <c r="J19" i="11"/>
  <c r="G19" i="11"/>
  <c r="E19" i="11"/>
  <c r="D19" i="11"/>
  <c r="C19" i="11"/>
  <c r="Q19" i="11"/>
  <c r="AE19" i="11"/>
  <c r="AD18" i="11"/>
  <c r="AC18" i="11"/>
  <c r="J18" i="11"/>
  <c r="G18" i="11"/>
  <c r="E18" i="11"/>
  <c r="C18" i="11"/>
  <c r="AD17" i="11"/>
  <c r="AC17" i="11"/>
  <c r="J17" i="11"/>
  <c r="D17" i="11"/>
  <c r="E17" i="11"/>
  <c r="C17" i="11"/>
  <c r="Q17" i="11"/>
  <c r="AE17" i="11"/>
  <c r="AD16" i="11"/>
  <c r="AC16" i="11"/>
  <c r="J16" i="11"/>
  <c r="G16" i="11"/>
  <c r="E16" i="11"/>
  <c r="C16" i="11"/>
  <c r="R16" i="11"/>
  <c r="AD15" i="11"/>
  <c r="AC15" i="11"/>
  <c r="J15" i="11"/>
  <c r="G15" i="11"/>
  <c r="E15" i="11"/>
  <c r="D15" i="11"/>
  <c r="C15" i="11"/>
  <c r="Q15" i="11"/>
  <c r="AE15" i="11"/>
  <c r="AD14" i="11"/>
  <c r="AC14" i="11"/>
  <c r="J14" i="11"/>
  <c r="G14" i="11"/>
  <c r="E14" i="11"/>
  <c r="C14" i="11"/>
  <c r="AD13" i="11"/>
  <c r="AC13" i="11"/>
  <c r="J13" i="11"/>
  <c r="G13" i="11"/>
  <c r="E13" i="11"/>
  <c r="D13" i="11"/>
  <c r="C13" i="11"/>
  <c r="R13" i="11"/>
  <c r="AD12" i="11"/>
  <c r="AC12" i="11"/>
  <c r="J12" i="11"/>
  <c r="G12" i="11"/>
  <c r="E12" i="11"/>
  <c r="C12" i="11"/>
  <c r="R12" i="11"/>
  <c r="AD11" i="11"/>
  <c r="AC11" i="11"/>
  <c r="J11" i="11"/>
  <c r="D11" i="11"/>
  <c r="E11" i="11"/>
  <c r="C11" i="11"/>
  <c r="Q11" i="11"/>
  <c r="AE11" i="11"/>
  <c r="AD10" i="11"/>
  <c r="AC10" i="11"/>
  <c r="J10" i="11"/>
  <c r="G10" i="11"/>
  <c r="E10" i="11"/>
  <c r="C10" i="11"/>
  <c r="B10" i="11"/>
  <c r="AD9" i="11"/>
  <c r="AC9" i="11"/>
  <c r="G9" i="11"/>
  <c r="E9" i="11"/>
  <c r="F9" i="11"/>
  <c r="D9" i="11"/>
  <c r="C9" i="11"/>
  <c r="Q9" i="11"/>
  <c r="AE9" i="11"/>
  <c r="B9" i="11"/>
  <c r="O6" i="11"/>
  <c r="M6" i="11"/>
  <c r="J6" i="11"/>
  <c r="O5" i="11"/>
  <c r="M5" i="11"/>
  <c r="J4" i="11"/>
  <c r="F4" i="11"/>
  <c r="AD3" i="11"/>
  <c r="AC3" i="11"/>
  <c r="J3" i="11"/>
  <c r="G3" i="11"/>
  <c r="E3" i="11"/>
  <c r="F3" i="11"/>
  <c r="C3" i="11"/>
  <c r="B3" i="11"/>
  <c r="Q38" i="13"/>
  <c r="J38" i="13"/>
  <c r="D38" i="13"/>
  <c r="G38" i="13"/>
  <c r="E38" i="13"/>
  <c r="C38" i="13"/>
  <c r="B38" i="13"/>
  <c r="Q37" i="13"/>
  <c r="N37" i="13"/>
  <c r="J37" i="13"/>
  <c r="G37" i="13"/>
  <c r="E37" i="13"/>
  <c r="D37" i="13"/>
  <c r="C37" i="13"/>
  <c r="Q36" i="13"/>
  <c r="N36" i="13"/>
  <c r="T36" i="13"/>
  <c r="J36" i="13"/>
  <c r="D36" i="13"/>
  <c r="G36" i="13"/>
  <c r="E36" i="13"/>
  <c r="C36" i="13"/>
  <c r="Q35" i="13"/>
  <c r="N35" i="13"/>
  <c r="J35" i="13"/>
  <c r="G35" i="13"/>
  <c r="E35" i="13"/>
  <c r="D35" i="13"/>
  <c r="C35" i="13"/>
  <c r="Q34" i="13"/>
  <c r="N34" i="13"/>
  <c r="T34" i="13"/>
  <c r="J34" i="13"/>
  <c r="G34" i="13"/>
  <c r="E34" i="13"/>
  <c r="C34" i="13"/>
  <c r="Q33" i="13"/>
  <c r="N33" i="13"/>
  <c r="J33" i="13"/>
  <c r="G33" i="13"/>
  <c r="E33" i="13"/>
  <c r="C33" i="13"/>
  <c r="Q32" i="13"/>
  <c r="N32" i="13"/>
  <c r="T32" i="13"/>
  <c r="J32" i="13"/>
  <c r="G32" i="13"/>
  <c r="E32" i="13"/>
  <c r="D32" i="13"/>
  <c r="C32" i="13"/>
  <c r="Q31" i="13"/>
  <c r="N31" i="13"/>
  <c r="J31" i="13"/>
  <c r="G31" i="13"/>
  <c r="E31" i="13"/>
  <c r="C31" i="13"/>
  <c r="Q30" i="13"/>
  <c r="N30" i="13"/>
  <c r="T30" i="13"/>
  <c r="J30" i="13"/>
  <c r="G30" i="13"/>
  <c r="E30" i="13"/>
  <c r="D30" i="13"/>
  <c r="C30" i="13"/>
  <c r="Q29" i="13"/>
  <c r="N29" i="13"/>
  <c r="J29" i="13"/>
  <c r="G29" i="13"/>
  <c r="E29" i="13"/>
  <c r="C29" i="13"/>
  <c r="Q28" i="13"/>
  <c r="N28" i="13"/>
  <c r="T28" i="13"/>
  <c r="J28" i="13"/>
  <c r="D28" i="13"/>
  <c r="E28" i="13"/>
  <c r="C28" i="13"/>
  <c r="Q27" i="13"/>
  <c r="N27" i="13"/>
  <c r="J27" i="13"/>
  <c r="G27" i="13"/>
  <c r="E27" i="13"/>
  <c r="C27" i="13"/>
  <c r="Q26" i="13"/>
  <c r="N26" i="13"/>
  <c r="T26" i="13"/>
  <c r="J26" i="13"/>
  <c r="D26" i="13"/>
  <c r="E26" i="13"/>
  <c r="C26" i="13"/>
  <c r="Q25" i="13"/>
  <c r="N25" i="13"/>
  <c r="J25" i="13"/>
  <c r="G25" i="13"/>
  <c r="E25" i="13"/>
  <c r="C25" i="13"/>
  <c r="Q24" i="13"/>
  <c r="N24" i="13"/>
  <c r="J24" i="13"/>
  <c r="D24" i="13"/>
  <c r="E24" i="13"/>
  <c r="C24" i="13"/>
  <c r="Q23" i="13"/>
  <c r="N23" i="13"/>
  <c r="J23" i="13"/>
  <c r="G23" i="13"/>
  <c r="E23" i="13"/>
  <c r="C23" i="13"/>
  <c r="Q22" i="13"/>
  <c r="N22" i="13"/>
  <c r="T22" i="13"/>
  <c r="J22" i="13"/>
  <c r="D22" i="13"/>
  <c r="G22" i="13"/>
  <c r="E22" i="13"/>
  <c r="C22" i="13"/>
  <c r="Q21" i="13"/>
  <c r="N21" i="13"/>
  <c r="J21" i="13"/>
  <c r="G21" i="13"/>
  <c r="E21" i="13"/>
  <c r="D21" i="13"/>
  <c r="C21" i="13"/>
  <c r="Q20" i="13"/>
  <c r="N20" i="13"/>
  <c r="T20" i="13"/>
  <c r="J20" i="13"/>
  <c r="D20" i="13"/>
  <c r="G20" i="13"/>
  <c r="E20" i="13"/>
  <c r="C20" i="13"/>
  <c r="Q19" i="13"/>
  <c r="N19" i="13"/>
  <c r="J19" i="13"/>
  <c r="G19" i="13"/>
  <c r="E19" i="13"/>
  <c r="D19" i="13"/>
  <c r="C19" i="13"/>
  <c r="Q18" i="13"/>
  <c r="N18" i="13"/>
  <c r="T18" i="13"/>
  <c r="J18" i="13"/>
  <c r="G18" i="13"/>
  <c r="E18" i="13"/>
  <c r="C18" i="13"/>
  <c r="Q17" i="13"/>
  <c r="N17" i="13"/>
  <c r="J17" i="13"/>
  <c r="G17" i="13"/>
  <c r="E17" i="13"/>
  <c r="C17" i="13"/>
  <c r="Q16" i="13"/>
  <c r="N16" i="13"/>
  <c r="T16" i="13"/>
  <c r="J16" i="13"/>
  <c r="G16" i="13"/>
  <c r="E16" i="13"/>
  <c r="D16" i="13"/>
  <c r="C16" i="13"/>
  <c r="Q15" i="13"/>
  <c r="N15" i="13"/>
  <c r="J15" i="13"/>
  <c r="G15" i="13"/>
  <c r="E15" i="13"/>
  <c r="C15" i="13"/>
  <c r="Q14" i="13"/>
  <c r="N14" i="13"/>
  <c r="T14" i="13"/>
  <c r="J14" i="13"/>
  <c r="G14" i="13"/>
  <c r="E14" i="13"/>
  <c r="D14" i="13"/>
  <c r="C14" i="13"/>
  <c r="Q13" i="13"/>
  <c r="N13" i="13"/>
  <c r="J13" i="13"/>
  <c r="G13" i="13"/>
  <c r="E13" i="13"/>
  <c r="C13" i="13"/>
  <c r="Q12" i="13"/>
  <c r="J12" i="13"/>
  <c r="D12" i="13"/>
  <c r="E12" i="13"/>
  <c r="C12" i="13"/>
  <c r="N12" i="13"/>
  <c r="Q11" i="13"/>
  <c r="N11" i="13"/>
  <c r="J11" i="13"/>
  <c r="G11" i="13"/>
  <c r="E11" i="13"/>
  <c r="C11" i="13"/>
  <c r="Q10" i="13"/>
  <c r="J10" i="13"/>
  <c r="D10" i="13"/>
  <c r="E10" i="13"/>
  <c r="C10" i="13"/>
  <c r="B10" i="13"/>
  <c r="Q9" i="13"/>
  <c r="G9" i="13"/>
  <c r="E9" i="13"/>
  <c r="F9" i="13"/>
  <c r="D9" i="13"/>
  <c r="C9" i="13"/>
  <c r="N9" i="13"/>
  <c r="O6" i="13"/>
  <c r="M6" i="13"/>
  <c r="J6" i="13"/>
  <c r="O5" i="13"/>
  <c r="M5" i="13"/>
  <c r="J4" i="13"/>
  <c r="F4" i="13"/>
  <c r="Q3" i="13"/>
  <c r="N3" i="13"/>
  <c r="T3" i="13"/>
  <c r="J3" i="13"/>
  <c r="G3" i="13"/>
  <c r="E3" i="13"/>
  <c r="F3" i="13"/>
  <c r="D3" i="13"/>
  <c r="C3" i="13"/>
  <c r="B3" i="13"/>
  <c r="AD51" i="6"/>
  <c r="AC51" i="6"/>
  <c r="G51" i="6"/>
  <c r="C51" i="6"/>
  <c r="AD50" i="6"/>
  <c r="AC50" i="6"/>
  <c r="J50" i="6"/>
  <c r="G50" i="6" s="1"/>
  <c r="E50" i="6"/>
  <c r="C50" i="6"/>
  <c r="AD32" i="6"/>
  <c r="AC32" i="6"/>
  <c r="J32" i="6"/>
  <c r="AD31" i="6"/>
  <c r="AC31" i="6"/>
  <c r="G31" i="6"/>
  <c r="C31" i="6"/>
  <c r="R31" i="6" s="1"/>
  <c r="AD30" i="6"/>
  <c r="AC30" i="6"/>
  <c r="J30" i="6"/>
  <c r="E30" i="6"/>
  <c r="C30" i="6"/>
  <c r="Q30" i="6" s="1"/>
  <c r="AD29" i="6"/>
  <c r="AC29" i="6"/>
  <c r="J29" i="6"/>
  <c r="G29" i="6" s="1"/>
  <c r="D25" i="6"/>
  <c r="D26" i="6" s="1"/>
  <c r="D27" i="6" s="1"/>
  <c r="D28" i="6" s="1"/>
  <c r="D29" i="6" s="1"/>
  <c r="E25" i="6"/>
  <c r="E26" i="6" s="1"/>
  <c r="AD28" i="6"/>
  <c r="AC28" i="6"/>
  <c r="J28" i="6"/>
  <c r="G28" i="6" s="1"/>
  <c r="AD27" i="6"/>
  <c r="AC27" i="6"/>
  <c r="J27" i="6"/>
  <c r="G27" i="6" s="1"/>
  <c r="AD26" i="6"/>
  <c r="AC26" i="6"/>
  <c r="J26" i="6"/>
  <c r="G26" i="6" s="1"/>
  <c r="AD25" i="6"/>
  <c r="AC25" i="6"/>
  <c r="G25" i="6"/>
  <c r="C25" i="6"/>
  <c r="Q25" i="6" s="1"/>
  <c r="AE25" i="6" s="1"/>
  <c r="AD24" i="6"/>
  <c r="AC24" i="6"/>
  <c r="J24" i="6"/>
  <c r="D24" i="6" s="1"/>
  <c r="E24" i="6"/>
  <c r="C24" i="6"/>
  <c r="Q24" i="6" s="1"/>
  <c r="AD23" i="6"/>
  <c r="AC23" i="6"/>
  <c r="J23" i="6"/>
  <c r="G23" i="6" s="1"/>
  <c r="D21" i="6"/>
  <c r="D22" i="6" s="1"/>
  <c r="D23" i="6" s="1"/>
  <c r="E21" i="6"/>
  <c r="AD22" i="6"/>
  <c r="AC22" i="6"/>
  <c r="J22" i="6"/>
  <c r="AD21" i="6"/>
  <c r="AC21" i="6"/>
  <c r="C21" i="6"/>
  <c r="AD20" i="6"/>
  <c r="AC20" i="6"/>
  <c r="J20" i="6"/>
  <c r="E20" i="6"/>
  <c r="C20" i="6"/>
  <c r="Q20" i="6" s="1"/>
  <c r="AD19" i="6"/>
  <c r="AC19" i="6"/>
  <c r="J19" i="6"/>
  <c r="D19" i="6" s="1"/>
  <c r="C19" i="6"/>
  <c r="AD18" i="6"/>
  <c r="AC18" i="6"/>
  <c r="C18" i="6"/>
  <c r="B18" i="6" s="1"/>
  <c r="AD17" i="6"/>
  <c r="AC17" i="6"/>
  <c r="D17" i="6"/>
  <c r="G17" i="6"/>
  <c r="E17" i="6"/>
  <c r="F17" i="6" s="1"/>
  <c r="E18" i="6"/>
  <c r="C17" i="6"/>
  <c r="Q17" i="6" s="1"/>
  <c r="AE17" i="6" s="1"/>
  <c r="B17" i="6"/>
  <c r="AD16" i="6"/>
  <c r="AC16" i="6"/>
  <c r="J16" i="6"/>
  <c r="G16" i="6" s="1"/>
  <c r="E16" i="6"/>
  <c r="C16" i="6"/>
  <c r="R16" i="6" s="1"/>
  <c r="AD15" i="6"/>
  <c r="AC15" i="6"/>
  <c r="J15" i="6"/>
  <c r="G15" i="6" s="1"/>
  <c r="C15" i="6"/>
  <c r="AD14" i="6"/>
  <c r="AC14" i="6"/>
  <c r="J14" i="6"/>
  <c r="G14" i="6" s="1"/>
  <c r="E13" i="6"/>
  <c r="E14" i="6" s="1"/>
  <c r="E15" i="6" s="1"/>
  <c r="C14" i="6"/>
  <c r="Q14" i="6" s="1"/>
  <c r="AD13" i="6"/>
  <c r="AC13" i="6"/>
  <c r="G13" i="6"/>
  <c r="D13" i="6"/>
  <c r="C13" i="6"/>
  <c r="B13" i="6"/>
  <c r="AD12" i="6"/>
  <c r="AC12" i="6"/>
  <c r="C12" i="6"/>
  <c r="B12" i="6" s="1"/>
  <c r="AD11" i="6"/>
  <c r="AC11" i="6"/>
  <c r="C11" i="6"/>
  <c r="B11" i="6" s="1"/>
  <c r="AD10" i="6"/>
  <c r="AC10" i="6"/>
  <c r="G10" i="6"/>
  <c r="E10" i="6"/>
  <c r="F10" i="6" s="1"/>
  <c r="E11" i="6"/>
  <c r="E12" i="6"/>
  <c r="C10" i="6"/>
  <c r="R10" i="6" s="1"/>
  <c r="AD9" i="6"/>
  <c r="AC9" i="6"/>
  <c r="G9" i="6"/>
  <c r="E9" i="6"/>
  <c r="F9" i="6" s="1"/>
  <c r="D9" i="6"/>
  <c r="C9" i="6"/>
  <c r="R9" i="6" s="1"/>
  <c r="B9" i="6"/>
  <c r="O6" i="6"/>
  <c r="M6" i="6"/>
  <c r="J6" i="6"/>
  <c r="O5" i="6"/>
  <c r="M5" i="6"/>
  <c r="J4" i="6"/>
  <c r="F4" i="6"/>
  <c r="AD3" i="6"/>
  <c r="AC3" i="6"/>
  <c r="J3" i="6"/>
  <c r="G3" i="6"/>
  <c r="E3" i="6"/>
  <c r="F3" i="6" s="1"/>
  <c r="C3" i="6"/>
  <c r="Q3" i="6" s="1"/>
  <c r="AE3" i="6" s="1"/>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c r="C764" i="5"/>
  <c r="B764" i="5"/>
  <c r="A764" i="5"/>
  <c r="J763" i="5"/>
  <c r="M763" i="5" s="1"/>
  <c r="F763" i="5"/>
  <c r="I763" i="5" s="1"/>
  <c r="E763" i="5"/>
  <c r="C763" i="5"/>
  <c r="B763" i="5"/>
  <c r="A763" i="5"/>
  <c r="J762" i="5"/>
  <c r="F762" i="5"/>
  <c r="I762" i="5" s="1"/>
  <c r="E762" i="5"/>
  <c r="C762" i="5"/>
  <c r="B762" i="5"/>
  <c r="A762" i="5"/>
  <c r="J761" i="5"/>
  <c r="M761" i="5" s="1"/>
  <c r="E761" i="5"/>
  <c r="C761" i="5"/>
  <c r="B761" i="5"/>
  <c r="A761" i="5"/>
  <c r="E760" i="5"/>
  <c r="C760" i="5"/>
  <c r="B760" i="5"/>
  <c r="A760" i="5"/>
  <c r="E759" i="5"/>
  <c r="C759" i="5"/>
  <c r="B759" i="5"/>
  <c r="A759" i="5"/>
  <c r="J758" i="5"/>
  <c r="M758" i="5" s="1"/>
  <c r="F758" i="5"/>
  <c r="I758" i="5" s="1"/>
  <c r="E89" i="70" s="1"/>
  <c r="E758" i="5"/>
  <c r="C758" i="5"/>
  <c r="B758" i="5"/>
  <c r="A758" i="5"/>
  <c r="J757" i="5"/>
  <c r="M757" i="5" s="1"/>
  <c r="F757" i="5"/>
  <c r="I757" i="5" s="1"/>
  <c r="E757" i="5"/>
  <c r="C757" i="5"/>
  <c r="B757" i="5"/>
  <c r="A757" i="5"/>
  <c r="J756" i="5"/>
  <c r="M756" i="5" s="1"/>
  <c r="F756" i="5"/>
  <c r="I756" i="5" s="1"/>
  <c r="E87" i="70" s="1"/>
  <c r="E756" i="5"/>
  <c r="C756" i="5"/>
  <c r="B756" i="5"/>
  <c r="A756" i="5"/>
  <c r="E755" i="5"/>
  <c r="C755" i="5"/>
  <c r="B755" i="5"/>
  <c r="A755" i="5"/>
  <c r="L754" i="5"/>
  <c r="H754" i="5"/>
  <c r="E754" i="5"/>
  <c r="E826" i="5"/>
  <c r="C754" i="5"/>
  <c r="B754" i="5"/>
  <c r="A754" i="5"/>
  <c r="J753" i="5"/>
  <c r="M753" i="5" s="1"/>
  <c r="E753" i="5"/>
  <c r="C753" i="5"/>
  <c r="B753" i="5"/>
  <c r="A753" i="5"/>
  <c r="J752" i="5"/>
  <c r="M752" i="5" s="1"/>
  <c r="E752" i="5"/>
  <c r="C752" i="5"/>
  <c r="B752" i="5"/>
  <c r="A752" i="5"/>
  <c r="J751" i="5"/>
  <c r="M751" i="5" s="1"/>
  <c r="E751" i="5"/>
  <c r="C751" i="5"/>
  <c r="B751" i="5"/>
  <c r="A751" i="5"/>
  <c r="J750" i="5"/>
  <c r="M750" i="5" s="1"/>
  <c r="E750" i="5"/>
  <c r="C750" i="5"/>
  <c r="B750" i="5"/>
  <c r="A750" i="5"/>
  <c r="J749" i="5"/>
  <c r="M749" i="5" s="1"/>
  <c r="F63" i="74" s="1"/>
  <c r="I5113" i="18" s="1"/>
  <c r="F749" i="5"/>
  <c r="I749" i="5" s="1"/>
  <c r="E749" i="5"/>
  <c r="C749" i="5"/>
  <c r="B749" i="5"/>
  <c r="A749" i="5"/>
  <c r="J748" i="5"/>
  <c r="M748" i="5" s="1"/>
  <c r="E748" i="5"/>
  <c r="C748" i="5"/>
  <c r="B748" i="5"/>
  <c r="A748" i="5"/>
  <c r="J747" i="5"/>
  <c r="M747" i="5" s="1"/>
  <c r="F747" i="5"/>
  <c r="I747" i="5" s="1"/>
  <c r="E747" i="5"/>
  <c r="C747" i="5"/>
  <c r="B747" i="5"/>
  <c r="A747" i="5"/>
  <c r="J746" i="5"/>
  <c r="M746" i="5" s="1"/>
  <c r="F746" i="5"/>
  <c r="I746" i="5" s="1"/>
  <c r="E746" i="5"/>
  <c r="C746" i="5"/>
  <c r="B746" i="5"/>
  <c r="A746" i="5"/>
  <c r="J745" i="5"/>
  <c r="F745" i="5"/>
  <c r="I745" i="5" s="1"/>
  <c r="E76" i="70" s="1"/>
  <c r="E745" i="5"/>
  <c r="C745" i="5"/>
  <c r="B745" i="5"/>
  <c r="A745" i="5"/>
  <c r="J744" i="5"/>
  <c r="M744" i="5" s="1"/>
  <c r="F75" i="70" s="1"/>
  <c r="F744" i="5"/>
  <c r="I744" i="5" s="1"/>
  <c r="E744" i="5"/>
  <c r="C744" i="5"/>
  <c r="B744" i="5"/>
  <c r="A744" i="5"/>
  <c r="J743" i="5"/>
  <c r="M743" i="5" s="1"/>
  <c r="F74" i="70" s="1"/>
  <c r="E743" i="5"/>
  <c r="C743" i="5"/>
  <c r="B743" i="5"/>
  <c r="A743" i="5"/>
  <c r="J742" i="5"/>
  <c r="M742" i="5" s="1"/>
  <c r="F742" i="5"/>
  <c r="I742" i="5" s="1"/>
  <c r="E742" i="5"/>
  <c r="C742" i="5"/>
  <c r="B742" i="5"/>
  <c r="A742" i="5"/>
  <c r="J741" i="5"/>
  <c r="M741" i="5" s="1"/>
  <c r="F741" i="5"/>
  <c r="I741" i="5" s="1"/>
  <c r="E55" i="74" s="1"/>
  <c r="H5105" i="18" s="1"/>
  <c r="E741" i="5"/>
  <c r="C741" i="5"/>
  <c r="B741" i="5"/>
  <c r="A741" i="5"/>
  <c r="J740" i="5"/>
  <c r="M740" i="5" s="1"/>
  <c r="F71" i="70" s="1"/>
  <c r="F740" i="5"/>
  <c r="I740" i="5" s="1"/>
  <c r="E740" i="5"/>
  <c r="C740" i="5"/>
  <c r="B740" i="5"/>
  <c r="A740" i="5"/>
  <c r="J739" i="5"/>
  <c r="M739" i="5" s="1"/>
  <c r="F70" i="70" s="1"/>
  <c r="E739" i="5"/>
  <c r="C739" i="5"/>
  <c r="B739" i="5"/>
  <c r="A739" i="5"/>
  <c r="J738" i="5"/>
  <c r="M738" i="5" s="1"/>
  <c r="E738" i="5"/>
  <c r="C738" i="5"/>
  <c r="B738" i="5"/>
  <c r="A738" i="5"/>
  <c r="E737" i="5"/>
  <c r="E822" i="5"/>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c r="E721" i="5"/>
  <c r="C721" i="5"/>
  <c r="B721" i="5"/>
  <c r="A721" i="5"/>
  <c r="J720" i="5"/>
  <c r="F720" i="5"/>
  <c r="E720" i="5"/>
  <c r="C720" i="5"/>
  <c r="B720" i="5"/>
  <c r="A720" i="5"/>
  <c r="J719" i="5"/>
  <c r="F719" i="5"/>
  <c r="E719" i="5"/>
  <c r="C719" i="5"/>
  <c r="B719" i="5"/>
  <c r="A719" i="5"/>
  <c r="J718" i="5"/>
  <c r="F718" i="5"/>
  <c r="F45" i="52"/>
  <c r="E718" i="5"/>
  <c r="C718" i="5"/>
  <c r="B718" i="5"/>
  <c r="A718" i="5"/>
  <c r="E717" i="5"/>
  <c r="C717" i="5"/>
  <c r="B717" i="5"/>
  <c r="A717" i="5"/>
  <c r="E713" i="5"/>
  <c r="C713" i="5"/>
  <c r="B713" i="5"/>
  <c r="A713" i="5"/>
  <c r="J712" i="5"/>
  <c r="M712" i="5" s="1"/>
  <c r="E712" i="5"/>
  <c r="C712" i="5"/>
  <c r="B712" i="5"/>
  <c r="A712" i="5"/>
  <c r="E711" i="5"/>
  <c r="E829" i="5"/>
  <c r="C711" i="5"/>
  <c r="B711" i="5"/>
  <c r="A711" i="5"/>
  <c r="J710" i="5"/>
  <c r="M710" i="5" s="1"/>
  <c r="F41" i="74" s="1"/>
  <c r="F710" i="5"/>
  <c r="E710" i="5"/>
  <c r="C710" i="5"/>
  <c r="B710" i="5"/>
  <c r="A710" i="5"/>
  <c r="E709" i="5"/>
  <c r="C709" i="5"/>
  <c r="B709" i="5"/>
  <c r="A709" i="5"/>
  <c r="L708" i="5"/>
  <c r="K708" i="5"/>
  <c r="E708" i="5"/>
  <c r="C708" i="5"/>
  <c r="B708" i="5"/>
  <c r="A708" i="5"/>
  <c r="E716" i="5"/>
  <c r="C716" i="5"/>
  <c r="B716" i="5"/>
  <c r="A716" i="5"/>
  <c r="J707" i="5"/>
  <c r="M707" i="5" s="1"/>
  <c r="E707" i="5"/>
  <c r="C707" i="5"/>
  <c r="B707" i="5"/>
  <c r="A707" i="5"/>
  <c r="J706" i="5"/>
  <c r="M706" i="5" s="1"/>
  <c r="F706" i="5"/>
  <c r="E706" i="5"/>
  <c r="C706" i="5"/>
  <c r="B706" i="5"/>
  <c r="A706" i="5"/>
  <c r="J705" i="5"/>
  <c r="M705" i="5" s="1"/>
  <c r="E705" i="5"/>
  <c r="C705" i="5"/>
  <c r="B705" i="5"/>
  <c r="A705" i="5"/>
  <c r="J704" i="5"/>
  <c r="E704" i="5"/>
  <c r="C704" i="5"/>
  <c r="B704" i="5"/>
  <c r="A704" i="5"/>
  <c r="L703" i="5"/>
  <c r="K703" i="5"/>
  <c r="E703" i="5"/>
  <c r="C703" i="5"/>
  <c r="B703" i="5"/>
  <c r="A703" i="5"/>
  <c r="J702" i="5"/>
  <c r="M702" i="5" s="1"/>
  <c r="E702" i="5"/>
  <c r="C702" i="5"/>
  <c r="B702" i="5"/>
  <c r="A702" i="5"/>
  <c r="E715" i="5"/>
  <c r="C715" i="5"/>
  <c r="B715" i="5"/>
  <c r="A715" i="5"/>
  <c r="J701" i="5"/>
  <c r="M701" i="5" s="1"/>
  <c r="F33" i="74" s="1"/>
  <c r="E701" i="5"/>
  <c r="C701" i="5"/>
  <c r="B701" i="5"/>
  <c r="A701" i="5"/>
  <c r="J700" i="5"/>
  <c r="M700" i="5" s="1"/>
  <c r="F700" i="5"/>
  <c r="E700" i="5"/>
  <c r="C700" i="5"/>
  <c r="B700" i="5"/>
  <c r="A700" i="5"/>
  <c r="J699" i="5"/>
  <c r="E699" i="5"/>
  <c r="C699" i="5"/>
  <c r="B699" i="5"/>
  <c r="A699" i="5"/>
  <c r="E698" i="5"/>
  <c r="C698" i="5"/>
  <c r="B698" i="5"/>
  <c r="A698" i="5"/>
  <c r="E697" i="5"/>
  <c r="C697" i="5"/>
  <c r="B697" i="5"/>
  <c r="A697" i="5"/>
  <c r="L696" i="5"/>
  <c r="K696" i="5"/>
  <c r="E696" i="5"/>
  <c r="C696" i="5"/>
  <c r="B696" i="5"/>
  <c r="A696" i="5"/>
  <c r="J695" i="5"/>
  <c r="M695" i="5" s="1"/>
  <c r="E695" i="5"/>
  <c r="C695" i="5"/>
  <c r="B695" i="5"/>
  <c r="A695" i="5"/>
  <c r="J694" i="5"/>
  <c r="M694" i="5" s="1"/>
  <c r="E694" i="5"/>
  <c r="C694" i="5"/>
  <c r="B694" i="5"/>
  <c r="A694" i="5"/>
  <c r="J693" i="5"/>
  <c r="M693" i="5" s="1"/>
  <c r="F693" i="5"/>
  <c r="E693" i="5"/>
  <c r="C693" i="5"/>
  <c r="B693" i="5"/>
  <c r="A693" i="5"/>
  <c r="J692" i="5"/>
  <c r="E692" i="5"/>
  <c r="C692" i="5"/>
  <c r="B692" i="5"/>
  <c r="A692" i="5"/>
  <c r="J691" i="5"/>
  <c r="M691" i="5" s="1"/>
  <c r="E691" i="5"/>
  <c r="C691" i="5"/>
  <c r="B691" i="5"/>
  <c r="A691" i="5"/>
  <c r="L690" i="5"/>
  <c r="L697" i="5"/>
  <c r="K690" i="5"/>
  <c r="K697" i="5"/>
  <c r="E690" i="5"/>
  <c r="C690" i="5"/>
  <c r="B690" i="5"/>
  <c r="A690" i="5"/>
  <c r="J689" i="5"/>
  <c r="M689" i="5" s="1"/>
  <c r="E689" i="5"/>
  <c r="C689" i="5"/>
  <c r="B689" i="5"/>
  <c r="A689" i="5"/>
  <c r="J688" i="5"/>
  <c r="M688" i="5" s="1"/>
  <c r="E688" i="5"/>
  <c r="C688" i="5"/>
  <c r="B688" i="5"/>
  <c r="A688" i="5"/>
  <c r="J687" i="5"/>
  <c r="M687" i="5" s="1"/>
  <c r="F21" i="74" s="1"/>
  <c r="E687" i="5"/>
  <c r="C687" i="5"/>
  <c r="B687" i="5"/>
  <c r="A687" i="5"/>
  <c r="J686" i="5"/>
  <c r="E686" i="5"/>
  <c r="C686" i="5"/>
  <c r="B686" i="5"/>
  <c r="A686" i="5"/>
  <c r="J685" i="5"/>
  <c r="M685" i="5" s="1"/>
  <c r="E685" i="5"/>
  <c r="C685" i="5"/>
  <c r="B685" i="5"/>
  <c r="A685" i="5"/>
  <c r="E684" i="5"/>
  <c r="C684" i="5"/>
  <c r="B684" i="5"/>
  <c r="A684" i="5"/>
  <c r="E683" i="5"/>
  <c r="E825" i="5"/>
  <c r="C683" i="5"/>
  <c r="B683" i="5"/>
  <c r="A683" i="5"/>
  <c r="L682" i="5"/>
  <c r="K682" i="5"/>
  <c r="E682" i="5"/>
  <c r="C682" i="5"/>
  <c r="B682" i="5"/>
  <c r="A682" i="5"/>
  <c r="J681" i="5"/>
  <c r="M681" i="5" s="1"/>
  <c r="E681" i="5"/>
  <c r="C681" i="5"/>
  <c r="B681" i="5"/>
  <c r="A681" i="5"/>
  <c r="J680" i="5"/>
  <c r="M680" i="5" s="1"/>
  <c r="E680" i="5"/>
  <c r="C680" i="5"/>
  <c r="B680" i="5"/>
  <c r="A680" i="5"/>
  <c r="J679" i="5"/>
  <c r="M679" i="5" s="1"/>
  <c r="F29" i="70" s="1"/>
  <c r="E679" i="5"/>
  <c r="C679" i="5"/>
  <c r="B679" i="5"/>
  <c r="A679" i="5"/>
  <c r="J678" i="5"/>
  <c r="M678" i="5" s="1"/>
  <c r="F678" i="5"/>
  <c r="E678" i="5"/>
  <c r="C678" i="5"/>
  <c r="B678" i="5"/>
  <c r="A678" i="5"/>
  <c r="J677" i="5"/>
  <c r="M677" i="5" s="1"/>
  <c r="F27" i="70" s="1"/>
  <c r="F677" i="5"/>
  <c r="E677" i="5"/>
  <c r="C677" i="5"/>
  <c r="B677" i="5"/>
  <c r="A677" i="5"/>
  <c r="J675" i="5"/>
  <c r="M675" i="5" s="1"/>
  <c r="F25" i="70" s="1"/>
  <c r="F675" i="5"/>
  <c r="E675" i="5"/>
  <c r="C675" i="5"/>
  <c r="B675" i="5"/>
  <c r="A675" i="5"/>
  <c r="J674" i="5"/>
  <c r="M674" i="5" s="1"/>
  <c r="F24" i="70" s="1"/>
  <c r="F674" i="5"/>
  <c r="E674" i="5"/>
  <c r="C674" i="5"/>
  <c r="B674" i="5"/>
  <c r="A674" i="5"/>
  <c r="J673" i="5"/>
  <c r="M673" i="5" s="1"/>
  <c r="F23" i="70" s="1"/>
  <c r="F673" i="5"/>
  <c r="E673" i="5"/>
  <c r="C673" i="5"/>
  <c r="B673" i="5"/>
  <c r="A673" i="5"/>
  <c r="J672" i="5"/>
  <c r="E672" i="5"/>
  <c r="C672" i="5"/>
  <c r="B672" i="5"/>
  <c r="A672" i="5"/>
  <c r="L671" i="5"/>
  <c r="L683" i="5"/>
  <c r="K671" i="5"/>
  <c r="K683" i="5"/>
  <c r="E671" i="5"/>
  <c r="C671" i="5"/>
  <c r="B671" i="5"/>
  <c r="A671" i="5"/>
  <c r="J670" i="5"/>
  <c r="M670" i="5" s="1"/>
  <c r="E670" i="5"/>
  <c r="C670" i="5"/>
  <c r="B670" i="5"/>
  <c r="A670" i="5"/>
  <c r="J669" i="5"/>
  <c r="M669" i="5" s="1"/>
  <c r="E669" i="5"/>
  <c r="C669" i="5"/>
  <c r="B669" i="5"/>
  <c r="A669" i="5"/>
  <c r="J667" i="5"/>
  <c r="M667" i="5" s="1"/>
  <c r="F17" i="70" s="1"/>
  <c r="F667" i="5"/>
  <c r="E667" i="5"/>
  <c r="C667" i="5"/>
  <c r="B667" i="5"/>
  <c r="A667" i="5"/>
  <c r="J666" i="5"/>
  <c r="M666" i="5" s="1"/>
  <c r="F16" i="70" s="1"/>
  <c r="F666" i="5"/>
  <c r="E666" i="5"/>
  <c r="C666" i="5"/>
  <c r="B666" i="5"/>
  <c r="A666" i="5"/>
  <c r="J665" i="5"/>
  <c r="M665" i="5" s="1"/>
  <c r="F15" i="70" s="1"/>
  <c r="F665" i="5"/>
  <c r="E665" i="5"/>
  <c r="C665" i="5"/>
  <c r="B665" i="5"/>
  <c r="A665" i="5"/>
  <c r="E714" i="5"/>
  <c r="C714" i="5"/>
  <c r="B714" i="5"/>
  <c r="A714" i="5"/>
  <c r="J664" i="5"/>
  <c r="M664" i="5" s="1"/>
  <c r="F14" i="70" s="1"/>
  <c r="F664" i="5"/>
  <c r="E664" i="5"/>
  <c r="C664" i="5"/>
  <c r="B664" i="5"/>
  <c r="A664" i="5"/>
  <c r="J663" i="5"/>
  <c r="M663" i="5" s="1"/>
  <c r="F13" i="70" s="1"/>
  <c r="F663" i="5"/>
  <c r="E663" i="5"/>
  <c r="C663" i="5"/>
  <c r="B663" i="5"/>
  <c r="A663" i="5"/>
  <c r="J662" i="5"/>
  <c r="M662" i="5" s="1"/>
  <c r="F12" i="70" s="1"/>
  <c r="F662" i="5"/>
  <c r="E662" i="5"/>
  <c r="C662" i="5"/>
  <c r="B662" i="5"/>
  <c r="A662" i="5"/>
  <c r="J661" i="5"/>
  <c r="M661" i="5" s="1"/>
  <c r="F11" i="70" s="1"/>
  <c r="F661" i="5"/>
  <c r="E661" i="5"/>
  <c r="C661" i="5"/>
  <c r="B661" i="5"/>
  <c r="A661" i="5"/>
  <c r="J660" i="5"/>
  <c r="M660" i="5" s="1"/>
  <c r="F10" i="70" s="1"/>
  <c r="F660" i="5"/>
  <c r="E660" i="5"/>
  <c r="C660" i="5"/>
  <c r="B660" i="5"/>
  <c r="A660" i="5"/>
  <c r="J659" i="5"/>
  <c r="F659" i="5"/>
  <c r="E659" i="5"/>
  <c r="C659" i="5"/>
  <c r="B659" i="5"/>
  <c r="A659" i="5"/>
  <c r="J658" i="5"/>
  <c r="M658" i="5" s="1"/>
  <c r="F8" i="74" s="1"/>
  <c r="E658" i="5"/>
  <c r="C658" i="5"/>
  <c r="B658" i="5"/>
  <c r="A658" i="5"/>
  <c r="E657" i="5"/>
  <c r="C657" i="5"/>
  <c r="B657" i="5"/>
  <c r="A657" i="5"/>
  <c r="E656" i="5"/>
  <c r="C656" i="5"/>
  <c r="B656" i="5"/>
  <c r="A656" i="5"/>
  <c r="E655" i="5"/>
  <c r="E874" i="5"/>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F633" i="5"/>
  <c r="E633" i="5"/>
  <c r="E818" i="5"/>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E492" i="5"/>
  <c r="C492" i="5"/>
  <c r="B492" i="5"/>
  <c r="A492" i="5"/>
  <c r="E491" i="5"/>
  <c r="C491" i="5"/>
  <c r="B491" i="5"/>
  <c r="A491" i="5"/>
  <c r="E490" i="5"/>
  <c r="E858" i="5"/>
  <c r="C490" i="5"/>
  <c r="B490" i="5"/>
  <c r="A490" i="5"/>
  <c r="J489" i="5"/>
  <c r="F489" i="5"/>
  <c r="E489" i="5"/>
  <c r="C489" i="5"/>
  <c r="B489" i="5"/>
  <c r="A489" i="5"/>
  <c r="J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E459" i="5"/>
  <c r="C459" i="5"/>
  <c r="B459" i="5"/>
  <c r="A459" i="5"/>
  <c r="E458" i="5"/>
  <c r="C458" i="5"/>
  <c r="B458" i="5"/>
  <c r="A458" i="5"/>
  <c r="E457" i="5"/>
  <c r="E854" i="5"/>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E802" i="5"/>
  <c r="C194" i="5"/>
  <c r="B194" i="5"/>
  <c r="A194" i="5"/>
  <c r="E193" i="5"/>
  <c r="E801" i="5"/>
  <c r="C193" i="5"/>
  <c r="B193" i="5"/>
  <c r="A193" i="5"/>
  <c r="E192" i="5"/>
  <c r="E800"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c r="C171" i="5"/>
  <c r="B171" i="5"/>
  <c r="A171" i="5"/>
  <c r="E170" i="5"/>
  <c r="C170" i="5"/>
  <c r="B170" i="5"/>
  <c r="A170" i="5"/>
  <c r="E169" i="5"/>
  <c r="C169" i="5"/>
  <c r="B169" i="5"/>
  <c r="A169" i="5"/>
  <c r="J168" i="5"/>
  <c r="J194" i="5"/>
  <c r="F168" i="5"/>
  <c r="F122" i="51"/>
  <c r="E168" i="5"/>
  <c r="E792" i="5"/>
  <c r="C168" i="5"/>
  <c r="B168" i="5"/>
  <c r="A168" i="5"/>
  <c r="E167" i="5"/>
  <c r="C167" i="5"/>
  <c r="B167" i="5"/>
  <c r="A167" i="5"/>
  <c r="E166" i="5"/>
  <c r="E797" i="5"/>
  <c r="C166" i="5"/>
  <c r="B166" i="5"/>
  <c r="A166" i="5"/>
  <c r="E165" i="5"/>
  <c r="E796" i="5"/>
  <c r="C165" i="5"/>
  <c r="B165" i="5"/>
  <c r="A165" i="5"/>
  <c r="E164" i="5"/>
  <c r="C164" i="5"/>
  <c r="B164" i="5"/>
  <c r="A164" i="5"/>
  <c r="E163" i="5"/>
  <c r="E795" i="5"/>
  <c r="C163" i="5"/>
  <c r="B163" i="5"/>
  <c r="A163" i="5"/>
  <c r="J162" i="5"/>
  <c r="F162" i="5"/>
  <c r="F119" i="51"/>
  <c r="E162" i="5"/>
  <c r="C162" i="5"/>
  <c r="B162" i="5"/>
  <c r="A162" i="5"/>
  <c r="E161" i="5"/>
  <c r="C161" i="5"/>
  <c r="B161" i="5"/>
  <c r="A161" i="5"/>
  <c r="J160" i="5"/>
  <c r="F160" i="5"/>
  <c r="F117" i="51"/>
  <c r="E160" i="5"/>
  <c r="C160" i="5"/>
  <c r="B160" i="5"/>
  <c r="A160" i="5"/>
  <c r="J159" i="5"/>
  <c r="F159" i="5"/>
  <c r="F116" i="51"/>
  <c r="E159" i="5"/>
  <c r="C159" i="5"/>
  <c r="B159" i="5"/>
  <c r="A159" i="5"/>
  <c r="E158" i="5"/>
  <c r="C158" i="5"/>
  <c r="B158" i="5"/>
  <c r="A158" i="5"/>
  <c r="J157" i="5"/>
  <c r="F157" i="5"/>
  <c r="F114" i="51"/>
  <c r="E157" i="5"/>
  <c r="C157" i="5"/>
  <c r="B157" i="5"/>
  <c r="A157" i="5"/>
  <c r="J156" i="5"/>
  <c r="F156" i="5"/>
  <c r="F113" i="51"/>
  <c r="E156" i="5"/>
  <c r="C156" i="5"/>
  <c r="B156" i="5"/>
  <c r="A156" i="5"/>
  <c r="J155" i="5"/>
  <c r="F155" i="5"/>
  <c r="F112" i="51"/>
  <c r="E155" i="5"/>
  <c r="C155" i="5"/>
  <c r="B155" i="5"/>
  <c r="A155" i="5"/>
  <c r="J154" i="5"/>
  <c r="F154" i="5"/>
  <c r="F111" i="51"/>
  <c r="E154" i="5"/>
  <c r="C154" i="5"/>
  <c r="B154" i="5"/>
  <c r="A154" i="5"/>
  <c r="J153" i="5"/>
  <c r="F153" i="5"/>
  <c r="F110" i="51"/>
  <c r="E153" i="5"/>
  <c r="C153" i="5"/>
  <c r="B153" i="5"/>
  <c r="A153" i="5"/>
  <c r="J152" i="5"/>
  <c r="F152" i="5"/>
  <c r="E152" i="5"/>
  <c r="C152" i="5"/>
  <c r="B152" i="5"/>
  <c r="A152" i="5"/>
  <c r="J151" i="5"/>
  <c r="F151" i="5"/>
  <c r="E151" i="5"/>
  <c r="C151" i="5"/>
  <c r="B151" i="5"/>
  <c r="A151" i="5"/>
  <c r="J150" i="5"/>
  <c r="F150" i="5"/>
  <c r="E150" i="5"/>
  <c r="C150" i="5"/>
  <c r="B150" i="5"/>
  <c r="A150" i="5"/>
  <c r="J149" i="5"/>
  <c r="F149" i="5"/>
  <c r="F109" i="51"/>
  <c r="E149" i="5"/>
  <c r="C149" i="5"/>
  <c r="B149" i="5"/>
  <c r="A149" i="5"/>
  <c r="J148" i="5"/>
  <c r="F148" i="5"/>
  <c r="F108" i="51"/>
  <c r="E148" i="5"/>
  <c r="C148" i="5"/>
  <c r="B148" i="5"/>
  <c r="A148" i="5"/>
  <c r="J147" i="5"/>
  <c r="F147" i="5"/>
  <c r="E147" i="5"/>
  <c r="C147" i="5"/>
  <c r="B147" i="5"/>
  <c r="A147" i="5"/>
  <c r="J146" i="5"/>
  <c r="F146" i="5"/>
  <c r="E146" i="5"/>
  <c r="C146" i="5"/>
  <c r="B146" i="5"/>
  <c r="A146" i="5"/>
  <c r="J145" i="5"/>
  <c r="F145" i="5"/>
  <c r="F107" i="51"/>
  <c r="E145" i="5"/>
  <c r="C145" i="5"/>
  <c r="B145" i="5"/>
  <c r="A145" i="5"/>
  <c r="J144" i="5"/>
  <c r="F144" i="5"/>
  <c r="F106" i="51"/>
  <c r="E144" i="5"/>
  <c r="C144" i="5"/>
  <c r="B144" i="5"/>
  <c r="A144" i="5"/>
  <c r="J143" i="5"/>
  <c r="F143" i="5"/>
  <c r="F69" i="52"/>
  <c r="E143" i="5"/>
  <c r="C143" i="5"/>
  <c r="B143" i="5"/>
  <c r="A143" i="5"/>
  <c r="J142" i="5"/>
  <c r="F142" i="5"/>
  <c r="F68" i="52"/>
  <c r="E142" i="5"/>
  <c r="C142" i="5"/>
  <c r="B142" i="5"/>
  <c r="A142" i="5"/>
  <c r="J141" i="5"/>
  <c r="F141" i="5"/>
  <c r="F103" i="5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F132"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F101" i="51"/>
  <c r="E128" i="5"/>
  <c r="C128" i="5"/>
  <c r="B128" i="5"/>
  <c r="A128" i="5"/>
  <c r="E127" i="5"/>
  <c r="C127" i="5"/>
  <c r="B127" i="5"/>
  <c r="A127" i="5"/>
  <c r="E126" i="5"/>
  <c r="C126" i="5"/>
  <c r="B126" i="5"/>
  <c r="A126" i="5"/>
  <c r="E125" i="5"/>
  <c r="E787" i="5"/>
  <c r="C125" i="5"/>
  <c r="B125" i="5"/>
  <c r="A125" i="5"/>
  <c r="E124" i="5"/>
  <c r="C124" i="5"/>
  <c r="B124" i="5"/>
  <c r="A124" i="5"/>
  <c r="J123" i="5"/>
  <c r="F123" i="5"/>
  <c r="E123" i="5"/>
  <c r="E873" i="5"/>
  <c r="C123" i="5"/>
  <c r="B123" i="5"/>
  <c r="A123" i="5"/>
  <c r="E122" i="5"/>
  <c r="C122" i="5"/>
  <c r="B122" i="5"/>
  <c r="A122" i="5"/>
  <c r="J121" i="5"/>
  <c r="F121" i="5"/>
  <c r="F95" i="51"/>
  <c r="E121" i="5"/>
  <c r="E869" i="5"/>
  <c r="C121" i="5"/>
  <c r="B121" i="5"/>
  <c r="A121" i="5"/>
  <c r="J120" i="5"/>
  <c r="F120" i="5"/>
  <c r="E120" i="5"/>
  <c r="E865" i="5"/>
  <c r="C120" i="5"/>
  <c r="B120" i="5"/>
  <c r="A120" i="5"/>
  <c r="J119" i="5"/>
  <c r="F119" i="5"/>
  <c r="E119" i="5"/>
  <c r="E861" i="5"/>
  <c r="C119" i="5"/>
  <c r="B119" i="5"/>
  <c r="A119" i="5"/>
  <c r="J118" i="5"/>
  <c r="F118" i="5"/>
  <c r="F92" i="51"/>
  <c r="E118" i="5"/>
  <c r="E857" i="5"/>
  <c r="C118" i="5"/>
  <c r="B118" i="5"/>
  <c r="A118" i="5"/>
  <c r="J117" i="5"/>
  <c r="F117" i="5"/>
  <c r="E117" i="5"/>
  <c r="E853" i="5"/>
  <c r="C117" i="5"/>
  <c r="B117" i="5"/>
  <c r="A117" i="5"/>
  <c r="J116" i="5"/>
  <c r="F116" i="5"/>
  <c r="F90" i="51"/>
  <c r="E116" i="5"/>
  <c r="E849" i="5"/>
  <c r="C116" i="5"/>
  <c r="B116" i="5"/>
  <c r="A116" i="5"/>
  <c r="J115" i="5"/>
  <c r="F115" i="5"/>
  <c r="F89" i="51"/>
  <c r="E115" i="5"/>
  <c r="E845" i="5"/>
  <c r="C115" i="5"/>
  <c r="B115" i="5"/>
  <c r="A115" i="5"/>
  <c r="J114" i="5"/>
  <c r="F114" i="5"/>
  <c r="E114" i="5"/>
  <c r="E841" i="5"/>
  <c r="C114" i="5"/>
  <c r="B114" i="5"/>
  <c r="A114" i="5"/>
  <c r="J113" i="5"/>
  <c r="F113" i="5"/>
  <c r="E113" i="5"/>
  <c r="E837" i="5"/>
  <c r="C113" i="5"/>
  <c r="B113" i="5"/>
  <c r="A113" i="5"/>
  <c r="J112" i="5"/>
  <c r="F112" i="5"/>
  <c r="F88" i="51"/>
  <c r="E112" i="5"/>
  <c r="C112" i="5"/>
  <c r="B112" i="5"/>
  <c r="A112" i="5"/>
  <c r="J111" i="5"/>
  <c r="F111" i="5"/>
  <c r="E111" i="5"/>
  <c r="E833" i="5"/>
  <c r="C111" i="5"/>
  <c r="B111" i="5"/>
  <c r="A111" i="5"/>
  <c r="E110" i="5"/>
  <c r="C110" i="5"/>
  <c r="B110" i="5"/>
  <c r="A110" i="5"/>
  <c r="E109" i="5"/>
  <c r="C109" i="5"/>
  <c r="B109" i="5"/>
  <c r="A109" i="5"/>
  <c r="E108" i="5"/>
  <c r="C108" i="5"/>
  <c r="B108" i="5"/>
  <c r="A108" i="5"/>
  <c r="J107" i="5"/>
  <c r="F107" i="5"/>
  <c r="F83" i="51"/>
  <c r="E107" i="5"/>
  <c r="C107" i="5"/>
  <c r="B107" i="5"/>
  <c r="A107" i="5"/>
  <c r="J106" i="5"/>
  <c r="F106" i="5"/>
  <c r="F82" i="51"/>
  <c r="E106" i="5"/>
  <c r="C106" i="5"/>
  <c r="B106" i="5"/>
  <c r="A106" i="5"/>
  <c r="J105" i="5"/>
  <c r="F105" i="5"/>
  <c r="F81" i="51"/>
  <c r="E105" i="5"/>
  <c r="C105" i="5"/>
  <c r="B105" i="5"/>
  <c r="A105" i="5"/>
  <c r="J104" i="5"/>
  <c r="F104" i="5"/>
  <c r="F80" i="51"/>
  <c r="E104" i="5"/>
  <c r="C104" i="5"/>
  <c r="B104" i="5"/>
  <c r="A104" i="5"/>
  <c r="J103" i="5"/>
  <c r="F103" i="5"/>
  <c r="F79" i="51"/>
  <c r="E103" i="5"/>
  <c r="C103" i="5"/>
  <c r="B103" i="5"/>
  <c r="A103" i="5"/>
  <c r="J102" i="5"/>
  <c r="F102" i="5"/>
  <c r="F78" i="51"/>
  <c r="E102" i="5"/>
  <c r="C102" i="5"/>
  <c r="B102" i="5"/>
  <c r="A102" i="5"/>
  <c r="J101" i="5"/>
  <c r="F101" i="5"/>
  <c r="F77" i="5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c r="E96" i="5"/>
  <c r="C96" i="5"/>
  <c r="B96" i="5"/>
  <c r="A96" i="5"/>
  <c r="J95" i="5"/>
  <c r="F95" i="5"/>
  <c r="E95" i="5"/>
  <c r="C95" i="5"/>
  <c r="B95" i="5"/>
  <c r="A95" i="5"/>
  <c r="E93" i="5"/>
  <c r="C93" i="5"/>
  <c r="B93" i="5"/>
  <c r="A93" i="5"/>
  <c r="E92" i="5"/>
  <c r="C92" i="5"/>
  <c r="B92" i="5"/>
  <c r="A92" i="5"/>
  <c r="J91" i="5"/>
  <c r="F91" i="5"/>
  <c r="F71" i="51"/>
  <c r="E91" i="5"/>
  <c r="C91" i="5"/>
  <c r="B91" i="5"/>
  <c r="A91" i="5"/>
  <c r="J90" i="5"/>
  <c r="F90" i="5"/>
  <c r="F70" i="51"/>
  <c r="E90" i="5"/>
  <c r="C90" i="5"/>
  <c r="B90" i="5"/>
  <c r="A90" i="5"/>
  <c r="J89" i="5"/>
  <c r="F89" i="5"/>
  <c r="F69" i="5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c r="E85" i="5"/>
  <c r="C85" i="5"/>
  <c r="B85" i="5"/>
  <c r="A85" i="5"/>
  <c r="J84" i="5"/>
  <c r="F84" i="5"/>
  <c r="F67" i="51"/>
  <c r="E84" i="5"/>
  <c r="C84" i="5"/>
  <c r="B84" i="5"/>
  <c r="A84" i="5"/>
  <c r="E83" i="5"/>
  <c r="C83" i="5"/>
  <c r="B83" i="5"/>
  <c r="A83" i="5"/>
  <c r="J82" i="5"/>
  <c r="F82" i="5"/>
  <c r="F65" i="51"/>
  <c r="E82" i="5"/>
  <c r="C82" i="5"/>
  <c r="B82" i="5"/>
  <c r="A82" i="5"/>
  <c r="J81" i="5"/>
  <c r="F81" i="5"/>
  <c r="F64" i="51"/>
  <c r="E81" i="5"/>
  <c r="C81" i="5"/>
  <c r="B81" i="5"/>
  <c r="A81" i="5"/>
  <c r="J87" i="5"/>
  <c r="F87" i="5"/>
  <c r="E87" i="5"/>
  <c r="C87" i="5"/>
  <c r="B87" i="5"/>
  <c r="A87" i="5"/>
  <c r="J77" i="5"/>
  <c r="F77" i="5"/>
  <c r="E77" i="5"/>
  <c r="C77" i="5"/>
  <c r="B77" i="5"/>
  <c r="A77" i="5"/>
  <c r="J76" i="5"/>
  <c r="F76" i="5"/>
  <c r="E76" i="5"/>
  <c r="C76" i="5"/>
  <c r="B76" i="5"/>
  <c r="A76" i="5"/>
  <c r="J75" i="5"/>
  <c r="F75" i="5"/>
  <c r="F63" i="51"/>
  <c r="E75" i="5"/>
  <c r="C75" i="5"/>
  <c r="B75" i="5"/>
  <c r="A75" i="5"/>
  <c r="J74" i="5"/>
  <c r="F74" i="5"/>
  <c r="F72" i="5"/>
  <c r="F62" i="51"/>
  <c r="E74" i="5"/>
  <c r="C74" i="5"/>
  <c r="B74" i="5"/>
  <c r="A74" i="5"/>
  <c r="J73" i="5"/>
  <c r="F73" i="5"/>
  <c r="E73" i="5"/>
  <c r="C73" i="5"/>
  <c r="B73" i="5"/>
  <c r="A73" i="5"/>
  <c r="E72" i="5"/>
  <c r="C72" i="5"/>
  <c r="B72" i="5"/>
  <c r="A72" i="5"/>
  <c r="J71" i="5"/>
  <c r="F71" i="5"/>
  <c r="F60" i="51"/>
  <c r="E71" i="5"/>
  <c r="C71" i="5"/>
  <c r="B71" i="5"/>
  <c r="A71" i="5"/>
  <c r="J70" i="5"/>
  <c r="F70" i="5"/>
  <c r="F59" i="51"/>
  <c r="E70" i="5"/>
  <c r="C70" i="5"/>
  <c r="B70" i="5"/>
  <c r="A70" i="5"/>
  <c r="J69" i="5"/>
  <c r="F69" i="5"/>
  <c r="F58" i="51"/>
  <c r="E69" i="5"/>
  <c r="C69" i="5"/>
  <c r="B69" i="5"/>
  <c r="A69" i="5"/>
  <c r="J68" i="5"/>
  <c r="F68" i="5"/>
  <c r="E68" i="5"/>
  <c r="C68" i="5"/>
  <c r="B68" i="5"/>
  <c r="A68" i="5"/>
  <c r="J78" i="5"/>
  <c r="F78" i="5"/>
  <c r="E78" i="5"/>
  <c r="C78" i="5"/>
  <c r="B78" i="5"/>
  <c r="A78" i="5"/>
  <c r="J67" i="5"/>
  <c r="F67" i="5"/>
  <c r="E67" i="5"/>
  <c r="C67" i="5"/>
  <c r="B67" i="5"/>
  <c r="A67" i="5"/>
  <c r="J66" i="5"/>
  <c r="F66" i="5"/>
  <c r="F57" i="51"/>
  <c r="E66" i="5"/>
  <c r="C66" i="5"/>
  <c r="B66" i="5"/>
  <c r="A66" i="5"/>
  <c r="E65" i="5"/>
  <c r="C65" i="5"/>
  <c r="B65" i="5"/>
  <c r="A65" i="5"/>
  <c r="E64" i="5"/>
  <c r="E786" i="5"/>
  <c r="C64" i="5"/>
  <c r="B64" i="5"/>
  <c r="A64" i="5"/>
  <c r="E63" i="5"/>
  <c r="C63" i="5"/>
  <c r="B63" i="5"/>
  <c r="A63" i="5"/>
  <c r="J62" i="5"/>
  <c r="F62" i="5"/>
  <c r="F53" i="51"/>
  <c r="E62" i="5"/>
  <c r="C62" i="5"/>
  <c r="B62" i="5"/>
  <c r="A62" i="5"/>
  <c r="J61" i="5"/>
  <c r="F61" i="5"/>
  <c r="F52" i="51"/>
  <c r="E61" i="5"/>
  <c r="C61" i="5"/>
  <c r="B61" i="5"/>
  <c r="A61" i="5"/>
  <c r="J60" i="5"/>
  <c r="F60" i="5"/>
  <c r="F51" i="51"/>
  <c r="E60" i="5"/>
  <c r="C60" i="5"/>
  <c r="B60" i="5"/>
  <c r="A60" i="5"/>
  <c r="J59" i="5"/>
  <c r="F59" i="5"/>
  <c r="F50" i="51"/>
  <c r="E59" i="5"/>
  <c r="C59" i="5"/>
  <c r="B59" i="5"/>
  <c r="A59" i="5"/>
  <c r="J58" i="5"/>
  <c r="F58" i="5"/>
  <c r="F49" i="51"/>
  <c r="E58" i="5"/>
  <c r="C58" i="5"/>
  <c r="B58" i="5"/>
  <c r="A58" i="5"/>
  <c r="J57" i="5"/>
  <c r="F57" i="5"/>
  <c r="F48" i="51"/>
  <c r="E57" i="5"/>
  <c r="C57" i="5"/>
  <c r="B57" i="5"/>
  <c r="A57" i="5"/>
  <c r="J56" i="5"/>
  <c r="F56" i="5"/>
  <c r="E56" i="5"/>
  <c r="C56" i="5"/>
  <c r="B56" i="5"/>
  <c r="A56" i="5"/>
  <c r="J55" i="5"/>
  <c r="F55" i="5"/>
  <c r="F47" i="51"/>
  <c r="E55" i="5"/>
  <c r="C55" i="5"/>
  <c r="B55" i="5"/>
  <c r="A55" i="5"/>
  <c r="J54" i="5"/>
  <c r="F54" i="5"/>
  <c r="F46" i="51"/>
  <c r="E54" i="5"/>
  <c r="C54" i="5"/>
  <c r="B54" i="5"/>
  <c r="A54" i="5"/>
  <c r="J53" i="5"/>
  <c r="F53" i="5"/>
  <c r="F45" i="51"/>
  <c r="E53" i="5"/>
  <c r="C53" i="5"/>
  <c r="B53" i="5"/>
  <c r="A53" i="5"/>
  <c r="J52" i="5"/>
  <c r="F52" i="5"/>
  <c r="F44" i="51"/>
  <c r="E52" i="5"/>
  <c r="C52" i="5"/>
  <c r="B52" i="5"/>
  <c r="A52" i="5"/>
  <c r="E51" i="5"/>
  <c r="C51" i="5"/>
  <c r="B51" i="5"/>
  <c r="A51" i="5"/>
  <c r="J50" i="5"/>
  <c r="F50" i="5"/>
  <c r="F42" i="51"/>
  <c r="E50" i="5"/>
  <c r="C50" i="5"/>
  <c r="B50" i="5"/>
  <c r="A50" i="5"/>
  <c r="J49" i="5"/>
  <c r="F49" i="5"/>
  <c r="F41" i="51"/>
  <c r="E49" i="5"/>
  <c r="C49" i="5"/>
  <c r="B49" i="5"/>
  <c r="A49" i="5"/>
  <c r="E48" i="5"/>
  <c r="C48" i="5"/>
  <c r="B48" i="5"/>
  <c r="A48" i="5"/>
  <c r="J47" i="5"/>
  <c r="F47" i="5"/>
  <c r="F39" i="51"/>
  <c r="E47" i="5"/>
  <c r="C47" i="5"/>
  <c r="B47" i="5"/>
  <c r="A47" i="5"/>
  <c r="J46" i="5"/>
  <c r="F46" i="5"/>
  <c r="F38" i="51"/>
  <c r="E46" i="5"/>
  <c r="C46" i="5"/>
  <c r="B46" i="5"/>
  <c r="A46" i="5"/>
  <c r="J45" i="5"/>
  <c r="F45" i="5"/>
  <c r="F37" i="51"/>
  <c r="E45" i="5"/>
  <c r="C45" i="5"/>
  <c r="B45" i="5"/>
  <c r="A45" i="5"/>
  <c r="J44" i="5"/>
  <c r="F44" i="5"/>
  <c r="F36" i="51"/>
  <c r="E44" i="5"/>
  <c r="C44" i="5"/>
  <c r="B44" i="5"/>
  <c r="A44" i="5"/>
  <c r="J43" i="5"/>
  <c r="F43" i="5"/>
  <c r="F35" i="51"/>
  <c r="E43" i="5"/>
  <c r="C43" i="5"/>
  <c r="B43" i="5"/>
  <c r="A43" i="5"/>
  <c r="J42" i="5"/>
  <c r="F42" i="5"/>
  <c r="F34" i="51"/>
  <c r="E42" i="5"/>
  <c r="C42" i="5"/>
  <c r="B42" i="5"/>
  <c r="A42" i="5"/>
  <c r="J41" i="5"/>
  <c r="F41" i="5"/>
  <c r="F33" i="51"/>
  <c r="E41" i="5"/>
  <c r="C41" i="5"/>
  <c r="B41" i="5"/>
  <c r="A41" i="5"/>
  <c r="J40" i="5"/>
  <c r="F40" i="5"/>
  <c r="F32" i="51"/>
  <c r="E40" i="5"/>
  <c r="C40" i="5"/>
  <c r="B40" i="5"/>
  <c r="A40" i="5"/>
  <c r="J39" i="5"/>
  <c r="F39" i="5"/>
  <c r="F31" i="51"/>
  <c r="E39" i="5"/>
  <c r="C39" i="5"/>
  <c r="B39" i="5"/>
  <c r="A39" i="5"/>
  <c r="J38" i="5"/>
  <c r="F38" i="5"/>
  <c r="F30" i="51"/>
  <c r="E38" i="5"/>
  <c r="C38" i="5"/>
  <c r="B38" i="5"/>
  <c r="A38" i="5"/>
  <c r="J37" i="5"/>
  <c r="F37" i="5"/>
  <c r="E37" i="5"/>
  <c r="C37" i="5"/>
  <c r="B37" i="5"/>
  <c r="A37" i="5"/>
  <c r="E36" i="5"/>
  <c r="C36" i="5"/>
  <c r="B36" i="5"/>
  <c r="A36" i="5"/>
  <c r="E35" i="5"/>
  <c r="C35" i="5"/>
  <c r="B35" i="5"/>
  <c r="A35" i="5"/>
  <c r="J34" i="5"/>
  <c r="F34" i="5"/>
  <c r="F27" i="51"/>
  <c r="E34" i="5"/>
  <c r="C34" i="5"/>
  <c r="B34" i="5"/>
  <c r="A34" i="5"/>
  <c r="J33" i="5"/>
  <c r="F33" i="5"/>
  <c r="F26" i="51"/>
  <c r="E33" i="5"/>
  <c r="C33" i="5"/>
  <c r="B33" i="5"/>
  <c r="A33" i="5"/>
  <c r="J32" i="5"/>
  <c r="F32" i="5"/>
  <c r="F25" i="5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c r="E27" i="5"/>
  <c r="C27" i="5"/>
  <c r="B27" i="5"/>
  <c r="A27" i="5"/>
  <c r="J26" i="5"/>
  <c r="F26" i="5"/>
  <c r="F22" i="5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c r="E20" i="5"/>
  <c r="C20" i="5"/>
  <c r="B20" i="5"/>
  <c r="A20" i="5"/>
  <c r="J19" i="5"/>
  <c r="F19" i="5"/>
  <c r="E19" i="5"/>
  <c r="C19" i="5"/>
  <c r="B19" i="5"/>
  <c r="A19" i="5"/>
  <c r="J18" i="5"/>
  <c r="J17" i="5"/>
  <c r="F18" i="5"/>
  <c r="E18" i="5"/>
  <c r="C18" i="5"/>
  <c r="B18" i="5"/>
  <c r="A18" i="5"/>
  <c r="E17" i="5"/>
  <c r="C17" i="5"/>
  <c r="B17" i="5"/>
  <c r="A17" i="5"/>
  <c r="J16" i="5"/>
  <c r="F16" i="5"/>
  <c r="F16" i="51"/>
  <c r="E16" i="5"/>
  <c r="C16" i="5"/>
  <c r="B16" i="5"/>
  <c r="A16" i="5"/>
  <c r="J15" i="5"/>
  <c r="F15" i="5"/>
  <c r="F15" i="51"/>
  <c r="E15" i="5"/>
  <c r="C15" i="5"/>
  <c r="B15" i="5"/>
  <c r="A15" i="5"/>
  <c r="J14" i="5"/>
  <c r="F14" i="5"/>
  <c r="F14" i="51"/>
  <c r="E14" i="5"/>
  <c r="C14" i="5"/>
  <c r="B14" i="5"/>
  <c r="A14" i="5"/>
  <c r="J13" i="5"/>
  <c r="F13" i="5"/>
  <c r="E13" i="5"/>
  <c r="C13" i="5"/>
  <c r="B13" i="5"/>
  <c r="A13" i="5"/>
  <c r="J12" i="5"/>
  <c r="F12" i="5"/>
  <c r="E12" i="5"/>
  <c r="C12" i="5"/>
  <c r="B12" i="5"/>
  <c r="A12" i="5"/>
  <c r="J11" i="5"/>
  <c r="F98" i="8"/>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c r="AE39" i="2"/>
  <c r="Q39" i="2"/>
  <c r="C39" i="2"/>
  <c r="AE38" i="2"/>
  <c r="AE37" i="2"/>
  <c r="Q37" i="2"/>
  <c r="P36" i="2"/>
  <c r="O36" i="2"/>
  <c r="N36" i="2"/>
  <c r="M36" i="2"/>
  <c r="L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c r="O19" i="2"/>
  <c r="N19" i="2"/>
  <c r="M19" i="2"/>
  <c r="L19" i="2"/>
  <c r="K19" i="2"/>
  <c r="J19" i="2"/>
  <c r="I19" i="2"/>
  <c r="H19" i="2"/>
  <c r="G19" i="2"/>
  <c r="F19" i="2"/>
  <c r="E19" i="2"/>
  <c r="D19" i="2"/>
  <c r="C19" i="2"/>
  <c r="C18" i="2"/>
  <c r="C122" i="21"/>
  <c r="AE17" i="2"/>
  <c r="Q17" i="2"/>
  <c r="C17" i="2"/>
  <c r="C16" i="2"/>
  <c r="C110" i="21"/>
  <c r="C15" i="2"/>
  <c r="P14" i="2"/>
  <c r="AD47" i="2"/>
  <c r="O14" i="2"/>
  <c r="AC47" i="2"/>
  <c r="M14" i="2"/>
  <c r="AA47" i="2"/>
  <c r="J14" i="2"/>
  <c r="X47" i="2"/>
  <c r="I14" i="2"/>
  <c r="G14" i="2"/>
  <c r="U47" i="2"/>
  <c r="F14" i="2"/>
  <c r="T47" i="2"/>
  <c r="E14" i="2"/>
  <c r="S47" i="2"/>
  <c r="C14" i="2"/>
  <c r="AE13" i="2"/>
  <c r="Q13" i="2"/>
  <c r="C13" i="2"/>
  <c r="AE12" i="2"/>
  <c r="Q12" i="2"/>
  <c r="C12" i="2"/>
  <c r="AE11" i="2"/>
  <c r="Q11" i="2"/>
  <c r="C11" i="2"/>
  <c r="AE10" i="2"/>
  <c r="Q10" i="2"/>
  <c r="C10" i="2"/>
  <c r="AE9" i="2"/>
  <c r="C9" i="2"/>
  <c r="M47" i="2"/>
  <c r="C5" i="2"/>
  <c r="C4" i="2"/>
  <c r="F122" i="8"/>
  <c r="F121" i="8"/>
  <c r="C109" i="8"/>
  <c r="C98" i="8"/>
  <c r="C125" i="8"/>
  <c r="A98" i="8"/>
  <c r="C97" i="8"/>
  <c r="A97" i="8"/>
  <c r="C96" i="8"/>
  <c r="A96" i="8"/>
  <c r="C95" i="8"/>
  <c r="A95" i="8"/>
  <c r="C94" i="8"/>
  <c r="A94" i="8"/>
  <c r="C93" i="8"/>
  <c r="A93" i="8"/>
  <c r="C92" i="8"/>
  <c r="A92" i="8"/>
  <c r="C91" i="8"/>
  <c r="A91" i="8"/>
  <c r="C90" i="8"/>
  <c r="A90" i="8"/>
  <c r="C89" i="8"/>
  <c r="A89" i="8"/>
  <c r="C88" i="8"/>
  <c r="C113" i="8"/>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c r="A71" i="8"/>
  <c r="C70" i="8"/>
  <c r="A70" i="8"/>
  <c r="C66" i="8"/>
  <c r="C65" i="8"/>
  <c r="C118" i="8"/>
  <c r="A65" i="8"/>
  <c r="C64" i="8"/>
  <c r="A64" i="8"/>
  <c r="C63" i="8"/>
  <c r="C126" i="8"/>
  <c r="A63" i="8"/>
  <c r="C62" i="8"/>
  <c r="A62" i="8"/>
  <c r="C61" i="8"/>
  <c r="A61" i="8"/>
  <c r="C60" i="8"/>
  <c r="A60" i="8"/>
  <c r="C59" i="8"/>
  <c r="A59" i="8"/>
  <c r="C58" i="8"/>
  <c r="A58" i="8"/>
  <c r="C57" i="8"/>
  <c r="A57" i="8"/>
  <c r="C56" i="8"/>
  <c r="A56" i="8"/>
  <c r="C55" i="8"/>
  <c r="A55" i="8"/>
  <c r="C54" i="8"/>
  <c r="A54" i="8"/>
  <c r="C53" i="8"/>
  <c r="A53" i="8"/>
  <c r="C52" i="8"/>
  <c r="A52" i="8"/>
  <c r="C51" i="8"/>
  <c r="A51" i="8"/>
  <c r="C50" i="8"/>
  <c r="A50" i="8"/>
  <c r="C49" i="8"/>
  <c r="A49" i="8"/>
  <c r="C48" i="8"/>
  <c r="A48" i="8"/>
  <c r="C47" i="8"/>
  <c r="A47" i="8"/>
  <c r="C46" i="8"/>
  <c r="A46" i="8"/>
  <c r="C45" i="8"/>
  <c r="A45" i="8"/>
  <c r="C44" i="8"/>
  <c r="A44" i="8"/>
  <c r="C43" i="8"/>
  <c r="A43" i="8"/>
  <c r="C42" i="8"/>
  <c r="A42" i="8"/>
  <c r="C41" i="8"/>
  <c r="A41" i="8"/>
  <c r="C40" i="8"/>
  <c r="A40" i="8"/>
  <c r="C39" i="8"/>
  <c r="A39" i="8"/>
  <c r="C38" i="8"/>
  <c r="A38" i="8"/>
  <c r="C37" i="8"/>
  <c r="A37" i="8"/>
  <c r="C36" i="8"/>
  <c r="A36" i="8"/>
  <c r="C35" i="8"/>
  <c r="C114" i="8"/>
  <c r="A35" i="8"/>
  <c r="C34" i="8"/>
  <c r="A34" i="8"/>
  <c r="C33" i="8"/>
  <c r="A33" i="8"/>
  <c r="C32" i="8"/>
  <c r="A32" i="8"/>
  <c r="C31" i="8"/>
  <c r="C30" i="8"/>
  <c r="C29" i="8"/>
  <c r="C27" i="8"/>
  <c r="A27" i="8"/>
  <c r="C26" i="8"/>
  <c r="A26" i="8"/>
  <c r="C25" i="8"/>
  <c r="A25" i="8"/>
  <c r="C24" i="8"/>
  <c r="A24"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F127" i="21"/>
  <c r="E76" i="21"/>
  <c r="E125" i="21"/>
  <c r="C76" i="21"/>
  <c r="C125" i="2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c r="A51" i="21"/>
  <c r="C49" i="21"/>
  <c r="A49" i="21"/>
  <c r="C48" i="21"/>
  <c r="A48" i="21"/>
  <c r="C47" i="21"/>
  <c r="A47" i="21"/>
  <c r="C46" i="21"/>
  <c r="A46" i="21"/>
  <c r="C101" i="21"/>
  <c r="A45" i="21"/>
  <c r="C44" i="21"/>
  <c r="A44" i="21"/>
  <c r="A43" i="21"/>
  <c r="C42" i="21"/>
  <c r="A42" i="21"/>
  <c r="C41" i="21"/>
  <c r="A41" i="21"/>
  <c r="E40" i="21"/>
  <c r="E43" i="21"/>
  <c r="E45" i="2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c r="D68" i="7"/>
  <c r="D96" i="7"/>
  <c r="I67" i="7"/>
  <c r="D67" i="7"/>
  <c r="I66" i="7"/>
  <c r="K65" i="7"/>
  <c r="K67" i="7"/>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c r="F43" i="5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c r="F6" i="4"/>
  <c r="H5" i="4"/>
  <c r="H7" i="4"/>
  <c r="Q55" i="2"/>
  <c r="O4685" i="18"/>
  <c r="O6553" i="18"/>
  <c r="D18" i="13"/>
  <c r="D34" i="13"/>
  <c r="D14" i="11"/>
  <c r="D16" i="11"/>
  <c r="G17" i="11"/>
  <c r="G23" i="11"/>
  <c r="D30" i="11"/>
  <c r="D32" i="11"/>
  <c r="G33" i="11"/>
  <c r="D24" i="12"/>
  <c r="D10" i="6"/>
  <c r="D18" i="11"/>
  <c r="AE25" i="11"/>
  <c r="D34" i="11"/>
  <c r="D19" i="12"/>
  <c r="D21" i="12"/>
  <c r="D35" i="12"/>
  <c r="D37" i="12"/>
  <c r="U3" i="18"/>
  <c r="L6" i="72"/>
  <c r="H6" i="68"/>
  <c r="E69" i="68"/>
  <c r="H6" i="72"/>
  <c r="E60" i="72"/>
  <c r="L6" i="68"/>
  <c r="D15" i="13"/>
  <c r="D17" i="13"/>
  <c r="G24" i="13"/>
  <c r="D31" i="13"/>
  <c r="D33" i="13"/>
  <c r="AE23" i="11"/>
  <c r="G10" i="12"/>
  <c r="AE18" i="12"/>
  <c r="AE20" i="12"/>
  <c r="G26" i="12"/>
  <c r="AE36" i="12"/>
  <c r="Q38" i="12"/>
  <c r="AE38" i="12"/>
  <c r="B38" i="12"/>
  <c r="Q10" i="12"/>
  <c r="AE10" i="12"/>
  <c r="B10" i="12"/>
  <c r="B9" i="12"/>
  <c r="N38" i="13"/>
  <c r="N10" i="13"/>
  <c r="T10" i="13"/>
  <c r="B9" i="13"/>
  <c r="B10" i="6"/>
  <c r="L735" i="18"/>
  <c r="R854" i="18"/>
  <c r="L757" i="18"/>
  <c r="M1796" i="18"/>
  <c r="J2075" i="18"/>
  <c r="M2647" i="18"/>
  <c r="O1862" i="18"/>
  <c r="M3934" i="18"/>
  <c r="J4132" i="18"/>
  <c r="N2332" i="18"/>
  <c r="H2346" i="18"/>
  <c r="N3543" i="18"/>
  <c r="I3555" i="18"/>
  <c r="I1440" i="18"/>
  <c r="H1446" i="18"/>
  <c r="K2275" i="18"/>
  <c r="H2290" i="18"/>
  <c r="J1008" i="18"/>
  <c r="M1405" i="18"/>
  <c r="M1383" i="18"/>
  <c r="O1641" i="18"/>
  <c r="N1712" i="18"/>
  <c r="I1678" i="18"/>
  <c r="N1695" i="18"/>
  <c r="M2072" i="18"/>
  <c r="O2227" i="18"/>
  <c r="N3456" i="18"/>
  <c r="I3468" i="18"/>
  <c r="O1487" i="18"/>
  <c r="M1322" i="18"/>
  <c r="K1038" i="18"/>
  <c r="O1923" i="18"/>
  <c r="M1795" i="18"/>
  <c r="M1799" i="18"/>
  <c r="K1865" i="18"/>
  <c r="M2826" i="18"/>
  <c r="K2893" i="18"/>
  <c r="N1058" i="18"/>
  <c r="I1075" i="18"/>
  <c r="K3456" i="18"/>
  <c r="H3468" i="18"/>
  <c r="K1273" i="18"/>
  <c r="L1251" i="18"/>
  <c r="O1033" i="18"/>
  <c r="K2230" i="18"/>
  <c r="M2289" i="18"/>
  <c r="O2345" i="18"/>
  <c r="K1058" i="18"/>
  <c r="H1075" i="18"/>
  <c r="K1096" i="18"/>
  <c r="L1074" i="18"/>
  <c r="O1031" i="18"/>
  <c r="L3677" i="18"/>
  <c r="L3653" i="18"/>
  <c r="J3852" i="18"/>
  <c r="M3767" i="18"/>
  <c r="H3652" i="18"/>
  <c r="H3676" i="18"/>
  <c r="H1677" i="18"/>
  <c r="H1694" i="18"/>
  <c r="H1423" i="18"/>
  <c r="H1250" i="18"/>
  <c r="H1272" i="18"/>
  <c r="H1073" i="18"/>
  <c r="N1480" i="18"/>
  <c r="H1037" i="18"/>
  <c r="H1321" i="18"/>
  <c r="M442" i="18"/>
  <c r="M350" i="18"/>
  <c r="O595" i="18"/>
  <c r="N579" i="18"/>
  <c r="H596" i="18"/>
  <c r="D5224" i="18"/>
  <c r="K515" i="18"/>
  <c r="H530" i="18"/>
  <c r="K356" i="18"/>
  <c r="H373" i="18"/>
  <c r="K378" i="18"/>
  <c r="H395" i="18"/>
  <c r="L372" i="18"/>
  <c r="K394" i="18"/>
  <c r="H349" i="18"/>
  <c r="H441" i="18"/>
  <c r="H393" i="18"/>
  <c r="D5236" i="18"/>
  <c r="D5249" i="18"/>
  <c r="D5261" i="18"/>
  <c r="D5216" i="18"/>
  <c r="D5229" i="18"/>
  <c r="D5235" i="18"/>
  <c r="D5246" i="18"/>
  <c r="D5254" i="18"/>
  <c r="D5260" i="18"/>
  <c r="D5266" i="18"/>
  <c r="D5221" i="18"/>
  <c r="D5215" i="18"/>
  <c r="D5226" i="18"/>
  <c r="D5234" i="18"/>
  <c r="D5245" i="18"/>
  <c r="D5251" i="18"/>
  <c r="D5259" i="18"/>
  <c r="D5265" i="18"/>
  <c r="D5271" i="18"/>
  <c r="D5220" i="18"/>
  <c r="D5253" i="18"/>
  <c r="D5214" i="18"/>
  <c r="D5213" i="18"/>
  <c r="D5239" i="18"/>
  <c r="D5228" i="18"/>
  <c r="D5218" i="18"/>
  <c r="D5268" i="18"/>
  <c r="D5240" i="18"/>
  <c r="D5233" i="18"/>
  <c r="D5223" i="18"/>
  <c r="D5263" i="18"/>
  <c r="D5241" i="18"/>
  <c r="D5238" i="18"/>
  <c r="D5243" i="18"/>
  <c r="D5248" i="18"/>
  <c r="D5258" i="18"/>
  <c r="D5230" i="18"/>
  <c r="D5255" i="18"/>
  <c r="D5269" i="18"/>
  <c r="D5225" i="18"/>
  <c r="D5231" i="18"/>
  <c r="D5244" i="18"/>
  <c r="D5250" i="18"/>
  <c r="D5256" i="18"/>
  <c r="D5264" i="18"/>
  <c r="D5270" i="18"/>
  <c r="D5219" i="18"/>
  <c r="K3669" i="18"/>
  <c r="Q4374" i="18"/>
  <c r="K3668" i="18"/>
  <c r="Q4381" i="18"/>
  <c r="M1955" i="18"/>
  <c r="M1961" i="18"/>
  <c r="N1949" i="18"/>
  <c r="O4399" i="18"/>
  <c r="K4412" i="18"/>
  <c r="H4117" i="18"/>
  <c r="K4109" i="18"/>
  <c r="Q3959" i="18"/>
  <c r="Q1755" i="18"/>
  <c r="Q1963" i="18"/>
  <c r="Q2393" i="18"/>
  <c r="N251" i="18"/>
  <c r="H268" i="18"/>
  <c r="O267" i="18"/>
  <c r="M186" i="18"/>
  <c r="K230" i="18"/>
  <c r="L208" i="18"/>
  <c r="Q1684" i="18"/>
  <c r="Q2370" i="18"/>
  <c r="K214" i="18"/>
  <c r="H231" i="18"/>
  <c r="K192" i="18"/>
  <c r="H209" i="18"/>
  <c r="Q3580" i="18"/>
  <c r="Q3939" i="18"/>
  <c r="Q130" i="18"/>
  <c r="Q2812" i="18"/>
  <c r="Q2899" i="18"/>
  <c r="K2698" i="18"/>
  <c r="O2698" i="18"/>
  <c r="H2496" i="18"/>
  <c r="N2465" i="18"/>
  <c r="L2496" i="18"/>
  <c r="P2496" i="18"/>
  <c r="K2496" i="18"/>
  <c r="O2496" i="18"/>
  <c r="F761" i="5"/>
  <c r="C117" i="8"/>
  <c r="F13" i="51"/>
  <c r="J2496" i="18"/>
  <c r="N2496" i="18"/>
  <c r="I2496" i="18"/>
  <c r="M2496" i="18"/>
  <c r="R2496" i="18"/>
  <c r="Q3493" i="18"/>
  <c r="F27" i="13"/>
  <c r="F26" i="11"/>
  <c r="F11" i="13"/>
  <c r="F15" i="13"/>
  <c r="F14" i="11"/>
  <c r="F23" i="13"/>
  <c r="F22" i="11"/>
  <c r="F10" i="11"/>
  <c r="F38" i="11"/>
  <c r="F30" i="13"/>
  <c r="F34" i="13"/>
  <c r="F35" i="13"/>
  <c r="F29" i="11"/>
  <c r="F33" i="11"/>
  <c r="F34" i="11"/>
  <c r="F31" i="13"/>
  <c r="F30" i="11"/>
  <c r="F18" i="12"/>
  <c r="F23" i="12"/>
  <c r="F14" i="13"/>
  <c r="F18" i="13"/>
  <c r="F19" i="13"/>
  <c r="F17" i="11"/>
  <c r="F18" i="11"/>
  <c r="L709" i="5"/>
  <c r="L711" i="5"/>
  <c r="L713" i="5"/>
  <c r="K709" i="5"/>
  <c r="K711" i="5"/>
  <c r="K713" i="5"/>
  <c r="G10" i="13"/>
  <c r="G26" i="13"/>
  <c r="F38" i="13"/>
  <c r="G27" i="11"/>
  <c r="G14" i="12"/>
  <c r="G16" i="12"/>
  <c r="G32" i="12"/>
  <c r="G21" i="6"/>
  <c r="G12" i="13"/>
  <c r="F22" i="13"/>
  <c r="F24" i="13"/>
  <c r="G28" i="13"/>
  <c r="G11" i="11"/>
  <c r="F23" i="11"/>
  <c r="G25" i="11"/>
  <c r="F37" i="11"/>
  <c r="F10" i="12"/>
  <c r="F26" i="12"/>
  <c r="G30" i="12"/>
  <c r="D15" i="2"/>
  <c r="H15" i="2"/>
  <c r="L15" i="2"/>
  <c r="F10" i="13"/>
  <c r="F12" i="13"/>
  <c r="D23" i="13"/>
  <c r="D25" i="13"/>
  <c r="F26" i="13"/>
  <c r="F28" i="13"/>
  <c r="D3" i="11"/>
  <c r="F11" i="11"/>
  <c r="D22" i="11"/>
  <c r="D24" i="11"/>
  <c r="F25" i="11"/>
  <c r="F27" i="11"/>
  <c r="D38" i="11"/>
  <c r="D13" i="12"/>
  <c r="D27" i="12"/>
  <c r="D29" i="12"/>
  <c r="M15" i="2"/>
  <c r="M40" i="2"/>
  <c r="M54" i="2"/>
  <c r="M56" i="2"/>
  <c r="M57" i="2"/>
  <c r="G15" i="2"/>
  <c r="D3" i="6"/>
  <c r="D11" i="13"/>
  <c r="D13" i="13"/>
  <c r="F16" i="13"/>
  <c r="D27" i="13"/>
  <c r="D29" i="13"/>
  <c r="F32" i="13"/>
  <c r="D10" i="11"/>
  <c r="D12" i="11"/>
  <c r="F15" i="11"/>
  <c r="D26" i="11"/>
  <c r="D28" i="11"/>
  <c r="F31" i="11"/>
  <c r="D15" i="12"/>
  <c r="D16" i="12"/>
  <c r="D17" i="12"/>
  <c r="F20" i="12"/>
  <c r="D31" i="12"/>
  <c r="D33" i="12"/>
  <c r="F20" i="13"/>
  <c r="F36" i="13"/>
  <c r="F19" i="11"/>
  <c r="F35" i="11"/>
  <c r="Q1599" i="18"/>
  <c r="Q19" i="2"/>
  <c r="Q29" i="2"/>
  <c r="F13" i="13"/>
  <c r="F17" i="13"/>
  <c r="F21" i="13"/>
  <c r="F25" i="13"/>
  <c r="F29" i="13"/>
  <c r="F33" i="13"/>
  <c r="F37" i="13"/>
  <c r="F16" i="11"/>
  <c r="F20" i="11"/>
  <c r="F24" i="11"/>
  <c r="F28" i="11"/>
  <c r="F36" i="11"/>
  <c r="J83" i="5"/>
  <c r="F100" i="5"/>
  <c r="K51" i="7"/>
  <c r="J48" i="5"/>
  <c r="F48" i="5"/>
  <c r="F40" i="51"/>
  <c r="F67" i="7"/>
  <c r="F123" i="8"/>
  <c r="F124" i="8"/>
  <c r="G40" i="2"/>
  <c r="G54" i="2"/>
  <c r="G56" i="2"/>
  <c r="G57" i="2"/>
  <c r="F15" i="2"/>
  <c r="F40" i="2"/>
  <c r="F54" i="2"/>
  <c r="F56" i="2"/>
  <c r="F57" i="2"/>
  <c r="O15" i="2"/>
  <c r="O40" i="2"/>
  <c r="O54" i="2"/>
  <c r="O56" i="2"/>
  <c r="O57" i="2"/>
  <c r="E15" i="2"/>
  <c r="E40" i="2"/>
  <c r="E54" i="2"/>
  <c r="E56" i="2"/>
  <c r="E57" i="2"/>
  <c r="I15" i="2"/>
  <c r="I40" i="2"/>
  <c r="I54" i="2"/>
  <c r="I56" i="2"/>
  <c r="I57" i="2"/>
  <c r="W47" i="2"/>
  <c r="C109" i="21"/>
  <c r="Q24" i="2"/>
  <c r="P40" i="2"/>
  <c r="P54" i="2"/>
  <c r="P56" i="2"/>
  <c r="P57" i="2"/>
  <c r="R9" i="11"/>
  <c r="Q9" i="12"/>
  <c r="AE9" i="12"/>
  <c r="R36" i="12"/>
  <c r="J72" i="5"/>
  <c r="F17" i="51"/>
  <c r="F17" i="5"/>
  <c r="F61" i="51"/>
  <c r="Q12" i="11"/>
  <c r="AE12" i="11"/>
  <c r="Q33" i="11"/>
  <c r="AE33" i="11"/>
  <c r="Q24" i="12"/>
  <c r="AE24" i="12"/>
  <c r="Q21" i="11"/>
  <c r="AE21" i="11"/>
  <c r="Q15" i="12"/>
  <c r="AE15" i="12"/>
  <c r="Q27" i="12"/>
  <c r="AE27" i="12"/>
  <c r="R17" i="11"/>
  <c r="R37" i="11"/>
  <c r="Q28" i="11"/>
  <c r="AE28" i="11"/>
  <c r="Q11" i="12"/>
  <c r="AE11" i="12"/>
  <c r="R20" i="12"/>
  <c r="R3" i="13"/>
  <c r="Q24" i="11"/>
  <c r="AE24" i="11"/>
  <c r="Q31" i="12"/>
  <c r="AE31" i="12"/>
  <c r="Q13" i="11"/>
  <c r="AE13" i="11"/>
  <c r="Q20" i="11"/>
  <c r="AE20" i="11"/>
  <c r="Q29" i="11"/>
  <c r="AE29" i="11"/>
  <c r="Q36" i="11"/>
  <c r="AE36" i="11"/>
  <c r="Q16" i="12"/>
  <c r="AE16" i="12"/>
  <c r="Q23" i="12"/>
  <c r="AE23" i="12"/>
  <c r="Q32" i="12"/>
  <c r="AE32" i="12"/>
  <c r="R25" i="11"/>
  <c r="R28" i="12"/>
  <c r="Q16" i="11"/>
  <c r="AE16" i="11"/>
  <c r="Q32" i="11"/>
  <c r="AE32" i="11"/>
  <c r="Q19" i="12"/>
  <c r="AE19" i="12"/>
  <c r="Q35" i="12"/>
  <c r="AE35" i="12"/>
  <c r="C106" i="21"/>
  <c r="C126" i="21"/>
  <c r="R34" i="11"/>
  <c r="Q34" i="11"/>
  <c r="AE34" i="11"/>
  <c r="Q21" i="12"/>
  <c r="AE21" i="12"/>
  <c r="R21" i="12"/>
  <c r="Q37" i="12"/>
  <c r="AE37" i="12"/>
  <c r="R37" i="12"/>
  <c r="Q22" i="11"/>
  <c r="AE22" i="11"/>
  <c r="R22" i="11"/>
  <c r="R25" i="12"/>
  <c r="Q25" i="12"/>
  <c r="AE25" i="12"/>
  <c r="R10" i="11"/>
  <c r="Q10" i="11"/>
  <c r="AE10" i="11"/>
  <c r="R26" i="11"/>
  <c r="Q26" i="11"/>
  <c r="AE26" i="11"/>
  <c r="Q13" i="12"/>
  <c r="AE13" i="12"/>
  <c r="R13" i="12"/>
  <c r="Q29" i="12"/>
  <c r="AE29" i="12"/>
  <c r="R29" i="12"/>
  <c r="C118" i="21"/>
  <c r="C114" i="21"/>
  <c r="C102" i="21"/>
  <c r="R18" i="11"/>
  <c r="Q18" i="11"/>
  <c r="AE18" i="11"/>
  <c r="AE38" i="11"/>
  <c r="Q14" i="11"/>
  <c r="AE14" i="11"/>
  <c r="R14" i="11"/>
  <c r="Q30" i="11"/>
  <c r="AE30" i="11"/>
  <c r="R30" i="11"/>
  <c r="R17" i="12"/>
  <c r="Q17" i="12"/>
  <c r="AE17" i="12"/>
  <c r="R33" i="12"/>
  <c r="Q33" i="12"/>
  <c r="AE33" i="12"/>
  <c r="L24" i="72"/>
  <c r="R11" i="11"/>
  <c r="R15" i="11"/>
  <c r="R19" i="11"/>
  <c r="R23" i="11"/>
  <c r="R27" i="11"/>
  <c r="R31" i="11"/>
  <c r="R35" i="11"/>
  <c r="R10" i="12"/>
  <c r="R14" i="12"/>
  <c r="R18" i="12"/>
  <c r="R22" i="12"/>
  <c r="R26" i="12"/>
  <c r="R30" i="12"/>
  <c r="R34" i="12"/>
  <c r="R38" i="12"/>
  <c r="S3" i="13"/>
  <c r="C104" i="8"/>
  <c r="C121" i="8"/>
  <c r="E53" i="21"/>
  <c r="E52" i="21"/>
  <c r="E127" i="21"/>
  <c r="E128" i="21"/>
  <c r="F128" i="21"/>
  <c r="K52" i="7"/>
  <c r="K68" i="7"/>
  <c r="F25" i="5"/>
  <c r="F21" i="51"/>
  <c r="D94" i="7"/>
  <c r="F83" i="5"/>
  <c r="F66" i="51"/>
  <c r="J760" i="5"/>
  <c r="M760" i="5" s="1"/>
  <c r="J734" i="5"/>
  <c r="Q678" i="18"/>
  <c r="Q911" i="18"/>
  <c r="Q3888" i="18"/>
  <c r="Q3590" i="18"/>
  <c r="Q1589" i="18"/>
  <c r="K2403" i="18"/>
  <c r="K3878" i="18"/>
  <c r="Q4159" i="18"/>
  <c r="Q4042" i="18"/>
  <c r="Q3372" i="18"/>
  <c r="Q4138" i="18"/>
  <c r="Q3483" i="18"/>
  <c r="Q668" i="18"/>
  <c r="Q891" i="18"/>
  <c r="M4392" i="18"/>
  <c r="Q2481" i="18"/>
  <c r="Q2493" i="18"/>
  <c r="H4392" i="18"/>
  <c r="N4369" i="18"/>
  <c r="L4392" i="18"/>
  <c r="P4392" i="18"/>
  <c r="K4369" i="18"/>
  <c r="J4392" i="18"/>
  <c r="N4392" i="18"/>
  <c r="I4392" i="18"/>
  <c r="F93" i="51"/>
  <c r="F18" i="51"/>
  <c r="F44" i="52"/>
  <c r="F20" i="51"/>
  <c r="F48" i="52"/>
  <c r="F87" i="51"/>
  <c r="F105" i="51"/>
  <c r="E813" i="5"/>
  <c r="C97" i="21"/>
  <c r="F74" i="51"/>
  <c r="C96" i="21"/>
  <c r="C54" i="2"/>
  <c r="C88" i="21"/>
  <c r="F760" i="5"/>
  <c r="I760" i="5" s="1"/>
  <c r="F24" i="51"/>
  <c r="F49" i="52"/>
  <c r="F91" i="51"/>
  <c r="F734" i="5"/>
  <c r="F94" i="51"/>
  <c r="F97" i="51"/>
  <c r="S11" i="13"/>
  <c r="R11" i="13"/>
  <c r="T11" i="13"/>
  <c r="S19" i="13"/>
  <c r="R19" i="13"/>
  <c r="T19" i="13"/>
  <c r="S27" i="13"/>
  <c r="R27" i="13"/>
  <c r="T27" i="13"/>
  <c r="S35" i="13"/>
  <c r="R35" i="13"/>
  <c r="T35" i="13"/>
  <c r="E817" i="5"/>
  <c r="S13" i="13"/>
  <c r="R13" i="13"/>
  <c r="T13" i="13"/>
  <c r="S21" i="13"/>
  <c r="R21" i="13"/>
  <c r="T21" i="13"/>
  <c r="S29" i="13"/>
  <c r="R29" i="13"/>
  <c r="T29" i="13"/>
  <c r="S37" i="13"/>
  <c r="R37" i="13"/>
  <c r="T37" i="13"/>
  <c r="S15" i="13"/>
  <c r="R15" i="13"/>
  <c r="T15" i="13"/>
  <c r="S23" i="13"/>
  <c r="R23" i="13"/>
  <c r="T23" i="13"/>
  <c r="S31" i="13"/>
  <c r="R31" i="13"/>
  <c r="T31" i="13"/>
  <c r="E790" i="5"/>
  <c r="E791" i="5"/>
  <c r="E805" i="5"/>
  <c r="S9" i="13"/>
  <c r="R9" i="13"/>
  <c r="T9" i="13"/>
  <c r="S17" i="13"/>
  <c r="R17" i="13"/>
  <c r="T17" i="13"/>
  <c r="S25" i="13"/>
  <c r="R25" i="13"/>
  <c r="T25" i="13"/>
  <c r="S33" i="13"/>
  <c r="R33" i="13"/>
  <c r="T33" i="13"/>
  <c r="S12" i="13"/>
  <c r="S14" i="13"/>
  <c r="R14" i="13"/>
  <c r="S16" i="13"/>
  <c r="R16" i="13"/>
  <c r="S18" i="13"/>
  <c r="R18" i="13"/>
  <c r="S20" i="13"/>
  <c r="R20" i="13"/>
  <c r="S22" i="13"/>
  <c r="R22" i="13"/>
  <c r="S26" i="13"/>
  <c r="R26" i="13"/>
  <c r="S28" i="13"/>
  <c r="R28" i="13"/>
  <c r="S30" i="13"/>
  <c r="R30" i="13"/>
  <c r="S32" i="13"/>
  <c r="R32" i="13"/>
  <c r="S34" i="13"/>
  <c r="R34" i="13"/>
  <c r="S36" i="13"/>
  <c r="R36" i="13"/>
  <c r="R3" i="12"/>
  <c r="Q3" i="12"/>
  <c r="AE3" i="12"/>
  <c r="R3" i="11"/>
  <c r="Q3" i="11"/>
  <c r="AE3" i="11"/>
  <c r="K4392" i="18"/>
  <c r="O4392" i="18"/>
  <c r="H3109" i="18"/>
  <c r="H2701" i="18"/>
  <c r="L2698" i="18"/>
  <c r="D5427" i="18"/>
  <c r="H2698" i="18"/>
  <c r="J2698" i="18"/>
  <c r="D5399" i="18"/>
  <c r="D5437" i="18"/>
  <c r="D5443" i="18"/>
  <c r="D5449" i="18"/>
  <c r="D5446" i="18"/>
  <c r="D5434" i="18"/>
  <c r="D5442" i="18"/>
  <c r="D5448" i="18"/>
  <c r="P2689" i="18"/>
  <c r="P2693" i="18"/>
  <c r="P2697" i="18"/>
  <c r="P2665" i="18"/>
  <c r="P2690" i="18"/>
  <c r="D5426" i="18"/>
  <c r="D5433" i="18"/>
  <c r="P2692" i="18"/>
  <c r="P2696" i="18"/>
  <c r="D5438" i="18"/>
  <c r="P2691" i="18"/>
  <c r="P2695" i="18"/>
  <c r="P2701" i="18"/>
  <c r="P2694" i="18"/>
  <c r="N2698" i="18"/>
  <c r="D2663" i="18"/>
  <c r="D2679" i="18"/>
  <c r="D2695" i="18"/>
  <c r="D2659" i="18"/>
  <c r="D2667" i="18"/>
  <c r="D2687" i="18"/>
  <c r="D2671" i="18"/>
  <c r="D2655" i="18"/>
  <c r="D2658" i="18"/>
  <c r="D2683" i="18"/>
  <c r="D2691" i="18"/>
  <c r="D2675" i="18"/>
  <c r="D2696" i="18"/>
  <c r="D2692" i="18"/>
  <c r="D2688" i="18"/>
  <c r="D2684" i="18"/>
  <c r="D2680" i="18"/>
  <c r="D2676" i="18"/>
  <c r="D2672" i="18"/>
  <c r="D2668" i="18"/>
  <c r="D2664" i="18"/>
  <c r="D2660" i="18"/>
  <c r="D2656" i="18"/>
  <c r="D2697" i="18"/>
  <c r="D2693" i="18"/>
  <c r="D2689" i="18"/>
  <c r="D2685" i="18"/>
  <c r="D2681" i="18"/>
  <c r="D2677" i="18"/>
  <c r="D2673" i="18"/>
  <c r="D2669" i="18"/>
  <c r="D2665" i="18"/>
  <c r="D2661" i="18"/>
  <c r="D2657" i="18"/>
  <c r="D2698" i="18"/>
  <c r="D2694" i="18"/>
  <c r="D2690" i="18"/>
  <c r="D2686" i="18"/>
  <c r="D2682" i="18"/>
  <c r="D2678" i="18"/>
  <c r="D2674" i="18"/>
  <c r="D2670" i="18"/>
  <c r="D2666" i="18"/>
  <c r="D2662" i="18"/>
  <c r="D5447" i="18"/>
  <c r="D5431" i="18"/>
  <c r="D5398" i="18"/>
  <c r="D5410" i="18"/>
  <c r="D5436" i="18"/>
  <c r="D5403" i="18"/>
  <c r="D5409" i="18"/>
  <c r="D5415" i="18"/>
  <c r="D5453" i="18"/>
  <c r="D5441" i="18"/>
  <c r="D5429" i="18"/>
  <c r="D5439" i="18"/>
  <c r="D5404" i="18"/>
  <c r="D5444" i="18"/>
  <c r="D5432" i="18"/>
  <c r="D5428" i="18"/>
  <c r="D5394" i="18"/>
  <c r="D5400" i="18"/>
  <c r="D5414" i="18"/>
  <c r="D5419" i="18"/>
  <c r="D5407" i="18"/>
  <c r="D5395" i="18"/>
  <c r="D5412" i="18"/>
  <c r="D5408" i="18"/>
  <c r="D5392" i="18"/>
  <c r="D5413" i="18"/>
  <c r="D5405" i="18"/>
  <c r="D5397" i="18"/>
  <c r="D5393" i="18"/>
  <c r="D5402" i="18"/>
  <c r="D5126" i="18"/>
  <c r="D5124" i="18"/>
  <c r="D5125" i="18"/>
  <c r="H3915" i="18"/>
  <c r="K3898" i="18"/>
  <c r="P3099" i="18"/>
  <c r="P3103" i="18"/>
  <c r="K4498" i="18"/>
  <c r="P3096" i="18"/>
  <c r="P3100" i="18"/>
  <c r="P3104" i="18"/>
  <c r="D5103" i="18"/>
  <c r="I2618" i="18"/>
  <c r="J2618" i="18"/>
  <c r="D3053" i="18"/>
  <c r="D3069" i="18"/>
  <c r="O2977" i="18"/>
  <c r="P3094" i="18"/>
  <c r="P3098" i="18"/>
  <c r="P3102" i="18"/>
  <c r="D3073" i="18"/>
  <c r="H2618" i="18"/>
  <c r="D3068" i="18"/>
  <c r="D3076" i="18"/>
  <c r="D3086" i="18"/>
  <c r="D3096" i="18"/>
  <c r="D3104" i="18"/>
  <c r="K2368" i="18"/>
  <c r="K2351" i="18"/>
  <c r="D3067" i="18"/>
  <c r="D3071" i="18"/>
  <c r="D3075" i="18"/>
  <c r="D3081" i="18"/>
  <c r="D3085" i="18"/>
  <c r="D3089" i="18"/>
  <c r="D3095" i="18"/>
  <c r="D3099" i="18"/>
  <c r="D3103" i="18"/>
  <c r="D3093" i="18"/>
  <c r="D3097" i="18"/>
  <c r="D3101" i="18"/>
  <c r="D3072" i="18"/>
  <c r="D3082" i="18"/>
  <c r="D3090" i="18"/>
  <c r="D3100" i="18"/>
  <c r="P3063" i="18"/>
  <c r="P3097" i="18"/>
  <c r="P3101" i="18"/>
  <c r="P3077" i="18"/>
  <c r="D3052" i="18"/>
  <c r="D3080" i="18"/>
  <c r="D3084" i="18"/>
  <c r="D3088" i="18"/>
  <c r="D3102" i="18"/>
  <c r="D3098" i="18"/>
  <c r="D3094" i="18"/>
  <c r="D3078" i="18"/>
  <c r="D3074" i="18"/>
  <c r="D3070" i="18"/>
  <c r="D3066" i="18"/>
  <c r="D3062" i="18"/>
  <c r="D3058" i="18"/>
  <c r="D3054" i="18"/>
  <c r="D3050" i="18"/>
  <c r="D3091" i="18"/>
  <c r="D3087" i="18"/>
  <c r="D3083" i="18"/>
  <c r="D3079" i="18"/>
  <c r="D3063" i="18"/>
  <c r="D3059" i="18"/>
  <c r="D3055" i="18"/>
  <c r="D3051" i="18"/>
  <c r="K2156" i="18"/>
  <c r="K2260" i="18"/>
  <c r="K2249" i="18"/>
  <c r="J2919" i="18"/>
  <c r="K2910" i="18"/>
  <c r="D3092" i="18"/>
  <c r="D3064" i="18"/>
  <c r="D3060" i="18"/>
  <c r="D3056" i="18"/>
  <c r="D3105" i="18"/>
  <c r="D3077" i="18"/>
  <c r="D3065" i="18"/>
  <c r="D3061" i="18"/>
  <c r="D3057" i="18"/>
  <c r="K2273" i="18"/>
  <c r="K2262" i="18"/>
  <c r="K1908" i="18"/>
  <c r="K1897" i="18"/>
  <c r="N2342" i="18"/>
  <c r="J2342" i="18"/>
  <c r="N1476" i="18"/>
  <c r="N1484" i="18" s="1"/>
  <c r="N857" i="18"/>
  <c r="J857" i="18"/>
  <c r="N585" i="18"/>
  <c r="N592" i="18" s="1"/>
  <c r="K1946" i="18"/>
  <c r="H3105" i="18"/>
  <c r="P3091" i="18"/>
  <c r="P3095" i="18"/>
  <c r="P3093" i="18"/>
  <c r="D2979" i="18"/>
  <c r="D2929" i="18"/>
  <c r="D2947" i="18"/>
  <c r="D2950" i="18"/>
  <c r="D2956" i="18"/>
  <c r="D2960" i="18"/>
  <c r="D2964" i="18"/>
  <c r="D2970" i="18"/>
  <c r="D2974" i="18"/>
  <c r="D2978" i="18"/>
  <c r="D2949" i="18"/>
  <c r="D2953" i="18"/>
  <c r="D2959" i="18"/>
  <c r="D2963" i="18"/>
  <c r="D2967" i="18"/>
  <c r="D2973" i="18"/>
  <c r="D2977" i="18"/>
  <c r="D2981" i="18"/>
  <c r="D2944" i="18"/>
  <c r="D2948" i="18"/>
  <c r="D2952" i="18"/>
  <c r="D2958" i="18"/>
  <c r="D2962" i="18"/>
  <c r="D2966" i="18"/>
  <c r="D2972" i="18"/>
  <c r="D2976" i="18"/>
  <c r="D2980" i="18"/>
  <c r="O2975" i="18"/>
  <c r="D2943" i="18"/>
  <c r="D2945" i="18"/>
  <c r="D2951" i="18"/>
  <c r="D2957" i="18"/>
  <c r="D2961" i="18"/>
  <c r="D2965" i="18"/>
  <c r="D2982" i="18"/>
  <c r="D2954" i="18"/>
  <c r="D2946" i="18"/>
  <c r="D2942" i="18"/>
  <c r="D2938" i="18"/>
  <c r="D2934" i="18"/>
  <c r="D2930" i="18"/>
  <c r="D2975" i="18"/>
  <c r="D2971" i="18"/>
  <c r="D2955" i="18"/>
  <c r="D2939" i="18"/>
  <c r="D2935" i="18"/>
  <c r="D2931" i="18"/>
  <c r="D2927" i="18"/>
  <c r="O2981" i="18"/>
  <c r="D2968" i="18"/>
  <c r="D2940" i="18"/>
  <c r="D2936" i="18"/>
  <c r="D2932" i="18"/>
  <c r="D2928" i="18"/>
  <c r="O2974" i="18"/>
  <c r="O2980" i="18"/>
  <c r="D2969" i="18"/>
  <c r="D2941" i="18"/>
  <c r="D2937" i="18"/>
  <c r="D2933" i="18"/>
  <c r="O2972" i="18"/>
  <c r="O2978" i="18"/>
  <c r="O2940" i="18"/>
  <c r="O2971" i="18"/>
  <c r="O2968" i="18"/>
  <c r="O2954" i="18"/>
  <c r="H2982" i="18"/>
  <c r="L3017" i="18"/>
  <c r="L3026" i="18"/>
  <c r="L3032" i="18"/>
  <c r="L3035" i="18"/>
  <c r="H3617" i="18"/>
  <c r="K3600" i="18"/>
  <c r="H3029" i="18"/>
  <c r="H3020" i="18"/>
  <c r="K3020" i="18"/>
  <c r="I3029" i="18"/>
  <c r="K3038" i="18"/>
  <c r="J3020" i="18"/>
  <c r="J3038" i="18"/>
  <c r="J3029" i="18"/>
  <c r="Q2735" i="18"/>
  <c r="H2585" i="18"/>
  <c r="I2575" i="18"/>
  <c r="J2575" i="18"/>
  <c r="H3038" i="18"/>
  <c r="L3013" i="18"/>
  <c r="L3041" i="18"/>
  <c r="I3020" i="18"/>
  <c r="K3029" i="18"/>
  <c r="I3038" i="18"/>
  <c r="I2585" i="18"/>
  <c r="K2605" i="18"/>
  <c r="L3023" i="18"/>
  <c r="J2585" i="18"/>
  <c r="K2613" i="18"/>
  <c r="I2595" i="18"/>
  <c r="J2595" i="18"/>
  <c r="K2571" i="18"/>
  <c r="D2713" i="18"/>
  <c r="D2727" i="18"/>
  <c r="D2715" i="18"/>
  <c r="D2729" i="18"/>
  <c r="D2728" i="18"/>
  <c r="K2564" i="18"/>
  <c r="K2581" i="18"/>
  <c r="K2588" i="18"/>
  <c r="K2591" i="18"/>
  <c r="K2578" i="18"/>
  <c r="K2598" i="18"/>
  <c r="H2595" i="18"/>
  <c r="H2575" i="18"/>
  <c r="L2286" i="18"/>
  <c r="K2247" i="18"/>
  <c r="K2236" i="18"/>
  <c r="J2013" i="18"/>
  <c r="K2003" i="18"/>
  <c r="K1895" i="18"/>
  <c r="K1884" i="18"/>
  <c r="N3190" i="18"/>
  <c r="K1882" i="18"/>
  <c r="K1871" i="18"/>
  <c r="J1836" i="18"/>
  <c r="J1838" i="18"/>
  <c r="K1825" i="18"/>
  <c r="N1825" i="18"/>
  <c r="J3713" i="18"/>
  <c r="H3530" i="18"/>
  <c r="K3513" i="18"/>
  <c r="Q648" i="18"/>
  <c r="L1319" i="18"/>
  <c r="L1323" i="18" s="1"/>
  <c r="K559" i="18"/>
  <c r="J567" i="18"/>
  <c r="I1436" i="18"/>
  <c r="K1512" i="18"/>
  <c r="Q658" i="18"/>
  <c r="H5462" i="18"/>
  <c r="H5484" i="18"/>
  <c r="L1709" i="18"/>
  <c r="K4456" i="18"/>
  <c r="K4451" i="18"/>
  <c r="K1399" i="18"/>
  <c r="I1435" i="18"/>
  <c r="K3711" i="18"/>
  <c r="O4096" i="18"/>
  <c r="K4086" i="18"/>
  <c r="L1377" i="18"/>
  <c r="L1380" i="18"/>
  <c r="K601" i="18"/>
  <c r="Q618" i="18"/>
  <c r="I866" i="18"/>
  <c r="I869" i="18"/>
  <c r="I1439" i="18"/>
  <c r="I1441" i="18"/>
  <c r="K1442" i="18"/>
  <c r="J1636" i="18"/>
  <c r="K1619" i="18" s="1"/>
  <c r="P2992" i="18"/>
  <c r="L3005" i="18"/>
  <c r="P3000" i="18"/>
  <c r="O4350" i="18"/>
  <c r="K4342" i="18"/>
  <c r="J2218" i="18"/>
  <c r="K2204" i="18"/>
  <c r="D5132" i="18"/>
  <c r="K5492" i="18"/>
  <c r="I6052" i="18"/>
  <c r="K6033" i="18"/>
  <c r="M128" i="18"/>
  <c r="N120" i="18"/>
  <c r="L495" i="18"/>
  <c r="L498" i="18"/>
  <c r="K485" i="18"/>
  <c r="J3005" i="18"/>
  <c r="Q3258" i="18"/>
  <c r="Q3957" i="18"/>
  <c r="Q4072" i="18"/>
  <c r="H5788" i="18"/>
  <c r="K658" i="18"/>
  <c r="K510" i="18"/>
  <c r="L1442" i="18"/>
  <c r="K1430" i="18"/>
  <c r="M57" i="18"/>
  <c r="N20" i="18"/>
  <c r="K569" i="18"/>
  <c r="N678" i="18"/>
  <c r="I1437" i="18"/>
  <c r="L1789" i="18"/>
  <c r="K1776" i="18"/>
  <c r="M2021" i="18"/>
  <c r="Q2015" i="18"/>
  <c r="I3005" i="18"/>
  <c r="M3005" i="18"/>
  <c r="K4319" i="18"/>
  <c r="I5462" i="18"/>
  <c r="I5484" i="18"/>
  <c r="I5788" i="18"/>
  <c r="K160" i="18"/>
  <c r="J128" i="18"/>
  <c r="K120" i="18"/>
  <c r="I1398" i="18"/>
  <c r="I1401" i="18"/>
  <c r="I1400" i="18"/>
  <c r="I1394" i="18"/>
  <c r="N860" i="18"/>
  <c r="K1402" i="18"/>
  <c r="J1421" i="18"/>
  <c r="Q1411" i="18"/>
  <c r="K1599" i="18"/>
  <c r="M1636" i="18"/>
  <c r="N1619" i="18"/>
  <c r="J2171" i="18"/>
  <c r="K2159" i="18"/>
  <c r="K2719" i="18"/>
  <c r="K2707" i="18"/>
  <c r="D5134" i="18"/>
  <c r="H6184" i="18"/>
  <c r="K6165" i="18"/>
  <c r="Q138" i="18"/>
  <c r="J526" i="18"/>
  <c r="Q515" i="18"/>
  <c r="K567" i="18"/>
  <c r="K678" i="18"/>
  <c r="K860" i="18"/>
  <c r="K865" i="18"/>
  <c r="K868" i="18"/>
  <c r="K1377" i="18"/>
  <c r="L1399" i="18"/>
  <c r="L1402" i="18"/>
  <c r="K1726" i="18"/>
  <c r="Q1718" i="18"/>
  <c r="M2171" i="18"/>
  <c r="N2159" i="18"/>
  <c r="N2295" i="18"/>
  <c r="K3005" i="18"/>
  <c r="O3005" i="18"/>
  <c r="K3706" i="18"/>
  <c r="N4399" i="18"/>
  <c r="N4404" i="18"/>
  <c r="K5008" i="18"/>
  <c r="J5462" i="18"/>
  <c r="J5484" i="18"/>
  <c r="Q5601" i="18"/>
  <c r="H5834" i="18"/>
  <c r="J57" i="18"/>
  <c r="K20" i="18" s="1"/>
  <c r="J577" i="18"/>
  <c r="I867" i="18"/>
  <c r="K1411" i="18"/>
  <c r="M4412" i="18"/>
  <c r="K5463" i="18"/>
  <c r="K5468" i="18"/>
  <c r="N696" i="18"/>
  <c r="K689" i="18"/>
  <c r="J646" i="18"/>
  <c r="I865" i="18"/>
  <c r="K866" i="18"/>
  <c r="K869" i="18"/>
  <c r="I1438" i="18"/>
  <c r="K1459" i="18"/>
  <c r="J1459" i="18"/>
  <c r="J1469" i="18"/>
  <c r="K1461" i="18"/>
  <c r="K1469" i="18"/>
  <c r="N1616" i="18"/>
  <c r="Q1609" i="18"/>
  <c r="N1599" i="18"/>
  <c r="N3005" i="18"/>
  <c r="P2996" i="18"/>
  <c r="H3005" i="18"/>
  <c r="N2984" i="18"/>
  <c r="P3004" i="18"/>
  <c r="L3225" i="18"/>
  <c r="K3215" i="18"/>
  <c r="K3642" i="18"/>
  <c r="K4448" i="18"/>
  <c r="K4439" i="18"/>
  <c r="N4518" i="18"/>
  <c r="Q4850" i="18"/>
  <c r="K5475" i="18"/>
  <c r="R5601" i="18"/>
  <c r="J6209" i="18"/>
  <c r="J4577" i="18"/>
  <c r="J4535" i="18"/>
  <c r="D5135" i="18"/>
  <c r="I505" i="18"/>
  <c r="K513" i="18"/>
  <c r="I509" i="18"/>
  <c r="I508" i="18"/>
  <c r="I507" i="18"/>
  <c r="I512" i="18"/>
  <c r="I511" i="18"/>
  <c r="K498" i="18"/>
  <c r="I497" i="18"/>
  <c r="I496" i="18"/>
  <c r="I494" i="18"/>
  <c r="I493" i="18"/>
  <c r="I490" i="18"/>
  <c r="I492" i="18"/>
  <c r="I1376" i="18"/>
  <c r="I1375" i="18"/>
  <c r="I1374" i="18"/>
  <c r="K1380" i="18"/>
  <c r="I1379" i="18"/>
  <c r="I1378" i="18"/>
  <c r="I1372" i="18"/>
  <c r="D2714" i="18"/>
  <c r="D2712" i="18"/>
  <c r="D2733" i="18"/>
  <c r="D2726" i="18"/>
  <c r="D2725" i="18"/>
  <c r="D5102" i="18"/>
  <c r="D5118" i="18"/>
  <c r="D5110" i="18"/>
  <c r="D5101" i="18"/>
  <c r="D5116" i="18"/>
  <c r="D5108" i="18"/>
  <c r="D5104" i="18"/>
  <c r="D5114" i="18"/>
  <c r="D5112" i="18"/>
  <c r="Q535" i="18"/>
  <c r="I1396" i="18"/>
  <c r="I1397" i="18"/>
  <c r="K1451" i="18"/>
  <c r="K1529" i="18"/>
  <c r="Q1569" i="18"/>
  <c r="D2719" i="18"/>
  <c r="K2733" i="18"/>
  <c r="K2721" i="18"/>
  <c r="D5106" i="18"/>
  <c r="D5109" i="18"/>
  <c r="K577" i="18"/>
  <c r="I1003" i="18"/>
  <c r="N1328" i="18"/>
  <c r="L1557" i="18"/>
  <c r="N3258" i="18"/>
  <c r="H4577" i="18"/>
  <c r="H4535" i="18"/>
  <c r="H4558" i="18"/>
  <c r="L510" i="18"/>
  <c r="L513" i="18"/>
  <c r="N500" i="18"/>
  <c r="N485" i="18"/>
  <c r="M2218" i="18"/>
  <c r="N2204" i="18"/>
  <c r="D2724" i="18"/>
  <c r="M3200" i="18"/>
  <c r="Q3190" i="18"/>
  <c r="L4340" i="18"/>
  <c r="Q4332" i="18"/>
  <c r="D2711" i="18"/>
  <c r="K3570" i="18"/>
  <c r="K3699" i="18"/>
  <c r="D2877" i="18"/>
  <c r="D2867" i="18"/>
  <c r="J4412" i="18"/>
  <c r="D5111" i="18"/>
  <c r="D5117" i="18"/>
  <c r="L4084" i="18"/>
  <c r="Q4076" i="18"/>
  <c r="I4412" i="18"/>
  <c r="O4404" i="18"/>
  <c r="D2710" i="18"/>
  <c r="M3212" i="18"/>
  <c r="K3202" i="18"/>
  <c r="M3187" i="18"/>
  <c r="K3177" i="18"/>
  <c r="H4412" i="18"/>
  <c r="N4394" i="18"/>
  <c r="L4412" i="18"/>
  <c r="D5105" i="18"/>
  <c r="D5113" i="18"/>
  <c r="D5133" i="18"/>
  <c r="D5136" i="18"/>
  <c r="K5485" i="18"/>
  <c r="K5496" i="18"/>
  <c r="K5499" i="18"/>
  <c r="N4315" i="18"/>
  <c r="K4307" i="18"/>
  <c r="K4299" i="18"/>
  <c r="N4350" i="18"/>
  <c r="D5107" i="18"/>
  <c r="D5115" i="18"/>
  <c r="K5480" i="18"/>
  <c r="K94" i="7"/>
  <c r="O4518" i="18"/>
  <c r="O6543" i="18"/>
  <c r="X3" i="18"/>
  <c r="W3" i="18"/>
  <c r="V3" i="18"/>
  <c r="R38" i="13"/>
  <c r="G658" i="5"/>
  <c r="S10" i="13"/>
  <c r="R10" i="13"/>
  <c r="P40" i="13"/>
  <c r="P39" i="13"/>
  <c r="G664" i="5"/>
  <c r="G681" i="5"/>
  <c r="H681" i="5"/>
  <c r="G701" i="5"/>
  <c r="H661" i="5"/>
  <c r="G659" i="5"/>
  <c r="G665" i="5"/>
  <c r="H710" i="5"/>
  <c r="H666" i="5"/>
  <c r="G705" i="5"/>
  <c r="H689" i="5"/>
  <c r="H701" i="5"/>
  <c r="H702" i="5"/>
  <c r="H672" i="5"/>
  <c r="H676" i="5"/>
  <c r="G686" i="5"/>
  <c r="H663" i="5"/>
  <c r="G661" i="5"/>
  <c r="G712" i="5"/>
  <c r="H691" i="5"/>
  <c r="H679" i="5"/>
  <c r="H662" i="5"/>
  <c r="G662" i="5"/>
  <c r="G678" i="5"/>
  <c r="H668" i="5"/>
  <c r="G672" i="5"/>
  <c r="H692" i="5"/>
  <c r="H664" i="5"/>
  <c r="G700" i="5"/>
  <c r="H678" i="5"/>
  <c r="H658" i="5"/>
  <c r="H712" i="5"/>
  <c r="H706" i="5"/>
  <c r="H707" i="5"/>
  <c r="H704" i="5"/>
  <c r="H705" i="5"/>
  <c r="H670" i="5"/>
  <c r="G674" i="5"/>
  <c r="G687" i="5"/>
  <c r="H675" i="5"/>
  <c r="H686" i="5"/>
  <c r="G707" i="5"/>
  <c r="G676" i="5"/>
  <c r="G704" i="5"/>
  <c r="G667" i="5"/>
  <c r="H685" i="5"/>
  <c r="G706" i="5"/>
  <c r="H673" i="5"/>
  <c r="G693" i="5"/>
  <c r="G677" i="5"/>
  <c r="G660" i="5"/>
  <c r="G680" i="5"/>
  <c r="H669" i="5"/>
  <c r="H680" i="5"/>
  <c r="H665" i="5"/>
  <c r="G694" i="5"/>
  <c r="G688" i="5"/>
  <c r="G695" i="5"/>
  <c r="H659" i="5"/>
  <c r="G699" i="5"/>
  <c r="G675" i="5"/>
  <c r="G663" i="5"/>
  <c r="H674" i="5"/>
  <c r="K1367" i="18"/>
  <c r="L1384" i="18"/>
  <c r="Q1701" i="18"/>
  <c r="L1713" i="18"/>
  <c r="K2332" i="18"/>
  <c r="N2346" i="18"/>
  <c r="N2275" i="18"/>
  <c r="L2290" i="18"/>
  <c r="K849" i="18"/>
  <c r="N1389" i="18"/>
  <c r="N1367" i="18"/>
  <c r="L1406" i="18"/>
  <c r="N1309" i="18"/>
  <c r="O4412" i="18"/>
  <c r="K3674" i="18"/>
  <c r="K3659" i="18" s="1"/>
  <c r="Q1451" i="18"/>
  <c r="Q689" i="18"/>
  <c r="K3949" i="18"/>
  <c r="Q3949" i="18"/>
  <c r="Q485" i="18"/>
  <c r="Q1461" i="18"/>
  <c r="Q2496" i="18"/>
  <c r="E121" i="8"/>
  <c r="K7" i="72"/>
  <c r="H24" i="72"/>
  <c r="E113" i="21"/>
  <c r="F125" i="8"/>
  <c r="F117" i="8"/>
  <c r="F68" i="7"/>
  <c r="E117" i="8"/>
  <c r="E31" i="74"/>
  <c r="E98" i="8"/>
  <c r="E125" i="8" s="1"/>
  <c r="E18" i="74"/>
  <c r="N2650" i="18"/>
  <c r="H2702" i="18"/>
  <c r="H2703" i="18"/>
  <c r="H2704" i="18"/>
  <c r="P3109" i="18"/>
  <c r="N3045" i="18"/>
  <c r="H3110" i="18"/>
  <c r="H3111" i="18"/>
  <c r="H3112" i="18"/>
  <c r="K2618" i="18"/>
  <c r="Q2601" i="18"/>
  <c r="P3105" i="18"/>
  <c r="K3045" i="18"/>
  <c r="O2982" i="18"/>
  <c r="L3020" i="18"/>
  <c r="L3038" i="18"/>
  <c r="L3029" i="18"/>
  <c r="I3040" i="18"/>
  <c r="J2597" i="18"/>
  <c r="J3040" i="18"/>
  <c r="H3040" i="18"/>
  <c r="K3040" i="18"/>
  <c r="K2575" i="18"/>
  <c r="I2597" i="18"/>
  <c r="K2595" i="18"/>
  <c r="H2597" i="18"/>
  <c r="K2585" i="18"/>
  <c r="Q2721" i="18"/>
  <c r="Q4342" i="18"/>
  <c r="P3005" i="18"/>
  <c r="K2984" i="18"/>
  <c r="K5462" i="18"/>
  <c r="Q4086" i="18"/>
  <c r="Q3215" i="18"/>
  <c r="Q2707" i="18"/>
  <c r="I1442" i="18"/>
  <c r="Q2465" i="18"/>
  <c r="K5484" i="18"/>
  <c r="Q2159" i="18"/>
  <c r="Q4310" i="18"/>
  <c r="N4412" i="18"/>
  <c r="K4394" i="18"/>
  <c r="Q4439" i="18"/>
  <c r="I1399" i="18"/>
  <c r="I1402" i="18"/>
  <c r="K870" i="18"/>
  <c r="Q3202" i="18"/>
  <c r="K3190" i="18"/>
  <c r="Q2204" i="18"/>
  <c r="N2922" i="18"/>
  <c r="Q3177" i="18"/>
  <c r="I513" i="18"/>
  <c r="Q500" i="18"/>
  <c r="I1377" i="18"/>
  <c r="I1380" i="18"/>
  <c r="G94" i="7"/>
  <c r="L94" i="7"/>
  <c r="H2036" i="18"/>
  <c r="J3273" i="18"/>
  <c r="H2278" i="18"/>
  <c r="G3031" i="18"/>
  <c r="G2577" i="18"/>
  <c r="G2563" i="18"/>
  <c r="G3022" i="18"/>
  <c r="G2598" i="18"/>
  <c r="G3012" i="18"/>
  <c r="L2278" i="18"/>
  <c r="G3041" i="18"/>
  <c r="J4428" i="18"/>
  <c r="J4437" i="18"/>
  <c r="G1935" i="18"/>
  <c r="G1498" i="18"/>
  <c r="D1506" i="18" s="1"/>
  <c r="G2145" i="18"/>
  <c r="J1913" i="18"/>
  <c r="J852" i="18"/>
  <c r="G1499" i="18"/>
  <c r="G2357" i="18"/>
  <c r="J2123" i="18"/>
  <c r="J1474" i="18"/>
  <c r="G1934" i="18"/>
  <c r="J4372" i="18"/>
  <c r="H2547" i="18"/>
  <c r="H2556" i="18"/>
  <c r="K2545" i="18" s="1"/>
  <c r="G2356" i="18"/>
  <c r="G2144" i="18"/>
  <c r="J254" i="18"/>
  <c r="J2335" i="18"/>
  <c r="J582" i="18"/>
  <c r="H2534" i="18"/>
  <c r="H2543" i="18"/>
  <c r="K2532" i="18" s="1"/>
  <c r="I2825" i="18"/>
  <c r="H3661" i="18"/>
  <c r="H3674" i="18" s="1"/>
  <c r="H471" i="18"/>
  <c r="J3261" i="18"/>
  <c r="H503" i="18"/>
  <c r="I4111" i="18"/>
  <c r="I4117" i="18" s="1"/>
  <c r="N4109" i="18" s="1"/>
  <c r="H4151" i="18"/>
  <c r="H4157" i="18" s="1"/>
  <c r="N4149" i="18" s="1"/>
  <c r="I3920" i="18"/>
  <c r="I3926" i="18" s="1"/>
  <c r="K2162" i="18"/>
  <c r="I4291" i="18"/>
  <c r="I4297" i="18" s="1"/>
  <c r="I4001" i="18"/>
  <c r="I4010" i="18" s="1"/>
  <c r="N3999" i="18" s="1"/>
  <c r="L1804" i="18"/>
  <c r="I2801" i="18"/>
  <c r="I2810" i="18" s="1"/>
  <c r="N2799" i="18" s="1"/>
  <c r="K1977" i="18"/>
  <c r="K1986" i="18" s="1"/>
  <c r="H4355" i="18"/>
  <c r="H4359" i="18" s="1"/>
  <c r="N4353" i="18" s="1"/>
  <c r="H1779" i="18"/>
  <c r="H1331" i="18"/>
  <c r="H254" i="18"/>
  <c r="K123" i="18"/>
  <c r="I1016" i="18"/>
  <c r="I1026" i="18" s="1"/>
  <c r="N1014" i="18" s="1"/>
  <c r="O1014" i="18" s="1"/>
  <c r="O6315" i="18" s="1"/>
  <c r="I1816" i="18"/>
  <c r="I1822" i="18" s="1"/>
  <c r="Q1814" i="18" s="1"/>
  <c r="I1794" i="18"/>
  <c r="I1799" i="18" s="1"/>
  <c r="N1792" i="18" s="1"/>
  <c r="H451" i="18"/>
  <c r="K1992" i="18"/>
  <c r="K2001" i="18" s="1"/>
  <c r="H3632" i="18"/>
  <c r="H3650" i="18" s="1"/>
  <c r="H4265" i="18"/>
  <c r="H4269" i="18" s="1"/>
  <c r="I3323" i="18"/>
  <c r="I3329" i="18" s="1"/>
  <c r="I2881" i="18"/>
  <c r="I2890" i="18" s="1"/>
  <c r="N2879" i="18" s="1"/>
  <c r="H4428" i="18"/>
  <c r="H4437" i="18" s="1"/>
  <c r="N4426" i="18" s="1"/>
  <c r="K23" i="18"/>
  <c r="I3833" i="18"/>
  <c r="I3839" i="18" s="1"/>
  <c r="H4417" i="18"/>
  <c r="H4423" i="18" s="1"/>
  <c r="N4415" i="18" s="1"/>
  <c r="I3290" i="18"/>
  <c r="I3298" i="18" s="1"/>
  <c r="H5341" i="18"/>
  <c r="H5374" i="18"/>
  <c r="H2468" i="18"/>
  <c r="H1641" i="18"/>
  <c r="I3535" i="18"/>
  <c r="I3541" i="18" s="1"/>
  <c r="N3533" i="18" s="1"/>
  <c r="H1312" i="18"/>
  <c r="I3280" i="18"/>
  <c r="I3286" i="18" s="1"/>
  <c r="H4364" i="18"/>
  <c r="H4366" i="18" s="1"/>
  <c r="N4362" i="18" s="1"/>
  <c r="L2053" i="18"/>
  <c r="K2207" i="18"/>
  <c r="K2465" i="18"/>
  <c r="Q1430" i="18"/>
  <c r="Q1389" i="18"/>
  <c r="Q1367" i="18"/>
  <c r="R4398" i="18"/>
  <c r="L46" i="68"/>
  <c r="L37" i="72"/>
  <c r="O500" i="18"/>
  <c r="M94" i="7"/>
  <c r="P3110" i="18"/>
  <c r="P3111" i="18"/>
  <c r="P3112" i="18"/>
  <c r="K3113" i="18"/>
  <c r="L3113" i="18"/>
  <c r="Q3045" i="18"/>
  <c r="L3040" i="18"/>
  <c r="K2601" i="18"/>
  <c r="K2597" i="18"/>
  <c r="Q2984" i="18"/>
  <c r="K2922" i="18"/>
  <c r="Q2922" i="18"/>
  <c r="N3831" i="18"/>
  <c r="I3853" i="18"/>
  <c r="N1814" i="18"/>
  <c r="O4439" i="18"/>
  <c r="O1389" i="18"/>
  <c r="O4850" i="18"/>
  <c r="O130" i="18"/>
  <c r="L1451" i="18"/>
  <c r="L1430" i="18"/>
  <c r="L1367" i="18"/>
  <c r="L1461" i="18"/>
  <c r="L130" i="18"/>
  <c r="L4850" i="18"/>
  <c r="L569" i="18"/>
  <c r="L485" i="18"/>
  <c r="L559" i="18"/>
  <c r="L4439" i="18"/>
  <c r="O4394" i="18"/>
  <c r="R4397" i="18"/>
  <c r="L4394" i="18"/>
  <c r="F172" i="5"/>
  <c r="J172" i="5"/>
  <c r="J178" i="5"/>
  <c r="J127" i="5"/>
  <c r="J132" i="5"/>
  <c r="F178" i="5"/>
  <c r="F63" i="52"/>
  <c r="F104" i="51"/>
  <c r="J158" i="5"/>
  <c r="J161" i="5"/>
  <c r="J163" i="5"/>
  <c r="E74" i="21"/>
  <c r="E92" i="21"/>
  <c r="E94" i="21"/>
  <c r="E95" i="21"/>
  <c r="E88" i="21"/>
  <c r="E50" i="21"/>
  <c r="E109" i="8"/>
  <c r="F194" i="5"/>
  <c r="F158" i="5"/>
  <c r="F67" i="52"/>
  <c r="H3555" i="18"/>
  <c r="H1382" i="18"/>
  <c r="H1007" i="18"/>
  <c r="H2288" i="18"/>
  <c r="H2344" i="18"/>
  <c r="H2229" i="18"/>
  <c r="H734" i="18"/>
  <c r="H756" i="18"/>
  <c r="H207" i="18"/>
  <c r="H229" i="18"/>
  <c r="H528" i="18"/>
  <c r="H1161" i="18"/>
  <c r="H1183" i="18"/>
  <c r="H123" i="18"/>
  <c r="H1260" i="18"/>
  <c r="P4372" i="18"/>
  <c r="H173" i="18"/>
  <c r="H4122" i="18"/>
  <c r="H4129" i="18"/>
  <c r="H3774" i="18"/>
  <c r="H3790" i="18"/>
  <c r="K3772" i="18" s="1"/>
  <c r="H381" i="18"/>
  <c r="K3622" i="18"/>
  <c r="H2643" i="18"/>
  <c r="H488" i="18"/>
  <c r="H1816" i="18"/>
  <c r="H1822" i="18"/>
  <c r="H4291" i="18"/>
  <c r="H4297" i="18"/>
  <c r="H92" i="18"/>
  <c r="H106" i="18"/>
  <c r="H3562" i="18"/>
  <c r="H3568" i="18"/>
  <c r="Q3560" i="18" s="1"/>
  <c r="H2501" i="18"/>
  <c r="H2506" i="18"/>
  <c r="K2499" i="18" s="1"/>
  <c r="H3475" i="18"/>
  <c r="H3481" i="18" s="1"/>
  <c r="N254" i="18"/>
  <c r="H2835" i="18"/>
  <c r="H1804" i="18"/>
  <c r="K2435" i="18"/>
  <c r="K2456" i="18" s="1"/>
  <c r="K2460" i="18" s="1"/>
  <c r="H2207" i="18"/>
  <c r="H4172" i="18"/>
  <c r="H4178" i="18"/>
  <c r="K4170" i="18" s="1"/>
  <c r="L3218" i="18"/>
  <c r="H3425" i="18"/>
  <c r="H3431" i="18"/>
  <c r="I5123" i="18"/>
  <c r="I4930" i="18"/>
  <c r="I4936" i="18"/>
  <c r="N4928" i="18" s="1"/>
  <c r="I4698" i="18"/>
  <c r="I4714" i="18" s="1"/>
  <c r="N4696" i="18" s="1"/>
  <c r="I4202" i="18"/>
  <c r="I4880" i="18"/>
  <c r="I4897" i="18" s="1"/>
  <c r="N4878" i="18" s="1"/>
  <c r="I4502" i="18"/>
  <c r="I4507" i="18"/>
  <c r="I5056" i="18"/>
  <c r="I5062" i="18"/>
  <c r="I4769" i="18"/>
  <c r="I4775" i="18"/>
  <c r="N4767" i="18" s="1"/>
  <c r="H1768" i="18"/>
  <c r="H1774" i="18" s="1"/>
  <c r="G2585" i="18"/>
  <c r="H5390" i="18"/>
  <c r="H5552" i="18"/>
  <c r="G3029" i="18"/>
  <c r="H815" i="18"/>
  <c r="H725" i="18"/>
  <c r="K2547" i="18"/>
  <c r="K4364" i="18"/>
  <c r="K4366" i="18"/>
  <c r="K4362" i="18"/>
  <c r="H1622" i="18"/>
  <c r="Q2468" i="18"/>
  <c r="K4151" i="18"/>
  <c r="K4157" i="18"/>
  <c r="Q4149" i="18" s="1"/>
  <c r="K4149" i="18"/>
  <c r="H217" i="18"/>
  <c r="M4273" i="18"/>
  <c r="M4279" i="18"/>
  <c r="M4283" i="18" s="1"/>
  <c r="H1794" i="18"/>
  <c r="H1799" i="18" s="1"/>
  <c r="K1792" i="18" s="1"/>
  <c r="H3920" i="18"/>
  <c r="H3926" i="18"/>
  <c r="H5358" i="18"/>
  <c r="M1641" i="18"/>
  <c r="K3385" i="18"/>
  <c r="K3394" i="18"/>
  <c r="K3383" i="18"/>
  <c r="N4345" i="18"/>
  <c r="H2825" i="18"/>
  <c r="H3535" i="18"/>
  <c r="H3541" i="18"/>
  <c r="H73" i="18"/>
  <c r="H87" i="18"/>
  <c r="K71" i="18"/>
  <c r="H1669" i="18"/>
  <c r="H1675" i="18" s="1"/>
  <c r="H3436" i="18"/>
  <c r="H3441" i="18" s="1"/>
  <c r="I5750" i="18"/>
  <c r="N692" i="18"/>
  <c r="H3731" i="18"/>
  <c r="H3764" i="18"/>
  <c r="H3769" i="18"/>
  <c r="K3762" i="18" s="1"/>
  <c r="H538" i="18"/>
  <c r="H3280" i="18"/>
  <c r="H3286" i="18" s="1"/>
  <c r="H970" i="18"/>
  <c r="H976" i="18"/>
  <c r="K968" i="18"/>
  <c r="H863" i="18"/>
  <c r="L1779" i="18"/>
  <c r="H3805" i="18"/>
  <c r="H3818" i="18"/>
  <c r="K3803" i="18" s="1"/>
  <c r="N852" i="18"/>
  <c r="H1297" i="18"/>
  <c r="H710" i="18"/>
  <c r="H2913" i="18"/>
  <c r="H1952" i="18"/>
  <c r="I5764" i="18"/>
  <c r="I5773" i="18"/>
  <c r="K5762" i="18"/>
  <c r="H3822" i="18"/>
  <c r="H3828" i="18"/>
  <c r="H5198" i="18"/>
  <c r="H5207" i="18"/>
  <c r="H5459" i="18"/>
  <c r="G2595" i="18"/>
  <c r="J5212" i="18"/>
  <c r="H5561" i="18"/>
  <c r="G3038" i="18"/>
  <c r="G2575" i="18"/>
  <c r="H959" i="18"/>
  <c r="H965" i="18" s="1"/>
  <c r="I1561" i="18"/>
  <c r="I1567" i="18"/>
  <c r="I4667" i="18"/>
  <c r="I4683" i="18" s="1"/>
  <c r="N4665" i="18" s="1"/>
  <c r="I4969" i="18"/>
  <c r="I4983" i="18"/>
  <c r="N4967" i="18" s="1"/>
  <c r="K5296" i="18"/>
  <c r="K5305" i="18" s="1"/>
  <c r="N5292" i="18" s="1"/>
  <c r="I4729" i="18"/>
  <c r="I4736" i="18"/>
  <c r="N4727" i="18"/>
  <c r="I4948" i="18"/>
  <c r="I4956" i="18" s="1"/>
  <c r="I5808" i="18"/>
  <c r="I5836" i="18"/>
  <c r="N5806" i="18"/>
  <c r="J4545" i="18"/>
  <c r="I4780" i="18"/>
  <c r="I4790" i="18"/>
  <c r="N4778" i="18"/>
  <c r="I4961" i="18"/>
  <c r="I4965" i="18"/>
  <c r="N4959" i="18"/>
  <c r="I5089" i="18"/>
  <c r="I5095" i="18" s="1"/>
  <c r="N5087" i="18" s="1"/>
  <c r="I4866" i="18"/>
  <c r="I4875" i="18"/>
  <c r="N4864" i="18" s="1"/>
  <c r="H805" i="18"/>
  <c r="H827" i="18"/>
  <c r="K4355" i="18"/>
  <c r="K4359" i="18" s="1"/>
  <c r="H1238" i="18"/>
  <c r="H3447" i="18"/>
  <c r="H3261" i="18"/>
  <c r="H2053" i="18"/>
  <c r="H991" i="18"/>
  <c r="H2162" i="18"/>
  <c r="H1843" i="18"/>
  <c r="H5160" i="18"/>
  <c r="H1193" i="18"/>
  <c r="H359" i="18"/>
  <c r="K3632" i="18"/>
  <c r="K4265" i="18"/>
  <c r="K4269" i="18"/>
  <c r="K4263" i="18" s="1"/>
  <c r="H947" i="18"/>
  <c r="H955" i="18"/>
  <c r="K945" i="18"/>
  <c r="H1105" i="18"/>
  <c r="H337" i="18"/>
  <c r="H319" i="18"/>
  <c r="M4428" i="18"/>
  <c r="M4437" i="18" s="1"/>
  <c r="K4426" i="18"/>
  <c r="H195" i="18"/>
  <c r="H23" i="18"/>
  <c r="H2417" i="18"/>
  <c r="Q4065" i="18"/>
  <c r="Q4074" i="18" s="1"/>
  <c r="K4063" i="18" s="1"/>
  <c r="N4089" i="18"/>
  <c r="H3833" i="18"/>
  <c r="H3839" i="18"/>
  <c r="K3831" i="18" s="1"/>
  <c r="H3310" i="18"/>
  <c r="H3318" i="18" s="1"/>
  <c r="H3323" i="18"/>
  <c r="H3329" i="18"/>
  <c r="K3321" i="18" s="1"/>
  <c r="H796" i="18"/>
  <c r="I5040" i="18"/>
  <c r="I5051" i="18"/>
  <c r="I4825" i="18"/>
  <c r="I4834" i="18"/>
  <c r="N4823" i="18" s="1"/>
  <c r="I4511" i="18"/>
  <c r="I4516" i="18" s="1"/>
  <c r="N4509" i="18" s="1"/>
  <c r="I5078" i="18"/>
  <c r="I5084" i="18"/>
  <c r="N5076" i="18" s="1"/>
  <c r="I4917" i="18"/>
  <c r="I4926" i="18"/>
  <c r="I4461" i="18"/>
  <c r="I4474" i="18" s="1"/>
  <c r="N4459" i="18" s="1"/>
  <c r="I1768" i="18"/>
  <c r="I1774" i="18"/>
  <c r="Q1766" i="18" s="1"/>
  <c r="I3273" i="18"/>
  <c r="H3273" i="18"/>
  <c r="G1510" i="18"/>
  <c r="H874" i="18"/>
  <c r="H889" i="18" s="1"/>
  <c r="K872" i="18" s="1"/>
  <c r="I1542" i="18"/>
  <c r="I1557" i="18"/>
  <c r="Q3983" i="18"/>
  <c r="Q3989" i="18" s="1"/>
  <c r="H1120" i="18"/>
  <c r="H4001" i="18"/>
  <c r="H4010" i="18"/>
  <c r="K3999" i="18" s="1"/>
  <c r="Q5580" i="18"/>
  <c r="K3685" i="18"/>
  <c r="K3713" i="18" s="1"/>
  <c r="K3683" i="18" s="1"/>
  <c r="M3205" i="18"/>
  <c r="M3193" i="18"/>
  <c r="H3290" i="18"/>
  <c r="H3298" i="18" s="1"/>
  <c r="H2801" i="18"/>
  <c r="H2810" i="18"/>
  <c r="K2799" i="18"/>
  <c r="M3180" i="18"/>
  <c r="M2851" i="18"/>
  <c r="M2862" i="18"/>
  <c r="H937" i="18"/>
  <c r="H942" i="18" s="1"/>
  <c r="K935" i="18" s="1"/>
  <c r="K4417" i="18"/>
  <c r="K4423" i="18"/>
  <c r="K4415" i="18" s="1"/>
  <c r="N2335" i="18"/>
  <c r="H2524" i="18"/>
  <c r="H2530" i="18" s="1"/>
  <c r="K2522" i="18" s="1"/>
  <c r="H1149" i="18"/>
  <c r="H1208" i="18"/>
  <c r="N582" i="18"/>
  <c r="H518" i="18"/>
  <c r="H12" i="18"/>
  <c r="H17" i="18"/>
  <c r="K10" i="18" s="1"/>
  <c r="H980" i="18"/>
  <c r="H986" i="18" s="1"/>
  <c r="K978" i="18" s="1"/>
  <c r="H5324" i="18"/>
  <c r="H3413" i="18"/>
  <c r="H3420" i="18"/>
  <c r="H1171" i="18"/>
  <c r="N2123" i="18"/>
  <c r="H744" i="18"/>
  <c r="H837" i="18"/>
  <c r="J4493" i="18"/>
  <c r="I5778" i="18"/>
  <c r="I4988" i="18"/>
  <c r="I4998" i="18"/>
  <c r="N4986" i="18" s="1"/>
  <c r="I4754" i="18"/>
  <c r="I4765" i="18" s="1"/>
  <c r="I4226" i="18"/>
  <c r="I5024" i="18"/>
  <c r="I5035" i="18"/>
  <c r="N5022" i="18" s="1"/>
  <c r="J4568" i="18"/>
  <c r="I5100" i="18"/>
  <c r="I4839" i="18"/>
  <c r="I4848" i="18" s="1"/>
  <c r="N4837" i="18" s="1"/>
  <c r="I4182" i="18"/>
  <c r="G2156" i="18"/>
  <c r="D2148" i="18" s="1"/>
  <c r="G2368" i="18"/>
  <c r="H3860" i="18"/>
  <c r="H3866" i="18" s="1"/>
  <c r="H3363" i="18"/>
  <c r="H3369" i="18"/>
  <c r="K3361" i="18" s="1"/>
  <c r="G2618" i="18"/>
  <c r="M2036" i="18"/>
  <c r="M2048" i="18"/>
  <c r="K2034" i="18"/>
  <c r="J592" i="18"/>
  <c r="H463" i="18"/>
  <c r="H347" i="18"/>
  <c r="E19" i="6"/>
  <c r="E117" i="21"/>
  <c r="E96" i="21"/>
  <c r="E89" i="21"/>
  <c r="E90" i="21"/>
  <c r="E91" i="21"/>
  <c r="E75" i="21"/>
  <c r="E105" i="21"/>
  <c r="F169" i="5"/>
  <c r="F66" i="52"/>
  <c r="D2151" i="18"/>
  <c r="D2146" i="18"/>
  <c r="D2149" i="18"/>
  <c r="K957" i="18"/>
  <c r="Q957" i="18"/>
  <c r="Q3820" i="18"/>
  <c r="K3820" i="18"/>
  <c r="Q3533" i="18"/>
  <c r="K3533" i="18"/>
  <c r="N4500" i="18"/>
  <c r="I4940" i="18"/>
  <c r="K3560" i="18"/>
  <c r="Q978" i="18"/>
  <c r="D1499" i="18"/>
  <c r="D1503" i="18"/>
  <c r="D1505" i="18"/>
  <c r="D1504" i="18"/>
  <c r="D1507" i="18"/>
  <c r="D1502" i="18"/>
  <c r="D1508" i="18"/>
  <c r="K3308" i="18"/>
  <c r="K4353" i="18"/>
  <c r="Q4353" i="18"/>
  <c r="K3434" i="18"/>
  <c r="K90" i="18"/>
  <c r="K4120" i="18"/>
  <c r="K3858" i="18"/>
  <c r="Q3858" i="18"/>
  <c r="H3302" i="18"/>
  <c r="K3288" i="18"/>
  <c r="K3981" i="18"/>
  <c r="Q3993" i="18"/>
  <c r="N5038" i="18"/>
  <c r="N4946" i="18"/>
  <c r="Q1667" i="18"/>
  <c r="H1679" i="18"/>
  <c r="K1667" i="18"/>
  <c r="K3918" i="18"/>
  <c r="K1766" i="18"/>
  <c r="N5054" i="18"/>
  <c r="K3423" i="18"/>
  <c r="K4289" i="18"/>
  <c r="D2364" i="18"/>
  <c r="D2359" i="18"/>
  <c r="D2365" i="18"/>
  <c r="D2360" i="18"/>
  <c r="D2366" i="18"/>
  <c r="D2361" i="18"/>
  <c r="D2357" i="18"/>
  <c r="D2356" i="18"/>
  <c r="D2362" i="18"/>
  <c r="D2368" i="18"/>
  <c r="D2363" i="18"/>
  <c r="D2358" i="18"/>
  <c r="N4752" i="18"/>
  <c r="K3411" i="18"/>
  <c r="N2849" i="18"/>
  <c r="Q1540" i="18"/>
  <c r="K1540" i="18"/>
  <c r="N4915" i="18"/>
  <c r="K1559" i="18"/>
  <c r="Q1559" i="18"/>
  <c r="Q1792" i="18"/>
  <c r="K1814" i="18"/>
  <c r="F121" i="51"/>
  <c r="N16" i="2"/>
  <c r="F565" i="5" s="1"/>
  <c r="E121" i="21"/>
  <c r="E97" i="21"/>
  <c r="E98" i="21"/>
  <c r="E99" i="21"/>
  <c r="J443" i="18"/>
  <c r="K439" i="18"/>
  <c r="J347" i="18"/>
  <c r="J351" i="18" s="1"/>
  <c r="H351" i="18"/>
  <c r="Q629" i="18"/>
  <c r="N596" i="18"/>
  <c r="K579" i="18"/>
  <c r="N430" i="18"/>
  <c r="AE12" i="12"/>
  <c r="F17" i="12"/>
  <c r="F27" i="12"/>
  <c r="F37" i="12"/>
  <c r="B16" i="12"/>
  <c r="B15" i="12"/>
  <c r="F38" i="12"/>
  <c r="F15" i="12"/>
  <c r="F28" i="12"/>
  <c r="F14" i="12"/>
  <c r="E12" i="12"/>
  <c r="B12" i="12"/>
  <c r="R12" i="12"/>
  <c r="B11" i="12"/>
  <c r="L602" i="5"/>
  <c r="K437" i="5"/>
  <c r="K424" i="5"/>
  <c r="L176" i="5"/>
  <c r="K137" i="5"/>
  <c r="K84" i="5"/>
  <c r="L236" i="5"/>
  <c r="L67" i="5"/>
  <c r="L162" i="5"/>
  <c r="K323" i="5"/>
  <c r="L58" i="5"/>
  <c r="L179" i="5"/>
  <c r="L260" i="5"/>
  <c r="K248" i="5"/>
  <c r="K643" i="5"/>
  <c r="L487" i="5"/>
  <c r="L146" i="5"/>
  <c r="L31" i="5"/>
  <c r="K391" i="5"/>
  <c r="K67" i="5"/>
  <c r="M67" i="5" s="1"/>
  <c r="L9" i="68" s="1"/>
  <c r="L781" i="5"/>
  <c r="L384" i="5"/>
  <c r="J3654" i="18"/>
  <c r="J3623" i="18"/>
  <c r="J3628" i="18"/>
  <c r="N18" i="2"/>
  <c r="F567" i="5" s="1"/>
  <c r="F171" i="5"/>
  <c r="J171" i="5"/>
  <c r="K26" i="5"/>
  <c r="I96" i="7"/>
  <c r="L33" i="5"/>
  <c r="F108" i="5"/>
  <c r="F76" i="51"/>
  <c r="L508" i="5"/>
  <c r="K443" i="5"/>
  <c r="L569" i="5"/>
  <c r="K515" i="5"/>
  <c r="K23" i="5"/>
  <c r="J63" i="5"/>
  <c r="K72" i="5"/>
  <c r="L32" i="5"/>
  <c r="J92" i="5"/>
  <c r="L278" i="5"/>
  <c r="K730" i="5"/>
  <c r="L342" i="5"/>
  <c r="K386" i="5"/>
  <c r="K85" i="5"/>
  <c r="K101" i="5"/>
  <c r="K45" i="5"/>
  <c r="L438" i="5"/>
  <c r="L547" i="5"/>
  <c r="L482" i="5"/>
  <c r="F122" i="5"/>
  <c r="F124" i="5"/>
  <c r="F60" i="52"/>
  <c r="C93" i="21"/>
  <c r="J35" i="5"/>
  <c r="K129" i="5"/>
  <c r="L138" i="5"/>
  <c r="F21" i="11"/>
  <c r="L430" i="5"/>
  <c r="G673" i="5"/>
  <c r="G685" i="5"/>
  <c r="G689" i="5"/>
  <c r="K297" i="5"/>
  <c r="L317" i="5"/>
  <c r="K327" i="5"/>
  <c r="F35" i="12"/>
  <c r="C69" i="73"/>
  <c r="L43" i="7"/>
  <c r="J100" i="5"/>
  <c r="F54" i="21"/>
  <c r="F60" i="8"/>
  <c r="F55" i="8"/>
  <c r="F48" i="8"/>
  <c r="F49" i="8"/>
  <c r="F42" i="8"/>
  <c r="AB36" i="2"/>
  <c r="X36" i="2"/>
  <c r="T36" i="2"/>
  <c r="AE36" i="2"/>
  <c r="AC36" i="2"/>
  <c r="U36" i="2"/>
  <c r="X29" i="2"/>
  <c r="T29" i="2"/>
  <c r="AC29" i="2"/>
  <c r="AB24" i="2"/>
  <c r="X24" i="2"/>
  <c r="AC24" i="2"/>
  <c r="U24" i="2"/>
  <c r="AD24" i="2"/>
  <c r="Z24" i="2"/>
  <c r="V24" i="2"/>
  <c r="R24" i="2"/>
  <c r="AA24" i="2"/>
  <c r="W24" i="2"/>
  <c r="S24" i="2"/>
  <c r="X19" i="2"/>
  <c r="T19" i="2"/>
  <c r="AC19" i="2"/>
  <c r="AC15" i="2"/>
  <c r="Y19" i="2"/>
  <c r="AD19" i="2"/>
  <c r="Z19" i="2"/>
  <c r="Z15" i="2"/>
  <c r="V19" i="2"/>
  <c r="AA19" i="2"/>
  <c r="W19" i="2"/>
  <c r="S19" i="2"/>
  <c r="X14" i="2"/>
  <c r="T14" i="2"/>
  <c r="AC14" i="2"/>
  <c r="U14" i="2"/>
  <c r="AD14" i="2"/>
  <c r="Z14" i="2"/>
  <c r="V14" i="2"/>
  <c r="R14" i="2"/>
  <c r="AA14" i="2"/>
  <c r="L45" i="71"/>
  <c r="AE24" i="2"/>
  <c r="AB29" i="2"/>
  <c r="T24" i="2"/>
  <c r="I23" i="89"/>
  <c r="J23" i="89"/>
  <c r="C27" i="89"/>
  <c r="I24" i="89"/>
  <c r="J24" i="89"/>
  <c r="C28" i="89"/>
  <c r="F170" i="5"/>
  <c r="F123" i="51"/>
  <c r="J18" i="2"/>
  <c r="F193" i="5"/>
  <c r="F71" i="8"/>
  <c r="J64" i="5"/>
  <c r="X18" i="2"/>
  <c r="F114" i="21" s="1"/>
  <c r="F115" i="21" s="1"/>
  <c r="F116" i="21" s="1"/>
  <c r="J170" i="5"/>
  <c r="J192" i="5"/>
  <c r="F64" i="52"/>
  <c r="F161" i="5"/>
  <c r="F163" i="5"/>
  <c r="F61" i="52"/>
  <c r="F35" i="5"/>
  <c r="L41" i="5"/>
  <c r="K285" i="5"/>
  <c r="T12" i="13"/>
  <c r="R12" i="13"/>
  <c r="O39" i="13"/>
  <c r="T24" i="13"/>
  <c r="R24" i="13"/>
  <c r="F13" i="11"/>
  <c r="F12" i="11"/>
  <c r="K631" i="5"/>
  <c r="L115" i="5"/>
  <c r="L619" i="5"/>
  <c r="K190" i="5"/>
  <c r="L358" i="5"/>
  <c r="K180" i="5"/>
  <c r="K513" i="5"/>
  <c r="K286" i="5"/>
  <c r="K376" i="5"/>
  <c r="L357" i="5"/>
  <c r="K521" i="5"/>
  <c r="K514" i="5"/>
  <c r="K558" i="5"/>
  <c r="L732" i="5"/>
  <c r="L538" i="5"/>
  <c r="K467" i="5"/>
  <c r="K594" i="5"/>
  <c r="K438" i="5"/>
  <c r="L719" i="5"/>
  <c r="L579" i="5"/>
  <c r="K625" i="5"/>
  <c r="K776" i="5"/>
  <c r="K77" i="5"/>
  <c r="L99" i="5"/>
  <c r="L42" i="5"/>
  <c r="K94" i="5"/>
  <c r="K20" i="5"/>
  <c r="L250" i="5"/>
  <c r="L319" i="5"/>
  <c r="L341" i="5"/>
  <c r="L421" i="5"/>
  <c r="K29" i="5"/>
  <c r="K262" i="5"/>
  <c r="K350" i="5"/>
  <c r="L506" i="5"/>
  <c r="L190" i="5"/>
  <c r="L403" i="5"/>
  <c r="K632" i="5"/>
  <c r="K575" i="5"/>
  <c r="K529" i="5"/>
  <c r="K470" i="5"/>
  <c r="L562" i="5"/>
  <c r="L480" i="5"/>
  <c r="L454" i="5"/>
  <c r="L584" i="5"/>
  <c r="K551" i="5"/>
  <c r="K481" i="5"/>
  <c r="L588" i="5"/>
  <c r="K554" i="5"/>
  <c r="K773" i="5"/>
  <c r="L539" i="5"/>
  <c r="K620" i="5"/>
  <c r="L645" i="5"/>
  <c r="L97" i="5"/>
  <c r="L62" i="5"/>
  <c r="K772" i="5"/>
  <c r="K731" i="5"/>
  <c r="K450" i="5"/>
  <c r="K635" i="5"/>
  <c r="L505" i="5"/>
  <c r="K728" i="5"/>
  <c r="K406" i="5"/>
  <c r="K384" i="5"/>
  <c r="K293" i="5"/>
  <c r="L631" i="5"/>
  <c r="K778" i="5"/>
  <c r="L537" i="5"/>
  <c r="L733" i="5"/>
  <c r="L583" i="5"/>
  <c r="L443" i="5"/>
  <c r="L580" i="5"/>
  <c r="K451" i="5"/>
  <c r="K592" i="5"/>
  <c r="L522" i="5"/>
  <c r="K595" i="5"/>
  <c r="L598" i="5"/>
  <c r="K516" i="5"/>
  <c r="L375" i="5"/>
  <c r="L243" i="5"/>
  <c r="L388" i="5"/>
  <c r="L343" i="5"/>
  <c r="L300" i="5"/>
  <c r="K398" i="5"/>
  <c r="K517" i="5"/>
  <c r="K157" i="5"/>
  <c r="K56" i="5"/>
  <c r="L145" i="5"/>
  <c r="L621" i="5"/>
  <c r="K646" i="5"/>
  <c r="L484" i="5"/>
  <c r="L449" i="5"/>
  <c r="K598" i="5"/>
  <c r="K626" i="5"/>
  <c r="K416" i="5"/>
  <c r="K253" i="5"/>
  <c r="K326" i="5"/>
  <c r="K88" i="5"/>
  <c r="K99" i="5"/>
  <c r="L189" i="5"/>
  <c r="L139" i="5"/>
  <c r="L632" i="5"/>
  <c r="L571" i="5"/>
  <c r="K636" i="5"/>
  <c r="K604" i="5"/>
  <c r="K455" i="5"/>
  <c r="K584" i="5"/>
  <c r="K444" i="5"/>
  <c r="K475" i="5"/>
  <c r="K536" i="5"/>
  <c r="K720" i="5"/>
  <c r="L399" i="5"/>
  <c r="K420" i="5"/>
  <c r="K378" i="5"/>
  <c r="L160" i="5"/>
  <c r="K365" i="5"/>
  <c r="K321" i="5"/>
  <c r="K425" i="5"/>
  <c r="K104" i="5"/>
  <c r="L536" i="5"/>
  <c r="L535" i="5" s="1"/>
  <c r="K187" i="5"/>
  <c r="L423" i="5"/>
  <c r="L101" i="5"/>
  <c r="F34" i="12"/>
  <c r="F102" i="51"/>
  <c r="F63" i="5"/>
  <c r="K303" i="5"/>
  <c r="K292" i="5"/>
  <c r="K278" i="5"/>
  <c r="K301" i="5"/>
  <c r="K273" i="5"/>
  <c r="L23" i="5"/>
  <c r="L310" i="5"/>
  <c r="K21" i="5"/>
  <c r="T38" i="13"/>
  <c r="S38" i="13"/>
  <c r="L22" i="5"/>
  <c r="J108" i="5"/>
  <c r="J109" i="5"/>
  <c r="K120" i="5"/>
  <c r="L135" i="5"/>
  <c r="K148" i="5"/>
  <c r="K240" i="5"/>
  <c r="L247" i="5"/>
  <c r="L254" i="5"/>
  <c r="K257" i="5"/>
  <c r="K261" i="5"/>
  <c r="K264" i="5"/>
  <c r="L333" i="5"/>
  <c r="L335" i="5"/>
  <c r="L350" i="5"/>
  <c r="L82" i="5"/>
  <c r="K428" i="5"/>
  <c r="L271" i="5"/>
  <c r="K271" i="5"/>
  <c r="L315" i="5"/>
  <c r="K315" i="5"/>
  <c r="K138" i="5"/>
  <c r="C103" i="8"/>
  <c r="C122" i="8"/>
  <c r="K37" i="5"/>
  <c r="K58" i="5"/>
  <c r="L84" i="5"/>
  <c r="L133" i="5"/>
  <c r="F127" i="5"/>
  <c r="F92" i="5"/>
  <c r="O40" i="13"/>
  <c r="K100" i="5"/>
  <c r="L546" i="5"/>
  <c r="L74" i="5"/>
  <c r="L60" i="5"/>
  <c r="K130" i="5"/>
  <c r="L238" i="5"/>
  <c r="K311" i="5"/>
  <c r="K379" i="5"/>
  <c r="K33" i="5"/>
  <c r="L261" i="5"/>
  <c r="K387" i="5"/>
  <c r="K185" i="5"/>
  <c r="K616" i="5"/>
  <c r="L515" i="5"/>
  <c r="L533" i="5"/>
  <c r="K610" i="5"/>
  <c r="L488" i="5"/>
  <c r="K727" i="5"/>
  <c r="K627" i="5"/>
  <c r="L103" i="5"/>
  <c r="K89" i="5"/>
  <c r="K260" i="5"/>
  <c r="K304" i="5"/>
  <c r="L89" i="5"/>
  <c r="K383" i="5"/>
  <c r="K546" i="5"/>
  <c r="L475" i="5"/>
  <c r="K462" i="5"/>
  <c r="L586" i="5"/>
  <c r="K144" i="5"/>
  <c r="K57" i="5"/>
  <c r="L185" i="5"/>
  <c r="K54" i="5"/>
  <c r="K74" i="5"/>
  <c r="K12" i="5"/>
  <c r="K78" i="5"/>
  <c r="L289" i="5"/>
  <c r="L353" i="5"/>
  <c r="L114" i="5"/>
  <c r="L354" i="5"/>
  <c r="L418" i="5"/>
  <c r="L773" i="5"/>
  <c r="K543" i="5"/>
  <c r="K652" i="5"/>
  <c r="L772" i="5"/>
  <c r="K526" i="5"/>
  <c r="K488" i="5"/>
  <c r="K648" i="5"/>
  <c r="K617" i="5"/>
  <c r="K60" i="5"/>
  <c r="K18" i="5"/>
  <c r="L429" i="5"/>
  <c r="K272" i="5"/>
  <c r="K419" i="5"/>
  <c r="K265" i="5"/>
  <c r="K373" i="5"/>
  <c r="K602" i="5"/>
  <c r="L494" i="5"/>
  <c r="K571" i="5"/>
  <c r="K769" i="5"/>
  <c r="K392" i="5"/>
  <c r="L183" i="5"/>
  <c r="L624" i="5"/>
  <c r="L643" i="5"/>
  <c r="L549" i="5"/>
  <c r="K765" i="5"/>
  <c r="K725" i="5"/>
  <c r="L599" i="5"/>
  <c r="K476" i="5"/>
  <c r="L445" i="5"/>
  <c r="L600" i="5"/>
  <c r="L463" i="5"/>
  <c r="K459" i="5"/>
  <c r="L543" i="5"/>
  <c r="K480" i="5"/>
  <c r="L720" i="5"/>
  <c r="K560" i="5"/>
  <c r="K724" i="5"/>
  <c r="L518" i="5"/>
  <c r="K418" i="5"/>
  <c r="K380" i="5"/>
  <c r="K354" i="5"/>
  <c r="K295" i="5"/>
  <c r="L157" i="5"/>
  <c r="L175" i="5"/>
  <c r="L417" i="5"/>
  <c r="L376" i="5"/>
  <c r="L346" i="5"/>
  <c r="L314" i="5"/>
  <c r="L286" i="5"/>
  <c r="K255" i="5"/>
  <c r="K128" i="5"/>
  <c r="K402" i="5"/>
  <c r="L34" i="5"/>
  <c r="L111" i="5"/>
  <c r="K103" i="5"/>
  <c r="M103" i="5" s="1"/>
  <c r="D79" i="51" s="1"/>
  <c r="K151" i="5"/>
  <c r="K50" i="5"/>
  <c r="K188" i="5"/>
  <c r="K81" i="5"/>
  <c r="K118" i="5"/>
  <c r="K179" i="5"/>
  <c r="L19" i="5"/>
  <c r="K44" i="5"/>
  <c r="K156" i="5"/>
  <c r="L620" i="5"/>
  <c r="L637" i="5"/>
  <c r="L646" i="5"/>
  <c r="L551" i="5"/>
  <c r="K767" i="5"/>
  <c r="L727" i="5"/>
  <c r="K609" i="5"/>
  <c r="L481" i="5"/>
  <c r="K448" i="5"/>
  <c r="K605" i="5"/>
  <c r="L451" i="5"/>
  <c r="K447" i="5"/>
  <c r="L496" i="5"/>
  <c r="L774" i="5"/>
  <c r="L517" i="5"/>
  <c r="K548" i="5"/>
  <c r="K628" i="5"/>
  <c r="L587" i="5"/>
  <c r="L392" i="5"/>
  <c r="K511" i="5"/>
  <c r="L387" i="5"/>
  <c r="L362" i="5"/>
  <c r="L331" i="5"/>
  <c r="K237" i="5"/>
  <c r="L29" i="5"/>
  <c r="K31" i="5"/>
  <c r="K407" i="5"/>
  <c r="K363" i="5"/>
  <c r="K334" i="5"/>
  <c r="K302" i="5"/>
  <c r="K276" i="5"/>
  <c r="K239" i="5"/>
  <c r="L425" i="5"/>
  <c r="K34" i="5"/>
  <c r="L116" i="5"/>
  <c r="L81" i="5"/>
  <c r="K106" i="5"/>
  <c r="K48" i="5"/>
  <c r="L541" i="5"/>
  <c r="K145" i="5"/>
  <c r="L181" i="5"/>
  <c r="K113" i="5"/>
  <c r="K16" i="5"/>
  <c r="L555" i="5"/>
  <c r="K173" i="5"/>
  <c r="L25" i="5"/>
  <c r="L316" i="5"/>
  <c r="L327" i="5"/>
  <c r="K577" i="5"/>
  <c r="K473" i="5"/>
  <c r="L304" i="5"/>
  <c r="L724" i="5"/>
  <c r="L593" i="5"/>
  <c r="K91" i="5"/>
  <c r="L390" i="5"/>
  <c r="L729" i="5"/>
  <c r="L284" i="5"/>
  <c r="K184" i="5"/>
  <c r="L340" i="5"/>
  <c r="K638" i="5"/>
  <c r="L380" i="5"/>
  <c r="L141" i="5"/>
  <c r="K25" i="5"/>
  <c r="K24" i="5"/>
  <c r="S24" i="13"/>
  <c r="S41" i="13"/>
  <c r="R38" i="11"/>
  <c r="E11" i="80"/>
  <c r="H677" i="5"/>
  <c r="G668" i="5"/>
  <c r="H660" i="5"/>
  <c r="H694" i="5"/>
  <c r="G692" i="5"/>
  <c r="H699" i="5"/>
  <c r="H695" i="5"/>
  <c r="H667" i="5"/>
  <c r="G710" i="5"/>
  <c r="G679" i="5"/>
  <c r="G666" i="5"/>
  <c r="H700" i="5"/>
  <c r="H688" i="5"/>
  <c r="G702" i="5"/>
  <c r="G691" i="5"/>
  <c r="H693" i="5"/>
  <c r="G669" i="5"/>
  <c r="G670" i="5"/>
  <c r="H687" i="5"/>
  <c r="K55" i="5"/>
  <c r="L61" i="5"/>
  <c r="L90" i="5"/>
  <c r="K96" i="5"/>
  <c r="K111" i="5"/>
  <c r="J122" i="5"/>
  <c r="J124" i="5"/>
  <c r="K150" i="5"/>
  <c r="L159" i="5"/>
  <c r="K159" i="5"/>
  <c r="L174" i="5"/>
  <c r="K181" i="5"/>
  <c r="K183" i="5"/>
  <c r="K236" i="5"/>
  <c r="K460" i="5"/>
  <c r="L466" i="5"/>
  <c r="K466" i="5"/>
  <c r="K335" i="5"/>
  <c r="L37" i="5"/>
  <c r="K133" i="5"/>
  <c r="E821" i="5"/>
  <c r="C84" i="74"/>
  <c r="C98" i="74"/>
  <c r="G67" i="7"/>
  <c r="G35" i="7"/>
  <c r="L65" i="7"/>
  <c r="L67" i="7"/>
  <c r="L51" i="7"/>
  <c r="L35" i="7"/>
  <c r="F53" i="21"/>
  <c r="F40" i="21"/>
  <c r="F43" i="21"/>
  <c r="F45" i="21"/>
  <c r="F9" i="21"/>
  <c r="F34" i="8"/>
  <c r="F23" i="8"/>
  <c r="W15" i="2"/>
  <c r="W40" i="2"/>
  <c r="Z40" i="2"/>
  <c r="U15" i="2"/>
  <c r="AD29" i="2"/>
  <c r="V29" i="2"/>
  <c r="V15" i="2"/>
  <c r="V40" i="2"/>
  <c r="R29" i="2"/>
  <c r="R15" i="2"/>
  <c r="R40" i="2"/>
  <c r="AA29" i="2"/>
  <c r="AA15" i="2"/>
  <c r="AA40" i="2"/>
  <c r="S29" i="2"/>
  <c r="S15" i="2"/>
  <c r="T15" i="2"/>
  <c r="T40" i="2"/>
  <c r="AD15" i="2"/>
  <c r="AD40" i="2"/>
  <c r="AC40" i="2"/>
  <c r="U40" i="2"/>
  <c r="AB14" i="2"/>
  <c r="S14" i="2"/>
  <c r="C50" i="75"/>
  <c r="L44" i="75"/>
  <c r="F14" i="21"/>
  <c r="Y29" i="2"/>
  <c r="Y15" i="2"/>
  <c r="Y40" i="2"/>
  <c r="C101" i="70"/>
  <c r="C87" i="69"/>
  <c r="H3853" i="18"/>
  <c r="Q3831" i="18"/>
  <c r="I2894" i="18"/>
  <c r="I2895" i="18"/>
  <c r="I2896" i="18" s="1"/>
  <c r="H2894" i="18"/>
  <c r="K1949" i="18"/>
  <c r="Q1949" i="18"/>
  <c r="D22" i="88"/>
  <c r="G75" i="6"/>
  <c r="F13" i="12"/>
  <c r="F12" i="12"/>
  <c r="K492" i="5"/>
  <c r="K461" i="5"/>
  <c r="K39" i="5"/>
  <c r="L137" i="5"/>
  <c r="K250" i="5"/>
  <c r="L96" i="5"/>
  <c r="L352" i="5"/>
  <c r="K504" i="5"/>
  <c r="K649" i="5"/>
  <c r="K645" i="5"/>
  <c r="L499" i="5"/>
  <c r="L528" i="5"/>
  <c r="L120" i="5"/>
  <c r="K46" i="5"/>
  <c r="K53" i="5"/>
  <c r="K135" i="5"/>
  <c r="L14" i="5"/>
  <c r="L28" i="5"/>
  <c r="K186" i="5"/>
  <c r="K66" i="5"/>
  <c r="L72" i="5"/>
  <c r="L264" i="5"/>
  <c r="L302" i="5"/>
  <c r="L334" i="5"/>
  <c r="L381" i="5"/>
  <c r="L118" i="5"/>
  <c r="L77" i="5"/>
  <c r="L258" i="5"/>
  <c r="K317" i="5"/>
  <c r="K359" i="5"/>
  <c r="K408" i="5"/>
  <c r="L150" i="5"/>
  <c r="L592" i="5"/>
  <c r="K612" i="5"/>
  <c r="L768" i="5"/>
  <c r="K642" i="5"/>
  <c r="L489" i="5"/>
  <c r="K654" i="5"/>
  <c r="L610" i="5"/>
  <c r="L462" i="5"/>
  <c r="K499" i="5"/>
  <c r="K729" i="5"/>
  <c r="L595" i="5"/>
  <c r="K579" i="5"/>
  <c r="L654" i="5"/>
  <c r="K105" i="5"/>
  <c r="K574" i="5"/>
  <c r="L188" i="5"/>
  <c r="K570" i="5"/>
  <c r="K352" i="5"/>
  <c r="K19" i="5"/>
  <c r="L249" i="5"/>
  <c r="K40" i="5"/>
  <c r="K146" i="5"/>
  <c r="L559" i="5"/>
  <c r="K544" i="5"/>
  <c r="K576" i="5"/>
  <c r="L472" i="5"/>
  <c r="L503" i="5"/>
  <c r="K726" i="5"/>
  <c r="L408" i="5"/>
  <c r="L322" i="5"/>
  <c r="L53" i="5"/>
  <c r="L379" i="5"/>
  <c r="L311" i="5"/>
  <c r="L13" i="5"/>
  <c r="L100" i="5"/>
  <c r="K155" i="5"/>
  <c r="L155" i="5"/>
  <c r="L80" i="5"/>
  <c r="L554" i="5"/>
  <c r="K440" i="5"/>
  <c r="K640" i="5"/>
  <c r="K362" i="5"/>
  <c r="K176" i="5"/>
  <c r="K366" i="5"/>
  <c r="K396" i="5"/>
  <c r="L78" i="5"/>
  <c r="L652" i="5"/>
  <c r="L607" i="5"/>
  <c r="K583" i="5"/>
  <c r="L439" i="5"/>
  <c r="L617" i="5"/>
  <c r="K581" i="5"/>
  <c r="K533" i="5"/>
  <c r="L69" i="5"/>
  <c r="L55" i="5"/>
  <c r="L79" i="5"/>
  <c r="K296" i="5"/>
  <c r="K258" i="5"/>
  <c r="L383" i="5"/>
  <c r="L777" i="5"/>
  <c r="K477" i="5"/>
  <c r="K580" i="5"/>
  <c r="K539" i="5"/>
  <c r="L636" i="5"/>
  <c r="K259" i="5"/>
  <c r="L68" i="5"/>
  <c r="K252" i="5"/>
  <c r="L560" i="5"/>
  <c r="L48" i="5"/>
  <c r="K87" i="5"/>
  <c r="K429" i="5"/>
  <c r="K247" i="5"/>
  <c r="K168" i="5"/>
  <c r="L270" i="5"/>
  <c r="L309" i="5"/>
  <c r="L351" i="5"/>
  <c r="L407" i="5"/>
  <c r="K162" i="5"/>
  <c r="L130" i="5"/>
  <c r="K280" i="5"/>
  <c r="K333" i="5"/>
  <c r="K364" i="5"/>
  <c r="K413" i="5"/>
  <c r="L391" i="5"/>
  <c r="L771" i="5"/>
  <c r="K591" i="5"/>
  <c r="L520" i="5"/>
  <c r="K608" i="5"/>
  <c r="L470" i="5"/>
  <c r="L444" i="5"/>
  <c r="K532" i="5"/>
  <c r="K471" i="5"/>
  <c r="L609" i="5"/>
  <c r="K641" i="5"/>
  <c r="L526" i="5"/>
  <c r="L653" i="5"/>
  <c r="L18" i="5"/>
  <c r="L642" i="5"/>
  <c r="K593" i="5"/>
  <c r="K454" i="5"/>
  <c r="L504" i="5"/>
  <c r="K331" i="5"/>
  <c r="K358" i="5"/>
  <c r="L177" i="5"/>
  <c r="L91" i="5"/>
  <c r="L649" i="5"/>
  <c r="L591" i="5"/>
  <c r="L604" i="5"/>
  <c r="L605" i="5"/>
  <c r="L492" i="5"/>
  <c r="L776" i="5"/>
  <c r="K509" i="5"/>
  <c r="L385" i="5"/>
  <c r="L312" i="5"/>
  <c r="L144" i="5"/>
  <c r="L365" i="5"/>
  <c r="L279" i="5"/>
  <c r="K98" i="5"/>
  <c r="L59" i="5"/>
  <c r="K115" i="5"/>
  <c r="K149" i="5"/>
  <c r="L778" i="5"/>
  <c r="K723" i="5"/>
  <c r="L780" i="5"/>
  <c r="L775" i="5"/>
  <c r="K342" i="5"/>
  <c r="K409" i="5"/>
  <c r="K463" i="5"/>
  <c r="L12" i="5"/>
  <c r="K637" i="5"/>
  <c r="K780" i="5"/>
  <c r="K777" i="5"/>
  <c r="L478" i="5"/>
  <c r="L459" i="5"/>
  <c r="K494" i="5"/>
  <c r="L767" i="5"/>
  <c r="K423" i="5"/>
  <c r="K249" i="5"/>
  <c r="K520" i="5"/>
  <c r="L54" i="5"/>
  <c r="K355" i="5"/>
  <c r="L297" i="5"/>
  <c r="L416" i="5"/>
  <c r="K607" i="5"/>
  <c r="L558" i="5"/>
  <c r="K561" i="5"/>
  <c r="L731" i="5"/>
  <c r="L626" i="5"/>
  <c r="L151" i="5"/>
  <c r="L107" i="5"/>
  <c r="L70" i="5"/>
  <c r="K97" i="5"/>
  <c r="K79" i="5"/>
  <c r="L11" i="5"/>
  <c r="L575" i="5"/>
  <c r="K431" i="5"/>
  <c r="K174" i="5"/>
  <c r="L281" i="5"/>
  <c r="L323" i="5"/>
  <c r="L355" i="5"/>
  <c r="L412" i="5"/>
  <c r="L152" i="5"/>
  <c r="K243" i="5"/>
  <c r="K290" i="5"/>
  <c r="K340" i="5"/>
  <c r="K375" i="5"/>
  <c r="L516" i="5"/>
  <c r="L397" i="5"/>
  <c r="K732" i="5"/>
  <c r="K550" i="5"/>
  <c r="K500" i="5"/>
  <c r="K587" i="5"/>
  <c r="K449" i="5"/>
  <c r="L180" i="5"/>
  <c r="L440" i="5"/>
  <c r="K485" i="5"/>
  <c r="K528" i="5"/>
  <c r="K650" i="5"/>
  <c r="L561" i="5"/>
  <c r="K774" i="5"/>
  <c r="K153" i="5"/>
  <c r="K615" i="5"/>
  <c r="L473" i="5"/>
  <c r="L766" i="5"/>
  <c r="L395" i="5"/>
  <c r="K288" i="5"/>
  <c r="K338" i="5"/>
  <c r="L38" i="5"/>
  <c r="L143" i="5"/>
  <c r="L628" i="5"/>
  <c r="K771" i="5"/>
  <c r="K478" i="5"/>
  <c r="L447" i="5"/>
  <c r="L548" i="5"/>
  <c r="K562" i="5"/>
  <c r="L396" i="5"/>
  <c r="L364" i="5"/>
  <c r="L269" i="5"/>
  <c r="K27" i="5"/>
  <c r="L332" i="5"/>
  <c r="L266" i="5"/>
  <c r="K38" i="5"/>
  <c r="K522" i="5"/>
  <c r="L83" i="5"/>
  <c r="K47" i="5"/>
  <c r="K139" i="5"/>
  <c r="L495" i="5"/>
  <c r="L553" i="5"/>
  <c r="L603" i="5"/>
  <c r="K289" i="5"/>
  <c r="K374" i="5"/>
  <c r="K284" i="5"/>
  <c r="K397" i="5"/>
  <c r="K43" i="5"/>
  <c r="L648" i="5"/>
  <c r="K719" i="5"/>
  <c r="K445" i="5"/>
  <c r="L338" i="5"/>
  <c r="K553" i="5"/>
  <c r="L513" i="5"/>
  <c r="L95" i="5"/>
  <c r="K116" i="5"/>
  <c r="K421" i="5"/>
  <c r="L324" i="5"/>
  <c r="L154" i="5"/>
  <c r="K538" i="5"/>
  <c r="L477" i="5"/>
  <c r="L471" i="5"/>
  <c r="L581" i="5"/>
  <c r="L105" i="5"/>
  <c r="K510" i="5"/>
  <c r="K503" i="5"/>
  <c r="L187" i="5"/>
  <c r="K62" i="5"/>
  <c r="K399" i="5"/>
  <c r="K95" i="5"/>
  <c r="K49" i="5"/>
  <c r="K32" i="5"/>
  <c r="L239" i="5"/>
  <c r="L291" i="5"/>
  <c r="L328" i="5"/>
  <c r="L369" i="5"/>
  <c r="K15" i="5"/>
  <c r="L43" i="5"/>
  <c r="L252" i="5"/>
  <c r="K312" i="5"/>
  <c r="K345" i="5"/>
  <c r="K385" i="5"/>
  <c r="L142" i="5"/>
  <c r="L509" i="5"/>
  <c r="K621" i="5"/>
  <c r="K541" i="5"/>
  <c r="K489" i="5"/>
  <c r="L500" i="5"/>
  <c r="L730" i="5"/>
  <c r="K432" i="5"/>
  <c r="L450" i="5"/>
  <c r="K493" i="5"/>
  <c r="K721" i="5"/>
  <c r="K781" i="5"/>
  <c r="L576" i="5"/>
  <c r="L614" i="5"/>
  <c r="L17" i="5"/>
  <c r="L532" i="5"/>
  <c r="K600" i="5"/>
  <c r="K525" i="5"/>
  <c r="L511" i="5"/>
  <c r="L240" i="5"/>
  <c r="K316" i="5"/>
  <c r="K123" i="5"/>
  <c r="K70" i="5"/>
  <c r="L641" i="5"/>
  <c r="L725" i="5"/>
  <c r="L452" i="5"/>
  <c r="L467" i="5"/>
  <c r="K482" i="5"/>
  <c r="K624" i="5"/>
  <c r="L414" i="5"/>
  <c r="L106" i="5"/>
  <c r="L483" i="5"/>
  <c r="K348" i="5"/>
  <c r="L544" i="5"/>
  <c r="L577" i="5"/>
  <c r="L514" i="5"/>
  <c r="K357" i="5"/>
  <c r="L248" i="5"/>
  <c r="K414" i="5"/>
  <c r="K332" i="5"/>
  <c r="L173" i="5"/>
  <c r="K182" i="5"/>
  <c r="K51" i="5"/>
  <c r="K107" i="5"/>
  <c r="K430" i="5"/>
  <c r="L321" i="5"/>
  <c r="K83" i="5"/>
  <c r="K484" i="5"/>
  <c r="L168" i="5"/>
  <c r="M168" i="5" s="1"/>
  <c r="D122" i="51" s="1"/>
  <c r="K549" i="5"/>
  <c r="L728" i="5"/>
  <c r="L182" i="5"/>
  <c r="K347" i="5"/>
  <c r="L57" i="5"/>
  <c r="K388" i="5"/>
  <c r="K279" i="5"/>
  <c r="K71" i="5"/>
  <c r="L191" i="5"/>
  <c r="L625" i="5"/>
  <c r="K86" i="5"/>
  <c r="L345" i="5"/>
  <c r="K141" i="5"/>
  <c r="L45" i="5"/>
  <c r="L424" i="5"/>
  <c r="K42" i="5"/>
  <c r="K542" i="5"/>
  <c r="K555" i="5"/>
  <c r="L521" i="5"/>
  <c r="K300" i="5"/>
  <c r="L148" i="5"/>
  <c r="K353" i="5"/>
  <c r="K266" i="5"/>
  <c r="L20" i="5"/>
  <c r="L75" i="5"/>
  <c r="L76" i="5"/>
  <c r="K61" i="5"/>
  <c r="L257" i="5"/>
  <c r="K154" i="5"/>
  <c r="L638" i="5"/>
  <c r="L149" i="5"/>
  <c r="L30" i="5"/>
  <c r="L722" i="5"/>
  <c r="L582" i="5"/>
  <c r="K411" i="5"/>
  <c r="K283" i="5"/>
  <c r="K11" i="5"/>
  <c r="M11" i="5" s="1"/>
  <c r="K343" i="5"/>
  <c r="L255" i="5"/>
  <c r="L529" i="5"/>
  <c r="K114" i="5"/>
  <c r="K244" i="5"/>
  <c r="K483" i="5"/>
  <c r="K768" i="5"/>
  <c r="K537" i="5"/>
  <c r="K722" i="5"/>
  <c r="L265" i="5"/>
  <c r="K291" i="5"/>
  <c r="K14" i="5"/>
  <c r="K80" i="5"/>
  <c r="L359" i="5"/>
  <c r="K647" i="5"/>
  <c r="K381" i="5"/>
  <c r="K191" i="5"/>
  <c r="K403" i="5"/>
  <c r="L574" i="5"/>
  <c r="K718" i="5"/>
  <c r="L765" i="5"/>
  <c r="K613" i="5"/>
  <c r="L461" i="5"/>
  <c r="L608" i="5"/>
  <c r="L253" i="5"/>
  <c r="L259" i="5"/>
  <c r="L128" i="5"/>
  <c r="L272" i="5"/>
  <c r="L613" i="5"/>
  <c r="L650" i="5"/>
  <c r="L456" i="5"/>
  <c r="L40" i="5"/>
  <c r="L184" i="5"/>
  <c r="K653" i="5"/>
  <c r="L113" i="5"/>
  <c r="L21" i="5"/>
  <c r="K30" i="5"/>
  <c r="L50" i="5"/>
  <c r="L273" i="5"/>
  <c r="K572" i="5"/>
  <c r="L373" i="5"/>
  <c r="L88" i="5"/>
  <c r="K270" i="5"/>
  <c r="K28" i="5"/>
  <c r="K102" i="5"/>
  <c r="K506" i="5"/>
  <c r="K518" i="5"/>
  <c r="K177" i="5"/>
  <c r="L104" i="5"/>
  <c r="K136" i="5"/>
  <c r="L428" i="5"/>
  <c r="L295" i="5"/>
  <c r="K310" i="5"/>
  <c r="K324" i="5"/>
  <c r="K238" i="5"/>
  <c r="L285" i="5"/>
  <c r="L718" i="5"/>
  <c r="L262" i="5"/>
  <c r="L326" i="5"/>
  <c r="L431" i="5"/>
  <c r="L409" i="5"/>
  <c r="L186" i="5"/>
  <c r="L52" i="5"/>
  <c r="L51" i="5"/>
  <c r="K69" i="5"/>
  <c r="K351" i="5"/>
  <c r="L66" i="5"/>
  <c r="L16" i="5"/>
  <c r="L723" i="5"/>
  <c r="K603" i="5"/>
  <c r="L406" i="5"/>
  <c r="K417" i="5"/>
  <c r="K22" i="5"/>
  <c r="L550" i="5"/>
  <c r="K442" i="5"/>
  <c r="L460" i="5"/>
  <c r="K281" i="5"/>
  <c r="L71" i="5"/>
  <c r="L27" i="5"/>
  <c r="L413" i="5"/>
  <c r="L374" i="5"/>
  <c r="K90" i="5"/>
  <c r="K588" i="5"/>
  <c r="K487" i="5"/>
  <c r="L366" i="5"/>
  <c r="K369" i="5"/>
  <c r="K143" i="5"/>
  <c r="M143" i="5" s="1"/>
  <c r="L87" i="5"/>
  <c r="L640" i="5"/>
  <c r="K495" i="5"/>
  <c r="L594" i="5"/>
  <c r="L612" i="5"/>
  <c r="K582" i="5"/>
  <c r="L493" i="5"/>
  <c r="L616" i="5"/>
  <c r="K569" i="5"/>
  <c r="L26" i="5"/>
  <c r="L73" i="5"/>
  <c r="L44" i="5"/>
  <c r="K75" i="5"/>
  <c r="L280" i="5"/>
  <c r="L398" i="5"/>
  <c r="L288" i="5"/>
  <c r="K346" i="5"/>
  <c r="L49" i="5"/>
  <c r="L147" i="5"/>
  <c r="K119" i="5"/>
  <c r="L119" i="5"/>
  <c r="K160" i="5"/>
  <c r="K472" i="5"/>
  <c r="K82" i="5"/>
  <c r="L131" i="5"/>
  <c r="K147" i="5"/>
  <c r="L432" i="5"/>
  <c r="L290" i="5"/>
  <c r="L301" i="5"/>
  <c r="K320" i="5"/>
  <c r="L102" i="5"/>
  <c r="L140" i="5"/>
  <c r="L136" i="5"/>
  <c r="K131" i="5"/>
  <c r="L307" i="5"/>
  <c r="L448" i="5"/>
  <c r="K770" i="5"/>
  <c r="L437" i="5"/>
  <c r="L721" i="5"/>
  <c r="L770" i="5"/>
  <c r="L94" i="5"/>
  <c r="K142" i="5"/>
  <c r="K309" i="5"/>
  <c r="K412" i="5"/>
  <c r="L378" i="5"/>
  <c r="L769" i="5"/>
  <c r="K496" i="5"/>
  <c r="L726" i="5"/>
  <c r="L485" i="5"/>
  <c r="K775" i="5"/>
  <c r="L647" i="5"/>
  <c r="K395" i="5"/>
  <c r="K52" i="5"/>
  <c r="L276" i="5"/>
  <c r="L363" i="5"/>
  <c r="L156" i="5"/>
  <c r="K370" i="5"/>
  <c r="L86" i="5"/>
  <c r="L476" i="5"/>
  <c r="K527" i="5"/>
  <c r="L347" i="5"/>
  <c r="K341" i="5"/>
  <c r="L24" i="5"/>
  <c r="L525" i="5"/>
  <c r="K59" i="5"/>
  <c r="K68" i="5"/>
  <c r="L123" i="5"/>
  <c r="L39" i="5"/>
  <c r="K505" i="5"/>
  <c r="L370" i="5"/>
  <c r="L293" i="5"/>
  <c r="L244" i="5"/>
  <c r="L635" i="5"/>
  <c r="K452" i="5"/>
  <c r="K586" i="5"/>
  <c r="K585" i="5" s="1"/>
  <c r="L320" i="5"/>
  <c r="K319" i="5"/>
  <c r="K152" i="5"/>
  <c r="L56" i="5"/>
  <c r="L348" i="5"/>
  <c r="L402" i="5"/>
  <c r="K189" i="5"/>
  <c r="L570" i="5"/>
  <c r="K456" i="5"/>
  <c r="K559" i="5"/>
  <c r="K254" i="5"/>
  <c r="L85" i="5"/>
  <c r="K41" i="5"/>
  <c r="L15" i="5"/>
  <c r="L47" i="5"/>
  <c r="K269" i="5"/>
  <c r="L283" i="5"/>
  <c r="L420" i="5"/>
  <c r="L134" i="5"/>
  <c r="K314" i="5"/>
  <c r="K76" i="5"/>
  <c r="L615" i="5"/>
  <c r="L419" i="5"/>
  <c r="K13" i="5"/>
  <c r="K779" i="5"/>
  <c r="L98" i="5"/>
  <c r="K134" i="5"/>
  <c r="M134" i="5" s="1"/>
  <c r="F14" i="69" s="1"/>
  <c r="L292" i="5"/>
  <c r="L303" i="5"/>
  <c r="K322" i="5"/>
  <c r="K140" i="5"/>
  <c r="K73" i="5"/>
  <c r="M73" i="5" s="1"/>
  <c r="L14" i="68" s="1"/>
  <c r="L129" i="5"/>
  <c r="K307" i="5"/>
  <c r="K547" i="5"/>
  <c r="L527" i="5"/>
  <c r="K614" i="5"/>
  <c r="L572" i="5"/>
  <c r="L46" i="5"/>
  <c r="K175" i="5"/>
  <c r="K508" i="5"/>
  <c r="K328" i="5"/>
  <c r="K17" i="5"/>
  <c r="L411" i="5"/>
  <c r="K619" i="5"/>
  <c r="L627" i="5"/>
  <c r="L442" i="5"/>
  <c r="K599" i="5"/>
  <c r="L542" i="5"/>
  <c r="L112" i="5"/>
  <c r="L153" i="5"/>
  <c r="K112" i="5"/>
  <c r="L296" i="5"/>
  <c r="L386" i="5"/>
  <c r="L237" i="5"/>
  <c r="K390" i="5"/>
  <c r="L779" i="5"/>
  <c r="M779" i="5" s="1"/>
  <c r="L510" i="5"/>
  <c r="K439" i="5"/>
  <c r="L455" i="5"/>
  <c r="K733" i="5"/>
  <c r="K766" i="5"/>
  <c r="J125" i="5"/>
  <c r="F61" i="8"/>
  <c r="G68" i="7"/>
  <c r="T41" i="13"/>
  <c r="AE19" i="2"/>
  <c r="J26" i="89"/>
  <c r="K9" i="2"/>
  <c r="Y54" i="2"/>
  <c r="Y56" i="2"/>
  <c r="Y57" i="2"/>
  <c r="Y48" i="2"/>
  <c r="W54" i="2"/>
  <c r="W56" i="2"/>
  <c r="W57" i="2"/>
  <c r="W48" i="2"/>
  <c r="W49" i="2"/>
  <c r="W50" i="2"/>
  <c r="F50" i="21"/>
  <c r="F92" i="21"/>
  <c r="F94" i="21"/>
  <c r="F95" i="21"/>
  <c r="F109" i="8"/>
  <c r="F88" i="21"/>
  <c r="AA54" i="2"/>
  <c r="AA56" i="2"/>
  <c r="AA57" i="2"/>
  <c r="AA48" i="2"/>
  <c r="AA49" i="2"/>
  <c r="AA50" i="2"/>
  <c r="AD54" i="2"/>
  <c r="AD56" i="2"/>
  <c r="AD57" i="2"/>
  <c r="AD48" i="2"/>
  <c r="AD49" i="2"/>
  <c r="AD50" i="2"/>
  <c r="H9" i="2"/>
  <c r="V54" i="2"/>
  <c r="V56" i="2"/>
  <c r="V57" i="2"/>
  <c r="V48" i="2"/>
  <c r="D9" i="2"/>
  <c r="R48" i="2"/>
  <c r="R54" i="2"/>
  <c r="R56" i="2"/>
  <c r="R57" i="2"/>
  <c r="T48" i="2"/>
  <c r="T49" i="2"/>
  <c r="T50" i="2"/>
  <c r="T54" i="2"/>
  <c r="T56" i="2"/>
  <c r="T57" i="2"/>
  <c r="L9" i="2"/>
  <c r="Z48" i="2"/>
  <c r="Z54" i="2"/>
  <c r="Z56" i="2"/>
  <c r="Z57" i="2"/>
  <c r="G11" i="80"/>
  <c r="S40" i="2"/>
  <c r="AE14" i="2"/>
  <c r="AE55" i="2"/>
  <c r="F57" i="52"/>
  <c r="F109" i="5"/>
  <c r="F11" i="80"/>
  <c r="K11" i="80"/>
  <c r="I11" i="80"/>
  <c r="F64" i="5"/>
  <c r="F53" i="52"/>
  <c r="F65" i="52"/>
  <c r="E71" i="8"/>
  <c r="F192" i="5"/>
  <c r="F488" i="5"/>
  <c r="Q38" i="2"/>
  <c r="K36" i="2"/>
  <c r="U54" i="2"/>
  <c r="U56" i="2"/>
  <c r="U57" i="2"/>
  <c r="U48" i="2"/>
  <c r="U49" i="2"/>
  <c r="U50" i="2"/>
  <c r="F35" i="8"/>
  <c r="F52" i="21"/>
  <c r="F74" i="21"/>
  <c r="F113" i="21"/>
  <c r="G96" i="7"/>
  <c r="H11" i="80"/>
  <c r="D11" i="80"/>
  <c r="J11" i="80"/>
  <c r="AC48" i="2"/>
  <c r="AC49" i="2"/>
  <c r="AC50" i="2"/>
  <c r="AC54" i="2"/>
  <c r="AC56" i="2"/>
  <c r="AC57" i="2"/>
  <c r="AE29" i="2"/>
  <c r="L52" i="7"/>
  <c r="L68" i="7"/>
  <c r="L11" i="80"/>
  <c r="F117" i="21"/>
  <c r="F96" i="21"/>
  <c r="K14" i="2"/>
  <c r="F459" i="5"/>
  <c r="K96" i="7"/>
  <c r="L96" i="7"/>
  <c r="K15" i="2"/>
  <c r="Q36" i="2"/>
  <c r="F492" i="5"/>
  <c r="L14" i="2"/>
  <c r="F63" i="8"/>
  <c r="F114" i="8"/>
  <c r="F55" i="52"/>
  <c r="F59" i="52"/>
  <c r="F125" i="5"/>
  <c r="S48" i="2"/>
  <c r="S49" i="2"/>
  <c r="S50" i="2"/>
  <c r="S54" i="2"/>
  <c r="S56" i="2"/>
  <c r="S57" i="2"/>
  <c r="F236" i="5"/>
  <c r="D14" i="2"/>
  <c r="H14" i="2"/>
  <c r="F362" i="5"/>
  <c r="F89" i="21"/>
  <c r="F90" i="21"/>
  <c r="F91" i="21"/>
  <c r="F75" i="21"/>
  <c r="F105" i="21"/>
  <c r="J169" i="5"/>
  <c r="L40" i="2"/>
  <c r="Z47" i="2"/>
  <c r="Z49" i="2"/>
  <c r="Z50" i="2"/>
  <c r="F121" i="21"/>
  <c r="F97" i="21"/>
  <c r="F98" i="21"/>
  <c r="V47" i="2"/>
  <c r="V49" i="2"/>
  <c r="V50" i="2"/>
  <c r="H40" i="2"/>
  <c r="F65" i="8"/>
  <c r="F126" i="8"/>
  <c r="F127" i="8"/>
  <c r="F128" i="8"/>
  <c r="Y47" i="2"/>
  <c r="Y49" i="2"/>
  <c r="Y50" i="2"/>
  <c r="K40" i="2"/>
  <c r="AB16" i="2"/>
  <c r="J565" i="5" s="1"/>
  <c r="AB18" i="2"/>
  <c r="AB15" i="2" s="1"/>
  <c r="AB40" i="2" s="1"/>
  <c r="N9" i="2" s="1"/>
  <c r="J193" i="5"/>
  <c r="M96" i="7"/>
  <c r="L97" i="7"/>
  <c r="M97" i="7"/>
  <c r="D40" i="2"/>
  <c r="R47" i="2"/>
  <c r="R49" i="2"/>
  <c r="R50" i="2"/>
  <c r="F99" i="21"/>
  <c r="H54" i="2"/>
  <c r="H56" i="2"/>
  <c r="H57" i="2"/>
  <c r="K54" i="2"/>
  <c r="K56" i="2"/>
  <c r="K57" i="2"/>
  <c r="D54" i="2"/>
  <c r="D56" i="2"/>
  <c r="D57" i="2"/>
  <c r="E64" i="8"/>
  <c r="E104" i="8"/>
  <c r="F118" i="8"/>
  <c r="F119" i="8"/>
  <c r="L54" i="2"/>
  <c r="L56" i="2"/>
  <c r="L57" i="2"/>
  <c r="F743" i="5"/>
  <c r="I743" i="5" s="1"/>
  <c r="E57" i="74" s="1"/>
  <c r="H5107" i="18" s="1"/>
  <c r="F120" i="8"/>
  <c r="E103" i="8"/>
  <c r="E105" i="8"/>
  <c r="E106" i="8"/>
  <c r="E122" i="8"/>
  <c r="E123" i="8"/>
  <c r="E124" i="8"/>
  <c r="F712" i="5"/>
  <c r="C44" i="89"/>
  <c r="L347" i="18" l="1"/>
  <c r="E11" i="88"/>
  <c r="D14" i="6"/>
  <c r="D15" i="6" s="1"/>
  <c r="K3650" i="18"/>
  <c r="K3630" i="18" s="1"/>
  <c r="R60" i="6"/>
  <c r="K618" i="5"/>
  <c r="F250" i="91"/>
  <c r="J2847" i="18"/>
  <c r="H2826" i="18" s="1"/>
  <c r="H2829" i="18" s="1"/>
  <c r="K2823" i="18" s="1"/>
  <c r="E15" i="87"/>
  <c r="Q1619" i="18"/>
  <c r="N2832" i="18"/>
  <c r="I2829" i="18"/>
  <c r="N2823" i="18" s="1"/>
  <c r="AD96" i="6"/>
  <c r="Q20" i="18"/>
  <c r="M46" i="5"/>
  <c r="D38" i="47" s="1"/>
  <c r="M131" i="5"/>
  <c r="F11" i="69" s="1"/>
  <c r="M50" i="5"/>
  <c r="D42" i="47" s="1"/>
  <c r="M61" i="5"/>
  <c r="D52" i="51" s="1"/>
  <c r="I52" i="51" s="1"/>
  <c r="J52" i="51" s="1"/>
  <c r="M135" i="5"/>
  <c r="F15" i="69" s="1"/>
  <c r="K2832" i="18"/>
  <c r="H2895" i="18"/>
  <c r="H2896" i="18" s="1"/>
  <c r="I3623" i="18"/>
  <c r="I3653" i="18" s="1"/>
  <c r="I3655" i="18" s="1"/>
  <c r="I3656" i="18" s="1"/>
  <c r="G703" i="5"/>
  <c r="M179" i="5"/>
  <c r="F54" i="69" s="1"/>
  <c r="E6540" i="18"/>
  <c r="E58" i="91"/>
  <c r="F81" i="91" s="1"/>
  <c r="B72" i="6"/>
  <c r="Q10" i="6"/>
  <c r="AE10" i="6" s="1"/>
  <c r="Q47" i="6"/>
  <c r="B41" i="6"/>
  <c r="B28" i="6"/>
  <c r="R55" i="6"/>
  <c r="R41" i="6"/>
  <c r="Q39" i="6"/>
  <c r="AE39" i="6" s="1"/>
  <c r="Q46" i="6"/>
  <c r="AE46" i="6" s="1"/>
  <c r="R52" i="6"/>
  <c r="B38" i="6"/>
  <c r="B60" i="6"/>
  <c r="M51" i="5"/>
  <c r="D43" i="51" s="1"/>
  <c r="I43" i="51" s="1"/>
  <c r="J43" i="51" s="1"/>
  <c r="M53" i="5"/>
  <c r="N2909" i="18" s="1"/>
  <c r="O2910" i="18" s="1"/>
  <c r="O6430" i="18" s="1"/>
  <c r="M138" i="5"/>
  <c r="F18" i="69" s="1"/>
  <c r="M129" i="5"/>
  <c r="F9" i="69" s="1"/>
  <c r="M140" i="5"/>
  <c r="F20" i="69" s="1"/>
  <c r="L325" i="5"/>
  <c r="M775" i="5"/>
  <c r="H703" i="5"/>
  <c r="M87" i="5"/>
  <c r="L26" i="68" s="1"/>
  <c r="L294" i="5"/>
  <c r="M770" i="5"/>
  <c r="K344" i="5"/>
  <c r="K194" i="5"/>
  <c r="K535" i="5"/>
  <c r="K372" i="5"/>
  <c r="M13" i="5"/>
  <c r="H10" i="68" s="1"/>
  <c r="M24" i="5"/>
  <c r="H20" i="68" s="1"/>
  <c r="M721" i="5"/>
  <c r="D77" i="48" s="1"/>
  <c r="L497" i="5"/>
  <c r="K404" i="5"/>
  <c r="M107" i="5"/>
  <c r="N4288" i="18" s="1"/>
  <c r="O4289" i="18" s="1"/>
  <c r="O6526" i="18" s="1"/>
  <c r="M137" i="5"/>
  <c r="F17" i="69" s="1"/>
  <c r="B91" i="6"/>
  <c r="B22" i="6"/>
  <c r="R39" i="6"/>
  <c r="Q74" i="6"/>
  <c r="AE74" i="6" s="1"/>
  <c r="B57" i="6"/>
  <c r="R42" i="6"/>
  <c r="R34" i="6"/>
  <c r="Q49" i="6"/>
  <c r="AE49" i="6" s="1"/>
  <c r="R59" i="6"/>
  <c r="R20" i="6"/>
  <c r="R37" i="6"/>
  <c r="R57" i="6"/>
  <c r="R58" i="6"/>
  <c r="B58" i="6"/>
  <c r="B169" i="6"/>
  <c r="B40" i="6"/>
  <c r="R38" i="6"/>
  <c r="B42" i="6"/>
  <c r="B52" i="6"/>
  <c r="R66" i="6"/>
  <c r="R73" i="6"/>
  <c r="Q53" i="6"/>
  <c r="AE53" i="6" s="1"/>
  <c r="R56" i="6"/>
  <c r="Q43" i="6"/>
  <c r="R67" i="6"/>
  <c r="D34" i="6"/>
  <c r="B49" i="6"/>
  <c r="R40" i="6"/>
  <c r="B59" i="6"/>
  <c r="Q37" i="6"/>
  <c r="AE37" i="6" s="1"/>
  <c r="B53" i="6"/>
  <c r="B56" i="6"/>
  <c r="Q54" i="6"/>
  <c r="AE54" i="6" s="1"/>
  <c r="R54" i="6"/>
  <c r="Q55" i="6"/>
  <c r="AE55" i="6" s="1"/>
  <c r="R43" i="6"/>
  <c r="AE14" i="6"/>
  <c r="F14" i="6"/>
  <c r="Q169" i="6"/>
  <c r="AE169" i="6" s="1"/>
  <c r="AE27" i="6"/>
  <c r="B201" i="6"/>
  <c r="F25" i="6"/>
  <c r="Q68" i="6"/>
  <c r="AE68" i="6" s="1"/>
  <c r="R64" i="6"/>
  <c r="R44" i="6"/>
  <c r="Q12" i="6"/>
  <c r="AE12" i="6" s="1"/>
  <c r="R63" i="6"/>
  <c r="Q9" i="6"/>
  <c r="AE9" i="6" s="1"/>
  <c r="E68" i="6"/>
  <c r="F68" i="6" s="1"/>
  <c r="R61" i="6"/>
  <c r="L20" i="87"/>
  <c r="C12" i="89" s="1"/>
  <c r="E199" i="91"/>
  <c r="E9" i="88"/>
  <c r="P2698" i="18"/>
  <c r="H2644" i="18" s="1"/>
  <c r="K2650" i="18"/>
  <c r="E33" i="6"/>
  <c r="F33" i="6" s="1"/>
  <c r="R47" i="6"/>
  <c r="Q31" i="6"/>
  <c r="AE31" i="6" s="1"/>
  <c r="R45" i="6"/>
  <c r="Q75" i="6"/>
  <c r="AE75" i="6" s="1"/>
  <c r="Q64" i="6"/>
  <c r="AE64" i="6" s="1"/>
  <c r="F71" i="6"/>
  <c r="R65" i="6"/>
  <c r="R24" i="6"/>
  <c r="R105" i="6"/>
  <c r="R162" i="6"/>
  <c r="Q22" i="6"/>
  <c r="AE22" i="6" s="1"/>
  <c r="Q16" i="6"/>
  <c r="AE16" i="6" s="1"/>
  <c r="B44" i="6"/>
  <c r="Q45" i="6"/>
  <c r="AE45" i="6" s="1"/>
  <c r="B48" i="6"/>
  <c r="R3" i="6"/>
  <c r="B65" i="6"/>
  <c r="D74" i="6"/>
  <c r="D18" i="6"/>
  <c r="R182" i="6"/>
  <c r="R25" i="6"/>
  <c r="G19" i="6"/>
  <c r="Q32" i="6"/>
  <c r="AE32" i="6" s="1"/>
  <c r="AE23" i="6"/>
  <c r="R12" i="6"/>
  <c r="AE34" i="6"/>
  <c r="Q131" i="6"/>
  <c r="AE131" i="6" s="1"/>
  <c r="G174" i="6"/>
  <c r="R181" i="6"/>
  <c r="B182" i="6"/>
  <c r="R183" i="6"/>
  <c r="G70" i="6"/>
  <c r="Q89" i="6"/>
  <c r="AE89" i="6" s="1"/>
  <c r="D114" i="6"/>
  <c r="B164" i="6"/>
  <c r="Q164" i="6"/>
  <c r="AE164" i="6" s="1"/>
  <c r="D166" i="6"/>
  <c r="B27" i="6"/>
  <c r="Q76" i="6"/>
  <c r="G132" i="6"/>
  <c r="AE142" i="6"/>
  <c r="B168" i="6"/>
  <c r="F19" i="6"/>
  <c r="H3454" i="18"/>
  <c r="K3445" i="18" s="1"/>
  <c r="F13" i="6"/>
  <c r="AE33" i="6"/>
  <c r="B76" i="6"/>
  <c r="B125" i="6"/>
  <c r="AE132" i="6"/>
  <c r="Q168" i="6"/>
  <c r="AE168" i="6" s="1"/>
  <c r="AE61" i="6"/>
  <c r="R27" i="6"/>
  <c r="Q72" i="6"/>
  <c r="AE72" i="6" s="1"/>
  <c r="B33" i="6"/>
  <c r="D50" i="6"/>
  <c r="G81" i="6"/>
  <c r="H4464" i="18"/>
  <c r="Q118" i="6"/>
  <c r="AE118" i="6" s="1"/>
  <c r="G119" i="6"/>
  <c r="B130" i="6"/>
  <c r="Q136" i="6"/>
  <c r="AE136" i="6" s="1"/>
  <c r="Q147" i="6"/>
  <c r="AE147" i="6" s="1"/>
  <c r="R198" i="6"/>
  <c r="R200" i="6"/>
  <c r="B87" i="6"/>
  <c r="B129" i="6"/>
  <c r="Q144" i="6"/>
  <c r="AE144" i="6" s="1"/>
  <c r="AE152" i="6"/>
  <c r="F51" i="6"/>
  <c r="D62" i="6"/>
  <c r="L16" i="87"/>
  <c r="G17" i="87"/>
  <c r="R82" i="6"/>
  <c r="AE81" i="6"/>
  <c r="Q110" i="6"/>
  <c r="AE110" i="6" s="1"/>
  <c r="R128" i="6"/>
  <c r="B144" i="6"/>
  <c r="AE154" i="6"/>
  <c r="B160" i="6"/>
  <c r="B172" i="6"/>
  <c r="L633" i="5"/>
  <c r="I712" i="5"/>
  <c r="E43" i="74" s="1"/>
  <c r="M42" i="5"/>
  <c r="K154" i="50" s="1"/>
  <c r="M26" i="5"/>
  <c r="H17" i="72" s="1"/>
  <c r="M112" i="5"/>
  <c r="N4331" i="18" s="1"/>
  <c r="O4342" i="18" s="1"/>
  <c r="O6531" i="18" s="1"/>
  <c r="K313" i="5"/>
  <c r="M147" i="5"/>
  <c r="F15" i="73" s="1"/>
  <c r="K371" i="5"/>
  <c r="M136" i="5"/>
  <c r="F16" i="69" s="1"/>
  <c r="M88" i="5"/>
  <c r="L27" i="68" s="1"/>
  <c r="M149" i="5"/>
  <c r="F17" i="73" s="1"/>
  <c r="L422" i="5"/>
  <c r="L415" i="5" s="1"/>
  <c r="M86" i="5"/>
  <c r="K244" i="50" s="1"/>
  <c r="M38" i="5"/>
  <c r="K116" i="50" s="1"/>
  <c r="K453" i="5"/>
  <c r="L651" i="5"/>
  <c r="M155" i="5"/>
  <c r="F22" i="73" s="1"/>
  <c r="M173" i="5"/>
  <c r="F48" i="69" s="1"/>
  <c r="M183" i="5"/>
  <c r="F42" i="73" s="1"/>
  <c r="M37" i="5"/>
  <c r="H33" i="68" s="1"/>
  <c r="K228" i="5"/>
  <c r="K474" i="5"/>
  <c r="M45" i="5"/>
  <c r="H31" i="72" s="1"/>
  <c r="K552" i="5"/>
  <c r="M731" i="5"/>
  <c r="M176" i="5"/>
  <c r="L404" i="5"/>
  <c r="M40" i="5"/>
  <c r="K131" i="50" s="1"/>
  <c r="M14" i="5"/>
  <c r="N70" i="18" s="1"/>
  <c r="M32" i="5"/>
  <c r="K111" i="50" s="1"/>
  <c r="AE40" i="12"/>
  <c r="P4" i="12" s="1"/>
  <c r="L400" i="5"/>
  <c r="M66" i="5"/>
  <c r="K211" i="50" s="1"/>
  <c r="K216" i="50"/>
  <c r="M34" i="5"/>
  <c r="D27" i="51" s="1"/>
  <c r="I27" i="51" s="1"/>
  <c r="J27" i="51" s="1"/>
  <c r="M727" i="5"/>
  <c r="K294" i="5"/>
  <c r="L629" i="5"/>
  <c r="K568" i="5"/>
  <c r="K486" i="5"/>
  <c r="L474" i="5"/>
  <c r="K629" i="5"/>
  <c r="M47" i="5"/>
  <c r="H33" i="72" s="1"/>
  <c r="M22" i="5"/>
  <c r="H18" i="68" s="1"/>
  <c r="L405" i="5"/>
  <c r="M765" i="5"/>
  <c r="K229" i="5"/>
  <c r="M83" i="5"/>
  <c r="D66" i="47" s="1"/>
  <c r="K501" i="5"/>
  <c r="K245" i="5"/>
  <c r="M144" i="5"/>
  <c r="D106" i="47" s="1"/>
  <c r="K534" i="5"/>
  <c r="L308" i="5"/>
  <c r="M186" i="5"/>
  <c r="K468" i="5"/>
  <c r="L486" i="5"/>
  <c r="K251" i="5"/>
  <c r="K596" i="5"/>
  <c r="L578" i="5"/>
  <c r="K573" i="5"/>
  <c r="L502" i="5"/>
  <c r="K512" i="5"/>
  <c r="L618" i="5"/>
  <c r="M154" i="5"/>
  <c r="N4836" i="18" s="1"/>
  <c r="O4837" i="18" s="1"/>
  <c r="O6563" i="18" s="1"/>
  <c r="K127" i="5"/>
  <c r="M157" i="5"/>
  <c r="K321" i="50" s="1"/>
  <c r="M185" i="5"/>
  <c r="F59" i="69" s="1"/>
  <c r="M773" i="5"/>
  <c r="K633" i="5"/>
  <c r="L356" i="5"/>
  <c r="I876" i="18"/>
  <c r="I870" i="18"/>
  <c r="Q860" i="18" s="1"/>
  <c r="E204" i="6"/>
  <c r="F12" i="6"/>
  <c r="F31" i="6"/>
  <c r="E64" i="6"/>
  <c r="E65" i="6" s="1"/>
  <c r="F65" i="6" s="1"/>
  <c r="F35" i="6"/>
  <c r="Q87" i="6"/>
  <c r="AE87" i="6" s="1"/>
  <c r="B136" i="6"/>
  <c r="Q141" i="6"/>
  <c r="AE141" i="6" s="1"/>
  <c r="D180" i="6"/>
  <c r="F20" i="6"/>
  <c r="AE24" i="6"/>
  <c r="R28" i="6"/>
  <c r="AE36" i="6"/>
  <c r="B68" i="6"/>
  <c r="AE57" i="6"/>
  <c r="AE60" i="6"/>
  <c r="AE70" i="6"/>
  <c r="Q73" i="6"/>
  <c r="AE73" i="6" s="1"/>
  <c r="D89" i="6"/>
  <c r="Q93" i="6"/>
  <c r="AE93" i="6" s="1"/>
  <c r="B108" i="6"/>
  <c r="Q109" i="6"/>
  <c r="AE109" i="6" s="1"/>
  <c r="R143" i="6"/>
  <c r="B141" i="6"/>
  <c r="Q161" i="6"/>
  <c r="AE161" i="6" s="1"/>
  <c r="D170" i="6"/>
  <c r="R193" i="6"/>
  <c r="F18" i="6"/>
  <c r="AE28" i="6"/>
  <c r="AE65" i="6"/>
  <c r="R86" i="6"/>
  <c r="B106" i="6"/>
  <c r="AE129" i="6"/>
  <c r="F36" i="6"/>
  <c r="E37" i="6"/>
  <c r="D16" i="6"/>
  <c r="Q11" i="6"/>
  <c r="AE11" i="6" s="1"/>
  <c r="G60" i="6"/>
  <c r="G24" i="6"/>
  <c r="R32" i="6"/>
  <c r="Q116" i="6"/>
  <c r="AE116" i="6" s="1"/>
  <c r="Q122" i="6"/>
  <c r="AE122" i="6" s="1"/>
  <c r="R142" i="6"/>
  <c r="Q150" i="6"/>
  <c r="AE150" i="6" s="1"/>
  <c r="AE145" i="6"/>
  <c r="R158" i="6"/>
  <c r="R189" i="6"/>
  <c r="AE43" i="6"/>
  <c r="B14" i="6"/>
  <c r="AE59" i="6"/>
  <c r="R14" i="6"/>
  <c r="R11" i="6"/>
  <c r="R70" i="6"/>
  <c r="B69" i="6"/>
  <c r="Q48" i="6"/>
  <c r="AE48" i="6" s="1"/>
  <c r="R46" i="6"/>
  <c r="R30" i="6"/>
  <c r="B61" i="6"/>
  <c r="AE44" i="6"/>
  <c r="AE58" i="6"/>
  <c r="B36" i="6"/>
  <c r="AE38" i="6"/>
  <c r="D66" i="6"/>
  <c r="R17" i="6"/>
  <c r="D11" i="6"/>
  <c r="R77" i="6"/>
  <c r="Q88" i="6"/>
  <c r="AE88" i="6" s="1"/>
  <c r="R88" i="6"/>
  <c r="G94" i="6"/>
  <c r="R100" i="6"/>
  <c r="AE108" i="6"/>
  <c r="D109" i="6"/>
  <c r="B116" i="6"/>
  <c r="Q125" i="6"/>
  <c r="AE125" i="6" s="1"/>
  <c r="B122" i="6"/>
  <c r="G142" i="6"/>
  <c r="R130" i="6"/>
  <c r="B140" i="6"/>
  <c r="R132" i="6"/>
  <c r="R145" i="6"/>
  <c r="Q156" i="6"/>
  <c r="AE156" i="6" s="1"/>
  <c r="Q165" i="6"/>
  <c r="AE165" i="6" s="1"/>
  <c r="B161" i="6"/>
  <c r="Q176" i="6"/>
  <c r="B176" i="6"/>
  <c r="J177" i="6"/>
  <c r="G177" i="6" s="1"/>
  <c r="R180" i="6"/>
  <c r="Q183" i="6"/>
  <c r="AE183" i="6" s="1"/>
  <c r="B188" i="6"/>
  <c r="B193" i="6"/>
  <c r="G57" i="6"/>
  <c r="AE47" i="6"/>
  <c r="Q69" i="6"/>
  <c r="AE69" i="6" s="1"/>
  <c r="R36" i="6"/>
  <c r="R33" i="6"/>
  <c r="AE56" i="6"/>
  <c r="AE40" i="6"/>
  <c r="F11" i="6"/>
  <c r="AE41" i="6"/>
  <c r="AE42" i="6"/>
  <c r="AE66" i="6"/>
  <c r="AE52" i="6"/>
  <c r="B79" i="6"/>
  <c r="B77" i="6"/>
  <c r="G100" i="6"/>
  <c r="R126" i="6"/>
  <c r="G123" i="6"/>
  <c r="Q139" i="6"/>
  <c r="AE139" i="6" s="1"/>
  <c r="R131" i="6"/>
  <c r="B139" i="6"/>
  <c r="AE137" i="6"/>
  <c r="R160" i="6"/>
  <c r="D157" i="6"/>
  <c r="R167" i="6"/>
  <c r="G169" i="6"/>
  <c r="AE180" i="6"/>
  <c r="AE197" i="6"/>
  <c r="R201" i="6"/>
  <c r="D13" i="51"/>
  <c r="I13" i="51" s="1"/>
  <c r="J13" i="51" s="1"/>
  <c r="K11" i="50"/>
  <c r="L231" i="5"/>
  <c r="K215" i="5"/>
  <c r="L233" i="5"/>
  <c r="K606" i="5"/>
  <c r="K226" i="5"/>
  <c r="K214" i="5"/>
  <c r="K227" i="5"/>
  <c r="K651" i="5"/>
  <c r="K464" i="5"/>
  <c r="L349" i="5"/>
  <c r="K207" i="5"/>
  <c r="K232" i="5"/>
  <c r="K277" i="5"/>
  <c r="L436" i="5"/>
  <c r="L552" i="5"/>
  <c r="K601" i="5"/>
  <c r="L634" i="5"/>
  <c r="K540" i="5"/>
  <c r="L563" i="5"/>
  <c r="K349" i="5"/>
  <c r="K108" i="5"/>
  <c r="L277" i="5"/>
  <c r="F21" i="12"/>
  <c r="F32" i="12"/>
  <c r="M766" i="5"/>
  <c r="L606" i="5"/>
  <c r="M182" i="5"/>
  <c r="L371" i="5"/>
  <c r="K339" i="5"/>
  <c r="M98" i="5"/>
  <c r="L28" i="72" s="1"/>
  <c r="K274" i="5"/>
  <c r="K225" i="5"/>
  <c r="L479" i="5"/>
  <c r="K639" i="5"/>
  <c r="L241" i="5"/>
  <c r="M780" i="5"/>
  <c r="L172" i="5"/>
  <c r="M184" i="5"/>
  <c r="F44" i="73" s="1"/>
  <c r="L367" i="5"/>
  <c r="K446" i="5"/>
  <c r="K246" i="5"/>
  <c r="M718" i="5"/>
  <c r="D72" i="48" s="1"/>
  <c r="M722" i="5"/>
  <c r="L246" i="5"/>
  <c r="M43" i="5"/>
  <c r="D35" i="47" s="1"/>
  <c r="M39" i="5"/>
  <c r="N1948" i="18" s="1"/>
  <c r="O1949" i="18" s="1"/>
  <c r="O6370" i="18" s="1"/>
  <c r="M726" i="5"/>
  <c r="L611" i="5"/>
  <c r="L596" i="5"/>
  <c r="M27" i="5"/>
  <c r="K67" i="50" s="1"/>
  <c r="L573" i="5"/>
  <c r="M768" i="5"/>
  <c r="K282" i="5"/>
  <c r="K433" i="5"/>
  <c r="K356" i="5"/>
  <c r="M142" i="5"/>
  <c r="D104" i="47" s="1"/>
  <c r="M49" i="5"/>
  <c r="K170" i="50" s="1"/>
  <c r="M95" i="5"/>
  <c r="L25" i="72" s="1"/>
  <c r="M153" i="5"/>
  <c r="F33" i="69" s="1"/>
  <c r="M79" i="5"/>
  <c r="L19" i="68" s="1"/>
  <c r="M159" i="5"/>
  <c r="K322" i="50" s="1"/>
  <c r="M23" i="5"/>
  <c r="H19" i="68" s="1"/>
  <c r="F25" i="12"/>
  <c r="K275" i="50"/>
  <c r="K277" i="50"/>
  <c r="L39" i="68"/>
  <c r="D79" i="47"/>
  <c r="K272" i="50"/>
  <c r="K634" i="5"/>
  <c r="K400" i="5"/>
  <c r="K309" i="50"/>
  <c r="D69" i="52"/>
  <c r="F11" i="73"/>
  <c r="N4695" i="18"/>
  <c r="O4696" i="18" s="1"/>
  <c r="O6554" i="18" s="1"/>
  <c r="K310" i="50"/>
  <c r="F23" i="69"/>
  <c r="K441" i="5"/>
  <c r="K241" i="5"/>
  <c r="M113" i="5"/>
  <c r="M837" i="5" s="1"/>
  <c r="L127" i="5"/>
  <c r="L464" i="5"/>
  <c r="M20" i="5"/>
  <c r="K54" i="50" s="1"/>
  <c r="K305" i="5"/>
  <c r="L344" i="5"/>
  <c r="M71" i="5"/>
  <c r="L13" i="68" s="1"/>
  <c r="K92" i="5"/>
  <c r="M725" i="5"/>
  <c r="K233" i="5"/>
  <c r="L205" i="5"/>
  <c r="K206" i="5"/>
  <c r="M58" i="5"/>
  <c r="H39" i="72" s="1"/>
  <c r="K224" i="5"/>
  <c r="L228" i="5"/>
  <c r="L305" i="5"/>
  <c r="K178" i="5"/>
  <c r="L225" i="5"/>
  <c r="L245" i="5"/>
  <c r="D105" i="47"/>
  <c r="K389" i="5"/>
  <c r="L530" i="5"/>
  <c r="M85" i="5"/>
  <c r="N3802" i="18" s="1"/>
  <c r="O3803" i="18" s="1"/>
  <c r="O6486" i="18" s="1"/>
  <c r="M56" i="5"/>
  <c r="L433" i="5"/>
  <c r="K469" i="5"/>
  <c r="M90" i="5"/>
  <c r="M774" i="5"/>
  <c r="L92" i="5"/>
  <c r="K205" i="5"/>
  <c r="K405" i="5"/>
  <c r="K217" i="5"/>
  <c r="M776" i="5"/>
  <c r="M77" i="5"/>
  <c r="L17" i="68" s="1"/>
  <c r="M114" i="5"/>
  <c r="M148" i="5"/>
  <c r="K315" i="50" s="1"/>
  <c r="M141" i="5"/>
  <c r="D103" i="47" s="1"/>
  <c r="M57" i="5"/>
  <c r="K194" i="50" s="1"/>
  <c r="K545" i="5"/>
  <c r="L410" i="5"/>
  <c r="M123" i="5"/>
  <c r="D97" i="47" s="1"/>
  <c r="K497" i="5"/>
  <c r="L211" i="5"/>
  <c r="L220" i="5"/>
  <c r="M62" i="5"/>
  <c r="K205" i="50" s="1"/>
  <c r="K216" i="5"/>
  <c r="L274" i="5"/>
  <c r="K287" i="5"/>
  <c r="M180" i="5"/>
  <c r="M778" i="5"/>
  <c r="L639" i="5"/>
  <c r="M105" i="5"/>
  <c r="D81" i="47" s="1"/>
  <c r="M96" i="5"/>
  <c r="K264" i="50" s="1"/>
  <c r="K436" i="5"/>
  <c r="M189" i="5"/>
  <c r="M152" i="5"/>
  <c r="F32" i="69" s="1"/>
  <c r="M769" i="5"/>
  <c r="M160" i="5"/>
  <c r="K578" i="5"/>
  <c r="L207" i="5"/>
  <c r="M69" i="5"/>
  <c r="N3382" i="18" s="1"/>
  <c r="M104" i="5"/>
  <c r="D80" i="47" s="1"/>
  <c r="L214" i="5"/>
  <c r="M30" i="5"/>
  <c r="K109" i="50" s="1"/>
  <c r="L256" i="5"/>
  <c r="K479" i="5"/>
  <c r="L251" i="5"/>
  <c r="L519" i="5"/>
  <c r="L534" i="5"/>
  <c r="M719" i="5"/>
  <c r="M732" i="5"/>
  <c r="K422" i="5"/>
  <c r="K415" i="5" s="1"/>
  <c r="M12" i="5"/>
  <c r="H9" i="68" s="1"/>
  <c r="L601" i="5"/>
  <c r="L469" i="5"/>
  <c r="M771" i="5"/>
  <c r="K336" i="5"/>
  <c r="K221" i="5"/>
  <c r="L216" i="5"/>
  <c r="AE40" i="11"/>
  <c r="P4" i="11" s="1"/>
  <c r="L221" i="5"/>
  <c r="K563" i="5"/>
  <c r="K502" i="5"/>
  <c r="M59" i="5"/>
  <c r="H40" i="72" s="1"/>
  <c r="K211" i="5"/>
  <c r="M52" i="5"/>
  <c r="D44" i="51" s="1"/>
  <c r="I44" i="51" s="1"/>
  <c r="J44" i="51" s="1"/>
  <c r="M94" i="5"/>
  <c r="L33" i="68" s="1"/>
  <c r="M119" i="5"/>
  <c r="N4425" i="18" s="1"/>
  <c r="O4426" i="18" s="1"/>
  <c r="O6536" i="18" s="1"/>
  <c r="M28" i="5"/>
  <c r="M21" i="5"/>
  <c r="K57" i="50" s="1"/>
  <c r="L468" i="5"/>
  <c r="M97" i="5"/>
  <c r="M115" i="5"/>
  <c r="L51" i="68" s="1"/>
  <c r="U52" i="71" s="1"/>
  <c r="M150" i="5"/>
  <c r="M111" i="5"/>
  <c r="K283" i="50" s="1"/>
  <c r="K367" i="5"/>
  <c r="M118" i="5"/>
  <c r="L45" i="72" s="1"/>
  <c r="X51" i="75" s="1"/>
  <c r="M151" i="5"/>
  <c r="L313" i="5"/>
  <c r="L585" i="5"/>
  <c r="M89" i="5"/>
  <c r="M33" i="5"/>
  <c r="K114" i="50" s="1"/>
  <c r="K325" i="5"/>
  <c r="K132" i="5"/>
  <c r="L446" i="5"/>
  <c r="L229" i="5"/>
  <c r="M191" i="5"/>
  <c r="M194" i="5" s="1"/>
  <c r="L194" i="5"/>
  <c r="N3830" i="18"/>
  <c r="O3831" i="18" s="1"/>
  <c r="O6488" i="18" s="1"/>
  <c r="L227" i="5"/>
  <c r="L382" i="5"/>
  <c r="L35" i="5"/>
  <c r="M15" i="5"/>
  <c r="D15" i="47" s="1"/>
  <c r="K318" i="5"/>
  <c r="L219" i="5"/>
  <c r="K160" i="50"/>
  <c r="L206" i="5"/>
  <c r="K220" i="5"/>
  <c r="K734" i="5"/>
  <c r="M723" i="5"/>
  <c r="L501" i="5"/>
  <c r="K63" i="5"/>
  <c r="M175" i="5"/>
  <c r="K172" i="5"/>
  <c r="D61" i="51"/>
  <c r="I61" i="51" s="1"/>
  <c r="J61" i="51" s="1"/>
  <c r="D61" i="47"/>
  <c r="N3433" i="18"/>
  <c r="L12" i="72"/>
  <c r="M14" i="72" s="1"/>
  <c r="L568" i="5"/>
  <c r="L217" i="5"/>
  <c r="K308" i="5"/>
  <c r="L372" i="5"/>
  <c r="K611" i="5"/>
  <c r="L263" i="5"/>
  <c r="L232" i="5"/>
  <c r="K410" i="5"/>
  <c r="K219" i="5"/>
  <c r="L63" i="5"/>
  <c r="K204" i="5"/>
  <c r="L132" i="5"/>
  <c r="M120" i="5"/>
  <c r="L453" i="5"/>
  <c r="M395" i="5"/>
  <c r="V9" i="71" s="1"/>
  <c r="M397" i="5"/>
  <c r="V11" i="75" s="1"/>
  <c r="M406" i="5"/>
  <c r="V17" i="75" s="1"/>
  <c r="M413" i="5"/>
  <c r="V23" i="75" s="1"/>
  <c r="M420" i="5"/>
  <c r="V30" i="75" s="1"/>
  <c r="M470" i="5"/>
  <c r="X17" i="71" s="1"/>
  <c r="M477" i="5"/>
  <c r="X23" i="75" s="1"/>
  <c r="M482" i="5"/>
  <c r="X28" i="75" s="1"/>
  <c r="M484" i="5"/>
  <c r="X31" i="71" s="1"/>
  <c r="M487" i="5"/>
  <c r="X33" i="75" s="1"/>
  <c r="M525" i="5"/>
  <c r="Z9" i="71" s="1"/>
  <c r="M527" i="5"/>
  <c r="Z11" i="71" s="1"/>
  <c r="M541" i="5"/>
  <c r="Z22" i="71" s="1"/>
  <c r="M550" i="5"/>
  <c r="Z31" i="71" s="1"/>
  <c r="M553" i="5"/>
  <c r="Z34" i="71" s="1"/>
  <c r="M559" i="5"/>
  <c r="M561" i="5"/>
  <c r="M591" i="5"/>
  <c r="AB9" i="75" s="1"/>
  <c r="M612" i="5"/>
  <c r="AB27" i="71" s="1"/>
  <c r="M619" i="5"/>
  <c r="AB34" i="71" s="1"/>
  <c r="M625" i="5"/>
  <c r="I705" i="5"/>
  <c r="G346" i="50" s="1"/>
  <c r="D108" i="48"/>
  <c r="D105" i="51"/>
  <c r="I105" i="51" s="1"/>
  <c r="J105" i="51" s="1"/>
  <c r="L203" i="5"/>
  <c r="M177" i="5"/>
  <c r="L377" i="5"/>
  <c r="L339" i="5"/>
  <c r="L318" i="5"/>
  <c r="L512" i="5"/>
  <c r="K530" i="5"/>
  <c r="M84" i="5"/>
  <c r="H682" i="5"/>
  <c r="G671" i="5"/>
  <c r="H690" i="5"/>
  <c r="M632" i="5"/>
  <c r="I699" i="5"/>
  <c r="E32" i="74" s="1"/>
  <c r="K507" i="5"/>
  <c r="L25" i="68"/>
  <c r="L204" i="5"/>
  <c r="L158" i="5"/>
  <c r="L161" i="5" s="1"/>
  <c r="L163" i="5" s="1"/>
  <c r="L567" i="5" s="1"/>
  <c r="K35" i="5"/>
  <c r="K222" i="5"/>
  <c r="M252" i="5"/>
  <c r="Q22" i="71" s="1"/>
  <c r="M504" i="5"/>
  <c r="Y18" i="75" s="1"/>
  <c r="M642" i="5"/>
  <c r="F239" i="91"/>
  <c r="F105" i="6"/>
  <c r="F52" i="6"/>
  <c r="E53" i="6"/>
  <c r="E54" i="6" s="1"/>
  <c r="E7" i="88"/>
  <c r="F7" i="88" s="1"/>
  <c r="L7" i="87"/>
  <c r="H4868" i="18" s="1"/>
  <c r="E16" i="91"/>
  <c r="AC176" i="6"/>
  <c r="J176" i="6"/>
  <c r="G176" i="6" s="1"/>
  <c r="AE97" i="6"/>
  <c r="Q85" i="6"/>
  <c r="AE85" i="6" s="1"/>
  <c r="B80" i="6"/>
  <c r="R79" i="6"/>
  <c r="Q92" i="6"/>
  <c r="AE92" i="6" s="1"/>
  <c r="R93" i="6"/>
  <c r="Q101" i="6"/>
  <c r="AE101" i="6" s="1"/>
  <c r="Q106" i="6"/>
  <c r="AE106" i="6" s="1"/>
  <c r="Q102" i="6"/>
  <c r="AE102" i="6" s="1"/>
  <c r="Q104" i="6"/>
  <c r="AE104" i="6" s="1"/>
  <c r="R102" i="6"/>
  <c r="R108" i="6"/>
  <c r="Q113" i="6"/>
  <c r="AE113" i="6" s="1"/>
  <c r="B121" i="6"/>
  <c r="G118" i="6"/>
  <c r="Q126" i="6"/>
  <c r="AE126" i="6" s="1"/>
  <c r="G122" i="6"/>
  <c r="G137" i="6"/>
  <c r="R138" i="6"/>
  <c r="R148" i="6"/>
  <c r="R155" i="6"/>
  <c r="Q155" i="6"/>
  <c r="AE155" i="6" s="1"/>
  <c r="AE159" i="6"/>
  <c r="D162" i="6"/>
  <c r="B173" i="6"/>
  <c r="Q172" i="6"/>
  <c r="AE172" i="6" s="1"/>
  <c r="AC177" i="6"/>
  <c r="Q189" i="6"/>
  <c r="AE189" i="6" s="1"/>
  <c r="B200" i="6"/>
  <c r="Q80" i="6"/>
  <c r="R112" i="6"/>
  <c r="R118" i="6"/>
  <c r="AE121" i="6"/>
  <c r="G136" i="6"/>
  <c r="AE130" i="6"/>
  <c r="R154" i="6"/>
  <c r="B159" i="6"/>
  <c r="D176" i="6"/>
  <c r="D177" i="6" s="1"/>
  <c r="D178" i="6" s="1"/>
  <c r="D179" i="6" s="1"/>
  <c r="AD177" i="6"/>
  <c r="H4706" i="18"/>
  <c r="AE198" i="6"/>
  <c r="B83" i="6"/>
  <c r="B92" i="6"/>
  <c r="D96" i="6"/>
  <c r="D97" i="6" s="1"/>
  <c r="D98" i="6" s="1"/>
  <c r="D99" i="6" s="1"/>
  <c r="J96" i="6"/>
  <c r="G96" i="6" s="1"/>
  <c r="G104" i="6"/>
  <c r="AE107" i="6"/>
  <c r="B113" i="6"/>
  <c r="Q111" i="6"/>
  <c r="AE111" i="6" s="1"/>
  <c r="Q123" i="6"/>
  <c r="AE123" i="6" s="1"/>
  <c r="Q127" i="6"/>
  <c r="AE127" i="6" s="1"/>
  <c r="R111" i="6"/>
  <c r="G152" i="6"/>
  <c r="R159" i="6"/>
  <c r="AE162" i="6"/>
  <c r="Q173" i="6"/>
  <c r="AE173" i="6" s="1"/>
  <c r="B192" i="6"/>
  <c r="B197" i="6"/>
  <c r="R197" i="6"/>
  <c r="D198" i="6"/>
  <c r="Q13" i="6"/>
  <c r="AE13" i="6" s="1"/>
  <c r="R13" i="6"/>
  <c r="R15" i="6"/>
  <c r="B15" i="6"/>
  <c r="Q15" i="6"/>
  <c r="AE15" i="6" s="1"/>
  <c r="B19" i="6"/>
  <c r="R19" i="6"/>
  <c r="Q19" i="6"/>
  <c r="AE19" i="6" s="1"/>
  <c r="E22" i="6"/>
  <c r="F21" i="6"/>
  <c r="R50" i="6"/>
  <c r="Q50" i="6"/>
  <c r="AE50" i="6" s="1"/>
  <c r="G12" i="6"/>
  <c r="D12" i="6"/>
  <c r="Q71" i="6"/>
  <c r="AE71" i="6" s="1"/>
  <c r="R71" i="6"/>
  <c r="Q18" i="6"/>
  <c r="AE18" i="6" s="1"/>
  <c r="R18" i="6"/>
  <c r="G22" i="6"/>
  <c r="E27" i="6"/>
  <c r="F26" i="6"/>
  <c r="G32" i="6"/>
  <c r="Q51" i="6"/>
  <c r="AE51" i="6" s="1"/>
  <c r="R51" i="6"/>
  <c r="Q62" i="6"/>
  <c r="AE62" i="6" s="1"/>
  <c r="R62" i="6"/>
  <c r="F15" i="6"/>
  <c r="F16" i="6"/>
  <c r="R21" i="6"/>
  <c r="Q21" i="6"/>
  <c r="AE21" i="6" s="1"/>
  <c r="AE30" i="6"/>
  <c r="D30" i="6"/>
  <c r="G30" i="6"/>
  <c r="R23" i="6"/>
  <c r="B23" i="6"/>
  <c r="Q35" i="6"/>
  <c r="AE35" i="6" s="1"/>
  <c r="R35" i="6"/>
  <c r="G20" i="6"/>
  <c r="AE20" i="6"/>
  <c r="D20" i="6"/>
  <c r="B29" i="6"/>
  <c r="R29" i="6"/>
  <c r="Q29" i="6"/>
  <c r="AE29" i="6" s="1"/>
  <c r="Q26" i="6"/>
  <c r="AE26" i="6" s="1"/>
  <c r="B26" i="6"/>
  <c r="R78" i="6"/>
  <c r="Q84" i="6"/>
  <c r="AE84" i="6" s="1"/>
  <c r="B84" i="6"/>
  <c r="R81" i="6"/>
  <c r="R96" i="6"/>
  <c r="B96" i="6"/>
  <c r="Q96" i="6"/>
  <c r="AC97" i="6"/>
  <c r="AD97" i="6"/>
  <c r="D85" i="6"/>
  <c r="Q90" i="6"/>
  <c r="AE90" i="6" s="1"/>
  <c r="R90" i="6"/>
  <c r="Q94" i="6"/>
  <c r="AE94" i="6" s="1"/>
  <c r="R94" i="6"/>
  <c r="Q98" i="6"/>
  <c r="AE98" i="6" s="1"/>
  <c r="R98" i="6"/>
  <c r="B98" i="6"/>
  <c r="Q112" i="6"/>
  <c r="AE112" i="6" s="1"/>
  <c r="D127" i="6"/>
  <c r="R121" i="6"/>
  <c r="B146" i="6"/>
  <c r="R152" i="6"/>
  <c r="R129" i="6"/>
  <c r="Q151" i="6"/>
  <c r="AE151" i="6" s="1"/>
  <c r="B151" i="6"/>
  <c r="AE160" i="6"/>
  <c r="B154" i="6"/>
  <c r="R156" i="6"/>
  <c r="G159" i="6"/>
  <c r="B165" i="6"/>
  <c r="Q157" i="6"/>
  <c r="AE157" i="6" s="1"/>
  <c r="R174" i="6"/>
  <c r="Q174" i="6"/>
  <c r="AE174" i="6" s="1"/>
  <c r="Q186" i="6"/>
  <c r="AE186" i="6" s="1"/>
  <c r="R186" i="6"/>
  <c r="Q203" i="6"/>
  <c r="AE203" i="6" s="1"/>
  <c r="R203" i="6"/>
  <c r="R83" i="6"/>
  <c r="J91" i="6"/>
  <c r="R95" i="6"/>
  <c r="R97" i="6"/>
  <c r="B97" i="6"/>
  <c r="AC96" i="6"/>
  <c r="B99" i="6"/>
  <c r="AE100" i="6"/>
  <c r="B103" i="6"/>
  <c r="Q103" i="6"/>
  <c r="AE103" i="6" s="1"/>
  <c r="R107" i="6"/>
  <c r="B107" i="6"/>
  <c r="Q117" i="6"/>
  <c r="AE117" i="6" s="1"/>
  <c r="G111" i="6"/>
  <c r="B117" i="6"/>
  <c r="Q119" i="6"/>
  <c r="AE119" i="6" s="1"/>
  <c r="Q114" i="6"/>
  <c r="AE114" i="6" s="1"/>
  <c r="Q124" i="6"/>
  <c r="AE124" i="6" s="1"/>
  <c r="Q115" i="6"/>
  <c r="AE115" i="6" s="1"/>
  <c r="R120" i="6"/>
  <c r="G116" i="6"/>
  <c r="G125" i="6"/>
  <c r="R137" i="6"/>
  <c r="Q133" i="6"/>
  <c r="AE133" i="6" s="1"/>
  <c r="G144" i="6"/>
  <c r="D147" i="6"/>
  <c r="G145" i="6"/>
  <c r="Q146" i="6"/>
  <c r="AE146" i="6" s="1"/>
  <c r="AE182" i="6"/>
  <c r="G182" i="6"/>
  <c r="Q184" i="6"/>
  <c r="AE184" i="6" s="1"/>
  <c r="R184" i="6"/>
  <c r="B184" i="6"/>
  <c r="Q190" i="6"/>
  <c r="AE190" i="6" s="1"/>
  <c r="R190" i="6"/>
  <c r="Q194" i="6"/>
  <c r="AE194" i="6" s="1"/>
  <c r="R194" i="6"/>
  <c r="Q199" i="6"/>
  <c r="AE199" i="6" s="1"/>
  <c r="R199" i="6"/>
  <c r="Q202" i="6"/>
  <c r="AE202" i="6" s="1"/>
  <c r="R202" i="6"/>
  <c r="R134" i="6"/>
  <c r="Q134" i="6"/>
  <c r="AE134" i="6" s="1"/>
  <c r="Q149" i="6"/>
  <c r="AE149" i="6" s="1"/>
  <c r="B149" i="6"/>
  <c r="R171" i="6"/>
  <c r="Q171" i="6"/>
  <c r="AE171" i="6" s="1"/>
  <c r="R175" i="6"/>
  <c r="Q175" i="6"/>
  <c r="AE175" i="6" s="1"/>
  <c r="Q177" i="6"/>
  <c r="B177" i="6"/>
  <c r="R177" i="6"/>
  <c r="R178" i="6"/>
  <c r="Q178" i="6"/>
  <c r="AE178" i="6" s="1"/>
  <c r="R179" i="6"/>
  <c r="B179" i="6"/>
  <c r="Q179" i="6"/>
  <c r="AE179" i="6" s="1"/>
  <c r="AE188" i="6"/>
  <c r="G188" i="6"/>
  <c r="Q195" i="6"/>
  <c r="AE195" i="6" s="1"/>
  <c r="R195" i="6"/>
  <c r="Q196" i="6"/>
  <c r="AE196" i="6" s="1"/>
  <c r="R196" i="6"/>
  <c r="B196" i="6"/>
  <c r="Q91" i="6"/>
  <c r="R99" i="6"/>
  <c r="R153" i="6"/>
  <c r="Q135" i="6"/>
  <c r="AE135" i="6" s="1"/>
  <c r="B145" i="6"/>
  <c r="Q140" i="6"/>
  <c r="AE140" i="6" s="1"/>
  <c r="R135" i="6"/>
  <c r="G146" i="6"/>
  <c r="B150" i="6"/>
  <c r="Q163" i="6"/>
  <c r="AE163" i="6" s="1"/>
  <c r="R163" i="6"/>
  <c r="R166" i="6"/>
  <c r="Q166" i="6"/>
  <c r="AE166" i="6" s="1"/>
  <c r="R170" i="6"/>
  <c r="Q170" i="6"/>
  <c r="AE170" i="6" s="1"/>
  <c r="B178" i="6"/>
  <c r="AE192" i="6"/>
  <c r="G192" i="6"/>
  <c r="AE193" i="6"/>
  <c r="AE200" i="6"/>
  <c r="G200" i="6"/>
  <c r="AE201" i="6"/>
  <c r="R185" i="6"/>
  <c r="Q185" i="6"/>
  <c r="AE185" i="6" s="1"/>
  <c r="G186" i="6"/>
  <c r="G184" i="6"/>
  <c r="R187" i="6"/>
  <c r="R188" i="6"/>
  <c r="G190" i="6"/>
  <c r="I4559" i="18"/>
  <c r="R191" i="6"/>
  <c r="R192" i="6"/>
  <c r="G194" i="6"/>
  <c r="G202" i="6"/>
  <c r="G203" i="6"/>
  <c r="AD176" i="6"/>
  <c r="G193" i="6"/>
  <c r="G198" i="6"/>
  <c r="G201" i="6"/>
  <c r="K1233" i="18"/>
  <c r="K1220" i="18" s="1"/>
  <c r="K1228" i="18"/>
  <c r="H1097" i="18"/>
  <c r="G72" i="6"/>
  <c r="K341" i="50"/>
  <c r="K1051" i="18"/>
  <c r="K1056" i="18" s="1"/>
  <c r="J1035" i="18"/>
  <c r="K1028" i="18" s="1"/>
  <c r="H1005" i="18"/>
  <c r="H1009" i="18" s="1"/>
  <c r="G73" i="6"/>
  <c r="L13" i="87"/>
  <c r="F74" i="6"/>
  <c r="F73" i="6"/>
  <c r="K1471" i="18"/>
  <c r="N1488" i="18"/>
  <c r="F72" i="6"/>
  <c r="L351" i="18"/>
  <c r="K334" i="18"/>
  <c r="N3918" i="18"/>
  <c r="Q3918" i="18"/>
  <c r="Q3473" i="18"/>
  <c r="K3473" i="18"/>
  <c r="N3321" i="18"/>
  <c r="Q3321" i="18"/>
  <c r="D3041" i="18"/>
  <c r="I3302" i="18"/>
  <c r="N3288" i="18"/>
  <c r="Q3288" i="18"/>
  <c r="K2897" i="18"/>
  <c r="L2897" i="18" s="1"/>
  <c r="N4263" i="18"/>
  <c r="Q4263" i="18"/>
  <c r="N4289" i="18"/>
  <c r="Q4289" i="18"/>
  <c r="N3659" i="18"/>
  <c r="Q3659" i="18"/>
  <c r="D1944" i="18"/>
  <c r="L183" i="18"/>
  <c r="N257" i="18"/>
  <c r="N264" i="18" s="1"/>
  <c r="N268" i="18" s="1"/>
  <c r="J264" i="18"/>
  <c r="Q872" i="18"/>
  <c r="D3024" i="18"/>
  <c r="D1498" i="18"/>
  <c r="Q3361" i="18"/>
  <c r="D1510" i="18"/>
  <c r="N3630" i="18"/>
  <c r="H3654" i="18"/>
  <c r="I4172" i="18"/>
  <c r="I4178" i="18" s="1"/>
  <c r="N4170" i="18" s="1"/>
  <c r="H852" i="18"/>
  <c r="I3774" i="18"/>
  <c r="I3790" i="18" s="1"/>
  <c r="L3765" i="18" s="1"/>
  <c r="H2435" i="18"/>
  <c r="H2456" i="18" s="1"/>
  <c r="H3385" i="18"/>
  <c r="I4122" i="18"/>
  <c r="I4129" i="18" s="1"/>
  <c r="H2123" i="18"/>
  <c r="H582" i="18"/>
  <c r="I3447" i="18"/>
  <c r="I3454" i="18" s="1"/>
  <c r="N3445" i="18" s="1"/>
  <c r="H4345" i="18"/>
  <c r="K2835" i="18"/>
  <c r="I132" i="18"/>
  <c r="I136" i="18" s="1"/>
  <c r="N130" i="18" s="1"/>
  <c r="K2913" i="18"/>
  <c r="H1913" i="18"/>
  <c r="L4065" i="18"/>
  <c r="L4074" i="18" s="1"/>
  <c r="H1966" i="18"/>
  <c r="I3764" i="18"/>
  <c r="I3769" i="18" s="1"/>
  <c r="N3762" i="18" s="1"/>
  <c r="I937" i="18"/>
  <c r="I942" i="18" s="1"/>
  <c r="N935" i="18" s="1"/>
  <c r="I3425" i="18"/>
  <c r="I3431" i="18" s="1"/>
  <c r="H3205" i="18"/>
  <c r="H1474" i="18"/>
  <c r="I3931" i="18"/>
  <c r="I3937" i="18" s="1"/>
  <c r="N3929" i="18" s="1"/>
  <c r="K1622" i="18"/>
  <c r="K5750" i="18"/>
  <c r="H4372" i="18"/>
  <c r="H5580" i="18"/>
  <c r="I73" i="18"/>
  <c r="I87" i="18" s="1"/>
  <c r="N71" i="18" s="1"/>
  <c r="H3622" i="18"/>
  <c r="H3628" i="18" s="1"/>
  <c r="K2417" i="18"/>
  <c r="I2643" i="18"/>
  <c r="I2647" i="18" s="1"/>
  <c r="N2641" i="18" s="1"/>
  <c r="H433" i="18"/>
  <c r="H3180" i="18"/>
  <c r="J863" i="18"/>
  <c r="I4055" i="18"/>
  <c r="I4061" i="18" s="1"/>
  <c r="N4053" i="18" s="1"/>
  <c r="I970" i="18"/>
  <c r="I976" i="18" s="1"/>
  <c r="N968" i="18" s="1"/>
  <c r="K1952" i="18"/>
  <c r="H3685" i="18"/>
  <c r="H3713" i="18" s="1"/>
  <c r="N3683" i="18" s="1"/>
  <c r="I947" i="18"/>
  <c r="I955" i="18" s="1"/>
  <c r="N945" i="18" s="1"/>
  <c r="H4313" i="18"/>
  <c r="J5764" i="18"/>
  <c r="J5773" i="18" s="1"/>
  <c r="N5762" i="18" s="1"/>
  <c r="I4251" i="18"/>
  <c r="I4260" i="18" s="1"/>
  <c r="N4249" i="18" s="1"/>
  <c r="I3972" i="18"/>
  <c r="I3979" i="18" s="1"/>
  <c r="I3310" i="18"/>
  <c r="I3318" i="18" s="1"/>
  <c r="I5160" i="18"/>
  <c r="H1353" i="18"/>
  <c r="I3436" i="18"/>
  <c r="I3441" i="18" s="1"/>
  <c r="H4089" i="18"/>
  <c r="I2851" i="18"/>
  <c r="I2862" i="18" s="1"/>
  <c r="H3218" i="18"/>
  <c r="L1843" i="18"/>
  <c r="I2501" i="18"/>
  <c r="I2506" i="18" s="1"/>
  <c r="N2499" i="18" s="1"/>
  <c r="I991" i="18"/>
  <c r="I1005" i="18" s="1"/>
  <c r="O5379" i="18" s="1"/>
  <c r="P5379" i="18" s="1"/>
  <c r="I2524" i="18"/>
  <c r="I2530" i="18" s="1"/>
  <c r="N2522" i="18" s="1"/>
  <c r="H2298" i="18"/>
  <c r="J3245" i="18"/>
  <c r="H692" i="18"/>
  <c r="I319" i="18"/>
  <c r="I332" i="18" s="1"/>
  <c r="N317" i="18" s="1"/>
  <c r="I3805" i="18"/>
  <c r="I3818" i="18" s="1"/>
  <c r="N3803" i="18" s="1"/>
  <c r="I12" i="18"/>
  <c r="I17" i="18" s="1"/>
  <c r="I3731" i="18"/>
  <c r="I3746" i="18" s="1"/>
  <c r="N3729" i="18" s="1"/>
  <c r="I3413" i="18"/>
  <c r="I3420" i="18" s="1"/>
  <c r="N3411" i="18" s="1"/>
  <c r="H2320" i="18"/>
  <c r="I92" i="18"/>
  <c r="I106" i="18" s="1"/>
  <c r="K1828" i="18"/>
  <c r="H3193" i="18"/>
  <c r="H2335" i="18"/>
  <c r="I111" i="18"/>
  <c r="I117" i="18" s="1"/>
  <c r="H4273" i="18"/>
  <c r="H4279" i="18" s="1"/>
  <c r="Q3803" i="18"/>
  <c r="D3013" i="18"/>
  <c r="D2150" i="18"/>
  <c r="D2152" i="18"/>
  <c r="D2153" i="18"/>
  <c r="D2156" i="18"/>
  <c r="D2145" i="18"/>
  <c r="D2144" i="18"/>
  <c r="D2565" i="18"/>
  <c r="D1939" i="18"/>
  <c r="D3023" i="18"/>
  <c r="D2147" i="18"/>
  <c r="D2154" i="18"/>
  <c r="Q3278" i="18"/>
  <c r="D1942" i="18"/>
  <c r="D1941" i="18"/>
  <c r="D1501" i="18"/>
  <c r="D1500" i="18"/>
  <c r="H185" i="18"/>
  <c r="H266" i="18"/>
  <c r="H1922" i="18"/>
  <c r="H1864" i="18"/>
  <c r="G2013" i="18"/>
  <c r="J2278" i="18"/>
  <c r="I701" i="18"/>
  <c r="I705" i="18" s="1"/>
  <c r="N699" i="18" s="1"/>
  <c r="G2587" i="18"/>
  <c r="D2568" i="18" s="1"/>
  <c r="K3273" i="18"/>
  <c r="G2604" i="18"/>
  <c r="L3983" i="18"/>
  <c r="L3989" i="18" s="1"/>
  <c r="H5424" i="18"/>
  <c r="I2025" i="18"/>
  <c r="I2031" i="18" s="1"/>
  <c r="Q2023" i="18" s="1"/>
  <c r="K1144" i="18"/>
  <c r="V4" i="18"/>
  <c r="W4" i="18"/>
  <c r="H4061" i="18"/>
  <c r="I4217" i="18"/>
  <c r="I4902" i="18"/>
  <c r="I4912" i="18" s="1"/>
  <c r="N4900" i="18" s="1"/>
  <c r="I4740" i="18"/>
  <c r="I4749" i="18" s="1"/>
  <c r="N4738" i="18" s="1"/>
  <c r="I5131" i="18"/>
  <c r="J4521" i="18"/>
  <c r="I4637" i="18"/>
  <c r="I4652" i="18" s="1"/>
  <c r="N4635" i="18" s="1"/>
  <c r="G2597" i="18"/>
  <c r="D2597" i="18" s="1"/>
  <c r="G3040" i="18"/>
  <c r="H5212" i="18"/>
  <c r="H701" i="18"/>
  <c r="H705" i="18" s="1"/>
  <c r="K699" i="18" s="1"/>
  <c r="G1946" i="18"/>
  <c r="D1943" i="18" s="1"/>
  <c r="J5671" i="18"/>
  <c r="J5677" i="18" s="1"/>
  <c r="J5681" i="18"/>
  <c r="J5687" i="18" s="1"/>
  <c r="J5731" i="18"/>
  <c r="J5737" i="18" s="1"/>
  <c r="J5638" i="18"/>
  <c r="J5647" i="18" s="1"/>
  <c r="N5636" i="18" s="1"/>
  <c r="H4251" i="18"/>
  <c r="H4260" i="18" s="1"/>
  <c r="H1282" i="18"/>
  <c r="H61" i="18"/>
  <c r="H67" i="18" s="1"/>
  <c r="K59" i="18" s="1"/>
  <c r="H3245" i="18"/>
  <c r="H3931" i="18"/>
  <c r="H3937" i="18" s="1"/>
  <c r="H1016" i="18"/>
  <c r="H1026" i="18" s="1"/>
  <c r="H239" i="18"/>
  <c r="H12" i="87"/>
  <c r="H14" i="87" s="1"/>
  <c r="J14" i="87" s="1"/>
  <c r="E14" i="87"/>
  <c r="I14" i="87" s="1"/>
  <c r="F51" i="70"/>
  <c r="K333" i="50"/>
  <c r="K346" i="50"/>
  <c r="F37" i="74"/>
  <c r="P41" i="13"/>
  <c r="R41" i="13"/>
  <c r="P4" i="13" s="1"/>
  <c r="K206" i="50"/>
  <c r="K10" i="50"/>
  <c r="H8" i="68"/>
  <c r="D13" i="47"/>
  <c r="K196" i="50"/>
  <c r="F67" i="74"/>
  <c r="I5117" i="18" s="1"/>
  <c r="F84" i="70"/>
  <c r="D19" i="47"/>
  <c r="H38" i="68"/>
  <c r="K382" i="5"/>
  <c r="M388" i="5"/>
  <c r="U32" i="71" s="1"/>
  <c r="M728" i="5"/>
  <c r="L734" i="5"/>
  <c r="M106" i="5"/>
  <c r="L108" i="5"/>
  <c r="L507" i="5"/>
  <c r="L222" i="5"/>
  <c r="L545" i="5"/>
  <c r="K158" i="5"/>
  <c r="K161" i="5" s="1"/>
  <c r="K163" i="5" s="1"/>
  <c r="M190" i="5"/>
  <c r="M82" i="5"/>
  <c r="L644" i="5"/>
  <c r="L215" i="5"/>
  <c r="M188" i="5"/>
  <c r="F49" i="73" s="1"/>
  <c r="L178" i="5"/>
  <c r="M31" i="5"/>
  <c r="M627" i="5"/>
  <c r="M730" i="5"/>
  <c r="M130" i="5"/>
  <c r="F10" i="69" s="1"/>
  <c r="M19" i="5"/>
  <c r="K34" i="50" s="1"/>
  <c r="M25" i="5"/>
  <c r="M720" i="5"/>
  <c r="M733" i="5"/>
  <c r="M139" i="5"/>
  <c r="F19" i="69" s="1"/>
  <c r="M54" i="5"/>
  <c r="M729" i="5"/>
  <c r="M41" i="5"/>
  <c r="M156" i="5"/>
  <c r="D113" i="47" s="1"/>
  <c r="M187" i="5"/>
  <c r="M91" i="5"/>
  <c r="M18" i="5"/>
  <c r="M48" i="5"/>
  <c r="M74" i="5"/>
  <c r="M546" i="5"/>
  <c r="Z27" i="71" s="1"/>
  <c r="E8" i="87"/>
  <c r="I8" i="87" s="1"/>
  <c r="H6" i="87"/>
  <c r="H8" i="87" s="1"/>
  <c r="J8" i="87" s="1"/>
  <c r="H332" i="18"/>
  <c r="K317" i="18" s="1"/>
  <c r="K163" i="50"/>
  <c r="N2521" i="18"/>
  <c r="O2522" i="18" s="1"/>
  <c r="O6407" i="18" s="1"/>
  <c r="K162" i="50"/>
  <c r="K316" i="50"/>
  <c r="M17" i="5"/>
  <c r="M777" i="5"/>
  <c r="K263" i="5"/>
  <c r="M772" i="5"/>
  <c r="M99" i="5"/>
  <c r="G690" i="5"/>
  <c r="M101" i="5"/>
  <c r="M72" i="5"/>
  <c r="G682" i="5"/>
  <c r="G708" i="5"/>
  <c r="M75" i="5"/>
  <c r="L16" i="68" s="1"/>
  <c r="H696" i="5"/>
  <c r="M81" i="5"/>
  <c r="M78" i="5"/>
  <c r="L18" i="68" s="1"/>
  <c r="M60" i="5"/>
  <c r="K256" i="5"/>
  <c r="N9" i="18"/>
  <c r="O59" i="18" s="1"/>
  <c r="O6257" i="18" s="1"/>
  <c r="E6257" i="18" s="1"/>
  <c r="M55" i="5"/>
  <c r="G696" i="5"/>
  <c r="M181" i="5"/>
  <c r="M767" i="5"/>
  <c r="M724" i="5"/>
  <c r="D83" i="47"/>
  <c r="K281" i="50"/>
  <c r="K282" i="50"/>
  <c r="H32" i="72"/>
  <c r="D38" i="51"/>
  <c r="I38" i="51" s="1"/>
  <c r="J38" i="51" s="1"/>
  <c r="H41" i="68"/>
  <c r="K161" i="50"/>
  <c r="D122" i="47"/>
  <c r="K9" i="50"/>
  <c r="H8" i="72"/>
  <c r="K644" i="5"/>
  <c r="O41" i="13"/>
  <c r="M44" i="5"/>
  <c r="N4169" i="18"/>
  <c r="O4170" i="18" s="1"/>
  <c r="O6517" i="18" s="1"/>
  <c r="K276" i="50"/>
  <c r="K274" i="50"/>
  <c r="K273" i="50"/>
  <c r="L30" i="72"/>
  <c r="M128" i="5"/>
  <c r="K377" i="5"/>
  <c r="M116" i="5"/>
  <c r="M849" i="5" s="1"/>
  <c r="M239" i="5"/>
  <c r="M243" i="5"/>
  <c r="M250" i="5"/>
  <c r="Q20" i="71" s="1"/>
  <c r="M255" i="5"/>
  <c r="Q25" i="71" s="1"/>
  <c r="M260" i="5"/>
  <c r="Q30" i="71" s="1"/>
  <c r="M262" i="5"/>
  <c r="Q32" i="71" s="1"/>
  <c r="M304" i="5"/>
  <c r="S12" i="75" s="1"/>
  <c r="M316" i="5"/>
  <c r="S24" i="71" s="1"/>
  <c r="M364" i="5"/>
  <c r="U11" i="71" s="1"/>
  <c r="M366" i="5"/>
  <c r="U12" i="71" s="1"/>
  <c r="M375" i="5"/>
  <c r="U19" i="75" s="1"/>
  <c r="M385" i="5"/>
  <c r="U29" i="71" s="1"/>
  <c r="M387" i="5"/>
  <c r="U31" i="71" s="1"/>
  <c r="M392" i="5"/>
  <c r="U35" i="75" s="1"/>
  <c r="M431" i="5"/>
  <c r="M500" i="5"/>
  <c r="M510" i="5"/>
  <c r="Y24" i="71" s="1"/>
  <c r="M517" i="5"/>
  <c r="Y31" i="71" s="1"/>
  <c r="M522" i="5"/>
  <c r="Y35" i="75" s="1"/>
  <c r="M571" i="5"/>
  <c r="AA19" i="71" s="1"/>
  <c r="M576" i="5"/>
  <c r="M581" i="5"/>
  <c r="Z28" i="75" s="1"/>
  <c r="M643" i="5"/>
  <c r="M648" i="5"/>
  <c r="M650" i="5"/>
  <c r="I674" i="5"/>
  <c r="E24" i="70" s="1"/>
  <c r="I668" i="5"/>
  <c r="E18" i="70" s="1"/>
  <c r="I689" i="5"/>
  <c r="E39" i="70" s="1"/>
  <c r="I694" i="5"/>
  <c r="E44" i="70" s="1"/>
  <c r="I704" i="5"/>
  <c r="G345" i="50" s="1"/>
  <c r="L441" i="5"/>
  <c r="M76" i="5"/>
  <c r="M16" i="5"/>
  <c r="M70" i="5"/>
  <c r="M781" i="5"/>
  <c r="M609" i="5"/>
  <c r="AB23" i="75" s="1"/>
  <c r="M162" i="5"/>
  <c r="K325" i="50" s="1"/>
  <c r="M68" i="5"/>
  <c r="L10" i="68" s="1"/>
  <c r="M80" i="5"/>
  <c r="L20" i="68" s="1"/>
  <c r="M146" i="5"/>
  <c r="M145" i="5"/>
  <c r="M280" i="5"/>
  <c r="R19" i="75" s="1"/>
  <c r="M338" i="5"/>
  <c r="T15" i="75" s="1"/>
  <c r="M341" i="5"/>
  <c r="T18" i="75" s="1"/>
  <c r="M348" i="5"/>
  <c r="T25" i="71" s="1"/>
  <c r="M402" i="5"/>
  <c r="M407" i="5"/>
  <c r="V18" i="71" s="1"/>
  <c r="M409" i="5"/>
  <c r="V20" i="71" s="1"/>
  <c r="M414" i="5"/>
  <c r="V24" i="75" s="1"/>
  <c r="M417" i="5"/>
  <c r="V27" i="75" s="1"/>
  <c r="M419" i="5"/>
  <c r="V30" i="71" s="1"/>
  <c r="M424" i="5"/>
  <c r="V35" i="71" s="1"/>
  <c r="M439" i="5"/>
  <c r="W19" i="71" s="1"/>
  <c r="M447" i="5"/>
  <c r="W27" i="71" s="1"/>
  <c r="M449" i="5"/>
  <c r="W29" i="71" s="1"/>
  <c r="M451" i="5"/>
  <c r="W31" i="71" s="1"/>
  <c r="M462" i="5"/>
  <c r="M466" i="5"/>
  <c r="M471" i="5"/>
  <c r="X18" i="75" s="1"/>
  <c r="M473" i="5"/>
  <c r="X20" i="75" s="1"/>
  <c r="M476" i="5"/>
  <c r="X23" i="71" s="1"/>
  <c r="M478" i="5"/>
  <c r="X24" i="75" s="1"/>
  <c r="M481" i="5"/>
  <c r="X28" i="71" s="1"/>
  <c r="M483" i="5"/>
  <c r="X29" i="75" s="1"/>
  <c r="M485" i="5"/>
  <c r="X32" i="71" s="1"/>
  <c r="M528" i="5"/>
  <c r="M532" i="5"/>
  <c r="M537" i="5"/>
  <c r="Z18" i="71" s="1"/>
  <c r="M542" i="5"/>
  <c r="Z23" i="71" s="1"/>
  <c r="M544" i="5"/>
  <c r="Z25" i="71" s="1"/>
  <c r="M551" i="5"/>
  <c r="Z32" i="71" s="1"/>
  <c r="M558" i="5"/>
  <c r="M600" i="5"/>
  <c r="AB15" i="75" s="1"/>
  <c r="M603" i="5"/>
  <c r="AB18" i="75" s="1"/>
  <c r="M605" i="5"/>
  <c r="AB20" i="71" s="1"/>
  <c r="M608" i="5"/>
  <c r="AB23" i="71" s="1"/>
  <c r="M610" i="5"/>
  <c r="AB25" i="71" s="1"/>
  <c r="M613" i="5"/>
  <c r="AB28" i="71" s="1"/>
  <c r="M615" i="5"/>
  <c r="AB29" i="75" s="1"/>
  <c r="M620" i="5"/>
  <c r="AB35" i="71" s="1"/>
  <c r="M624" i="5"/>
  <c r="I661" i="5"/>
  <c r="E11" i="70" s="1"/>
  <c r="I663" i="5"/>
  <c r="E13" i="70" s="1"/>
  <c r="I667" i="5"/>
  <c r="E17" i="70" s="1"/>
  <c r="I676" i="5"/>
  <c r="E26" i="70" s="1"/>
  <c r="I695" i="5"/>
  <c r="E28" i="74" s="1"/>
  <c r="M174" i="5"/>
  <c r="L282" i="5"/>
  <c r="M29" i="5"/>
  <c r="H24" i="68" s="1"/>
  <c r="M236" i="5"/>
  <c r="Q9" i="75" s="1"/>
  <c r="M238" i="5"/>
  <c r="Q11" i="75" s="1"/>
  <c r="M244" i="5"/>
  <c r="M247" i="5"/>
  <c r="Q17" i="75" s="1"/>
  <c r="M249" i="5"/>
  <c r="Q19" i="71" s="1"/>
  <c r="M254" i="5"/>
  <c r="Q23" i="75" s="1"/>
  <c r="M259" i="5"/>
  <c r="Q28" i="75" s="1"/>
  <c r="M261" i="5"/>
  <c r="Q31" i="71" s="1"/>
  <c r="M264" i="5"/>
  <c r="Q34" i="71" s="1"/>
  <c r="M266" i="5"/>
  <c r="Q35" i="75" s="1"/>
  <c r="M303" i="5"/>
  <c r="M307" i="5"/>
  <c r="S15" i="71" s="1"/>
  <c r="M312" i="5"/>
  <c r="S20" i="71" s="1"/>
  <c r="M320" i="5"/>
  <c r="S28" i="71" s="1"/>
  <c r="M322" i="5"/>
  <c r="S29" i="75" s="1"/>
  <c r="M327" i="5"/>
  <c r="S34" i="75" s="1"/>
  <c r="M363" i="5"/>
  <c r="U10" i="75" s="1"/>
  <c r="M369" i="5"/>
  <c r="M374" i="5"/>
  <c r="U18" i="71" s="1"/>
  <c r="M376" i="5"/>
  <c r="U20" i="75" s="1"/>
  <c r="M381" i="5"/>
  <c r="U24" i="75" s="1"/>
  <c r="M384" i="5"/>
  <c r="U28" i="71" s="1"/>
  <c r="M386" i="5"/>
  <c r="U30" i="71" s="1"/>
  <c r="M430" i="5"/>
  <c r="W11" i="75" s="1"/>
  <c r="M432" i="5"/>
  <c r="W12" i="75" s="1"/>
  <c r="M493" i="5"/>
  <c r="Y10" i="75" s="1"/>
  <c r="M495" i="5"/>
  <c r="M499" i="5"/>
  <c r="M506" i="5"/>
  <c r="Y20" i="71" s="1"/>
  <c r="M509" i="5"/>
  <c r="Y23" i="71" s="1"/>
  <c r="M511" i="5"/>
  <c r="Y24" i="75" s="1"/>
  <c r="M570" i="5"/>
  <c r="M572" i="5"/>
  <c r="AA20" i="75" s="1"/>
  <c r="M580" i="5"/>
  <c r="AA28" i="71" s="1"/>
  <c r="M582" i="5"/>
  <c r="Z29" i="75" s="1"/>
  <c r="M584" i="5"/>
  <c r="Z31" i="75" s="1"/>
  <c r="M587" i="5"/>
  <c r="Z34" i="75" s="1"/>
  <c r="M635" i="5"/>
  <c r="M637" i="5"/>
  <c r="M640" i="5"/>
  <c r="M645" i="5"/>
  <c r="M647" i="5"/>
  <c r="M649" i="5"/>
  <c r="M652" i="5"/>
  <c r="M654" i="5"/>
  <c r="I673" i="5"/>
  <c r="E23" i="70" s="1"/>
  <c r="I675" i="5"/>
  <c r="E25" i="70" s="1"/>
  <c r="I678" i="5"/>
  <c r="M102" i="5"/>
  <c r="M399" i="5"/>
  <c r="V12" i="71" s="1"/>
  <c r="H708" i="5"/>
  <c r="I662" i="5"/>
  <c r="E12" i="70" s="1"/>
  <c r="F54" i="52"/>
  <c r="F21" i="52" s="1"/>
  <c r="M272" i="5"/>
  <c r="M276" i="5"/>
  <c r="R15" i="75" s="1"/>
  <c r="M281" i="5"/>
  <c r="R20" i="71" s="1"/>
  <c r="M291" i="5"/>
  <c r="R29" i="75" s="1"/>
  <c r="M296" i="5"/>
  <c r="R34" i="75" s="1"/>
  <c r="M331" i="5"/>
  <c r="T9" i="71" s="1"/>
  <c r="M333" i="5"/>
  <c r="T11" i="75" s="1"/>
  <c r="M335" i="5"/>
  <c r="T12" i="75" s="1"/>
  <c r="M342" i="5"/>
  <c r="T19" i="75" s="1"/>
  <c r="M345" i="5"/>
  <c r="T22" i="71" s="1"/>
  <c r="M347" i="5"/>
  <c r="T24" i="71" s="1"/>
  <c r="M350" i="5"/>
  <c r="T26" i="75" s="1"/>
  <c r="M352" i="5"/>
  <c r="T29" i="71" s="1"/>
  <c r="M354" i="5"/>
  <c r="T31" i="71" s="1"/>
  <c r="M357" i="5"/>
  <c r="T34" i="71" s="1"/>
  <c r="M359" i="5"/>
  <c r="T36" i="71" s="1"/>
  <c r="M408" i="5"/>
  <c r="V19" i="75" s="1"/>
  <c r="M411" i="5"/>
  <c r="V22" i="71" s="1"/>
  <c r="M416" i="5"/>
  <c r="V27" i="71" s="1"/>
  <c r="M418" i="5"/>
  <c r="V29" i="71" s="1"/>
  <c r="M423" i="5"/>
  <c r="M425" i="5"/>
  <c r="V35" i="75" s="1"/>
  <c r="M438" i="5"/>
  <c r="W18" i="71" s="1"/>
  <c r="M440" i="5"/>
  <c r="W20" i="75" s="1"/>
  <c r="M445" i="5"/>
  <c r="W24" i="75" s="1"/>
  <c r="M448" i="5"/>
  <c r="W27" i="75" s="1"/>
  <c r="M450" i="5"/>
  <c r="W29" i="75" s="1"/>
  <c r="M461" i="5"/>
  <c r="X11" i="71" s="1"/>
  <c r="M463" i="5"/>
  <c r="M475" i="5"/>
  <c r="X22" i="75" s="1"/>
  <c r="M480" i="5"/>
  <c r="X27" i="71" s="1"/>
  <c r="M529" i="5"/>
  <c r="Z12" i="71" s="1"/>
  <c r="M536" i="5"/>
  <c r="Z17" i="71" s="1"/>
  <c r="M538" i="5"/>
  <c r="Z19" i="71" s="1"/>
  <c r="M543" i="5"/>
  <c r="Z24" i="71" s="1"/>
  <c r="M555" i="5"/>
  <c r="Z36" i="71" s="1"/>
  <c r="M595" i="5"/>
  <c r="AB12" i="71" s="1"/>
  <c r="M602" i="5"/>
  <c r="M631" i="5"/>
  <c r="I664" i="5"/>
  <c r="E14" i="70" s="1"/>
  <c r="I688" i="5"/>
  <c r="E38" i="70" s="1"/>
  <c r="I702" i="5"/>
  <c r="E51" i="70" s="1"/>
  <c r="F20" i="52"/>
  <c r="F519" i="5"/>
  <c r="J545" i="5"/>
  <c r="J552" i="5"/>
  <c r="F634" i="5"/>
  <c r="F507" i="5"/>
  <c r="F37" i="70"/>
  <c r="M598" i="5"/>
  <c r="J618" i="5"/>
  <c r="I122" i="51"/>
  <c r="J122" i="51" s="1"/>
  <c r="M467" i="5"/>
  <c r="M533" i="5"/>
  <c r="E70" i="74"/>
  <c r="H5124" i="18" s="1"/>
  <c r="N1629" i="18"/>
  <c r="I3554" i="18"/>
  <c r="I3556" i="18" s="1"/>
  <c r="I3557" i="18" s="1"/>
  <c r="I529" i="18"/>
  <c r="I531" i="18" s="1"/>
  <c r="I532" i="18" s="1"/>
  <c r="N1625" i="18"/>
  <c r="K4639" i="18"/>
  <c r="L2069" i="18"/>
  <c r="H3852" i="18"/>
  <c r="H3854" i="18" s="1"/>
  <c r="H3855" i="18" s="1"/>
  <c r="I208" i="18"/>
  <c r="I210" i="18" s="1"/>
  <c r="I211" i="18" s="1"/>
  <c r="L3733" i="18"/>
  <c r="H208" i="18"/>
  <c r="H210" i="18" s="1"/>
  <c r="H211" i="18" s="1"/>
  <c r="J4559" i="18"/>
  <c r="J4513" i="18"/>
  <c r="M396" i="5"/>
  <c r="V10" i="71" s="1"/>
  <c r="J400" i="5"/>
  <c r="E58" i="74"/>
  <c r="H5108" i="18" s="1"/>
  <c r="K6107" i="18"/>
  <c r="L6108" i="18" s="1"/>
  <c r="L6643" i="18" s="1"/>
  <c r="E6643" i="18" s="1"/>
  <c r="E75" i="70"/>
  <c r="E77" i="70"/>
  <c r="E60" i="74"/>
  <c r="H5110" i="18" s="1"/>
  <c r="K6126" i="18"/>
  <c r="L6127" i="18" s="1"/>
  <c r="L6645" i="18" s="1"/>
  <c r="E6645" i="18" s="1"/>
  <c r="F62" i="74"/>
  <c r="I5112" i="18" s="1"/>
  <c r="F79" i="70"/>
  <c r="F82" i="70"/>
  <c r="F65" i="74"/>
  <c r="I5115" i="18" s="1"/>
  <c r="E88" i="70"/>
  <c r="E71" i="74"/>
  <c r="H5125" i="18" s="1"/>
  <c r="F92" i="70"/>
  <c r="F75" i="74"/>
  <c r="I5133" i="18" s="1"/>
  <c r="I462" i="18"/>
  <c r="I464" i="18" s="1"/>
  <c r="I465" i="18" s="1"/>
  <c r="H1162" i="18"/>
  <c r="H1164" i="18" s="1"/>
  <c r="H1165" i="18" s="1"/>
  <c r="P855" i="18"/>
  <c r="N1032" i="18"/>
  <c r="L1031" i="18"/>
  <c r="Q2687" i="18"/>
  <c r="M4282" i="18"/>
  <c r="M4284" i="18" s="1"/>
  <c r="M4285" i="18" s="1"/>
  <c r="J1383" i="18"/>
  <c r="J1385" i="18" s="1"/>
  <c r="J1386" i="18" s="1"/>
  <c r="M2459" i="18"/>
  <c r="M2461" i="18" s="1"/>
  <c r="M2462" i="18" s="1"/>
  <c r="K1795" i="18"/>
  <c r="K3932" i="18"/>
  <c r="I1424" i="18"/>
  <c r="I1426" i="18" s="1"/>
  <c r="I1427" i="18" s="1"/>
  <c r="K4644" i="18"/>
  <c r="H2230" i="18"/>
  <c r="H2232" i="18" s="1"/>
  <c r="H2233" i="18" s="1"/>
  <c r="L3767" i="18"/>
  <c r="N128" i="18"/>
  <c r="N5347" i="18"/>
  <c r="O5347" i="18" s="1"/>
  <c r="M1223" i="18"/>
  <c r="M1789" i="18"/>
  <c r="K4642" i="18"/>
  <c r="K3677" i="18"/>
  <c r="H3653" i="18"/>
  <c r="H3655" i="18" s="1"/>
  <c r="H3656" i="18" s="1"/>
  <c r="I394" i="18"/>
  <c r="I396" i="18" s="1"/>
  <c r="I397" i="18" s="1"/>
  <c r="L4888" i="18"/>
  <c r="M4888" i="18" s="1"/>
  <c r="N1655" i="18"/>
  <c r="I4939" i="18"/>
  <c r="I4941" i="18" s="1"/>
  <c r="I4942" i="18" s="1"/>
  <c r="H3554" i="18"/>
  <c r="H3556" i="18" s="1"/>
  <c r="H3557" i="18" s="1"/>
  <c r="M1233" i="18"/>
  <c r="J828" i="18"/>
  <c r="J830" i="18" s="1"/>
  <c r="J831" i="18" s="1"/>
  <c r="K832" i="18" s="1"/>
  <c r="L832" i="18" s="1"/>
  <c r="I1096" i="18"/>
  <c r="I1098" i="18" s="1"/>
  <c r="I1099" i="18" s="1"/>
  <c r="I1251" i="18"/>
  <c r="I1253" i="18" s="1"/>
  <c r="I1254" i="18" s="1"/>
  <c r="N1859" i="18"/>
  <c r="J330" i="18"/>
  <c r="M2225" i="18"/>
  <c r="L2092" i="18"/>
  <c r="P1648" i="18"/>
  <c r="H1487" i="18"/>
  <c r="H1489" i="18" s="1"/>
  <c r="H1490" i="18" s="1"/>
  <c r="L3932" i="18"/>
  <c r="O5383" i="18"/>
  <c r="P5383" i="18" s="1"/>
  <c r="M3033" i="18"/>
  <c r="M1908" i="18"/>
  <c r="K4638" i="18"/>
  <c r="N5345" i="18"/>
  <c r="O5345" i="18" s="1"/>
  <c r="J4112" i="18"/>
  <c r="L788" i="18"/>
  <c r="I3678" i="18"/>
  <c r="L3736" i="18"/>
  <c r="M2260" i="18"/>
  <c r="L4894" i="18"/>
  <c r="M4894" i="18" s="1"/>
  <c r="L712" i="18"/>
  <c r="K4537" i="18"/>
  <c r="P1643" i="18"/>
  <c r="K938" i="18"/>
  <c r="J3818" i="18"/>
  <c r="J2230" i="18"/>
  <c r="J2232" i="18" s="1"/>
  <c r="J2233" i="18" s="1"/>
  <c r="M1882" i="18"/>
  <c r="I2230" i="18"/>
  <c r="I2232" i="18" s="1"/>
  <c r="I2233" i="18" s="1"/>
  <c r="I3467" i="18"/>
  <c r="I3469" i="18" s="1"/>
  <c r="I3470" i="18" s="1"/>
  <c r="J3678" i="18"/>
  <c r="N1630" i="18"/>
  <c r="H442" i="18"/>
  <c r="H444" i="18" s="1"/>
  <c r="H445" i="18" s="1"/>
  <c r="O2217" i="18"/>
  <c r="N2424" i="18"/>
  <c r="M435" i="18"/>
  <c r="R2048" i="18"/>
  <c r="O5366" i="18"/>
  <c r="P5366" i="18" s="1"/>
  <c r="L15" i="18"/>
  <c r="H4939" i="18"/>
  <c r="I1344" i="18"/>
  <c r="I1346" i="18" s="1"/>
  <c r="I1347" i="18" s="1"/>
  <c r="K3933" i="18"/>
  <c r="J331" i="18"/>
  <c r="M1032" i="18"/>
  <c r="N1626" i="18"/>
  <c r="L14" i="18"/>
  <c r="I553" i="18"/>
  <c r="I555" i="18" s="1"/>
  <c r="I556" i="18" s="1"/>
  <c r="L3933" i="18"/>
  <c r="O5382" i="18"/>
  <c r="P5382" i="18" s="1"/>
  <c r="P2968" i="18"/>
  <c r="H1445" i="18"/>
  <c r="H1447" i="18" s="1"/>
  <c r="H1448" i="18" s="1"/>
  <c r="H4537" i="18"/>
  <c r="M180" i="18"/>
  <c r="I2311" i="18"/>
  <c r="I2313" i="18" s="1"/>
  <c r="I2314" i="18" s="1"/>
  <c r="L791" i="18"/>
  <c r="J2289" i="18"/>
  <c r="J2291" i="18" s="1"/>
  <c r="J2292" i="18" s="1"/>
  <c r="K2890" i="18"/>
  <c r="H3678" i="18"/>
  <c r="N5332" i="18"/>
  <c r="O5332" i="18" s="1"/>
  <c r="L4891" i="18"/>
  <c r="M4891" i="18" s="1"/>
  <c r="M1229" i="18"/>
  <c r="Q2698" i="18"/>
  <c r="L442" i="18"/>
  <c r="L444" i="18" s="1"/>
  <c r="L445" i="18" s="1"/>
  <c r="J4537" i="18"/>
  <c r="L4885" i="18"/>
  <c r="M4885" i="18" s="1"/>
  <c r="J976" i="18"/>
  <c r="K15" i="18"/>
  <c r="H230" i="18"/>
  <c r="H232" i="18" s="1"/>
  <c r="H233" i="18" s="1"/>
  <c r="H4559" i="18"/>
  <c r="H4561" i="18" s="1"/>
  <c r="H4562" i="18" s="1"/>
  <c r="O5367" i="18"/>
  <c r="P5367" i="18" s="1"/>
  <c r="H1405" i="18"/>
  <c r="H1407" i="18" s="1"/>
  <c r="H1408" i="18" s="1"/>
  <c r="N5327" i="18"/>
  <c r="O5327" i="18" s="1"/>
  <c r="L2070" i="18"/>
  <c r="K14" i="18"/>
  <c r="H3677" i="18"/>
  <c r="J3653" i="18"/>
  <c r="J3655" i="18" s="1"/>
  <c r="J3656" i="18" s="1"/>
  <c r="M1695" i="18"/>
  <c r="M1697" i="18" s="1"/>
  <c r="M1698" i="18" s="1"/>
  <c r="H372" i="18"/>
  <c r="H374" i="18" s="1"/>
  <c r="H375" i="18" s="1"/>
  <c r="O1645" i="18"/>
  <c r="J442" i="18"/>
  <c r="J444" i="18" s="1"/>
  <c r="J445" i="18" s="1"/>
  <c r="H4795" i="18"/>
  <c r="M4266" i="18"/>
  <c r="J1026" i="18"/>
  <c r="J4536" i="18"/>
  <c r="O5364" i="18"/>
  <c r="P5364" i="18" s="1"/>
  <c r="N595" i="18"/>
  <c r="N597" i="18" s="1"/>
  <c r="N598" i="18" s="1"/>
  <c r="M492" i="18"/>
  <c r="O5380" i="18"/>
  <c r="P5380" i="18" s="1"/>
  <c r="L2118" i="18"/>
  <c r="L1858" i="18"/>
  <c r="O5361" i="18"/>
  <c r="P5361" i="18" s="1"/>
  <c r="H1865" i="18"/>
  <c r="H1867" i="18" s="1"/>
  <c r="H1868" i="18" s="1"/>
  <c r="L13" i="18"/>
  <c r="H2345" i="18"/>
  <c r="H2347" i="18" s="1"/>
  <c r="H2348" i="18" s="1"/>
  <c r="N1624" i="18"/>
  <c r="K4536" i="18"/>
  <c r="M2247" i="18"/>
  <c r="L2589" i="18"/>
  <c r="I2075" i="18"/>
  <c r="I2077" i="18" s="1"/>
  <c r="I2078" i="18" s="1"/>
  <c r="K2079" i="18" s="1"/>
  <c r="L2079" i="18" s="1"/>
  <c r="H1322" i="18"/>
  <c r="H1324" i="18" s="1"/>
  <c r="H1325" i="18" s="1"/>
  <c r="K1796" i="18"/>
  <c r="N267" i="18"/>
  <c r="N269" i="18" s="1"/>
  <c r="N270" i="18" s="1"/>
  <c r="N42" i="18"/>
  <c r="L4868" i="18"/>
  <c r="N56" i="18"/>
  <c r="L1859" i="18"/>
  <c r="Q2" i="18"/>
  <c r="J4116" i="18"/>
  <c r="L1860" i="18"/>
  <c r="N5346" i="18"/>
  <c r="O5346" i="18" s="1"/>
  <c r="H2289" i="18"/>
  <c r="H2291" i="18" s="1"/>
  <c r="H2292" i="18" s="1"/>
  <c r="L2645" i="18"/>
  <c r="F497" i="5"/>
  <c r="L2105" i="18"/>
  <c r="K4640" i="18"/>
  <c r="M175" i="18"/>
  <c r="L3740" i="18"/>
  <c r="S2496" i="18"/>
  <c r="M398" i="5"/>
  <c r="M460" i="5"/>
  <c r="I1074" i="18"/>
  <c r="I1076" i="18" s="1"/>
  <c r="I1077" i="18" s="1"/>
  <c r="H394" i="18"/>
  <c r="H396" i="18" s="1"/>
  <c r="H397" i="18" s="1"/>
  <c r="N5331" i="18"/>
  <c r="O5331" i="18" s="1"/>
  <c r="L4873" i="18"/>
  <c r="M4873" i="18" s="1"/>
  <c r="H4282" i="18"/>
  <c r="L783" i="18"/>
  <c r="P854" i="18"/>
  <c r="F367" i="5"/>
  <c r="F241" i="5"/>
  <c r="M554" i="5"/>
  <c r="Z35" i="71" s="1"/>
  <c r="M592" i="5"/>
  <c r="F568" i="5"/>
  <c r="M421" i="5"/>
  <c r="M562" i="5"/>
  <c r="AA12" i="75" s="1"/>
  <c r="M539" i="5"/>
  <c r="Z20" i="71" s="1"/>
  <c r="M628" i="5"/>
  <c r="F305" i="5"/>
  <c r="F433" i="5"/>
  <c r="F502" i="5"/>
  <c r="F651" i="5"/>
  <c r="M547" i="5"/>
  <c r="Z28" i="71" s="1"/>
  <c r="M626" i="5"/>
  <c r="M616" i="5"/>
  <c r="F46" i="52"/>
  <c r="F19" i="74"/>
  <c r="F35" i="70"/>
  <c r="K329" i="50"/>
  <c r="N5037" i="18"/>
  <c r="O5038" i="18" s="1"/>
  <c r="O6576" i="18" s="1"/>
  <c r="F12" i="52"/>
  <c r="M599" i="5"/>
  <c r="M614" i="5"/>
  <c r="M472" i="5"/>
  <c r="M459" i="5"/>
  <c r="M604" i="5"/>
  <c r="AB19" i="71" s="1"/>
  <c r="I666" i="5"/>
  <c r="E16" i="70" s="1"/>
  <c r="M621" i="5"/>
  <c r="M607" i="5"/>
  <c r="E59" i="74"/>
  <c r="H5109" i="18" s="1"/>
  <c r="F11" i="52"/>
  <c r="F263" i="5"/>
  <c r="F382" i="5"/>
  <c r="J422" i="5"/>
  <c r="J415" i="5" s="1"/>
  <c r="J535" i="5"/>
  <c r="J540" i="5"/>
  <c r="F573" i="5"/>
  <c r="J596" i="5"/>
  <c r="J601" i="5"/>
  <c r="J606" i="5"/>
  <c r="J611" i="5"/>
  <c r="F639" i="5"/>
  <c r="F644" i="5"/>
  <c r="F191" i="6"/>
  <c r="F707" i="5"/>
  <c r="I707" i="5" s="1"/>
  <c r="E60" i="8"/>
  <c r="F701" i="5"/>
  <c r="I701" i="5" s="1"/>
  <c r="K6008" i="18" s="1"/>
  <c r="L6009" i="18" s="1"/>
  <c r="L6635" i="18" s="1"/>
  <c r="E6635" i="18" s="1"/>
  <c r="E55" i="8"/>
  <c r="F685" i="5"/>
  <c r="I685" i="5" s="1"/>
  <c r="G339" i="50" s="1"/>
  <c r="E42" i="8"/>
  <c r="F106" i="21"/>
  <c r="F107" i="21" s="1"/>
  <c r="F108" i="21" s="1"/>
  <c r="K6093" i="18"/>
  <c r="L6094" i="18" s="1"/>
  <c r="L6642" i="18" s="1"/>
  <c r="E6642" i="18" s="1"/>
  <c r="E106" i="21"/>
  <c r="E107" i="21" s="1"/>
  <c r="E108" i="21" s="1"/>
  <c r="F512" i="5"/>
  <c r="F31" i="70"/>
  <c r="J567" i="5"/>
  <c r="I669" i="5"/>
  <c r="E9" i="74" s="1"/>
  <c r="J6230" i="18"/>
  <c r="J6238" i="18" s="1"/>
  <c r="F88" i="91"/>
  <c r="AE18" i="2"/>
  <c r="F118" i="21" s="1"/>
  <c r="F119" i="21" s="1"/>
  <c r="F77" i="74"/>
  <c r="I5135" i="18" s="1"/>
  <c r="F94" i="70"/>
  <c r="E176" i="6"/>
  <c r="E177" i="6" s="1"/>
  <c r="F175" i="6"/>
  <c r="AE16" i="2"/>
  <c r="F24" i="52"/>
  <c r="F57" i="74"/>
  <c r="I5107" i="18" s="1"/>
  <c r="I677" i="5"/>
  <c r="E27" i="70" s="1"/>
  <c r="K339" i="50"/>
  <c r="M560" i="5"/>
  <c r="K3934" i="18"/>
  <c r="O5365" i="18"/>
  <c r="P5365" i="18" s="1"/>
  <c r="L2289" i="18"/>
  <c r="L2291" i="18" s="1"/>
  <c r="L2292" i="18" s="1"/>
  <c r="J735" i="18"/>
  <c r="J737" i="18" s="1"/>
  <c r="J738" i="18" s="1"/>
  <c r="K739" i="18" s="1"/>
  <c r="L739" i="18" s="1"/>
  <c r="H1184" i="18"/>
  <c r="H1186" i="18" s="1"/>
  <c r="H1187" i="18" s="1"/>
  <c r="O5360" i="18"/>
  <c r="P5360" i="18" s="1"/>
  <c r="N1860" i="18"/>
  <c r="J757" i="18"/>
  <c r="J759" i="18" s="1"/>
  <c r="J760" i="18" s="1"/>
  <c r="K761" i="18" s="1"/>
  <c r="L761" i="18" s="1"/>
  <c r="L3623" i="18"/>
  <c r="H1096" i="18"/>
  <c r="H1098" i="18" s="1"/>
  <c r="H1099" i="18" s="1"/>
  <c r="N2919" i="18"/>
  <c r="N5334" i="18"/>
  <c r="O5334" i="18" s="1"/>
  <c r="N5344" i="18"/>
  <c r="O5344" i="18" s="1"/>
  <c r="H1344" i="18"/>
  <c r="H1346" i="18" s="1"/>
  <c r="H1347" i="18" s="1"/>
  <c r="I1162" i="18"/>
  <c r="I1164" i="18" s="1"/>
  <c r="I1165" i="18" s="1"/>
  <c r="H1273" i="18"/>
  <c r="H1275" i="18" s="1"/>
  <c r="H1276" i="18" s="1"/>
  <c r="K4009" i="18"/>
  <c r="Q3999" i="18" s="1"/>
  <c r="O1643" i="18"/>
  <c r="L2223" i="18"/>
  <c r="K2827" i="18"/>
  <c r="M1374" i="18"/>
  <c r="I1008" i="18"/>
  <c r="N2223" i="18"/>
  <c r="I3852" i="18"/>
  <c r="I3854" i="18" s="1"/>
  <c r="I3855" i="18" s="1"/>
  <c r="K4641" i="18"/>
  <c r="M2224" i="18"/>
  <c r="O5377" i="18"/>
  <c r="P5377" i="18" s="1"/>
  <c r="J955" i="18"/>
  <c r="Q945" i="18" s="1"/>
  <c r="L1405" i="18"/>
  <c r="L1407" i="18" s="1"/>
  <c r="L1408" i="18" s="1"/>
  <c r="J1005" i="18"/>
  <c r="K4578" i="18"/>
  <c r="N5343" i="18"/>
  <c r="O5343" i="18" s="1"/>
  <c r="H4133" i="18"/>
  <c r="J1865" i="18"/>
  <c r="J1867" i="18" s="1"/>
  <c r="J1868" i="18" s="1"/>
  <c r="N1627" i="18"/>
  <c r="L4892" i="18"/>
  <c r="M4892" i="18" s="1"/>
  <c r="L3624" i="18"/>
  <c r="N3212" i="18"/>
  <c r="L4893" i="18"/>
  <c r="M4893" i="18" s="1"/>
  <c r="M490" i="18"/>
  <c r="H1251" i="18"/>
  <c r="H1253" i="18" s="1"/>
  <c r="H1254" i="18" s="1"/>
  <c r="M1859" i="18"/>
  <c r="I1712" i="18"/>
  <c r="I1714" i="18" s="1"/>
  <c r="I1715" i="18" s="1"/>
  <c r="P1647" i="18"/>
  <c r="O1650" i="18"/>
  <c r="M339" i="18"/>
  <c r="H2311" i="18"/>
  <c r="H2313" i="18" s="1"/>
  <c r="H2314" i="18" s="1"/>
  <c r="Q3091" i="18"/>
  <c r="L3934" i="18"/>
  <c r="O2218" i="18"/>
  <c r="F53" i="74"/>
  <c r="I5103" i="18" s="1"/>
  <c r="I710" i="5"/>
  <c r="E58" i="70" s="1"/>
  <c r="I659" i="5"/>
  <c r="E9" i="70" s="1"/>
  <c r="F377" i="5"/>
  <c r="J410" i="5"/>
  <c r="I706" i="5"/>
  <c r="F51" i="52"/>
  <c r="M577" i="5"/>
  <c r="J435" i="5"/>
  <c r="J810" i="5" s="1"/>
  <c r="X15" i="2"/>
  <c r="F435" i="5"/>
  <c r="F212" i="5" s="1"/>
  <c r="F814" i="5" s="1"/>
  <c r="J15" i="2"/>
  <c r="Q18" i="2"/>
  <c r="E122" i="21" s="1"/>
  <c r="E123" i="21" s="1"/>
  <c r="E124" i="21" s="1"/>
  <c r="E114" i="21"/>
  <c r="E115" i="21" s="1"/>
  <c r="E116" i="21" s="1"/>
  <c r="F39" i="70"/>
  <c r="F23" i="74"/>
  <c r="N5064" i="18"/>
  <c r="O5065" i="18" s="1"/>
  <c r="O6578" i="18" s="1"/>
  <c r="K332" i="50"/>
  <c r="F28" i="74"/>
  <c r="F81" i="70"/>
  <c r="F64" i="74"/>
  <c r="I5114" i="18" s="1"/>
  <c r="F188" i="6"/>
  <c r="E189" i="6"/>
  <c r="F190" i="6" s="1"/>
  <c r="F45" i="70"/>
  <c r="F194" i="6"/>
  <c r="F13" i="52"/>
  <c r="M516" i="5"/>
  <c r="Y29" i="75" s="1"/>
  <c r="M575" i="5"/>
  <c r="AA23" i="71" s="1"/>
  <c r="I693" i="5"/>
  <c r="F325" i="5"/>
  <c r="J405" i="5"/>
  <c r="J464" i="5"/>
  <c r="J469" i="5"/>
  <c r="J479" i="5"/>
  <c r="J530" i="5"/>
  <c r="J563" i="5"/>
  <c r="F578" i="5"/>
  <c r="F585" i="5"/>
  <c r="J629" i="5"/>
  <c r="F138" i="6"/>
  <c r="F486" i="5"/>
  <c r="F54" i="74"/>
  <c r="I5104" i="18" s="1"/>
  <c r="N15" i="2"/>
  <c r="M412" i="5"/>
  <c r="M594" i="5"/>
  <c r="M403" i="5"/>
  <c r="M521" i="5"/>
  <c r="M549" i="5"/>
  <c r="Z30" i="71" s="1"/>
  <c r="M240" i="5"/>
  <c r="Q12" i="75" s="1"/>
  <c r="M526" i="5"/>
  <c r="Z10" i="71" s="1"/>
  <c r="M617" i="5"/>
  <c r="E72" i="74"/>
  <c r="H5126" i="18" s="1"/>
  <c r="J474" i="5"/>
  <c r="F62" i="52"/>
  <c r="F10" i="52" s="1"/>
  <c r="F344" i="5"/>
  <c r="J377" i="5"/>
  <c r="J389" i="5"/>
  <c r="F436" i="5"/>
  <c r="F446" i="5"/>
  <c r="J512" i="5"/>
  <c r="F540" i="5"/>
  <c r="F629" i="5"/>
  <c r="J634" i="5"/>
  <c r="I700" i="5"/>
  <c r="E74" i="70"/>
  <c r="F58" i="52"/>
  <c r="F18" i="52" s="1"/>
  <c r="E121" i="6"/>
  <c r="E122" i="6" s="1"/>
  <c r="F122" i="6" s="1"/>
  <c r="E116" i="6"/>
  <c r="E117" i="6" s="1"/>
  <c r="F192" i="6"/>
  <c r="E144" i="6"/>
  <c r="E145" i="6" s="1"/>
  <c r="I79" i="51"/>
  <c r="J79" i="51" s="1"/>
  <c r="F464" i="5"/>
  <c r="J651" i="5"/>
  <c r="J339" i="5"/>
  <c r="O1648" i="18"/>
  <c r="J4127" i="18"/>
  <c r="I1273" i="18"/>
  <c r="I1275" i="18" s="1"/>
  <c r="I1276" i="18" s="1"/>
  <c r="P1644" i="18"/>
  <c r="L3992" i="18"/>
  <c r="P1650" i="18"/>
  <c r="K4920" i="18"/>
  <c r="L3668" i="18"/>
  <c r="J1445" i="18"/>
  <c r="J1447" i="18" s="1"/>
  <c r="J1448" i="18" s="1"/>
  <c r="H267" i="18"/>
  <c r="H269" i="18" s="1"/>
  <c r="H270" i="18" s="1"/>
  <c r="L717" i="18"/>
  <c r="M1314" i="18"/>
  <c r="J3541" i="18"/>
  <c r="H350" i="18"/>
  <c r="H352" i="18" s="1"/>
  <c r="H353" i="18" s="1"/>
  <c r="N1923" i="18"/>
  <c r="N1925" i="18" s="1"/>
  <c r="N1926" i="18" s="1"/>
  <c r="J2427" i="18"/>
  <c r="J2429" i="18" s="1"/>
  <c r="J2430" i="18" s="1"/>
  <c r="M1140" i="18"/>
  <c r="N5350" i="18"/>
  <c r="O5350" i="18" s="1"/>
  <c r="H1038" i="18"/>
  <c r="H1040" i="18" s="1"/>
  <c r="H1041" i="18" s="1"/>
  <c r="H1074" i="18"/>
  <c r="H1076" i="18" s="1"/>
  <c r="H1077" i="18" s="1"/>
  <c r="J4060" i="18"/>
  <c r="H4536" i="18"/>
  <c r="N1628" i="18"/>
  <c r="J3282" i="18"/>
  <c r="L2644" i="18"/>
  <c r="M1858" i="18"/>
  <c r="I1038" i="18"/>
  <c r="I1040" i="18" s="1"/>
  <c r="I1041" i="18" s="1"/>
  <c r="J3454" i="18"/>
  <c r="H1678" i="18"/>
  <c r="H1680" i="18" s="1"/>
  <c r="H1681" i="18" s="1"/>
  <c r="K1682" i="18" s="1"/>
  <c r="L1682" i="18" s="1"/>
  <c r="O4279" i="18"/>
  <c r="I1865" i="18"/>
  <c r="I1867" i="18" s="1"/>
  <c r="I1868" i="18" s="1"/>
  <c r="L3766" i="18"/>
  <c r="L1033" i="18"/>
  <c r="L1797" i="18"/>
  <c r="M344" i="18"/>
  <c r="M2280" i="18"/>
  <c r="K4962" i="18"/>
  <c r="K4965" i="18" s="1"/>
  <c r="L940" i="18"/>
  <c r="N1837" i="18"/>
  <c r="H553" i="18"/>
  <c r="H555" i="18" s="1"/>
  <c r="H556" i="18" s="1"/>
  <c r="N5333" i="18"/>
  <c r="O5333" i="18" s="1"/>
  <c r="O5378" i="18"/>
  <c r="P5378" i="18" s="1"/>
  <c r="L4887" i="18"/>
  <c r="M4887" i="18" s="1"/>
  <c r="L1712" i="18"/>
  <c r="L1714" i="18" s="1"/>
  <c r="L1715" i="18" s="1"/>
  <c r="K4783" i="18"/>
  <c r="K3766" i="18"/>
  <c r="J350" i="18"/>
  <c r="J352" i="18" s="1"/>
  <c r="J353" i="18" s="1"/>
  <c r="H2459" i="18"/>
  <c r="K1797" i="18"/>
  <c r="O1647" i="18"/>
  <c r="M1135" i="18"/>
  <c r="I4132" i="18"/>
  <c r="R2047" i="18"/>
  <c r="H4132" i="18"/>
  <c r="M2273" i="18"/>
  <c r="I1184" i="18"/>
  <c r="I1186" i="18" s="1"/>
  <c r="I1187" i="18" s="1"/>
  <c r="N1631" i="18"/>
  <c r="K13" i="18"/>
  <c r="J332" i="18"/>
  <c r="M1047" i="18"/>
  <c r="I372" i="18"/>
  <c r="I374" i="18" s="1"/>
  <c r="I375" i="18" s="1"/>
  <c r="L2826" i="18"/>
  <c r="H462" i="18"/>
  <c r="H464" i="18" s="1"/>
  <c r="H465" i="18" s="1"/>
  <c r="H3301" i="18"/>
  <c r="H3303" i="18" s="1"/>
  <c r="H3304" i="18" s="1"/>
  <c r="J2072" i="18"/>
  <c r="L4869" i="18"/>
  <c r="M4869" i="18" s="1"/>
  <c r="M1052" i="18"/>
  <c r="J3973" i="18"/>
  <c r="L938" i="18"/>
  <c r="M1860" i="18"/>
  <c r="L4870" i="18"/>
  <c r="M4870" i="18" s="1"/>
  <c r="H4794" i="18"/>
  <c r="I3677" i="18"/>
  <c r="M1712" i="18"/>
  <c r="M1714" i="18" s="1"/>
  <c r="M1715" i="18" s="1"/>
  <c r="J1003" i="18"/>
  <c r="L4886" i="18"/>
  <c r="M4886" i="18" s="1"/>
  <c r="N2225" i="18"/>
  <c r="J4504" i="18"/>
  <c r="N5330" i="18"/>
  <c r="O5330" i="18" s="1"/>
  <c r="K2645" i="18"/>
  <c r="K3678" i="18"/>
  <c r="N5349" i="18"/>
  <c r="O5349" i="18" s="1"/>
  <c r="L4889" i="18"/>
  <c r="M4889" i="18" s="1"/>
  <c r="H529" i="18"/>
  <c r="H531" i="18" s="1"/>
  <c r="H532" i="18" s="1"/>
  <c r="M2427" i="18"/>
  <c r="M2429" i="18" s="1"/>
  <c r="M2430" i="18" s="1"/>
  <c r="Q3992" i="18"/>
  <c r="Q3994" i="18" s="1"/>
  <c r="Q3995" i="18" s="1"/>
  <c r="O1649" i="18"/>
  <c r="N33" i="18"/>
  <c r="N2224" i="18"/>
  <c r="L3741" i="18"/>
  <c r="L3738" i="18"/>
  <c r="L4890" i="18"/>
  <c r="M4890" i="18" s="1"/>
  <c r="H1923" i="18"/>
  <c r="H1925" i="18" s="1"/>
  <c r="H1926" i="18" s="1"/>
  <c r="L4872" i="18"/>
  <c r="M4872" i="18" s="1"/>
  <c r="M1372" i="18"/>
  <c r="N5348" i="18"/>
  <c r="O5348" i="18" s="1"/>
  <c r="J1322" i="18"/>
  <c r="J1324" i="18" s="1"/>
  <c r="J1325" i="18" s="1"/>
  <c r="J806" i="18"/>
  <c r="J808" i="18" s="1"/>
  <c r="J809" i="18" s="1"/>
  <c r="K810" i="18" s="1"/>
  <c r="L810" i="18" s="1"/>
  <c r="P1649" i="18"/>
  <c r="M1144" i="18"/>
  <c r="K939" i="18"/>
  <c r="L350" i="18"/>
  <c r="J1405" i="18"/>
  <c r="J1407" i="18" s="1"/>
  <c r="J1408" i="18" s="1"/>
  <c r="K4559" i="18"/>
  <c r="J2810" i="18"/>
  <c r="K3765" i="18"/>
  <c r="H1383" i="18"/>
  <c r="H1385" i="18" s="1"/>
  <c r="H1386" i="18" s="1"/>
  <c r="M1031" i="18"/>
  <c r="L4871" i="18"/>
  <c r="M4871" i="18" s="1"/>
  <c r="H186" i="18"/>
  <c r="H188" i="18" s="1"/>
  <c r="H189" i="18" s="1"/>
  <c r="L2224" i="18"/>
  <c r="L1796" i="18"/>
  <c r="J1004" i="18"/>
  <c r="H4793" i="18"/>
  <c r="J186" i="18"/>
  <c r="J188" i="18" s="1"/>
  <c r="J189" i="18" s="1"/>
  <c r="L4867" i="18"/>
  <c r="M4867" i="18" s="1"/>
  <c r="L186" i="18"/>
  <c r="K2459" i="18"/>
  <c r="K2461" i="18" s="1"/>
  <c r="K2462" i="18" s="1"/>
  <c r="N1487" i="18"/>
  <c r="J3677" i="18"/>
  <c r="L1695" i="18"/>
  <c r="L1697" i="18" s="1"/>
  <c r="L1698" i="18" s="1"/>
  <c r="L2068" i="18"/>
  <c r="L2827" i="18"/>
  <c r="I2427" i="18"/>
  <c r="I2429" i="18" s="1"/>
  <c r="I2430" i="18" s="1"/>
  <c r="N2345" i="18"/>
  <c r="N2347" i="18" s="1"/>
  <c r="N2348" i="18" s="1"/>
  <c r="L720" i="18"/>
  <c r="O1646" i="18"/>
  <c r="M1056" i="18"/>
  <c r="J3839" i="18"/>
  <c r="O5381" i="18"/>
  <c r="P5381" i="18" s="1"/>
  <c r="L4882" i="18"/>
  <c r="K1695" i="18"/>
  <c r="K1697" i="18" s="1"/>
  <c r="K1698" i="18" s="1"/>
  <c r="L3739" i="18"/>
  <c r="L3734" i="18"/>
  <c r="K3767" i="18"/>
  <c r="M1895" i="18"/>
  <c r="L1032" i="18"/>
  <c r="N5326" i="18"/>
  <c r="O5326" i="18" s="1"/>
  <c r="K4782" i="18"/>
  <c r="O5376" i="18"/>
  <c r="P5376" i="18" s="1"/>
  <c r="J3790" i="18"/>
  <c r="L1795" i="18"/>
  <c r="P1645" i="18"/>
  <c r="M1033" i="18"/>
  <c r="I4133" i="18"/>
  <c r="O5362" i="18"/>
  <c r="P5362" i="18" s="1"/>
  <c r="N5328" i="18"/>
  <c r="O5328" i="18" s="1"/>
  <c r="N1838" i="18"/>
  <c r="H4578" i="18"/>
  <c r="H4580" i="18" s="1"/>
  <c r="H4581" i="18" s="1"/>
  <c r="N1858" i="18"/>
  <c r="I230" i="18"/>
  <c r="I232" i="18" s="1"/>
  <c r="I233" i="18" s="1"/>
  <c r="I3301" i="18"/>
  <c r="I3303" i="18" s="1"/>
  <c r="I3304" i="18" s="1"/>
  <c r="N2133" i="18"/>
  <c r="N2135" i="18" s="1"/>
  <c r="N2136" i="18" s="1"/>
  <c r="K2137" i="18" s="1"/>
  <c r="L2137" i="18" s="1"/>
  <c r="L3737" i="18"/>
  <c r="N2847" i="18"/>
  <c r="H1424" i="18"/>
  <c r="H1426" i="18" s="1"/>
  <c r="H1427" i="18" s="1"/>
  <c r="H595" i="18"/>
  <c r="H597" i="18" s="1"/>
  <c r="H598" i="18" s="1"/>
  <c r="Q3" i="18"/>
  <c r="L2225" i="18"/>
  <c r="O1644" i="18"/>
  <c r="P1646" i="18"/>
  <c r="K4643" i="18"/>
  <c r="M2223" i="18"/>
  <c r="F108" i="8"/>
  <c r="F110" i="8" s="1"/>
  <c r="F88" i="8"/>
  <c r="J737" i="5"/>
  <c r="M737" i="5" s="1"/>
  <c r="M822" i="5" s="1"/>
  <c r="F38" i="74"/>
  <c r="K334" i="50"/>
  <c r="F55" i="70"/>
  <c r="N5086" i="18"/>
  <c r="O5087" i="18" s="1"/>
  <c r="O6580" i="18" s="1"/>
  <c r="F596" i="5"/>
  <c r="J639" i="5"/>
  <c r="M641" i="5"/>
  <c r="F86" i="6"/>
  <c r="E87" i="6"/>
  <c r="E88" i="6" s="1"/>
  <c r="F43" i="74"/>
  <c r="F102" i="74" s="1"/>
  <c r="F60" i="70"/>
  <c r="F119" i="70" s="1"/>
  <c r="F14" i="74"/>
  <c r="F30" i="70"/>
  <c r="K338" i="50"/>
  <c r="D44" i="48"/>
  <c r="F8" i="70"/>
  <c r="K335" i="50"/>
  <c r="N5021" i="18"/>
  <c r="O5022" i="18" s="1"/>
  <c r="O6575" i="18" s="1"/>
  <c r="K328" i="50"/>
  <c r="K327" i="50"/>
  <c r="M686" i="5"/>
  <c r="J690" i="5"/>
  <c r="F25" i="74"/>
  <c r="F41" i="70"/>
  <c r="K342" i="50"/>
  <c r="F44" i="70"/>
  <c r="F27" i="74"/>
  <c r="F50" i="70"/>
  <c r="K344" i="50"/>
  <c r="J708" i="5"/>
  <c r="M704" i="5"/>
  <c r="E71" i="70"/>
  <c r="E54" i="74"/>
  <c r="H5104" i="18" s="1"/>
  <c r="K6064" i="18"/>
  <c r="L6065" i="18" s="1"/>
  <c r="L6639" i="18" s="1"/>
  <c r="E6639" i="18" s="1"/>
  <c r="E73" i="70"/>
  <c r="E56" i="74"/>
  <c r="H5106" i="18" s="1"/>
  <c r="K6084" i="18"/>
  <c r="L6085" i="18" s="1"/>
  <c r="L6641" i="18" s="1"/>
  <c r="E6641" i="18" s="1"/>
  <c r="F60" i="74"/>
  <c r="I5110" i="18" s="1"/>
  <c r="F77" i="70"/>
  <c r="E63" i="74"/>
  <c r="H5113" i="18" s="1"/>
  <c r="K6155" i="18"/>
  <c r="L6156" i="18" s="1"/>
  <c r="L6648" i="18" s="1"/>
  <c r="E6648" i="18" s="1"/>
  <c r="E80" i="70"/>
  <c r="F66" i="74"/>
  <c r="I5116" i="18" s="1"/>
  <c r="F83" i="70"/>
  <c r="F71" i="74"/>
  <c r="I5125" i="18" s="1"/>
  <c r="F88" i="70"/>
  <c r="E76" i="74"/>
  <c r="H5134" i="18" s="1"/>
  <c r="E93" i="70"/>
  <c r="F58" i="70"/>
  <c r="F58" i="74"/>
  <c r="I5108" i="18" s="1"/>
  <c r="E108" i="8"/>
  <c r="E110" i="8" s="1"/>
  <c r="E111" i="8" s="1"/>
  <c r="F737" i="5"/>
  <c r="I737" i="5" s="1"/>
  <c r="I822" i="5" s="1"/>
  <c r="F78" i="70"/>
  <c r="F61" i="74"/>
  <c r="I5111" i="18" s="1"/>
  <c r="E154" i="6"/>
  <c r="F153" i="6"/>
  <c r="F90" i="6"/>
  <c r="E91" i="6"/>
  <c r="E92" i="6" s="1"/>
  <c r="F34" i="74"/>
  <c r="N5075" i="18"/>
  <c r="O5076" i="18" s="1"/>
  <c r="O6579" i="18" s="1"/>
  <c r="F95" i="6"/>
  <c r="E96" i="6"/>
  <c r="F38" i="70"/>
  <c r="F22" i="74"/>
  <c r="K331" i="50"/>
  <c r="N5053" i="18"/>
  <c r="O5054" i="18" s="1"/>
  <c r="O6577" i="18" s="1"/>
  <c r="M762" i="5"/>
  <c r="M764" i="5" s="1"/>
  <c r="M830" i="5" s="1"/>
  <c r="J764" i="5"/>
  <c r="J830" i="5" s="1"/>
  <c r="F78" i="69"/>
  <c r="E111" i="6"/>
  <c r="F111" i="6" s="1"/>
  <c r="F110" i="6"/>
  <c r="F164" i="6"/>
  <c r="E165" i="6"/>
  <c r="F165" i="6" s="1"/>
  <c r="E72" i="70"/>
  <c r="K6075" i="18"/>
  <c r="L6076" i="18" s="1"/>
  <c r="L6640" i="18" s="1"/>
  <c r="E6640" i="18" s="1"/>
  <c r="F80" i="70"/>
  <c r="M365" i="5"/>
  <c r="M379" i="5"/>
  <c r="U23" i="71" s="1"/>
  <c r="K6117" i="18"/>
  <c r="L6118" i="18" s="1"/>
  <c r="L6644" i="18" s="1"/>
  <c r="E6644" i="18" s="1"/>
  <c r="Q16" i="2"/>
  <c r="K330" i="50"/>
  <c r="F15" i="74"/>
  <c r="F85" i="6"/>
  <c r="F82" i="6"/>
  <c r="E103" i="6"/>
  <c r="F103" i="6" s="1"/>
  <c r="F101" i="6"/>
  <c r="F124" i="6"/>
  <c r="M518" i="5"/>
  <c r="M257" i="5"/>
  <c r="M514" i="5"/>
  <c r="M489" i="5"/>
  <c r="M548" i="5"/>
  <c r="M593" i="5"/>
  <c r="I692" i="5"/>
  <c r="F308" i="5"/>
  <c r="F318" i="5"/>
  <c r="F372" i="5"/>
  <c r="F389" i="5"/>
  <c r="M310" i="5"/>
  <c r="S18" i="71" s="1"/>
  <c r="M317" i="5"/>
  <c r="S25" i="71" s="1"/>
  <c r="M286" i="5"/>
  <c r="R24" i="75" s="1"/>
  <c r="M428" i="5"/>
  <c r="M315" i="5"/>
  <c r="S23" i="71" s="1"/>
  <c r="J325" i="5"/>
  <c r="M301" i="5"/>
  <c r="M452" i="5"/>
  <c r="W31" i="75" s="1"/>
  <c r="M324" i="5"/>
  <c r="S31" i="75" s="1"/>
  <c r="M293" i="5"/>
  <c r="M270" i="5"/>
  <c r="R10" i="71" s="1"/>
  <c r="M289" i="5"/>
  <c r="M340" i="5"/>
  <c r="M455" i="5"/>
  <c r="W35" i="71" s="1"/>
  <c r="M279" i="5"/>
  <c r="J349" i="5"/>
  <c r="J441" i="5"/>
  <c r="J446" i="5"/>
  <c r="M284" i="5"/>
  <c r="R23" i="71" s="1"/>
  <c r="F558" i="5"/>
  <c r="Q9" i="2"/>
  <c r="AB54" i="2"/>
  <c r="AB56" i="2" s="1"/>
  <c r="AB57" i="2" s="1"/>
  <c r="AB48" i="2"/>
  <c r="N14" i="2"/>
  <c r="I686" i="5"/>
  <c r="K5946" i="18" s="1"/>
  <c r="L5947" i="18" s="1"/>
  <c r="L6631" i="18" s="1"/>
  <c r="E6631" i="18" s="1"/>
  <c r="F74" i="74"/>
  <c r="F91" i="70"/>
  <c r="F72" i="51"/>
  <c r="J241" i="5"/>
  <c r="M237" i="5"/>
  <c r="Q10" i="75" s="1"/>
  <c r="J246" i="5"/>
  <c r="M248" i="5"/>
  <c r="F221" i="5"/>
  <c r="F339" i="5"/>
  <c r="F356" i="5"/>
  <c r="J367" i="5"/>
  <c r="M362" i="5"/>
  <c r="J211" i="5"/>
  <c r="M370" i="5"/>
  <c r="M383" i="5"/>
  <c r="J382" i="5"/>
  <c r="F400" i="5"/>
  <c r="F215" i="5"/>
  <c r="F405" i="5"/>
  <c r="F410" i="5"/>
  <c r="F220" i="5"/>
  <c r="F227" i="5"/>
  <c r="F229" i="5"/>
  <c r="F422" i="5"/>
  <c r="F232" i="5"/>
  <c r="M429" i="5"/>
  <c r="W10" i="71" s="1"/>
  <c r="J433" i="5"/>
  <c r="F441" i="5"/>
  <c r="F453" i="5"/>
  <c r="F469" i="5"/>
  <c r="F474" i="5"/>
  <c r="F479" i="5"/>
  <c r="J486" i="5"/>
  <c r="M488" i="5"/>
  <c r="J497" i="5"/>
  <c r="M492" i="5"/>
  <c r="Y9" i="71" s="1"/>
  <c r="J502" i="5"/>
  <c r="M503" i="5"/>
  <c r="J507" i="5"/>
  <c r="M508" i="5"/>
  <c r="J519" i="5"/>
  <c r="M520" i="5"/>
  <c r="F530" i="5"/>
  <c r="F535" i="5"/>
  <c r="F545" i="5"/>
  <c r="F552" i="5"/>
  <c r="J568" i="5"/>
  <c r="M569" i="5"/>
  <c r="J573" i="5"/>
  <c r="M574" i="5"/>
  <c r="J578" i="5"/>
  <c r="M579" i="5"/>
  <c r="J585" i="5"/>
  <c r="M586" i="5"/>
  <c r="F601" i="5"/>
  <c r="F606" i="5"/>
  <c r="F611" i="5"/>
  <c r="F618" i="5"/>
  <c r="J644" i="5"/>
  <c r="M646" i="5"/>
  <c r="J671" i="5"/>
  <c r="M659" i="5"/>
  <c r="J682" i="5"/>
  <c r="M672" i="5"/>
  <c r="M682" i="5" s="1"/>
  <c r="M745" i="5"/>
  <c r="F70" i="74"/>
  <c r="I5124" i="18" s="1"/>
  <c r="F87" i="70"/>
  <c r="F89" i="70"/>
  <c r="F72" i="74"/>
  <c r="I5126" i="18" s="1"/>
  <c r="E94" i="70"/>
  <c r="E77" i="74"/>
  <c r="H5135" i="18" s="1"/>
  <c r="F791" i="5"/>
  <c r="F845" i="5"/>
  <c r="J796" i="5"/>
  <c r="F792" i="5"/>
  <c r="J809" i="5"/>
  <c r="F837" i="5"/>
  <c r="J873" i="5"/>
  <c r="F865" i="5"/>
  <c r="F796" i="5"/>
  <c r="F805" i="5"/>
  <c r="J841" i="5"/>
  <c r="J869" i="5"/>
  <c r="F857" i="5"/>
  <c r="J801" i="5"/>
  <c r="F800" i="5"/>
  <c r="F787" i="5"/>
  <c r="J791" i="5"/>
  <c r="M792" i="5"/>
  <c r="E91" i="70"/>
  <c r="E74" i="74"/>
  <c r="J251" i="5"/>
  <c r="M253" i="5"/>
  <c r="J256" i="5"/>
  <c r="M258" i="5"/>
  <c r="J263" i="5"/>
  <c r="M265" i="5"/>
  <c r="F274" i="5"/>
  <c r="F277" i="5"/>
  <c r="F282" i="5"/>
  <c r="F219" i="5"/>
  <c r="F287" i="5"/>
  <c r="F224" i="5"/>
  <c r="F226" i="5"/>
  <c r="F294" i="5"/>
  <c r="M300" i="5"/>
  <c r="S9" i="71" s="1"/>
  <c r="J305" i="5"/>
  <c r="J318" i="5"/>
  <c r="M319" i="5"/>
  <c r="S26" i="75" s="1"/>
  <c r="F336" i="5"/>
  <c r="F349" i="5"/>
  <c r="M373" i="5"/>
  <c r="J372" i="5"/>
  <c r="M378" i="5"/>
  <c r="M653" i="5"/>
  <c r="M636" i="5"/>
  <c r="M302" i="5"/>
  <c r="M496" i="5"/>
  <c r="F9" i="74"/>
  <c r="F19" i="70"/>
  <c r="F72" i="70"/>
  <c r="F55" i="74"/>
  <c r="I5105" i="18" s="1"/>
  <c r="F56" i="74"/>
  <c r="I5106" i="18" s="1"/>
  <c r="F73" i="70"/>
  <c r="I687" i="5"/>
  <c r="F205" i="5"/>
  <c r="F211" i="5"/>
  <c r="F214" i="5"/>
  <c r="F233" i="5"/>
  <c r="M505" i="5"/>
  <c r="F52" i="74"/>
  <c r="I5102" i="18" s="1"/>
  <c r="F69" i="70"/>
  <c r="E129" i="6"/>
  <c r="F128" i="6"/>
  <c r="M638" i="5"/>
  <c r="M588" i="5"/>
  <c r="M583" i="5"/>
  <c r="F216" i="5"/>
  <c r="F228" i="5"/>
  <c r="F231" i="5"/>
  <c r="J203" i="5"/>
  <c r="J221" i="5"/>
  <c r="J226" i="5"/>
  <c r="J228" i="5"/>
  <c r="J233" i="5"/>
  <c r="J206" i="5"/>
  <c r="J222" i="5"/>
  <c r="J227" i="5"/>
  <c r="M513" i="5"/>
  <c r="M494" i="5"/>
  <c r="E134" i="6"/>
  <c r="E135" i="6" s="1"/>
  <c r="F133" i="6"/>
  <c r="E301" i="91"/>
  <c r="F121" i="91"/>
  <c r="M390" i="5"/>
  <c r="M380" i="5"/>
  <c r="K337" i="50"/>
  <c r="F13" i="74"/>
  <c r="M692" i="5"/>
  <c r="J696" i="5"/>
  <c r="M699" i="5"/>
  <c r="J703" i="5"/>
  <c r="E61" i="74"/>
  <c r="H5111" i="18" s="1"/>
  <c r="E78" i="70"/>
  <c r="K6137" i="18"/>
  <c r="L6138" i="18" s="1"/>
  <c r="L6646" i="18" s="1"/>
  <c r="E6646" i="18" s="1"/>
  <c r="F167" i="6"/>
  <c r="F168" i="6"/>
  <c r="Q5158" i="18"/>
  <c r="F203" i="6"/>
  <c r="M515" i="5"/>
  <c r="F115" i="51"/>
  <c r="F118" i="51" s="1"/>
  <c r="F120" i="51" s="1"/>
  <c r="F28" i="51"/>
  <c r="F96" i="51"/>
  <c r="F98" i="51" s="1"/>
  <c r="F204" i="5"/>
  <c r="F206" i="5"/>
  <c r="F210" i="5"/>
  <c r="F246" i="5"/>
  <c r="F217" i="5"/>
  <c r="F251" i="5"/>
  <c r="F222" i="5"/>
  <c r="F207" i="5"/>
  <c r="F313" i="5"/>
  <c r="F163" i="6"/>
  <c r="M273" i="5"/>
  <c r="J207" i="5"/>
  <c r="J277" i="5"/>
  <c r="J214" i="5"/>
  <c r="M278" i="5"/>
  <c r="J282" i="5"/>
  <c r="J231" i="5"/>
  <c r="J294" i="5"/>
  <c r="J217" i="5"/>
  <c r="M343" i="5"/>
  <c r="J232" i="5"/>
  <c r="J356" i="5"/>
  <c r="M454" i="5"/>
  <c r="J453" i="5"/>
  <c r="M290" i="5"/>
  <c r="M295" i="5"/>
  <c r="J274" i="5"/>
  <c r="J224" i="5"/>
  <c r="J287" i="5"/>
  <c r="M288" i="5"/>
  <c r="J344" i="5"/>
  <c r="J220" i="5"/>
  <c r="M346" i="5"/>
  <c r="J436" i="5"/>
  <c r="M437" i="5"/>
  <c r="M283" i="5"/>
  <c r="M456" i="5"/>
  <c r="M285" i="5"/>
  <c r="M332" i="5"/>
  <c r="T10" i="75" s="1"/>
  <c r="J219" i="5"/>
  <c r="J216" i="5"/>
  <c r="J205" i="5"/>
  <c r="M271" i="5"/>
  <c r="J204" i="5"/>
  <c r="J336" i="5"/>
  <c r="J229" i="5"/>
  <c r="M355" i="5"/>
  <c r="M442" i="5"/>
  <c r="M353" i="5"/>
  <c r="J225" i="5"/>
  <c r="J215" i="5"/>
  <c r="J308" i="5"/>
  <c r="M309" i="5"/>
  <c r="J313" i="5"/>
  <c r="M314" i="5"/>
  <c r="J833" i="5"/>
  <c r="F802" i="5"/>
  <c r="J797" i="5"/>
  <c r="J795" i="5"/>
  <c r="J853" i="5"/>
  <c r="F817" i="5"/>
  <c r="F797" i="5"/>
  <c r="J861" i="5"/>
  <c r="J790" i="5"/>
  <c r="J849" i="5"/>
  <c r="J857" i="5"/>
  <c r="F818" i="5"/>
  <c r="F790" i="5"/>
  <c r="F873" i="5"/>
  <c r="F861" i="5"/>
  <c r="J845" i="5"/>
  <c r="J821" i="5"/>
  <c r="J786" i="5"/>
  <c r="F821" i="5"/>
  <c r="J817" i="5"/>
  <c r="F849" i="5"/>
  <c r="J800" i="5"/>
  <c r="F853" i="5"/>
  <c r="F869" i="5"/>
  <c r="J837" i="5"/>
  <c r="J818" i="5"/>
  <c r="J813" i="5"/>
  <c r="F786" i="5"/>
  <c r="F833" i="5"/>
  <c r="F795" i="5"/>
  <c r="J792" i="5"/>
  <c r="J802" i="5"/>
  <c r="F809" i="5"/>
  <c r="J865" i="5"/>
  <c r="F801" i="5"/>
  <c r="F841" i="5"/>
  <c r="J787" i="5"/>
  <c r="M865" i="5"/>
  <c r="M841" i="5"/>
  <c r="F813" i="5"/>
  <c r="J805" i="5"/>
  <c r="M323" i="5"/>
  <c r="S31" i="71" s="1"/>
  <c r="M297" i="5"/>
  <c r="M444" i="5"/>
  <c r="M292" i="5"/>
  <c r="M351" i="5"/>
  <c r="M326" i="5"/>
  <c r="M328" i="5"/>
  <c r="M358" i="5"/>
  <c r="M311" i="5"/>
  <c r="J210" i="5"/>
  <c r="K169" i="50"/>
  <c r="D43" i="47"/>
  <c r="H44" i="68"/>
  <c r="N2822" i="18"/>
  <c r="H35" i="72"/>
  <c r="E216" i="91" s="1"/>
  <c r="F36" i="69"/>
  <c r="L287" i="5"/>
  <c r="L224" i="5"/>
  <c r="M321" i="5"/>
  <c r="L226" i="5"/>
  <c r="F26" i="70"/>
  <c r="K203" i="5"/>
  <c r="M269" i="5"/>
  <c r="K231" i="5"/>
  <c r="K519" i="5"/>
  <c r="M391" i="5"/>
  <c r="L389" i="5"/>
  <c r="M334" i="5"/>
  <c r="L336" i="5"/>
  <c r="L540" i="5"/>
  <c r="E200" i="6"/>
  <c r="F199" i="6"/>
  <c r="M100" i="5"/>
  <c r="I761" i="5"/>
  <c r="F764" i="5"/>
  <c r="F830" i="5" s="1"/>
  <c r="F54" i="51"/>
  <c r="F225" i="5"/>
  <c r="F256" i="5"/>
  <c r="H671" i="5"/>
  <c r="I660" i="5"/>
  <c r="E10" i="70" s="1"/>
  <c r="F139" i="6"/>
  <c r="E140" i="6"/>
  <c r="M133" i="5"/>
  <c r="I665" i="5"/>
  <c r="E15" i="70" s="1"/>
  <c r="F20" i="70"/>
  <c r="F10" i="74"/>
  <c r="E149" i="6"/>
  <c r="F148" i="6"/>
  <c r="F159" i="6"/>
  <c r="E160" i="6"/>
  <c r="F169" i="6"/>
  <c r="F170" i="6"/>
  <c r="E196" i="6"/>
  <c r="F195" i="6"/>
  <c r="M443" i="5"/>
  <c r="F125" i="6"/>
  <c r="E126" i="6"/>
  <c r="E182" i="6"/>
  <c r="F181" i="6"/>
  <c r="F84" i="51"/>
  <c r="F806" i="5"/>
  <c r="F83" i="6"/>
  <c r="F84" i="6"/>
  <c r="E107" i="6"/>
  <c r="F106" i="6"/>
  <c r="E172" i="6"/>
  <c r="F171" i="6"/>
  <c r="F158" i="6"/>
  <c r="F187" i="6"/>
  <c r="G32" i="46"/>
  <c r="L62" i="50"/>
  <c r="L9" i="46"/>
  <c r="L89" i="50"/>
  <c r="H382" i="50"/>
  <c r="L177" i="50"/>
  <c r="L22" i="46"/>
  <c r="H37" i="50"/>
  <c r="H255" i="50"/>
  <c r="L290" i="50"/>
  <c r="H291" i="50"/>
  <c r="H142" i="50"/>
  <c r="L16" i="46"/>
  <c r="L238" i="50"/>
  <c r="H308" i="50"/>
  <c r="H73" i="50"/>
  <c r="H399" i="50"/>
  <c r="L318" i="50"/>
  <c r="H267" i="50"/>
  <c r="L99" i="50"/>
  <c r="L266" i="50"/>
  <c r="H205" i="50"/>
  <c r="L169" i="50"/>
  <c r="L378" i="50"/>
  <c r="H359" i="50"/>
  <c r="L278" i="50"/>
  <c r="L225" i="50"/>
  <c r="L27" i="50"/>
  <c r="H189" i="50"/>
  <c r="H91" i="50"/>
  <c r="H376" i="50"/>
  <c r="L373" i="50"/>
  <c r="G27" i="46"/>
  <c r="L113" i="50"/>
  <c r="G15" i="46"/>
  <c r="H46" i="50"/>
  <c r="H115" i="50"/>
  <c r="H170" i="50"/>
  <c r="H211" i="50"/>
  <c r="H74" i="50"/>
  <c r="H253" i="50"/>
  <c r="H165" i="50"/>
  <c r="H195" i="50"/>
  <c r="H292" i="50"/>
  <c r="H187" i="50"/>
  <c r="L34" i="50"/>
  <c r="H25" i="50"/>
  <c r="L150" i="50"/>
  <c r="L257" i="50"/>
  <c r="H401" i="50"/>
  <c r="H285" i="50"/>
  <c r="H290" i="50"/>
  <c r="H249" i="50"/>
  <c r="H228" i="50"/>
  <c r="H123" i="50"/>
  <c r="H289" i="50"/>
  <c r="L180" i="50"/>
  <c r="H377" i="50"/>
  <c r="H246" i="50"/>
  <c r="H38" i="50"/>
  <c r="H268" i="50"/>
  <c r="H33" i="50"/>
  <c r="L23" i="50"/>
  <c r="L42" i="46"/>
  <c r="H172" i="50"/>
  <c r="H16" i="50"/>
  <c r="L206" i="50"/>
  <c r="H341" i="50"/>
  <c r="H164" i="50"/>
  <c r="L84" i="50"/>
  <c r="H30" i="50"/>
  <c r="L36" i="50"/>
  <c r="L254" i="50"/>
  <c r="L406" i="50"/>
  <c r="H242" i="50"/>
  <c r="H122" i="50"/>
  <c r="H196" i="50"/>
  <c r="H135" i="50"/>
  <c r="G58" i="46"/>
  <c r="H121" i="50"/>
  <c r="L63" i="50"/>
  <c r="H364" i="50"/>
  <c r="H286" i="50"/>
  <c r="H62" i="50"/>
  <c r="H54" i="50"/>
  <c r="H178" i="50"/>
  <c r="L187" i="50"/>
  <c r="H124" i="50"/>
  <c r="H26" i="50"/>
  <c r="L159" i="50"/>
  <c r="L122" i="50"/>
  <c r="H61" i="50"/>
  <c r="H271" i="50"/>
  <c r="G20" i="46"/>
  <c r="L168" i="50"/>
  <c r="H380" i="50"/>
  <c r="H254" i="50"/>
  <c r="L224" i="50"/>
  <c r="H207" i="50"/>
  <c r="H265" i="50"/>
  <c r="L232" i="50"/>
  <c r="H243" i="50"/>
  <c r="L314" i="50"/>
  <c r="L76" i="50"/>
  <c r="L57" i="50"/>
  <c r="L243" i="50"/>
  <c r="H64" i="50"/>
  <c r="L60" i="50"/>
  <c r="L399" i="50"/>
  <c r="H21" i="50"/>
  <c r="L92" i="50"/>
  <c r="H114" i="50"/>
  <c r="H239" i="50"/>
  <c r="H256" i="50"/>
  <c r="L69" i="50"/>
  <c r="G33" i="46"/>
  <c r="L376" i="50"/>
  <c r="H13" i="50"/>
  <c r="H72" i="50"/>
  <c r="G42" i="46"/>
  <c r="L181" i="50"/>
  <c r="L64" i="50"/>
  <c r="L26" i="46"/>
  <c r="H98" i="50"/>
  <c r="H214" i="50"/>
  <c r="H93" i="50"/>
  <c r="L293" i="50"/>
  <c r="L41" i="46"/>
  <c r="G14" i="46"/>
  <c r="L45" i="50"/>
  <c r="H188" i="50"/>
  <c r="L90" i="50"/>
  <c r="H193" i="50"/>
  <c r="G16" i="46"/>
  <c r="L173" i="50"/>
  <c r="L19" i="46"/>
  <c r="L303" i="50"/>
  <c r="H173" i="50"/>
  <c r="G44" i="46"/>
  <c r="L188" i="50"/>
  <c r="H158" i="50"/>
  <c r="G36" i="46"/>
  <c r="L286" i="50"/>
  <c r="L114" i="50"/>
  <c r="H141" i="50"/>
  <c r="H345" i="50"/>
  <c r="H270" i="50"/>
  <c r="H111" i="50"/>
  <c r="H260" i="50"/>
  <c r="H288" i="50"/>
  <c r="H261" i="50"/>
  <c r="H143" i="50"/>
  <c r="L85" i="50"/>
  <c r="H235" i="50"/>
  <c r="H342" i="50"/>
  <c r="H147" i="50"/>
  <c r="H281" i="50"/>
  <c r="L272" i="50"/>
  <c r="H328" i="50"/>
  <c r="L315" i="50"/>
  <c r="H252" i="50"/>
  <c r="H201" i="50"/>
  <c r="L291" i="50"/>
  <c r="H264" i="50"/>
  <c r="H57" i="50"/>
  <c r="L31" i="46"/>
  <c r="H215" i="50"/>
  <c r="H92" i="50"/>
  <c r="H134" i="50"/>
  <c r="H169" i="50"/>
  <c r="H63" i="50"/>
  <c r="H27" i="50"/>
  <c r="G48" i="46"/>
  <c r="L88" i="50"/>
  <c r="H185" i="50"/>
  <c r="L372" i="50"/>
  <c r="G12" i="46"/>
  <c r="L401" i="50"/>
  <c r="L12" i="50"/>
  <c r="G24" i="46"/>
  <c r="L262" i="50"/>
  <c r="L261" i="50"/>
  <c r="H117" i="50"/>
  <c r="H41" i="50"/>
  <c r="G26" i="46"/>
  <c r="H184" i="50"/>
  <c r="L217" i="50"/>
  <c r="H186" i="50"/>
  <c r="L162" i="50"/>
  <c r="G23" i="46"/>
  <c r="H176" i="50"/>
  <c r="H104" i="50"/>
  <c r="H150" i="50"/>
  <c r="H40" i="50"/>
  <c r="H159" i="50"/>
  <c r="L235" i="50"/>
  <c r="L281" i="50"/>
  <c r="H250" i="50"/>
  <c r="L33" i="46"/>
  <c r="L156" i="50"/>
  <c r="L282" i="50"/>
  <c r="H14" i="50"/>
  <c r="L329" i="50"/>
  <c r="L69" i="46"/>
  <c r="H358" i="50"/>
  <c r="L12" i="46"/>
  <c r="H58" i="50"/>
  <c r="H65" i="50"/>
  <c r="H368" i="50"/>
  <c r="L189" i="50"/>
  <c r="L28" i="50"/>
  <c r="H80" i="50"/>
  <c r="L43" i="46"/>
  <c r="H355" i="50"/>
  <c r="L292" i="50"/>
  <c r="H28" i="50"/>
  <c r="L142" i="50"/>
  <c r="H244" i="50"/>
  <c r="G43" i="46"/>
  <c r="H31" i="50"/>
  <c r="H217" i="50"/>
  <c r="H95" i="50"/>
  <c r="H49" i="50"/>
  <c r="L244" i="50"/>
  <c r="L305" i="50"/>
  <c r="H113" i="50"/>
  <c r="G13" i="46"/>
  <c r="H137" i="50"/>
  <c r="L213" i="50"/>
  <c r="L309" i="50"/>
  <c r="L228" i="50"/>
  <c r="L30" i="46"/>
  <c r="L48" i="46"/>
  <c r="L118" i="50"/>
  <c r="L313" i="50"/>
  <c r="L298" i="50"/>
  <c r="H32" i="50"/>
  <c r="H18" i="50"/>
  <c r="H82" i="50"/>
  <c r="L241" i="50"/>
  <c r="H156" i="50"/>
  <c r="H128" i="50"/>
  <c r="H258" i="50"/>
  <c r="L253" i="50"/>
  <c r="H284" i="50"/>
  <c r="G37" i="46"/>
  <c r="H59" i="50"/>
  <c r="H213" i="50"/>
  <c r="H223" i="50"/>
  <c r="L322" i="50"/>
  <c r="H153" i="50"/>
  <c r="L141" i="50"/>
  <c r="L234" i="50"/>
  <c r="H132" i="50"/>
  <c r="H151" i="50"/>
  <c r="H330" i="50"/>
  <c r="H116" i="50"/>
  <c r="H287" i="50"/>
  <c r="H212" i="50"/>
  <c r="L295" i="50"/>
  <c r="L37" i="50"/>
  <c r="H340" i="50"/>
  <c r="L326" i="50"/>
  <c r="L251" i="50"/>
  <c r="H241" i="50"/>
  <c r="L197" i="50"/>
  <c r="L316" i="50"/>
  <c r="L267" i="50"/>
  <c r="L312" i="50"/>
  <c r="L131" i="50"/>
  <c r="L398" i="50"/>
  <c r="H234" i="50"/>
  <c r="L289" i="50"/>
  <c r="H198" i="50"/>
  <c r="G18" i="46"/>
  <c r="H29" i="50"/>
  <c r="L20" i="46"/>
  <c r="L317" i="50"/>
  <c r="L375" i="50"/>
  <c r="H183" i="50"/>
  <c r="H52" i="50"/>
  <c r="L86" i="50"/>
  <c r="L333" i="50"/>
  <c r="H398" i="50"/>
  <c r="H220" i="50"/>
  <c r="H294" i="50"/>
  <c r="H99" i="50"/>
  <c r="H209" i="50"/>
  <c r="L18" i="46"/>
  <c r="H66" i="50"/>
  <c r="L35" i="46"/>
  <c r="L47" i="50"/>
  <c r="L21" i="46"/>
  <c r="L161" i="50"/>
  <c r="L14" i="46"/>
  <c r="H24" i="50"/>
  <c r="H257" i="50"/>
  <c r="H155" i="50"/>
  <c r="H197" i="50"/>
  <c r="L46" i="50"/>
  <c r="H161" i="50"/>
  <c r="L147" i="50"/>
  <c r="H177" i="50"/>
  <c r="L124" i="50"/>
  <c r="H179" i="50"/>
  <c r="H361" i="50"/>
  <c r="L218" i="50"/>
  <c r="L46" i="46"/>
  <c r="L380" i="50"/>
  <c r="L40" i="46"/>
  <c r="L117" i="50"/>
  <c r="L29" i="46"/>
  <c r="L331" i="50"/>
  <c r="H362" i="50"/>
  <c r="H48" i="50"/>
  <c r="L39" i="46"/>
  <c r="H51" i="50"/>
  <c r="H9" i="50"/>
  <c r="H162" i="50"/>
  <c r="H152" i="50"/>
  <c r="L288" i="50"/>
  <c r="H83" i="50"/>
  <c r="L72" i="50"/>
  <c r="H279" i="50"/>
  <c r="L374" i="50"/>
  <c r="H295" i="50"/>
  <c r="H337" i="50"/>
  <c r="L284" i="50"/>
  <c r="G11" i="46"/>
  <c r="H206" i="50"/>
  <c r="L324" i="50"/>
  <c r="L204" i="50"/>
  <c r="H75" i="50"/>
  <c r="L402" i="50"/>
  <c r="H336" i="50"/>
  <c r="H374" i="50"/>
  <c r="H101" i="50"/>
  <c r="L334" i="50"/>
  <c r="H145" i="50"/>
  <c r="H53" i="50"/>
  <c r="L321" i="50"/>
  <c r="G30" i="46"/>
  <c r="H190" i="50"/>
  <c r="L325" i="50"/>
  <c r="H346" i="50"/>
  <c r="H192" i="50"/>
  <c r="H79" i="50"/>
  <c r="L10" i="46"/>
  <c r="L200" i="50"/>
  <c r="H379" i="50"/>
  <c r="H204" i="50"/>
  <c r="H138" i="50"/>
  <c r="H266" i="50"/>
  <c r="L179" i="50"/>
  <c r="G21" i="46"/>
  <c r="H357" i="50"/>
  <c r="G22" i="46"/>
  <c r="L24" i="46"/>
  <c r="L130" i="50"/>
  <c r="H303" i="50"/>
  <c r="L10" i="50"/>
  <c r="H96" i="50"/>
  <c r="L323" i="50"/>
  <c r="L23" i="46"/>
  <c r="L36" i="46"/>
  <c r="H375" i="50"/>
  <c r="G47" i="46"/>
  <c r="H42" i="50"/>
  <c r="H237" i="50"/>
  <c r="H20" i="50"/>
  <c r="H78" i="50"/>
  <c r="H160" i="50"/>
  <c r="L250" i="50"/>
  <c r="H259" i="50"/>
  <c r="L61" i="50"/>
  <c r="L138" i="50"/>
  <c r="H47" i="50"/>
  <c r="H378" i="50"/>
  <c r="H225" i="50"/>
  <c r="L214" i="50"/>
  <c r="H85" i="50"/>
  <c r="L154" i="50"/>
  <c r="H338" i="50"/>
  <c r="H232" i="50"/>
  <c r="H343" i="50"/>
  <c r="H43" i="50"/>
  <c r="L307" i="50"/>
  <c r="L51" i="50"/>
  <c r="H304" i="50"/>
  <c r="H55" i="50"/>
  <c r="H84" i="50"/>
  <c r="L320" i="50"/>
  <c r="H94" i="50"/>
  <c r="L116" i="50"/>
  <c r="L236" i="50"/>
  <c r="H60" i="50"/>
  <c r="H224" i="50"/>
  <c r="L304" i="50"/>
  <c r="H154" i="50"/>
  <c r="L157" i="50"/>
  <c r="H12" i="50"/>
  <c r="H15" i="50"/>
  <c r="G29" i="46"/>
  <c r="H230" i="50"/>
  <c r="L319" i="50"/>
  <c r="H247" i="50"/>
  <c r="H22" i="50"/>
  <c r="H335" i="50"/>
  <c r="H10" i="50"/>
  <c r="H365" i="50"/>
  <c r="H245" i="50"/>
  <c r="L101" i="50"/>
  <c r="H233" i="50"/>
  <c r="L198" i="50"/>
  <c r="H226" i="50"/>
  <c r="H344" i="50"/>
  <c r="H363" i="50"/>
  <c r="H180" i="50"/>
  <c r="L37" i="46"/>
  <c r="H70" i="50"/>
  <c r="G10" i="46"/>
  <c r="H97" i="50"/>
  <c r="L15" i="50"/>
  <c r="L233" i="50"/>
  <c r="H282" i="50"/>
  <c r="H112" i="50"/>
  <c r="G46" i="46"/>
  <c r="L308" i="50"/>
  <c r="H131" i="50"/>
  <c r="L148" i="50"/>
  <c r="H146" i="50"/>
  <c r="L196" i="50"/>
  <c r="H11" i="50"/>
  <c r="H263" i="50"/>
  <c r="G31" i="46"/>
  <c r="L28" i="46"/>
  <c r="H310" i="50"/>
  <c r="G19" i="46"/>
  <c r="H219" i="50"/>
  <c r="L296" i="50"/>
  <c r="H149" i="50"/>
  <c r="L35" i="50"/>
  <c r="L195" i="50"/>
  <c r="L32" i="46"/>
  <c r="H56" i="50"/>
  <c r="L212" i="50"/>
  <c r="H90" i="50"/>
  <c r="H216" i="50"/>
  <c r="L186" i="50"/>
  <c r="G39" i="46"/>
  <c r="G78" i="46"/>
  <c r="H306" i="50"/>
  <c r="L27" i="46"/>
  <c r="H360" i="50"/>
  <c r="L265" i="50"/>
  <c r="L38" i="46"/>
  <c r="H50" i="50"/>
  <c r="H210" i="50"/>
  <c r="L201" i="50"/>
  <c r="L332" i="50"/>
  <c r="L13" i="46"/>
  <c r="H218" i="50"/>
  <c r="L252" i="50"/>
  <c r="L237" i="50"/>
  <c r="L178" i="50"/>
  <c r="L164" i="50"/>
  <c r="L306" i="50"/>
  <c r="L183" i="50"/>
  <c r="H136" i="50"/>
  <c r="H77" i="50"/>
  <c r="L211" i="50"/>
  <c r="L112" i="50"/>
  <c r="H269" i="50"/>
  <c r="L115" i="50"/>
  <c r="L17" i="46"/>
  <c r="H133" i="50"/>
  <c r="G34" i="46"/>
  <c r="H44" i="50"/>
  <c r="G28" i="46"/>
  <c r="H100" i="50"/>
  <c r="L163" i="50"/>
  <c r="L287" i="50"/>
  <c r="H119" i="50"/>
  <c r="L66" i="50"/>
  <c r="L270" i="50"/>
  <c r="H383" i="50"/>
  <c r="L377" i="50"/>
  <c r="H386" i="50"/>
  <c r="L11" i="46"/>
  <c r="L100" i="50"/>
  <c r="H130" i="50"/>
  <c r="L279" i="50"/>
  <c r="H39" i="50"/>
  <c r="L87" i="50"/>
  <c r="L310" i="50"/>
  <c r="H272" i="50"/>
  <c r="L297" i="50"/>
  <c r="H356" i="50"/>
  <c r="L193" i="50"/>
  <c r="H238" i="50"/>
  <c r="H76" i="50"/>
  <c r="L327" i="50"/>
  <c r="L44" i="46"/>
  <c r="G17" i="46"/>
  <c r="L34" i="46"/>
  <c r="H222" i="50"/>
  <c r="L165" i="50"/>
  <c r="G35" i="46"/>
  <c r="L311" i="50"/>
  <c r="H81" i="50"/>
  <c r="H354" i="50"/>
  <c r="H45" i="50"/>
  <c r="H163" i="50"/>
  <c r="H67" i="50"/>
  <c r="L56" i="50"/>
  <c r="H171" i="50"/>
  <c r="H208" i="50"/>
  <c r="L22" i="50"/>
  <c r="H89" i="50"/>
  <c r="H339" i="50"/>
  <c r="L15" i="46"/>
  <c r="L387" i="50"/>
  <c r="G9" i="46"/>
  <c r="H120" i="50"/>
  <c r="L185" i="50"/>
  <c r="H23" i="50"/>
  <c r="L379" i="50"/>
  <c r="H144" i="50"/>
  <c r="H227" i="50"/>
  <c r="K2826" i="18" l="1"/>
  <c r="M16" i="46"/>
  <c r="N16" i="46" s="1"/>
  <c r="M42" i="46"/>
  <c r="N42" i="46" s="1"/>
  <c r="M28" i="46"/>
  <c r="N28" i="46" s="1"/>
  <c r="M37" i="46"/>
  <c r="N37" i="46" s="1"/>
  <c r="M19" i="46"/>
  <c r="N19" i="46" s="1"/>
  <c r="M31" i="46"/>
  <c r="N31" i="46" s="1"/>
  <c r="M35" i="46"/>
  <c r="N35" i="46" s="1"/>
  <c r="M44" i="46"/>
  <c r="N44" i="46" s="1"/>
  <c r="M12" i="46"/>
  <c r="N12" i="46" s="1"/>
  <c r="M36" i="46"/>
  <c r="N36" i="46" s="1"/>
  <c r="M43" i="46"/>
  <c r="N43" i="46" s="1"/>
  <c r="M29" i="46"/>
  <c r="N29" i="46" s="1"/>
  <c r="M34" i="46"/>
  <c r="N34" i="46" s="1"/>
  <c r="M15" i="46"/>
  <c r="N15" i="46" s="1"/>
  <c r="M22" i="46"/>
  <c r="N22" i="46" s="1"/>
  <c r="M26" i="46"/>
  <c r="N26" i="46" s="1"/>
  <c r="M17" i="46"/>
  <c r="N17" i="46" s="1"/>
  <c r="M48" i="46"/>
  <c r="N48" i="46" s="1"/>
  <c r="M9" i="46"/>
  <c r="N9" i="46" s="1"/>
  <c r="M11" i="46"/>
  <c r="N11" i="46" s="1"/>
  <c r="M21" i="46"/>
  <c r="N21" i="46" s="1"/>
  <c r="M33" i="46"/>
  <c r="N33" i="46" s="1"/>
  <c r="M10" i="46"/>
  <c r="N10" i="46" s="1"/>
  <c r="M24" i="46"/>
  <c r="N24" i="46" s="1"/>
  <c r="M27" i="46"/>
  <c r="N27" i="46" s="1"/>
  <c r="M20" i="46"/>
  <c r="N20" i="46" s="1"/>
  <c r="M32" i="46"/>
  <c r="N32" i="46" s="1"/>
  <c r="M39" i="46"/>
  <c r="N39" i="46" s="1"/>
  <c r="M18" i="46"/>
  <c r="N18" i="46" s="1"/>
  <c r="M30" i="46"/>
  <c r="N30" i="46" s="1"/>
  <c r="M334" i="50"/>
  <c r="N334" i="50" s="1"/>
  <c r="M329" i="50"/>
  <c r="N329" i="50" s="1"/>
  <c r="M10" i="50"/>
  <c r="N10" i="50" s="1"/>
  <c r="M57" i="50"/>
  <c r="N57" i="50" s="1"/>
  <c r="M169" i="50"/>
  <c r="N169" i="50" s="1"/>
  <c r="M331" i="50"/>
  <c r="N331" i="50" s="1"/>
  <c r="M332" i="50"/>
  <c r="N332" i="50" s="1"/>
  <c r="M196" i="50"/>
  <c r="N196" i="50" s="1"/>
  <c r="M309" i="50"/>
  <c r="N309" i="50" s="1"/>
  <c r="M327" i="50"/>
  <c r="N327" i="50" s="1"/>
  <c r="M333" i="50"/>
  <c r="N333" i="50" s="1"/>
  <c r="M315" i="50"/>
  <c r="N315" i="50" s="1"/>
  <c r="M116" i="50"/>
  <c r="N116" i="50" s="1"/>
  <c r="M325" i="50"/>
  <c r="N325" i="50" s="1"/>
  <c r="M316" i="50"/>
  <c r="N316" i="50" s="1"/>
  <c r="M322" i="50"/>
  <c r="N322" i="50" s="1"/>
  <c r="M244" i="50"/>
  <c r="N244" i="50" s="1"/>
  <c r="L352" i="18"/>
  <c r="L353" i="18" s="1"/>
  <c r="K354" i="18" s="1"/>
  <c r="L354" i="18" s="1"/>
  <c r="K318" i="50"/>
  <c r="M318" i="50" s="1"/>
  <c r="N318" i="50" s="1"/>
  <c r="K181" i="50"/>
  <c r="F23" i="73"/>
  <c r="J11" i="88"/>
  <c r="F11" i="88"/>
  <c r="H11" i="88" s="1"/>
  <c r="D14" i="51"/>
  <c r="I14" i="51" s="1"/>
  <c r="N2649" i="18"/>
  <c r="O2650" i="18" s="1"/>
  <c r="O6415" i="18" s="1"/>
  <c r="K176" i="50"/>
  <c r="K173" i="50"/>
  <c r="D41" i="51"/>
  <c r="I41" i="51" s="1"/>
  <c r="J41" i="51" s="1"/>
  <c r="N2798" i="18"/>
  <c r="O2799" i="18" s="1"/>
  <c r="O6423" i="18" s="1"/>
  <c r="K172" i="50"/>
  <c r="K286" i="50"/>
  <c r="M286" i="50" s="1"/>
  <c r="N286" i="50" s="1"/>
  <c r="K285" i="50"/>
  <c r="D116" i="47"/>
  <c r="K246" i="50"/>
  <c r="H20" i="72"/>
  <c r="Q3630" i="18"/>
  <c r="K3654" i="18"/>
  <c r="K226" i="50"/>
  <c r="K112" i="50"/>
  <c r="D50" i="52"/>
  <c r="L34" i="72"/>
  <c r="L171" i="5"/>
  <c r="L170" i="5" s="1"/>
  <c r="K178" i="50"/>
  <c r="N1813" i="18"/>
  <c r="O1814" i="18" s="1"/>
  <c r="O6361" i="18" s="1"/>
  <c r="D42" i="51"/>
  <c r="I42" i="51" s="1"/>
  <c r="J42" i="51" s="1"/>
  <c r="K179" i="50"/>
  <c r="M179" i="50" s="1"/>
  <c r="N179" i="50" s="1"/>
  <c r="D63" i="51"/>
  <c r="I63" i="51" s="1"/>
  <c r="K320" i="50"/>
  <c r="M320" i="50" s="1"/>
  <c r="N320" i="50" s="1"/>
  <c r="D93" i="51"/>
  <c r="I93" i="51" s="1"/>
  <c r="J93" i="51" s="1"/>
  <c r="K166" i="50"/>
  <c r="F35" i="73"/>
  <c r="L43" i="68"/>
  <c r="D83" i="51"/>
  <c r="I83" i="51" s="1"/>
  <c r="J83" i="51" s="1"/>
  <c r="F20" i="73"/>
  <c r="K262" i="50"/>
  <c r="M262" i="50" s="1"/>
  <c r="N262" i="50" s="1"/>
  <c r="K177" i="50"/>
  <c r="M177" i="50" s="1"/>
  <c r="N177" i="50" s="1"/>
  <c r="F41" i="73"/>
  <c r="K249" i="50"/>
  <c r="K182" i="50"/>
  <c r="D80" i="51"/>
  <c r="I80" i="51" s="1"/>
  <c r="J80" i="51" s="1"/>
  <c r="N1791" i="18"/>
  <c r="O1792" i="18" s="1"/>
  <c r="O6359" i="18" s="1"/>
  <c r="N3240" i="18"/>
  <c r="O3242" i="18" s="1"/>
  <c r="O6445" i="18" s="1"/>
  <c r="F24" i="69"/>
  <c r="H28" i="68"/>
  <c r="D39" i="51"/>
  <c r="I39" i="51" s="1"/>
  <c r="J39" i="51" s="1"/>
  <c r="D32" i="47"/>
  <c r="H36" i="68"/>
  <c r="H27" i="68"/>
  <c r="K66" i="50"/>
  <c r="M66" i="50" s="1"/>
  <c r="N66" i="50" s="1"/>
  <c r="K115" i="50"/>
  <c r="M115" i="50" s="1"/>
  <c r="N115" i="50" s="1"/>
  <c r="D52" i="47"/>
  <c r="E102" i="74"/>
  <c r="E300" i="91"/>
  <c r="Q2832" i="18"/>
  <c r="E17" i="87"/>
  <c r="I17" i="87" s="1"/>
  <c r="H15" i="87"/>
  <c r="H17" i="87" s="1"/>
  <c r="J17" i="87" s="1"/>
  <c r="D66" i="51"/>
  <c r="I66" i="51" s="1"/>
  <c r="J66" i="51" s="1"/>
  <c r="D23" i="47"/>
  <c r="K259" i="50"/>
  <c r="D45" i="47"/>
  <c r="H42" i="72"/>
  <c r="E104" i="91" s="1"/>
  <c r="K597" i="5"/>
  <c r="K622" i="5" s="1"/>
  <c r="H34" i="68"/>
  <c r="D25" i="47"/>
  <c r="H51" i="68"/>
  <c r="H23" i="68"/>
  <c r="M845" i="5"/>
  <c r="D31" i="47"/>
  <c r="K261" i="50"/>
  <c r="H25" i="72"/>
  <c r="K185" i="50"/>
  <c r="M185" i="50" s="1"/>
  <c r="N185" i="50" s="1"/>
  <c r="K200" i="50"/>
  <c r="M200" i="50" s="1"/>
  <c r="N200" i="50" s="1"/>
  <c r="D119" i="47"/>
  <c r="K127" i="50"/>
  <c r="D30" i="51"/>
  <c r="I30" i="51" s="1"/>
  <c r="J30" i="51" s="1"/>
  <c r="N4664" i="18"/>
  <c r="O4665" i="18" s="1"/>
  <c r="O6552" i="18" s="1"/>
  <c r="L46" i="72"/>
  <c r="Y51" i="75" s="1"/>
  <c r="K133" i="50"/>
  <c r="D24" i="47"/>
  <c r="K224" i="50"/>
  <c r="M224" i="50" s="1"/>
  <c r="N224" i="50" s="1"/>
  <c r="D93" i="47"/>
  <c r="K132" i="50"/>
  <c r="N2033" i="18"/>
  <c r="O2034" i="18" s="1"/>
  <c r="O6376" i="18" s="1"/>
  <c r="K13" i="50"/>
  <c r="M833" i="5"/>
  <c r="K103" i="50"/>
  <c r="K279" i="50"/>
  <c r="M279" i="50" s="1"/>
  <c r="N279" i="50" s="1"/>
  <c r="G709" i="5"/>
  <c r="N3176" i="18"/>
  <c r="O3177" i="18" s="1"/>
  <c r="O6440" i="18" s="1"/>
  <c r="K149" i="50"/>
  <c r="K151" i="50"/>
  <c r="D12" i="48"/>
  <c r="D22" i="51"/>
  <c r="I22" i="51" s="1"/>
  <c r="J22" i="51" s="1"/>
  <c r="N2203" i="18"/>
  <c r="O2204" i="18" s="1"/>
  <c r="O6388" i="18" s="1"/>
  <c r="H27" i="72"/>
  <c r="K134" i="50"/>
  <c r="L37" i="68"/>
  <c r="K230" i="50"/>
  <c r="D63" i="47"/>
  <c r="F16" i="73"/>
  <c r="M861" i="5"/>
  <c r="L55" i="68"/>
  <c r="Y52" i="71" s="1"/>
  <c r="K136" i="50"/>
  <c r="K137" i="50"/>
  <c r="H25" i="68"/>
  <c r="D60" i="51"/>
  <c r="I60" i="51" s="1"/>
  <c r="J60" i="51" s="1"/>
  <c r="D34" i="47"/>
  <c r="D114" i="47"/>
  <c r="K109" i="5"/>
  <c r="K147" i="50"/>
  <c r="F47" i="73"/>
  <c r="F34" i="69"/>
  <c r="F21" i="73"/>
  <c r="L17" i="72"/>
  <c r="I6223" i="18" s="1"/>
  <c r="E132" i="91" s="1"/>
  <c r="K238" i="50"/>
  <c r="M238" i="50" s="1"/>
  <c r="N238" i="50" s="1"/>
  <c r="K284" i="50"/>
  <c r="M284" i="50" s="1"/>
  <c r="N284" i="50" s="1"/>
  <c r="K122" i="50"/>
  <c r="D45" i="51"/>
  <c r="I45" i="51" s="1"/>
  <c r="J45" i="51" s="1"/>
  <c r="H26" i="68"/>
  <c r="K120" i="50"/>
  <c r="N1765" i="18"/>
  <c r="D25" i="51"/>
  <c r="I25" i="51" s="1"/>
  <c r="J25" i="51" s="1"/>
  <c r="F22" i="69"/>
  <c r="D111" i="47"/>
  <c r="L23" i="68"/>
  <c r="G683" i="5"/>
  <c r="D30" i="47"/>
  <c r="N1824" i="18"/>
  <c r="O1825" i="18" s="1"/>
  <c r="O6362" i="18" s="1"/>
  <c r="K119" i="50"/>
  <c r="K123" i="50"/>
  <c r="K117" i="50"/>
  <c r="K326" i="50"/>
  <c r="D111" i="51"/>
  <c r="I111" i="51" s="1"/>
  <c r="J111" i="51" s="1"/>
  <c r="D68" i="52"/>
  <c r="M172" i="5"/>
  <c r="N3761" i="18"/>
  <c r="F9" i="73"/>
  <c r="K121" i="50"/>
  <c r="D35" i="51"/>
  <c r="I35" i="51" s="1"/>
  <c r="J35" i="51" s="1"/>
  <c r="L64" i="5"/>
  <c r="K118" i="50"/>
  <c r="K3623" i="18"/>
  <c r="I3628" i="18"/>
  <c r="F60" i="69"/>
  <c r="N1033" i="18"/>
  <c r="AE96" i="6"/>
  <c r="H3248" i="18"/>
  <c r="I3248" i="18" s="1"/>
  <c r="H3467" i="18"/>
  <c r="H3469" i="18" s="1"/>
  <c r="H3470" i="18" s="1"/>
  <c r="K3471" i="18" s="1"/>
  <c r="L3471" i="18" s="1"/>
  <c r="E16" i="88"/>
  <c r="D14" i="47"/>
  <c r="K291" i="50"/>
  <c r="M291" i="50" s="1"/>
  <c r="N291" i="50" s="1"/>
  <c r="K171" i="50"/>
  <c r="D41" i="47"/>
  <c r="D112" i="47"/>
  <c r="N1618" i="18"/>
  <c r="O1619" i="18" s="1"/>
  <c r="O6347" i="18" s="1"/>
  <c r="H9" i="72"/>
  <c r="K102" i="50"/>
  <c r="H19" i="72"/>
  <c r="E56" i="91" s="1"/>
  <c r="L48" i="68"/>
  <c r="D45" i="52"/>
  <c r="K36" i="50"/>
  <c r="K197" i="50"/>
  <c r="D81" i="51"/>
  <c r="I81" i="51" s="1"/>
  <c r="J81" i="51" s="1"/>
  <c r="D68" i="47"/>
  <c r="K243" i="50"/>
  <c r="M243" i="50" s="1"/>
  <c r="N243" i="50" s="1"/>
  <c r="F37" i="69"/>
  <c r="K319" i="50"/>
  <c r="M319" i="50" s="1"/>
  <c r="N319" i="50" s="1"/>
  <c r="K248" i="50"/>
  <c r="N4863" i="18"/>
  <c r="O4864" i="18" s="1"/>
  <c r="O6564" i="18" s="1"/>
  <c r="H11" i="68"/>
  <c r="K105" i="50"/>
  <c r="K107" i="50"/>
  <c r="K12" i="50"/>
  <c r="M12" i="50" s="1"/>
  <c r="N12" i="50" s="1"/>
  <c r="D88" i="47"/>
  <c r="K38" i="50"/>
  <c r="D116" i="51"/>
  <c r="I116" i="51" s="1"/>
  <c r="J116" i="51" s="1"/>
  <c r="D50" i="51"/>
  <c r="I50" i="51" s="1"/>
  <c r="J50" i="51" s="1"/>
  <c r="K174" i="50"/>
  <c r="L32" i="72"/>
  <c r="K110" i="50"/>
  <c r="N4914" i="18"/>
  <c r="O4915" i="18" s="1"/>
  <c r="O6567" i="18" s="1"/>
  <c r="K245" i="50"/>
  <c r="D114" i="51"/>
  <c r="I114" i="51" s="1"/>
  <c r="J114" i="51" s="1"/>
  <c r="D112" i="51"/>
  <c r="I112" i="51" s="1"/>
  <c r="J112" i="51" s="1"/>
  <c r="K247" i="50"/>
  <c r="L39" i="72"/>
  <c r="H709" i="5"/>
  <c r="K106" i="50"/>
  <c r="K101" i="50"/>
  <c r="M101" i="50" s="1"/>
  <c r="N101" i="50" s="1"/>
  <c r="D88" i="51"/>
  <c r="I88" i="51" s="1"/>
  <c r="J88" i="51" s="1"/>
  <c r="F39" i="69"/>
  <c r="K175" i="50"/>
  <c r="L337" i="5"/>
  <c r="L360" i="5" s="1"/>
  <c r="F24" i="73"/>
  <c r="N4899" i="18"/>
  <c r="O4900" i="18" s="1"/>
  <c r="O6566" i="18" s="1"/>
  <c r="F35" i="69"/>
  <c r="K228" i="50"/>
  <c r="F10" i="73"/>
  <c r="K135" i="50"/>
  <c r="D32" i="51"/>
  <c r="I32" i="51" s="1"/>
  <c r="D57" i="51"/>
  <c r="I57" i="51" s="1"/>
  <c r="J57" i="51" s="1"/>
  <c r="K44" i="50"/>
  <c r="K210" i="50"/>
  <c r="H697" i="5"/>
  <c r="N944" i="18"/>
  <c r="O945" i="18" s="1"/>
  <c r="O6310" i="18" s="1"/>
  <c r="L401" i="5"/>
  <c r="L426" i="5" s="1"/>
  <c r="D107" i="48"/>
  <c r="N3320" i="18"/>
  <c r="O3321" i="18" s="1"/>
  <c r="O6451" i="18" s="1"/>
  <c r="D57" i="47"/>
  <c r="L8" i="68"/>
  <c r="H22" i="68"/>
  <c r="K130" i="50"/>
  <c r="M130" i="50" s="1"/>
  <c r="N130" i="50" s="1"/>
  <c r="K193" i="50"/>
  <c r="K209" i="50"/>
  <c r="L8" i="72"/>
  <c r="K208" i="50"/>
  <c r="K207" i="50"/>
  <c r="K189" i="50"/>
  <c r="M189" i="50" s="1"/>
  <c r="N189" i="50" s="1"/>
  <c r="V31" i="71"/>
  <c r="M371" i="5"/>
  <c r="U15" i="75" s="1"/>
  <c r="E69" i="6"/>
  <c r="F70" i="6" s="1"/>
  <c r="F34" i="6"/>
  <c r="N5329" i="18"/>
  <c r="O5329" i="18" s="1"/>
  <c r="O5336" i="18" s="1"/>
  <c r="N1489" i="18"/>
  <c r="N1490" i="18" s="1"/>
  <c r="K1491" i="18" s="1"/>
  <c r="L1491" i="18" s="1"/>
  <c r="Q22" i="75"/>
  <c r="M633" i="5"/>
  <c r="M818" i="5" s="1"/>
  <c r="M4868" i="18"/>
  <c r="M4875" i="18" s="1"/>
  <c r="Q3445" i="18"/>
  <c r="AE177" i="6"/>
  <c r="M534" i="5"/>
  <c r="Z15" i="71" s="1"/>
  <c r="H3247" i="18"/>
  <c r="F9" i="88"/>
  <c r="H9" i="88" s="1"/>
  <c r="J9" i="88"/>
  <c r="K9" i="88" s="1"/>
  <c r="H2647" i="18"/>
  <c r="K2641" i="18" s="1"/>
  <c r="K2644" i="18"/>
  <c r="K2647" i="18" s="1"/>
  <c r="M245" i="5"/>
  <c r="Q15" i="75" s="1"/>
  <c r="P2702" i="18"/>
  <c r="P2703" i="18" s="1"/>
  <c r="P2704" i="18" s="1"/>
  <c r="K2705" i="18" s="1"/>
  <c r="L2705" i="18" s="1"/>
  <c r="E60" i="70"/>
  <c r="E119" i="70" s="1"/>
  <c r="AB33" i="75"/>
  <c r="M468" i="5"/>
  <c r="X15" i="71" s="1"/>
  <c r="AA10" i="71"/>
  <c r="K989" i="18"/>
  <c r="C9" i="89"/>
  <c r="H4882" i="18"/>
  <c r="M4882" i="18" s="1"/>
  <c r="M4897" i="18" s="1"/>
  <c r="I4578" i="18"/>
  <c r="I4536" i="18"/>
  <c r="X24" i="71"/>
  <c r="F64" i="6"/>
  <c r="AE176" i="6"/>
  <c r="K531" i="5"/>
  <c r="K556" i="5" s="1"/>
  <c r="AB26" i="75"/>
  <c r="V17" i="71"/>
  <c r="K164" i="50"/>
  <c r="L230" i="5"/>
  <c r="N2558" i="18"/>
  <c r="O2601" i="18" s="1"/>
  <c r="O6411" i="18" s="1"/>
  <c r="K165" i="50"/>
  <c r="D15" i="51"/>
  <c r="I15" i="51" s="1"/>
  <c r="J15" i="51" s="1"/>
  <c r="M873" i="5"/>
  <c r="M404" i="5"/>
  <c r="V15" i="75" s="1"/>
  <c r="M734" i="5"/>
  <c r="N4822" i="18"/>
  <c r="O4823" i="18" s="1"/>
  <c r="O6562" i="18" s="1"/>
  <c r="D109" i="51"/>
  <c r="I109" i="51" s="1"/>
  <c r="J109" i="51" s="1"/>
  <c r="D97" i="51"/>
  <c r="I97" i="51" s="1"/>
  <c r="J97" i="51" s="1"/>
  <c r="D49" i="47"/>
  <c r="D87" i="51"/>
  <c r="I87" i="51" s="1"/>
  <c r="J87" i="51" s="1"/>
  <c r="K145" i="50"/>
  <c r="K153" i="50"/>
  <c r="K148" i="50"/>
  <c r="H29" i="72"/>
  <c r="F27" i="69"/>
  <c r="N4800" i="18"/>
  <c r="O4801" i="18" s="1"/>
  <c r="O6561" i="18" s="1"/>
  <c r="D37" i="51"/>
  <c r="I37" i="51" s="1"/>
  <c r="J37" i="51" s="1"/>
  <c r="N3044" i="18"/>
  <c r="O3151" i="18" s="1"/>
  <c r="O6438" i="18" s="1"/>
  <c r="H38" i="72"/>
  <c r="E221" i="91" s="1"/>
  <c r="D48" i="47"/>
  <c r="H22" i="72"/>
  <c r="I6195" i="18" s="1"/>
  <c r="E46" i="91" s="1"/>
  <c r="E47" i="91" s="1"/>
  <c r="F46" i="73"/>
  <c r="K65" i="50"/>
  <c r="K64" i="50"/>
  <c r="M64" i="50" s="1"/>
  <c r="N64" i="50" s="1"/>
  <c r="D22" i="47"/>
  <c r="K143" i="50"/>
  <c r="K144" i="50"/>
  <c r="K218" i="5"/>
  <c r="D110" i="51"/>
  <c r="I110" i="51" s="1"/>
  <c r="J110" i="51" s="1"/>
  <c r="D109" i="47"/>
  <c r="F29" i="69"/>
  <c r="K195" i="50"/>
  <c r="M195" i="50" s="1"/>
  <c r="N195" i="50" s="1"/>
  <c r="K152" i="50"/>
  <c r="D34" i="51"/>
  <c r="I34" i="51" s="1"/>
  <c r="J34" i="51" s="1"/>
  <c r="K171" i="5"/>
  <c r="K170" i="5" s="1"/>
  <c r="K117" i="5" s="1"/>
  <c r="F55" i="69"/>
  <c r="K190" i="50"/>
  <c r="K191" i="50"/>
  <c r="L597" i="5"/>
  <c r="L622" i="5" s="1"/>
  <c r="K142" i="50"/>
  <c r="M142" i="50" s="1"/>
  <c r="N142" i="50" s="1"/>
  <c r="D27" i="47"/>
  <c r="F51" i="69"/>
  <c r="F38" i="73"/>
  <c r="D37" i="47"/>
  <c r="N2498" i="18"/>
  <c r="O2499" i="18" s="1"/>
  <c r="O6405" i="18" s="1"/>
  <c r="K159" i="50"/>
  <c r="M159" i="50" s="1"/>
  <c r="N159" i="50" s="1"/>
  <c r="D39" i="47"/>
  <c r="H42" i="68"/>
  <c r="K167" i="50"/>
  <c r="K317" i="50"/>
  <c r="M317" i="50" s="1"/>
  <c r="N317" i="50" s="1"/>
  <c r="D63" i="52"/>
  <c r="K155" i="50"/>
  <c r="K146" i="50"/>
  <c r="L564" i="5"/>
  <c r="L589" i="5" s="1"/>
  <c r="D110" i="47"/>
  <c r="L306" i="5"/>
  <c r="L329" i="5" s="1"/>
  <c r="K306" i="5"/>
  <c r="K329" i="5" s="1"/>
  <c r="H40" i="68"/>
  <c r="D48" i="51"/>
  <c r="I48" i="51" s="1"/>
  <c r="J48" i="51" s="1"/>
  <c r="K192" i="50"/>
  <c r="H47" i="68"/>
  <c r="F57" i="69"/>
  <c r="K150" i="50"/>
  <c r="X29" i="71"/>
  <c r="M501" i="5"/>
  <c r="Y15" i="71" s="1"/>
  <c r="K465" i="5"/>
  <c r="K490" i="5" s="1"/>
  <c r="V24" i="71"/>
  <c r="AA10" i="75"/>
  <c r="K242" i="5"/>
  <c r="K267" i="5" s="1"/>
  <c r="D18" i="47"/>
  <c r="H15" i="68"/>
  <c r="K37" i="50"/>
  <c r="F12" i="73"/>
  <c r="N4726" i="18"/>
  <c r="D106" i="51"/>
  <c r="I106" i="51" s="1"/>
  <c r="J106" i="51" s="1"/>
  <c r="K312" i="50"/>
  <c r="M312" i="50" s="1"/>
  <c r="N312" i="50" s="1"/>
  <c r="K311" i="50"/>
  <c r="K28" i="50"/>
  <c r="M28" i="50" s="1"/>
  <c r="N28" i="50" s="1"/>
  <c r="K42" i="50"/>
  <c r="K45" i="50"/>
  <c r="K337" i="5"/>
  <c r="K360" i="5" s="1"/>
  <c r="L630" i="5"/>
  <c r="L655" i="5" s="1"/>
  <c r="K275" i="5"/>
  <c r="K298" i="5" s="1"/>
  <c r="D44" i="52"/>
  <c r="K31" i="50"/>
  <c r="K43" i="50"/>
  <c r="E205" i="6"/>
  <c r="F206" i="6" s="1"/>
  <c r="Y18" i="71"/>
  <c r="F204" i="6"/>
  <c r="X30" i="75"/>
  <c r="F66" i="6"/>
  <c r="F69" i="6"/>
  <c r="G445" i="5"/>
  <c r="E38" i="6"/>
  <c r="F37" i="6"/>
  <c r="O3841" i="18"/>
  <c r="O6489" i="18" s="1"/>
  <c r="V9" i="75"/>
  <c r="L465" i="5"/>
  <c r="L490" i="5" s="1"/>
  <c r="K213" i="5"/>
  <c r="L31" i="72"/>
  <c r="L498" i="5"/>
  <c r="L523" i="5" s="1"/>
  <c r="K230" i="5"/>
  <c r="F21" i="69"/>
  <c r="N4248" i="18"/>
  <c r="O4249" i="18" s="1"/>
  <c r="O6523" i="18" s="1"/>
  <c r="L213" i="5"/>
  <c r="I6218" i="18"/>
  <c r="K305" i="50"/>
  <c r="M305" i="50" s="1"/>
  <c r="N305" i="50" s="1"/>
  <c r="D23" i="51"/>
  <c r="I23" i="51" s="1"/>
  <c r="J23" i="51" s="1"/>
  <c r="N2831" i="18"/>
  <c r="O2832" i="18" s="1"/>
  <c r="O6426" i="18" s="1"/>
  <c r="D44" i="47"/>
  <c r="H17" i="68"/>
  <c r="N967" i="18"/>
  <c r="O968" i="18" s="1"/>
  <c r="O6312" i="18" s="1"/>
  <c r="H26" i="72"/>
  <c r="K258" i="50"/>
  <c r="K260" i="50"/>
  <c r="D26" i="51"/>
  <c r="I26" i="51" s="1"/>
  <c r="J26" i="51" s="1"/>
  <c r="D103" i="51"/>
  <c r="I103" i="51" s="1"/>
  <c r="J103" i="51" s="1"/>
  <c r="D53" i="51"/>
  <c r="I53" i="51" s="1"/>
  <c r="J53" i="51" s="1"/>
  <c r="K128" i="50"/>
  <c r="H35" i="68"/>
  <c r="K125" i="50"/>
  <c r="N4634" i="18"/>
  <c r="O4635" i="18" s="1"/>
  <c r="O6550" i="18" s="1"/>
  <c r="K183" i="50"/>
  <c r="E61" i="91"/>
  <c r="K126" i="50"/>
  <c r="D31" i="51"/>
  <c r="I31" i="51" s="1"/>
  <c r="J31" i="51" s="1"/>
  <c r="D74" i="47"/>
  <c r="K257" i="50"/>
  <c r="M257" i="50" s="1"/>
  <c r="N257" i="50" s="1"/>
  <c r="L34" i="68"/>
  <c r="H21" i="72"/>
  <c r="K113" i="50"/>
  <c r="M113" i="50" s="1"/>
  <c r="N113" i="50" s="1"/>
  <c r="L109" i="5"/>
  <c r="H18" i="72"/>
  <c r="K306" i="50"/>
  <c r="L242" i="5"/>
  <c r="L267" i="5" s="1"/>
  <c r="K208" i="5"/>
  <c r="K323" i="50"/>
  <c r="F26" i="73"/>
  <c r="K129" i="50"/>
  <c r="K124" i="50"/>
  <c r="M124" i="50" s="1"/>
  <c r="N124" i="50" s="1"/>
  <c r="D74" i="51"/>
  <c r="I74" i="51" s="1"/>
  <c r="J74" i="51" s="1"/>
  <c r="N3998" i="18"/>
  <c r="O3999" i="18" s="1"/>
  <c r="O6502" i="18" s="1"/>
  <c r="D26" i="47"/>
  <c r="D58" i="51"/>
  <c r="I58" i="51" s="1"/>
  <c r="J58" i="51" s="1"/>
  <c r="K401" i="5"/>
  <c r="K426" i="5" s="1"/>
  <c r="K308" i="50"/>
  <c r="D104" i="51"/>
  <c r="I104" i="51" s="1"/>
  <c r="J104" i="51" s="1"/>
  <c r="K307" i="50"/>
  <c r="M307" i="50" s="1"/>
  <c r="N307" i="50" s="1"/>
  <c r="M817" i="5"/>
  <c r="M802" i="5"/>
  <c r="O3383" i="18"/>
  <c r="O6457" i="18" s="1"/>
  <c r="O3396" i="18"/>
  <c r="O6458" i="18" s="1"/>
  <c r="D92" i="47"/>
  <c r="N4414" i="18"/>
  <c r="O4415" i="18" s="1"/>
  <c r="O6535" i="18" s="1"/>
  <c r="L54" i="68"/>
  <c r="X52" i="71" s="1"/>
  <c r="K290" i="50"/>
  <c r="M290" i="50" s="1"/>
  <c r="N290" i="50" s="1"/>
  <c r="N4352" i="18"/>
  <c r="O4353" i="18" s="1"/>
  <c r="O6532" i="18" s="1"/>
  <c r="D89" i="47"/>
  <c r="K287" i="50"/>
  <c r="M287" i="50" s="1"/>
  <c r="N287" i="50" s="1"/>
  <c r="K68" i="50"/>
  <c r="K82" i="50"/>
  <c r="K96" i="50"/>
  <c r="K85" i="50"/>
  <c r="K93" i="50"/>
  <c r="K72" i="50"/>
  <c r="K78" i="50"/>
  <c r="K74" i="50"/>
  <c r="K91" i="50"/>
  <c r="K99" i="50"/>
  <c r="K77" i="50"/>
  <c r="K71" i="50"/>
  <c r="K88" i="50"/>
  <c r="K73" i="50"/>
  <c r="K76" i="50"/>
  <c r="K80" i="50"/>
  <c r="K75" i="50"/>
  <c r="K70" i="50"/>
  <c r="K84" i="50"/>
  <c r="K97" i="50"/>
  <c r="K79" i="50"/>
  <c r="K94" i="50"/>
  <c r="K98" i="50"/>
  <c r="K89" i="50"/>
  <c r="K90" i="50"/>
  <c r="K86" i="50"/>
  <c r="K92" i="50"/>
  <c r="K100" i="50"/>
  <c r="K83" i="50"/>
  <c r="K87" i="50"/>
  <c r="K95" i="50"/>
  <c r="K81" i="50"/>
  <c r="K69" i="50"/>
  <c r="M69" i="50" s="1"/>
  <c r="N69" i="50" s="1"/>
  <c r="N988" i="18"/>
  <c r="F56" i="69"/>
  <c r="F43" i="73"/>
  <c r="L275" i="5"/>
  <c r="L298" i="5" s="1"/>
  <c r="N89" i="18"/>
  <c r="O90" i="18" s="1"/>
  <c r="O6259" i="18" s="1"/>
  <c r="M92" i="5"/>
  <c r="D84" i="48" s="1"/>
  <c r="L531" i="5"/>
  <c r="L556" i="5" s="1"/>
  <c r="D108" i="51"/>
  <c r="I108" i="51" s="1"/>
  <c r="J108" i="51" s="1"/>
  <c r="N4777" i="18"/>
  <c r="O4778" i="18" s="1"/>
  <c r="O6560" i="18" s="1"/>
  <c r="H12" i="68"/>
  <c r="F28" i="69"/>
  <c r="K223" i="5"/>
  <c r="H10" i="72"/>
  <c r="AB9" i="71"/>
  <c r="X34" i="71"/>
  <c r="K630" i="5"/>
  <c r="K655" i="5" s="1"/>
  <c r="K215" i="50"/>
  <c r="G697" i="5"/>
  <c r="D92" i="51"/>
  <c r="I92" i="51" s="1"/>
  <c r="J92" i="51" s="1"/>
  <c r="K53" i="50"/>
  <c r="H43" i="72"/>
  <c r="E225" i="91" s="1"/>
  <c r="L42" i="72"/>
  <c r="U51" i="75" s="1"/>
  <c r="F31" i="69"/>
  <c r="F19" i="73"/>
  <c r="F30" i="69"/>
  <c r="F18" i="73"/>
  <c r="D48" i="52"/>
  <c r="K60" i="50"/>
  <c r="M60" i="50" s="1"/>
  <c r="N60" i="50" s="1"/>
  <c r="K58" i="50"/>
  <c r="H15" i="72"/>
  <c r="I6193" i="18" s="1"/>
  <c r="E60" i="91" s="1"/>
  <c r="N859" i="18"/>
  <c r="D75" i="48"/>
  <c r="D20" i="47"/>
  <c r="K59" i="50"/>
  <c r="K61" i="50"/>
  <c r="K62" i="50"/>
  <c r="D20" i="51"/>
  <c r="I20" i="51" s="1"/>
  <c r="J20" i="51" s="1"/>
  <c r="K184" i="50"/>
  <c r="K180" i="50"/>
  <c r="M180" i="50" s="1"/>
  <c r="N180" i="50" s="1"/>
  <c r="L40" i="68"/>
  <c r="K278" i="50"/>
  <c r="M278" i="50" s="1"/>
  <c r="N278" i="50" s="1"/>
  <c r="F27" i="73"/>
  <c r="D117" i="47"/>
  <c r="F40" i="69"/>
  <c r="N4945" i="18"/>
  <c r="O4946" i="18" s="1"/>
  <c r="O6569" i="18" s="1"/>
  <c r="D117" i="51"/>
  <c r="I117" i="51" s="1"/>
  <c r="J117" i="51" s="1"/>
  <c r="K324" i="50"/>
  <c r="M324" i="50" s="1"/>
  <c r="N324" i="50" s="1"/>
  <c r="L40" i="72"/>
  <c r="L49" i="68"/>
  <c r="R52" i="71" s="1"/>
  <c r="D69" i="47"/>
  <c r="K250" i="50"/>
  <c r="M250" i="50" s="1"/>
  <c r="N250" i="50" s="1"/>
  <c r="D69" i="51"/>
  <c r="I69" i="51" s="1"/>
  <c r="J69" i="51" s="1"/>
  <c r="L28" i="68"/>
  <c r="N3917" i="18"/>
  <c r="O3918" i="18" s="1"/>
  <c r="O6495" i="18" s="1"/>
  <c r="L20" i="72"/>
  <c r="K52" i="50"/>
  <c r="K49" i="50"/>
  <c r="H14" i="72"/>
  <c r="D19" i="51"/>
  <c r="I19" i="51" s="1"/>
  <c r="J19" i="51" s="1"/>
  <c r="N698" i="18"/>
  <c r="O699" i="18" s="1"/>
  <c r="O6293" i="18" s="1"/>
  <c r="K47" i="50"/>
  <c r="M47" i="50" s="1"/>
  <c r="N47" i="50" s="1"/>
  <c r="K51" i="50"/>
  <c r="K50" i="50"/>
  <c r="D108" i="47"/>
  <c r="E49" i="70"/>
  <c r="M857" i="5"/>
  <c r="V11" i="71"/>
  <c r="V13" i="71" s="1"/>
  <c r="X17" i="75"/>
  <c r="K55" i="50"/>
  <c r="K56" i="50"/>
  <c r="D89" i="51"/>
  <c r="I89" i="51" s="1"/>
  <c r="J89" i="51" s="1"/>
  <c r="L27" i="72"/>
  <c r="L36" i="68"/>
  <c r="H49" i="68"/>
  <c r="N3189" i="18"/>
  <c r="O3190" i="18" s="1"/>
  <c r="O6441" i="18" s="1"/>
  <c r="D50" i="47"/>
  <c r="D76" i="48"/>
  <c r="D78" i="48" s="1"/>
  <c r="D79" i="48" s="1"/>
  <c r="D24" i="51"/>
  <c r="I24" i="51" s="1"/>
  <c r="J24" i="51" s="1"/>
  <c r="K104" i="50"/>
  <c r="D49" i="52"/>
  <c r="K108" i="50"/>
  <c r="K280" i="50"/>
  <c r="L41" i="68"/>
  <c r="N4262" i="18"/>
  <c r="O4263" i="18" s="1"/>
  <c r="O6524" i="18" s="1"/>
  <c r="L50" i="68"/>
  <c r="S52" i="71" s="1"/>
  <c r="L41" i="72"/>
  <c r="S51" i="75" s="1"/>
  <c r="K254" i="50"/>
  <c r="K252" i="50"/>
  <c r="K251" i="50"/>
  <c r="M251" i="50" s="1"/>
  <c r="N251" i="50" s="1"/>
  <c r="L29" i="68"/>
  <c r="N3928" i="18"/>
  <c r="D70" i="47"/>
  <c r="D70" i="51"/>
  <c r="I70" i="51" s="1"/>
  <c r="J70" i="51" s="1"/>
  <c r="K253" i="50"/>
  <c r="L21" i="72"/>
  <c r="K242" i="50"/>
  <c r="K241" i="50"/>
  <c r="M241" i="50" s="1"/>
  <c r="N241" i="50" s="1"/>
  <c r="L19" i="72"/>
  <c r="D68" i="51"/>
  <c r="I68" i="51" s="1"/>
  <c r="J68" i="51" s="1"/>
  <c r="L11" i="68"/>
  <c r="K212" i="50"/>
  <c r="M212" i="50" s="1"/>
  <c r="N212" i="50" s="1"/>
  <c r="K213" i="50"/>
  <c r="L9" i="72"/>
  <c r="K265" i="50"/>
  <c r="D75" i="51"/>
  <c r="I75" i="51" s="1"/>
  <c r="J75" i="51" s="1"/>
  <c r="N4052" i="18"/>
  <c r="L35" i="68"/>
  <c r="D75" i="47"/>
  <c r="K266" i="50"/>
  <c r="K263" i="50"/>
  <c r="L26" i="72"/>
  <c r="N3307" i="18"/>
  <c r="D53" i="47"/>
  <c r="D60" i="47"/>
  <c r="L11" i="72"/>
  <c r="H683" i="5"/>
  <c r="E37" i="74"/>
  <c r="K6032" i="18"/>
  <c r="L6033" i="18" s="1"/>
  <c r="L6637" i="18" s="1"/>
  <c r="E6637" i="18" s="1"/>
  <c r="N3422" i="18"/>
  <c r="O3423" i="18" s="1"/>
  <c r="O6460" i="18" s="1"/>
  <c r="K48" i="50"/>
  <c r="H16" i="68"/>
  <c r="D58" i="47"/>
  <c r="K64" i="5"/>
  <c r="H52" i="68"/>
  <c r="L47" i="68"/>
  <c r="Q52" i="71" s="1"/>
  <c r="N4309" i="18"/>
  <c r="O4319" i="18" s="1"/>
  <c r="O6529" i="18" s="1"/>
  <c r="D87" i="47"/>
  <c r="L38" i="72"/>
  <c r="F63" i="69"/>
  <c r="F50" i="73"/>
  <c r="H48" i="68"/>
  <c r="D49" i="51"/>
  <c r="I49" i="51" s="1"/>
  <c r="J49" i="51" s="1"/>
  <c r="L169" i="5"/>
  <c r="L565" i="5"/>
  <c r="L210" i="5" s="1"/>
  <c r="H13" i="72"/>
  <c r="I6192" i="18" s="1"/>
  <c r="E13" i="91" s="1"/>
  <c r="F14" i="91" s="1"/>
  <c r="K41" i="50"/>
  <c r="K35" i="50"/>
  <c r="K32" i="50"/>
  <c r="K40" i="50"/>
  <c r="F52" i="69"/>
  <c r="F39" i="73"/>
  <c r="D94" i="47"/>
  <c r="L47" i="72"/>
  <c r="D94" i="51"/>
  <c r="I94" i="51" s="1"/>
  <c r="J94" i="51" s="1"/>
  <c r="K292" i="50"/>
  <c r="M292" i="50" s="1"/>
  <c r="N292" i="50" s="1"/>
  <c r="L56" i="68"/>
  <c r="Z52" i="71" s="1"/>
  <c r="N4450" i="18"/>
  <c r="O4451" i="18" s="1"/>
  <c r="O6537" i="18" s="1"/>
  <c r="F50" i="69"/>
  <c r="F37" i="73"/>
  <c r="K368" i="5"/>
  <c r="K393" i="5" s="1"/>
  <c r="K29" i="50"/>
  <c r="D18" i="51"/>
  <c r="I18" i="51" s="1"/>
  <c r="J18" i="51" s="1"/>
  <c r="K30" i="50"/>
  <c r="K39" i="50"/>
  <c r="D71" i="48"/>
  <c r="D73" i="48" s="1"/>
  <c r="D74" i="48" s="1"/>
  <c r="L121" i="5"/>
  <c r="K240" i="50"/>
  <c r="D67" i="47"/>
  <c r="N3771" i="18"/>
  <c r="L18" i="72"/>
  <c r="D67" i="51"/>
  <c r="I67" i="51" s="1"/>
  <c r="J67" i="51" s="1"/>
  <c r="L24" i="68"/>
  <c r="K239" i="50"/>
  <c r="Q11" i="71"/>
  <c r="V29" i="75"/>
  <c r="AB20" i="75"/>
  <c r="AB12" i="75"/>
  <c r="M618" i="5"/>
  <c r="V28" i="75"/>
  <c r="AB27" i="75"/>
  <c r="K6020" i="18"/>
  <c r="L6021" i="18" s="1"/>
  <c r="L6636" i="18" s="1"/>
  <c r="E6636" i="18" s="1"/>
  <c r="E22" i="74"/>
  <c r="I4556" i="18"/>
  <c r="G650" i="5"/>
  <c r="F53" i="6"/>
  <c r="F19" i="91"/>
  <c r="E299" i="91"/>
  <c r="O5363" i="18"/>
  <c r="P5363" i="18" s="1"/>
  <c r="P5369" i="18" s="1"/>
  <c r="J1038" i="18"/>
  <c r="J1040" i="18" s="1"/>
  <c r="J1041" i="18" s="1"/>
  <c r="K1042" i="18" s="1"/>
  <c r="L1042" i="18" s="1"/>
  <c r="H718" i="5"/>
  <c r="G37" i="5"/>
  <c r="I4575" i="18"/>
  <c r="H264" i="5"/>
  <c r="G647" i="5"/>
  <c r="H49" i="5"/>
  <c r="H363" i="5"/>
  <c r="G53" i="5"/>
  <c r="H17" i="5"/>
  <c r="H409" i="5"/>
  <c r="H39" i="5"/>
  <c r="G398" i="5"/>
  <c r="H364" i="5"/>
  <c r="G395" i="5"/>
  <c r="H769" i="5"/>
  <c r="H470" i="5"/>
  <c r="G264" i="5"/>
  <c r="H593" i="5"/>
  <c r="G373" i="5"/>
  <c r="H300" i="5"/>
  <c r="H260" i="5"/>
  <c r="G375" i="5"/>
  <c r="G115" i="5"/>
  <c r="H289" i="5"/>
  <c r="H632" i="5"/>
  <c r="G638" i="5"/>
  <c r="H95" i="5"/>
  <c r="G249" i="5"/>
  <c r="G32" i="5"/>
  <c r="G271" i="5"/>
  <c r="H296" i="5"/>
  <c r="H643" i="5"/>
  <c r="G60" i="5"/>
  <c r="G485" i="5"/>
  <c r="G525" i="5"/>
  <c r="G48" i="5"/>
  <c r="G768" i="5"/>
  <c r="H730" i="5"/>
  <c r="H381" i="5"/>
  <c r="G18" i="5"/>
  <c r="I12" i="80"/>
  <c r="I13" i="80" s="1"/>
  <c r="H4512" i="18"/>
  <c r="H582" i="5"/>
  <c r="G733" i="5"/>
  <c r="H414" i="5"/>
  <c r="G727" i="5"/>
  <c r="H452" i="5"/>
  <c r="G442" i="5"/>
  <c r="G569" i="5"/>
  <c r="G52" i="5"/>
  <c r="H385" i="5"/>
  <c r="G581" i="5"/>
  <c r="G378" i="5"/>
  <c r="G342" i="5"/>
  <c r="G444" i="5"/>
  <c r="H583" i="5"/>
  <c r="H417" i="5"/>
  <c r="G142" i="5"/>
  <c r="H94" i="5"/>
  <c r="G41" i="5"/>
  <c r="G766" i="5"/>
  <c r="G288" i="5"/>
  <c r="G594" i="5"/>
  <c r="H139" i="5"/>
  <c r="G653" i="5"/>
  <c r="G69" i="5"/>
  <c r="G45" i="5"/>
  <c r="G370" i="5"/>
  <c r="G455" i="5"/>
  <c r="G775" i="5"/>
  <c r="G160" i="5"/>
  <c r="H150" i="5"/>
  <c r="G81" i="5"/>
  <c r="G635" i="5"/>
  <c r="H720" i="5"/>
  <c r="G304" i="5"/>
  <c r="H514" i="5"/>
  <c r="G777" i="5"/>
  <c r="H295" i="5"/>
  <c r="H725" i="5"/>
  <c r="H383" i="5"/>
  <c r="G278" i="5"/>
  <c r="H276" i="5"/>
  <c r="G532" i="5"/>
  <c r="G583" i="5"/>
  <c r="G771" i="5"/>
  <c r="G437" i="5"/>
  <c r="H143" i="5"/>
  <c r="H616" i="5"/>
  <c r="G423" i="5"/>
  <c r="H190" i="5"/>
  <c r="G543" i="5"/>
  <c r="G554" i="5"/>
  <c r="G774" i="5"/>
  <c r="H580" i="5"/>
  <c r="H548" i="5"/>
  <c r="H489" i="5"/>
  <c r="G478" i="5"/>
  <c r="G637" i="5"/>
  <c r="G236" i="5"/>
  <c r="H18" i="5"/>
  <c r="G544" i="5"/>
  <c r="H243" i="5"/>
  <c r="G592" i="5"/>
  <c r="G627" i="5"/>
  <c r="H160" i="5"/>
  <c r="G505" i="5"/>
  <c r="G335" i="5"/>
  <c r="G724" i="5"/>
  <c r="G273" i="5"/>
  <c r="G526" i="5"/>
  <c r="G15" i="5"/>
  <c r="G317" i="5"/>
  <c r="G529" i="5"/>
  <c r="G406" i="5"/>
  <c r="H28" i="5"/>
  <c r="H369" i="5"/>
  <c r="H588" i="5"/>
  <c r="H637" i="5"/>
  <c r="H319" i="5"/>
  <c r="H576" i="5"/>
  <c r="H258" i="5"/>
  <c r="H154" i="5"/>
  <c r="H561" i="5"/>
  <c r="G765" i="5"/>
  <c r="G14" i="5"/>
  <c r="H131" i="5"/>
  <c r="G528" i="5"/>
  <c r="G541" i="5"/>
  <c r="G641" i="5"/>
  <c r="H114" i="5"/>
  <c r="G402" i="5"/>
  <c r="H653" i="5"/>
  <c r="H42" i="5"/>
  <c r="H602" i="5"/>
  <c r="H721" i="5"/>
  <c r="H20" i="5"/>
  <c r="H21" i="5"/>
  <c r="H560" i="5"/>
  <c r="G776" i="5"/>
  <c r="H587" i="5"/>
  <c r="G276" i="5"/>
  <c r="G50" i="5"/>
  <c r="G26" i="5"/>
  <c r="G443" i="5"/>
  <c r="G70" i="5"/>
  <c r="G82" i="5"/>
  <c r="H654" i="5"/>
  <c r="H407" i="5"/>
  <c r="G346" i="5"/>
  <c r="H418" i="5"/>
  <c r="G302" i="5"/>
  <c r="H508" i="5"/>
  <c r="H778" i="5"/>
  <c r="G643" i="5"/>
  <c r="H451" i="5"/>
  <c r="H483" i="5"/>
  <c r="G190" i="5"/>
  <c r="H613" i="5"/>
  <c r="H112" i="5"/>
  <c r="H612" i="5"/>
  <c r="H236" i="5"/>
  <c r="G238" i="5"/>
  <c r="H184" i="5"/>
  <c r="H303" i="5"/>
  <c r="H392" i="5"/>
  <c r="G103" i="5"/>
  <c r="H429" i="5"/>
  <c r="H488" i="5"/>
  <c r="H386" i="5"/>
  <c r="H362" i="5"/>
  <c r="G383" i="5"/>
  <c r="H186" i="5"/>
  <c r="G301" i="5"/>
  <c r="G307" i="5"/>
  <c r="H101" i="5"/>
  <c r="G546" i="5"/>
  <c r="H442" i="5"/>
  <c r="G141" i="5"/>
  <c r="H304" i="5"/>
  <c r="G604" i="5"/>
  <c r="H351" i="5"/>
  <c r="H159" i="5"/>
  <c r="H577" i="5"/>
  <c r="H574" i="5"/>
  <c r="H96" i="5"/>
  <c r="G380" i="5"/>
  <c r="H380" i="5"/>
  <c r="H116" i="5"/>
  <c r="H175" i="5"/>
  <c r="H592" i="5"/>
  <c r="G493" i="5"/>
  <c r="H272" i="5"/>
  <c r="H466" i="5"/>
  <c r="G484" i="5"/>
  <c r="G152" i="5"/>
  <c r="H174" i="5"/>
  <c r="H314" i="5"/>
  <c r="H554" i="5"/>
  <c r="G358" i="5"/>
  <c r="G73" i="5"/>
  <c r="H320" i="5"/>
  <c r="G726" i="5"/>
  <c r="H533" i="5"/>
  <c r="G570" i="5"/>
  <c r="G175" i="5"/>
  <c r="I175" i="5" s="1"/>
  <c r="E37" i="73" s="1"/>
  <c r="H546" i="5"/>
  <c r="G42" i="5"/>
  <c r="G516" i="5"/>
  <c r="H650" i="5"/>
  <c r="G67" i="5"/>
  <c r="G150" i="5"/>
  <c r="I150" i="5" s="1"/>
  <c r="E30" i="69" s="1"/>
  <c r="H183" i="5"/>
  <c r="H338" i="5"/>
  <c r="G642" i="5"/>
  <c r="G521" i="5"/>
  <c r="H517" i="5"/>
  <c r="H30" i="5"/>
  <c r="H550" i="5"/>
  <c r="G575" i="5"/>
  <c r="H631" i="5"/>
  <c r="G188" i="5"/>
  <c r="H510" i="5"/>
  <c r="H541" i="5"/>
  <c r="H75" i="5"/>
  <c r="G290" i="5"/>
  <c r="G725" i="5"/>
  <c r="G91" i="6"/>
  <c r="AE91" i="6"/>
  <c r="H240" i="5"/>
  <c r="E55" i="6"/>
  <c r="F54" i="6"/>
  <c r="E28" i="6"/>
  <c r="F27" i="6"/>
  <c r="H472" i="5"/>
  <c r="G576" i="5"/>
  <c r="G283" i="5"/>
  <c r="H107" i="5"/>
  <c r="G320" i="5"/>
  <c r="G350" i="5"/>
  <c r="H180" i="5"/>
  <c r="H645" i="5"/>
  <c r="H13" i="5"/>
  <c r="H102" i="5"/>
  <c r="H281" i="5"/>
  <c r="G255" i="5"/>
  <c r="H83" i="5"/>
  <c r="G547" i="5"/>
  <c r="G262" i="5"/>
  <c r="G413" i="5"/>
  <c r="H105" i="5"/>
  <c r="H37" i="5"/>
  <c r="G183" i="5"/>
  <c r="I183" i="5" s="1"/>
  <c r="H19" i="5"/>
  <c r="G584" i="5"/>
  <c r="H85" i="5"/>
  <c r="H495" i="5"/>
  <c r="G420" i="5"/>
  <c r="H59" i="5"/>
  <c r="H640" i="5"/>
  <c r="G247" i="5"/>
  <c r="G16" i="5"/>
  <c r="G354" i="5"/>
  <c r="G322" i="5"/>
  <c r="G59" i="5"/>
  <c r="G536" i="5"/>
  <c r="G66" i="5"/>
  <c r="E23" i="6"/>
  <c r="F22" i="6"/>
  <c r="G187" i="5"/>
  <c r="H32" i="5"/>
  <c r="H87" i="5"/>
  <c r="G156" i="5"/>
  <c r="G778" i="5"/>
  <c r="I778" i="5" s="1"/>
  <c r="G487" i="5"/>
  <c r="H146" i="5"/>
  <c r="G632" i="5"/>
  <c r="G476" i="5"/>
  <c r="H403" i="5"/>
  <c r="G258" i="5"/>
  <c r="G365" i="5"/>
  <c r="G145" i="5"/>
  <c r="H147" i="5"/>
  <c r="H261" i="5"/>
  <c r="G114" i="5"/>
  <c r="H54" i="5"/>
  <c r="H551" i="5"/>
  <c r="H767" i="5"/>
  <c r="H244" i="5"/>
  <c r="G495" i="5"/>
  <c r="G508" i="5"/>
  <c r="G648" i="5"/>
  <c r="H285" i="5"/>
  <c r="G391" i="5"/>
  <c r="H68" i="5"/>
  <c r="H34" i="5"/>
  <c r="G506" i="5"/>
  <c r="H250" i="5"/>
  <c r="H555" i="5"/>
  <c r="G179" i="5"/>
  <c r="H521" i="5"/>
  <c r="G580" i="5"/>
  <c r="G357" i="5"/>
  <c r="G407" i="5"/>
  <c r="G303" i="5"/>
  <c r="I303" i="5" s="1"/>
  <c r="G614" i="5"/>
  <c r="G454" i="5"/>
  <c r="G537" i="5"/>
  <c r="H248" i="5"/>
  <c r="H72" i="5"/>
  <c r="H542" i="5"/>
  <c r="H772" i="5"/>
  <c r="H456" i="5"/>
  <c r="G185" i="5"/>
  <c r="H603" i="5"/>
  <c r="G17" i="5"/>
  <c r="G480" i="5"/>
  <c r="H359" i="5"/>
  <c r="G369" i="5"/>
  <c r="G321" i="5"/>
  <c r="H51" i="5"/>
  <c r="G131" i="5"/>
  <c r="G136" i="5"/>
  <c r="G462" i="5"/>
  <c r="G533" i="5"/>
  <c r="H334" i="5"/>
  <c r="G359" i="5"/>
  <c r="H373" i="5"/>
  <c r="G46" i="5"/>
  <c r="H728" i="5"/>
  <c r="G54" i="5"/>
  <c r="H33" i="5"/>
  <c r="H115" i="5"/>
  <c r="G257" i="5"/>
  <c r="G139" i="5"/>
  <c r="H81" i="5"/>
  <c r="H255" i="5"/>
  <c r="G265" i="5"/>
  <c r="H605" i="5"/>
  <c r="H620" i="5"/>
  <c r="G626" i="5"/>
  <c r="G366" i="5"/>
  <c r="H768" i="5"/>
  <c r="H432" i="5"/>
  <c r="G140" i="5"/>
  <c r="H100" i="5"/>
  <c r="H636" i="5"/>
  <c r="H140" i="5"/>
  <c r="G33" i="5"/>
  <c r="G77" i="5"/>
  <c r="H461" i="5"/>
  <c r="G96" i="5"/>
  <c r="G513" i="5"/>
  <c r="G116" i="5"/>
  <c r="G309" i="5"/>
  <c r="H617" i="5"/>
  <c r="H98" i="5"/>
  <c r="G456" i="5"/>
  <c r="H354" i="5"/>
  <c r="H522" i="5"/>
  <c r="H648" i="5"/>
  <c r="H41" i="5"/>
  <c r="H608" i="5"/>
  <c r="H119" i="5"/>
  <c r="G297" i="5"/>
  <c r="G120" i="5"/>
  <c r="H177" i="5"/>
  <c r="G572" i="5"/>
  <c r="H56" i="5"/>
  <c r="H412" i="5"/>
  <c r="G97" i="5"/>
  <c r="H309" i="5"/>
  <c r="G74" i="5"/>
  <c r="G730" i="5"/>
  <c r="H152" i="5"/>
  <c r="H780" i="5"/>
  <c r="H340" i="5"/>
  <c r="H376" i="5"/>
  <c r="H591" i="5"/>
  <c r="G144" i="5"/>
  <c r="H182" i="5"/>
  <c r="G619" i="5"/>
  <c r="G270" i="5"/>
  <c r="H773" i="5"/>
  <c r="G527" i="5"/>
  <c r="H638" i="5"/>
  <c r="H48" i="5"/>
  <c r="G542" i="5"/>
  <c r="H335" i="5"/>
  <c r="G148" i="5"/>
  <c r="G609" i="5"/>
  <c r="G418" i="5"/>
  <c r="G253" i="5"/>
  <c r="H543" i="5"/>
  <c r="G254" i="5"/>
  <c r="H460" i="5"/>
  <c r="G95" i="5"/>
  <c r="H478" i="5"/>
  <c r="G363" i="5"/>
  <c r="G631" i="5"/>
  <c r="H45" i="5"/>
  <c r="G340" i="5"/>
  <c r="H111" i="5"/>
  <c r="H646" i="5"/>
  <c r="H482" i="5"/>
  <c r="G587" i="5"/>
  <c r="H374" i="5"/>
  <c r="H430" i="5"/>
  <c r="H487" i="5"/>
  <c r="H486" i="5" s="1"/>
  <c r="G286" i="5"/>
  <c r="G184" i="5"/>
  <c r="H421" i="5"/>
  <c r="G331" i="5"/>
  <c r="G57" i="5"/>
  <c r="H290" i="5"/>
  <c r="H271" i="5"/>
  <c r="H484" i="5"/>
  <c r="G548" i="5"/>
  <c r="H492" i="5"/>
  <c r="G612" i="5"/>
  <c r="H15" i="5"/>
  <c r="G553" i="5"/>
  <c r="G351" i="5"/>
  <c r="H310" i="5"/>
  <c r="G250" i="5"/>
  <c r="G463" i="5"/>
  <c r="H283" i="5"/>
  <c r="H509" i="5"/>
  <c r="G518" i="5"/>
  <c r="H342" i="5"/>
  <c r="H348" i="5"/>
  <c r="G31" i="5"/>
  <c r="H729" i="5"/>
  <c r="G40" i="5"/>
  <c r="H732" i="5"/>
  <c r="H370" i="5"/>
  <c r="G189" i="5"/>
  <c r="H22" i="5"/>
  <c r="G374" i="5"/>
  <c r="I374" i="5" s="1"/>
  <c r="H18" i="75" s="1"/>
  <c r="H731" i="5"/>
  <c r="G562" i="5"/>
  <c r="G240" i="5"/>
  <c r="G128" i="5"/>
  <c r="G102" i="5"/>
  <c r="I102" i="5" s="1"/>
  <c r="F78" i="47" s="1"/>
  <c r="H406" i="5"/>
  <c r="G137" i="5"/>
  <c r="G602" i="5"/>
  <c r="G352" i="5"/>
  <c r="H91" i="5"/>
  <c r="G780" i="5"/>
  <c r="H473" i="5"/>
  <c r="G411" i="5"/>
  <c r="H607" i="5"/>
  <c r="H31" i="5"/>
  <c r="H516" i="5"/>
  <c r="G315" i="5"/>
  <c r="G419" i="5"/>
  <c r="H480" i="5"/>
  <c r="G75" i="5"/>
  <c r="G654" i="5"/>
  <c r="I654" i="5" s="1"/>
  <c r="G182" i="5"/>
  <c r="I182" i="5" s="1"/>
  <c r="H144" i="5"/>
  <c r="H449" i="5"/>
  <c r="G332" i="5"/>
  <c r="G625" i="5"/>
  <c r="H189" i="5"/>
  <c r="G645" i="5"/>
  <c r="G607" i="5"/>
  <c r="H532" i="5"/>
  <c r="G461" i="5"/>
  <c r="G515" i="5"/>
  <c r="G517" i="5"/>
  <c r="G51" i="5"/>
  <c r="I51" i="5" s="1"/>
  <c r="F43" i="47" s="1"/>
  <c r="I43" i="47" s="1"/>
  <c r="J43" i="47" s="1"/>
  <c r="G324" i="5"/>
  <c r="H302" i="5"/>
  <c r="H187" i="5"/>
  <c r="G416" i="5"/>
  <c r="G397" i="5"/>
  <c r="H770" i="5"/>
  <c r="G362" i="5"/>
  <c r="H391" i="5"/>
  <c r="G68" i="5"/>
  <c r="H777" i="5"/>
  <c r="H384" i="5"/>
  <c r="G510" i="5"/>
  <c r="G403" i="5"/>
  <c r="H733" i="5"/>
  <c r="G85" i="5"/>
  <c r="I85" i="5" s="1"/>
  <c r="K3802" i="18" s="1"/>
  <c r="L3803" i="18" s="1"/>
  <c r="L6486" i="18" s="1"/>
  <c r="E6486" i="18" s="1"/>
  <c r="G558" i="5"/>
  <c r="H765" i="5"/>
  <c r="G291" i="5"/>
  <c r="G451" i="5"/>
  <c r="I451" i="5" s="1"/>
  <c r="J30" i="75" s="1"/>
  <c r="G20" i="5"/>
  <c r="I20" i="5" s="1"/>
  <c r="G48" i="50" s="1"/>
  <c r="H569" i="5"/>
  <c r="G616" i="5"/>
  <c r="G459" i="5"/>
  <c r="G599" i="5"/>
  <c r="H137" i="5"/>
  <c r="H428" i="5"/>
  <c r="H357" i="5"/>
  <c r="H493" i="5"/>
  <c r="G399" i="5"/>
  <c r="G23" i="5"/>
  <c r="H104" i="5"/>
  <c r="H61" i="5"/>
  <c r="G180" i="5"/>
  <c r="G173" i="5"/>
  <c r="G123" i="5"/>
  <c r="H529" i="5"/>
  <c r="G538" i="5"/>
  <c r="H642" i="5"/>
  <c r="H511" i="5"/>
  <c r="G477" i="5"/>
  <c r="G353" i="5"/>
  <c r="G448" i="5"/>
  <c r="H149" i="5"/>
  <c r="G499" i="5"/>
  <c r="G409" i="5"/>
  <c r="G620" i="5"/>
  <c r="H16" i="5"/>
  <c r="G99" i="5"/>
  <c r="H420" i="5"/>
  <c r="G646" i="5"/>
  <c r="H378" i="5"/>
  <c r="H444" i="5"/>
  <c r="H727" i="5"/>
  <c r="G27" i="5"/>
  <c r="H439" i="5"/>
  <c r="H129" i="5"/>
  <c r="G539" i="5"/>
  <c r="H397" i="5"/>
  <c r="H262" i="5"/>
  <c r="H288" i="5"/>
  <c r="H726" i="5"/>
  <c r="G549" i="5"/>
  <c r="G327" i="5"/>
  <c r="H71" i="5"/>
  <c r="H181" i="5"/>
  <c r="G62" i="5"/>
  <c r="G450" i="5"/>
  <c r="G392" i="5"/>
  <c r="G571" i="5"/>
  <c r="H12" i="5"/>
  <c r="H463" i="5"/>
  <c r="H135" i="5"/>
  <c r="G296" i="5"/>
  <c r="H156" i="5"/>
  <c r="H549" i="5"/>
  <c r="G483" i="5"/>
  <c r="I483" i="5" s="1"/>
  <c r="K29" i="75" s="1"/>
  <c r="G347" i="5"/>
  <c r="G414" i="5"/>
  <c r="H257" i="5"/>
  <c r="H425" i="5"/>
  <c r="G636" i="5"/>
  <c r="H176" i="5"/>
  <c r="G154" i="5"/>
  <c r="G586" i="5"/>
  <c r="G355" i="5"/>
  <c r="H496" i="5"/>
  <c r="H438" i="5"/>
  <c r="H97" i="5"/>
  <c r="G603" i="5"/>
  <c r="H528" i="5"/>
  <c r="H134" i="5"/>
  <c r="G769" i="5"/>
  <c r="H515" i="5"/>
  <c r="G520" i="5"/>
  <c r="G266" i="5"/>
  <c r="H239" i="5"/>
  <c r="G417" i="5"/>
  <c r="G723" i="5"/>
  <c r="G39" i="5"/>
  <c r="H286" i="5"/>
  <c r="H647" i="5"/>
  <c r="G272" i="5"/>
  <c r="H113" i="5"/>
  <c r="G153" i="5"/>
  <c r="G112" i="5"/>
  <c r="G319" i="5"/>
  <c r="G44" i="5"/>
  <c r="H413" i="5"/>
  <c r="H280" i="5"/>
  <c r="H103" i="5"/>
  <c r="G22" i="5"/>
  <c r="G328" i="5"/>
  <c r="H402" i="5"/>
  <c r="G504" i="5"/>
  <c r="H536" i="5"/>
  <c r="G174" i="5"/>
  <c r="I174" i="5" s="1"/>
  <c r="H89" i="5"/>
  <c r="H23" i="5"/>
  <c r="I23" i="5" s="1"/>
  <c r="G19" i="68" s="1"/>
  <c r="G615" i="5"/>
  <c r="H155" i="5"/>
  <c r="H437" i="5"/>
  <c r="H130" i="5"/>
  <c r="G237" i="5"/>
  <c r="G260" i="5"/>
  <c r="H481" i="5"/>
  <c r="G390" i="5"/>
  <c r="G522" i="5"/>
  <c r="I522" i="5" s="1"/>
  <c r="L36" i="71" s="1"/>
  <c r="H316" i="5"/>
  <c r="H722" i="5"/>
  <c r="H411" i="5"/>
  <c r="H390" i="5"/>
  <c r="H355" i="5"/>
  <c r="G408" i="5"/>
  <c r="H311" i="5"/>
  <c r="G779" i="5"/>
  <c r="G424" i="5"/>
  <c r="G100" i="5"/>
  <c r="I100" i="5" s="1"/>
  <c r="K4108" i="18" s="1"/>
  <c r="G345" i="5"/>
  <c r="H537" i="5"/>
  <c r="H273" i="5"/>
  <c r="G279" i="5"/>
  <c r="G181" i="5"/>
  <c r="G323" i="5"/>
  <c r="G561" i="5"/>
  <c r="G261" i="5"/>
  <c r="H40" i="5"/>
  <c r="G146" i="5"/>
  <c r="I146" i="5" s="1"/>
  <c r="E14" i="73" s="1"/>
  <c r="G588" i="5"/>
  <c r="H775" i="5"/>
  <c r="H652" i="5"/>
  <c r="G86" i="5"/>
  <c r="H579" i="5"/>
  <c r="G259" i="5"/>
  <c r="H609" i="5"/>
  <c r="G555" i="5"/>
  <c r="G134" i="5"/>
  <c r="H106" i="5"/>
  <c r="H459" i="5"/>
  <c r="G574" i="5"/>
  <c r="H398" i="5"/>
  <c r="G494" i="5"/>
  <c r="H332" i="5"/>
  <c r="H326" i="5"/>
  <c r="G143" i="5"/>
  <c r="G21" i="5"/>
  <c r="I21" i="5" s="1"/>
  <c r="G17" i="68" s="1"/>
  <c r="G118" i="5"/>
  <c r="G430" i="5"/>
  <c r="I430" i="5" s="1"/>
  <c r="J11" i="75" s="1"/>
  <c r="G12" i="5"/>
  <c r="H347" i="5"/>
  <c r="H79" i="5"/>
  <c r="G600" i="5"/>
  <c r="G38" i="5"/>
  <c r="G281" i="5"/>
  <c r="H505" i="5"/>
  <c r="G509" i="5"/>
  <c r="I509" i="5" s="1"/>
  <c r="L23" i="71" s="1"/>
  <c r="H395" i="5"/>
  <c r="H346" i="5"/>
  <c r="G466" i="5"/>
  <c r="H450" i="5"/>
  <c r="H485" i="5"/>
  <c r="H581" i="5"/>
  <c r="H621" i="5"/>
  <c r="H520" i="5"/>
  <c r="H279" i="5"/>
  <c r="H118" i="5"/>
  <c r="G348" i="5"/>
  <c r="I348" i="5" s="1"/>
  <c r="G24" i="75" s="1"/>
  <c r="H455" i="5"/>
  <c r="G617" i="5"/>
  <c r="G135" i="5"/>
  <c r="G728" i="5"/>
  <c r="H476" i="5"/>
  <c r="H66" i="5"/>
  <c r="G721" i="5"/>
  <c r="G624" i="5"/>
  <c r="G28" i="5"/>
  <c r="I28" i="5" s="1"/>
  <c r="G68" i="50" s="1"/>
  <c r="G138" i="5"/>
  <c r="G732" i="5"/>
  <c r="H259" i="5"/>
  <c r="H627" i="5"/>
  <c r="H624" i="5"/>
  <c r="H375" i="5"/>
  <c r="G71" i="5"/>
  <c r="H29" i="5"/>
  <c r="H55" i="5"/>
  <c r="H423" i="5"/>
  <c r="G503" i="5"/>
  <c r="G475" i="5"/>
  <c r="G90" i="5"/>
  <c r="G722" i="5"/>
  <c r="I722" i="5" s="1"/>
  <c r="H312" i="5"/>
  <c r="G119" i="5"/>
  <c r="I119" i="5" s="1"/>
  <c r="K55" i="68" s="1"/>
  <c r="L52" i="71" s="1"/>
  <c r="H58" i="5"/>
  <c r="H352" i="5"/>
  <c r="H408" i="5"/>
  <c r="G285" i="5"/>
  <c r="H291" i="5"/>
  <c r="H57" i="5"/>
  <c r="G438" i="5"/>
  <c r="G412" i="5"/>
  <c r="G388" i="5"/>
  <c r="G11" i="5"/>
  <c r="H128" i="5"/>
  <c r="H84" i="5"/>
  <c r="H324" i="5"/>
  <c r="H254" i="5"/>
  <c r="H253" i="5"/>
  <c r="G440" i="5"/>
  <c r="G432" i="5"/>
  <c r="H341" i="5"/>
  <c r="H719" i="5"/>
  <c r="H641" i="5"/>
  <c r="H88" i="5"/>
  <c r="G243" i="5"/>
  <c r="G80" i="5"/>
  <c r="G652" i="5"/>
  <c r="H62" i="5"/>
  <c r="G24" i="5"/>
  <c r="H387" i="5"/>
  <c r="H527" i="5"/>
  <c r="H610" i="5"/>
  <c r="G87" i="5"/>
  <c r="G130" i="5"/>
  <c r="I130" i="5" s="1"/>
  <c r="E10" i="69" s="1"/>
  <c r="H301" i="5"/>
  <c r="G640" i="5"/>
  <c r="H358" i="5"/>
  <c r="G396" i="5"/>
  <c r="G113" i="5"/>
  <c r="I113" i="5" s="1"/>
  <c r="K40" i="72" s="1"/>
  <c r="E51" i="75" s="1"/>
  <c r="G482" i="5"/>
  <c r="I482" i="5" s="1"/>
  <c r="K29" i="71" s="1"/>
  <c r="G425" i="5"/>
  <c r="H353" i="5"/>
  <c r="G610" i="5"/>
  <c r="G106" i="5"/>
  <c r="H333" i="5"/>
  <c r="H467" i="5"/>
  <c r="G467" i="5"/>
  <c r="H776" i="5"/>
  <c r="G579" i="5"/>
  <c r="H188" i="5"/>
  <c r="G13" i="5"/>
  <c r="G334" i="5"/>
  <c r="H598" i="5"/>
  <c r="H619" i="5"/>
  <c r="H52" i="5"/>
  <c r="H138" i="5"/>
  <c r="G84" i="5"/>
  <c r="G149" i="5"/>
  <c r="G333" i="5"/>
  <c r="G582" i="5"/>
  <c r="G343" i="5"/>
  <c r="G326" i="5"/>
  <c r="G129" i="5"/>
  <c r="H157" i="5"/>
  <c r="H447" i="5"/>
  <c r="G595" i="5"/>
  <c r="H345" i="5"/>
  <c r="H443" i="5"/>
  <c r="H247" i="5"/>
  <c r="G159" i="5"/>
  <c r="I159" i="5" s="1"/>
  <c r="G168" i="5"/>
  <c r="G289" i="5"/>
  <c r="G473" i="5"/>
  <c r="H547" i="5"/>
  <c r="H46" i="5"/>
  <c r="G386" i="5"/>
  <c r="H252" i="5"/>
  <c r="H396" i="5"/>
  <c r="H445" i="5"/>
  <c r="H399" i="5"/>
  <c r="G379" i="5"/>
  <c r="H559" i="5"/>
  <c r="H477" i="5"/>
  <c r="H553" i="5"/>
  <c r="G310" i="5"/>
  <c r="G186" i="5"/>
  <c r="G781" i="5"/>
  <c r="H331" i="5"/>
  <c r="H151" i="5"/>
  <c r="G105" i="5"/>
  <c r="I105" i="5" s="1"/>
  <c r="G280" i="50" s="1"/>
  <c r="H307" i="5"/>
  <c r="G488" i="5"/>
  <c r="I488" i="5" s="1"/>
  <c r="H343" i="5"/>
  <c r="G472" i="5"/>
  <c r="I472" i="5" s="1"/>
  <c r="K19" i="75" s="1"/>
  <c r="H781" i="5"/>
  <c r="G772" i="5"/>
  <c r="G104" i="5"/>
  <c r="H266" i="5"/>
  <c r="H419" i="5"/>
  <c r="H615" i="5"/>
  <c r="H38" i="5"/>
  <c r="H503" i="5"/>
  <c r="G83" i="5"/>
  <c r="H504" i="5"/>
  <c r="H47" i="5"/>
  <c r="H327" i="5"/>
  <c r="H133" i="5"/>
  <c r="H120" i="5"/>
  <c r="H26" i="5"/>
  <c r="G489" i="5"/>
  <c r="G43" i="5"/>
  <c r="H317" i="5"/>
  <c r="H297" i="5"/>
  <c r="H179" i="5"/>
  <c r="G341" i="5"/>
  <c r="G151" i="5"/>
  <c r="G500" i="5"/>
  <c r="G492" i="5"/>
  <c r="G559" i="5"/>
  <c r="H99" i="5"/>
  <c r="H388" i="5"/>
  <c r="G514" i="5"/>
  <c r="G770" i="5"/>
  <c r="G107" i="5"/>
  <c r="H315" i="5"/>
  <c r="G481" i="5"/>
  <c r="G649" i="5"/>
  <c r="H570" i="5"/>
  <c r="G133" i="5"/>
  <c r="G252" i="5"/>
  <c r="G89" i="5"/>
  <c r="H60" i="5"/>
  <c r="H293" i="5"/>
  <c r="G280" i="5"/>
  <c r="H323" i="5"/>
  <c r="H249" i="5"/>
  <c r="G613" i="5"/>
  <c r="H471" i="5"/>
  <c r="H513" i="5"/>
  <c r="G316" i="5"/>
  <c r="I316" i="5" s="1"/>
  <c r="F24" i="71" s="1"/>
  <c r="H575" i="5"/>
  <c r="H86" i="5"/>
  <c r="H562" i="5"/>
  <c r="H191" i="5"/>
  <c r="H431" i="5"/>
  <c r="H454" i="5"/>
  <c r="G25" i="5"/>
  <c r="H600" i="5"/>
  <c r="G387" i="5"/>
  <c r="H185" i="5"/>
  <c r="G191" i="5"/>
  <c r="H173" i="5"/>
  <c r="H526" i="5"/>
  <c r="G94" i="5"/>
  <c r="G731" i="5"/>
  <c r="H774" i="5"/>
  <c r="H67" i="5"/>
  <c r="G177" i="5"/>
  <c r="I177" i="5" s="1"/>
  <c r="E52" i="69" s="1"/>
  <c r="H80" i="5"/>
  <c r="G176" i="5"/>
  <c r="G293" i="5"/>
  <c r="G460" i="5"/>
  <c r="H292" i="5"/>
  <c r="H322" i="5"/>
  <c r="H265" i="5"/>
  <c r="G239" i="5"/>
  <c r="G111" i="5"/>
  <c r="G773" i="5"/>
  <c r="G608" i="5"/>
  <c r="H518" i="5"/>
  <c r="H723" i="5"/>
  <c r="G598" i="5"/>
  <c r="G621" i="5"/>
  <c r="H625" i="5"/>
  <c r="G364" i="5"/>
  <c r="H499" i="5"/>
  <c r="G729" i="5"/>
  <c r="G56" i="5"/>
  <c r="G29" i="5"/>
  <c r="I29" i="5" s="1"/>
  <c r="G24" i="68" s="1"/>
  <c r="H448" i="5"/>
  <c r="G439" i="5"/>
  <c r="G269" i="5"/>
  <c r="G593" i="5"/>
  <c r="G605" i="5"/>
  <c r="H270" i="5"/>
  <c r="H628" i="5"/>
  <c r="G55" i="5"/>
  <c r="H440" i="5"/>
  <c r="H153" i="5"/>
  <c r="G718" i="5"/>
  <c r="H724" i="5"/>
  <c r="H78" i="5"/>
  <c r="G91" i="5"/>
  <c r="G248" i="5"/>
  <c r="G157" i="5"/>
  <c r="H14" i="5"/>
  <c r="H76" i="5"/>
  <c r="H284" i="5"/>
  <c r="H500" i="5"/>
  <c r="H44" i="5"/>
  <c r="H350" i="5"/>
  <c r="H238" i="5"/>
  <c r="H269" i="5"/>
  <c r="H141" i="5"/>
  <c r="H90" i="5"/>
  <c r="G76" i="5"/>
  <c r="H766" i="5"/>
  <c r="G34" i="5"/>
  <c r="G79" i="5"/>
  <c r="H416" i="5"/>
  <c r="H584" i="5"/>
  <c r="H328" i="5"/>
  <c r="H27" i="5"/>
  <c r="H424" i="5"/>
  <c r="G428" i="5"/>
  <c r="H77" i="5"/>
  <c r="H24" i="5"/>
  <c r="H136" i="5"/>
  <c r="G551" i="5"/>
  <c r="G155" i="5"/>
  <c r="I155" i="5" s="1"/>
  <c r="H779" i="5"/>
  <c r="H558" i="5"/>
  <c r="G720" i="5"/>
  <c r="G577" i="5"/>
  <c r="E12" i="80"/>
  <c r="E13" i="80" s="1"/>
  <c r="H12" i="80"/>
  <c r="H13" i="80" s="1"/>
  <c r="F12" i="80"/>
  <c r="F13" i="80" s="1"/>
  <c r="G19" i="5"/>
  <c r="H594" i="5"/>
  <c r="G384" i="5"/>
  <c r="G385" i="5"/>
  <c r="G767" i="5"/>
  <c r="G147" i="5"/>
  <c r="G447" i="5"/>
  <c r="G560" i="5"/>
  <c r="H539" i="5"/>
  <c r="G58" i="5"/>
  <c r="H635" i="5"/>
  <c r="H379" i="5"/>
  <c r="H73" i="5"/>
  <c r="H168" i="5"/>
  <c r="G550" i="5"/>
  <c r="I550" i="5" s="1"/>
  <c r="G719" i="5"/>
  <c r="H586" i="5"/>
  <c r="H585" i="5" s="1"/>
  <c r="G311" i="5"/>
  <c r="G338" i="5"/>
  <c r="G381" i="5"/>
  <c r="G300" i="5"/>
  <c r="H599" i="5"/>
  <c r="G452" i="5"/>
  <c r="I452" i="5" s="1"/>
  <c r="H649" i="5"/>
  <c r="H123" i="5"/>
  <c r="H626" i="5"/>
  <c r="H43" i="5"/>
  <c r="H604" i="5"/>
  <c r="H70" i="5"/>
  <c r="G78" i="5"/>
  <c r="H544" i="5"/>
  <c r="G449" i="5"/>
  <c r="H506" i="5"/>
  <c r="G421" i="5"/>
  <c r="G30" i="5"/>
  <c r="G470" i="5"/>
  <c r="G292" i="5"/>
  <c r="G431" i="5"/>
  <c r="I431" i="5" s="1"/>
  <c r="H475" i="5"/>
  <c r="H595" i="5"/>
  <c r="G295" i="5"/>
  <c r="H525" i="5"/>
  <c r="H571" i="5"/>
  <c r="H142" i="5"/>
  <c r="H366" i="5"/>
  <c r="H321" i="5"/>
  <c r="H145" i="5"/>
  <c r="G98" i="5"/>
  <c r="H11" i="5"/>
  <c r="G471" i="5"/>
  <c r="H69" i="5"/>
  <c r="H53" i="5"/>
  <c r="G88" i="5"/>
  <c r="I88" i="5" s="1"/>
  <c r="K27" i="68" s="1"/>
  <c r="H74" i="5"/>
  <c r="H771" i="5"/>
  <c r="H365" i="5"/>
  <c r="G244" i="5"/>
  <c r="G284" i="5"/>
  <c r="G314" i="5"/>
  <c r="H614" i="5"/>
  <c r="H572" i="5"/>
  <c r="G72" i="5"/>
  <c r="I72" i="5" s="1"/>
  <c r="G496" i="5"/>
  <c r="I496" i="5" s="1"/>
  <c r="G429" i="5"/>
  <c r="I429" i="5" s="1"/>
  <c r="J10" i="71" s="1"/>
  <c r="H50" i="5"/>
  <c r="H494" i="5"/>
  <c r="H237" i="5"/>
  <c r="H148" i="5"/>
  <c r="G49" i="5"/>
  <c r="G511" i="5"/>
  <c r="G628" i="5"/>
  <c r="I628" i="5" s="1"/>
  <c r="H278" i="5"/>
  <c r="G376" i="5"/>
  <c r="G47" i="5"/>
  <c r="I47" i="5" s="1"/>
  <c r="G165" i="50" s="1"/>
  <c r="H538" i="5"/>
  <c r="H25" i="5"/>
  <c r="H462" i="5"/>
  <c r="G101" i="5"/>
  <c r="G591" i="5"/>
  <c r="G312" i="5"/>
  <c r="AB24" i="71"/>
  <c r="K5075" i="18"/>
  <c r="AB34" i="75"/>
  <c r="AA29" i="75"/>
  <c r="V22" i="75"/>
  <c r="V21" i="75" s="1"/>
  <c r="AA9" i="71"/>
  <c r="AA19" i="75"/>
  <c r="K5053" i="18"/>
  <c r="F87" i="6"/>
  <c r="Y30" i="71"/>
  <c r="E118" i="21"/>
  <c r="E119" i="21" s="1"/>
  <c r="E120" i="21" s="1"/>
  <c r="AA29" i="71"/>
  <c r="U36" i="71"/>
  <c r="Z13" i="71"/>
  <c r="AA28" i="75"/>
  <c r="X25" i="71"/>
  <c r="Y20" i="75"/>
  <c r="Q31" i="75"/>
  <c r="E36" i="74"/>
  <c r="Q9" i="71"/>
  <c r="V28" i="71"/>
  <c r="L1322" i="18"/>
  <c r="L1324" i="18" s="1"/>
  <c r="L1325" i="18" s="1"/>
  <c r="K1326" i="18" s="1"/>
  <c r="L1326" i="18" s="1"/>
  <c r="K1044" i="18"/>
  <c r="N1031" i="18"/>
  <c r="J1039" i="18"/>
  <c r="X30" i="71"/>
  <c r="V34" i="75"/>
  <c r="U28" i="75"/>
  <c r="V20" i="75"/>
  <c r="G333" i="50"/>
  <c r="AA30" i="71"/>
  <c r="G331" i="50"/>
  <c r="X22" i="71"/>
  <c r="M422" i="5"/>
  <c r="M415" i="5" s="1"/>
  <c r="Q29" i="71"/>
  <c r="E34" i="74"/>
  <c r="U29" i="75"/>
  <c r="E23" i="74"/>
  <c r="AA9" i="75"/>
  <c r="Y25" i="71"/>
  <c r="X20" i="71"/>
  <c r="U18" i="75"/>
  <c r="Q24" i="75"/>
  <c r="AB33" i="71"/>
  <c r="V36" i="71"/>
  <c r="X31" i="75"/>
  <c r="F810" i="5"/>
  <c r="F811" i="5" s="1"/>
  <c r="F812" i="5" s="1"/>
  <c r="F121" i="6"/>
  <c r="U20" i="71"/>
  <c r="C8" i="89"/>
  <c r="L28" i="87"/>
  <c r="E114" i="70"/>
  <c r="Z21" i="71"/>
  <c r="K4538" i="18"/>
  <c r="K4539" i="18" s="1"/>
  <c r="M161" i="50"/>
  <c r="N161" i="50" s="1"/>
  <c r="M272" i="50"/>
  <c r="N272" i="50" s="1"/>
  <c r="M321" i="50"/>
  <c r="N321" i="50" s="1"/>
  <c r="M206" i="50"/>
  <c r="N206" i="50" s="1"/>
  <c r="K1014" i="18"/>
  <c r="K940" i="18"/>
  <c r="K942" i="18" s="1"/>
  <c r="H1008" i="18"/>
  <c r="H1010" i="18" s="1"/>
  <c r="H1011" i="18" s="1"/>
  <c r="L1383" i="18"/>
  <c r="L1385" i="18" s="1"/>
  <c r="L1386" i="18" s="1"/>
  <c r="K1387" i="18" s="1"/>
  <c r="L1387" i="18" s="1"/>
  <c r="Q1014" i="18"/>
  <c r="N109" i="18"/>
  <c r="Q109" i="18"/>
  <c r="N90" i="18"/>
  <c r="Q90" i="18"/>
  <c r="N10" i="18"/>
  <c r="Q10" i="18"/>
  <c r="N3308" i="18"/>
  <c r="Q3308" i="18"/>
  <c r="N3423" i="18"/>
  <c r="Q3423" i="18"/>
  <c r="Q4063" i="18"/>
  <c r="N4063" i="18"/>
  <c r="L3473" i="18"/>
  <c r="L6464" i="18" s="1"/>
  <c r="E6464" i="18" s="1"/>
  <c r="E27" i="74"/>
  <c r="U11" i="75"/>
  <c r="K3929" i="18"/>
  <c r="Q3929" i="18"/>
  <c r="Q4249" i="18"/>
  <c r="K4249" i="18"/>
  <c r="D3040" i="18"/>
  <c r="D3020" i="18"/>
  <c r="D3012" i="18"/>
  <c r="D3035" i="18"/>
  <c r="D3026" i="18"/>
  <c r="D3017" i="18"/>
  <c r="D3030" i="18"/>
  <c r="K4053" i="18"/>
  <c r="Q4053" i="18"/>
  <c r="D3027" i="18"/>
  <c r="D3015" i="18"/>
  <c r="D2595" i="18"/>
  <c r="D2591" i="18"/>
  <c r="D3018" i="18"/>
  <c r="N3434" i="18"/>
  <c r="Q3434" i="18"/>
  <c r="N3970" i="18"/>
  <c r="Q3970" i="18"/>
  <c r="Q4120" i="18"/>
  <c r="N4120" i="18"/>
  <c r="D2581" i="18"/>
  <c r="D3039" i="18"/>
  <c r="L187" i="18"/>
  <c r="K170" i="18"/>
  <c r="D2598" i="18"/>
  <c r="Q3411" i="18"/>
  <c r="D2615" i="18"/>
  <c r="D2609" i="18"/>
  <c r="D2613" i="18"/>
  <c r="D2605" i="18"/>
  <c r="D2606" i="18"/>
  <c r="D2610" i="18"/>
  <c r="D2614" i="18"/>
  <c r="D2608" i="18"/>
  <c r="D2618" i="18"/>
  <c r="D2611" i="18"/>
  <c r="D2604" i="18"/>
  <c r="D2616" i="18"/>
  <c r="D2607" i="18"/>
  <c r="AA31" i="75"/>
  <c r="Q29" i="75"/>
  <c r="L3994" i="18"/>
  <c r="L3995" i="18" s="1"/>
  <c r="K3996" i="18" s="1"/>
  <c r="L3996" i="18" s="1"/>
  <c r="E61" i="8"/>
  <c r="O71" i="18"/>
  <c r="O6258" i="18" s="1"/>
  <c r="D1946" i="18"/>
  <c r="D1937" i="18"/>
  <c r="I5625" i="18"/>
  <c r="I5634" i="18" s="1"/>
  <c r="N5623" i="18" s="1"/>
  <c r="I5681" i="18"/>
  <c r="I5687" i="18" s="1"/>
  <c r="I5731" i="18"/>
  <c r="I5737" i="18" s="1"/>
  <c r="I5671" i="18"/>
  <c r="I5677" i="18" s="1"/>
  <c r="I5638" i="18"/>
  <c r="I5647" i="18" s="1"/>
  <c r="K5636" i="18" s="1"/>
  <c r="H5741" i="18"/>
  <c r="H5744" i="18" s="1"/>
  <c r="D2009" i="18"/>
  <c r="D2007" i="18"/>
  <c r="D2011" i="18"/>
  <c r="D2013" i="18"/>
  <c r="D2008" i="18"/>
  <c r="D2006" i="18"/>
  <c r="D2010" i="18"/>
  <c r="D1936" i="18"/>
  <c r="D1934" i="18"/>
  <c r="M7" i="18" s="1"/>
  <c r="D3033" i="18"/>
  <c r="D2589" i="18"/>
  <c r="D2593" i="18"/>
  <c r="D3029" i="18"/>
  <c r="D3014" i="18"/>
  <c r="Q4170" i="18"/>
  <c r="D2562" i="18"/>
  <c r="D3031" i="18"/>
  <c r="D1935" i="18"/>
  <c r="N3772" i="18"/>
  <c r="Q3772" i="18"/>
  <c r="L188" i="18"/>
  <c r="L189" i="18" s="1"/>
  <c r="K190" i="18" s="1"/>
  <c r="L190" i="18" s="1"/>
  <c r="Q968" i="18"/>
  <c r="L939" i="18"/>
  <c r="L942" i="18" s="1"/>
  <c r="M281" i="50"/>
  <c r="N281" i="50" s="1"/>
  <c r="H5808" i="18"/>
  <c r="H5836" i="18" s="1"/>
  <c r="K5806" i="18" s="1"/>
  <c r="H4461" i="18"/>
  <c r="H4754" i="18"/>
  <c r="H4765" i="18" s="1"/>
  <c r="H5123" i="18"/>
  <c r="H4217" i="18"/>
  <c r="H4917" i="18"/>
  <c r="H4926" i="18" s="1"/>
  <c r="H4493" i="18"/>
  <c r="H4930" i="18"/>
  <c r="H4936" i="18" s="1"/>
  <c r="H4948" i="18"/>
  <c r="H4956" i="18" s="1"/>
  <c r="H5056" i="18"/>
  <c r="H5062" i="18" s="1"/>
  <c r="H4545" i="18"/>
  <c r="H5040" i="18"/>
  <c r="H4502" i="18"/>
  <c r="H4507" i="18" s="1"/>
  <c r="H4866" i="18"/>
  <c r="H4875" i="18" s="1"/>
  <c r="K4864" i="18" s="1"/>
  <c r="H4769" i="18"/>
  <c r="H4775" i="18" s="1"/>
  <c r="K4767" i="18" s="1"/>
  <c r="H4511" i="18"/>
  <c r="H5778" i="18"/>
  <c r="H5067" i="18"/>
  <c r="H5073" i="18" s="1"/>
  <c r="H4698" i="18"/>
  <c r="H4714" i="18" s="1"/>
  <c r="H4839" i="18"/>
  <c r="H4848" i="18" s="1"/>
  <c r="K4837" i="18" s="1"/>
  <c r="H4182" i="18"/>
  <c r="H4740" i="18"/>
  <c r="H4749" i="18" s="1"/>
  <c r="K4738" i="18" s="1"/>
  <c r="H4729" i="18"/>
  <c r="H4736" i="18" s="1"/>
  <c r="K4727" i="18" s="1"/>
  <c r="H5078" i="18"/>
  <c r="H5084" i="18" s="1"/>
  <c r="J5296" i="18"/>
  <c r="J5305" i="18" s="1"/>
  <c r="K5292" i="18" s="1"/>
  <c r="H4637" i="18"/>
  <c r="H4652" i="18" s="1"/>
  <c r="H4988" i="18"/>
  <c r="H4998" i="18" s="1"/>
  <c r="K4986" i="18" s="1"/>
  <c r="H5024" i="18"/>
  <c r="H5035" i="18" s="1"/>
  <c r="H5100" i="18"/>
  <c r="H5131" i="18"/>
  <c r="H4803" i="18"/>
  <c r="H4820" i="18" s="1"/>
  <c r="H4961" i="18"/>
  <c r="J5281" i="18"/>
  <c r="J5290" i="18" s="1"/>
  <c r="K5277" i="18" s="1"/>
  <c r="H4202" i="18"/>
  <c r="H4880" i="18"/>
  <c r="H4226" i="18"/>
  <c r="H5089" i="18"/>
  <c r="H5095" i="18" s="1"/>
  <c r="H4667" i="18"/>
  <c r="H4683" i="18" s="1"/>
  <c r="H4780" i="18"/>
  <c r="H4790" i="18" s="1"/>
  <c r="K4778" i="18" s="1"/>
  <c r="H4521" i="18"/>
  <c r="H4902" i="18"/>
  <c r="H4912" i="18" s="1"/>
  <c r="K4900" i="18" s="1"/>
  <c r="H4568" i="18"/>
  <c r="H4969" i="18"/>
  <c r="H4825" i="18"/>
  <c r="H4834" i="18" s="1"/>
  <c r="K4823" i="18" s="1"/>
  <c r="N3981" i="18"/>
  <c r="L3993" i="18"/>
  <c r="Q3981" i="18"/>
  <c r="D2573" i="18"/>
  <c r="D2572" i="18"/>
  <c r="D2575" i="18"/>
  <c r="D2563" i="18"/>
  <c r="D2566" i="18"/>
  <c r="D2567" i="18"/>
  <c r="D2578" i="18"/>
  <c r="D2596" i="18"/>
  <c r="D2576" i="18"/>
  <c r="D2564" i="18"/>
  <c r="D2577" i="18"/>
  <c r="D2585" i="18"/>
  <c r="D2587" i="18"/>
  <c r="D2592" i="18"/>
  <c r="D2571" i="18"/>
  <c r="D2582" i="18"/>
  <c r="D2586" i="18"/>
  <c r="D2569" i="18"/>
  <c r="D3038" i="18"/>
  <c r="D1938" i="18"/>
  <c r="D1940" i="18"/>
  <c r="D3011" i="18"/>
  <c r="D2579" i="18"/>
  <c r="D2583" i="18"/>
  <c r="D3021" i="18"/>
  <c r="D3022" i="18"/>
  <c r="Q4271" i="18"/>
  <c r="H4283" i="18"/>
  <c r="H4284" i="18" s="1"/>
  <c r="H4285" i="18" s="1"/>
  <c r="K4286" i="18" s="1"/>
  <c r="L4286" i="18" s="1"/>
  <c r="I1009" i="18"/>
  <c r="I1010" i="18" s="1"/>
  <c r="I1011" i="18" s="1"/>
  <c r="N989" i="18"/>
  <c r="Q2849" i="18"/>
  <c r="K2849" i="18"/>
  <c r="N3620" i="18"/>
  <c r="K2433" i="18"/>
  <c r="H2460" i="18"/>
  <c r="H2461" i="18" s="1"/>
  <c r="H2462" i="18" s="1"/>
  <c r="K2463" i="18" s="1"/>
  <c r="L2463" i="18" s="1"/>
  <c r="D2588" i="18"/>
  <c r="D3032" i="18"/>
  <c r="D3036" i="18"/>
  <c r="R20" i="75"/>
  <c r="W26" i="75"/>
  <c r="S23" i="75"/>
  <c r="W30" i="75"/>
  <c r="W28" i="71"/>
  <c r="T9" i="75"/>
  <c r="T13" i="75" s="1"/>
  <c r="T18" i="71"/>
  <c r="T27" i="71"/>
  <c r="R30" i="71"/>
  <c r="T22" i="75"/>
  <c r="T30" i="75"/>
  <c r="R15" i="71"/>
  <c r="S30" i="71"/>
  <c r="T33" i="75"/>
  <c r="M356" i="5"/>
  <c r="W30" i="71"/>
  <c r="S35" i="71"/>
  <c r="S15" i="75"/>
  <c r="W25" i="71"/>
  <c r="T15" i="71"/>
  <c r="T19" i="71"/>
  <c r="K1166" i="18"/>
  <c r="L1166" i="18" s="1"/>
  <c r="S12" i="71"/>
  <c r="T28" i="75"/>
  <c r="M382" i="5"/>
  <c r="W28" i="75"/>
  <c r="S27" i="75"/>
  <c r="Q24" i="71"/>
  <c r="Q36" i="71"/>
  <c r="V19" i="71"/>
  <c r="Y10" i="71"/>
  <c r="AB30" i="71"/>
  <c r="O10" i="18"/>
  <c r="O6255" i="18" s="1"/>
  <c r="M469" i="5"/>
  <c r="X27" i="75"/>
  <c r="F144" i="6"/>
  <c r="U27" i="75"/>
  <c r="V34" i="71"/>
  <c r="V33" i="71" s="1"/>
  <c r="V33" i="75"/>
  <c r="X18" i="71"/>
  <c r="V12" i="75"/>
  <c r="Z27" i="75"/>
  <c r="V18" i="75"/>
  <c r="M227" i="5"/>
  <c r="Q20" i="75"/>
  <c r="U19" i="71"/>
  <c r="Y36" i="71"/>
  <c r="M405" i="5"/>
  <c r="F122" i="21"/>
  <c r="F123" i="21" s="1"/>
  <c r="F124" i="21" s="1"/>
  <c r="R35" i="71"/>
  <c r="AA27" i="75"/>
  <c r="K217" i="50"/>
  <c r="M217" i="50" s="1"/>
  <c r="N217" i="50" s="1"/>
  <c r="L15" i="68"/>
  <c r="D62" i="47"/>
  <c r="K221" i="50"/>
  <c r="K222" i="50"/>
  <c r="K218" i="50"/>
  <c r="M218" i="50" s="1"/>
  <c r="N218" i="50" s="1"/>
  <c r="K223" i="50"/>
  <c r="K220" i="50"/>
  <c r="N3444" i="18"/>
  <c r="K219" i="50"/>
  <c r="D62" i="51"/>
  <c r="I62" i="51" s="1"/>
  <c r="J62" i="51" s="1"/>
  <c r="L13" i="72"/>
  <c r="I6219" i="18" s="1"/>
  <c r="E65" i="91" s="1"/>
  <c r="F48" i="73"/>
  <c r="F61" i="69"/>
  <c r="D65" i="51"/>
  <c r="I65" i="51" s="1"/>
  <c r="J65" i="51" s="1"/>
  <c r="D65" i="47"/>
  <c r="L16" i="72"/>
  <c r="I6222" i="18" s="1"/>
  <c r="E96" i="91" s="1"/>
  <c r="K237" i="50"/>
  <c r="L22" i="68"/>
  <c r="N3728" i="18"/>
  <c r="O3729" i="18" s="1"/>
  <c r="O6481" i="18" s="1"/>
  <c r="K236" i="50"/>
  <c r="M236" i="50" s="1"/>
  <c r="N236" i="50" s="1"/>
  <c r="K567" i="5"/>
  <c r="K564" i="5" s="1"/>
  <c r="K589" i="5" s="1"/>
  <c r="K169" i="5"/>
  <c r="K565" i="5"/>
  <c r="K121" i="5"/>
  <c r="M479" i="5"/>
  <c r="T23" i="75"/>
  <c r="W19" i="75"/>
  <c r="M651" i="5"/>
  <c r="AA32" i="71"/>
  <c r="U30" i="75"/>
  <c r="W11" i="71"/>
  <c r="X26" i="75"/>
  <c r="O20" i="18"/>
  <c r="O6256" i="18" s="1"/>
  <c r="AA18" i="71"/>
  <c r="F62" i="69"/>
  <c r="K168" i="50"/>
  <c r="M168" i="50" s="1"/>
  <c r="N168" i="50" s="1"/>
  <c r="H34" i="72"/>
  <c r="E215" i="91" s="1"/>
  <c r="H43" i="68"/>
  <c r="N2640" i="18"/>
  <c r="O2641" i="18" s="1"/>
  <c r="O6414" i="18" s="1"/>
  <c r="D40" i="51"/>
  <c r="I40" i="51" s="1"/>
  <c r="J40" i="51" s="1"/>
  <c r="D40" i="47"/>
  <c r="N4877" i="18"/>
  <c r="O4878" i="18" s="1"/>
  <c r="O6565" i="18" s="1"/>
  <c r="D113" i="51"/>
  <c r="I113" i="51" s="1"/>
  <c r="J113" i="51" s="1"/>
  <c r="E74" i="91"/>
  <c r="N3241" i="18"/>
  <c r="O3258" i="18" s="1"/>
  <c r="O6446" i="18" s="1"/>
  <c r="D82" i="47"/>
  <c r="K201" i="50"/>
  <c r="M201" i="50" s="1"/>
  <c r="N201" i="50" s="1"/>
  <c r="L33" i="72"/>
  <c r="D82" i="51"/>
  <c r="I82" i="51" s="1"/>
  <c r="J82" i="51" s="1"/>
  <c r="L42" i="68"/>
  <c r="V10" i="75"/>
  <c r="T24" i="75"/>
  <c r="AA24" i="71"/>
  <c r="W18" i="75"/>
  <c r="AB24" i="75"/>
  <c r="Y23" i="75"/>
  <c r="Q30" i="75"/>
  <c r="AA18" i="75"/>
  <c r="Q17" i="71"/>
  <c r="K15" i="50"/>
  <c r="M15" i="50" s="1"/>
  <c r="N15" i="50" s="1"/>
  <c r="D17" i="47"/>
  <c r="K27" i="50"/>
  <c r="K21" i="50"/>
  <c r="K23" i="50"/>
  <c r="K17" i="50"/>
  <c r="K22" i="50"/>
  <c r="K19" i="50"/>
  <c r="D17" i="51"/>
  <c r="I17" i="51" s="1"/>
  <c r="J17" i="51" s="1"/>
  <c r="H12" i="72"/>
  <c r="N119" i="18"/>
  <c r="K20" i="50"/>
  <c r="K18" i="50"/>
  <c r="H14" i="68"/>
  <c r="K16" i="50"/>
  <c r="K24" i="50"/>
  <c r="K26" i="50"/>
  <c r="K25" i="50"/>
  <c r="K138" i="50"/>
  <c r="M138" i="50" s="1"/>
  <c r="N138" i="50" s="1"/>
  <c r="K141" i="50"/>
  <c r="D33" i="47"/>
  <c r="K139" i="50"/>
  <c r="H28" i="72"/>
  <c r="N2158" i="18"/>
  <c r="H37" i="68"/>
  <c r="D33" i="51"/>
  <c r="I33" i="51" s="1"/>
  <c r="J33" i="51" s="1"/>
  <c r="K140" i="50"/>
  <c r="H45" i="68"/>
  <c r="H36" i="72"/>
  <c r="D46" i="51"/>
  <c r="I46" i="51" s="1"/>
  <c r="J46" i="51" s="1"/>
  <c r="D46" i="47"/>
  <c r="N2921" i="18"/>
  <c r="O2984" i="18" s="1"/>
  <c r="O6432" i="18" s="1"/>
  <c r="K187" i="50"/>
  <c r="K186" i="50"/>
  <c r="M186" i="50" s="1"/>
  <c r="N186" i="50" s="1"/>
  <c r="K63" i="50"/>
  <c r="M63" i="50" s="1"/>
  <c r="N63" i="50" s="1"/>
  <c r="D21" i="51"/>
  <c r="I21" i="51" s="1"/>
  <c r="J21" i="51" s="1"/>
  <c r="H16" i="72"/>
  <c r="I6194" i="18" s="1"/>
  <c r="E120" i="91" s="1"/>
  <c r="N934" i="18"/>
  <c r="H21" i="68"/>
  <c r="D21" i="47"/>
  <c r="AA23" i="75"/>
  <c r="M507" i="5"/>
  <c r="T11" i="71"/>
  <c r="E50" i="70"/>
  <c r="M639" i="5"/>
  <c r="U31" i="75"/>
  <c r="M606" i="5"/>
  <c r="V25" i="71"/>
  <c r="AB15" i="71"/>
  <c r="X21" i="75"/>
  <c r="L22" i="72"/>
  <c r="L30" i="68"/>
  <c r="D71" i="51"/>
  <c r="I71" i="51" s="1"/>
  <c r="J71" i="51" s="1"/>
  <c r="D71" i="47"/>
  <c r="K256" i="50"/>
  <c r="K255" i="50"/>
  <c r="N3969" i="18"/>
  <c r="O3970" i="18" s="1"/>
  <c r="O6500" i="18" s="1"/>
  <c r="N316" i="18"/>
  <c r="K46" i="50"/>
  <c r="K33" i="50"/>
  <c r="F51" i="73"/>
  <c r="F64" i="69"/>
  <c r="T35" i="75"/>
  <c r="K3558" i="18"/>
  <c r="L3558" i="18" s="1"/>
  <c r="P857" i="18"/>
  <c r="I3679" i="18"/>
  <c r="I3680" i="18" s="1"/>
  <c r="F45" i="73"/>
  <c r="F58" i="69"/>
  <c r="D51" i="47"/>
  <c r="K198" i="50"/>
  <c r="M198" i="50" s="1"/>
  <c r="N198" i="50" s="1"/>
  <c r="H50" i="68"/>
  <c r="H41" i="72"/>
  <c r="E224" i="91" s="1"/>
  <c r="N3214" i="18"/>
  <c r="O3215" i="18" s="1"/>
  <c r="O6443" i="18" s="1"/>
  <c r="K199" i="50"/>
  <c r="D51" i="51"/>
  <c r="I51" i="51" s="1"/>
  <c r="J51" i="51" s="1"/>
  <c r="K225" i="50"/>
  <c r="M225" i="50" s="1"/>
  <c r="N225" i="50" s="1"/>
  <c r="K227" i="50"/>
  <c r="K229" i="50"/>
  <c r="L14" i="72"/>
  <c r="I6220" i="18" s="1"/>
  <c r="E18" i="91" s="1"/>
  <c r="N3532" i="18"/>
  <c r="X11" i="75"/>
  <c r="S20" i="75"/>
  <c r="G332" i="50"/>
  <c r="E19" i="74"/>
  <c r="M540" i="5"/>
  <c r="M178" i="5"/>
  <c r="U12" i="75"/>
  <c r="Q33" i="75"/>
  <c r="E53" i="70"/>
  <c r="W20" i="71"/>
  <c r="W12" i="71"/>
  <c r="E45" i="70"/>
  <c r="Q19" i="75"/>
  <c r="U10" i="71"/>
  <c r="K5064" i="18"/>
  <c r="D47" i="47"/>
  <c r="H37" i="72"/>
  <c r="K188" i="50"/>
  <c r="M188" i="50" s="1"/>
  <c r="N188" i="50" s="1"/>
  <c r="H46" i="68"/>
  <c r="N3007" i="18"/>
  <c r="O3008" i="18" s="1"/>
  <c r="O6433" i="18" s="1"/>
  <c r="D47" i="51"/>
  <c r="I47" i="51" s="1"/>
  <c r="J47" i="51" s="1"/>
  <c r="D64" i="51"/>
  <c r="I64" i="51" s="1"/>
  <c r="J64" i="51" s="1"/>
  <c r="K235" i="50"/>
  <c r="K234" i="50"/>
  <c r="K231" i="50"/>
  <c r="N3619" i="18"/>
  <c r="O3620" i="18" s="1"/>
  <c r="O6476" i="18" s="1"/>
  <c r="K233" i="50"/>
  <c r="L15" i="72"/>
  <c r="I6221" i="18" s="1"/>
  <c r="E87" i="91" s="1"/>
  <c r="L21" i="68"/>
  <c r="K232" i="50"/>
  <c r="D64" i="47"/>
  <c r="D77" i="51"/>
  <c r="I77" i="51" s="1"/>
  <c r="J77" i="51" s="1"/>
  <c r="N4119" i="18"/>
  <c r="O4120" i="18" s="1"/>
  <c r="O6513" i="18" s="1"/>
  <c r="K269" i="50"/>
  <c r="D77" i="47"/>
  <c r="K268" i="50"/>
  <c r="R19" i="71"/>
  <c r="Y30" i="75"/>
  <c r="M263" i="5"/>
  <c r="M644" i="5"/>
  <c r="T12" i="71"/>
  <c r="M474" i="5"/>
  <c r="AB18" i="71"/>
  <c r="U25" i="71"/>
  <c r="K313" i="50"/>
  <c r="M313" i="50" s="1"/>
  <c r="N313" i="50" s="1"/>
  <c r="F13" i="73"/>
  <c r="D107" i="51"/>
  <c r="I107" i="51" s="1"/>
  <c r="J107" i="51" s="1"/>
  <c r="K314" i="50"/>
  <c r="N4751" i="18"/>
  <c r="O4752" i="18" s="1"/>
  <c r="O6558" i="18" s="1"/>
  <c r="D107" i="47"/>
  <c r="F25" i="69"/>
  <c r="D59" i="51"/>
  <c r="I59" i="51" s="1"/>
  <c r="J59" i="51" s="1"/>
  <c r="L10" i="72"/>
  <c r="N3410" i="18"/>
  <c r="O3411" i="18" s="1"/>
  <c r="O6459" i="18" s="1"/>
  <c r="K214" i="50"/>
  <c r="M214" i="50" s="1"/>
  <c r="N214" i="50" s="1"/>
  <c r="L12" i="68"/>
  <c r="D59" i="47"/>
  <c r="AB17" i="75"/>
  <c r="AB17" i="71"/>
  <c r="N4958" i="18"/>
  <c r="F42" i="69"/>
  <c r="F29" i="73"/>
  <c r="D119" i="51"/>
  <c r="I119" i="51" s="1"/>
  <c r="J119" i="51" s="1"/>
  <c r="H13" i="68"/>
  <c r="D16" i="51"/>
  <c r="I16" i="51" s="1"/>
  <c r="J16" i="51" s="1"/>
  <c r="N108" i="18"/>
  <c r="O109" i="18" s="1"/>
  <c r="O6260" i="18" s="1"/>
  <c r="H11" i="72"/>
  <c r="K14" i="50"/>
  <c r="D16" i="47"/>
  <c r="D101" i="47"/>
  <c r="K296" i="50"/>
  <c r="M296" i="50" s="1"/>
  <c r="N296" i="50" s="1"/>
  <c r="M127" i="5"/>
  <c r="N4488" i="18"/>
  <c r="O4500" i="18" s="1"/>
  <c r="O6541" i="18" s="1"/>
  <c r="F7" i="73"/>
  <c r="D61" i="52"/>
  <c r="F26" i="52" s="1"/>
  <c r="K303" i="50"/>
  <c r="K301" i="50"/>
  <c r="D101" i="51"/>
  <c r="I101" i="51" s="1"/>
  <c r="J101" i="51" s="1"/>
  <c r="D10" i="48"/>
  <c r="F8" i="69"/>
  <c r="F7" i="69" s="1"/>
  <c r="M35" i="5"/>
  <c r="V26" i="75"/>
  <c r="X12" i="75"/>
  <c r="X12" i="71"/>
  <c r="F49" i="69"/>
  <c r="F36" i="73"/>
  <c r="F26" i="69"/>
  <c r="F14" i="73"/>
  <c r="D78" i="51"/>
  <c r="I78" i="51" s="1"/>
  <c r="J78" i="51" s="1"/>
  <c r="K271" i="50"/>
  <c r="N4148" i="18"/>
  <c r="O4149" i="18" s="1"/>
  <c r="O6515" i="18" s="1"/>
  <c r="D78" i="47"/>
  <c r="K270" i="50"/>
  <c r="M270" i="50" s="1"/>
  <c r="N270" i="50" s="1"/>
  <c r="AA34" i="75"/>
  <c r="AA35" i="71"/>
  <c r="AA20" i="71"/>
  <c r="L52" i="68"/>
  <c r="V52" i="71" s="1"/>
  <c r="K288" i="50"/>
  <c r="M288" i="50" s="1"/>
  <c r="N288" i="50" s="1"/>
  <c r="N4361" i="18"/>
  <c r="O4362" i="18" s="1"/>
  <c r="O6533" i="18" s="1"/>
  <c r="D90" i="47"/>
  <c r="L43" i="72"/>
  <c r="D90" i="51"/>
  <c r="I90" i="51" s="1"/>
  <c r="J90" i="51" s="1"/>
  <c r="K157" i="50"/>
  <c r="D36" i="47"/>
  <c r="H39" i="68"/>
  <c r="D36" i="51"/>
  <c r="I36" i="51" s="1"/>
  <c r="J36" i="51" s="1"/>
  <c r="K156" i="50"/>
  <c r="M156" i="50" s="1"/>
  <c r="N156" i="50" s="1"/>
  <c r="N2413" i="18"/>
  <c r="H30" i="72"/>
  <c r="M63" i="5"/>
  <c r="M611" i="5"/>
  <c r="F189" i="6"/>
  <c r="K1078" i="18"/>
  <c r="L1078" i="18" s="1"/>
  <c r="L2647" i="18"/>
  <c r="K17" i="18"/>
  <c r="J597" i="5"/>
  <c r="J622" i="5" s="1"/>
  <c r="J531" i="5"/>
  <c r="J556" i="5" s="1"/>
  <c r="J866" i="5" s="1"/>
  <c r="J867" i="5" s="1"/>
  <c r="J868" i="5" s="1"/>
  <c r="K2349" i="18"/>
  <c r="L2349" i="18" s="1"/>
  <c r="J811" i="5"/>
  <c r="J812" i="5" s="1"/>
  <c r="F630" i="5"/>
  <c r="F655" i="5" s="1"/>
  <c r="F874" i="5" s="1"/>
  <c r="F875" i="5" s="1"/>
  <c r="F876" i="5" s="1"/>
  <c r="M629" i="5"/>
  <c r="K1100" i="18"/>
  <c r="L1100" i="18" s="1"/>
  <c r="Z16" i="71"/>
  <c r="E112" i="6"/>
  <c r="E113" i="6" s="1"/>
  <c r="M535" i="5"/>
  <c r="AB19" i="75"/>
  <c r="K599" i="18"/>
  <c r="L599" i="18" s="1"/>
  <c r="K376" i="18"/>
  <c r="L376" i="18" s="1"/>
  <c r="K1799" i="18"/>
  <c r="H4538" i="18"/>
  <c r="H4539" i="18" s="1"/>
  <c r="F118" i="70"/>
  <c r="F120" i="70" s="1"/>
  <c r="F121" i="70" s="1"/>
  <c r="M400" i="5"/>
  <c r="K1348" i="18"/>
  <c r="L1348" i="18" s="1"/>
  <c r="L3937" i="18"/>
  <c r="K398" i="18"/>
  <c r="L398" i="18" s="1"/>
  <c r="F101" i="74"/>
  <c r="F103" i="74" s="1"/>
  <c r="F104" i="74" s="1"/>
  <c r="M601" i="5"/>
  <c r="F498" i="5"/>
  <c r="F523" i="5" s="1"/>
  <c r="F862" i="5" s="1"/>
  <c r="F863" i="5" s="1"/>
  <c r="F864" i="5" s="1"/>
  <c r="E41" i="74"/>
  <c r="G344" i="50"/>
  <c r="K1409" i="18"/>
  <c r="L1409" i="18" s="1"/>
  <c r="E33" i="74"/>
  <c r="K234" i="18"/>
  <c r="L234" i="18" s="1"/>
  <c r="E19" i="70"/>
  <c r="K2293" i="18"/>
  <c r="L2293" i="18" s="1"/>
  <c r="H3679" i="18"/>
  <c r="H3680" i="18" s="1"/>
  <c r="K2234" i="18"/>
  <c r="L2234" i="18" s="1"/>
  <c r="K212" i="18"/>
  <c r="L212" i="18" s="1"/>
  <c r="F703" i="5"/>
  <c r="I703" i="5"/>
  <c r="H4134" i="18"/>
  <c r="H4135" i="18" s="1"/>
  <c r="L3769" i="18"/>
  <c r="L1862" i="18"/>
  <c r="K1855" i="18" s="1"/>
  <c r="J4538" i="18"/>
  <c r="J4539" i="18" s="1"/>
  <c r="K446" i="18"/>
  <c r="L446" i="18" s="1"/>
  <c r="K466" i="18"/>
  <c r="L466" i="18" s="1"/>
  <c r="K271" i="18"/>
  <c r="L271" i="18" s="1"/>
  <c r="K3856" i="18"/>
  <c r="L3856" i="18" s="1"/>
  <c r="L17" i="18"/>
  <c r="F798" i="5"/>
  <c r="F799" i="5" s="1"/>
  <c r="K3679" i="18"/>
  <c r="K3680" i="18" s="1"/>
  <c r="K3937" i="18"/>
  <c r="K1255" i="18"/>
  <c r="L1255" i="18" s="1"/>
  <c r="K533" i="18"/>
  <c r="L533" i="18" s="1"/>
  <c r="K1428" i="18"/>
  <c r="L1428" i="18" s="1"/>
  <c r="J3679" i="18"/>
  <c r="J3680" i="18" s="1"/>
  <c r="K3305" i="18"/>
  <c r="L3305" i="18" s="1"/>
  <c r="K1188" i="18"/>
  <c r="L1188" i="18" s="1"/>
  <c r="K557" i="18"/>
  <c r="L557" i="18" s="1"/>
  <c r="J212" i="5"/>
  <c r="J814" i="5" s="1"/>
  <c r="J815" i="5" s="1"/>
  <c r="J816" i="5" s="1"/>
  <c r="G334" i="50"/>
  <c r="E55" i="70"/>
  <c r="I708" i="5"/>
  <c r="Q12" i="71"/>
  <c r="J368" i="5"/>
  <c r="J393" i="5" s="1"/>
  <c r="J846" i="5" s="1"/>
  <c r="J847" i="5" s="1"/>
  <c r="J848" i="5" s="1"/>
  <c r="F690" i="5"/>
  <c r="M563" i="5"/>
  <c r="F176" i="6"/>
  <c r="K5935" i="18"/>
  <c r="L5936" i="18" s="1"/>
  <c r="L6630" i="18" s="1"/>
  <c r="E6630" i="18" s="1"/>
  <c r="V31" i="75"/>
  <c r="V32" i="71"/>
  <c r="X10" i="71"/>
  <c r="X10" i="75"/>
  <c r="J806" i="5"/>
  <c r="J807" i="5" s="1"/>
  <c r="J808" i="5" s="1"/>
  <c r="M464" i="5"/>
  <c r="E35" i="70"/>
  <c r="K4652" i="18"/>
  <c r="N1862" i="18"/>
  <c r="L2072" i="18"/>
  <c r="K1449" i="18"/>
  <c r="L1449" i="18" s="1"/>
  <c r="F708" i="5"/>
  <c r="Z33" i="71"/>
  <c r="AB31" i="71"/>
  <c r="AB30" i="75"/>
  <c r="AA12" i="71"/>
  <c r="F104" i="6"/>
  <c r="F134" i="6"/>
  <c r="L1035" i="18"/>
  <c r="H4796" i="18"/>
  <c r="H4797" i="18" s="1"/>
  <c r="K4798" i="18" s="1"/>
  <c r="L4798" i="18" s="1"/>
  <c r="K2315" i="18"/>
  <c r="L2315" i="18" s="1"/>
  <c r="AB10" i="71"/>
  <c r="AB10" i="75"/>
  <c r="M552" i="5"/>
  <c r="AB22" i="75"/>
  <c r="AB22" i="71"/>
  <c r="X9" i="71"/>
  <c r="X9" i="75"/>
  <c r="AB35" i="75"/>
  <c r="AB36" i="71"/>
  <c r="X19" i="75"/>
  <c r="X19" i="71"/>
  <c r="AB28" i="75"/>
  <c r="AB29" i="71"/>
  <c r="F177" i="6"/>
  <c r="E178" i="6"/>
  <c r="F178" i="6" s="1"/>
  <c r="Y9" i="75"/>
  <c r="M241" i="5"/>
  <c r="N2227" i="18"/>
  <c r="J401" i="5"/>
  <c r="J426" i="5" s="1"/>
  <c r="J850" i="5" s="1"/>
  <c r="J851" i="5" s="1"/>
  <c r="J852" i="5" s="1"/>
  <c r="M1035" i="18"/>
  <c r="K2431" i="18"/>
  <c r="L2431" i="18" s="1"/>
  <c r="K1277" i="18"/>
  <c r="L1277" i="18" s="1"/>
  <c r="M2227" i="18"/>
  <c r="L2227" i="18"/>
  <c r="L2829" i="18"/>
  <c r="L1799" i="18"/>
  <c r="K1869" i="18"/>
  <c r="L1869" i="18" s="1"/>
  <c r="R25" i="71"/>
  <c r="K2829" i="18"/>
  <c r="E118" i="6"/>
  <c r="F119" i="6" s="1"/>
  <c r="F117" i="6"/>
  <c r="F116" i="6"/>
  <c r="S9" i="75"/>
  <c r="M14" i="46"/>
  <c r="N14" i="46" s="1"/>
  <c r="M256" i="5"/>
  <c r="P5385" i="18"/>
  <c r="F564" i="5"/>
  <c r="AA11" i="71"/>
  <c r="AA11" i="75"/>
  <c r="M13" i="46"/>
  <c r="N13" i="46" s="1"/>
  <c r="F55" i="51"/>
  <c r="G43" i="51" s="1"/>
  <c r="F368" i="5"/>
  <c r="F393" i="5" s="1"/>
  <c r="F846" i="5" s="1"/>
  <c r="F847" i="5" s="1"/>
  <c r="F848" i="5" s="1"/>
  <c r="I4134" i="18"/>
  <c r="I4135" i="18" s="1"/>
  <c r="AB32" i="71"/>
  <c r="AB31" i="75"/>
  <c r="Y35" i="71"/>
  <c r="Y34" i="75"/>
  <c r="K3769" i="18"/>
  <c r="V23" i="71"/>
  <c r="M410" i="5"/>
  <c r="X40" i="2"/>
  <c r="AE15" i="2"/>
  <c r="AE40" i="2" s="1"/>
  <c r="M211" i="5"/>
  <c r="M530" i="5"/>
  <c r="E38" i="74"/>
  <c r="K5086" i="18"/>
  <c r="J822" i="5"/>
  <c r="J823" i="5" s="1"/>
  <c r="J824" i="5" s="1"/>
  <c r="J754" i="5"/>
  <c r="J826" i="5" s="1"/>
  <c r="J465" i="5"/>
  <c r="J490" i="5" s="1"/>
  <c r="J858" i="5" s="1"/>
  <c r="J859" i="5" s="1"/>
  <c r="J860" i="5" s="1"/>
  <c r="F465" i="5"/>
  <c r="F490" i="5" s="1"/>
  <c r="F858" i="5" s="1"/>
  <c r="F859" i="5" s="1"/>
  <c r="F860" i="5" s="1"/>
  <c r="J40" i="2"/>
  <c r="J54" i="2" s="1"/>
  <c r="J56" i="2" s="1"/>
  <c r="J57" i="2" s="1"/>
  <c r="Q15" i="2"/>
  <c r="AA24" i="75"/>
  <c r="AA25" i="71"/>
  <c r="F306" i="5"/>
  <c r="F329" i="5" s="1"/>
  <c r="F842" i="5" s="1"/>
  <c r="F843" i="5" s="1"/>
  <c r="F844" i="5" s="1"/>
  <c r="J564" i="5"/>
  <c r="J589" i="5" s="1"/>
  <c r="E83" i="74"/>
  <c r="F91" i="6"/>
  <c r="J697" i="5"/>
  <c r="F597" i="5"/>
  <c r="F622" i="5" s="1"/>
  <c r="O1655" i="18"/>
  <c r="K1716" i="18"/>
  <c r="L1716" i="18" s="1"/>
  <c r="M219" i="5"/>
  <c r="K1699" i="18"/>
  <c r="L1699" i="18" s="1"/>
  <c r="O5353" i="18"/>
  <c r="M1862" i="18"/>
  <c r="K1927" i="18"/>
  <c r="L1927" i="18" s="1"/>
  <c r="P1655" i="18"/>
  <c r="M339" i="5"/>
  <c r="M46" i="46"/>
  <c r="N46" i="46" s="1"/>
  <c r="J242" i="5"/>
  <c r="J267" i="5" s="1"/>
  <c r="J834" i="5" s="1"/>
  <c r="J835" i="5" s="1"/>
  <c r="J836" i="5" s="1"/>
  <c r="Y28" i="71"/>
  <c r="Y27" i="75"/>
  <c r="M708" i="5"/>
  <c r="F36" i="74"/>
  <c r="F39" i="74" s="1"/>
  <c r="K345" i="50"/>
  <c r="F53" i="70"/>
  <c r="F56" i="70" s="1"/>
  <c r="F113" i="8"/>
  <c r="F115" i="8" s="1"/>
  <c r="F116" i="8" s="1"/>
  <c r="F123" i="6"/>
  <c r="F111" i="8"/>
  <c r="F85" i="51"/>
  <c r="G80" i="51" s="1"/>
  <c r="F166" i="6"/>
  <c r="S30" i="75"/>
  <c r="M568" i="5"/>
  <c r="F230" i="5"/>
  <c r="S32" i="71"/>
  <c r="S18" i="75"/>
  <c r="E26" i="74"/>
  <c r="G343" i="50"/>
  <c r="K5997" i="18"/>
  <c r="L5998" i="18" s="1"/>
  <c r="L6634" i="18" s="1"/>
  <c r="E6634" i="18" s="1"/>
  <c r="E42" i="70"/>
  <c r="Z29" i="71"/>
  <c r="Z26" i="71" s="1"/>
  <c r="M545" i="5"/>
  <c r="Y32" i="71"/>
  <c r="Y31" i="75"/>
  <c r="F36" i="70"/>
  <c r="F40" i="70" s="1"/>
  <c r="F20" i="74"/>
  <c r="F24" i="74" s="1"/>
  <c r="M690" i="5"/>
  <c r="K340" i="50"/>
  <c r="F154" i="6"/>
  <c r="E155" i="6"/>
  <c r="AA17" i="71"/>
  <c r="F337" i="5"/>
  <c r="F360" i="5" s="1"/>
  <c r="F822" i="5"/>
  <c r="F823" i="5" s="1"/>
  <c r="F824" i="5" s="1"/>
  <c r="AB11" i="75"/>
  <c r="AB11" i="71"/>
  <c r="M596" i="5"/>
  <c r="Q27" i="71"/>
  <c r="Q26" i="75"/>
  <c r="T35" i="71"/>
  <c r="T33" i="71" s="1"/>
  <c r="AA17" i="75"/>
  <c r="M216" i="5"/>
  <c r="J709" i="5"/>
  <c r="J683" i="5"/>
  <c r="J825" i="5" s="1"/>
  <c r="J630" i="5"/>
  <c r="J655" i="5" s="1"/>
  <c r="J874" i="5" s="1"/>
  <c r="J875" i="5" s="1"/>
  <c r="J876" i="5" s="1"/>
  <c r="F531" i="5"/>
  <c r="F556" i="5" s="1"/>
  <c r="F866" i="5" s="1"/>
  <c r="F867" i="5" s="1"/>
  <c r="F868" i="5" s="1"/>
  <c r="F434" i="5"/>
  <c r="F457" i="5" s="1"/>
  <c r="F854" i="5" s="1"/>
  <c r="F855" i="5" s="1"/>
  <c r="F856" i="5" s="1"/>
  <c r="X35" i="75"/>
  <c r="X36" i="71"/>
  <c r="F93" i="70"/>
  <c r="F95" i="70" s="1"/>
  <c r="F122" i="70" s="1"/>
  <c r="F76" i="74"/>
  <c r="I5134" i="18" s="1"/>
  <c r="E97" i="6"/>
  <c r="F96" i="6"/>
  <c r="S24" i="75"/>
  <c r="W10" i="75"/>
  <c r="R10" i="75"/>
  <c r="M222" i="5"/>
  <c r="W32" i="71"/>
  <c r="M446" i="5"/>
  <c r="F793" i="5"/>
  <c r="F794" i="5" s="1"/>
  <c r="F815" i="5"/>
  <c r="F816" i="5" s="1"/>
  <c r="S27" i="71"/>
  <c r="W34" i="75"/>
  <c r="M214" i="5"/>
  <c r="F807" i="5"/>
  <c r="F808" i="5" s="1"/>
  <c r="T10" i="71"/>
  <c r="J434" i="5"/>
  <c r="J457" i="5" s="1"/>
  <c r="J854" i="5" s="1"/>
  <c r="J855" i="5" s="1"/>
  <c r="J856" i="5" s="1"/>
  <c r="W9" i="71"/>
  <c r="W9" i="75"/>
  <c r="S10" i="71"/>
  <c r="S10" i="75"/>
  <c r="J337" i="5"/>
  <c r="J360" i="5" s="1"/>
  <c r="F788" i="5"/>
  <c r="F789" i="5" s="1"/>
  <c r="M433" i="5"/>
  <c r="R18" i="75"/>
  <c r="R18" i="71"/>
  <c r="M217" i="5"/>
  <c r="J230" i="5"/>
  <c r="R32" i="71"/>
  <c r="R31" i="75"/>
  <c r="T17" i="71"/>
  <c r="T17" i="75"/>
  <c r="T34" i="75"/>
  <c r="F803" i="5"/>
  <c r="F804" i="5" s="1"/>
  <c r="J819" i="5"/>
  <c r="J820" i="5" s="1"/>
  <c r="R28" i="71"/>
  <c r="R27" i="75"/>
  <c r="M23" i="46"/>
  <c r="N23" i="46" s="1"/>
  <c r="Y11" i="75"/>
  <c r="Y11" i="71"/>
  <c r="Q10" i="71"/>
  <c r="J803" i="5"/>
  <c r="J804" i="5" s="1"/>
  <c r="G93" i="51"/>
  <c r="G96" i="51"/>
  <c r="G92" i="51"/>
  <c r="G87" i="51"/>
  <c r="G91" i="51"/>
  <c r="G88" i="51"/>
  <c r="G95" i="51"/>
  <c r="G94" i="51"/>
  <c r="G90" i="51"/>
  <c r="G97" i="51"/>
  <c r="G89" i="51"/>
  <c r="U23" i="75"/>
  <c r="U24" i="71"/>
  <c r="U33" i="75"/>
  <c r="U34" i="71"/>
  <c r="Y26" i="75"/>
  <c r="Y27" i="71"/>
  <c r="M512" i="5"/>
  <c r="AA31" i="71"/>
  <c r="Z30" i="75"/>
  <c r="AA30" i="75"/>
  <c r="Y19" i="71"/>
  <c r="Y19" i="75"/>
  <c r="Y12" i="75"/>
  <c r="Y12" i="71"/>
  <c r="M634" i="5"/>
  <c r="Q23" i="71"/>
  <c r="M251" i="5"/>
  <c r="H5132" i="18"/>
  <c r="E97" i="74"/>
  <c r="F9" i="70"/>
  <c r="F21" i="70" s="1"/>
  <c r="M671" i="5"/>
  <c r="M683" i="5" s="1"/>
  <c r="AA33" i="75"/>
  <c r="M585" i="5"/>
  <c r="AA34" i="71"/>
  <c r="Z33" i="75"/>
  <c r="Z32" i="75" s="1"/>
  <c r="M578" i="5"/>
  <c r="AA26" i="75"/>
  <c r="Z26" i="75"/>
  <c r="AA27" i="71"/>
  <c r="AA22" i="71"/>
  <c r="AA22" i="75"/>
  <c r="M573" i="5"/>
  <c r="Y22" i="75"/>
  <c r="Y22" i="71"/>
  <c r="F218" i="5"/>
  <c r="F213" i="5"/>
  <c r="I690" i="5"/>
  <c r="E36" i="70"/>
  <c r="E20" i="74"/>
  <c r="G340" i="50"/>
  <c r="Q14" i="2"/>
  <c r="AB47" i="2"/>
  <c r="AB49" i="2" s="1"/>
  <c r="N40" i="2"/>
  <c r="F120" i="21"/>
  <c r="Y28" i="75"/>
  <c r="Y29" i="71"/>
  <c r="F32" i="74"/>
  <c r="F35" i="74" s="1"/>
  <c r="F49" i="70"/>
  <c r="F52" i="70" s="1"/>
  <c r="M703" i="5"/>
  <c r="S11" i="75"/>
  <c r="S11" i="71"/>
  <c r="U17" i="75"/>
  <c r="U17" i="71"/>
  <c r="F275" i="5"/>
  <c r="F298" i="5" s="1"/>
  <c r="F838" i="5" s="1"/>
  <c r="F839" i="5" s="1"/>
  <c r="F840" i="5" s="1"/>
  <c r="J498" i="5"/>
  <c r="J523" i="5" s="1"/>
  <c r="J862" i="5" s="1"/>
  <c r="J863" i="5" s="1"/>
  <c r="J864" i="5" s="1"/>
  <c r="F11" i="74"/>
  <c r="M305" i="5"/>
  <c r="K343" i="50"/>
  <c r="F26" i="74"/>
  <c r="F29" i="74" s="1"/>
  <c r="F42" i="70"/>
  <c r="F46" i="70" s="1"/>
  <c r="M696" i="5"/>
  <c r="AA36" i="71"/>
  <c r="Z35" i="75"/>
  <c r="AA35" i="75"/>
  <c r="F129" i="6"/>
  <c r="E130" i="6"/>
  <c r="M372" i="5"/>
  <c r="G341" i="50"/>
  <c r="E21" i="74"/>
  <c r="K5957" i="18"/>
  <c r="L5958" i="18" s="1"/>
  <c r="L6632" i="18" s="1"/>
  <c r="E6632" i="18" s="1"/>
  <c r="E37" i="70"/>
  <c r="U22" i="71"/>
  <c r="M377" i="5"/>
  <c r="U22" i="75"/>
  <c r="F76" i="70"/>
  <c r="F59" i="74"/>
  <c r="I5109" i="18" s="1"/>
  <c r="M754" i="5"/>
  <c r="M826" i="5" s="1"/>
  <c r="F415" i="5"/>
  <c r="F401" i="5" s="1"/>
  <c r="F426" i="5" s="1"/>
  <c r="F850" i="5" s="1"/>
  <c r="F851" i="5" s="1"/>
  <c r="F852" i="5" s="1"/>
  <c r="U26" i="75"/>
  <c r="U27" i="71"/>
  <c r="U26" i="71" s="1"/>
  <c r="M246" i="5"/>
  <c r="Q18" i="71"/>
  <c r="Q18" i="75"/>
  <c r="M215" i="5"/>
  <c r="I5132" i="18"/>
  <c r="M204" i="5"/>
  <c r="M497" i="5"/>
  <c r="J798" i="5"/>
  <c r="J799" i="5" s="1"/>
  <c r="J223" i="5"/>
  <c r="H7" i="88"/>
  <c r="Q34" i="75"/>
  <c r="Q35" i="71"/>
  <c r="Q33" i="71" s="1"/>
  <c r="Q28" i="71"/>
  <c r="Q27" i="75"/>
  <c r="F22" i="70"/>
  <c r="F32" i="70" s="1"/>
  <c r="F12" i="74"/>
  <c r="F16" i="74" s="1"/>
  <c r="K336" i="50"/>
  <c r="Y33" i="75"/>
  <c r="M519" i="5"/>
  <c r="Y34" i="71"/>
  <c r="Y17" i="71"/>
  <c r="M502" i="5"/>
  <c r="Y17" i="75"/>
  <c r="X35" i="71"/>
  <c r="X34" i="75"/>
  <c r="X32" i="75" s="1"/>
  <c r="M486" i="5"/>
  <c r="U9" i="75"/>
  <c r="M367" i="5"/>
  <c r="U9" i="71"/>
  <c r="F563" i="5"/>
  <c r="F203" i="5"/>
  <c r="S35" i="75"/>
  <c r="S36" i="71"/>
  <c r="R30" i="75"/>
  <c r="M228" i="5"/>
  <c r="R31" i="71"/>
  <c r="W23" i="75"/>
  <c r="W24" i="71"/>
  <c r="J793" i="5"/>
  <c r="J794" i="5" s="1"/>
  <c r="S22" i="75"/>
  <c r="M313" i="5"/>
  <c r="S22" i="71"/>
  <c r="S21" i="71" s="1"/>
  <c r="W22" i="75"/>
  <c r="W22" i="71"/>
  <c r="T32" i="71"/>
  <c r="T31" i="75"/>
  <c r="R24" i="71"/>
  <c r="M221" i="5"/>
  <c r="R23" i="75"/>
  <c r="W17" i="71"/>
  <c r="W17" i="75"/>
  <c r="M436" i="5"/>
  <c r="J218" i="5"/>
  <c r="R34" i="71"/>
  <c r="M231" i="5"/>
  <c r="R33" i="75"/>
  <c r="M294" i="5"/>
  <c r="W34" i="71"/>
  <c r="W33" i="71" s="1"/>
  <c r="W33" i="75"/>
  <c r="M453" i="5"/>
  <c r="R17" i="71"/>
  <c r="R17" i="75"/>
  <c r="M277" i="5"/>
  <c r="R12" i="75"/>
  <c r="R12" i="71"/>
  <c r="M207" i="5"/>
  <c r="R36" i="71"/>
  <c r="R35" i="75"/>
  <c r="M233" i="5"/>
  <c r="T30" i="71"/>
  <c r="T29" i="75"/>
  <c r="R28" i="75"/>
  <c r="R29" i="71"/>
  <c r="M325" i="5"/>
  <c r="S34" i="71"/>
  <c r="S33" i="75"/>
  <c r="S32" i="75" s="1"/>
  <c r="S17" i="71"/>
  <c r="M308" i="5"/>
  <c r="S17" i="75"/>
  <c r="R11" i="71"/>
  <c r="R11" i="75"/>
  <c r="M205" i="5"/>
  <c r="T23" i="71"/>
  <c r="T21" i="71" s="1"/>
  <c r="M344" i="5"/>
  <c r="M287" i="5"/>
  <c r="M224" i="5"/>
  <c r="R27" i="71"/>
  <c r="R26" i="75"/>
  <c r="J208" i="5"/>
  <c r="J213" i="5"/>
  <c r="J275" i="5"/>
  <c r="J298" i="5" s="1"/>
  <c r="J838" i="5" s="1"/>
  <c r="J839" i="5" s="1"/>
  <c r="J840" i="5" s="1"/>
  <c r="S19" i="75"/>
  <c r="S19" i="71"/>
  <c r="T27" i="75"/>
  <c r="T28" i="71"/>
  <c r="M225" i="5"/>
  <c r="M349" i="5"/>
  <c r="J788" i="5"/>
  <c r="J789" i="5" s="1"/>
  <c r="F819" i="5"/>
  <c r="F820" i="5" s="1"/>
  <c r="J306" i="5"/>
  <c r="J329" i="5" s="1"/>
  <c r="J842" i="5" s="1"/>
  <c r="J843" i="5" s="1"/>
  <c r="J844" i="5" s="1"/>
  <c r="W36" i="71"/>
  <c r="W35" i="75"/>
  <c r="M282" i="5"/>
  <c r="R22" i="75"/>
  <c r="R22" i="71"/>
  <c r="M229" i="5"/>
  <c r="T20" i="75"/>
  <c r="T20" i="71"/>
  <c r="F135" i="6"/>
  <c r="E136" i="6"/>
  <c r="W23" i="71"/>
  <c r="M441" i="5"/>
  <c r="M220" i="5"/>
  <c r="F127" i="6"/>
  <c r="F126" i="6"/>
  <c r="F149" i="6"/>
  <c r="E150" i="6"/>
  <c r="F145" i="6"/>
  <c r="E146" i="6"/>
  <c r="F88" i="6"/>
  <c r="F89" i="6"/>
  <c r="K302" i="50"/>
  <c r="D102" i="51"/>
  <c r="N4489" i="18"/>
  <c r="O4509" i="18" s="1"/>
  <c r="O6542" i="18" s="1"/>
  <c r="D102" i="47"/>
  <c r="K297" i="50"/>
  <c r="M297" i="50" s="1"/>
  <c r="N297" i="50" s="1"/>
  <c r="D106" i="48"/>
  <c r="F8" i="73"/>
  <c r="K304" i="50"/>
  <c r="F13" i="69"/>
  <c r="D67" i="52"/>
  <c r="M158" i="5"/>
  <c r="M132" i="5"/>
  <c r="M336" i="5"/>
  <c r="M206" i="5"/>
  <c r="S28" i="75"/>
  <c r="S29" i="71"/>
  <c r="M318" i="5"/>
  <c r="M226" i="5"/>
  <c r="L218" i="5"/>
  <c r="L208" i="5"/>
  <c r="L223" i="5"/>
  <c r="F124" i="51"/>
  <c r="K267" i="50"/>
  <c r="M267" i="50" s="1"/>
  <c r="N267" i="50" s="1"/>
  <c r="L29" i="72"/>
  <c r="L38" i="68"/>
  <c r="D76" i="51"/>
  <c r="N4108" i="18"/>
  <c r="M108" i="5"/>
  <c r="D76" i="47"/>
  <c r="E201" i="6"/>
  <c r="F200" i="6"/>
  <c r="F217" i="91"/>
  <c r="F172" i="6"/>
  <c r="E173" i="6"/>
  <c r="E108" i="6"/>
  <c r="F107" i="6"/>
  <c r="F160" i="6"/>
  <c r="E161" i="6"/>
  <c r="F140" i="6"/>
  <c r="E141" i="6"/>
  <c r="F242" i="5"/>
  <c r="U35" i="71"/>
  <c r="M389" i="5"/>
  <c r="U34" i="75"/>
  <c r="M232" i="5"/>
  <c r="E183" i="6"/>
  <c r="F182" i="6"/>
  <c r="E197" i="6"/>
  <c r="F196" i="6"/>
  <c r="F92" i="6"/>
  <c r="E93" i="6"/>
  <c r="E75" i="74"/>
  <c r="E92" i="70"/>
  <c r="I764" i="5"/>
  <c r="I830" i="5" s="1"/>
  <c r="M274" i="5"/>
  <c r="R9" i="71"/>
  <c r="R9" i="75"/>
  <c r="M203" i="5"/>
  <c r="K498" i="5"/>
  <c r="K523" i="5" s="1"/>
  <c r="L368" i="5"/>
  <c r="L393" i="5" s="1"/>
  <c r="Q13" i="75"/>
  <c r="H372" i="50"/>
  <c r="H262" i="50"/>
  <c r="H315" i="50"/>
  <c r="H318" i="50"/>
  <c r="H278" i="50"/>
  <c r="H118" i="50"/>
  <c r="L386" i="50"/>
  <c r="L268" i="50"/>
  <c r="L215" i="50"/>
  <c r="H312" i="50"/>
  <c r="H373" i="50"/>
  <c r="L263" i="50"/>
  <c r="H402" i="50"/>
  <c r="L256" i="50"/>
  <c r="L14" i="50"/>
  <c r="H321" i="50"/>
  <c r="H311" i="50"/>
  <c r="G41" i="46"/>
  <c r="L67" i="46"/>
  <c r="L63" i="46"/>
  <c r="H19" i="50"/>
  <c r="L73" i="46"/>
  <c r="L25" i="46"/>
  <c r="H319" i="50"/>
  <c r="H251" i="50"/>
  <c r="H317" i="50"/>
  <c r="H157" i="50"/>
  <c r="H406" i="50"/>
  <c r="H168" i="50"/>
  <c r="H68" i="50"/>
  <c r="L205" i="50"/>
  <c r="H181" i="50"/>
  <c r="L231" i="50"/>
  <c r="L255" i="50"/>
  <c r="L68" i="50"/>
  <c r="L13" i="50"/>
  <c r="L239" i="50"/>
  <c r="L9" i="50"/>
  <c r="H71" i="50"/>
  <c r="G25" i="46"/>
  <c r="H387" i="50"/>
  <c r="L65" i="46"/>
  <c r="L216" i="50"/>
  <c r="L71" i="46"/>
  <c r="H69" i="50"/>
  <c r="H314" i="50"/>
  <c r="G38" i="46"/>
  <c r="O2750" i="18" l="1"/>
  <c r="O6419" i="18" s="1"/>
  <c r="E302" i="91"/>
  <c r="O2812" i="18"/>
  <c r="O6424" i="18" s="1"/>
  <c r="L193" i="5"/>
  <c r="K435" i="5"/>
  <c r="K434" i="5" s="1"/>
  <c r="K457" i="5" s="1"/>
  <c r="K234" i="5" s="1"/>
  <c r="D51" i="52"/>
  <c r="F52" i="52" s="1"/>
  <c r="F16" i="52" s="1"/>
  <c r="I364" i="5"/>
  <c r="H11" i="75" s="1"/>
  <c r="O1910" i="18"/>
  <c r="O6368" i="18" s="1"/>
  <c r="G711" i="5"/>
  <c r="G713" i="5" s="1"/>
  <c r="O1855" i="18"/>
  <c r="O6364" i="18" s="1"/>
  <c r="K192" i="5"/>
  <c r="M109" i="5"/>
  <c r="D86" i="48" s="1"/>
  <c r="M171" i="5"/>
  <c r="M809" i="5" s="1"/>
  <c r="O2393" i="18"/>
  <c r="O6400" i="18" s="1"/>
  <c r="I293" i="5"/>
  <c r="E31" i="75" s="1"/>
  <c r="I49" i="5"/>
  <c r="G171" i="50" s="1"/>
  <c r="I296" i="5"/>
  <c r="E35" i="71" s="1"/>
  <c r="I17" i="5"/>
  <c r="K3628" i="18"/>
  <c r="K3653" i="18"/>
  <c r="K3655" i="18" s="1"/>
  <c r="K3656" i="18" s="1"/>
  <c r="K3657" i="18" s="1"/>
  <c r="L3657" i="18" s="1"/>
  <c r="N1035" i="18"/>
  <c r="I643" i="5"/>
  <c r="H711" i="5"/>
  <c r="H713" i="5" s="1"/>
  <c r="I3256" i="18"/>
  <c r="K3242" i="18" s="1"/>
  <c r="M819" i="5"/>
  <c r="M820" i="5" s="1"/>
  <c r="D46" i="52"/>
  <c r="D47" i="52" s="1"/>
  <c r="D15" i="52" s="1"/>
  <c r="D34" i="48"/>
  <c r="AB32" i="75"/>
  <c r="H3256" i="18"/>
  <c r="H4516" i="18"/>
  <c r="Q4509" i="18" s="1"/>
  <c r="Q21" i="75"/>
  <c r="U15" i="71"/>
  <c r="V16" i="71"/>
  <c r="V15" i="71"/>
  <c r="O2559" i="18"/>
  <c r="O6410" i="18" s="1"/>
  <c r="Q15" i="71"/>
  <c r="F16" i="88"/>
  <c r="H16" i="88" s="1"/>
  <c r="O79" i="6" s="1"/>
  <c r="H4963" i="18" s="1"/>
  <c r="H4897" i="18"/>
  <c r="K4878" i="18" s="1"/>
  <c r="O2879" i="18"/>
  <c r="O6429" i="18" s="1"/>
  <c r="E100" i="70"/>
  <c r="Y15" i="75"/>
  <c r="X15" i="75"/>
  <c r="X26" i="71"/>
  <c r="X16" i="75"/>
  <c r="I68" i="50"/>
  <c r="J68" i="50" s="1"/>
  <c r="F205" i="6"/>
  <c r="O4727" i="18"/>
  <c r="O6556" i="18" s="1"/>
  <c r="O4738" i="18"/>
  <c r="O6557" i="18" s="1"/>
  <c r="I445" i="5"/>
  <c r="J25" i="71" s="1"/>
  <c r="E52" i="70"/>
  <c r="I650" i="5"/>
  <c r="M121" i="5"/>
  <c r="L48" i="72" s="1"/>
  <c r="AA51" i="75" s="1"/>
  <c r="E39" i="6"/>
  <c r="F38" i="6"/>
  <c r="F47" i="69"/>
  <c r="F34" i="73"/>
  <c r="D57" i="52"/>
  <c r="R51" i="75"/>
  <c r="T51" i="75"/>
  <c r="O860" i="18"/>
  <c r="O6303" i="18" s="1"/>
  <c r="O872" i="18"/>
  <c r="O6304" i="18" s="1"/>
  <c r="O891" i="18"/>
  <c r="O6305" i="18" s="1"/>
  <c r="O3959" i="18"/>
  <c r="O6499" i="18" s="1"/>
  <c r="O3939" i="18"/>
  <c r="O6497" i="18" s="1"/>
  <c r="O3929" i="18"/>
  <c r="O6496" i="18" s="1"/>
  <c r="O3949" i="18"/>
  <c r="O6498" i="18" s="1"/>
  <c r="X33" i="71"/>
  <c r="Q51" i="75"/>
  <c r="O4053" i="18"/>
  <c r="O6507" i="18" s="1"/>
  <c r="O4098" i="18"/>
  <c r="O6511" i="18" s="1"/>
  <c r="T52" i="71"/>
  <c r="O1309" i="18"/>
  <c r="O6332" i="18" s="1"/>
  <c r="E6332" i="18" s="1"/>
  <c r="O1279" i="18"/>
  <c r="O6330" i="18" s="1"/>
  <c r="O1294" i="18"/>
  <c r="O6331" i="18" s="1"/>
  <c r="O1058" i="18"/>
  <c r="O6318" i="18" s="1"/>
  <c r="O1493" i="18"/>
  <c r="O6336" i="18" s="1"/>
  <c r="O1522" i="18"/>
  <c r="O6338" i="18" s="1"/>
  <c r="Z51" i="75"/>
  <c r="G15" i="72"/>
  <c r="H6193" i="18" s="1"/>
  <c r="E59" i="91" s="1"/>
  <c r="G271" i="50"/>
  <c r="E18" i="73"/>
  <c r="K4148" i="18"/>
  <c r="L4149" i="18" s="1"/>
  <c r="L6515" i="18" s="1"/>
  <c r="E6515" i="18" s="1"/>
  <c r="I767" i="5"/>
  <c r="I577" i="5"/>
  <c r="N25" i="71" s="1"/>
  <c r="I34" i="5"/>
  <c r="G115" i="50" s="1"/>
  <c r="I115" i="50" s="1"/>
  <c r="J115" i="50" s="1"/>
  <c r="I773" i="5"/>
  <c r="I772" i="5"/>
  <c r="I143" i="5"/>
  <c r="F108" i="48" s="1"/>
  <c r="I561" i="5"/>
  <c r="H534" i="5"/>
  <c r="I632" i="5"/>
  <c r="H633" i="5"/>
  <c r="G76" i="50"/>
  <c r="G86" i="50"/>
  <c r="F68" i="47"/>
  <c r="I68" i="47" s="1"/>
  <c r="J68" i="47" s="1"/>
  <c r="I533" i="5"/>
  <c r="G47" i="50"/>
  <c r="I47" i="50" s="1"/>
  <c r="J47" i="50" s="1"/>
  <c r="G55" i="50"/>
  <c r="G242" i="50"/>
  <c r="I78" i="47"/>
  <c r="J78" i="47" s="1"/>
  <c r="I460" i="5"/>
  <c r="K10" i="75" s="1"/>
  <c r="H618" i="5"/>
  <c r="I184" i="5"/>
  <c r="E57" i="69" s="1"/>
  <c r="I139" i="5"/>
  <c r="E19" i="69" s="1"/>
  <c r="I725" i="5"/>
  <c r="I101" i="5"/>
  <c r="G268" i="50" s="1"/>
  <c r="I268" i="50" s="1"/>
  <c r="J268" i="50" s="1"/>
  <c r="I721" i="5"/>
  <c r="F77" i="48" s="1"/>
  <c r="I112" i="5"/>
  <c r="F88" i="47" s="1"/>
  <c r="I88" i="47" s="1"/>
  <c r="J88" i="47" s="1"/>
  <c r="I548" i="5"/>
  <c r="M29" i="71" s="1"/>
  <c r="I620" i="5"/>
  <c r="O35" i="71" s="1"/>
  <c r="G54" i="50"/>
  <c r="I583" i="5"/>
  <c r="N31" i="71" s="1"/>
  <c r="J31" i="71"/>
  <c r="G92" i="50"/>
  <c r="I731" i="5"/>
  <c r="E26" i="69"/>
  <c r="G98" i="50"/>
  <c r="G270" i="50"/>
  <c r="I270" i="50" s="1"/>
  <c r="J270" i="50" s="1"/>
  <c r="G241" i="50"/>
  <c r="I241" i="50" s="1"/>
  <c r="J241" i="50" s="1"/>
  <c r="I384" i="5"/>
  <c r="H28" i="71" s="1"/>
  <c r="L35" i="75"/>
  <c r="G73" i="50"/>
  <c r="G72" i="50"/>
  <c r="G83" i="50"/>
  <c r="I421" i="5"/>
  <c r="I32" i="71" s="1"/>
  <c r="I310" i="5"/>
  <c r="F18" i="75" s="1"/>
  <c r="I87" i="5"/>
  <c r="K26" i="68" s="1"/>
  <c r="G291" i="50"/>
  <c r="I291" i="50" s="1"/>
  <c r="J291" i="50" s="1"/>
  <c r="G82" i="50"/>
  <c r="I432" i="5"/>
  <c r="J12" i="75" s="1"/>
  <c r="I617" i="5"/>
  <c r="O31" i="75" s="1"/>
  <c r="J11" i="71"/>
  <c r="G87" i="50"/>
  <c r="G75" i="50"/>
  <c r="G95" i="50"/>
  <c r="G81" i="50"/>
  <c r="K988" i="18"/>
  <c r="L1589" i="18" s="1"/>
  <c r="L6344" i="18" s="1"/>
  <c r="E6344" i="18" s="1"/>
  <c r="I149" i="5"/>
  <c r="F109" i="47" s="1"/>
  <c r="I109" i="47" s="1"/>
  <c r="J109" i="47" s="1"/>
  <c r="J10" i="75"/>
  <c r="K4425" i="18"/>
  <c r="L4426" i="18" s="1"/>
  <c r="L6536" i="18" s="1"/>
  <c r="E6536" i="18" s="1"/>
  <c r="G97" i="50"/>
  <c r="G69" i="50"/>
  <c r="I69" i="50" s="1"/>
  <c r="J69" i="50" s="1"/>
  <c r="G96" i="50"/>
  <c r="G74" i="50"/>
  <c r="G79" i="50"/>
  <c r="G89" i="50"/>
  <c r="G93" i="50"/>
  <c r="G85" i="50"/>
  <c r="G77" i="50"/>
  <c r="I511" i="5"/>
  <c r="L24" i="75" s="1"/>
  <c r="I439" i="5"/>
  <c r="J19" i="75" s="1"/>
  <c r="I104" i="5"/>
  <c r="K4248" i="18" s="1"/>
  <c r="L4249" i="18" s="1"/>
  <c r="L6523" i="18" s="1"/>
  <c r="E6523" i="18" s="1"/>
  <c r="K46" i="72"/>
  <c r="G78" i="50"/>
  <c r="G91" i="50"/>
  <c r="G84" i="50"/>
  <c r="G71" i="50"/>
  <c r="G100" i="50"/>
  <c r="I861" i="5"/>
  <c r="F93" i="47"/>
  <c r="I93" i="47" s="1"/>
  <c r="J93" i="47" s="1"/>
  <c r="K49" i="68"/>
  <c r="E52" i="71" s="1"/>
  <c r="G80" i="50"/>
  <c r="G90" i="50"/>
  <c r="G88" i="50"/>
  <c r="G70" i="50"/>
  <c r="G94" i="50"/>
  <c r="G99" i="50"/>
  <c r="I837" i="5"/>
  <c r="I292" i="5"/>
  <c r="E30" i="75" s="1"/>
  <c r="F76" i="47"/>
  <c r="I76" i="47" s="1"/>
  <c r="I134" i="5"/>
  <c r="E14" i="69" s="1"/>
  <c r="I33" i="5"/>
  <c r="G114" i="50" s="1"/>
  <c r="G267" i="50"/>
  <c r="I267" i="50" s="1"/>
  <c r="J267" i="50" s="1"/>
  <c r="G60" i="50"/>
  <c r="I60" i="50" s="1"/>
  <c r="J60" i="50" s="1"/>
  <c r="H453" i="5"/>
  <c r="I646" i="5"/>
  <c r="F20" i="47"/>
  <c r="I20" i="47" s="1"/>
  <c r="J20" i="47" s="1"/>
  <c r="G59" i="50"/>
  <c r="E50" i="69"/>
  <c r="K38" i="68"/>
  <c r="AB21" i="71"/>
  <c r="G57" i="50"/>
  <c r="I57" i="50" s="1"/>
  <c r="J57" i="50" s="1"/>
  <c r="G62" i="50"/>
  <c r="G58" i="50"/>
  <c r="H474" i="5"/>
  <c r="I30" i="5"/>
  <c r="G101" i="50" s="1"/>
  <c r="I101" i="50" s="1"/>
  <c r="J101" i="50" s="1"/>
  <c r="H634" i="5"/>
  <c r="H563" i="5"/>
  <c r="I438" i="5"/>
  <c r="J18" i="75" s="1"/>
  <c r="I728" i="5"/>
  <c r="I363" i="5"/>
  <c r="H10" i="71" s="1"/>
  <c r="I376" i="5"/>
  <c r="H20" i="71" s="1"/>
  <c r="I19" i="5"/>
  <c r="G45" i="50" s="1"/>
  <c r="I107" i="5"/>
  <c r="K43" i="68" s="1"/>
  <c r="I386" i="5"/>
  <c r="H29" i="75" s="1"/>
  <c r="I334" i="5"/>
  <c r="I588" i="5"/>
  <c r="I769" i="5"/>
  <c r="I392" i="5"/>
  <c r="H36" i="71" s="1"/>
  <c r="F75" i="48"/>
  <c r="I381" i="5"/>
  <c r="I39" i="5"/>
  <c r="G124" i="50" s="1"/>
  <c r="I124" i="50" s="1"/>
  <c r="J124" i="50" s="1"/>
  <c r="K28" i="75"/>
  <c r="I56" i="5"/>
  <c r="I514" i="5"/>
  <c r="L28" i="71" s="1"/>
  <c r="I489" i="5"/>
  <c r="K35" i="75" s="1"/>
  <c r="I186" i="5"/>
  <c r="E47" i="73" s="1"/>
  <c r="I71" i="5"/>
  <c r="F60" i="47" s="1"/>
  <c r="I60" i="47" s="1"/>
  <c r="J60" i="47" s="1"/>
  <c r="H651" i="5"/>
  <c r="I272" i="5"/>
  <c r="I414" i="5"/>
  <c r="I24" i="75" s="1"/>
  <c r="I616" i="5"/>
  <c r="O31" i="71" s="1"/>
  <c r="I75" i="5"/>
  <c r="G229" i="50" s="1"/>
  <c r="G44" i="68"/>
  <c r="G179" i="50"/>
  <c r="I179" i="50" s="1"/>
  <c r="J179" i="50" s="1"/>
  <c r="K2822" i="18"/>
  <c r="K698" i="18"/>
  <c r="L849" i="18" s="1"/>
  <c r="L6302" i="18" s="1"/>
  <c r="E6302" i="18" s="1"/>
  <c r="G53" i="50"/>
  <c r="I58" i="5"/>
  <c r="F49" i="47" s="1"/>
  <c r="I49" i="47" s="1"/>
  <c r="J49" i="47" s="1"/>
  <c r="I91" i="5"/>
  <c r="K22" i="72" s="1"/>
  <c r="I729" i="5"/>
  <c r="I84" i="5"/>
  <c r="K24" i="68" s="1"/>
  <c r="I425" i="5"/>
  <c r="I36" i="71" s="1"/>
  <c r="I135" i="5"/>
  <c r="E15" i="69" s="1"/>
  <c r="I281" i="5"/>
  <c r="I417" i="5"/>
  <c r="I409" i="5"/>
  <c r="I20" i="75" s="1"/>
  <c r="I180" i="5"/>
  <c r="E43" i="73" s="1"/>
  <c r="I780" i="5"/>
  <c r="I587" i="5"/>
  <c r="I730" i="5"/>
  <c r="I116" i="5"/>
  <c r="K52" i="68" s="1"/>
  <c r="I52" i="71" s="1"/>
  <c r="G35" i="72"/>
  <c r="E203" i="91" s="1"/>
  <c r="F204" i="91" s="1"/>
  <c r="K30" i="71"/>
  <c r="G52" i="50"/>
  <c r="G50" i="50"/>
  <c r="G14" i="72"/>
  <c r="G16" i="68"/>
  <c r="F19" i="47"/>
  <c r="I19" i="47" s="1"/>
  <c r="J19" i="47" s="1"/>
  <c r="G49" i="50"/>
  <c r="I98" i="5"/>
  <c r="I593" i="5"/>
  <c r="I285" i="5"/>
  <c r="H519" i="5"/>
  <c r="I517" i="5"/>
  <c r="I407" i="5"/>
  <c r="I576" i="5"/>
  <c r="K859" i="18"/>
  <c r="L891" i="18" s="1"/>
  <c r="L6305" i="18" s="1"/>
  <c r="G61" i="50"/>
  <c r="K29" i="72"/>
  <c r="H277" i="5"/>
  <c r="I55" i="5"/>
  <c r="I129" i="5"/>
  <c r="E9" i="69" s="1"/>
  <c r="H389" i="5"/>
  <c r="K19" i="71"/>
  <c r="F81" i="47"/>
  <c r="I81" i="47" s="1"/>
  <c r="J81" i="47" s="1"/>
  <c r="G25" i="71"/>
  <c r="H18" i="71"/>
  <c r="I284" i="5"/>
  <c r="E23" i="71" s="1"/>
  <c r="I471" i="5"/>
  <c r="H530" i="5"/>
  <c r="I311" i="5"/>
  <c r="F19" i="71" s="1"/>
  <c r="I147" i="5"/>
  <c r="E15" i="73" s="1"/>
  <c r="I79" i="5"/>
  <c r="K19" i="68" s="1"/>
  <c r="H349" i="5"/>
  <c r="I621" i="5"/>
  <c r="I608" i="5"/>
  <c r="O23" i="71" s="1"/>
  <c r="I387" i="5"/>
  <c r="I613" i="5"/>
  <c r="I473" i="5"/>
  <c r="I732" i="5"/>
  <c r="H404" i="5"/>
  <c r="I603" i="5"/>
  <c r="I636" i="5"/>
  <c r="I726" i="5"/>
  <c r="I403" i="5"/>
  <c r="I68" i="5"/>
  <c r="K10" i="68" s="1"/>
  <c r="I461" i="5"/>
  <c r="I131" i="5"/>
  <c r="E11" i="69" s="1"/>
  <c r="I580" i="5"/>
  <c r="I190" i="5"/>
  <c r="I276" i="5"/>
  <c r="K4262" i="18"/>
  <c r="L4263" i="18" s="1"/>
  <c r="L6524" i="18" s="1"/>
  <c r="E6524" i="18" s="1"/>
  <c r="I558" i="5"/>
  <c r="N9" i="75" s="1"/>
  <c r="E39" i="73"/>
  <c r="F39" i="47"/>
  <c r="I39" i="47" s="1"/>
  <c r="J39" i="47" s="1"/>
  <c r="G279" i="50"/>
  <c r="I279" i="50" s="1"/>
  <c r="J279" i="50" s="1"/>
  <c r="I605" i="5"/>
  <c r="O20" i="75" s="1"/>
  <c r="I176" i="5"/>
  <c r="E51" i="69" s="1"/>
  <c r="H172" i="5"/>
  <c r="H552" i="5"/>
  <c r="I289" i="5"/>
  <c r="E27" i="75" s="1"/>
  <c r="I582" i="5"/>
  <c r="N30" i="71" s="1"/>
  <c r="I12" i="5"/>
  <c r="G9" i="68" s="1"/>
  <c r="I510" i="5"/>
  <c r="I95" i="5"/>
  <c r="I114" i="5"/>
  <c r="K41" i="68"/>
  <c r="K32" i="72"/>
  <c r="I312" i="5"/>
  <c r="I449" i="5"/>
  <c r="I719" i="5"/>
  <c r="I560" i="5"/>
  <c r="I385" i="5"/>
  <c r="I720" i="5"/>
  <c r="I551" i="5"/>
  <c r="I111" i="5"/>
  <c r="I770" i="5"/>
  <c r="I83" i="5"/>
  <c r="I13" i="5"/>
  <c r="G10" i="68" s="1"/>
  <c r="I555" i="5"/>
  <c r="I154" i="5"/>
  <c r="E21" i="73" s="1"/>
  <c r="I418" i="5"/>
  <c r="I542" i="5"/>
  <c r="M23" i="71" s="1"/>
  <c r="M567" i="5"/>
  <c r="AA15" i="71" s="1"/>
  <c r="F83" i="69" s="1"/>
  <c r="G166" i="50"/>
  <c r="G42" i="68"/>
  <c r="I598" i="5"/>
  <c r="I151" i="5"/>
  <c r="E19" i="73" s="1"/>
  <c r="H336" i="5"/>
  <c r="I106" i="5"/>
  <c r="K33" i="72" s="1"/>
  <c r="G33" i="72"/>
  <c r="G167" i="50"/>
  <c r="H274" i="5"/>
  <c r="I89" i="5"/>
  <c r="I559" i="5"/>
  <c r="I341" i="5"/>
  <c r="H344" i="5"/>
  <c r="I333" i="5"/>
  <c r="I467" i="5"/>
  <c r="I412" i="5"/>
  <c r="I23" i="71" s="1"/>
  <c r="I96" i="5"/>
  <c r="I42" i="5"/>
  <c r="K2558" i="18"/>
  <c r="L2601" i="18" s="1"/>
  <c r="L6411" i="18" s="1"/>
  <c r="E6411" i="18" s="1"/>
  <c r="H204" i="5"/>
  <c r="I280" i="5"/>
  <c r="I481" i="5"/>
  <c r="I181" i="5"/>
  <c r="I351" i="5"/>
  <c r="I54" i="5"/>
  <c r="I359" i="5"/>
  <c r="I320" i="5"/>
  <c r="H294" i="5"/>
  <c r="G164" i="50"/>
  <c r="I4579" i="18"/>
  <c r="I4580" i="18" s="1"/>
  <c r="I4581" i="18" s="1"/>
  <c r="K4565" i="18"/>
  <c r="H501" i="5"/>
  <c r="I189" i="5"/>
  <c r="I140" i="5"/>
  <c r="E20" i="69" s="1"/>
  <c r="I59" i="5"/>
  <c r="H512" i="5"/>
  <c r="H734" i="5"/>
  <c r="I4560" i="18"/>
  <c r="I4561" i="18" s="1"/>
  <c r="I4562" i="18" s="1"/>
  <c r="K4542" i="18"/>
  <c r="L12" i="71"/>
  <c r="L12" i="75"/>
  <c r="J31" i="75"/>
  <c r="J32" i="71"/>
  <c r="H216" i="5"/>
  <c r="K34" i="75"/>
  <c r="K35" i="71"/>
  <c r="I314" i="5"/>
  <c r="G313" i="5"/>
  <c r="I338" i="5"/>
  <c r="F112" i="47"/>
  <c r="I112" i="47" s="1"/>
  <c r="J112" i="47" s="1"/>
  <c r="G319" i="50"/>
  <c r="I319" i="50" s="1"/>
  <c r="J319" i="50" s="1"/>
  <c r="E35" i="69"/>
  <c r="F23" i="75"/>
  <c r="K4863" i="18"/>
  <c r="L4864" i="18" s="1"/>
  <c r="L6564" i="18" s="1"/>
  <c r="E6564" i="18" s="1"/>
  <c r="G596" i="5"/>
  <c r="I591" i="5"/>
  <c r="M31" i="71"/>
  <c r="M30" i="75"/>
  <c r="G446" i="5"/>
  <c r="I447" i="5"/>
  <c r="E22" i="73"/>
  <c r="E73" i="8" s="1"/>
  <c r="F739" i="5" s="1"/>
  <c r="I739" i="5" s="1"/>
  <c r="E70" i="70" s="1"/>
  <c r="I470" i="5"/>
  <c r="G469" i="5"/>
  <c r="H232" i="5"/>
  <c r="I133" i="5"/>
  <c r="G132" i="5"/>
  <c r="I500" i="5"/>
  <c r="I379" i="5"/>
  <c r="H23" i="71" s="1"/>
  <c r="H251" i="5"/>
  <c r="H219" i="5"/>
  <c r="H214" i="5"/>
  <c r="H246" i="5"/>
  <c r="H446" i="5"/>
  <c r="I343" i="5"/>
  <c r="I579" i="5"/>
  <c r="G578" i="5"/>
  <c r="I24" i="5"/>
  <c r="G20" i="68" s="1"/>
  <c r="I243" i="5"/>
  <c r="G245" i="5"/>
  <c r="H221" i="5"/>
  <c r="I11" i="5"/>
  <c r="G35" i="5"/>
  <c r="H422" i="5"/>
  <c r="H415" i="5" s="1"/>
  <c r="I494" i="5"/>
  <c r="I259" i="5"/>
  <c r="G226" i="5"/>
  <c r="I261" i="5"/>
  <c r="G228" i="5"/>
  <c r="I279" i="5"/>
  <c r="I408" i="5"/>
  <c r="H436" i="5"/>
  <c r="I355" i="5"/>
  <c r="I347" i="5"/>
  <c r="I571" i="5"/>
  <c r="I539" i="5"/>
  <c r="I353" i="5"/>
  <c r="I538" i="5"/>
  <c r="I399" i="5"/>
  <c r="H568" i="5"/>
  <c r="I397" i="5"/>
  <c r="I324" i="5"/>
  <c r="H479" i="5"/>
  <c r="I137" i="5"/>
  <c r="E17" i="69" s="1"/>
  <c r="I240" i="5"/>
  <c r="G207" i="5"/>
  <c r="I22" i="5"/>
  <c r="G18" i="68" s="1"/>
  <c r="I40" i="5"/>
  <c r="I463" i="5"/>
  <c r="G552" i="5"/>
  <c r="I553" i="5"/>
  <c r="I57" i="5"/>
  <c r="I286" i="5"/>
  <c r="G339" i="5"/>
  <c r="I340" i="5"/>
  <c r="I148" i="5"/>
  <c r="I619" i="5"/>
  <c r="G618" i="5"/>
  <c r="I120" i="5"/>
  <c r="I456" i="5"/>
  <c r="I77" i="5"/>
  <c r="K17" i="68" s="1"/>
  <c r="I366" i="5"/>
  <c r="I265" i="5"/>
  <c r="G232" i="5"/>
  <c r="I257" i="5"/>
  <c r="G224" i="5"/>
  <c r="G256" i="5"/>
  <c r="I185" i="5"/>
  <c r="I614" i="5"/>
  <c r="H217" i="5"/>
  <c r="I391" i="5"/>
  <c r="I495" i="5"/>
  <c r="I145" i="5"/>
  <c r="I476" i="5"/>
  <c r="K23" i="71" s="1"/>
  <c r="I187" i="5"/>
  <c r="I536" i="5"/>
  <c r="G535" i="5"/>
  <c r="I16" i="5"/>
  <c r="I420" i="5"/>
  <c r="I413" i="5"/>
  <c r="I255" i="5"/>
  <c r="G222" i="5"/>
  <c r="H644" i="5"/>
  <c r="H207" i="5"/>
  <c r="I290" i="5"/>
  <c r="I188" i="5"/>
  <c r="H313" i="5"/>
  <c r="H468" i="5"/>
  <c r="H441" i="5"/>
  <c r="I301" i="5"/>
  <c r="H241" i="5"/>
  <c r="H203" i="5"/>
  <c r="I346" i="5"/>
  <c r="G23" i="71" s="1"/>
  <c r="I70" i="5"/>
  <c r="I641" i="5"/>
  <c r="I14" i="5"/>
  <c r="H225" i="5"/>
  <c r="I529" i="5"/>
  <c r="I273" i="5"/>
  <c r="I544" i="5"/>
  <c r="I478" i="5"/>
  <c r="I774" i="5"/>
  <c r="G422" i="5"/>
  <c r="G415" i="5" s="1"/>
  <c r="I423" i="5"/>
  <c r="I771" i="5"/>
  <c r="I278" i="5"/>
  <c r="G277" i="5"/>
  <c r="I777" i="5"/>
  <c r="I635" i="5"/>
  <c r="G634" i="5"/>
  <c r="I775" i="5"/>
  <c r="I69" i="5"/>
  <c r="G287" i="5"/>
  <c r="I288" i="5"/>
  <c r="I142" i="5"/>
  <c r="I342" i="5"/>
  <c r="I52" i="5"/>
  <c r="I727" i="5"/>
  <c r="I485" i="5"/>
  <c r="I271" i="5"/>
  <c r="I638" i="5"/>
  <c r="I375" i="5"/>
  <c r="I395" i="5"/>
  <c r="G400" i="5"/>
  <c r="G639" i="5"/>
  <c r="I640" i="5"/>
  <c r="I388" i="5"/>
  <c r="I90" i="5"/>
  <c r="H629" i="5"/>
  <c r="I138" i="5"/>
  <c r="E18" i="69" s="1"/>
  <c r="H400" i="5"/>
  <c r="I38" i="5"/>
  <c r="H578" i="5"/>
  <c r="I424" i="5"/>
  <c r="I260" i="5"/>
  <c r="G227" i="5"/>
  <c r="E49" i="69"/>
  <c r="E36" i="73"/>
  <c r="I328" i="5"/>
  <c r="I153" i="5"/>
  <c r="H206" i="5"/>
  <c r="I586" i="5"/>
  <c r="G585" i="5"/>
  <c r="H287" i="5"/>
  <c r="I99" i="5"/>
  <c r="G501" i="5"/>
  <c r="I499" i="5"/>
  <c r="I477" i="5"/>
  <c r="I599" i="5"/>
  <c r="G56" i="50"/>
  <c r="G51" i="50"/>
  <c r="G563" i="5"/>
  <c r="I416" i="5"/>
  <c r="I625" i="5"/>
  <c r="I419" i="5"/>
  <c r="H606" i="5"/>
  <c r="H405" i="5"/>
  <c r="I562" i="5"/>
  <c r="I518" i="5"/>
  <c r="I250" i="5"/>
  <c r="G217" i="5"/>
  <c r="I331" i="5"/>
  <c r="G336" i="5"/>
  <c r="G220" i="5"/>
  <c r="I253" i="5"/>
  <c r="I527" i="5"/>
  <c r="H339" i="5"/>
  <c r="I74" i="5"/>
  <c r="I297" i="5"/>
  <c r="G512" i="5"/>
  <c r="I513" i="5"/>
  <c r="I626" i="5"/>
  <c r="H222" i="5"/>
  <c r="I46" i="5"/>
  <c r="G479" i="5"/>
  <c r="I480" i="5"/>
  <c r="H215" i="5"/>
  <c r="I506" i="5"/>
  <c r="H245" i="5"/>
  <c r="H211" i="5"/>
  <c r="I365" i="5"/>
  <c r="I156" i="5"/>
  <c r="I247" i="5"/>
  <c r="G246" i="5"/>
  <c r="G214" i="5"/>
  <c r="E42" i="73"/>
  <c r="E55" i="69"/>
  <c r="I262" i="5"/>
  <c r="G229" i="5"/>
  <c r="I283" i="5"/>
  <c r="G282" i="5"/>
  <c r="E29" i="6"/>
  <c r="F28" i="6"/>
  <c r="I516" i="5"/>
  <c r="I570" i="5"/>
  <c r="I73" i="5"/>
  <c r="H573" i="5"/>
  <c r="I604" i="5"/>
  <c r="I546" i="5"/>
  <c r="G545" i="5"/>
  <c r="H611" i="5"/>
  <c r="H507" i="5"/>
  <c r="I443" i="5"/>
  <c r="J23" i="71" s="1"/>
  <c r="I541" i="5"/>
  <c r="G540" i="5"/>
  <c r="I765" i="5"/>
  <c r="H371" i="5"/>
  <c r="I317" i="5"/>
  <c r="I724" i="5"/>
  <c r="I627" i="5"/>
  <c r="I554" i="5"/>
  <c r="H382" i="5"/>
  <c r="I81" i="5"/>
  <c r="I455" i="5"/>
  <c r="I653" i="5"/>
  <c r="I766" i="5"/>
  <c r="G377" i="5"/>
  <c r="I378" i="5"/>
  <c r="G568" i="5"/>
  <c r="I569" i="5"/>
  <c r="I768" i="5"/>
  <c r="I60" i="5"/>
  <c r="I32" i="5"/>
  <c r="H227" i="5"/>
  <c r="I264" i="5"/>
  <c r="G263" i="5"/>
  <c r="G231" i="5"/>
  <c r="I647" i="5"/>
  <c r="I78" i="5"/>
  <c r="K18" i="68" s="1"/>
  <c r="H194" i="5"/>
  <c r="G433" i="5"/>
  <c r="I428" i="5"/>
  <c r="I157" i="5"/>
  <c r="I191" i="5"/>
  <c r="Q4398" i="18" s="1"/>
  <c r="I25" i="5"/>
  <c r="I649" i="5"/>
  <c r="I43" i="5"/>
  <c r="F35" i="47" s="1"/>
  <c r="I35" i="47" s="1"/>
  <c r="J35" i="47" s="1"/>
  <c r="H132" i="5"/>
  <c r="I781" i="5"/>
  <c r="G194" i="5"/>
  <c r="I168" i="5"/>
  <c r="I610" i="5"/>
  <c r="G651" i="5"/>
  <c r="I652" i="5"/>
  <c r="I440" i="5"/>
  <c r="I475" i="5"/>
  <c r="G474" i="5"/>
  <c r="I600" i="5"/>
  <c r="H325" i="5"/>
  <c r="I574" i="5"/>
  <c r="G573" i="5"/>
  <c r="I86" i="5"/>
  <c r="I323" i="5"/>
  <c r="I779" i="5"/>
  <c r="G204" i="5"/>
  <c r="I237" i="5"/>
  <c r="I615" i="5"/>
  <c r="H535" i="5"/>
  <c r="I44" i="5"/>
  <c r="I266" i="5"/>
  <c r="G233" i="5"/>
  <c r="H256" i="5"/>
  <c r="H224" i="5"/>
  <c r="I450" i="5"/>
  <c r="I327" i="5"/>
  <c r="H229" i="5"/>
  <c r="H377" i="5"/>
  <c r="I123" i="5"/>
  <c r="H356" i="5"/>
  <c r="I459" i="5"/>
  <c r="G464" i="5"/>
  <c r="K25" i="68"/>
  <c r="K19" i="72"/>
  <c r="G367" i="5"/>
  <c r="I362" i="5"/>
  <c r="I607" i="5"/>
  <c r="G606" i="5"/>
  <c r="I332" i="5"/>
  <c r="I315" i="5"/>
  <c r="F23" i="71" s="1"/>
  <c r="I411" i="5"/>
  <c r="G410" i="5"/>
  <c r="I352" i="5"/>
  <c r="I31" i="5"/>
  <c r="I612" i="5"/>
  <c r="G611" i="5"/>
  <c r="I631" i="5"/>
  <c r="G633" i="5"/>
  <c r="I144" i="5"/>
  <c r="H308" i="5"/>
  <c r="I572" i="5"/>
  <c r="H372" i="5"/>
  <c r="I462" i="5"/>
  <c r="I321" i="5"/>
  <c r="I537" i="5"/>
  <c r="I179" i="5"/>
  <c r="G178" i="5"/>
  <c r="I648" i="5"/>
  <c r="H228" i="5"/>
  <c r="I258" i="5"/>
  <c r="G225" i="5"/>
  <c r="F24" i="6"/>
  <c r="F23" i="6"/>
  <c r="I322" i="5"/>
  <c r="H639" i="5"/>
  <c r="H63" i="5"/>
  <c r="I547" i="5"/>
  <c r="G349" i="5"/>
  <c r="I350" i="5"/>
  <c r="H540" i="5"/>
  <c r="I575" i="5"/>
  <c r="N23" i="71" s="1"/>
  <c r="I521" i="5"/>
  <c r="I358" i="5"/>
  <c r="I152" i="5"/>
  <c r="E32" i="69" s="1"/>
  <c r="I493" i="5"/>
  <c r="I383" i="5"/>
  <c r="G382" i="5"/>
  <c r="I302" i="5"/>
  <c r="I26" i="5"/>
  <c r="I776" i="5"/>
  <c r="G404" i="5"/>
  <c r="I402" i="5"/>
  <c r="I528" i="5"/>
  <c r="H318" i="5"/>
  <c r="I15" i="5"/>
  <c r="I335" i="5"/>
  <c r="I592" i="5"/>
  <c r="I236" i="5"/>
  <c r="G241" i="5"/>
  <c r="G203" i="5"/>
  <c r="I543" i="5"/>
  <c r="G534" i="5"/>
  <c r="I532" i="5"/>
  <c r="I304" i="5"/>
  <c r="I370" i="5"/>
  <c r="I41" i="5"/>
  <c r="I581" i="5"/>
  <c r="G441" i="5"/>
  <c r="I442" i="5"/>
  <c r="I733" i="5"/>
  <c r="I18" i="5"/>
  <c r="I48" i="5"/>
  <c r="G216" i="5"/>
  <c r="I249" i="5"/>
  <c r="H305" i="5"/>
  <c r="H469" i="5"/>
  <c r="I398" i="5"/>
  <c r="I53" i="5"/>
  <c r="H263" i="5"/>
  <c r="H231" i="5"/>
  <c r="G211" i="5"/>
  <c r="I244" i="5"/>
  <c r="H35" i="5"/>
  <c r="G294" i="5"/>
  <c r="I295" i="5"/>
  <c r="G305" i="5"/>
  <c r="I300" i="5"/>
  <c r="I76" i="5"/>
  <c r="H205" i="5"/>
  <c r="I248" i="5"/>
  <c r="G215" i="5"/>
  <c r="I718" i="5"/>
  <c r="G734" i="5"/>
  <c r="I269" i="5"/>
  <c r="G274" i="5"/>
  <c r="G206" i="5"/>
  <c r="I239" i="5"/>
  <c r="I94" i="5"/>
  <c r="G108" i="5"/>
  <c r="I252" i="5"/>
  <c r="G251" i="5"/>
  <c r="G219" i="5"/>
  <c r="I492" i="5"/>
  <c r="G497" i="5"/>
  <c r="H178" i="5"/>
  <c r="H502" i="5"/>
  <c r="H233" i="5"/>
  <c r="G323" i="50"/>
  <c r="F116" i="47"/>
  <c r="I116" i="47" s="1"/>
  <c r="J116" i="47" s="1"/>
  <c r="K4914" i="18"/>
  <c r="G322" i="50"/>
  <c r="E26" i="73"/>
  <c r="E39" i="69"/>
  <c r="I595" i="5"/>
  <c r="G325" i="5"/>
  <c r="I326" i="5"/>
  <c r="I396" i="5"/>
  <c r="I80" i="5"/>
  <c r="K20" i="68" s="1"/>
  <c r="H220" i="5"/>
  <c r="H158" i="5"/>
  <c r="H161" i="5" s="1"/>
  <c r="H127" i="5"/>
  <c r="G502" i="5"/>
  <c r="I503" i="5"/>
  <c r="H226" i="5"/>
  <c r="I624" i="5"/>
  <c r="G629" i="5"/>
  <c r="I466" i="5"/>
  <c r="G468" i="5"/>
  <c r="I118" i="5"/>
  <c r="H464" i="5"/>
  <c r="I345" i="5"/>
  <c r="G344" i="5"/>
  <c r="H410" i="5"/>
  <c r="I390" i="5"/>
  <c r="G389" i="5"/>
  <c r="I504" i="5"/>
  <c r="I319" i="5"/>
  <c r="G318" i="5"/>
  <c r="I723" i="5"/>
  <c r="G519" i="5"/>
  <c r="I520" i="5"/>
  <c r="I62" i="5"/>
  <c r="I549" i="5"/>
  <c r="I27" i="5"/>
  <c r="I448" i="5"/>
  <c r="I173" i="5"/>
  <c r="G172" i="5"/>
  <c r="H433" i="5"/>
  <c r="I291" i="5"/>
  <c r="I515" i="5"/>
  <c r="I645" i="5"/>
  <c r="G644" i="5"/>
  <c r="I602" i="5"/>
  <c r="G601" i="5"/>
  <c r="G127" i="5"/>
  <c r="G158" i="5"/>
  <c r="G161" i="5" s="1"/>
  <c r="I128" i="5"/>
  <c r="H282" i="5"/>
  <c r="H497" i="5"/>
  <c r="G221" i="5"/>
  <c r="I254" i="5"/>
  <c r="I609" i="5"/>
  <c r="I270" i="5"/>
  <c r="H596" i="5"/>
  <c r="I97" i="5"/>
  <c r="G308" i="5"/>
  <c r="I309" i="5"/>
  <c r="I136" i="5"/>
  <c r="E16" i="69" s="1"/>
  <c r="G371" i="5"/>
  <c r="I369" i="5"/>
  <c r="G453" i="5"/>
  <c r="I454" i="5"/>
  <c r="I357" i="5"/>
  <c r="G356" i="5"/>
  <c r="G507" i="5"/>
  <c r="I508" i="5"/>
  <c r="G486" i="5"/>
  <c r="I487" i="5"/>
  <c r="I66" i="5"/>
  <c r="G92" i="5"/>
  <c r="I354" i="5"/>
  <c r="I584" i="5"/>
  <c r="E56" i="6"/>
  <c r="F55" i="6"/>
  <c r="I642" i="5"/>
  <c r="I67" i="5"/>
  <c r="K9" i="68" s="1"/>
  <c r="H545" i="5"/>
  <c r="I484" i="5"/>
  <c r="I380" i="5"/>
  <c r="I141" i="5"/>
  <c r="I307" i="5"/>
  <c r="H367" i="5"/>
  <c r="I103" i="5"/>
  <c r="G205" i="5"/>
  <c r="I238" i="5"/>
  <c r="I50" i="5"/>
  <c r="H601" i="5"/>
  <c r="I406" i="5"/>
  <c r="G405" i="5"/>
  <c r="I526" i="5"/>
  <c r="I505" i="5"/>
  <c r="I637" i="5"/>
  <c r="G436" i="5"/>
  <c r="I437" i="5"/>
  <c r="I160" i="5"/>
  <c r="I45" i="5"/>
  <c r="I594" i="5"/>
  <c r="H108" i="5"/>
  <c r="I444" i="5"/>
  <c r="I4533" i="18"/>
  <c r="Q4518" i="18" s="1"/>
  <c r="G530" i="5"/>
  <c r="I525" i="5"/>
  <c r="I115" i="5"/>
  <c r="I373" i="5"/>
  <c r="G372" i="5"/>
  <c r="I37" i="5"/>
  <c r="G33" i="68" s="1"/>
  <c r="V16" i="75"/>
  <c r="Q32" i="75"/>
  <c r="E129" i="21"/>
  <c r="L35" i="72"/>
  <c r="G38" i="51"/>
  <c r="V26" i="71"/>
  <c r="X21" i="71"/>
  <c r="AA33" i="71"/>
  <c r="U13" i="71"/>
  <c r="Q21" i="71"/>
  <c r="X25" i="75"/>
  <c r="V32" i="75"/>
  <c r="AB16" i="71"/>
  <c r="AC29" i="75"/>
  <c r="F78" i="74"/>
  <c r="F105" i="74" s="1"/>
  <c r="Y32" i="75"/>
  <c r="Y21" i="71"/>
  <c r="U25" i="75"/>
  <c r="AA13" i="75"/>
  <c r="AB21" i="75"/>
  <c r="X16" i="71"/>
  <c r="Q16" i="75"/>
  <c r="U16" i="75"/>
  <c r="Q16" i="71"/>
  <c r="H31" i="68"/>
  <c r="I709" i="5"/>
  <c r="X13" i="75"/>
  <c r="V13" i="75"/>
  <c r="K1012" i="18"/>
  <c r="L1012" i="18" s="1"/>
  <c r="M216" i="50"/>
  <c r="N216" i="50" s="1"/>
  <c r="M215" i="50"/>
  <c r="N215" i="50" s="1"/>
  <c r="M9" i="50"/>
  <c r="N9" i="50" s="1"/>
  <c r="M239" i="50"/>
  <c r="N239" i="50" s="1"/>
  <c r="M205" i="50"/>
  <c r="N205" i="50" s="1"/>
  <c r="M13" i="50"/>
  <c r="N13" i="50" s="1"/>
  <c r="M68" i="50"/>
  <c r="N68" i="50" s="1"/>
  <c r="D54" i="51"/>
  <c r="AB16" i="75"/>
  <c r="Q5087" i="18"/>
  <c r="K5087" i="18"/>
  <c r="K4500" i="18"/>
  <c r="Q4500" i="18"/>
  <c r="K4946" i="18"/>
  <c r="Q4946" i="18"/>
  <c r="O3434" i="18"/>
  <c r="O6461" i="18" s="1"/>
  <c r="K5022" i="18"/>
  <c r="Q5022" i="18"/>
  <c r="K4928" i="18"/>
  <c r="H4940" i="18"/>
  <c r="H4941" i="18" s="1"/>
  <c r="H4942" i="18" s="1"/>
  <c r="K4943" i="18" s="1"/>
  <c r="L4943" i="18" s="1"/>
  <c r="Q4928" i="18"/>
  <c r="O3772" i="18"/>
  <c r="O6484" i="18" s="1"/>
  <c r="L1014" i="18"/>
  <c r="L6315" i="18" s="1"/>
  <c r="E6315" i="18" s="1"/>
  <c r="AA16" i="71"/>
  <c r="L5087" i="18"/>
  <c r="L6580" i="18" s="1"/>
  <c r="E6580" i="18" s="1"/>
  <c r="M14" i="50"/>
  <c r="N14" i="50" s="1"/>
  <c r="L31" i="68"/>
  <c r="M268" i="50"/>
  <c r="N268" i="50" s="1"/>
  <c r="F53" i="69"/>
  <c r="K4801" i="18"/>
  <c r="Q4801" i="18"/>
  <c r="K4696" i="18"/>
  <c r="Q4696" i="18"/>
  <c r="Q4752" i="18"/>
  <c r="K4752" i="18"/>
  <c r="O3308" i="18"/>
  <c r="O6450" i="18" s="1"/>
  <c r="M231" i="50"/>
  <c r="N231" i="50" s="1"/>
  <c r="K5076" i="18"/>
  <c r="Q5076" i="18"/>
  <c r="F112" i="6"/>
  <c r="Y16" i="75"/>
  <c r="V21" i="71"/>
  <c r="M255" i="50"/>
  <c r="N255" i="50" s="1"/>
  <c r="O989" i="18"/>
  <c r="O6314" i="18" s="1"/>
  <c r="Q4665" i="18"/>
  <c r="K4665" i="18"/>
  <c r="Q4635" i="18"/>
  <c r="K4635" i="18"/>
  <c r="K5065" i="18"/>
  <c r="L5065" i="18" s="1"/>
  <c r="L6578" i="18" s="1"/>
  <c r="E6578" i="18" s="1"/>
  <c r="Q5065" i="18"/>
  <c r="K5054" i="18"/>
  <c r="Q5054" i="18"/>
  <c r="K4915" i="18"/>
  <c r="Q4915" i="18"/>
  <c r="W25" i="75"/>
  <c r="T32" i="75"/>
  <c r="S33" i="71"/>
  <c r="W26" i="71"/>
  <c r="AC30" i="71"/>
  <c r="T21" i="75"/>
  <c r="W16" i="75"/>
  <c r="AC20" i="75"/>
  <c r="M465" i="5"/>
  <c r="M490" i="5" s="1"/>
  <c r="M858" i="5" s="1"/>
  <c r="M859" i="5" s="1"/>
  <c r="M860" i="5" s="1"/>
  <c r="F129" i="21"/>
  <c r="Y21" i="75"/>
  <c r="T13" i="71"/>
  <c r="E56" i="70"/>
  <c r="M597" i="5"/>
  <c r="M622" i="5" s="1"/>
  <c r="H23" i="72"/>
  <c r="D28" i="51"/>
  <c r="G64" i="51"/>
  <c r="H58" i="68"/>
  <c r="V25" i="75"/>
  <c r="D54" i="47"/>
  <c r="H49" i="72"/>
  <c r="U33" i="71"/>
  <c r="G51" i="51"/>
  <c r="U16" i="71"/>
  <c r="W13" i="71"/>
  <c r="D72" i="47"/>
  <c r="K122" i="5"/>
  <c r="K124" i="5" s="1"/>
  <c r="K125" i="5" s="1"/>
  <c r="L44" i="68"/>
  <c r="G23" i="51"/>
  <c r="G19" i="51"/>
  <c r="G20" i="51"/>
  <c r="W16" i="71"/>
  <c r="Y33" i="71"/>
  <c r="AA16" i="75"/>
  <c r="F40" i="73"/>
  <c r="O2159" i="18"/>
  <c r="O6384" i="18" s="1"/>
  <c r="O2193" i="18"/>
  <c r="O6387" i="18" s="1"/>
  <c r="O306" i="18"/>
  <c r="O6273" i="18" s="1"/>
  <c r="O120" i="18"/>
  <c r="O6261" i="18" s="1"/>
  <c r="O236" i="18"/>
  <c r="O6268" i="18" s="1"/>
  <c r="O4159" i="18"/>
  <c r="O6516" i="18" s="1"/>
  <c r="E6516" i="18" s="1"/>
  <c r="O4138" i="18"/>
  <c r="O6514" i="18" s="1"/>
  <c r="E6514" i="18" s="1"/>
  <c r="O3445" i="18"/>
  <c r="O6462" i="18" s="1"/>
  <c r="O3456" i="18"/>
  <c r="O6463" i="18" s="1"/>
  <c r="O3483" i="18"/>
  <c r="O6465" i="18" s="1"/>
  <c r="E6465" i="18" s="1"/>
  <c r="G21" i="51"/>
  <c r="G24" i="51"/>
  <c r="F25" i="73"/>
  <c r="F28" i="73" s="1"/>
  <c r="F30" i="73" s="1"/>
  <c r="F69" i="73" s="1"/>
  <c r="D72" i="51"/>
  <c r="U13" i="75"/>
  <c r="F709" i="5"/>
  <c r="L23" i="72"/>
  <c r="O430" i="18"/>
  <c r="O6280" i="18" s="1"/>
  <c r="E6280" i="18" s="1"/>
  <c r="O317" i="18"/>
  <c r="O6274" i="18" s="1"/>
  <c r="I6191" i="18"/>
  <c r="I6197" i="18" s="1"/>
  <c r="I6211" i="18" s="1"/>
  <c r="E10" i="91"/>
  <c r="K210" i="5"/>
  <c r="M565" i="5"/>
  <c r="M210" i="5" s="1"/>
  <c r="G13" i="51"/>
  <c r="G35" i="51"/>
  <c r="F589" i="5"/>
  <c r="F870" i="5" s="1"/>
  <c r="F871" i="5" s="1"/>
  <c r="F872" i="5" s="1"/>
  <c r="AA32" i="75"/>
  <c r="M630" i="5"/>
  <c r="M655" i="5" s="1"/>
  <c r="M874" i="5" s="1"/>
  <c r="M875" i="5" s="1"/>
  <c r="M876" i="5" s="1"/>
  <c r="M169" i="5"/>
  <c r="K193" i="5"/>
  <c r="L117" i="5"/>
  <c r="L435" i="5"/>
  <c r="L192" i="5"/>
  <c r="D28" i="47"/>
  <c r="I6226" i="18"/>
  <c r="I6240" i="18" s="1"/>
  <c r="O3543" i="18"/>
  <c r="O6470" i="18" s="1"/>
  <c r="O3580" i="18"/>
  <c r="O6473" i="18" s="1"/>
  <c r="O3533" i="18"/>
  <c r="O6469" i="18" s="1"/>
  <c r="V51" i="75"/>
  <c r="D22" i="48"/>
  <c r="O2414" i="18"/>
  <c r="O6402" i="18" s="1"/>
  <c r="O2433" i="18"/>
  <c r="O6403" i="18" s="1"/>
  <c r="M64" i="5"/>
  <c r="D80" i="48"/>
  <c r="D81" i="48" s="1"/>
  <c r="D28" i="48" s="1"/>
  <c r="D53" i="52"/>
  <c r="D54" i="52" s="1"/>
  <c r="D45" i="48"/>
  <c r="O4967" i="18"/>
  <c r="O6571" i="18" s="1"/>
  <c r="O4959" i="18"/>
  <c r="O6570" i="18" s="1"/>
  <c r="K4136" i="18"/>
  <c r="L4136" i="18" s="1"/>
  <c r="Q13" i="71"/>
  <c r="Q25" i="75"/>
  <c r="M242" i="5"/>
  <c r="M267" i="5" s="1"/>
  <c r="M834" i="5" s="1"/>
  <c r="M835" i="5" s="1"/>
  <c r="M836" i="5" s="1"/>
  <c r="F57" i="70"/>
  <c r="Z14" i="71"/>
  <c r="Z37" i="71" s="1"/>
  <c r="Z51" i="71" s="1"/>
  <c r="Z53" i="71" s="1"/>
  <c r="Z54" i="71" s="1"/>
  <c r="M368" i="5"/>
  <c r="M393" i="5" s="1"/>
  <c r="M846" i="5" s="1"/>
  <c r="M847" i="5" s="1"/>
  <c r="M848" i="5" s="1"/>
  <c r="E179" i="6"/>
  <c r="F180" i="6" s="1"/>
  <c r="AB13" i="71"/>
  <c r="M401" i="5"/>
  <c r="M426" i="5" s="1"/>
  <c r="M850" i="5" s="1"/>
  <c r="M851" i="5" s="1"/>
  <c r="M852" i="5" s="1"/>
  <c r="F118" i="6"/>
  <c r="I5136" i="18"/>
  <c r="M531" i="5"/>
  <c r="M556" i="5" s="1"/>
  <c r="M866" i="5" s="1"/>
  <c r="M867" i="5" s="1"/>
  <c r="M868" i="5" s="1"/>
  <c r="AA13" i="71"/>
  <c r="F30" i="74"/>
  <c r="AB13" i="75"/>
  <c r="E35" i="74"/>
  <c r="AB26" i="71"/>
  <c r="X13" i="71"/>
  <c r="K3681" i="18"/>
  <c r="L3681" i="18" s="1"/>
  <c r="J827" i="5"/>
  <c r="J828" i="5" s="1"/>
  <c r="S26" i="71"/>
  <c r="F223" i="5"/>
  <c r="Y16" i="71"/>
  <c r="AB25" i="75"/>
  <c r="AA21" i="71"/>
  <c r="G59" i="51"/>
  <c r="AC25" i="71"/>
  <c r="G62" i="51"/>
  <c r="F47" i="70"/>
  <c r="Q26" i="71"/>
  <c r="Y26" i="71"/>
  <c r="W13" i="75"/>
  <c r="AC24" i="75"/>
  <c r="M709" i="5"/>
  <c r="AA21" i="75"/>
  <c r="G31" i="51"/>
  <c r="G34" i="51"/>
  <c r="G18" i="51"/>
  <c r="G53" i="51"/>
  <c r="G36" i="51"/>
  <c r="G15" i="51"/>
  <c r="G22" i="51"/>
  <c r="G39" i="51"/>
  <c r="G33" i="51"/>
  <c r="G17" i="51"/>
  <c r="S21" i="75"/>
  <c r="U32" i="75"/>
  <c r="G40" i="51"/>
  <c r="G32" i="51"/>
  <c r="G45" i="51"/>
  <c r="G30" i="51"/>
  <c r="G47" i="51"/>
  <c r="G52" i="51"/>
  <c r="G48" i="51"/>
  <c r="G26" i="51"/>
  <c r="G37" i="51"/>
  <c r="G50" i="51"/>
  <c r="AC19" i="71"/>
  <c r="F33" i="70"/>
  <c r="F111" i="70" s="1"/>
  <c r="G14" i="51"/>
  <c r="G44" i="51"/>
  <c r="G41" i="51"/>
  <c r="G42" i="51"/>
  <c r="G16" i="51"/>
  <c r="G46" i="51"/>
  <c r="G49" i="51"/>
  <c r="G27" i="51"/>
  <c r="G25" i="51"/>
  <c r="AC12" i="75"/>
  <c r="M41" i="46"/>
  <c r="N41" i="46" s="1"/>
  <c r="J711" i="5"/>
  <c r="J713" i="5" s="1"/>
  <c r="E39" i="74"/>
  <c r="M498" i="5"/>
  <c r="M523" i="5" s="1"/>
  <c r="M862" i="5" s="1"/>
  <c r="M863" i="5" s="1"/>
  <c r="M864" i="5" s="1"/>
  <c r="AE48" i="2"/>
  <c r="AE54" i="2"/>
  <c r="AE56" i="2" s="1"/>
  <c r="AE57" i="2" s="1"/>
  <c r="X48" i="2"/>
  <c r="X49" i="2" s="1"/>
  <c r="X50" i="2" s="1"/>
  <c r="X54" i="2"/>
  <c r="X56" i="2" s="1"/>
  <c r="X57" i="2" s="1"/>
  <c r="F99" i="51"/>
  <c r="G68" i="51"/>
  <c r="G78" i="51"/>
  <c r="F114" i="70"/>
  <c r="Y13" i="71"/>
  <c r="G58" i="51"/>
  <c r="G66" i="51"/>
  <c r="G63" i="51"/>
  <c r="AC31" i="75"/>
  <c r="AA25" i="75"/>
  <c r="AC18" i="75"/>
  <c r="G75" i="51"/>
  <c r="G70" i="51"/>
  <c r="G60" i="51"/>
  <c r="G65" i="51"/>
  <c r="G76" i="51"/>
  <c r="G79" i="51"/>
  <c r="G67" i="51"/>
  <c r="G77" i="51"/>
  <c r="G74" i="51"/>
  <c r="G57" i="51"/>
  <c r="AC19" i="75"/>
  <c r="AC12" i="71"/>
  <c r="F40" i="74"/>
  <c r="E98" i="6"/>
  <c r="F97" i="6"/>
  <c r="F129" i="8"/>
  <c r="U21" i="75"/>
  <c r="AA26" i="71"/>
  <c r="G61" i="51"/>
  <c r="G71" i="51"/>
  <c r="G69" i="51"/>
  <c r="G82" i="51"/>
  <c r="G81" i="51"/>
  <c r="G83" i="51"/>
  <c r="W32" i="75"/>
  <c r="AC31" i="71"/>
  <c r="F97" i="74"/>
  <c r="M697" i="5"/>
  <c r="Y25" i="75"/>
  <c r="Y13" i="75"/>
  <c r="E156" i="6"/>
  <c r="F155" i="6"/>
  <c r="AC11" i="75"/>
  <c r="AC10" i="75"/>
  <c r="AC10" i="71"/>
  <c r="T16" i="71"/>
  <c r="R16" i="71"/>
  <c r="S13" i="71"/>
  <c r="T16" i="75"/>
  <c r="AC17" i="75"/>
  <c r="M213" i="5"/>
  <c r="AC32" i="71"/>
  <c r="S13" i="75"/>
  <c r="M223" i="5"/>
  <c r="AC23" i="75"/>
  <c r="M218" i="5"/>
  <c r="AC29" i="71"/>
  <c r="R16" i="75"/>
  <c r="W21" i="75"/>
  <c r="M38" i="46"/>
  <c r="N38" i="46" s="1"/>
  <c r="M25" i="46"/>
  <c r="N25" i="46" s="1"/>
  <c r="D43" i="48"/>
  <c r="M825" i="5"/>
  <c r="M827" i="5" s="1"/>
  <c r="M828" i="5" s="1"/>
  <c r="N54" i="2"/>
  <c r="N56" i="2" s="1"/>
  <c r="N57" i="2" s="1"/>
  <c r="AC11" i="71"/>
  <c r="AC30" i="75"/>
  <c r="F208" i="5"/>
  <c r="P80" i="6"/>
  <c r="U21" i="71"/>
  <c r="AC18" i="71"/>
  <c r="F17" i="74"/>
  <c r="G98" i="51"/>
  <c r="F130" i="6"/>
  <c r="E131" i="6"/>
  <c r="AB50" i="2"/>
  <c r="E40" i="70"/>
  <c r="Z25" i="75"/>
  <c r="E24" i="74"/>
  <c r="M337" i="5"/>
  <c r="M360" i="5" s="1"/>
  <c r="AC24" i="71"/>
  <c r="AE47" i="2"/>
  <c r="Q40" i="2"/>
  <c r="S16" i="71"/>
  <c r="AC33" i="75"/>
  <c r="R32" i="75"/>
  <c r="AC22" i="71"/>
  <c r="R21" i="71"/>
  <c r="AC36" i="71"/>
  <c r="M275" i="5"/>
  <c r="M298" i="5" s="1"/>
  <c r="AC27" i="71"/>
  <c r="R26" i="71"/>
  <c r="J209" i="5"/>
  <c r="T26" i="71"/>
  <c r="AC28" i="71"/>
  <c r="R33" i="71"/>
  <c r="AC34" i="71"/>
  <c r="AC35" i="75"/>
  <c r="AC17" i="71"/>
  <c r="M230" i="5"/>
  <c r="R21" i="75"/>
  <c r="AC22" i="75"/>
  <c r="S16" i="75"/>
  <c r="M306" i="5"/>
  <c r="M329" i="5" s="1"/>
  <c r="M842" i="5" s="1"/>
  <c r="M843" i="5" s="1"/>
  <c r="M844" i="5" s="1"/>
  <c r="AC20" i="71"/>
  <c r="AC27" i="75"/>
  <c r="T25" i="75"/>
  <c r="AC26" i="75"/>
  <c r="R25" i="75"/>
  <c r="D59" i="52"/>
  <c r="S25" i="75"/>
  <c r="AC28" i="75"/>
  <c r="M161" i="5"/>
  <c r="M163" i="5" s="1"/>
  <c r="D64" i="52"/>
  <c r="D13" i="48"/>
  <c r="R13" i="75"/>
  <c r="AC9" i="75"/>
  <c r="H5133" i="18"/>
  <c r="E101" i="74"/>
  <c r="E103" i="74" s="1"/>
  <c r="E104" i="74" s="1"/>
  <c r="E78" i="74"/>
  <c r="F183" i="6"/>
  <c r="E184" i="6"/>
  <c r="M208" i="5"/>
  <c r="F141" i="6"/>
  <c r="F142" i="6"/>
  <c r="J870" i="5"/>
  <c r="J871" i="5" s="1"/>
  <c r="J234" i="5"/>
  <c r="F113" i="6"/>
  <c r="F114" i="6"/>
  <c r="AC35" i="71"/>
  <c r="D62" i="52"/>
  <c r="D10" i="52" s="1"/>
  <c r="D11" i="48"/>
  <c r="D17" i="48" s="1"/>
  <c r="D23" i="48"/>
  <c r="I102" i="51"/>
  <c r="D115" i="51"/>
  <c r="D118" i="51" s="1"/>
  <c r="D120" i="51" s="1"/>
  <c r="E151" i="6"/>
  <c r="F150" i="6"/>
  <c r="J63" i="51"/>
  <c r="I72" i="51"/>
  <c r="F136" i="6"/>
  <c r="F137" i="6"/>
  <c r="E118" i="70"/>
  <c r="E120" i="70" s="1"/>
  <c r="E121" i="70" s="1"/>
  <c r="E95" i="70"/>
  <c r="E122" i="70" s="1"/>
  <c r="F93" i="6"/>
  <c r="F94" i="6"/>
  <c r="J14" i="51"/>
  <c r="I28" i="51"/>
  <c r="F108" i="6"/>
  <c r="F109" i="6"/>
  <c r="F201" i="6"/>
  <c r="F202" i="6"/>
  <c r="I76" i="51"/>
  <c r="D84" i="51"/>
  <c r="F12" i="69"/>
  <c r="F38" i="69"/>
  <c r="F41" i="69" s="1"/>
  <c r="F43" i="69" s="1"/>
  <c r="AC23" i="71"/>
  <c r="W21" i="71"/>
  <c r="R13" i="71"/>
  <c r="AC9" i="71"/>
  <c r="F197" i="6"/>
  <c r="F198" i="6"/>
  <c r="F209" i="5"/>
  <c r="F267" i="5"/>
  <c r="F161" i="6"/>
  <c r="F162" i="6"/>
  <c r="F173" i="6"/>
  <c r="F174" i="6"/>
  <c r="J32" i="51"/>
  <c r="I54" i="51"/>
  <c r="AC34" i="75"/>
  <c r="D84" i="47"/>
  <c r="D115" i="47"/>
  <c r="D118" i="47" s="1"/>
  <c r="D120" i="47" s="1"/>
  <c r="F147" i="6"/>
  <c r="F146" i="6"/>
  <c r="H324" i="50"/>
  <c r="H333" i="50"/>
  <c r="H307" i="50"/>
  <c r="H316" i="50"/>
  <c r="H313" i="50"/>
  <c r="H334" i="50"/>
  <c r="H322" i="50"/>
  <c r="L75" i="46"/>
  <c r="L82" i="46"/>
  <c r="H327" i="50"/>
  <c r="H299" i="50"/>
  <c r="H309" i="50"/>
  <c r="H320" i="50"/>
  <c r="L80" i="46"/>
  <c r="L70" i="46"/>
  <c r="H300" i="50"/>
  <c r="H305" i="50"/>
  <c r="G83" i="46"/>
  <c r="G84" i="46"/>
  <c r="H200" i="50"/>
  <c r="H323" i="50"/>
  <c r="H331" i="50"/>
  <c r="H296" i="50"/>
  <c r="H332" i="50"/>
  <c r="G40" i="46"/>
  <c r="K212" i="5" l="1"/>
  <c r="D52" i="52"/>
  <c r="D16" i="52" s="1"/>
  <c r="H11" i="71"/>
  <c r="G169" i="50"/>
  <c r="I169" i="50" s="1"/>
  <c r="J169" i="50" s="1"/>
  <c r="G176" i="50"/>
  <c r="K2649" i="18"/>
  <c r="L2707" i="18" s="1"/>
  <c r="L6416" i="18" s="1"/>
  <c r="E6416" i="18" s="1"/>
  <c r="K209" i="5"/>
  <c r="G170" i="50"/>
  <c r="G172" i="50"/>
  <c r="M170" i="5"/>
  <c r="D123" i="47" s="1"/>
  <c r="D124" i="47" s="1"/>
  <c r="F41" i="47"/>
  <c r="I41" i="47" s="1"/>
  <c r="J41" i="47" s="1"/>
  <c r="G175" i="50"/>
  <c r="G173" i="50"/>
  <c r="G174" i="50"/>
  <c r="D12" i="80"/>
  <c r="D13" i="80" s="1"/>
  <c r="D79" i="6"/>
  <c r="D80" i="6" s="1"/>
  <c r="AE79" i="6"/>
  <c r="G79" i="6"/>
  <c r="G61" i="5"/>
  <c r="G63" i="5" s="1"/>
  <c r="G64" i="5" s="1"/>
  <c r="AC79" i="6"/>
  <c r="K4509" i="18"/>
  <c r="J24" i="75"/>
  <c r="E34" i="75"/>
  <c r="E32" i="71"/>
  <c r="Q3242" i="18"/>
  <c r="K3620" i="18"/>
  <c r="Q3620" i="18"/>
  <c r="F47" i="52"/>
  <c r="F15" i="52" s="1"/>
  <c r="AD79" i="6"/>
  <c r="E79" i="6"/>
  <c r="F79" i="6" s="1"/>
  <c r="Q4878" i="18"/>
  <c r="E57" i="70"/>
  <c r="X14" i="75"/>
  <c r="X36" i="75" s="1"/>
  <c r="X50" i="75" s="1"/>
  <c r="X52" i="75" s="1"/>
  <c r="X53" i="75" s="1"/>
  <c r="F33" i="73"/>
  <c r="F73" i="73" s="1"/>
  <c r="K294" i="50"/>
  <c r="N4458" i="18"/>
  <c r="O4459" i="18" s="1"/>
  <c r="O6538" i="18" s="1"/>
  <c r="D95" i="51"/>
  <c r="I95" i="51" s="1"/>
  <c r="J95" i="51" s="1"/>
  <c r="D21" i="52"/>
  <c r="J6193" i="18"/>
  <c r="F46" i="69"/>
  <c r="F86" i="69" s="1"/>
  <c r="L57" i="68"/>
  <c r="AA52" i="71" s="1"/>
  <c r="G310" i="50"/>
  <c r="N24" i="75"/>
  <c r="H27" i="75"/>
  <c r="E23" i="69"/>
  <c r="K293" i="50"/>
  <c r="M293" i="50" s="1"/>
  <c r="N293" i="50" s="1"/>
  <c r="M869" i="5"/>
  <c r="E11" i="73"/>
  <c r="E112" i="91" s="1"/>
  <c r="E40" i="6"/>
  <c r="F39" i="6"/>
  <c r="D95" i="47"/>
  <c r="E6305" i="18"/>
  <c r="F27" i="47"/>
  <c r="I27" i="47" s="1"/>
  <c r="J27" i="47" s="1"/>
  <c r="L1559" i="18"/>
  <c r="L6341" i="18" s="1"/>
  <c r="E6341" i="18" s="1"/>
  <c r="H20" i="75"/>
  <c r="K10" i="71"/>
  <c r="G27" i="68"/>
  <c r="M28" i="75"/>
  <c r="G22" i="72"/>
  <c r="H6195" i="18" s="1"/>
  <c r="J6195" i="18" s="1"/>
  <c r="K1813" i="18"/>
  <c r="L1814" i="18" s="1"/>
  <c r="L6361" i="18" s="1"/>
  <c r="E6361" i="18" s="1"/>
  <c r="G28" i="68"/>
  <c r="I31" i="75"/>
  <c r="F77" i="47"/>
  <c r="I77" i="47" s="1"/>
  <c r="J77" i="47" s="1"/>
  <c r="G269" i="50"/>
  <c r="O34" i="75"/>
  <c r="K4119" i="18"/>
  <c r="L4120" i="18" s="1"/>
  <c r="L6513" i="18" s="1"/>
  <c r="E6513" i="18" s="1"/>
  <c r="J12" i="71"/>
  <c r="L27" i="75"/>
  <c r="G227" i="50"/>
  <c r="K14" i="72"/>
  <c r="H6220" i="18" s="1"/>
  <c r="E17" i="91" s="1"/>
  <c r="N9" i="71"/>
  <c r="G224" i="50"/>
  <c r="I224" i="50" s="1"/>
  <c r="J224" i="50" s="1"/>
  <c r="G228" i="50"/>
  <c r="G309" i="50"/>
  <c r="I309" i="50" s="1"/>
  <c r="J309" i="50" s="1"/>
  <c r="F105" i="47"/>
  <c r="I105" i="47" s="1"/>
  <c r="J105" i="47" s="1"/>
  <c r="K4695" i="18"/>
  <c r="L4696" i="18" s="1"/>
  <c r="L6554" i="18" s="1"/>
  <c r="E6554" i="18" s="1"/>
  <c r="G316" i="50"/>
  <c r="I316" i="50" s="1"/>
  <c r="J316" i="50" s="1"/>
  <c r="E29" i="69"/>
  <c r="O32" i="71"/>
  <c r="K4800" i="18"/>
  <c r="L4801" i="18" s="1"/>
  <c r="L6561" i="18" s="1"/>
  <c r="E6561" i="18" s="1"/>
  <c r="F12" i="48"/>
  <c r="L25" i="71"/>
  <c r="G225" i="50"/>
  <c r="I225" i="50" s="1"/>
  <c r="J225" i="50" s="1"/>
  <c r="K16" i="68"/>
  <c r="E31" i="71"/>
  <c r="L2650" i="18"/>
  <c r="L6415" i="18" s="1"/>
  <c r="E6415" i="18" s="1"/>
  <c r="E17" i="73"/>
  <c r="G128" i="50"/>
  <c r="H30" i="71"/>
  <c r="E44" i="73"/>
  <c r="F63" i="47"/>
  <c r="I63" i="47" s="1"/>
  <c r="J63" i="47" s="1"/>
  <c r="G230" i="50"/>
  <c r="H10" i="75"/>
  <c r="K1791" i="18"/>
  <c r="L1792" i="18" s="1"/>
  <c r="L6359" i="18" s="1"/>
  <c r="E6359" i="18" s="1"/>
  <c r="G226" i="50"/>
  <c r="K3532" i="18"/>
  <c r="L3560" i="18" s="1"/>
  <c r="L6471" i="18" s="1"/>
  <c r="E6471" i="18" s="1"/>
  <c r="H35" i="75"/>
  <c r="F18" i="71"/>
  <c r="K48" i="68"/>
  <c r="G286" i="50"/>
  <c r="I286" i="50" s="1"/>
  <c r="J286" i="50" s="1"/>
  <c r="K4331" i="18"/>
  <c r="L4342" i="18" s="1"/>
  <c r="L6531" i="18" s="1"/>
  <c r="E6531" i="18" s="1"/>
  <c r="K39" i="72"/>
  <c r="G285" i="50"/>
  <c r="L872" i="18"/>
  <c r="L6304" i="18" s="1"/>
  <c r="E6304" i="18" s="1"/>
  <c r="G255" i="50"/>
  <c r="I255" i="50" s="1"/>
  <c r="J255" i="50" s="1"/>
  <c r="L860" i="18"/>
  <c r="L6303" i="18" s="1"/>
  <c r="E6303" i="18" s="1"/>
  <c r="F90" i="47"/>
  <c r="I90" i="47" s="1"/>
  <c r="J90" i="47" s="1"/>
  <c r="E56" i="69"/>
  <c r="G288" i="50"/>
  <c r="I288" i="50" s="1"/>
  <c r="J288" i="50" s="1"/>
  <c r="K3969" i="18"/>
  <c r="L3970" i="18" s="1"/>
  <c r="L6500" i="18" s="1"/>
  <c r="E6500" i="18" s="1"/>
  <c r="L1294" i="18"/>
  <c r="L6331" i="18" s="1"/>
  <c r="E6331" i="18" s="1"/>
  <c r="G42" i="50"/>
  <c r="K316" i="18"/>
  <c r="L317" i="18" s="1"/>
  <c r="L6274" i="18" s="1"/>
  <c r="E6274" i="18" s="1"/>
  <c r="G33" i="50"/>
  <c r="G38" i="50"/>
  <c r="K43" i="72"/>
  <c r="I51" i="75" s="1"/>
  <c r="G256" i="50"/>
  <c r="L1058" i="18"/>
  <c r="L6318" i="18" s="1"/>
  <c r="E6318" i="18" s="1"/>
  <c r="L989" i="18"/>
  <c r="L6314" i="18" s="1"/>
  <c r="E6314" i="18" s="1"/>
  <c r="L1028" i="18"/>
  <c r="L6316" i="18" s="1"/>
  <c r="E6316" i="18" s="1"/>
  <c r="L699" i="18"/>
  <c r="L6293" i="18" s="1"/>
  <c r="E6293" i="18" s="1"/>
  <c r="L1522" i="18"/>
  <c r="L6338" i="18" s="1"/>
  <c r="E6338" i="18" s="1"/>
  <c r="L1493" i="18"/>
  <c r="L6336" i="18" s="1"/>
  <c r="E6336" i="18" s="1"/>
  <c r="K4361" i="18"/>
  <c r="L4362" i="18" s="1"/>
  <c r="L6533" i="18" s="1"/>
  <c r="E6533" i="18" s="1"/>
  <c r="K30" i="68"/>
  <c r="F71" i="47"/>
  <c r="I71" i="47" s="1"/>
  <c r="J71" i="47" s="1"/>
  <c r="L1279" i="18"/>
  <c r="L6330" i="18" s="1"/>
  <c r="E6330" i="18" s="1"/>
  <c r="L1540" i="18"/>
  <c r="L6340" i="18" s="1"/>
  <c r="E6340" i="18" s="1"/>
  <c r="E34" i="69"/>
  <c r="I849" i="5"/>
  <c r="J18" i="71"/>
  <c r="G44" i="50"/>
  <c r="G32" i="50"/>
  <c r="N30" i="75"/>
  <c r="H171" i="5"/>
  <c r="H170" i="5" s="1"/>
  <c r="H435" i="5" s="1"/>
  <c r="H434" i="5" s="1"/>
  <c r="H457" i="5" s="1"/>
  <c r="G278" i="50"/>
  <c r="I278" i="50" s="1"/>
  <c r="J278" i="50" s="1"/>
  <c r="F71" i="48"/>
  <c r="G35" i="50"/>
  <c r="G34" i="50"/>
  <c r="K31" i="72"/>
  <c r="G39" i="50"/>
  <c r="G43" i="50"/>
  <c r="K36" i="71"/>
  <c r="H597" i="5"/>
  <c r="H622" i="5" s="1"/>
  <c r="G28" i="50"/>
  <c r="I28" i="50" s="1"/>
  <c r="J28" i="50" s="1"/>
  <c r="K4288" i="18"/>
  <c r="L4289" i="18" s="1"/>
  <c r="L6526" i="18" s="1"/>
  <c r="E6526" i="18" s="1"/>
  <c r="G195" i="50"/>
  <c r="I195" i="50" s="1"/>
  <c r="J195" i="50" s="1"/>
  <c r="G25" i="68"/>
  <c r="K1618" i="18"/>
  <c r="L1619" i="18" s="1"/>
  <c r="L6347" i="18" s="1"/>
  <c r="E6347" i="18" s="1"/>
  <c r="G105" i="50"/>
  <c r="K34" i="72"/>
  <c r="J19" i="71"/>
  <c r="K40" i="68"/>
  <c r="F80" i="47"/>
  <c r="I80" i="47" s="1"/>
  <c r="J80" i="47" s="1"/>
  <c r="L51" i="75"/>
  <c r="K11" i="72"/>
  <c r="F26" i="47"/>
  <c r="I26" i="47" s="1"/>
  <c r="J26" i="47" s="1"/>
  <c r="G21" i="72"/>
  <c r="G113" i="50"/>
  <c r="I113" i="50" s="1"/>
  <c r="J113" i="50" s="1"/>
  <c r="O30" i="75"/>
  <c r="G102" i="50"/>
  <c r="G19" i="72"/>
  <c r="E84" i="8" s="1"/>
  <c r="G109" i="50"/>
  <c r="F83" i="47"/>
  <c r="I83" i="47" s="1"/>
  <c r="J83" i="47" s="1"/>
  <c r="G48" i="68"/>
  <c r="G39" i="72"/>
  <c r="F24" i="47"/>
  <c r="I24" i="47" s="1"/>
  <c r="J24" i="47" s="1"/>
  <c r="G110" i="50"/>
  <c r="G282" i="50"/>
  <c r="K3176" i="18"/>
  <c r="L3177" i="18" s="1"/>
  <c r="L6440" i="18" s="1"/>
  <c r="E6440" i="18" s="1"/>
  <c r="G103" i="50"/>
  <c r="K3422" i="18"/>
  <c r="L3423" i="18" s="1"/>
  <c r="L6460" i="18" s="1"/>
  <c r="E6460" i="18" s="1"/>
  <c r="G215" i="50"/>
  <c r="I215" i="50" s="1"/>
  <c r="J215" i="50" s="1"/>
  <c r="G104" i="50"/>
  <c r="G106" i="50"/>
  <c r="G108" i="50"/>
  <c r="F76" i="48"/>
  <c r="F78" i="48" s="1"/>
  <c r="F79" i="48" s="1"/>
  <c r="G281" i="50"/>
  <c r="I281" i="50" s="1"/>
  <c r="J281" i="50" s="1"/>
  <c r="G107" i="50"/>
  <c r="I35" i="75"/>
  <c r="K13" i="68"/>
  <c r="G30" i="50"/>
  <c r="H25" i="71"/>
  <c r="H24" i="75"/>
  <c r="N36" i="71"/>
  <c r="N35" i="75"/>
  <c r="G40" i="50"/>
  <c r="G31" i="50"/>
  <c r="G46" i="50"/>
  <c r="G36" i="50"/>
  <c r="G13" i="72"/>
  <c r="H6192" i="18" s="1"/>
  <c r="F18" i="47"/>
  <c r="I18" i="47" s="1"/>
  <c r="J18" i="47" s="1"/>
  <c r="G37" i="50"/>
  <c r="G15" i="68"/>
  <c r="F19" i="75"/>
  <c r="G41" i="50"/>
  <c r="G29" i="50"/>
  <c r="G35" i="68"/>
  <c r="G125" i="50"/>
  <c r="G126" i="50"/>
  <c r="G129" i="50"/>
  <c r="G26" i="72"/>
  <c r="G127" i="50"/>
  <c r="F31" i="47"/>
  <c r="I31" i="47" s="1"/>
  <c r="J31" i="47" s="1"/>
  <c r="K1948" i="18"/>
  <c r="L1949" i="18" s="1"/>
  <c r="L6370" i="18" s="1"/>
  <c r="E6370" i="18" s="1"/>
  <c r="L30" i="75"/>
  <c r="L31" i="71"/>
  <c r="K28" i="72"/>
  <c r="K37" i="68"/>
  <c r="I28" i="71"/>
  <c r="I27" i="75"/>
  <c r="F111" i="47"/>
  <c r="I111" i="47" s="1"/>
  <c r="J111" i="47" s="1"/>
  <c r="K4836" i="18"/>
  <c r="L4837" i="18" s="1"/>
  <c r="L6563" i="18" s="1"/>
  <c r="E6563" i="18" s="1"/>
  <c r="N29" i="75"/>
  <c r="I20" i="71"/>
  <c r="I25" i="71"/>
  <c r="N24" i="71"/>
  <c r="N23" i="75"/>
  <c r="E24" i="71"/>
  <c r="E23" i="75"/>
  <c r="N34" i="75"/>
  <c r="N35" i="71"/>
  <c r="G239" i="50"/>
  <c r="I239" i="50" s="1"/>
  <c r="J239" i="50" s="1"/>
  <c r="K3771" i="18"/>
  <c r="L3772" i="18" s="1"/>
  <c r="L6484" i="18" s="1"/>
  <c r="E6484" i="18" s="1"/>
  <c r="F67" i="47"/>
  <c r="I67" i="47" s="1"/>
  <c r="J67" i="47" s="1"/>
  <c r="G240" i="50"/>
  <c r="K18" i="72"/>
  <c r="G318" i="50"/>
  <c r="I318" i="50" s="1"/>
  <c r="J318" i="50" s="1"/>
  <c r="E60" i="69"/>
  <c r="I18" i="71"/>
  <c r="I18" i="75"/>
  <c r="O11" i="71"/>
  <c r="O11" i="75"/>
  <c r="E38" i="73"/>
  <c r="E20" i="75"/>
  <c r="E20" i="71"/>
  <c r="G188" i="50"/>
  <c r="I188" i="50" s="1"/>
  <c r="J188" i="50" s="1"/>
  <c r="G37" i="72"/>
  <c r="G46" i="68"/>
  <c r="K3007" i="18"/>
  <c r="L3008" i="18" s="1"/>
  <c r="L6433" i="18" s="1"/>
  <c r="E6433" i="18" s="1"/>
  <c r="F47" i="47"/>
  <c r="I47" i="47" s="1"/>
  <c r="J47" i="47" s="1"/>
  <c r="L2559" i="18"/>
  <c r="L6410" i="18" s="1"/>
  <c r="E6410" i="18" s="1"/>
  <c r="E27" i="69"/>
  <c r="E31" i="69"/>
  <c r="H30" i="75"/>
  <c r="H31" i="71"/>
  <c r="K18" i="71"/>
  <c r="K18" i="75"/>
  <c r="M31" i="75"/>
  <c r="M32" i="71"/>
  <c r="L24" i="71"/>
  <c r="L23" i="75"/>
  <c r="K38" i="72"/>
  <c r="K4309" i="18"/>
  <c r="L4319" i="18" s="1"/>
  <c r="L6529" i="18" s="1"/>
  <c r="E6529" i="18" s="1"/>
  <c r="K47" i="68"/>
  <c r="D52" i="71" s="1"/>
  <c r="I833" i="5"/>
  <c r="F87" i="47"/>
  <c r="I87" i="47" s="1"/>
  <c r="J87" i="47" s="1"/>
  <c r="G283" i="50"/>
  <c r="G284" i="50"/>
  <c r="I284" i="50" s="1"/>
  <c r="J284" i="50" s="1"/>
  <c r="N11" i="71"/>
  <c r="N11" i="75"/>
  <c r="N27" i="75"/>
  <c r="N28" i="71"/>
  <c r="AA15" i="75"/>
  <c r="F70" i="73" s="1"/>
  <c r="F71" i="73" s="1"/>
  <c r="F72" i="73" s="1"/>
  <c r="O20" i="71"/>
  <c r="I29" i="71"/>
  <c r="I28" i="75"/>
  <c r="K3761" i="18"/>
  <c r="K17" i="72"/>
  <c r="H6223" i="18" s="1"/>
  <c r="G238" i="50"/>
  <c r="I238" i="50" s="1"/>
  <c r="J238" i="50" s="1"/>
  <c r="K23" i="68"/>
  <c r="F66" i="47"/>
  <c r="I66" i="47" s="1"/>
  <c r="J66" i="47" s="1"/>
  <c r="J28" i="75"/>
  <c r="J29" i="71"/>
  <c r="E15" i="75"/>
  <c r="E15" i="71"/>
  <c r="K11" i="75"/>
  <c r="K11" i="71"/>
  <c r="K20" i="71"/>
  <c r="K20" i="75"/>
  <c r="O35" i="75"/>
  <c r="O36" i="71"/>
  <c r="M36" i="71"/>
  <c r="M35" i="75"/>
  <c r="F74" i="47"/>
  <c r="I74" i="47" s="1"/>
  <c r="J74" i="47" s="1"/>
  <c r="K3998" i="18"/>
  <c r="L3999" i="18" s="1"/>
  <c r="L6502" i="18" s="1"/>
  <c r="E6502" i="18" s="1"/>
  <c r="G259" i="50"/>
  <c r="K25" i="72"/>
  <c r="G257" i="50"/>
  <c r="I257" i="50" s="1"/>
  <c r="J257" i="50" s="1"/>
  <c r="G260" i="50"/>
  <c r="G258" i="50"/>
  <c r="K34" i="68"/>
  <c r="G261" i="50"/>
  <c r="M806" i="5"/>
  <c r="M564" i="5"/>
  <c r="M589" i="5" s="1"/>
  <c r="M870" i="5" s="1"/>
  <c r="Z36" i="75"/>
  <c r="Z50" i="75" s="1"/>
  <c r="Z52" i="75" s="1"/>
  <c r="Z53" i="75" s="1"/>
  <c r="H275" i="5"/>
  <c r="H298" i="5" s="1"/>
  <c r="G597" i="5"/>
  <c r="G622" i="5" s="1"/>
  <c r="E28" i="71"/>
  <c r="H28" i="75"/>
  <c r="H29" i="71"/>
  <c r="F20" i="75"/>
  <c r="F20" i="71"/>
  <c r="K50" i="68"/>
  <c r="I841" i="5"/>
  <c r="K41" i="72"/>
  <c r="F51" i="75" s="1"/>
  <c r="E51" i="73"/>
  <c r="E64" i="69"/>
  <c r="O18" i="71"/>
  <c r="O18" i="75"/>
  <c r="O27" i="75"/>
  <c r="O28" i="71"/>
  <c r="G28" i="71"/>
  <c r="G27" i="75"/>
  <c r="G263" i="50"/>
  <c r="K35" i="68"/>
  <c r="G262" i="50"/>
  <c r="I262" i="50" s="1"/>
  <c r="J262" i="50" s="1"/>
  <c r="G265" i="50"/>
  <c r="G264" i="50"/>
  <c r="K26" i="72"/>
  <c r="F75" i="47"/>
  <c r="I75" i="47" s="1"/>
  <c r="J75" i="47" s="1"/>
  <c r="K4052" i="18"/>
  <c r="G266" i="50"/>
  <c r="K42" i="68"/>
  <c r="G201" i="50"/>
  <c r="I201" i="50" s="1"/>
  <c r="J201" i="50" s="1"/>
  <c r="K3241" i="18"/>
  <c r="L3258" i="18" s="1"/>
  <c r="L6446" i="18" s="1"/>
  <c r="E6446" i="18" s="1"/>
  <c r="F82" i="47"/>
  <c r="I82" i="47" s="1"/>
  <c r="J82" i="47" s="1"/>
  <c r="F28" i="71"/>
  <c r="F27" i="75"/>
  <c r="E58" i="69"/>
  <c r="E45" i="73"/>
  <c r="G18" i="75"/>
  <c r="G18" i="71"/>
  <c r="G171" i="5"/>
  <c r="G170" i="5" s="1"/>
  <c r="G435" i="5" s="1"/>
  <c r="G434" i="5" s="1"/>
  <c r="G457" i="5" s="1"/>
  <c r="G36" i="71"/>
  <c r="G35" i="75"/>
  <c r="K28" i="71"/>
  <c r="K27" i="75"/>
  <c r="N10" i="75"/>
  <c r="N10" i="71"/>
  <c r="K2921" i="18"/>
  <c r="L2984" i="18" s="1"/>
  <c r="L6432" i="18" s="1"/>
  <c r="E6432" i="18" s="1"/>
  <c r="G186" i="50"/>
  <c r="I186" i="50" s="1"/>
  <c r="J186" i="50" s="1"/>
  <c r="G187" i="50"/>
  <c r="G36" i="72"/>
  <c r="F46" i="47"/>
  <c r="I46" i="47" s="1"/>
  <c r="J46" i="47" s="1"/>
  <c r="G45" i="68"/>
  <c r="E19" i="75"/>
  <c r="E19" i="71"/>
  <c r="G155" i="50"/>
  <c r="G153" i="50"/>
  <c r="G145" i="50"/>
  <c r="G150" i="50"/>
  <c r="G29" i="72"/>
  <c r="G144" i="50"/>
  <c r="G142" i="50"/>
  <c r="I142" i="50" s="1"/>
  <c r="J142" i="50" s="1"/>
  <c r="G143" i="50"/>
  <c r="G147" i="50"/>
  <c r="G146" i="50"/>
  <c r="G154" i="50"/>
  <c r="K2203" i="18"/>
  <c r="G149" i="50"/>
  <c r="F34" i="47"/>
  <c r="I34" i="47" s="1"/>
  <c r="J34" i="47" s="1"/>
  <c r="G152" i="50"/>
  <c r="G38" i="68"/>
  <c r="G151" i="50"/>
  <c r="G148" i="50"/>
  <c r="G11" i="75"/>
  <c r="G11" i="71"/>
  <c r="K3917" i="18"/>
  <c r="L3918" i="18" s="1"/>
  <c r="L6495" i="18" s="1"/>
  <c r="E6495" i="18" s="1"/>
  <c r="F69" i="47"/>
  <c r="I69" i="47" s="1"/>
  <c r="J69" i="47" s="1"/>
  <c r="K28" i="68"/>
  <c r="K20" i="72"/>
  <c r="G250" i="50"/>
  <c r="I250" i="50" s="1"/>
  <c r="J250" i="50" s="1"/>
  <c r="H306" i="5"/>
  <c r="H329" i="5" s="1"/>
  <c r="I651" i="5"/>
  <c r="F50" i="47"/>
  <c r="I50" i="47" s="1"/>
  <c r="J50" i="47" s="1"/>
  <c r="G49" i="68"/>
  <c r="G197" i="50"/>
  <c r="G40" i="72"/>
  <c r="K3189" i="18"/>
  <c r="L3190" i="18" s="1"/>
  <c r="L6441" i="18" s="1"/>
  <c r="E6441" i="18" s="1"/>
  <c r="G196" i="50"/>
  <c r="I196" i="50" s="1"/>
  <c r="J196" i="50" s="1"/>
  <c r="L4565" i="18"/>
  <c r="G306" i="5"/>
  <c r="G329" i="5" s="1"/>
  <c r="H498" i="5"/>
  <c r="H523" i="5" s="1"/>
  <c r="H230" i="5"/>
  <c r="H630" i="5"/>
  <c r="H655" i="5" s="1"/>
  <c r="G337" i="5"/>
  <c r="G360" i="5" s="1"/>
  <c r="L4542" i="18"/>
  <c r="E63" i="69"/>
  <c r="E50" i="73"/>
  <c r="M9" i="71"/>
  <c r="M9" i="75"/>
  <c r="I530" i="5"/>
  <c r="J24" i="71"/>
  <c r="J23" i="75"/>
  <c r="G324" i="50"/>
  <c r="I324" i="50" s="1"/>
  <c r="J324" i="50" s="1"/>
  <c r="F117" i="47"/>
  <c r="I117" i="47" s="1"/>
  <c r="J117" i="47" s="1"/>
  <c r="E27" i="73"/>
  <c r="E40" i="69"/>
  <c r="K4945" i="18"/>
  <c r="L4946" i="18" s="1"/>
  <c r="L6569" i="18" s="1"/>
  <c r="E6569" i="18" s="1"/>
  <c r="L19" i="75"/>
  <c r="L19" i="71"/>
  <c r="G272" i="50"/>
  <c r="I272" i="50" s="1"/>
  <c r="J272" i="50" s="1"/>
  <c r="K30" i="72"/>
  <c r="G275" i="50"/>
  <c r="F79" i="47"/>
  <c r="G274" i="50"/>
  <c r="K4169" i="18"/>
  <c r="L4170" i="18" s="1"/>
  <c r="L6517" i="18" s="1"/>
  <c r="E6517" i="18" s="1"/>
  <c r="K39" i="68"/>
  <c r="G277" i="50"/>
  <c r="G276" i="50"/>
  <c r="G273" i="50"/>
  <c r="H23" i="75"/>
  <c r="H24" i="71"/>
  <c r="G31" i="71"/>
  <c r="G30" i="75"/>
  <c r="I356" i="5"/>
  <c r="G34" i="71"/>
  <c r="G33" i="75"/>
  <c r="E8" i="69"/>
  <c r="G301" i="50"/>
  <c r="G296" i="50"/>
  <c r="I296" i="50" s="1"/>
  <c r="J296" i="50" s="1"/>
  <c r="F101" i="47"/>
  <c r="I158" i="5"/>
  <c r="F13" i="48" s="1"/>
  <c r="F37" i="48" s="1"/>
  <c r="E7" i="73"/>
  <c r="I127" i="5"/>
  <c r="F10" i="48"/>
  <c r="K4488" i="18"/>
  <c r="L4500" i="18" s="1"/>
  <c r="L6541" i="18" s="1"/>
  <c r="E6541" i="18" s="1"/>
  <c r="G303" i="50"/>
  <c r="I501" i="5"/>
  <c r="G498" i="5"/>
  <c r="G523" i="5" s="1"/>
  <c r="I585" i="5"/>
  <c r="N33" i="75"/>
  <c r="N34" i="71"/>
  <c r="M19" i="71"/>
  <c r="M19" i="75"/>
  <c r="G23" i="75"/>
  <c r="G24" i="71"/>
  <c r="I203" i="5"/>
  <c r="G15" i="71"/>
  <c r="G15" i="75"/>
  <c r="E53" i="74"/>
  <c r="H5103" i="18" s="1"/>
  <c r="I436" i="5"/>
  <c r="J17" i="75"/>
  <c r="J17" i="71"/>
  <c r="M10" i="71"/>
  <c r="M10" i="75"/>
  <c r="F42" i="47"/>
  <c r="I42" i="47" s="1"/>
  <c r="J42" i="47" s="1"/>
  <c r="G178" i="50"/>
  <c r="K2798" i="18"/>
  <c r="G177" i="50"/>
  <c r="I177" i="50" s="1"/>
  <c r="J177" i="50" s="1"/>
  <c r="K31" i="71"/>
  <c r="K30" i="75"/>
  <c r="G109" i="5"/>
  <c r="L22" i="71"/>
  <c r="L22" i="75"/>
  <c r="I507" i="5"/>
  <c r="J34" i="71"/>
  <c r="J33" i="75"/>
  <c r="I453" i="5"/>
  <c r="E35" i="73"/>
  <c r="E48" i="69"/>
  <c r="E47" i="69" s="1"/>
  <c r="I172" i="5"/>
  <c r="G43" i="72"/>
  <c r="E213" i="91" s="1"/>
  <c r="G52" i="68"/>
  <c r="G205" i="50"/>
  <c r="I205" i="50" s="1"/>
  <c r="J205" i="50" s="1"/>
  <c r="K3307" i="18"/>
  <c r="L3308" i="18" s="1"/>
  <c r="L6450" i="18" s="1"/>
  <c r="E6450" i="18" s="1"/>
  <c r="F53" i="47"/>
  <c r="I53" i="47" s="1"/>
  <c r="J53" i="47" s="1"/>
  <c r="H33" i="75"/>
  <c r="H34" i="71"/>
  <c r="I389" i="5"/>
  <c r="F34" i="71"/>
  <c r="I325" i="5"/>
  <c r="F33" i="75"/>
  <c r="K33" i="68"/>
  <c r="I108" i="5"/>
  <c r="E9" i="71"/>
  <c r="I274" i="5"/>
  <c r="E9" i="75"/>
  <c r="D18" i="71"/>
  <c r="D18" i="75"/>
  <c r="I215" i="5"/>
  <c r="F45" i="47"/>
  <c r="I45" i="47" s="1"/>
  <c r="J45" i="47" s="1"/>
  <c r="G185" i="50"/>
  <c r="I185" i="50" s="1"/>
  <c r="J185" i="50" s="1"/>
  <c r="K2909" i="18"/>
  <c r="L2910" i="18" s="1"/>
  <c r="L6430" i="18" s="1"/>
  <c r="E6430" i="18" s="1"/>
  <c r="D19" i="71"/>
  <c r="D19" i="75"/>
  <c r="G138" i="50"/>
  <c r="I138" i="50" s="1"/>
  <c r="J138" i="50" s="1"/>
  <c r="G141" i="50"/>
  <c r="G139" i="50"/>
  <c r="F33" i="47"/>
  <c r="I33" i="47" s="1"/>
  <c r="J33" i="47" s="1"/>
  <c r="G140" i="50"/>
  <c r="G37" i="68"/>
  <c r="K2158" i="18"/>
  <c r="G28" i="72"/>
  <c r="G531" i="5"/>
  <c r="G556" i="5" s="1"/>
  <c r="I534" i="5"/>
  <c r="D9" i="75"/>
  <c r="D9" i="71"/>
  <c r="I241" i="5"/>
  <c r="H27" i="71"/>
  <c r="I382" i="5"/>
  <c r="H26" i="75"/>
  <c r="L35" i="71"/>
  <c r="L34" i="75"/>
  <c r="F29" i="75"/>
  <c r="F30" i="71"/>
  <c r="D28" i="71"/>
  <c r="D27" i="75"/>
  <c r="I225" i="5"/>
  <c r="E54" i="69"/>
  <c r="I178" i="5"/>
  <c r="E41" i="73"/>
  <c r="G630" i="5"/>
  <c r="G655" i="5" s="1"/>
  <c r="I633" i="5"/>
  <c r="H9" i="71"/>
  <c r="H9" i="75"/>
  <c r="I367" i="5"/>
  <c r="D35" i="75"/>
  <c r="D36" i="71"/>
  <c r="I233" i="5"/>
  <c r="H531" i="5"/>
  <c r="H556" i="5" s="1"/>
  <c r="N22" i="75"/>
  <c r="N22" i="71"/>
  <c r="I573" i="5"/>
  <c r="K22" i="71"/>
  <c r="K22" i="75"/>
  <c r="I474" i="5"/>
  <c r="O24" i="75"/>
  <c r="O25" i="71"/>
  <c r="I263" i="5"/>
  <c r="D34" i="71"/>
  <c r="D33" i="75"/>
  <c r="G235" i="50"/>
  <c r="G233" i="50"/>
  <c r="F64" i="47"/>
  <c r="I64" i="47" s="1"/>
  <c r="J64" i="47" s="1"/>
  <c r="G234" i="50"/>
  <c r="K3619" i="18"/>
  <c r="K21" i="68"/>
  <c r="K15" i="72"/>
  <c r="H6221" i="18" s="1"/>
  <c r="G231" i="50"/>
  <c r="G232" i="50"/>
  <c r="E36" i="71"/>
  <c r="E35" i="75"/>
  <c r="I220" i="5"/>
  <c r="D23" i="71"/>
  <c r="P23" i="71" s="1"/>
  <c r="H401" i="5"/>
  <c r="H426" i="5" s="1"/>
  <c r="I27" i="71"/>
  <c r="I26" i="75"/>
  <c r="I224" i="5"/>
  <c r="G181" i="50"/>
  <c r="K2831" i="18"/>
  <c r="G180" i="50"/>
  <c r="I180" i="50" s="1"/>
  <c r="J180" i="50" s="1"/>
  <c r="G183" i="50"/>
  <c r="G182" i="50"/>
  <c r="G184" i="50"/>
  <c r="F44" i="47"/>
  <c r="I44" i="47" s="1"/>
  <c r="J44" i="47" s="1"/>
  <c r="I634" i="5"/>
  <c r="K25" i="71"/>
  <c r="K24" i="75"/>
  <c r="E28" i="75"/>
  <c r="E29" i="71"/>
  <c r="D25" i="71"/>
  <c r="D24" i="75"/>
  <c r="I222" i="5"/>
  <c r="G314" i="50"/>
  <c r="K4751" i="18"/>
  <c r="L4752" i="18" s="1"/>
  <c r="L6558" i="18" s="1"/>
  <c r="E6558" i="18" s="1"/>
  <c r="E25" i="69"/>
  <c r="F107" i="47"/>
  <c r="I107" i="47" s="1"/>
  <c r="J107" i="47" s="1"/>
  <c r="E13" i="73"/>
  <c r="E113" i="91" s="1"/>
  <c r="G313" i="50"/>
  <c r="I313" i="50" s="1"/>
  <c r="J313" i="50" s="1"/>
  <c r="O29" i="71"/>
  <c r="O28" i="75"/>
  <c r="D26" i="75"/>
  <c r="D27" i="71"/>
  <c r="I256" i="5"/>
  <c r="K47" i="72"/>
  <c r="K4450" i="18"/>
  <c r="L4451" i="18" s="1"/>
  <c r="L6537" i="18" s="1"/>
  <c r="E6537" i="18" s="1"/>
  <c r="G292" i="50"/>
  <c r="I292" i="50" s="1"/>
  <c r="J292" i="50" s="1"/>
  <c r="I865" i="5"/>
  <c r="K56" i="68"/>
  <c r="M52" i="71" s="1"/>
  <c r="F94" i="47"/>
  <c r="I94" i="47" s="1"/>
  <c r="J94" i="47" s="1"/>
  <c r="G17" i="71"/>
  <c r="G17" i="75"/>
  <c r="I339" i="5"/>
  <c r="M33" i="75"/>
  <c r="I552" i="5"/>
  <c r="M34" i="71"/>
  <c r="I12" i="75"/>
  <c r="I12" i="71"/>
  <c r="I207" i="5"/>
  <c r="G29" i="75"/>
  <c r="G30" i="71"/>
  <c r="G31" i="75"/>
  <c r="G32" i="71"/>
  <c r="I19" i="71"/>
  <c r="I216" i="5"/>
  <c r="I19" i="75"/>
  <c r="G20" i="75"/>
  <c r="G20" i="71"/>
  <c r="K17" i="75"/>
  <c r="I469" i="5"/>
  <c r="K17" i="71"/>
  <c r="J27" i="71"/>
  <c r="I446" i="5"/>
  <c r="J26" i="75"/>
  <c r="O9" i="71"/>
  <c r="I596" i="5"/>
  <c r="O9" i="75"/>
  <c r="I404" i="5"/>
  <c r="G401" i="5"/>
  <c r="G426" i="5" s="1"/>
  <c r="G34" i="75"/>
  <c r="G35" i="71"/>
  <c r="G311" i="50"/>
  <c r="E24" i="69"/>
  <c r="F106" i="47"/>
  <c r="I106" i="47" s="1"/>
  <c r="J106" i="47" s="1"/>
  <c r="G312" i="50"/>
  <c r="I312" i="50" s="1"/>
  <c r="J312" i="50" s="1"/>
  <c r="E12" i="73"/>
  <c r="K4726" i="18"/>
  <c r="O27" i="71"/>
  <c r="O26" i="75"/>
  <c r="I611" i="5"/>
  <c r="I22" i="71"/>
  <c r="I22" i="75"/>
  <c r="I410" i="5"/>
  <c r="I219" i="5"/>
  <c r="O22" i="71"/>
  <c r="O22" i="75"/>
  <c r="I606" i="5"/>
  <c r="F97" i="47"/>
  <c r="I97" i="47" s="1"/>
  <c r="J97" i="47" s="1"/>
  <c r="I873" i="5"/>
  <c r="J29" i="75"/>
  <c r="J30" i="71"/>
  <c r="G158" i="50"/>
  <c r="K2413" i="18"/>
  <c r="F36" i="47"/>
  <c r="I36" i="47" s="1"/>
  <c r="J36" i="47" s="1"/>
  <c r="G39" i="68"/>
  <c r="G157" i="50"/>
  <c r="G156" i="50"/>
  <c r="I156" i="50" s="1"/>
  <c r="J156" i="50" s="1"/>
  <c r="G30" i="72"/>
  <c r="G63" i="50"/>
  <c r="I63" i="50" s="1"/>
  <c r="J63" i="50" s="1"/>
  <c r="G16" i="72"/>
  <c r="H6194" i="18" s="1"/>
  <c r="F21" i="47"/>
  <c r="I21" i="47" s="1"/>
  <c r="J21" i="47" s="1"/>
  <c r="G21" i="68"/>
  <c r="K934" i="18"/>
  <c r="G230" i="5"/>
  <c r="G198" i="50"/>
  <c r="I198" i="50" s="1"/>
  <c r="J198" i="50" s="1"/>
  <c r="G50" i="68"/>
  <c r="G41" i="72"/>
  <c r="E212" i="91" s="1"/>
  <c r="F212" i="91" s="1"/>
  <c r="K3214" i="18"/>
  <c r="L3215" i="18" s="1"/>
  <c r="L6443" i="18" s="1"/>
  <c r="E6443" i="18" s="1"/>
  <c r="F51" i="47"/>
  <c r="I51" i="47" s="1"/>
  <c r="J51" i="47" s="1"/>
  <c r="G199" i="50"/>
  <c r="H22" i="71"/>
  <c r="H22" i="75"/>
  <c r="I377" i="5"/>
  <c r="J34" i="75"/>
  <c r="J35" i="71"/>
  <c r="O19" i="71"/>
  <c r="O19" i="75"/>
  <c r="L30" i="71"/>
  <c r="L29" i="75"/>
  <c r="E22" i="75"/>
  <c r="E22" i="71"/>
  <c r="I282" i="5"/>
  <c r="G320" i="50"/>
  <c r="I320" i="50" s="1"/>
  <c r="J320" i="50" s="1"/>
  <c r="K4877" i="18"/>
  <c r="L4878" i="18" s="1"/>
  <c r="L6565" i="18" s="1"/>
  <c r="E6565" i="18" s="1"/>
  <c r="E23" i="73"/>
  <c r="E72" i="8" s="1"/>
  <c r="F738" i="5" s="1"/>
  <c r="I738" i="5" s="1"/>
  <c r="E52" i="74" s="1"/>
  <c r="H5102" i="18" s="1"/>
  <c r="F113" i="47"/>
  <c r="I113" i="47" s="1"/>
  <c r="J113" i="47" s="1"/>
  <c r="E36" i="69"/>
  <c r="L20" i="75"/>
  <c r="L20" i="71"/>
  <c r="K2521" i="18"/>
  <c r="L2522" i="18" s="1"/>
  <c r="L6407" i="18" s="1"/>
  <c r="E6407" i="18" s="1"/>
  <c r="F38" i="47"/>
  <c r="I38" i="47" s="1"/>
  <c r="J38" i="47" s="1"/>
  <c r="G32" i="72"/>
  <c r="G163" i="50"/>
  <c r="G161" i="50"/>
  <c r="I161" i="50" s="1"/>
  <c r="J161" i="50" s="1"/>
  <c r="G162" i="50"/>
  <c r="G41" i="68"/>
  <c r="M11" i="71"/>
  <c r="M11" i="75"/>
  <c r="G9" i="71"/>
  <c r="G9" i="75"/>
  <c r="I336" i="5"/>
  <c r="N12" i="71"/>
  <c r="N12" i="75"/>
  <c r="I232" i="5"/>
  <c r="I34" i="75"/>
  <c r="I35" i="71"/>
  <c r="I639" i="5"/>
  <c r="H19" i="71"/>
  <c r="H19" i="75"/>
  <c r="I287" i="5"/>
  <c r="E26" i="75"/>
  <c r="E27" i="71"/>
  <c r="E17" i="75"/>
  <c r="E17" i="71"/>
  <c r="I277" i="5"/>
  <c r="M12" i="75"/>
  <c r="M12" i="71"/>
  <c r="K10" i="72"/>
  <c r="F59" i="47"/>
  <c r="I59" i="47" s="1"/>
  <c r="J59" i="47" s="1"/>
  <c r="G214" i="50"/>
  <c r="I214" i="50" s="1"/>
  <c r="J214" i="50" s="1"/>
  <c r="K3410" i="18"/>
  <c r="L3411" i="18" s="1"/>
  <c r="L6459" i="18" s="1"/>
  <c r="E6459" i="18" s="1"/>
  <c r="K12" i="68"/>
  <c r="F10" i="75"/>
  <c r="F10" i="71"/>
  <c r="E49" i="73"/>
  <c r="E62" i="69"/>
  <c r="G14" i="50"/>
  <c r="I14" i="50" s="1"/>
  <c r="J14" i="50" s="1"/>
  <c r="G13" i="68"/>
  <c r="K108" i="18"/>
  <c r="L109" i="18" s="1"/>
  <c r="L6260" i="18" s="1"/>
  <c r="E6260" i="18" s="1"/>
  <c r="G11" i="72"/>
  <c r="F16" i="47"/>
  <c r="I16" i="47" s="1"/>
  <c r="J16" i="47" s="1"/>
  <c r="H12" i="75"/>
  <c r="H12" i="71"/>
  <c r="J36" i="71"/>
  <c r="J35" i="75"/>
  <c r="F108" i="47"/>
  <c r="I108" i="47" s="1"/>
  <c r="J108" i="47" s="1"/>
  <c r="G315" i="50"/>
  <c r="I315" i="50" s="1"/>
  <c r="J315" i="50" s="1"/>
  <c r="E28" i="69"/>
  <c r="K4777" i="18"/>
  <c r="L4778" i="18" s="1"/>
  <c r="L6560" i="18" s="1"/>
  <c r="E6560" i="18" s="1"/>
  <c r="E16" i="73"/>
  <c r="E26" i="91" s="1"/>
  <c r="G191" i="50"/>
  <c r="G47" i="68"/>
  <c r="G38" i="72"/>
  <c r="E209" i="91" s="1"/>
  <c r="F48" i="47"/>
  <c r="I48" i="47" s="1"/>
  <c r="J48" i="47" s="1"/>
  <c r="G190" i="50"/>
  <c r="G192" i="50"/>
  <c r="G189" i="50"/>
  <c r="I189" i="50" s="1"/>
  <c r="J189" i="50" s="1"/>
  <c r="G194" i="50"/>
  <c r="G193" i="50"/>
  <c r="K3044" i="18"/>
  <c r="L3151" i="18" s="1"/>
  <c r="L6438" i="18" s="1"/>
  <c r="E6438" i="18" s="1"/>
  <c r="G136" i="50"/>
  <c r="K2033" i="18"/>
  <c r="L2034" i="18" s="1"/>
  <c r="L6376" i="18" s="1"/>
  <c r="E6376" i="18" s="1"/>
  <c r="G134" i="50"/>
  <c r="G137" i="50"/>
  <c r="F32" i="47"/>
  <c r="I32" i="47" s="1"/>
  <c r="J32" i="47" s="1"/>
  <c r="G36" i="68"/>
  <c r="G131" i="50"/>
  <c r="G27" i="72"/>
  <c r="G133" i="50"/>
  <c r="G132" i="50"/>
  <c r="G130" i="50"/>
  <c r="I130" i="50" s="1"/>
  <c r="J130" i="50" s="1"/>
  <c r="G135" i="50"/>
  <c r="D31" i="71"/>
  <c r="D30" i="75"/>
  <c r="N27" i="71"/>
  <c r="N26" i="75"/>
  <c r="I578" i="5"/>
  <c r="I563" i="5"/>
  <c r="H17" i="75"/>
  <c r="I372" i="5"/>
  <c r="H17" i="71"/>
  <c r="D11" i="71"/>
  <c r="D11" i="75"/>
  <c r="F15" i="71"/>
  <c r="F15" i="75"/>
  <c r="E57" i="6"/>
  <c r="F56" i="6"/>
  <c r="G207" i="50"/>
  <c r="G208" i="50"/>
  <c r="K8" i="72"/>
  <c r="G210" i="50"/>
  <c r="F57" i="47"/>
  <c r="I57" i="47" s="1"/>
  <c r="J57" i="47" s="1"/>
  <c r="K8" i="68"/>
  <c r="K3320" i="18"/>
  <c r="L3321" i="18" s="1"/>
  <c r="L6451" i="18" s="1"/>
  <c r="E6451" i="18" s="1"/>
  <c r="G209" i="50"/>
  <c r="G206" i="50"/>
  <c r="I206" i="50" s="1"/>
  <c r="J206" i="50" s="1"/>
  <c r="G211" i="50"/>
  <c r="F17" i="71"/>
  <c r="I308" i="5"/>
  <c r="F17" i="75"/>
  <c r="E10" i="75"/>
  <c r="E10" i="71"/>
  <c r="I644" i="5"/>
  <c r="J28" i="71"/>
  <c r="J27" i="75"/>
  <c r="L34" i="71"/>
  <c r="L33" i="75"/>
  <c r="I519" i="5"/>
  <c r="F27" i="71"/>
  <c r="F26" i="75"/>
  <c r="I318" i="5"/>
  <c r="G290" i="50"/>
  <c r="I290" i="50" s="1"/>
  <c r="J290" i="50" s="1"/>
  <c r="I857" i="5"/>
  <c r="K4414" i="18"/>
  <c r="L4415" i="18" s="1"/>
  <c r="L6535" i="18" s="1"/>
  <c r="E6535" i="18" s="1"/>
  <c r="K45" i="72"/>
  <c r="K54" i="68"/>
  <c r="K52" i="71" s="1"/>
  <c r="F92" i="47"/>
  <c r="I92" i="47" s="1"/>
  <c r="J92" i="47" s="1"/>
  <c r="I629" i="5"/>
  <c r="I204" i="5"/>
  <c r="I10" i="71"/>
  <c r="I10" i="75"/>
  <c r="L9" i="71"/>
  <c r="L9" i="75"/>
  <c r="I497" i="5"/>
  <c r="G218" i="5"/>
  <c r="F9" i="71"/>
  <c r="I305" i="5"/>
  <c r="F9" i="75"/>
  <c r="H64" i="5"/>
  <c r="I206" i="5"/>
  <c r="J22" i="75"/>
  <c r="I441" i="5"/>
  <c r="J22" i="71"/>
  <c r="M23" i="75"/>
  <c r="M24" i="71"/>
  <c r="O10" i="71"/>
  <c r="O10" i="75"/>
  <c r="F22" i="47"/>
  <c r="I22" i="47" s="1"/>
  <c r="J22" i="47" s="1"/>
  <c r="G22" i="68"/>
  <c r="G65" i="50"/>
  <c r="K944" i="18"/>
  <c r="L945" i="18" s="1"/>
  <c r="L6310" i="18" s="1"/>
  <c r="E6310" i="18" s="1"/>
  <c r="G64" i="50"/>
  <c r="I64" i="50" s="1"/>
  <c r="J64" i="50" s="1"/>
  <c r="G17" i="72"/>
  <c r="L10" i="75"/>
  <c r="L10" i="71"/>
  <c r="M27" i="75"/>
  <c r="M28" i="71"/>
  <c r="M18" i="75"/>
  <c r="M18" i="71"/>
  <c r="N20" i="71"/>
  <c r="N20" i="75"/>
  <c r="G29" i="71"/>
  <c r="G28" i="75"/>
  <c r="G10" i="75"/>
  <c r="G10" i="71"/>
  <c r="K9" i="71"/>
  <c r="K9" i="75"/>
  <c r="I464" i="5"/>
  <c r="H223" i="5"/>
  <c r="O29" i="75"/>
  <c r="O30" i="71"/>
  <c r="F30" i="75"/>
  <c r="F31" i="71"/>
  <c r="J20" i="71"/>
  <c r="J20" i="75"/>
  <c r="F122" i="47"/>
  <c r="I122" i="47" s="1"/>
  <c r="J122" i="47" s="1"/>
  <c r="I194" i="5"/>
  <c r="I792" i="5"/>
  <c r="E37" i="69"/>
  <c r="E24" i="73"/>
  <c r="K4899" i="18"/>
  <c r="L4900" i="18" s="1"/>
  <c r="L6566" i="18" s="1"/>
  <c r="E6566" i="18" s="1"/>
  <c r="G321" i="50"/>
  <c r="I321" i="50" s="1"/>
  <c r="J321" i="50" s="1"/>
  <c r="F114" i="47"/>
  <c r="I114" i="47" s="1"/>
  <c r="J114" i="47" s="1"/>
  <c r="I568" i="5"/>
  <c r="N17" i="75"/>
  <c r="N17" i="71"/>
  <c r="F25" i="71"/>
  <c r="F24" i="75"/>
  <c r="M22" i="75"/>
  <c r="M22" i="71"/>
  <c r="I540" i="5"/>
  <c r="K14" i="68"/>
  <c r="K3433" i="18"/>
  <c r="L3434" i="18" s="1"/>
  <c r="L6461" i="18" s="1"/>
  <c r="E6461" i="18" s="1"/>
  <c r="K12" i="72"/>
  <c r="H6218" i="18" s="1"/>
  <c r="J6218" i="18" s="1"/>
  <c r="F61" i="47"/>
  <c r="I61" i="47" s="1"/>
  <c r="J61" i="47" s="1"/>
  <c r="G216" i="50"/>
  <c r="I216" i="50" s="1"/>
  <c r="J216" i="50" s="1"/>
  <c r="F29" i="6"/>
  <c r="F30" i="6"/>
  <c r="D32" i="71"/>
  <c r="D31" i="75"/>
  <c r="I229" i="5"/>
  <c r="G213" i="5"/>
  <c r="K27" i="71"/>
  <c r="K26" i="75"/>
  <c r="I479" i="5"/>
  <c r="G217" i="50"/>
  <c r="I217" i="50" s="1"/>
  <c r="J217" i="50" s="1"/>
  <c r="G222" i="50"/>
  <c r="K3444" i="18"/>
  <c r="F62" i="47"/>
  <c r="I62" i="47" s="1"/>
  <c r="J62" i="47" s="1"/>
  <c r="G220" i="50"/>
  <c r="G219" i="50"/>
  <c r="G218" i="50"/>
  <c r="I218" i="50" s="1"/>
  <c r="J218" i="50" s="1"/>
  <c r="K13" i="72"/>
  <c r="H6219" i="18" s="1"/>
  <c r="G223" i="50"/>
  <c r="K15" i="68"/>
  <c r="G221" i="50"/>
  <c r="D20" i="75"/>
  <c r="I217" i="5"/>
  <c r="D20" i="71"/>
  <c r="K24" i="71"/>
  <c r="K23" i="75"/>
  <c r="E20" i="73"/>
  <c r="K4822" i="18"/>
  <c r="L4823" i="18" s="1"/>
  <c r="L6562" i="18" s="1"/>
  <c r="E6562" i="18" s="1"/>
  <c r="G317" i="50"/>
  <c r="I317" i="50" s="1"/>
  <c r="J317" i="50" s="1"/>
  <c r="F110" i="47"/>
  <c r="I110" i="47" s="1"/>
  <c r="J110" i="47" s="1"/>
  <c r="E33" i="69"/>
  <c r="G117" i="50"/>
  <c r="G120" i="50"/>
  <c r="G123" i="50"/>
  <c r="G25" i="72"/>
  <c r="F30" i="47"/>
  <c r="I30" i="47" s="1"/>
  <c r="J30" i="47" s="1"/>
  <c r="G118" i="50"/>
  <c r="G116" i="50"/>
  <c r="I116" i="50" s="1"/>
  <c r="J116" i="50" s="1"/>
  <c r="K1824" i="18"/>
  <c r="G119" i="50"/>
  <c r="G122" i="50"/>
  <c r="G121" i="50"/>
  <c r="G34" i="68"/>
  <c r="F70" i="47"/>
  <c r="I70" i="47" s="1"/>
  <c r="J70" i="47" s="1"/>
  <c r="G251" i="50"/>
  <c r="I251" i="50" s="1"/>
  <c r="J251" i="50" s="1"/>
  <c r="G253" i="50"/>
  <c r="K21" i="72"/>
  <c r="K3928" i="18"/>
  <c r="G254" i="50"/>
  <c r="G252" i="50"/>
  <c r="K29" i="68"/>
  <c r="E11" i="71"/>
  <c r="E11" i="75"/>
  <c r="G19" i="75"/>
  <c r="G19" i="71"/>
  <c r="K11" i="68"/>
  <c r="G213" i="50"/>
  <c r="G212" i="50"/>
  <c r="I212" i="50" s="1"/>
  <c r="J212" i="50" s="1"/>
  <c r="K9" i="72"/>
  <c r="K3382" i="18"/>
  <c r="F58" i="47"/>
  <c r="I58" i="47" s="1"/>
  <c r="J58" i="47" s="1"/>
  <c r="I34" i="71"/>
  <c r="I231" i="5"/>
  <c r="I33" i="75"/>
  <c r="I422" i="5"/>
  <c r="M25" i="71"/>
  <c r="M24" i="75"/>
  <c r="G11" i="68"/>
  <c r="G12" i="50"/>
  <c r="I12" i="50" s="1"/>
  <c r="J12" i="50" s="1"/>
  <c r="F14" i="47"/>
  <c r="I14" i="47" s="1"/>
  <c r="J14" i="47" s="1"/>
  <c r="G9" i="72"/>
  <c r="K70" i="18"/>
  <c r="L71" i="18" s="1"/>
  <c r="L6258" i="18" s="1"/>
  <c r="E6258" i="18" s="1"/>
  <c r="H465" i="5"/>
  <c r="H490" i="5" s="1"/>
  <c r="I23" i="75"/>
  <c r="I24" i="71"/>
  <c r="I221" i="5"/>
  <c r="M17" i="75"/>
  <c r="I535" i="5"/>
  <c r="M17" i="71"/>
  <c r="E59" i="69"/>
  <c r="E46" i="73"/>
  <c r="F31" i="75"/>
  <c r="F32" i="71"/>
  <c r="M20" i="75"/>
  <c r="M20" i="71"/>
  <c r="E18" i="71"/>
  <c r="E18" i="75"/>
  <c r="D29" i="71"/>
  <c r="I226" i="5"/>
  <c r="D28" i="75"/>
  <c r="G11" i="50"/>
  <c r="F13" i="47"/>
  <c r="G8" i="72"/>
  <c r="E46" i="74" s="1"/>
  <c r="G8" i="68"/>
  <c r="G9" i="50"/>
  <c r="I9" i="50" s="1"/>
  <c r="J9" i="50" s="1"/>
  <c r="G10" i="50"/>
  <c r="I10" i="50" s="1"/>
  <c r="J10" i="50" s="1"/>
  <c r="K9" i="18"/>
  <c r="I35" i="5"/>
  <c r="F80" i="48" s="1"/>
  <c r="H218" i="5"/>
  <c r="F106" i="48"/>
  <c r="E13" i="69"/>
  <c r="E8" i="73"/>
  <c r="E52" i="91" s="1"/>
  <c r="K4489" i="18"/>
  <c r="L4509" i="18" s="1"/>
  <c r="L6542" i="18" s="1"/>
  <c r="E6542" i="18" s="1"/>
  <c r="G302" i="50"/>
  <c r="G304" i="50"/>
  <c r="F102" i="47"/>
  <c r="I102" i="47" s="1"/>
  <c r="J102" i="47" s="1"/>
  <c r="I132" i="5"/>
  <c r="G297" i="50"/>
  <c r="F22" i="75"/>
  <c r="F21" i="75" s="1"/>
  <c r="F22" i="71"/>
  <c r="I313" i="5"/>
  <c r="G368" i="5"/>
  <c r="G393" i="5" s="1"/>
  <c r="I371" i="5"/>
  <c r="K27" i="72"/>
  <c r="K36" i="68"/>
  <c r="D24" i="71"/>
  <c r="D23" i="75"/>
  <c r="O17" i="75"/>
  <c r="O17" i="71"/>
  <c r="I601" i="5"/>
  <c r="E29" i="75"/>
  <c r="E30" i="71"/>
  <c r="M30" i="71"/>
  <c r="M29" i="75"/>
  <c r="G22" i="75"/>
  <c r="G22" i="71"/>
  <c r="I344" i="5"/>
  <c r="L17" i="75"/>
  <c r="I502" i="5"/>
  <c r="L17" i="71"/>
  <c r="I294" i="5"/>
  <c r="E34" i="71"/>
  <c r="E33" i="71" s="1"/>
  <c r="E33" i="75"/>
  <c r="G20" i="50"/>
  <c r="G18" i="50"/>
  <c r="K119" i="18"/>
  <c r="G15" i="50"/>
  <c r="I15" i="50" s="1"/>
  <c r="J15" i="50" s="1"/>
  <c r="G19" i="50"/>
  <c r="G17" i="50"/>
  <c r="G14" i="68"/>
  <c r="G26" i="50"/>
  <c r="G12" i="72"/>
  <c r="G27" i="50"/>
  <c r="G21" i="50"/>
  <c r="G24" i="50"/>
  <c r="G25" i="50"/>
  <c r="G22" i="50"/>
  <c r="F17" i="47"/>
  <c r="I17" i="47" s="1"/>
  <c r="J17" i="47" s="1"/>
  <c r="G23" i="50"/>
  <c r="G16" i="50"/>
  <c r="N28" i="75"/>
  <c r="N29" i="71"/>
  <c r="G208" i="5"/>
  <c r="K89" i="18"/>
  <c r="L90" i="18" s="1"/>
  <c r="L6259" i="18" s="1"/>
  <c r="E6259" i="18" s="1"/>
  <c r="F15" i="47"/>
  <c r="I15" i="47" s="1"/>
  <c r="J15" i="47" s="1"/>
  <c r="G12" i="68"/>
  <c r="G10" i="72"/>
  <c r="G13" i="50"/>
  <c r="I13" i="50" s="1"/>
  <c r="J13" i="50" s="1"/>
  <c r="G27" i="71"/>
  <c r="G26" i="75"/>
  <c r="I349" i="5"/>
  <c r="I245" i="5"/>
  <c r="G242" i="5"/>
  <c r="G267" i="5" s="1"/>
  <c r="F89" i="47"/>
  <c r="I89" i="47" s="1"/>
  <c r="J89" i="47" s="1"/>
  <c r="G287" i="50"/>
  <c r="I287" i="50" s="1"/>
  <c r="J287" i="50" s="1"/>
  <c r="K4352" i="18"/>
  <c r="L4353" i="18" s="1"/>
  <c r="L6532" i="18" s="1"/>
  <c r="E6532" i="18" s="1"/>
  <c r="I845" i="5"/>
  <c r="K42" i="72"/>
  <c r="K51" i="68"/>
  <c r="H52" i="71" s="1"/>
  <c r="K4518" i="18"/>
  <c r="I4537" i="18"/>
  <c r="I4538" i="18" s="1"/>
  <c r="I4539" i="18" s="1"/>
  <c r="K4540" i="18" s="1"/>
  <c r="L4540" i="18" s="1"/>
  <c r="G159" i="50"/>
  <c r="I159" i="50" s="1"/>
  <c r="J159" i="50" s="1"/>
  <c r="G160" i="50"/>
  <c r="G40" i="68"/>
  <c r="G31" i="72"/>
  <c r="K2498" i="18"/>
  <c r="L2499" i="18" s="1"/>
  <c r="L6405" i="18" s="1"/>
  <c r="E6405" i="18" s="1"/>
  <c r="F37" i="47"/>
  <c r="I37" i="47" s="1"/>
  <c r="J37" i="47" s="1"/>
  <c r="I17" i="71"/>
  <c r="I17" i="75"/>
  <c r="I405" i="5"/>
  <c r="I214" i="5"/>
  <c r="G305" i="50"/>
  <c r="I305" i="50" s="1"/>
  <c r="J305" i="50" s="1"/>
  <c r="E9" i="73"/>
  <c r="E91" i="91" s="1"/>
  <c r="F103" i="47"/>
  <c r="I103" i="47" s="1"/>
  <c r="J103" i="47" s="1"/>
  <c r="G306" i="50"/>
  <c r="E21" i="69"/>
  <c r="K4634" i="18"/>
  <c r="L4635" i="18" s="1"/>
  <c r="L6550" i="18" s="1"/>
  <c r="E6550" i="18" s="1"/>
  <c r="N31" i="75"/>
  <c r="N32" i="71"/>
  <c r="I486" i="5"/>
  <c r="K33" i="75"/>
  <c r="K34" i="71"/>
  <c r="K33" i="71" s="1"/>
  <c r="O23" i="75"/>
  <c r="O24" i="71"/>
  <c r="L28" i="75"/>
  <c r="L29" i="71"/>
  <c r="G67" i="50"/>
  <c r="G23" i="68"/>
  <c r="G18" i="72"/>
  <c r="F23" i="47"/>
  <c r="I23" i="47" s="1"/>
  <c r="J23" i="47" s="1"/>
  <c r="K967" i="18"/>
  <c r="L968" i="18" s="1"/>
  <c r="L6312" i="18" s="1"/>
  <c r="E6312" i="18" s="1"/>
  <c r="G66" i="50"/>
  <c r="I66" i="50" s="1"/>
  <c r="J66" i="50" s="1"/>
  <c r="L18" i="71"/>
  <c r="L18" i="75"/>
  <c r="I468" i="5"/>
  <c r="G465" i="5"/>
  <c r="G490" i="5" s="1"/>
  <c r="O12" i="71"/>
  <c r="O12" i="75"/>
  <c r="D22" i="75"/>
  <c r="D22" i="71"/>
  <c r="I251" i="5"/>
  <c r="F72" i="48"/>
  <c r="I734" i="5"/>
  <c r="I211" i="5"/>
  <c r="K2640" i="18"/>
  <c r="L2641" i="18" s="1"/>
  <c r="L6414" i="18" s="1"/>
  <c r="E6414" i="18" s="1"/>
  <c r="G43" i="68"/>
  <c r="G168" i="50"/>
  <c r="I168" i="50" s="1"/>
  <c r="J168" i="50" s="1"/>
  <c r="F40" i="47"/>
  <c r="I40" i="47" s="1"/>
  <c r="J40" i="47" s="1"/>
  <c r="G34" i="72"/>
  <c r="E198" i="91" s="1"/>
  <c r="F12" i="71"/>
  <c r="F12" i="75"/>
  <c r="G12" i="71"/>
  <c r="G12" i="75"/>
  <c r="F11" i="75"/>
  <c r="F11" i="71"/>
  <c r="F28" i="75"/>
  <c r="F29" i="71"/>
  <c r="F34" i="75"/>
  <c r="F35" i="71"/>
  <c r="D10" i="71"/>
  <c r="D10" i="75"/>
  <c r="G247" i="50"/>
  <c r="K3830" i="18"/>
  <c r="G245" i="50"/>
  <c r="G243" i="50"/>
  <c r="I243" i="50" s="1"/>
  <c r="J243" i="50" s="1"/>
  <c r="G246" i="50"/>
  <c r="G248" i="50"/>
  <c r="G249" i="50"/>
  <c r="G244" i="50"/>
  <c r="I244" i="50" s="1"/>
  <c r="J244" i="50" s="1"/>
  <c r="O15" i="71"/>
  <c r="O15" i="75"/>
  <c r="J9" i="71"/>
  <c r="J9" i="75"/>
  <c r="J13" i="75" s="1"/>
  <c r="W43" i="75" s="1"/>
  <c r="I433" i="5"/>
  <c r="K1765" i="18"/>
  <c r="G20" i="72"/>
  <c r="F25" i="47"/>
  <c r="I25" i="47" s="1"/>
  <c r="J25" i="47" s="1"/>
  <c r="G111" i="50"/>
  <c r="G26" i="68"/>
  <c r="G112" i="50"/>
  <c r="M35" i="71"/>
  <c r="M34" i="75"/>
  <c r="H368" i="5"/>
  <c r="H393" i="5" s="1"/>
  <c r="M26" i="75"/>
  <c r="I545" i="5"/>
  <c r="M27" i="71"/>
  <c r="N18" i="71"/>
  <c r="N18" i="75"/>
  <c r="D17" i="71"/>
  <c r="D17" i="75"/>
  <c r="I246" i="5"/>
  <c r="H242" i="5"/>
  <c r="H267" i="5" s="1"/>
  <c r="L27" i="71"/>
  <c r="I512" i="5"/>
  <c r="L26" i="75"/>
  <c r="H337" i="5"/>
  <c r="H360" i="5" s="1"/>
  <c r="L32" i="71"/>
  <c r="L31" i="75"/>
  <c r="I29" i="75"/>
  <c r="I227" i="5"/>
  <c r="I30" i="71"/>
  <c r="F36" i="71"/>
  <c r="F35" i="75"/>
  <c r="D29" i="75"/>
  <c r="D30" i="71"/>
  <c r="H32" i="71"/>
  <c r="H31" i="75"/>
  <c r="I400" i="5"/>
  <c r="I9" i="71"/>
  <c r="I9" i="75"/>
  <c r="K32" i="71"/>
  <c r="K31" i="75"/>
  <c r="K4664" i="18"/>
  <c r="L4665" i="18" s="1"/>
  <c r="L6552" i="18" s="1"/>
  <c r="E6552" i="18" s="1"/>
  <c r="G308" i="50"/>
  <c r="E10" i="73"/>
  <c r="E111" i="91" s="1"/>
  <c r="G307" i="50"/>
  <c r="I307" i="50" s="1"/>
  <c r="J307" i="50" s="1"/>
  <c r="F107" i="48"/>
  <c r="E22" i="69"/>
  <c r="F104" i="47"/>
  <c r="I104" i="47" s="1"/>
  <c r="J104" i="47" s="1"/>
  <c r="G275" i="5"/>
  <c r="G298" i="5" s="1"/>
  <c r="E12" i="71"/>
  <c r="E12" i="75"/>
  <c r="H208" i="5"/>
  <c r="I30" i="75"/>
  <c r="I31" i="71"/>
  <c r="I228" i="5"/>
  <c r="E48" i="73"/>
  <c r="E61" i="69"/>
  <c r="H35" i="71"/>
  <c r="H34" i="75"/>
  <c r="G223" i="5"/>
  <c r="D34" i="75"/>
  <c r="D35" i="71"/>
  <c r="I618" i="5"/>
  <c r="O33" i="75"/>
  <c r="O34" i="71"/>
  <c r="O33" i="71" s="1"/>
  <c r="E25" i="71"/>
  <c r="E24" i="75"/>
  <c r="K12" i="75"/>
  <c r="K12" i="71"/>
  <c r="D12" i="75"/>
  <c r="D12" i="71"/>
  <c r="I11" i="71"/>
  <c r="I205" i="5"/>
  <c r="I11" i="75"/>
  <c r="N19" i="71"/>
  <c r="N19" i="75"/>
  <c r="L11" i="75"/>
  <c r="L11" i="71"/>
  <c r="H213" i="5"/>
  <c r="Z45" i="71"/>
  <c r="H129" i="21"/>
  <c r="AB14" i="71"/>
  <c r="AB37" i="71" s="1"/>
  <c r="AB51" i="71" s="1"/>
  <c r="AB53" i="71" s="1"/>
  <c r="AB54" i="71" s="1"/>
  <c r="V14" i="71"/>
  <c r="V37" i="71" s="1"/>
  <c r="V45" i="71" s="1"/>
  <c r="X14" i="71"/>
  <c r="X37" i="71" s="1"/>
  <c r="X51" i="71" s="1"/>
  <c r="X53" i="71" s="1"/>
  <c r="X54" i="71" s="1"/>
  <c r="L36" i="72"/>
  <c r="Q14" i="71"/>
  <c r="Q37" i="71" s="1"/>
  <c r="Q45" i="71" s="1"/>
  <c r="V14" i="75"/>
  <c r="V36" i="75" s="1"/>
  <c r="V50" i="75" s="1"/>
  <c r="V52" i="75" s="1"/>
  <c r="V53" i="75" s="1"/>
  <c r="Q14" i="75"/>
  <c r="Q36" i="75" s="1"/>
  <c r="Q50" i="75" s="1"/>
  <c r="Q52" i="75" s="1"/>
  <c r="Q53" i="75" s="1"/>
  <c r="D20" i="52"/>
  <c r="H59" i="68"/>
  <c r="H70" i="68" s="1"/>
  <c r="D55" i="51"/>
  <c r="E32" i="51" s="1"/>
  <c r="H32" i="51" s="1"/>
  <c r="J54" i="51"/>
  <c r="D85" i="47"/>
  <c r="E71" i="47" s="1"/>
  <c r="F64" i="73"/>
  <c r="D55" i="47"/>
  <c r="E26" i="47" s="1"/>
  <c r="F179" i="6"/>
  <c r="F89" i="74"/>
  <c r="F31" i="73"/>
  <c r="F65" i="73" s="1"/>
  <c r="AA14" i="71"/>
  <c r="AA37" i="71" s="1"/>
  <c r="AA51" i="71" s="1"/>
  <c r="AB14" i="75"/>
  <c r="AB36" i="75" s="1"/>
  <c r="U14" i="71"/>
  <c r="U37" i="71" s="1"/>
  <c r="U51" i="71" s="1"/>
  <c r="U53" i="71" s="1"/>
  <c r="U54" i="71" s="1"/>
  <c r="H50" i="72"/>
  <c r="L45" i="68"/>
  <c r="Y14" i="75"/>
  <c r="Y36" i="75" s="1"/>
  <c r="Y50" i="75" s="1"/>
  <c r="Y52" i="75" s="1"/>
  <c r="Y53" i="75" s="1"/>
  <c r="D58" i="52"/>
  <c r="D18" i="52" s="1"/>
  <c r="AC33" i="71"/>
  <c r="I334" i="50"/>
  <c r="J334" i="50" s="1"/>
  <c r="I331" i="50"/>
  <c r="J331" i="50" s="1"/>
  <c r="I333" i="50"/>
  <c r="J333" i="50" s="1"/>
  <c r="I322" i="50"/>
  <c r="J322" i="50" s="1"/>
  <c r="I332" i="50"/>
  <c r="J332" i="50" s="1"/>
  <c r="U14" i="75"/>
  <c r="U36" i="75" s="1"/>
  <c r="U50" i="75" s="1"/>
  <c r="U52" i="75" s="1"/>
  <c r="U53" i="75" s="1"/>
  <c r="L5054" i="18"/>
  <c r="L6577" i="18" s="1"/>
  <c r="E6577" i="18" s="1"/>
  <c r="L5076" i="18"/>
  <c r="L6579" i="18" s="1"/>
  <c r="E6579" i="18" s="1"/>
  <c r="L4915" i="18"/>
  <c r="L6567" i="18" s="1"/>
  <c r="E6567" i="18" s="1"/>
  <c r="D85" i="48"/>
  <c r="D25" i="48" s="1"/>
  <c r="D85" i="51"/>
  <c r="E77" i="51" s="1"/>
  <c r="H77" i="51" s="1"/>
  <c r="M117" i="5"/>
  <c r="L122" i="5"/>
  <c r="L124" i="5" s="1"/>
  <c r="L125" i="5" s="1"/>
  <c r="D27" i="48"/>
  <c r="D66" i="52"/>
  <c r="M805" i="5"/>
  <c r="M791" i="5"/>
  <c r="D121" i="51"/>
  <c r="I121" i="51" s="1"/>
  <c r="J121" i="51" s="1"/>
  <c r="D121" i="47"/>
  <c r="M193" i="5"/>
  <c r="M801" i="5" s="1"/>
  <c r="D15" i="48"/>
  <c r="L434" i="5"/>
  <c r="M435" i="5"/>
  <c r="L212" i="5"/>
  <c r="D82" i="48"/>
  <c r="D83" i="48" s="1"/>
  <c r="D24" i="48" s="1"/>
  <c r="M786" i="5"/>
  <c r="D55" i="52"/>
  <c r="D24" i="52" s="1"/>
  <c r="F59" i="70"/>
  <c r="F61" i="70" s="1"/>
  <c r="AE49" i="2"/>
  <c r="AE50" i="2" s="1"/>
  <c r="Y14" i="71"/>
  <c r="Y37" i="71" s="1"/>
  <c r="Y45" i="71" s="1"/>
  <c r="J829" i="5"/>
  <c r="J831" i="5" s="1"/>
  <c r="J832" i="5" s="1"/>
  <c r="S14" i="71"/>
  <c r="S37" i="71" s="1"/>
  <c r="S51" i="71" s="1"/>
  <c r="S53" i="71" s="1"/>
  <c r="S54" i="71" s="1"/>
  <c r="G54" i="51"/>
  <c r="G28" i="51"/>
  <c r="M711" i="5"/>
  <c r="M713" i="5" s="1"/>
  <c r="T14" i="71"/>
  <c r="T37" i="71" s="1"/>
  <c r="T45" i="71" s="1"/>
  <c r="C47" i="2"/>
  <c r="C48" i="2" s="1"/>
  <c r="G72" i="51"/>
  <c r="G84" i="51"/>
  <c r="E40" i="74"/>
  <c r="AC32" i="75"/>
  <c r="F98" i="6"/>
  <c r="E99" i="6"/>
  <c r="AC16" i="75"/>
  <c r="F156" i="6"/>
  <c r="F157" i="6"/>
  <c r="AC16" i="71"/>
  <c r="T14" i="75"/>
  <c r="T36" i="75" s="1"/>
  <c r="AC21" i="75"/>
  <c r="M40" i="46"/>
  <c r="N40" i="46" s="1"/>
  <c r="F131" i="6"/>
  <c r="F132" i="6"/>
  <c r="R14" i="71"/>
  <c r="R37" i="71" s="1"/>
  <c r="Q54" i="2"/>
  <c r="Q56" i="2" s="1"/>
  <c r="Q57" i="2" s="1"/>
  <c r="F42" i="74"/>
  <c r="F94" i="74"/>
  <c r="H4977" i="18"/>
  <c r="AE80" i="6"/>
  <c r="K12" i="80"/>
  <c r="K13" i="80" s="1"/>
  <c r="H162" i="5"/>
  <c r="H163" i="5" s="1"/>
  <c r="G80" i="6"/>
  <c r="AC80" i="6"/>
  <c r="AD80" i="6"/>
  <c r="M838" i="5"/>
  <c r="M839" i="5" s="1"/>
  <c r="M840" i="5" s="1"/>
  <c r="AC21" i="71"/>
  <c r="AC26" i="71"/>
  <c r="AC13" i="75"/>
  <c r="R14" i="75"/>
  <c r="R36" i="75" s="1"/>
  <c r="D65" i="52"/>
  <c r="F68" i="70"/>
  <c r="D14" i="48"/>
  <c r="M790" i="5"/>
  <c r="F51" i="74"/>
  <c r="M821" i="5"/>
  <c r="M823" i="5" s="1"/>
  <c r="M824" i="5" s="1"/>
  <c r="F151" i="6"/>
  <c r="F152" i="6"/>
  <c r="J102" i="51"/>
  <c r="I115" i="51"/>
  <c r="E105" i="74"/>
  <c r="J76" i="47"/>
  <c r="F834" i="5"/>
  <c r="F835" i="5" s="1"/>
  <c r="F836" i="5" s="1"/>
  <c r="F234" i="5"/>
  <c r="I120" i="51"/>
  <c r="J120" i="51" s="1"/>
  <c r="AC13" i="71"/>
  <c r="J872" i="5"/>
  <c r="F106" i="70"/>
  <c r="F82" i="69"/>
  <c r="F84" i="69" s="1"/>
  <c r="F85" i="69" s="1"/>
  <c r="F77" i="69"/>
  <c r="F79" i="69" s="1"/>
  <c r="J28" i="51"/>
  <c r="I55" i="51"/>
  <c r="J72" i="51"/>
  <c r="D18" i="48"/>
  <c r="J76" i="51"/>
  <c r="I84" i="51"/>
  <c r="J84" i="51" s="1"/>
  <c r="E185" i="6"/>
  <c r="F184" i="6"/>
  <c r="H5136" i="18"/>
  <c r="Q5129" i="18" s="1"/>
  <c r="D11" i="52"/>
  <c r="F27" i="52"/>
  <c r="S14" i="75"/>
  <c r="S36" i="75" s="1"/>
  <c r="AC25" i="75"/>
  <c r="L53" i="46"/>
  <c r="L64" i="46"/>
  <c r="L66" i="46"/>
  <c r="L62" i="46"/>
  <c r="G80" i="46"/>
  <c r="L54" i="46"/>
  <c r="G63" i="46"/>
  <c r="L56" i="46"/>
  <c r="L68" i="46"/>
  <c r="L84" i="46"/>
  <c r="H298" i="50"/>
  <c r="G65" i="46"/>
  <c r="H297" i="50"/>
  <c r="G67" i="46"/>
  <c r="L60" i="46"/>
  <c r="G71" i="46"/>
  <c r="G73" i="46"/>
  <c r="L72" i="46"/>
  <c r="G69" i="46"/>
  <c r="G50" i="46"/>
  <c r="H231" i="50"/>
  <c r="L58" i="46"/>
  <c r="L55" i="46"/>
  <c r="L57" i="46"/>
  <c r="E114" i="91" l="1"/>
  <c r="L2750" i="18"/>
  <c r="L6419" i="18" s="1"/>
  <c r="E6419" i="18" s="1"/>
  <c r="D123" i="51"/>
  <c r="M192" i="5"/>
  <c r="I61" i="5"/>
  <c r="F52" i="47" s="1"/>
  <c r="E32" i="75"/>
  <c r="L3620" i="18"/>
  <c r="L6476" i="18" s="1"/>
  <c r="E6476" i="18" s="1"/>
  <c r="I297" i="50"/>
  <c r="J297" i="50" s="1"/>
  <c r="F52" i="73"/>
  <c r="I231" i="50"/>
  <c r="J231" i="50" s="1"/>
  <c r="L6545" i="18"/>
  <c r="L6544" i="18"/>
  <c r="F65" i="69"/>
  <c r="F90" i="69" s="1"/>
  <c r="E80" i="6"/>
  <c r="F81" i="6" s="1"/>
  <c r="J13" i="71"/>
  <c r="W44" i="71" s="1"/>
  <c r="M871" i="5"/>
  <c r="M872" i="5" s="1"/>
  <c r="AA53" i="71"/>
  <c r="AA54" i="71" s="1"/>
  <c r="O32" i="75"/>
  <c r="E41" i="6"/>
  <c r="F40" i="6"/>
  <c r="E44" i="91"/>
  <c r="E45" i="91" s="1"/>
  <c r="E92" i="91" s="1"/>
  <c r="L3533" i="18"/>
  <c r="L6469" i="18" s="1"/>
  <c r="E6469" i="18" s="1"/>
  <c r="J6220" i="18"/>
  <c r="L3580" i="18"/>
  <c r="L6473" i="18" s="1"/>
  <c r="E6473" i="18" s="1"/>
  <c r="F73" i="48"/>
  <c r="F74" i="48" s="1"/>
  <c r="F22" i="48" s="1"/>
  <c r="F23" i="48"/>
  <c r="L3543" i="18"/>
  <c r="L6470" i="18" s="1"/>
  <c r="E6470" i="18" s="1"/>
  <c r="N32" i="75"/>
  <c r="N21" i="71"/>
  <c r="L668" i="18"/>
  <c r="L6290" i="18" s="1"/>
  <c r="E6290" i="18" s="1"/>
  <c r="L334" i="18"/>
  <c r="L6275" i="18" s="1"/>
  <c r="E6275" i="18" s="1"/>
  <c r="E55" i="91"/>
  <c r="H117" i="5"/>
  <c r="E69" i="70"/>
  <c r="E34" i="73"/>
  <c r="F81" i="48"/>
  <c r="E51" i="91"/>
  <c r="E22" i="8" s="1"/>
  <c r="F670" i="5" s="1"/>
  <c r="I670" i="5" s="1"/>
  <c r="K5021" i="18" s="1"/>
  <c r="L5022" i="18" s="1"/>
  <c r="L6575" i="18" s="1"/>
  <c r="E6575" i="18" s="1"/>
  <c r="N13" i="75"/>
  <c r="AA43" i="75" s="1"/>
  <c r="K16" i="75"/>
  <c r="N33" i="71"/>
  <c r="N13" i="71"/>
  <c r="AA44" i="71" s="1"/>
  <c r="L21" i="75"/>
  <c r="O16" i="71"/>
  <c r="AA14" i="75"/>
  <c r="AA36" i="75" s="1"/>
  <c r="AA50" i="75" s="1"/>
  <c r="AA52" i="75" s="1"/>
  <c r="AA53" i="75" s="1"/>
  <c r="G21" i="71"/>
  <c r="J21" i="75"/>
  <c r="N21" i="75"/>
  <c r="E15" i="91"/>
  <c r="F15" i="91" s="1"/>
  <c r="J6192" i="18"/>
  <c r="L32" i="75"/>
  <c r="E48" i="51"/>
  <c r="H48" i="51" s="1"/>
  <c r="I435" i="5"/>
  <c r="I434" i="5" s="1"/>
  <c r="I457" i="5" s="1"/>
  <c r="I854" i="5" s="1"/>
  <c r="F33" i="71"/>
  <c r="K16" i="71"/>
  <c r="L21" i="71"/>
  <c r="G117" i="5"/>
  <c r="F16" i="71"/>
  <c r="H21" i="75"/>
  <c r="O16" i="75"/>
  <c r="H16" i="75"/>
  <c r="K6055" i="18"/>
  <c r="L6056" i="18" s="1"/>
  <c r="L6638" i="18" s="1"/>
  <c r="E6638" i="18" s="1"/>
  <c r="M807" i="5"/>
  <c r="M808" i="5" s="1"/>
  <c r="P9" i="71"/>
  <c r="I161" i="5"/>
  <c r="M25" i="75"/>
  <c r="F16" i="75"/>
  <c r="E45" i="51"/>
  <c r="H45" i="51" s="1"/>
  <c r="E22" i="51"/>
  <c r="H22" i="51" s="1"/>
  <c r="E131" i="91"/>
  <c r="J6223" i="18"/>
  <c r="D51" i="75"/>
  <c r="E34" i="51"/>
  <c r="H34" i="51" s="1"/>
  <c r="F52" i="71"/>
  <c r="G52" i="71"/>
  <c r="G51" i="75"/>
  <c r="E49" i="51"/>
  <c r="H49" i="51" s="1"/>
  <c r="E46" i="51"/>
  <c r="H46" i="51" s="1"/>
  <c r="E42" i="51"/>
  <c r="H42" i="51" s="1"/>
  <c r="E26" i="51"/>
  <c r="H26" i="51" s="1"/>
  <c r="E24" i="51"/>
  <c r="H24" i="51" s="1"/>
  <c r="E25" i="51"/>
  <c r="H25" i="51" s="1"/>
  <c r="E33" i="51"/>
  <c r="H33" i="51" s="1"/>
  <c r="F21" i="71"/>
  <c r="E37" i="51"/>
  <c r="H37" i="51" s="1"/>
  <c r="E18" i="51"/>
  <c r="H18" i="51" s="1"/>
  <c r="E43" i="51"/>
  <c r="H43" i="51" s="1"/>
  <c r="V44" i="75"/>
  <c r="E13" i="51"/>
  <c r="H13" i="51" s="1"/>
  <c r="E36" i="51"/>
  <c r="H36" i="51" s="1"/>
  <c r="E17" i="51"/>
  <c r="H17" i="51" s="1"/>
  <c r="E14" i="51"/>
  <c r="H14" i="51" s="1"/>
  <c r="E40" i="51"/>
  <c r="H40" i="51" s="1"/>
  <c r="I13" i="75"/>
  <c r="V43" i="75" s="1"/>
  <c r="L4098" i="18"/>
  <c r="L6511" i="18" s="1"/>
  <c r="E6511" i="18" s="1"/>
  <c r="L4053" i="18"/>
  <c r="L6507" i="18" s="1"/>
  <c r="E6507" i="18" s="1"/>
  <c r="L2220" i="18"/>
  <c r="L6389" i="18" s="1"/>
  <c r="E6389" i="18" s="1"/>
  <c r="L2393" i="18"/>
  <c r="L6400" i="18" s="1"/>
  <c r="E6400" i="18" s="1"/>
  <c r="L2204" i="18"/>
  <c r="L6388" i="18" s="1"/>
  <c r="E6388" i="18" s="1"/>
  <c r="G25" i="75"/>
  <c r="L16" i="71"/>
  <c r="K35" i="72"/>
  <c r="P23" i="75"/>
  <c r="P20" i="75"/>
  <c r="M21" i="75"/>
  <c r="L13" i="75"/>
  <c r="Y43" i="75" s="1"/>
  <c r="I275" i="5"/>
  <c r="I298" i="5" s="1"/>
  <c r="I838" i="5" s="1"/>
  <c r="I839" i="5" s="1"/>
  <c r="I840" i="5" s="1"/>
  <c r="E25" i="75"/>
  <c r="O25" i="75"/>
  <c r="H32" i="75"/>
  <c r="J16" i="71"/>
  <c r="E47" i="51"/>
  <c r="H47" i="51" s="1"/>
  <c r="E20" i="51"/>
  <c r="H20" i="51" s="1"/>
  <c r="G26" i="71"/>
  <c r="M16" i="75"/>
  <c r="P19" i="71"/>
  <c r="M33" i="71"/>
  <c r="P24" i="75"/>
  <c r="D33" i="71"/>
  <c r="P36" i="71"/>
  <c r="H13" i="71"/>
  <c r="U44" i="71" s="1"/>
  <c r="I337" i="5"/>
  <c r="I360" i="5" s="1"/>
  <c r="E30" i="51"/>
  <c r="H30" i="51" s="1"/>
  <c r="E21" i="51"/>
  <c r="H21" i="51" s="1"/>
  <c r="E53" i="51"/>
  <c r="H53" i="51" s="1"/>
  <c r="E23" i="51"/>
  <c r="H23" i="51" s="1"/>
  <c r="E35" i="51"/>
  <c r="H35" i="51" s="1"/>
  <c r="E41" i="51"/>
  <c r="H41" i="51" s="1"/>
  <c r="E27" i="51"/>
  <c r="H27" i="51" s="1"/>
  <c r="E50" i="51"/>
  <c r="H50" i="51" s="1"/>
  <c r="J55" i="51"/>
  <c r="E52" i="51"/>
  <c r="H52" i="51" s="1"/>
  <c r="E16" i="51"/>
  <c r="H16" i="51" s="1"/>
  <c r="E15" i="51"/>
  <c r="H15" i="51" s="1"/>
  <c r="E38" i="51"/>
  <c r="H38" i="51" s="1"/>
  <c r="E31" i="51"/>
  <c r="H31" i="51" s="1"/>
  <c r="E39" i="51"/>
  <c r="H39" i="51" s="1"/>
  <c r="E51" i="51"/>
  <c r="H51" i="51" s="1"/>
  <c r="E19" i="51"/>
  <c r="H19" i="51" s="1"/>
  <c r="E44" i="51"/>
  <c r="H44" i="51" s="1"/>
  <c r="P11" i="71"/>
  <c r="P29" i="75"/>
  <c r="L25" i="75"/>
  <c r="D21" i="71"/>
  <c r="H16" i="71"/>
  <c r="L3858" i="18"/>
  <c r="L6490" i="18" s="1"/>
  <c r="E6490" i="18" s="1"/>
  <c r="L3868" i="18"/>
  <c r="L6491" i="18" s="1"/>
  <c r="E6491" i="18" s="1"/>
  <c r="L3831" i="18"/>
  <c r="L6488" i="18" s="1"/>
  <c r="E6488" i="18" s="1"/>
  <c r="L3841" i="18"/>
  <c r="L6489" i="18" s="1"/>
  <c r="E6489" i="18" s="1"/>
  <c r="L120" i="18"/>
  <c r="L6261" i="18" s="1"/>
  <c r="E6261" i="18" s="1"/>
  <c r="L236" i="18"/>
  <c r="L6268" i="18" s="1"/>
  <c r="E6268" i="18" s="1"/>
  <c r="L306" i="18"/>
  <c r="L6273" i="18" s="1"/>
  <c r="E6273" i="18" s="1"/>
  <c r="L170" i="18"/>
  <c r="L6265" i="18" s="1"/>
  <c r="E6265" i="18" s="1"/>
  <c r="E66" i="91"/>
  <c r="J6219" i="18"/>
  <c r="K51" i="75"/>
  <c r="E73" i="91"/>
  <c r="E87" i="8"/>
  <c r="F753" i="5" s="1"/>
  <c r="I753" i="5" s="1"/>
  <c r="I208" i="5"/>
  <c r="J26" i="71"/>
  <c r="G16" i="75"/>
  <c r="L2879" i="18"/>
  <c r="L6429" i="18" s="1"/>
  <c r="E6429" i="18" s="1"/>
  <c r="L2832" i="18"/>
  <c r="L6426" i="18" s="1"/>
  <c r="E6426" i="18" s="1"/>
  <c r="E88" i="91"/>
  <c r="E90" i="91" s="1"/>
  <c r="E31" i="8" s="1"/>
  <c r="F679" i="5" s="1"/>
  <c r="I679" i="5" s="1"/>
  <c r="J6221" i="18"/>
  <c r="G33" i="71"/>
  <c r="I79" i="47"/>
  <c r="F84" i="47"/>
  <c r="M26" i="71"/>
  <c r="D21" i="75"/>
  <c r="I465" i="5"/>
  <c r="I490" i="5" s="1"/>
  <c r="I858" i="5" s="1"/>
  <c r="I859" i="5" s="1"/>
  <c r="I860" i="5" s="1"/>
  <c r="K15" i="75"/>
  <c r="K15" i="71"/>
  <c r="G21" i="75"/>
  <c r="H15" i="75"/>
  <c r="H15" i="71"/>
  <c r="I368" i="5"/>
  <c r="I393" i="5" s="1"/>
  <c r="I846" i="5" s="1"/>
  <c r="I847" i="5" s="1"/>
  <c r="I848" i="5" s="1"/>
  <c r="E12" i="69"/>
  <c r="L20" i="18"/>
  <c r="L6256" i="18" s="1"/>
  <c r="E6256" i="18" s="1"/>
  <c r="L10" i="18"/>
  <c r="L6255" i="18" s="1"/>
  <c r="E6255" i="18" s="1"/>
  <c r="G23" i="72"/>
  <c r="I415" i="5"/>
  <c r="I223" i="5" s="1"/>
  <c r="I230" i="5"/>
  <c r="L3503" i="18"/>
  <c r="L6467" i="18" s="1"/>
  <c r="E6467" i="18" s="1"/>
  <c r="L3456" i="18"/>
  <c r="L6463" i="18" s="1"/>
  <c r="E6463" i="18" s="1"/>
  <c r="L3445" i="18"/>
  <c r="L6462" i="18" s="1"/>
  <c r="E6462" i="18" s="1"/>
  <c r="K25" i="75"/>
  <c r="P31" i="75"/>
  <c r="F13" i="71"/>
  <c r="S44" i="71" s="1"/>
  <c r="L13" i="71"/>
  <c r="Y44" i="71" s="1"/>
  <c r="Y46" i="71" s="1"/>
  <c r="Y47" i="71" s="1"/>
  <c r="F25" i="75"/>
  <c r="L33" i="71"/>
  <c r="E58" i="6"/>
  <c r="F57" i="6"/>
  <c r="N25" i="75"/>
  <c r="E16" i="71"/>
  <c r="P35" i="71"/>
  <c r="O21" i="75"/>
  <c r="I21" i="75"/>
  <c r="P22" i="75"/>
  <c r="O26" i="71"/>
  <c r="O13" i="71"/>
  <c r="AB44" i="71" s="1"/>
  <c r="G16" i="71"/>
  <c r="D26" i="71"/>
  <c r="P25" i="71"/>
  <c r="K21" i="75"/>
  <c r="P35" i="75"/>
  <c r="I818" i="5"/>
  <c r="I630" i="5"/>
  <c r="I655" i="5" s="1"/>
  <c r="I874" i="5" s="1"/>
  <c r="I875" i="5" s="1"/>
  <c r="I876" i="5" s="1"/>
  <c r="E53" i="69"/>
  <c r="E46" i="69" s="1"/>
  <c r="E86" i="69" s="1"/>
  <c r="H25" i="75"/>
  <c r="D13" i="71"/>
  <c r="Q44" i="71" s="1"/>
  <c r="Q46" i="71" s="1"/>
  <c r="E13" i="75"/>
  <c r="R43" i="75" s="1"/>
  <c r="K44" i="68"/>
  <c r="J16" i="75"/>
  <c r="E25" i="73"/>
  <c r="E28" i="73" s="1"/>
  <c r="E8" i="91"/>
  <c r="G11" i="89"/>
  <c r="G12" i="89" s="1"/>
  <c r="G13" i="89" s="1"/>
  <c r="C30" i="89" s="1"/>
  <c r="P17" i="71"/>
  <c r="I16" i="71"/>
  <c r="L4518" i="18"/>
  <c r="L6543" i="18" s="1"/>
  <c r="E6543" i="18" s="1"/>
  <c r="P28" i="75"/>
  <c r="I33" i="71"/>
  <c r="P34" i="71"/>
  <c r="I218" i="5"/>
  <c r="I26" i="71"/>
  <c r="P27" i="71"/>
  <c r="V51" i="71"/>
  <c r="V53" i="71" s="1"/>
  <c r="V54" i="71" s="1"/>
  <c r="P11" i="75"/>
  <c r="P31" i="71"/>
  <c r="I13" i="71"/>
  <c r="P30" i="71"/>
  <c r="L26" i="71"/>
  <c r="I213" i="5"/>
  <c r="H51" i="75"/>
  <c r="D15" i="75"/>
  <c r="D15" i="71"/>
  <c r="I242" i="5"/>
  <c r="I267" i="5" s="1"/>
  <c r="I834" i="5" s="1"/>
  <c r="I835" i="5" s="1"/>
  <c r="I836" i="5" s="1"/>
  <c r="E11" i="91"/>
  <c r="H6191" i="18"/>
  <c r="L16" i="75"/>
  <c r="I597" i="5"/>
  <c r="I622" i="5" s="1"/>
  <c r="I13" i="47"/>
  <c r="F28" i="47"/>
  <c r="P29" i="71"/>
  <c r="I32" i="75"/>
  <c r="P33" i="75"/>
  <c r="L3383" i="18"/>
  <c r="L6457" i="18" s="1"/>
  <c r="E6457" i="18" s="1"/>
  <c r="L3396" i="18"/>
  <c r="L6458" i="18" s="1"/>
  <c r="E6458" i="18" s="1"/>
  <c r="L3939" i="18"/>
  <c r="L6497" i="18" s="1"/>
  <c r="E6497" i="18" s="1"/>
  <c r="L3949" i="18"/>
  <c r="L6498" i="18" s="1"/>
  <c r="E6498" i="18" s="1"/>
  <c r="L3959" i="18"/>
  <c r="L6499" i="18" s="1"/>
  <c r="E6499" i="18" s="1"/>
  <c r="L3929" i="18"/>
  <c r="L6496" i="18" s="1"/>
  <c r="E6496" i="18" s="1"/>
  <c r="D16" i="71"/>
  <c r="P20" i="71"/>
  <c r="K26" i="71"/>
  <c r="P32" i="71"/>
  <c r="K13" i="75"/>
  <c r="J21" i="71"/>
  <c r="P10" i="75"/>
  <c r="F26" i="71"/>
  <c r="N26" i="71"/>
  <c r="E16" i="75"/>
  <c r="P34" i="75"/>
  <c r="E21" i="71"/>
  <c r="L2414" i="18"/>
  <c r="L6402" i="18" s="1"/>
  <c r="E6402" i="18" s="1"/>
  <c r="L2433" i="18"/>
  <c r="L6403" i="18" s="1"/>
  <c r="E6403" i="18" s="1"/>
  <c r="O21" i="71"/>
  <c r="I21" i="71"/>
  <c r="P22" i="71"/>
  <c r="L4727" i="18"/>
  <c r="L6556" i="18" s="1"/>
  <c r="E6556" i="18" s="1"/>
  <c r="L4738" i="18"/>
  <c r="L6557" i="18" s="1"/>
  <c r="E6557" i="18" s="1"/>
  <c r="J25" i="75"/>
  <c r="P19" i="75"/>
  <c r="P12" i="71"/>
  <c r="M32" i="75"/>
  <c r="D25" i="75"/>
  <c r="K21" i="71"/>
  <c r="D13" i="75"/>
  <c r="L2159" i="18"/>
  <c r="L6384" i="18" s="1"/>
  <c r="E6384" i="18" s="1"/>
  <c r="L2193" i="18"/>
  <c r="L6387" i="18" s="1"/>
  <c r="E6387" i="18" s="1"/>
  <c r="I171" i="5"/>
  <c r="J32" i="75"/>
  <c r="F18" i="48"/>
  <c r="E38" i="69"/>
  <c r="E41" i="69" s="1"/>
  <c r="E7" i="69"/>
  <c r="M13" i="75"/>
  <c r="Z43" i="75" s="1"/>
  <c r="G31" i="68"/>
  <c r="N16" i="75"/>
  <c r="I817" i="5"/>
  <c r="I802" i="5"/>
  <c r="I306" i="5"/>
  <c r="I329" i="5" s="1"/>
  <c r="I842" i="5" s="1"/>
  <c r="I843" i="5" s="1"/>
  <c r="I844" i="5" s="1"/>
  <c r="G13" i="71"/>
  <c r="T44" i="71" s="1"/>
  <c r="T46" i="71" s="1"/>
  <c r="T47" i="71" s="1"/>
  <c r="P28" i="71"/>
  <c r="P18" i="71"/>
  <c r="L15" i="71"/>
  <c r="L15" i="75"/>
  <c r="I498" i="5"/>
  <c r="I523" i="5" s="1"/>
  <c r="I862" i="5" s="1"/>
  <c r="I863" i="5" s="1"/>
  <c r="I864" i="5" s="1"/>
  <c r="H21" i="71"/>
  <c r="D16" i="75"/>
  <c r="P9" i="75"/>
  <c r="P30" i="75"/>
  <c r="E253" i="91"/>
  <c r="E43" i="8" s="1"/>
  <c r="C14" i="89"/>
  <c r="K32" i="75"/>
  <c r="P17" i="75"/>
  <c r="I16" i="75"/>
  <c r="M16" i="71"/>
  <c r="P24" i="71"/>
  <c r="L1910" i="18"/>
  <c r="L6368" i="18" s="1"/>
  <c r="E6368" i="18" s="1"/>
  <c r="L1825" i="18"/>
  <c r="L6362" i="18" s="1"/>
  <c r="E6362" i="18" s="1"/>
  <c r="L1855" i="18"/>
  <c r="L6364" i="18" s="1"/>
  <c r="E6364" i="18" s="1"/>
  <c r="M21" i="71"/>
  <c r="N16" i="71"/>
  <c r="K13" i="71"/>
  <c r="X44" i="71" s="1"/>
  <c r="F13" i="75"/>
  <c r="S43" i="75" s="1"/>
  <c r="P10" i="71"/>
  <c r="E26" i="71"/>
  <c r="G13" i="75"/>
  <c r="T43" i="75" s="1"/>
  <c r="E21" i="75"/>
  <c r="E119" i="91"/>
  <c r="J6194" i="18"/>
  <c r="I15" i="71"/>
  <c r="I15" i="75"/>
  <c r="O13" i="75"/>
  <c r="P12" i="75"/>
  <c r="M51" i="75"/>
  <c r="P26" i="75"/>
  <c r="I25" i="75"/>
  <c r="D32" i="75"/>
  <c r="H13" i="75"/>
  <c r="E40" i="73"/>
  <c r="P27" i="75"/>
  <c r="H26" i="71"/>
  <c r="M15" i="71"/>
  <c r="I531" i="5"/>
  <c r="I556" i="5" s="1"/>
  <c r="I866" i="5" s="1"/>
  <c r="I867" i="5" s="1"/>
  <c r="I868" i="5" s="1"/>
  <c r="M15" i="75"/>
  <c r="P18" i="75"/>
  <c r="E13" i="71"/>
  <c r="R44" i="71" s="1"/>
  <c r="F32" i="75"/>
  <c r="H33" i="71"/>
  <c r="J33" i="71"/>
  <c r="L2812" i="18"/>
  <c r="L6424" i="18" s="1"/>
  <c r="E6424" i="18" s="1"/>
  <c r="L2799" i="18"/>
  <c r="L6423" i="18" s="1"/>
  <c r="E6423" i="18" s="1"/>
  <c r="F36" i="48"/>
  <c r="F34" i="48"/>
  <c r="F11" i="48"/>
  <c r="F17" i="48" s="1"/>
  <c r="F115" i="47"/>
  <c r="F118" i="47" s="1"/>
  <c r="I101" i="47"/>
  <c r="G32" i="75"/>
  <c r="M13" i="71"/>
  <c r="Z44" i="71" s="1"/>
  <c r="Z46" i="71" s="1"/>
  <c r="Z47" i="71" s="1"/>
  <c r="E46" i="47"/>
  <c r="E42" i="47"/>
  <c r="E20" i="47"/>
  <c r="E43" i="47"/>
  <c r="E34" i="47"/>
  <c r="E50" i="47"/>
  <c r="E48" i="47"/>
  <c r="E14" i="47"/>
  <c r="E21" i="47"/>
  <c r="E81" i="47"/>
  <c r="M69" i="46"/>
  <c r="N69" i="46" s="1"/>
  <c r="E24" i="47"/>
  <c r="E15" i="47"/>
  <c r="E45" i="47"/>
  <c r="E39" i="47"/>
  <c r="E18" i="47"/>
  <c r="E35" i="47"/>
  <c r="E33" i="47"/>
  <c r="E25" i="47"/>
  <c r="E37" i="47"/>
  <c r="E23" i="47"/>
  <c r="X44" i="75"/>
  <c r="F123" i="70"/>
  <c r="F124" i="70" s="1"/>
  <c r="F125" i="70" s="1"/>
  <c r="E22" i="47"/>
  <c r="E19" i="47"/>
  <c r="E13" i="47"/>
  <c r="E47" i="47"/>
  <c r="E30" i="47"/>
  <c r="E38" i="47"/>
  <c r="E40" i="47"/>
  <c r="E17" i="47"/>
  <c r="E44" i="47"/>
  <c r="E51" i="47"/>
  <c r="E16" i="47"/>
  <c r="E32" i="47"/>
  <c r="E36" i="47"/>
  <c r="E53" i="47"/>
  <c r="E31" i="47"/>
  <c r="E41" i="47"/>
  <c r="E52" i="47"/>
  <c r="E49" i="47"/>
  <c r="E27" i="47"/>
  <c r="M67" i="46"/>
  <c r="N67" i="46" s="1"/>
  <c r="E78" i="47"/>
  <c r="E63" i="47"/>
  <c r="E75" i="47"/>
  <c r="E77" i="47"/>
  <c r="E74" i="47"/>
  <c r="F66" i="73"/>
  <c r="F67" i="73" s="1"/>
  <c r="M63" i="46"/>
  <c r="N63" i="46" s="1"/>
  <c r="E79" i="47"/>
  <c r="E80" i="47"/>
  <c r="E58" i="47"/>
  <c r="E69" i="47"/>
  <c r="E65" i="47"/>
  <c r="E82" i="47"/>
  <c r="E83" i="47"/>
  <c r="E67" i="47"/>
  <c r="E70" i="47"/>
  <c r="E61" i="47"/>
  <c r="E57" i="47"/>
  <c r="E60" i="47"/>
  <c r="E62" i="47"/>
  <c r="E66" i="47"/>
  <c r="E64" i="47"/>
  <c r="E68" i="47"/>
  <c r="E76" i="47"/>
  <c r="E59" i="47"/>
  <c r="U45" i="71"/>
  <c r="Q44" i="75"/>
  <c r="AB44" i="75"/>
  <c r="AB50" i="75"/>
  <c r="AB52" i="75" s="1"/>
  <c r="AB53" i="75" s="1"/>
  <c r="AA45" i="71"/>
  <c r="E66" i="51"/>
  <c r="H66" i="51" s="1"/>
  <c r="U44" i="75"/>
  <c r="E57" i="51"/>
  <c r="H57" i="51" s="1"/>
  <c r="Q51" i="71"/>
  <c r="Q53" i="71" s="1"/>
  <c r="Q54" i="71" s="1"/>
  <c r="X45" i="71"/>
  <c r="E60" i="51"/>
  <c r="H60" i="51" s="1"/>
  <c r="E67" i="51"/>
  <c r="H67" i="51" s="1"/>
  <c r="E70" i="51"/>
  <c r="H70" i="51" s="1"/>
  <c r="H61" i="72"/>
  <c r="E81" i="51"/>
  <c r="H81" i="51" s="1"/>
  <c r="E61" i="51"/>
  <c r="H61" i="51" s="1"/>
  <c r="E69" i="51"/>
  <c r="H69" i="51" s="1"/>
  <c r="E58" i="51"/>
  <c r="H58" i="51" s="1"/>
  <c r="E74" i="51"/>
  <c r="H74" i="51" s="1"/>
  <c r="E68" i="51"/>
  <c r="H68" i="51" s="1"/>
  <c r="E79" i="51"/>
  <c r="H79" i="51" s="1"/>
  <c r="E78" i="51"/>
  <c r="H78" i="51" s="1"/>
  <c r="E76" i="51"/>
  <c r="H76" i="51" s="1"/>
  <c r="E64" i="51"/>
  <c r="H64" i="51" s="1"/>
  <c r="E65" i="51"/>
  <c r="H65" i="51" s="1"/>
  <c r="E62" i="51"/>
  <c r="H62" i="51" s="1"/>
  <c r="E75" i="51"/>
  <c r="H75" i="51" s="1"/>
  <c r="E82" i="51"/>
  <c r="H82" i="51" s="1"/>
  <c r="E80" i="51"/>
  <c r="H80" i="51" s="1"/>
  <c r="E71" i="51"/>
  <c r="H71" i="51" s="1"/>
  <c r="E63" i="51"/>
  <c r="H63" i="51" s="1"/>
  <c r="E59" i="51"/>
  <c r="H59" i="51" s="1"/>
  <c r="E83" i="51"/>
  <c r="H83" i="51" s="1"/>
  <c r="M65" i="46"/>
  <c r="N65" i="46" s="1"/>
  <c r="M793" i="5"/>
  <c r="M794" i="5" s="1"/>
  <c r="M212" i="5"/>
  <c r="M814" i="5" s="1"/>
  <c r="W15" i="75"/>
  <c r="M810" i="5"/>
  <c r="M811" i="5" s="1"/>
  <c r="M812" i="5" s="1"/>
  <c r="M434" i="5"/>
  <c r="W15" i="71"/>
  <c r="K289" i="50"/>
  <c r="M289" i="50" s="1"/>
  <c r="N289" i="50" s="1"/>
  <c r="N4368" i="18"/>
  <c r="O4369" i="18" s="1"/>
  <c r="O6534" i="18" s="1"/>
  <c r="D91" i="47"/>
  <c r="D96" i="47" s="1"/>
  <c r="D98" i="47" s="1"/>
  <c r="L44" i="72"/>
  <c r="L53" i="68"/>
  <c r="M122" i="5"/>
  <c r="M124" i="5" s="1"/>
  <c r="M853" i="5"/>
  <c r="D91" i="51"/>
  <c r="L457" i="5"/>
  <c r="L234" i="5" s="1"/>
  <c r="L209" i="5"/>
  <c r="D31" i="48"/>
  <c r="D56" i="52"/>
  <c r="D17" i="52" s="1"/>
  <c r="F56" i="52"/>
  <c r="F17" i="52" s="1"/>
  <c r="F30" i="52"/>
  <c r="M73" i="46"/>
  <c r="N73" i="46" s="1"/>
  <c r="M58" i="46"/>
  <c r="N58" i="46" s="1"/>
  <c r="AB45" i="71"/>
  <c r="Z44" i="75"/>
  <c r="G55" i="51"/>
  <c r="S45" i="71"/>
  <c r="J877" i="5"/>
  <c r="T51" i="71"/>
  <c r="T53" i="71" s="1"/>
  <c r="T54" i="71" s="1"/>
  <c r="Y51" i="71"/>
  <c r="Y53" i="71" s="1"/>
  <c r="Y54" i="71" s="1"/>
  <c r="Y44" i="75"/>
  <c r="D70" i="52"/>
  <c r="D22" i="52" s="1"/>
  <c r="D109" i="48"/>
  <c r="D29" i="48" s="1"/>
  <c r="D42" i="48"/>
  <c r="M829" i="5"/>
  <c r="M831" i="5" s="1"/>
  <c r="M832" i="5" s="1"/>
  <c r="M71" i="46"/>
  <c r="N71" i="46" s="1"/>
  <c r="G85" i="51"/>
  <c r="F100" i="6"/>
  <c r="F99" i="6"/>
  <c r="T44" i="75"/>
  <c r="T50" i="75"/>
  <c r="T52" i="75" s="1"/>
  <c r="T53" i="75" s="1"/>
  <c r="M84" i="46"/>
  <c r="N84" i="46" s="1"/>
  <c r="R51" i="71"/>
  <c r="R53" i="71" s="1"/>
  <c r="R54" i="71" s="1"/>
  <c r="R45" i="71"/>
  <c r="H192" i="5"/>
  <c r="H567" i="5"/>
  <c r="H565" i="5"/>
  <c r="H210" i="5" s="1"/>
  <c r="H121" i="5"/>
  <c r="H169" i="5"/>
  <c r="H193" i="5" s="1"/>
  <c r="F44" i="74"/>
  <c r="F106" i="74"/>
  <c r="F107" i="74" s="1"/>
  <c r="F108" i="74" s="1"/>
  <c r="K3240" i="18"/>
  <c r="L3242" i="18" s="1"/>
  <c r="L6445" i="18" s="1"/>
  <c r="E6445" i="18" s="1"/>
  <c r="R44" i="75"/>
  <c r="R50" i="75"/>
  <c r="R52" i="75" s="1"/>
  <c r="R53" i="75" s="1"/>
  <c r="M80" i="46"/>
  <c r="N80" i="46" s="1"/>
  <c r="S50" i="75"/>
  <c r="S52" i="75" s="1"/>
  <c r="S53" i="75" s="1"/>
  <c r="S44" i="75"/>
  <c r="I85" i="51"/>
  <c r="F85" i="70"/>
  <c r="F110" i="70" s="1"/>
  <c r="F112" i="70" s="1"/>
  <c r="F113" i="70" s="1"/>
  <c r="F105" i="70"/>
  <c r="F107" i="70" s="1"/>
  <c r="F80" i="69"/>
  <c r="F115" i="70"/>
  <c r="F116" i="70" s="1"/>
  <c r="F117" i="70" s="1"/>
  <c r="E101" i="70"/>
  <c r="E102" i="70" s="1"/>
  <c r="J115" i="51"/>
  <c r="I118" i="51"/>
  <c r="J118" i="51" s="1"/>
  <c r="M813" i="5"/>
  <c r="M800" i="5"/>
  <c r="M803" i="5" s="1"/>
  <c r="D19" i="48"/>
  <c r="F185" i="6"/>
  <c r="F186" i="6"/>
  <c r="F88" i="74"/>
  <c r="F90" i="74" s="1"/>
  <c r="F68" i="74"/>
  <c r="I5101" i="18"/>
  <c r="I5118" i="18" s="1"/>
  <c r="F28" i="52"/>
  <c r="D12" i="52"/>
  <c r="G54" i="46"/>
  <c r="G52" i="46"/>
  <c r="G59" i="46"/>
  <c r="G57" i="46"/>
  <c r="G56" i="46"/>
  <c r="G55" i="46"/>
  <c r="L78" i="46"/>
  <c r="G53" i="46"/>
  <c r="G60" i="46"/>
  <c r="G75" i="46"/>
  <c r="G82" i="46"/>
  <c r="L59" i="46"/>
  <c r="F80" i="6" l="1"/>
  <c r="I63" i="5"/>
  <c r="I64" i="5" s="1"/>
  <c r="I786" i="5" s="1"/>
  <c r="G42" i="72"/>
  <c r="E98" i="91" s="1"/>
  <c r="G200" i="50"/>
  <c r="I200" i="50" s="1"/>
  <c r="J200" i="50" s="1"/>
  <c r="G51" i="68"/>
  <c r="G58" i="68" s="1"/>
  <c r="G59" i="68" s="1"/>
  <c r="H68" i="68" s="1"/>
  <c r="I123" i="51"/>
  <c r="J123" i="51" s="1"/>
  <c r="D124" i="51"/>
  <c r="I124" i="51" s="1"/>
  <c r="J124" i="51" s="1"/>
  <c r="F77" i="73"/>
  <c r="K4575" i="18"/>
  <c r="K4579" i="18" s="1"/>
  <c r="K4580" i="18" s="1"/>
  <c r="K4581" i="18" s="1"/>
  <c r="J4575" i="18"/>
  <c r="K4556" i="18"/>
  <c r="K4560" i="18" s="1"/>
  <c r="K4561" i="18" s="1"/>
  <c r="K4562" i="18" s="1"/>
  <c r="J4556" i="18"/>
  <c r="E33" i="73"/>
  <c r="E73" i="73" s="1"/>
  <c r="H122" i="5"/>
  <c r="H124" i="5" s="1"/>
  <c r="E42" i="6"/>
  <c r="F41" i="6"/>
  <c r="I117" i="5"/>
  <c r="K53" i="68" s="1"/>
  <c r="J52" i="71" s="1"/>
  <c r="S46" i="71"/>
  <c r="S47" i="71" s="1"/>
  <c r="R45" i="75"/>
  <c r="R46" i="75" s="1"/>
  <c r="G327" i="50"/>
  <c r="I327" i="50" s="1"/>
  <c r="J327" i="50" s="1"/>
  <c r="E20" i="70"/>
  <c r="I810" i="5"/>
  <c r="K5880" i="18"/>
  <c r="L5881" i="18" s="1"/>
  <c r="L6625" i="18" s="1"/>
  <c r="E6625" i="18" s="1"/>
  <c r="G328" i="50"/>
  <c r="E10" i="74"/>
  <c r="L14" i="75"/>
  <c r="L36" i="75" s="1"/>
  <c r="L50" i="75" s="1"/>
  <c r="L52" i="75" s="1"/>
  <c r="L53" i="75" s="1"/>
  <c r="J15" i="75"/>
  <c r="E74" i="73" s="1"/>
  <c r="J15" i="71"/>
  <c r="E87" i="69" s="1"/>
  <c r="E88" i="69" s="1"/>
  <c r="E89" i="69" s="1"/>
  <c r="U46" i="71"/>
  <c r="U47" i="71" s="1"/>
  <c r="V45" i="75"/>
  <c r="V46" i="75" s="1"/>
  <c r="AA46" i="71"/>
  <c r="AA47" i="71" s="1"/>
  <c r="M75" i="46"/>
  <c r="N75" i="46" s="1"/>
  <c r="M59" i="46"/>
  <c r="N59" i="46" s="1"/>
  <c r="AA44" i="75"/>
  <c r="AA45" i="75" s="1"/>
  <c r="AA46" i="75" s="1"/>
  <c r="I85" i="8"/>
  <c r="F750" i="5"/>
  <c r="I750" i="5" s="1"/>
  <c r="I819" i="5"/>
  <c r="I820" i="5" s="1"/>
  <c r="R46" i="71"/>
  <c r="R47" i="71" s="1"/>
  <c r="T45" i="75"/>
  <c r="T46" i="75" s="1"/>
  <c r="AB46" i="71"/>
  <c r="AB47" i="71" s="1"/>
  <c r="C7" i="89"/>
  <c r="H4975" i="18" s="1"/>
  <c r="H28" i="51"/>
  <c r="Y45" i="75"/>
  <c r="Y46" i="75" s="1"/>
  <c r="S45" i="75"/>
  <c r="S46" i="75" s="1"/>
  <c r="M14" i="75"/>
  <c r="M36" i="75" s="1"/>
  <c r="M50" i="75" s="1"/>
  <c r="M52" i="75" s="1"/>
  <c r="M53" i="75" s="1"/>
  <c r="X46" i="71"/>
  <c r="X47" i="71" s="1"/>
  <c r="P25" i="75"/>
  <c r="F14" i="71"/>
  <c r="F37" i="71" s="1"/>
  <c r="F51" i="71" s="1"/>
  <c r="F53" i="71" s="1"/>
  <c r="F54" i="71" s="1"/>
  <c r="I14" i="71"/>
  <c r="I37" i="71" s="1"/>
  <c r="I51" i="71" s="1"/>
  <c r="I53" i="71" s="1"/>
  <c r="I54" i="71" s="1"/>
  <c r="E28" i="51"/>
  <c r="E54" i="51"/>
  <c r="E82" i="91"/>
  <c r="E24" i="8" s="1"/>
  <c r="F672" i="5" s="1"/>
  <c r="I672" i="5" s="1"/>
  <c r="M55" i="46"/>
  <c r="N55" i="46" s="1"/>
  <c r="Z45" i="75"/>
  <c r="Z46" i="75" s="1"/>
  <c r="G14" i="71"/>
  <c r="G37" i="71" s="1"/>
  <c r="G51" i="71" s="1"/>
  <c r="G53" i="71" s="1"/>
  <c r="G54" i="71" s="1"/>
  <c r="I401" i="5"/>
  <c r="I426" i="5" s="1"/>
  <c r="I850" i="5" s="1"/>
  <c r="I851" i="5" s="1"/>
  <c r="I852" i="5" s="1"/>
  <c r="P16" i="75"/>
  <c r="L14" i="71"/>
  <c r="L37" i="71" s="1"/>
  <c r="L51" i="71" s="1"/>
  <c r="L53" i="71" s="1"/>
  <c r="L54" i="71" s="1"/>
  <c r="O14" i="71"/>
  <c r="O37" i="71" s="1"/>
  <c r="O51" i="71" s="1"/>
  <c r="O53" i="71" s="1"/>
  <c r="O54" i="71" s="1"/>
  <c r="O14" i="75"/>
  <c r="O36" i="75" s="1"/>
  <c r="O50" i="75" s="1"/>
  <c r="O52" i="75" s="1"/>
  <c r="O53" i="75" s="1"/>
  <c r="H54" i="51"/>
  <c r="M57" i="46"/>
  <c r="N57" i="46" s="1"/>
  <c r="I14" i="75"/>
  <c r="I36" i="75" s="1"/>
  <c r="E166" i="91"/>
  <c r="E33" i="8" s="1"/>
  <c r="F681" i="5" s="1"/>
  <c r="I681" i="5" s="1"/>
  <c r="E31" i="70" s="1"/>
  <c r="G14" i="75"/>
  <c r="G36" i="75" s="1"/>
  <c r="G50" i="75" s="1"/>
  <c r="G52" i="75" s="1"/>
  <c r="G53" i="75" s="1"/>
  <c r="M56" i="46"/>
  <c r="N56" i="46" s="1"/>
  <c r="M60" i="46"/>
  <c r="N60" i="46" s="1"/>
  <c r="M54" i="46"/>
  <c r="N54" i="46" s="1"/>
  <c r="M53" i="46"/>
  <c r="N53" i="46" s="1"/>
  <c r="F691" i="5"/>
  <c r="E48" i="8"/>
  <c r="E49" i="8" s="1"/>
  <c r="I170" i="5"/>
  <c r="F123" i="47" s="1"/>
  <c r="I123" i="47" s="1"/>
  <c r="J123" i="47" s="1"/>
  <c r="I809" i="5"/>
  <c r="Q4397" i="18"/>
  <c r="X43" i="75"/>
  <c r="X45" i="75" s="1"/>
  <c r="X46" i="75" s="1"/>
  <c r="P32" i="75"/>
  <c r="H6197" i="18"/>
  <c r="H6211" i="18" s="1"/>
  <c r="J6191" i="18"/>
  <c r="J6197" i="18" s="1"/>
  <c r="J6211" i="18" s="1"/>
  <c r="E85" i="8" s="1"/>
  <c r="D14" i="75"/>
  <c r="D36" i="75" s="1"/>
  <c r="P26" i="71"/>
  <c r="P21" i="75"/>
  <c r="F14" i="75"/>
  <c r="F36" i="75" s="1"/>
  <c r="F50" i="75" s="1"/>
  <c r="F52" i="75" s="1"/>
  <c r="F53" i="75" s="1"/>
  <c r="H14" i="71"/>
  <c r="H37" i="71" s="1"/>
  <c r="H51" i="71" s="1"/>
  <c r="H53" i="71" s="1"/>
  <c r="H54" i="71" s="1"/>
  <c r="K14" i="75"/>
  <c r="K36" i="75" s="1"/>
  <c r="E13" i="74"/>
  <c r="K5902" i="18"/>
  <c r="L5903" i="18" s="1"/>
  <c r="L6627" i="18" s="1"/>
  <c r="E6627" i="18" s="1"/>
  <c r="G337" i="50"/>
  <c r="E29" i="70"/>
  <c r="J101" i="47"/>
  <c r="I115" i="47"/>
  <c r="AB43" i="75"/>
  <c r="AB45" i="75" s="1"/>
  <c r="AB46" i="75" s="1"/>
  <c r="P13" i="75"/>
  <c r="P21" i="71"/>
  <c r="V44" i="71"/>
  <c r="V46" i="71" s="1"/>
  <c r="V47" i="71" s="1"/>
  <c r="P13" i="71"/>
  <c r="AC44" i="71" s="1"/>
  <c r="H14" i="75"/>
  <c r="H36" i="75" s="1"/>
  <c r="J79" i="47"/>
  <c r="I84" i="47"/>
  <c r="J84" i="47" s="1"/>
  <c r="P16" i="71"/>
  <c r="E20" i="91"/>
  <c r="E10" i="8" s="1"/>
  <c r="F58" i="6"/>
  <c r="E59" i="6"/>
  <c r="E67" i="74"/>
  <c r="H5117" i="18" s="1"/>
  <c r="E84" i="70"/>
  <c r="K6242" i="18"/>
  <c r="L6243" i="18" s="1"/>
  <c r="L6652" i="18" s="1"/>
  <c r="E6652" i="18" s="1"/>
  <c r="M14" i="71"/>
  <c r="M37" i="71" s="1"/>
  <c r="M51" i="71" s="1"/>
  <c r="M53" i="71" s="1"/>
  <c r="M54" i="71" s="1"/>
  <c r="U43" i="75"/>
  <c r="U45" i="75" s="1"/>
  <c r="U46" i="75" s="1"/>
  <c r="Q43" i="75"/>
  <c r="Q45" i="75" s="1"/>
  <c r="Q46" i="75" s="1"/>
  <c r="E14" i="75"/>
  <c r="E36" i="75" s="1"/>
  <c r="E50" i="75" s="1"/>
  <c r="E52" i="75" s="1"/>
  <c r="E53" i="75" s="1"/>
  <c r="J13" i="47"/>
  <c r="I28" i="47"/>
  <c r="J28" i="47" s="1"/>
  <c r="D14" i="71"/>
  <c r="D37" i="71" s="1"/>
  <c r="D51" i="71" s="1"/>
  <c r="D53" i="71" s="1"/>
  <c r="D54" i="71" s="1"/>
  <c r="P33" i="71"/>
  <c r="H4970" i="18"/>
  <c r="H4971" i="18" s="1"/>
  <c r="C6" i="89"/>
  <c r="E14" i="71"/>
  <c r="E37" i="71" s="1"/>
  <c r="E51" i="71" s="1"/>
  <c r="E53" i="71" s="1"/>
  <c r="E54" i="71" s="1"/>
  <c r="K14" i="71"/>
  <c r="K37" i="71" s="1"/>
  <c r="K51" i="71" s="1"/>
  <c r="K53" i="71" s="1"/>
  <c r="K54" i="71" s="1"/>
  <c r="E54" i="47"/>
  <c r="E28" i="47"/>
  <c r="E72" i="47"/>
  <c r="E84" i="47"/>
  <c r="H72" i="51"/>
  <c r="E84" i="51"/>
  <c r="E72" i="51"/>
  <c r="M815" i="5"/>
  <c r="M816" i="5" s="1"/>
  <c r="I91" i="51"/>
  <c r="D96" i="51"/>
  <c r="D98" i="51" s="1"/>
  <c r="W51" i="75"/>
  <c r="L49" i="72"/>
  <c r="W14" i="71"/>
  <c r="AC15" i="71"/>
  <c r="F91" i="69" s="1"/>
  <c r="F92" i="69" s="1"/>
  <c r="F93" i="69" s="1"/>
  <c r="F87" i="69"/>
  <c r="F88" i="69" s="1"/>
  <c r="F89" i="69" s="1"/>
  <c r="F74" i="73"/>
  <c r="F75" i="73" s="1"/>
  <c r="F76" i="73" s="1"/>
  <c r="AC15" i="75"/>
  <c r="W14" i="75"/>
  <c r="E91" i="47"/>
  <c r="E90" i="47"/>
  <c r="E96" i="47"/>
  <c r="E87" i="47"/>
  <c r="E94" i="47"/>
  <c r="E89" i="47"/>
  <c r="E92" i="47"/>
  <c r="E97" i="47"/>
  <c r="E95" i="47"/>
  <c r="E93" i="47"/>
  <c r="E88" i="47"/>
  <c r="D99" i="47"/>
  <c r="M457" i="5"/>
  <c r="M209" i="5"/>
  <c r="W52" i="71"/>
  <c r="L58" i="68"/>
  <c r="D60" i="52"/>
  <c r="M125" i="5"/>
  <c r="M787" i="5" s="1"/>
  <c r="M788" i="5" s="1"/>
  <c r="M789" i="5" s="1"/>
  <c r="D87" i="48"/>
  <c r="D20" i="48" s="1"/>
  <c r="M78" i="46"/>
  <c r="N78" i="46" s="1"/>
  <c r="E82" i="8"/>
  <c r="F748" i="5" s="1"/>
  <c r="I748" i="5" s="1"/>
  <c r="I52" i="47"/>
  <c r="F54" i="47"/>
  <c r="F55" i="47" s="1"/>
  <c r="F98" i="74"/>
  <c r="F99" i="74" s="1"/>
  <c r="F100" i="74" s="1"/>
  <c r="E84" i="74"/>
  <c r="E85" i="74" s="1"/>
  <c r="E86" i="74" s="1"/>
  <c r="H212" i="5"/>
  <c r="H564" i="5"/>
  <c r="M82" i="46"/>
  <c r="N82" i="46" s="1"/>
  <c r="E103" i="70"/>
  <c r="Q47" i="71"/>
  <c r="J85" i="51"/>
  <c r="M804" i="5"/>
  <c r="F93" i="74"/>
  <c r="F95" i="74" s="1"/>
  <c r="F96" i="74" s="1"/>
  <c r="F91" i="74"/>
  <c r="F108" i="70"/>
  <c r="F126" i="70"/>
  <c r="G66" i="46"/>
  <c r="G64" i="46"/>
  <c r="G70" i="46"/>
  <c r="G61" i="46"/>
  <c r="G68" i="46"/>
  <c r="L77" i="46"/>
  <c r="L52" i="46"/>
  <c r="G62" i="46"/>
  <c r="G72" i="46"/>
  <c r="F82" i="48" l="1"/>
  <c r="G49" i="72"/>
  <c r="G50" i="72" s="1"/>
  <c r="H59" i="72" s="1"/>
  <c r="E75" i="73"/>
  <c r="E76" i="73" s="1"/>
  <c r="Q4565" i="18"/>
  <c r="Q4542" i="18"/>
  <c r="N4565" i="18"/>
  <c r="J4579" i="18"/>
  <c r="J4580" i="18" s="1"/>
  <c r="J4581" i="18" s="1"/>
  <c r="K4582" i="18" s="1"/>
  <c r="L4582" i="18" s="1"/>
  <c r="N4542" i="18"/>
  <c r="J4560" i="18"/>
  <c r="J4561" i="18" s="1"/>
  <c r="J4562" i="18" s="1"/>
  <c r="K4563" i="18" s="1"/>
  <c r="L4563" i="18" s="1"/>
  <c r="C38" i="89"/>
  <c r="C40" i="89" s="1"/>
  <c r="H4962" i="18" s="1"/>
  <c r="H4965" i="18" s="1"/>
  <c r="K4959" i="18" s="1"/>
  <c r="G289" i="50"/>
  <c r="I289" i="50" s="1"/>
  <c r="J289" i="50" s="1"/>
  <c r="K4368" i="18"/>
  <c r="L4369" i="18" s="1"/>
  <c r="L6534" i="18" s="1"/>
  <c r="E6534" i="18" s="1"/>
  <c r="K44" i="72"/>
  <c r="J51" i="75" s="1"/>
  <c r="F91" i="47"/>
  <c r="I91" i="47" s="1"/>
  <c r="J91" i="47" s="1"/>
  <c r="I853" i="5"/>
  <c r="I855" i="5" s="1"/>
  <c r="I856" i="5" s="1"/>
  <c r="E43" i="6"/>
  <c r="F42" i="6"/>
  <c r="I811" i="5"/>
  <c r="I812" i="5" s="1"/>
  <c r="J14" i="75"/>
  <c r="J36" i="75" s="1"/>
  <c r="J50" i="75" s="1"/>
  <c r="J14" i="71"/>
  <c r="J37" i="71" s="1"/>
  <c r="J51" i="71" s="1"/>
  <c r="J53" i="71" s="1"/>
  <c r="J54" i="71" s="1"/>
  <c r="H4983" i="18"/>
  <c r="K4967" i="18" s="1"/>
  <c r="E64" i="74"/>
  <c r="H5114" i="18" s="1"/>
  <c r="E81" i="70"/>
  <c r="K6164" i="18"/>
  <c r="L6165" i="18" s="1"/>
  <c r="L6649" i="18" s="1"/>
  <c r="E6649" i="18" s="1"/>
  <c r="H55" i="51"/>
  <c r="M70" i="46"/>
  <c r="N70" i="46" s="1"/>
  <c r="M72" i="46"/>
  <c r="N72" i="46" s="1"/>
  <c r="E55" i="51"/>
  <c r="K5037" i="18"/>
  <c r="H5041" i="18" s="1"/>
  <c r="H5051" i="18" s="1"/>
  <c r="K5038" i="18" s="1"/>
  <c r="G329" i="50"/>
  <c r="M66" i="46"/>
  <c r="N66" i="46" s="1"/>
  <c r="I50" i="75"/>
  <c r="I52" i="75" s="1"/>
  <c r="I53" i="75" s="1"/>
  <c r="E15" i="74"/>
  <c r="K5924" i="18"/>
  <c r="L5925" i="18" s="1"/>
  <c r="L6629" i="18" s="1"/>
  <c r="E6629" i="18" s="1"/>
  <c r="G330" i="50"/>
  <c r="M62" i="46"/>
  <c r="N62" i="46" s="1"/>
  <c r="M64" i="46"/>
  <c r="N64" i="46" s="1"/>
  <c r="M68" i="46"/>
  <c r="N68" i="46" s="1"/>
  <c r="E60" i="6"/>
  <c r="F59" i="6"/>
  <c r="AC43" i="75"/>
  <c r="D50" i="75"/>
  <c r="D52" i="75" s="1"/>
  <c r="D53" i="75" s="1"/>
  <c r="J115" i="47"/>
  <c r="I118" i="47"/>
  <c r="J118" i="47" s="1"/>
  <c r="F658" i="5"/>
  <c r="E23" i="8"/>
  <c r="K6187" i="18"/>
  <c r="F751" i="5"/>
  <c r="I751" i="5" s="1"/>
  <c r="F696" i="5"/>
  <c r="F697" i="5" s="1"/>
  <c r="I691" i="5"/>
  <c r="H50" i="75"/>
  <c r="H52" i="75" s="1"/>
  <c r="H53" i="75" s="1"/>
  <c r="K50" i="75"/>
  <c r="K52" i="75" s="1"/>
  <c r="K53" i="75" s="1"/>
  <c r="E55" i="47"/>
  <c r="E85" i="47"/>
  <c r="E85" i="51"/>
  <c r="F94" i="69"/>
  <c r="M52" i="46"/>
  <c r="N52" i="46" s="1"/>
  <c r="AC51" i="75"/>
  <c r="L50" i="72"/>
  <c r="F29" i="52"/>
  <c r="D13" i="52"/>
  <c r="M854" i="5"/>
  <c r="M855" i="5" s="1"/>
  <c r="M234" i="5"/>
  <c r="AC52" i="71"/>
  <c r="L59" i="68"/>
  <c r="K70" i="68" s="1"/>
  <c r="L70" i="68" s="1"/>
  <c r="M70" i="68" s="1"/>
  <c r="W36" i="75"/>
  <c r="AC14" i="75"/>
  <c r="AC36" i="75" s="1"/>
  <c r="E95" i="51"/>
  <c r="H95" i="51" s="1"/>
  <c r="E87" i="51"/>
  <c r="H87" i="51" s="1"/>
  <c r="E96" i="51"/>
  <c r="E91" i="51"/>
  <c r="H91" i="51" s="1"/>
  <c r="E94" i="51"/>
  <c r="H94" i="51" s="1"/>
  <c r="E97" i="51"/>
  <c r="H97" i="51" s="1"/>
  <c r="E88" i="51"/>
  <c r="H88" i="51" s="1"/>
  <c r="E93" i="51"/>
  <c r="H93" i="51" s="1"/>
  <c r="D99" i="51"/>
  <c r="E90" i="51"/>
  <c r="H90" i="51" s="1"/>
  <c r="E89" i="51"/>
  <c r="H89" i="51" s="1"/>
  <c r="E92" i="51"/>
  <c r="H92" i="51" s="1"/>
  <c r="E98" i="47"/>
  <c r="F78" i="73"/>
  <c r="F79" i="73" s="1"/>
  <c r="F80" i="73" s="1"/>
  <c r="W37" i="71"/>
  <c r="AC14" i="71"/>
  <c r="AC37" i="71" s="1"/>
  <c r="I96" i="51"/>
  <c r="J91" i="51"/>
  <c r="F109" i="74"/>
  <c r="F40" i="48"/>
  <c r="F83" i="48"/>
  <c r="F24" i="48" s="1"/>
  <c r="G15" i="47"/>
  <c r="H15" i="47" s="1"/>
  <c r="G24" i="47"/>
  <c r="H24" i="47" s="1"/>
  <c r="G48" i="47"/>
  <c r="H48" i="47" s="1"/>
  <c r="G37" i="47"/>
  <c r="H37" i="47" s="1"/>
  <c r="G31" i="47"/>
  <c r="H31" i="47" s="1"/>
  <c r="G39" i="47"/>
  <c r="H39" i="47" s="1"/>
  <c r="G30" i="47"/>
  <c r="G45" i="47"/>
  <c r="H45" i="47" s="1"/>
  <c r="G47" i="47"/>
  <c r="H47" i="47" s="1"/>
  <c r="G41" i="47"/>
  <c r="H41" i="47" s="1"/>
  <c r="G19" i="47"/>
  <c r="H19" i="47" s="1"/>
  <c r="G16" i="47"/>
  <c r="H16" i="47" s="1"/>
  <c r="G25" i="47"/>
  <c r="H25" i="47" s="1"/>
  <c r="G23" i="47"/>
  <c r="H23" i="47" s="1"/>
  <c r="G53" i="47"/>
  <c r="H53" i="47" s="1"/>
  <c r="G14" i="47"/>
  <c r="H14" i="47" s="1"/>
  <c r="G51" i="47"/>
  <c r="H51" i="47" s="1"/>
  <c r="G46" i="47"/>
  <c r="H46" i="47" s="1"/>
  <c r="G44" i="47"/>
  <c r="H44" i="47" s="1"/>
  <c r="G27" i="47"/>
  <c r="H27" i="47" s="1"/>
  <c r="G33" i="47"/>
  <c r="H33" i="47" s="1"/>
  <c r="G50" i="47"/>
  <c r="H50" i="47" s="1"/>
  <c r="G40" i="47"/>
  <c r="H40" i="47" s="1"/>
  <c r="G13" i="47"/>
  <c r="G17" i="47"/>
  <c r="H17" i="47" s="1"/>
  <c r="G18" i="47"/>
  <c r="H18" i="47" s="1"/>
  <c r="G21" i="47"/>
  <c r="H21" i="47" s="1"/>
  <c r="G42" i="47"/>
  <c r="H42" i="47" s="1"/>
  <c r="G38" i="47"/>
  <c r="H38" i="47" s="1"/>
  <c r="G34" i="47"/>
  <c r="H34" i="47" s="1"/>
  <c r="G36" i="47"/>
  <c r="H36" i="47" s="1"/>
  <c r="G20" i="47"/>
  <c r="H20" i="47" s="1"/>
  <c r="G35" i="47"/>
  <c r="H35" i="47" s="1"/>
  <c r="G52" i="47"/>
  <c r="H52" i="47" s="1"/>
  <c r="G26" i="47"/>
  <c r="H26" i="47" s="1"/>
  <c r="G43" i="47"/>
  <c r="H43" i="47" s="1"/>
  <c r="G22" i="47"/>
  <c r="H22" i="47" s="1"/>
  <c r="G49" i="47"/>
  <c r="H49" i="47" s="1"/>
  <c r="G32" i="47"/>
  <c r="H32" i="47" s="1"/>
  <c r="E62" i="74"/>
  <c r="H5112" i="18" s="1"/>
  <c r="E79" i="70"/>
  <c r="K6146" i="18"/>
  <c r="L6147" i="18" s="1"/>
  <c r="L6647" i="18" s="1"/>
  <c r="E6647" i="18" s="1"/>
  <c r="H589" i="5"/>
  <c r="H234" i="5" s="1"/>
  <c r="H209" i="5"/>
  <c r="J52" i="47"/>
  <c r="I54" i="47"/>
  <c r="K5891" i="18"/>
  <c r="L5892" i="18" s="1"/>
  <c r="L6626" i="18" s="1"/>
  <c r="E6626" i="18" s="1"/>
  <c r="G336" i="50"/>
  <c r="E12" i="74"/>
  <c r="E22" i="70"/>
  <c r="H325" i="50"/>
  <c r="L50" i="46"/>
  <c r="H326" i="50"/>
  <c r="H366" i="50"/>
  <c r="H329" i="50"/>
  <c r="L299" i="50"/>
  <c r="L61" i="46"/>
  <c r="L300" i="50"/>
  <c r="G77" i="46"/>
  <c r="G49" i="46"/>
  <c r="C45" i="89" l="1"/>
  <c r="C42" i="89"/>
  <c r="O76" i="6" s="1"/>
  <c r="O237" i="6" s="1"/>
  <c r="Q4959" i="18"/>
  <c r="O4565" i="18"/>
  <c r="O6545" i="18" s="1"/>
  <c r="E6545" i="18" s="1"/>
  <c r="O4542" i="18"/>
  <c r="O6544" i="18" s="1"/>
  <c r="E6544" i="18" s="1"/>
  <c r="J52" i="75"/>
  <c r="J53" i="75" s="1"/>
  <c r="F43" i="6"/>
  <c r="E44" i="6"/>
  <c r="Q4967" i="18"/>
  <c r="Q5038" i="18"/>
  <c r="L5038" i="18"/>
  <c r="L6576" i="18" s="1"/>
  <c r="E6576" i="18" s="1"/>
  <c r="I329" i="50"/>
  <c r="J329" i="50" s="1"/>
  <c r="I696" i="5"/>
  <c r="I697" i="5" s="1"/>
  <c r="K5976" i="18"/>
  <c r="L5977" i="18" s="1"/>
  <c r="L6633" i="18" s="1"/>
  <c r="E6633" i="18" s="1"/>
  <c r="E41" i="70"/>
  <c r="E46" i="70" s="1"/>
  <c r="E47" i="70" s="1"/>
  <c r="E25" i="74"/>
  <c r="G342" i="50"/>
  <c r="I658" i="5"/>
  <c r="F671" i="5"/>
  <c r="E61" i="6"/>
  <c r="F60" i="6"/>
  <c r="E65" i="74"/>
  <c r="H5115" i="18" s="1"/>
  <c r="K6186" i="18"/>
  <c r="L6187" i="18" s="1"/>
  <c r="L6650" i="18" s="1"/>
  <c r="E6650" i="18" s="1"/>
  <c r="E82" i="70"/>
  <c r="M61" i="46"/>
  <c r="N61" i="46" s="1"/>
  <c r="M77" i="46"/>
  <c r="N77" i="46" s="1"/>
  <c r="M50" i="46"/>
  <c r="N50" i="46" s="1"/>
  <c r="AC45" i="71"/>
  <c r="AC46" i="71" s="1"/>
  <c r="AC47" i="71" s="1"/>
  <c r="AC51" i="71"/>
  <c r="AC53" i="71" s="1"/>
  <c r="AC54" i="71" s="1"/>
  <c r="AC50" i="75"/>
  <c r="AC52" i="75" s="1"/>
  <c r="AC53" i="75" s="1"/>
  <c r="AC44" i="75"/>
  <c r="AC45" i="75" s="1"/>
  <c r="AC46" i="75" s="1"/>
  <c r="F81" i="73"/>
  <c r="W51" i="71"/>
  <c r="W53" i="71" s="1"/>
  <c r="W54" i="71" s="1"/>
  <c r="W45" i="71"/>
  <c r="W46" i="71" s="1"/>
  <c r="W47" i="71" s="1"/>
  <c r="H96" i="51"/>
  <c r="H98" i="51" s="1"/>
  <c r="E98" i="51"/>
  <c r="W50" i="75"/>
  <c r="W52" i="75" s="1"/>
  <c r="W53" i="75" s="1"/>
  <c r="W44" i="75"/>
  <c r="W45" i="75" s="1"/>
  <c r="W46" i="75" s="1"/>
  <c r="M856" i="5"/>
  <c r="M877" i="5"/>
  <c r="K61" i="72"/>
  <c r="L61" i="72" s="1"/>
  <c r="M61" i="72" s="1"/>
  <c r="J96" i="51"/>
  <c r="I98" i="51"/>
  <c r="H13" i="47"/>
  <c r="H28" i="47" s="1"/>
  <c r="G28" i="47"/>
  <c r="G54" i="47"/>
  <c r="H30" i="47"/>
  <c r="H54" i="47" s="1"/>
  <c r="J54" i="47"/>
  <c r="I55" i="47"/>
  <c r="J55" i="47" s="1"/>
  <c r="G162" i="5" l="1"/>
  <c r="I162" i="5" s="1"/>
  <c r="J12" i="80"/>
  <c r="J13" i="80" s="1"/>
  <c r="AC76" i="6"/>
  <c r="P77" i="6"/>
  <c r="P237" i="6" s="1"/>
  <c r="AE237" i="6" s="1"/>
  <c r="P4" i="6" s="1"/>
  <c r="G76" i="6"/>
  <c r="D76" i="6"/>
  <c r="D77" i="6" s="1"/>
  <c r="AE76" i="6"/>
  <c r="E76" i="6"/>
  <c r="F76" i="6" s="1"/>
  <c r="AD76" i="6"/>
  <c r="E45" i="6"/>
  <c r="F44" i="6"/>
  <c r="G77" i="6"/>
  <c r="AE77" i="6"/>
  <c r="AD77" i="6"/>
  <c r="E29" i="74"/>
  <c r="F61" i="6"/>
  <c r="F62" i="6"/>
  <c r="E8" i="70"/>
  <c r="E21" i="70" s="1"/>
  <c r="I671" i="5"/>
  <c r="G335" i="50"/>
  <c r="K5869" i="18"/>
  <c r="L5870" i="18" s="1"/>
  <c r="L6624" i="18" s="1"/>
  <c r="E6624" i="18" s="1"/>
  <c r="F44" i="48"/>
  <c r="F45" i="48" s="1"/>
  <c r="E8" i="74"/>
  <c r="J98" i="51"/>
  <c r="I99" i="51"/>
  <c r="J99" i="51" s="1"/>
  <c r="G55" i="47"/>
  <c r="H55" i="47"/>
  <c r="AC77" i="6" l="1"/>
  <c r="H82" i="5"/>
  <c r="I82" i="5" s="1"/>
  <c r="H3734" i="18"/>
  <c r="H3746" i="18" s="1"/>
  <c r="K3729" i="18" s="1"/>
  <c r="G12" i="80"/>
  <c r="L12" i="80" s="1"/>
  <c r="G163" i="5"/>
  <c r="G192" i="5" s="1"/>
  <c r="E77" i="6"/>
  <c r="F77" i="6" s="1"/>
  <c r="F45" i="6"/>
  <c r="E46" i="6"/>
  <c r="E30" i="74"/>
  <c r="E11" i="74"/>
  <c r="G121" i="5"/>
  <c r="I163" i="5"/>
  <c r="G325" i="50"/>
  <c r="I325" i="50" s="1"/>
  <c r="J325" i="50" s="1"/>
  <c r="E29" i="73"/>
  <c r="E42" i="69"/>
  <c r="E43" i="69" s="1"/>
  <c r="K4958" i="18"/>
  <c r="F119" i="47"/>
  <c r="G326" i="50"/>
  <c r="H236" i="50"/>
  <c r="G565" i="5" l="1"/>
  <c r="G210" i="5" s="1"/>
  <c r="F78" i="6"/>
  <c r="H92" i="5"/>
  <c r="H109" i="5" s="1"/>
  <c r="H125" i="5" s="1"/>
  <c r="Q3729" i="18"/>
  <c r="G567" i="5"/>
  <c r="I567" i="5" s="1"/>
  <c r="G169" i="5"/>
  <c r="G193" i="5" s="1"/>
  <c r="G13" i="80"/>
  <c r="L13" i="80" s="1"/>
  <c r="E47" i="6"/>
  <c r="F46" i="6"/>
  <c r="E82" i="69"/>
  <c r="E65" i="69"/>
  <c r="E90" i="69" s="1"/>
  <c r="E77" i="69"/>
  <c r="E79" i="69" s="1"/>
  <c r="E80" i="69" s="1"/>
  <c r="E106" i="70"/>
  <c r="I119" i="47"/>
  <c r="J119" i="47" s="1"/>
  <c r="F120" i="47"/>
  <c r="L4959" i="18"/>
  <c r="L6570" i="18" s="1"/>
  <c r="E6570" i="18" s="1"/>
  <c r="L4967" i="18"/>
  <c r="L6571" i="18" s="1"/>
  <c r="E6571" i="18" s="1"/>
  <c r="I821" i="5"/>
  <c r="I823" i="5" s="1"/>
  <c r="I824" i="5" s="1"/>
  <c r="I192" i="5"/>
  <c r="E68" i="70"/>
  <c r="E105" i="70" s="1"/>
  <c r="F14" i="48"/>
  <c r="I790" i="5"/>
  <c r="E51" i="74"/>
  <c r="E30" i="73"/>
  <c r="E94" i="91"/>
  <c r="I565" i="5"/>
  <c r="I210" i="5" s="1"/>
  <c r="G237" i="50"/>
  <c r="K16" i="72"/>
  <c r="K3728" i="18"/>
  <c r="L3729" i="18" s="1"/>
  <c r="L6481" i="18" s="1"/>
  <c r="E6481" i="18" s="1"/>
  <c r="G236" i="50"/>
  <c r="I236" i="50" s="1"/>
  <c r="J236" i="50" s="1"/>
  <c r="K22" i="68"/>
  <c r="K31" i="68" s="1"/>
  <c r="K45" i="68" s="1"/>
  <c r="F65" i="47"/>
  <c r="I92" i="5"/>
  <c r="I121" i="5"/>
  <c r="G122" i="5"/>
  <c r="G124" i="5" s="1"/>
  <c r="G125" i="5" s="1"/>
  <c r="G79" i="46"/>
  <c r="L79" i="46"/>
  <c r="G212" i="5" l="1"/>
  <c r="E107" i="70"/>
  <c r="E108" i="70" s="1"/>
  <c r="G564" i="5"/>
  <c r="G209" i="5" s="1"/>
  <c r="I169" i="5"/>
  <c r="F15" i="48" s="1"/>
  <c r="E48" i="6"/>
  <c r="F47" i="6"/>
  <c r="M79" i="46"/>
  <c r="N79" i="46" s="1"/>
  <c r="G294" i="50"/>
  <c r="I869" i="5"/>
  <c r="G293" i="50"/>
  <c r="K57" i="68"/>
  <c r="F95" i="47"/>
  <c r="K48" i="72"/>
  <c r="K4458" i="18"/>
  <c r="I122" i="5"/>
  <c r="I124" i="5" s="1"/>
  <c r="F87" i="48" s="1"/>
  <c r="H5101" i="18"/>
  <c r="E88" i="74"/>
  <c r="I813" i="5"/>
  <c r="I800" i="5"/>
  <c r="F124" i="47"/>
  <c r="I124" i="47" s="1"/>
  <c r="J124" i="47" s="1"/>
  <c r="I120" i="47"/>
  <c r="J120" i="47" s="1"/>
  <c r="F84" i="48"/>
  <c r="I109" i="5"/>
  <c r="E69" i="73"/>
  <c r="E52" i="73"/>
  <c r="E31" i="73"/>
  <c r="E65" i="73" s="1"/>
  <c r="E64" i="73"/>
  <c r="E89" i="74"/>
  <c r="I65" i="47"/>
  <c r="F72" i="47"/>
  <c r="F85" i="47" s="1"/>
  <c r="H6222" i="18"/>
  <c r="K23" i="72"/>
  <c r="K36" i="72" s="1"/>
  <c r="F19" i="48"/>
  <c r="F38" i="48"/>
  <c r="N15" i="75"/>
  <c r="I212" i="5"/>
  <c r="I814" i="5" s="1"/>
  <c r="I564" i="5"/>
  <c r="N15" i="71"/>
  <c r="I806" i="5"/>
  <c r="L74" i="46"/>
  <c r="G51" i="46"/>
  <c r="F121" i="47" l="1"/>
  <c r="I121" i="47" s="1"/>
  <c r="J121" i="47" s="1"/>
  <c r="G589" i="5"/>
  <c r="G234" i="5" s="1"/>
  <c r="I805" i="5"/>
  <c r="I807" i="5" s="1"/>
  <c r="I808" i="5" s="1"/>
  <c r="H4465" i="18"/>
  <c r="H4474" i="18" s="1"/>
  <c r="K4459" i="18" s="1"/>
  <c r="I193" i="5"/>
  <c r="I801" i="5" s="1"/>
  <c r="I803" i="5" s="1"/>
  <c r="I804" i="5" s="1"/>
  <c r="I791" i="5"/>
  <c r="I793" i="5" s="1"/>
  <c r="I794" i="5" s="1"/>
  <c r="E49" i="6"/>
  <c r="F48" i="6"/>
  <c r="I815" i="5"/>
  <c r="I816" i="5" s="1"/>
  <c r="N14" i="71"/>
  <c r="P15" i="71"/>
  <c r="E91" i="69" s="1"/>
  <c r="E92" i="69" s="1"/>
  <c r="E93" i="69" s="1"/>
  <c r="E83" i="69"/>
  <c r="E84" i="69" s="1"/>
  <c r="F27" i="48"/>
  <c r="F28" i="48"/>
  <c r="F85" i="48"/>
  <c r="F25" i="48" s="1"/>
  <c r="I589" i="5"/>
  <c r="I209" i="5"/>
  <c r="H6226" i="18"/>
  <c r="H6240" i="18" s="1"/>
  <c r="J6222" i="18"/>
  <c r="E105" i="91"/>
  <c r="E107" i="91" s="1"/>
  <c r="E32" i="8" s="1"/>
  <c r="E66" i="73"/>
  <c r="E67" i="73" s="1"/>
  <c r="E90" i="74"/>
  <c r="E91" i="74" s="1"/>
  <c r="K49" i="72"/>
  <c r="N51" i="75"/>
  <c r="G69" i="47"/>
  <c r="H69" i="47" s="1"/>
  <c r="G63" i="47"/>
  <c r="H63" i="47" s="1"/>
  <c r="G67" i="47"/>
  <c r="H67" i="47" s="1"/>
  <c r="G79" i="47"/>
  <c r="H79" i="47" s="1"/>
  <c r="G59" i="47"/>
  <c r="H59" i="47" s="1"/>
  <c r="G62" i="47"/>
  <c r="H62" i="47" s="1"/>
  <c r="G81" i="47"/>
  <c r="H81" i="47" s="1"/>
  <c r="G75" i="47"/>
  <c r="H75" i="47" s="1"/>
  <c r="G68" i="47"/>
  <c r="H68" i="47" s="1"/>
  <c r="G57" i="47"/>
  <c r="G64" i="47"/>
  <c r="H64" i="47" s="1"/>
  <c r="G65" i="47"/>
  <c r="H65" i="47" s="1"/>
  <c r="G78" i="47"/>
  <c r="H78" i="47" s="1"/>
  <c r="G80" i="47"/>
  <c r="H80" i="47" s="1"/>
  <c r="G60" i="47"/>
  <c r="H60" i="47" s="1"/>
  <c r="G58" i="47"/>
  <c r="H58" i="47" s="1"/>
  <c r="G61" i="47"/>
  <c r="H61" i="47" s="1"/>
  <c r="G77" i="47"/>
  <c r="H77" i="47" s="1"/>
  <c r="G66" i="47"/>
  <c r="H66" i="47" s="1"/>
  <c r="G76" i="47"/>
  <c r="H76" i="47" s="1"/>
  <c r="G71" i="47"/>
  <c r="H71" i="47" s="1"/>
  <c r="G74" i="47"/>
  <c r="G70" i="47"/>
  <c r="H70" i="47" s="1"/>
  <c r="G83" i="47"/>
  <c r="H83" i="47" s="1"/>
  <c r="G82" i="47"/>
  <c r="H82" i="47" s="1"/>
  <c r="I95" i="47"/>
  <c r="F96" i="47"/>
  <c r="F98" i="47" s="1"/>
  <c r="N14" i="75"/>
  <c r="P15" i="75"/>
  <c r="E70" i="73"/>
  <c r="E71" i="73" s="1"/>
  <c r="E72" i="73" s="1"/>
  <c r="I72" i="47"/>
  <c r="J65" i="47"/>
  <c r="E77" i="73"/>
  <c r="I125" i="5"/>
  <c r="I787" i="5" s="1"/>
  <c r="I788" i="5" s="1"/>
  <c r="I789" i="5" s="1"/>
  <c r="F86" i="48"/>
  <c r="F31" i="48" s="1"/>
  <c r="F20" i="48"/>
  <c r="F39" i="48"/>
  <c r="K58" i="68"/>
  <c r="N52" i="71"/>
  <c r="L76" i="46"/>
  <c r="L51" i="46"/>
  <c r="H293" i="50"/>
  <c r="Q4459" i="18" l="1"/>
  <c r="I293" i="50"/>
  <c r="J293" i="50" s="1"/>
  <c r="L4459" i="18"/>
  <c r="L6538" i="18" s="1"/>
  <c r="E6538" i="18" s="1"/>
  <c r="F49" i="6"/>
  <c r="F50" i="6"/>
  <c r="M51" i="46"/>
  <c r="N51" i="46" s="1"/>
  <c r="I85" i="47"/>
  <c r="J85" i="47" s="1"/>
  <c r="J72" i="47"/>
  <c r="P14" i="75"/>
  <c r="P36" i="75" s="1"/>
  <c r="N36" i="75"/>
  <c r="P14" i="71"/>
  <c r="P37" i="71" s="1"/>
  <c r="P51" i="71" s="1"/>
  <c r="N37" i="71"/>
  <c r="N51" i="71" s="1"/>
  <c r="N53" i="71" s="1"/>
  <c r="F680" i="5"/>
  <c r="E34" i="8"/>
  <c r="E35" i="8" s="1"/>
  <c r="I870" i="5"/>
  <c r="I871" i="5" s="1"/>
  <c r="I872" i="5" s="1"/>
  <c r="I234" i="5"/>
  <c r="E78" i="73"/>
  <c r="E79" i="73" s="1"/>
  <c r="K59" i="68"/>
  <c r="K68" i="68" s="1"/>
  <c r="L68" i="68" s="1"/>
  <c r="M68" i="68" s="1"/>
  <c r="P52" i="71"/>
  <c r="F99" i="47"/>
  <c r="G95" i="47"/>
  <c r="H95" i="47" s="1"/>
  <c r="G89" i="47"/>
  <c r="H89" i="47" s="1"/>
  <c r="G96" i="47"/>
  <c r="G93" i="47"/>
  <c r="H93" i="47" s="1"/>
  <c r="G88" i="47"/>
  <c r="H88" i="47" s="1"/>
  <c r="G92" i="47"/>
  <c r="H92" i="47" s="1"/>
  <c r="G90" i="47"/>
  <c r="H90" i="47" s="1"/>
  <c r="G94" i="47"/>
  <c r="H94" i="47" s="1"/>
  <c r="G87" i="47"/>
  <c r="H87" i="47" s="1"/>
  <c r="G97" i="47"/>
  <c r="H97" i="47" s="1"/>
  <c r="G91" i="47"/>
  <c r="H91" i="47" s="1"/>
  <c r="I96" i="47"/>
  <c r="J95" i="47"/>
  <c r="G84" i="47"/>
  <c r="H74" i="47"/>
  <c r="H57" i="47"/>
  <c r="H72" i="47" s="1"/>
  <c r="G72" i="47"/>
  <c r="K50" i="72"/>
  <c r="P51" i="75"/>
  <c r="J6226" i="18"/>
  <c r="J6240" i="18" s="1"/>
  <c r="E85" i="69"/>
  <c r="E94" i="69"/>
  <c r="H94" i="69" s="1"/>
  <c r="G74" i="46"/>
  <c r="L45" i="46"/>
  <c r="L49" i="46"/>
  <c r="G76" i="46"/>
  <c r="M49" i="46" l="1"/>
  <c r="N49" i="46" s="1"/>
  <c r="M76" i="46"/>
  <c r="N76" i="46" s="1"/>
  <c r="M74" i="46"/>
  <c r="N74" i="46" s="1"/>
  <c r="E86" i="8"/>
  <c r="K6214" i="18"/>
  <c r="H7" i="18"/>
  <c r="I7" i="18"/>
  <c r="G85" i="47"/>
  <c r="N54" i="71"/>
  <c r="C44" i="71"/>
  <c r="C45" i="71" s="1"/>
  <c r="E80" i="73"/>
  <c r="E81" i="73"/>
  <c r="H81" i="73" s="1"/>
  <c r="K59" i="72"/>
  <c r="L59" i="72" s="1"/>
  <c r="M59" i="72" s="1"/>
  <c r="H96" i="47"/>
  <c r="H98" i="47" s="1"/>
  <c r="G98" i="47"/>
  <c r="I680" i="5"/>
  <c r="F682" i="5"/>
  <c r="F683" i="5" s="1"/>
  <c r="P50" i="75"/>
  <c r="P52" i="75" s="1"/>
  <c r="P53" i="75" s="1"/>
  <c r="I98" i="47"/>
  <c r="J96" i="47"/>
  <c r="P53" i="71"/>
  <c r="P54" i="71" s="1"/>
  <c r="E114" i="8"/>
  <c r="E63" i="8"/>
  <c r="N50" i="75"/>
  <c r="N52" i="75" s="1"/>
  <c r="L47" i="46"/>
  <c r="H367" i="50"/>
  <c r="M47" i="46" l="1"/>
  <c r="N47" i="46" s="1"/>
  <c r="N53" i="75"/>
  <c r="C43" i="75"/>
  <c r="C44" i="75" s="1"/>
  <c r="E30" i="70"/>
  <c r="E32" i="70" s="1"/>
  <c r="E33" i="70" s="1"/>
  <c r="I682" i="5"/>
  <c r="I683" i="5" s="1"/>
  <c r="G338" i="50"/>
  <c r="E14" i="74"/>
  <c r="K5913" i="18"/>
  <c r="L5914" i="18" s="1"/>
  <c r="L6628" i="18" s="1"/>
  <c r="E6628" i="18" s="1"/>
  <c r="F752" i="5"/>
  <c r="E88" i="8"/>
  <c r="E65" i="8"/>
  <c r="E118" i="8" s="1"/>
  <c r="E119" i="8" s="1"/>
  <c r="E120" i="8" s="1"/>
  <c r="E126" i="8"/>
  <c r="E127" i="8" s="1"/>
  <c r="E128" i="8" s="1"/>
  <c r="J98" i="47"/>
  <c r="I99" i="47"/>
  <c r="J99" i="47" s="1"/>
  <c r="F825" i="5"/>
  <c r="F711" i="5"/>
  <c r="G45" i="46"/>
  <c r="M45" i="46" l="1"/>
  <c r="N45" i="46" s="1"/>
  <c r="F713" i="5"/>
  <c r="F70" i="52" s="1"/>
  <c r="F22" i="52" s="1"/>
  <c r="F829" i="5"/>
  <c r="F831" i="5" s="1"/>
  <c r="F832" i="5" s="1"/>
  <c r="E59" i="70"/>
  <c r="E111" i="70"/>
  <c r="E16" i="74"/>
  <c r="E113" i="8"/>
  <c r="E115" i="8" s="1"/>
  <c r="F754" i="5"/>
  <c r="F826" i="5" s="1"/>
  <c r="F827" i="5" s="1"/>
  <c r="I752" i="5"/>
  <c r="I711" i="5"/>
  <c r="F43" i="48"/>
  <c r="I825" i="5"/>
  <c r="F42" i="48" l="1"/>
  <c r="I829" i="5"/>
  <c r="I831" i="5" s="1"/>
  <c r="I832" i="5" s="1"/>
  <c r="I713" i="5"/>
  <c r="F109" i="48" s="1"/>
  <c r="F29" i="48" s="1"/>
  <c r="E17" i="74"/>
  <c r="E129" i="8"/>
  <c r="H129" i="8" s="1"/>
  <c r="E116" i="8"/>
  <c r="E61" i="70"/>
  <c r="E115" i="70" s="1"/>
  <c r="E116" i="70" s="1"/>
  <c r="E117" i="70" s="1"/>
  <c r="E123" i="70"/>
  <c r="E124" i="70" s="1"/>
  <c r="E125" i="70" s="1"/>
  <c r="E66" i="74"/>
  <c r="I754" i="5"/>
  <c r="I826" i="5" s="1"/>
  <c r="I827" i="5" s="1"/>
  <c r="K6213" i="18"/>
  <c r="L6214" i="18" s="1"/>
  <c r="E83" i="70"/>
  <c r="E85" i="70" s="1"/>
  <c r="E110" i="70" s="1"/>
  <c r="E112" i="70" s="1"/>
  <c r="F828" i="5"/>
  <c r="F877" i="5"/>
  <c r="L81" i="46"/>
  <c r="H5116" i="18" l="1"/>
  <c r="H5118" i="18" s="1"/>
  <c r="Q5098" i="18" s="1"/>
  <c r="P8" i="18" s="1"/>
  <c r="E68" i="74"/>
  <c r="L6651" i="18"/>
  <c r="E6651" i="18" s="1"/>
  <c r="K7" i="18"/>
  <c r="P7" i="18" s="1"/>
  <c r="E42" i="74"/>
  <c r="E94" i="74"/>
  <c r="I828" i="5"/>
  <c r="I877" i="5"/>
  <c r="E113" i="70"/>
  <c r="E126" i="70"/>
  <c r="H126" i="70" s="1"/>
  <c r="G81" i="46"/>
  <c r="L83" i="46"/>
  <c r="M83" i="46" l="1"/>
  <c r="N83" i="46" s="1"/>
  <c r="M81" i="46"/>
  <c r="N81" i="46" s="1"/>
  <c r="E44" i="74"/>
  <c r="E47" i="74" s="1"/>
  <c r="G47" i="74" s="1"/>
  <c r="E106" i="74"/>
  <c r="E107" i="74" s="1"/>
  <c r="E108" i="74" s="1"/>
  <c r="E93" i="74"/>
  <c r="E95" i="74" s="1"/>
  <c r="E98" i="74" l="1"/>
  <c r="E99" i="74" s="1"/>
  <c r="E109" i="74" s="1"/>
  <c r="H109" i="74" s="1"/>
  <c r="E96" i="74"/>
  <c r="E7" i="91"/>
  <c r="E6" i="91" l="1"/>
  <c r="E100" i="74"/>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刘星辰</author>
  </authors>
  <commentList>
    <comment ref="B10" authorId="0" shapeId="0">
      <text>
        <r>
          <rPr>
            <b/>
            <sz val="9"/>
            <color indexed="81"/>
            <rFont val="宋体"/>
            <family val="3"/>
            <charset val="134"/>
          </rPr>
          <t>刘星辰:</t>
        </r>
        <r>
          <rPr>
            <sz val="9"/>
            <color indexed="81"/>
            <rFont val="宋体"/>
            <family val="3"/>
            <charset val="134"/>
          </rPr>
          <t xml:space="preserve">
在建工程减值不作为递延所得税</t>
        </r>
      </text>
    </comment>
  </commentList>
</comments>
</file>

<file path=xl/comments5.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6.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7.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3.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4.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5.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0.xml><?xml version="1.0" encoding="utf-8"?>
<comments xmlns="http://schemas.openxmlformats.org/spreadsheetml/2006/main">
  <authors>
    <author>胡</author>
    <author>胡晓明</author>
    <author>陈彦良</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7" authorId="2" shapeId="0">
      <text>
        <r>
          <rPr>
            <b/>
            <sz val="9"/>
            <color indexed="81"/>
            <rFont val="宋体"/>
            <family val="3"/>
            <charset val="134"/>
          </rPr>
          <t>胡晓明:
如需要，请在此设置公式，引用至注释小表中期初/上期数的单元格。</t>
        </r>
      </text>
    </comment>
    <comment ref="N722" authorId="2" shapeId="0">
      <text>
        <r>
          <rPr>
            <b/>
            <sz val="9"/>
            <color indexed="81"/>
            <rFont val="宋体"/>
            <family val="3"/>
            <charset val="134"/>
          </rPr>
          <t>胡晓明:
如需要，请在此设置公式，引用至注释小表中期初/上期数的单元格。</t>
        </r>
      </text>
    </comment>
    <comment ref="G739" authorId="0" shapeId="0">
      <text>
        <r>
          <rPr>
            <b/>
            <sz val="9"/>
            <color indexed="81"/>
            <rFont val="Tahoma"/>
            <family val="2"/>
          </rPr>
          <t>未解决注释间差异合计。
注：本表中的“差异”，如未 √ 以示确认，则为“未解决注释间差异（存疑差异）”。</t>
        </r>
      </text>
    </comment>
    <comment ref="N741" authorId="2" shapeId="0">
      <text>
        <r>
          <rPr>
            <b/>
            <sz val="9"/>
            <color indexed="81"/>
            <rFont val="宋体"/>
            <family val="3"/>
            <charset val="134"/>
          </rPr>
          <t>胡晓明:
如需要，请在此设置公式，引用至注释小表中期初/上期数的单元格。</t>
        </r>
      </text>
    </comment>
    <comment ref="G761" authorId="0" shapeId="0">
      <text>
        <r>
          <rPr>
            <b/>
            <sz val="9"/>
            <color indexed="81"/>
            <rFont val="Tahoma"/>
            <family val="2"/>
          </rPr>
          <t>未解决注释间差异合计。
注：本表中的“差异”，如未 √ 以示确认，则为“未解决注释间差异（存疑差异）”。</t>
        </r>
      </text>
    </comment>
    <comment ref="N778" authorId="2" shapeId="0">
      <text>
        <r>
          <rPr>
            <b/>
            <sz val="9"/>
            <color indexed="81"/>
            <rFont val="宋体"/>
            <family val="3"/>
            <charset val="134"/>
          </rPr>
          <t>胡晓明:
如需要，请在此设置公式，引用至注释小表中期初/上期数的单元格。</t>
        </r>
      </text>
    </comment>
    <comment ref="N793" authorId="2" shapeId="0">
      <text>
        <r>
          <rPr>
            <b/>
            <sz val="9"/>
            <color indexed="81"/>
            <rFont val="宋体"/>
            <family val="3"/>
            <charset val="134"/>
          </rPr>
          <t>胡晓明:
如需要，请在此设置公式，引用至注释小表中期初/上期数的单元格。</t>
        </r>
      </text>
    </comment>
    <comment ref="G810" authorId="0" shapeId="0">
      <text>
        <r>
          <rPr>
            <b/>
            <sz val="9"/>
            <color indexed="81"/>
            <rFont val="Tahoma"/>
            <family val="2"/>
          </rPr>
          <t>未解决注释间差异合计。
注：本表中的“差异”，如未 √ 以示确认，则为“未解决注释间差异（存疑差异）”。</t>
        </r>
      </text>
    </comment>
    <comment ref="N812" authorId="2" shapeId="0">
      <text>
        <r>
          <rPr>
            <b/>
            <sz val="9"/>
            <color indexed="81"/>
            <rFont val="宋体"/>
            <family val="3"/>
            <charset val="134"/>
          </rPr>
          <t>胡晓明:
如需要，请在此设置公式，引用至注释小表中期初/上期数的单元格。</t>
        </r>
      </text>
    </comment>
    <comment ref="G832" authorId="0" shapeId="0">
      <text>
        <r>
          <rPr>
            <b/>
            <sz val="9"/>
            <color indexed="81"/>
            <rFont val="Tahoma"/>
            <family val="2"/>
          </rPr>
          <t>未解决注释间差异合计。
注：本表中的“差异”，如未 √ 以示确认，则为“未解决注释间差异（存疑差异）”。</t>
        </r>
      </text>
    </comment>
    <comment ref="N834" authorId="2" shapeId="0">
      <text>
        <r>
          <rPr>
            <b/>
            <sz val="9"/>
            <color indexed="81"/>
            <rFont val="宋体"/>
            <family val="3"/>
            <charset val="134"/>
          </rPr>
          <t>胡晓明:
如需要，请在此设置公式，引用至注释小表中期初/上期数的单元格。</t>
        </r>
      </text>
    </comment>
    <comment ref="N872" authorId="2" shapeId="0">
      <text>
        <r>
          <rPr>
            <b/>
            <sz val="9"/>
            <color indexed="81"/>
            <rFont val="宋体"/>
            <family val="3"/>
            <charset val="134"/>
          </rPr>
          <t>胡晓明:
如需要，请在此设置公式，引用至注释小表中期初/上期数的单元格。</t>
        </r>
      </text>
    </comment>
    <comment ref="S872"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1" authorId="2" shapeId="0">
      <text>
        <r>
          <rPr>
            <b/>
            <sz val="9"/>
            <color indexed="81"/>
            <rFont val="宋体"/>
            <family val="3"/>
            <charset val="134"/>
          </rPr>
          <t>胡晓明:
如需要，请在此设置公式，引用至注释小表中期初/上期数的单元格。</t>
        </r>
      </text>
    </comment>
    <comment ref="S891"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7" authorId="2" shapeId="0">
      <text>
        <r>
          <rPr>
            <b/>
            <sz val="9"/>
            <color indexed="81"/>
            <rFont val="宋体"/>
            <family val="3"/>
            <charset val="134"/>
          </rPr>
          <t>胡晓明:
如需要，请在此设置公式，引用至注释小表中期初/上期数的单元格。</t>
        </r>
      </text>
    </comment>
    <comment ref="S957"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8" authorId="2" shapeId="0">
      <text>
        <r>
          <rPr>
            <b/>
            <sz val="9"/>
            <color indexed="81"/>
            <rFont val="宋体"/>
            <family val="3"/>
            <charset val="134"/>
          </rPr>
          <t>胡晓明:
如需要，请在此设置公式，引用至注释小表中期初/上期数的单元格。</t>
        </r>
      </text>
    </comment>
    <comment ref="S978"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2" authorId="0" shapeId="0">
      <text>
        <r>
          <rPr>
            <b/>
            <sz val="9"/>
            <color indexed="81"/>
            <rFont val="Tahoma"/>
            <family val="2"/>
          </rPr>
          <t>未解决注释间差异合计。
注：本表中的“差异”，如未 √ 以示确认，则为“未解决注释间差异（存疑差异）”。</t>
        </r>
      </text>
    </comment>
    <comment ref="N1028" authorId="2" shapeId="0">
      <text>
        <r>
          <rPr>
            <b/>
            <sz val="9"/>
            <color indexed="81"/>
            <rFont val="宋体"/>
            <family val="3"/>
            <charset val="134"/>
          </rPr>
          <t>胡晓明:
如需要，请在此设置公式，引用至注释小表中期初/上期数的单元格。</t>
        </r>
      </text>
    </comment>
    <comment ref="G1042" authorId="0" shapeId="0">
      <text>
        <r>
          <rPr>
            <b/>
            <sz val="9"/>
            <color indexed="81"/>
            <rFont val="Tahoma"/>
            <family val="2"/>
          </rPr>
          <t>未解决注释间差异合计。
注：本表中的“差异”，如未 √ 以示确认，则为“未解决注释间差异（存疑差异）”。</t>
        </r>
      </text>
    </comment>
    <comment ref="N1044" authorId="2" shapeId="0">
      <text>
        <r>
          <rPr>
            <b/>
            <sz val="9"/>
            <color indexed="81"/>
            <rFont val="宋体"/>
            <family val="3"/>
            <charset val="134"/>
          </rPr>
          <t>胡晓明:
如需要，请在此设置公式，引用至注释小表中期初/上期数的单元格。</t>
        </r>
      </text>
    </comment>
    <comment ref="G1078" authorId="0" shapeId="0">
      <text>
        <r>
          <rPr>
            <b/>
            <sz val="9"/>
            <color indexed="81"/>
            <rFont val="Tahoma"/>
            <family val="2"/>
          </rPr>
          <t>未解决注释间差异合计。
注：本表中的“差异”，如未 √ 以示确认，则为“未解决注释间差异（存疑差异）”。</t>
        </r>
      </text>
    </comment>
    <comment ref="N1080" authorId="2" shapeId="0">
      <text>
        <r>
          <rPr>
            <b/>
            <sz val="9"/>
            <color indexed="81"/>
            <rFont val="宋体"/>
            <family val="3"/>
            <charset val="134"/>
          </rPr>
          <t>胡晓明:
如需要，请在此设置公式，引用至注释小表中期初/上期数的单元格。</t>
        </r>
      </text>
    </comment>
    <comment ref="G1100" authorId="0" shapeId="0">
      <text>
        <r>
          <rPr>
            <b/>
            <sz val="9"/>
            <color indexed="81"/>
            <rFont val="Tahoma"/>
            <family val="2"/>
          </rPr>
          <t>未解决注释间差异合计。
注：本表中的“差异”，如未 √ 以示确认，则为“未解决注释间差异（存疑差异）”。</t>
        </r>
      </text>
    </comment>
    <comment ref="N1102" authorId="2" shapeId="0">
      <text>
        <r>
          <rPr>
            <b/>
            <sz val="9"/>
            <color indexed="81"/>
            <rFont val="宋体"/>
            <family val="3"/>
            <charset val="134"/>
          </rPr>
          <t>胡晓明:
如需要，请在此设置公式，引用至注释小表中期初/上期数的单元格。</t>
        </r>
      </text>
    </comment>
    <comment ref="N1117" authorId="2" shapeId="0">
      <text>
        <r>
          <rPr>
            <b/>
            <sz val="9"/>
            <color indexed="81"/>
            <rFont val="宋体"/>
            <family val="3"/>
            <charset val="134"/>
          </rPr>
          <t>胡晓明:
如需要，请在此设置公式，引用至注释小表中期初/上期数的单元格。</t>
        </r>
      </text>
    </comment>
    <comment ref="N1146" authorId="2" shapeId="0">
      <text>
        <r>
          <rPr>
            <b/>
            <sz val="9"/>
            <color indexed="81"/>
            <rFont val="宋体"/>
            <family val="3"/>
            <charset val="134"/>
          </rPr>
          <t>胡晓明:
如需要，请在此设置公式，引用至注释小表中期初/上期数的单元格。</t>
        </r>
      </text>
    </comment>
    <comment ref="G1166" authorId="0" shapeId="0">
      <text>
        <r>
          <rPr>
            <b/>
            <sz val="9"/>
            <color indexed="81"/>
            <rFont val="Tahoma"/>
            <family val="2"/>
          </rPr>
          <t>未解决注释间差异合计。
注：本表中的“差异”，如未 √ 以示确认，则为“未解决注释间差异（存疑差异）”。</t>
        </r>
      </text>
    </comment>
    <comment ref="N1168" authorId="2" shapeId="0">
      <text>
        <r>
          <rPr>
            <b/>
            <sz val="9"/>
            <color indexed="81"/>
            <rFont val="宋体"/>
            <family val="3"/>
            <charset val="134"/>
          </rPr>
          <t>胡晓明:
如需要，请在此设置公式，引用至注释小表中期初/上期数的单元格。</t>
        </r>
      </text>
    </comment>
    <comment ref="G1188" authorId="0" shapeId="0">
      <text>
        <r>
          <rPr>
            <b/>
            <sz val="9"/>
            <color indexed="81"/>
            <rFont val="Tahoma"/>
            <family val="2"/>
          </rPr>
          <t>未解决注释间差异合计。
注：本表中的“差异”，如未 √ 以示确认，则为“未解决注释间差异（存疑差异）”。</t>
        </r>
      </text>
    </comment>
    <comment ref="N1190" authorId="2" shapeId="0">
      <text>
        <r>
          <rPr>
            <b/>
            <sz val="9"/>
            <color indexed="81"/>
            <rFont val="宋体"/>
            <family val="3"/>
            <charset val="134"/>
          </rPr>
          <t>胡晓明:
如需要，请在此设置公式，引用至注释小表中期初/上期数的单元格。</t>
        </r>
      </text>
    </comment>
    <comment ref="N1205" authorId="2" shapeId="0">
      <text>
        <r>
          <rPr>
            <b/>
            <sz val="9"/>
            <color indexed="81"/>
            <rFont val="宋体"/>
            <family val="3"/>
            <charset val="134"/>
          </rPr>
          <t>胡晓明:
如需要，请在此设置公式，引用至注释小表中期初/上期数的单元格。</t>
        </r>
      </text>
    </comment>
    <comment ref="N1220" authorId="2" shapeId="0">
      <text>
        <r>
          <rPr>
            <b/>
            <sz val="9"/>
            <color indexed="81"/>
            <rFont val="宋体"/>
            <family val="3"/>
            <charset val="134"/>
          </rPr>
          <t>胡晓明:
如需要，请在此设置公式，引用至注释小表中期初/上期数的单元格。</t>
        </r>
      </text>
    </comment>
    <comment ref="N1235" authorId="2" shapeId="0">
      <text>
        <r>
          <rPr>
            <b/>
            <sz val="9"/>
            <color indexed="81"/>
            <rFont val="宋体"/>
            <family val="3"/>
            <charset val="134"/>
          </rPr>
          <t>胡晓明:
如需要，请在此设置公式，引用至注释小表中期初/上期数的单元格。</t>
        </r>
      </text>
    </comment>
    <comment ref="G1255" authorId="0" shapeId="0">
      <text>
        <r>
          <rPr>
            <b/>
            <sz val="9"/>
            <color indexed="81"/>
            <rFont val="Tahoma"/>
            <family val="2"/>
          </rPr>
          <t>未解决注释间差异合计。
注：本表中的“差异”，如未 √ 以示确认，则为“未解决注释间差异（存疑差异）”。</t>
        </r>
      </text>
    </comment>
    <comment ref="N1257" authorId="2" shapeId="0">
      <text>
        <r>
          <rPr>
            <b/>
            <sz val="9"/>
            <color indexed="81"/>
            <rFont val="宋体"/>
            <family val="3"/>
            <charset val="134"/>
          </rPr>
          <t>胡晓明:
如需要，请在此设置公式，引用至注释小表中期初/上期数的单元格。</t>
        </r>
      </text>
    </comment>
    <comment ref="G1277" authorId="0" shapeId="0">
      <text>
        <r>
          <rPr>
            <b/>
            <sz val="9"/>
            <color indexed="81"/>
            <rFont val="Tahoma"/>
            <family val="2"/>
          </rPr>
          <t>未解决注释间差异合计。
注：本表中的“差异”，如未 √ 以示确认，则为“未解决注释间差异（存疑差异）”。</t>
        </r>
      </text>
    </comment>
    <comment ref="K1309" authorId="2" shapeId="0">
      <text>
        <r>
          <rPr>
            <b/>
            <sz val="9"/>
            <color indexed="81"/>
            <rFont val="宋体"/>
            <family val="3"/>
            <charset val="134"/>
          </rPr>
          <t>胡晓明:
如需要，请在此设置公式，引用至注释小表中期末/本期数的单元格。</t>
        </r>
      </text>
    </comment>
    <comment ref="G1326" authorId="0" shapeId="0">
      <text>
        <r>
          <rPr>
            <b/>
            <sz val="9"/>
            <color indexed="81"/>
            <rFont val="Tahoma"/>
            <family val="2"/>
          </rPr>
          <t>未解决注释间差异合计。
注：本表中的“差异”，如未 √ 以示确认，则为“未解决注释间差异（存疑差异）”。</t>
        </r>
      </text>
    </comment>
    <comment ref="K1328" authorId="2" shapeId="0">
      <text>
        <r>
          <rPr>
            <b/>
            <sz val="9"/>
            <color indexed="81"/>
            <rFont val="宋体"/>
            <family val="3"/>
            <charset val="134"/>
          </rPr>
          <t>胡晓明:
如需要，请在此设置公式，引用至注释小表中期末/本期数的单元格。</t>
        </r>
      </text>
    </comment>
    <comment ref="G1348" authorId="0" shapeId="0">
      <text>
        <r>
          <rPr>
            <b/>
            <sz val="9"/>
            <color indexed="81"/>
            <rFont val="Tahoma"/>
            <family val="2"/>
          </rPr>
          <t>未解决注释间差异合计。
注：本表中的“差异”，如未 √ 以示确认，则为“未解决注释间差异（存疑差异）”。</t>
        </r>
      </text>
    </comment>
    <comment ref="K1350" authorId="2" shapeId="0">
      <text>
        <r>
          <rPr>
            <b/>
            <sz val="9"/>
            <color indexed="81"/>
            <rFont val="宋体"/>
            <family val="3"/>
            <charset val="134"/>
          </rPr>
          <t>胡晓明:
如需要，请在此设置公式，引用至注释小表中期末/本期数的单元格。</t>
        </r>
      </text>
    </comment>
    <comment ref="S1367"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7" authorId="0" shapeId="0">
      <text>
        <r>
          <rPr>
            <b/>
            <sz val="9"/>
            <color indexed="81"/>
            <rFont val="Tahoma"/>
            <family val="2"/>
          </rPr>
          <t>未解决注释间差异合计。
注：本表中的“差异”，如未 √ 以示确认，则为“未解决注释间差异（存疑差异）”。</t>
        </r>
      </text>
    </comment>
    <comment ref="G1409" authorId="0" shapeId="0">
      <text>
        <r>
          <rPr>
            <b/>
            <sz val="9"/>
            <color indexed="81"/>
            <rFont val="Tahoma"/>
            <family val="2"/>
          </rPr>
          <t>未解决注释间差异合计。
注：本表中的“差异”，如未 √ 以示确认，则为“未解决注释间差异（存疑差异）”。</t>
        </r>
      </text>
    </comment>
    <comment ref="G1428" authorId="0" shapeId="0">
      <text>
        <r>
          <rPr>
            <b/>
            <sz val="9"/>
            <color indexed="81"/>
            <rFont val="Tahoma"/>
            <family val="2"/>
          </rPr>
          <t>未解决注释间差异合计。
注：本表中的“差异”，如未 √ 以示确认，则为“未解决注释间差异（存疑差异）”。</t>
        </r>
      </text>
    </comment>
    <comment ref="G1449" authorId="0" shapeId="0">
      <text>
        <r>
          <rPr>
            <b/>
            <sz val="9"/>
            <color indexed="81"/>
            <rFont val="Tahoma"/>
            <family val="2"/>
          </rPr>
          <t>未解决注释间差异合计。
注：本表中的“差异”，如未 √ 以示确认，则为“未解决注释间差异（存疑差异）”。</t>
        </r>
      </text>
    </comment>
    <comment ref="G1491" authorId="0" shapeId="0">
      <text>
        <r>
          <rPr>
            <b/>
            <sz val="9"/>
            <color indexed="81"/>
            <rFont val="Tahoma"/>
            <family val="2"/>
          </rPr>
          <t>未解决注释间差异合计。
注：本表中的“差异”，如未 √ 以示确认，则为“未解决注释间差异（存疑差异）”。</t>
        </r>
      </text>
    </comment>
    <comment ref="N1512" authorId="2" shapeId="0">
      <text>
        <r>
          <rPr>
            <b/>
            <sz val="9"/>
            <color indexed="81"/>
            <rFont val="宋体"/>
            <family val="3"/>
            <charset val="134"/>
          </rPr>
          <t>胡晓明:
如需要，请在此设置公式，引用至注释小表中期初/上期数的单元格。</t>
        </r>
      </text>
    </comment>
    <comment ref="S1512"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9" authorId="2" shapeId="0">
      <text>
        <r>
          <rPr>
            <b/>
            <sz val="9"/>
            <color indexed="81"/>
            <rFont val="宋体"/>
            <family val="3"/>
            <charset val="134"/>
          </rPr>
          <t>胡晓明:
如需要，请在此设置公式，引用至注释小表中期初/上期数的单元格。</t>
        </r>
      </text>
    </comment>
    <comment ref="S1529"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40" authorId="2" shapeId="0">
      <text>
        <r>
          <rPr>
            <b/>
            <sz val="9"/>
            <color indexed="81"/>
            <rFont val="宋体"/>
            <family val="3"/>
            <charset val="134"/>
          </rPr>
          <t>胡晓明:
如需要，请在此设置公式，引用至注释小表中期初/上期数的单元格。</t>
        </r>
      </text>
    </comment>
    <comment ref="S1540"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9" authorId="2" shapeId="0">
      <text>
        <r>
          <rPr>
            <b/>
            <sz val="9"/>
            <color indexed="81"/>
            <rFont val="宋体"/>
            <family val="3"/>
            <charset val="134"/>
          </rPr>
          <t>胡晓明:
如需要，请在此设置公式，引用至注释小表中期初/上期数的单元格。</t>
        </r>
      </text>
    </comment>
    <comment ref="S1559"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9" authorId="2" shapeId="0">
      <text>
        <r>
          <rPr>
            <b/>
            <sz val="9"/>
            <color indexed="81"/>
            <rFont val="宋体"/>
            <family val="3"/>
            <charset val="134"/>
          </rPr>
          <t>胡晓明:
如需要，请在此设置公式，引用至注释小表中期初/上期数的单元格。</t>
        </r>
      </text>
    </comment>
    <comment ref="S1569"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9" authorId="2" shapeId="0">
      <text>
        <r>
          <rPr>
            <b/>
            <sz val="9"/>
            <color indexed="81"/>
            <rFont val="宋体"/>
            <family val="3"/>
            <charset val="134"/>
          </rPr>
          <t>胡晓明:
如需要，请在此设置公式，引用至注释小表中期初/上期数的单元格。</t>
        </r>
      </text>
    </comment>
    <comment ref="S1579"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9" authorId="2" shapeId="0">
      <text>
        <r>
          <rPr>
            <b/>
            <sz val="9"/>
            <color indexed="81"/>
            <rFont val="宋体"/>
            <family val="3"/>
            <charset val="134"/>
          </rPr>
          <t>胡晓明:
如需要，请在此设置公式，引用至注释小表中期初/上期数的单元格。</t>
        </r>
      </text>
    </comment>
    <comment ref="S1619"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8" authorId="2" shapeId="0">
      <text>
        <r>
          <rPr>
            <b/>
            <sz val="9"/>
            <color indexed="81"/>
            <rFont val="宋体"/>
            <family val="3"/>
            <charset val="134"/>
          </rPr>
          <t>胡晓明:
如需要，请在此设置公式，引用至注释小表中期末/本期数的单元格。</t>
        </r>
      </text>
    </comment>
    <comment ref="N1638" authorId="2" shapeId="0">
      <text>
        <r>
          <rPr>
            <b/>
            <sz val="9"/>
            <color indexed="81"/>
            <rFont val="宋体"/>
            <family val="3"/>
            <charset val="134"/>
          </rPr>
          <t>胡晓明:
如需要，请在此设置公式，引用至注释小表中期初/上期数的单元格。</t>
        </r>
      </text>
    </comment>
    <comment ref="S1638"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7" authorId="2" shapeId="0">
      <text>
        <r>
          <rPr>
            <b/>
            <sz val="9"/>
            <color indexed="81"/>
            <rFont val="宋体"/>
            <family val="3"/>
            <charset val="134"/>
          </rPr>
          <t>胡晓明:
如需要，请在此设置公式，引用至注释小表中期末/本期数的单元格。</t>
        </r>
      </text>
    </comment>
    <comment ref="N1657" authorId="2" shapeId="0">
      <text>
        <r>
          <rPr>
            <b/>
            <sz val="9"/>
            <color indexed="81"/>
            <rFont val="宋体"/>
            <family val="3"/>
            <charset val="134"/>
          </rPr>
          <t>胡晓明:
如需要，请在此设置公式，引用至注释小表中期初/上期数的单元格。</t>
        </r>
      </text>
    </comment>
    <comment ref="N1667" authorId="2" shapeId="0">
      <text>
        <r>
          <rPr>
            <b/>
            <sz val="9"/>
            <color indexed="81"/>
            <rFont val="宋体"/>
            <family val="3"/>
            <charset val="134"/>
          </rPr>
          <t>胡晓明:
如需要，请在此设置公式，引用至注释小表中期初/上期数的单元格。</t>
        </r>
      </text>
    </comment>
    <comment ref="S1667"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70"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71"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2"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3"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2" authorId="0" shapeId="0">
      <text>
        <r>
          <rPr>
            <b/>
            <sz val="9"/>
            <color indexed="81"/>
            <rFont val="Tahoma"/>
            <family val="2"/>
          </rPr>
          <t>未解决注释间差异合计。
注：本表中的“差异”，如未 √ 以示确认，则为“未解决注释间差异（存疑差异）”。</t>
        </r>
      </text>
    </comment>
    <comment ref="K1684" authorId="2" shapeId="0">
      <text>
        <r>
          <rPr>
            <b/>
            <sz val="9"/>
            <color indexed="81"/>
            <rFont val="宋体"/>
            <family val="3"/>
            <charset val="134"/>
          </rPr>
          <t>胡晓明:
如需要，请在此设置公式，引用至注释小表中期末/本期数的单元格。</t>
        </r>
      </text>
    </comment>
    <comment ref="N1684" authorId="2" shapeId="0">
      <text>
        <r>
          <rPr>
            <b/>
            <sz val="9"/>
            <color indexed="81"/>
            <rFont val="宋体"/>
            <family val="3"/>
            <charset val="134"/>
          </rPr>
          <t>胡晓明:
如需要，请在此设置公式，引用至注释小表中期初/上期数的单元格。</t>
        </r>
      </text>
    </comment>
    <comment ref="G1699" authorId="0" shapeId="0">
      <text>
        <r>
          <rPr>
            <b/>
            <sz val="9"/>
            <color indexed="81"/>
            <rFont val="Tahoma"/>
            <family val="2"/>
          </rPr>
          <t>未解决注释间差异合计。
注：本表中的“差异”，如未 √ 以示确认，则为“未解决注释间差异（存疑差异）”。</t>
        </r>
      </text>
    </comment>
    <comment ref="K1701" authorId="2" shapeId="0">
      <text>
        <r>
          <rPr>
            <b/>
            <sz val="9"/>
            <color indexed="81"/>
            <rFont val="宋体"/>
            <family val="3"/>
            <charset val="134"/>
          </rPr>
          <t>胡晓明:
如需要，请在此设置公式，引用至注释小表中期末/本期数的单元格。</t>
        </r>
      </text>
    </comment>
    <comment ref="N1701" authorId="2" shapeId="0">
      <text>
        <r>
          <rPr>
            <b/>
            <sz val="9"/>
            <color indexed="81"/>
            <rFont val="宋体"/>
            <family val="3"/>
            <charset val="134"/>
          </rPr>
          <t>胡晓明:
如需要，请在此设置公式，引用至注释小表中期初/上期数的单元格。</t>
        </r>
      </text>
    </comment>
    <comment ref="G1716" authorId="0" shapeId="0">
      <text>
        <r>
          <rPr>
            <b/>
            <sz val="9"/>
            <color indexed="81"/>
            <rFont val="Tahoma"/>
            <family val="2"/>
          </rPr>
          <t>未解决注释间差异合计。
注：本表中的“差异”，如未 √ 以示确认，则为“未解决注释间差异（存疑差异）”。</t>
        </r>
      </text>
    </comment>
    <comment ref="K1718" authorId="2" shapeId="0">
      <text>
        <r>
          <rPr>
            <b/>
            <sz val="9"/>
            <color indexed="81"/>
            <rFont val="宋体"/>
            <family val="3"/>
            <charset val="134"/>
          </rPr>
          <t>胡晓明:
如需要，请在此设置公式，引用至注释小表中期末/本期数的单元格。</t>
        </r>
      </text>
    </comment>
    <comment ref="N1718" authorId="2" shapeId="0">
      <text>
        <r>
          <rPr>
            <b/>
            <sz val="9"/>
            <color indexed="81"/>
            <rFont val="宋体"/>
            <family val="3"/>
            <charset val="134"/>
          </rPr>
          <t>胡晓明:
如需要，请在此设置公式，引用至注释小表中期初/上期数的单元格。</t>
        </r>
      </text>
    </comment>
    <comment ref="K1728" authorId="2" shapeId="0">
      <text>
        <r>
          <rPr>
            <b/>
            <sz val="9"/>
            <color indexed="81"/>
            <rFont val="宋体"/>
            <family val="3"/>
            <charset val="134"/>
          </rPr>
          <t>胡晓明:
如需要，请在此设置公式，引用至注释小表中期末/本期数的单元格。</t>
        </r>
      </text>
    </comment>
    <comment ref="N1728" authorId="2" shapeId="0">
      <text>
        <r>
          <rPr>
            <b/>
            <sz val="9"/>
            <color indexed="81"/>
            <rFont val="宋体"/>
            <family val="3"/>
            <charset val="134"/>
          </rPr>
          <t>胡晓明:
如需要，请在此设置公式，引用至注释小表中期初/上期数的单元格。</t>
        </r>
      </text>
    </comment>
    <comment ref="K1738" authorId="2" shapeId="0">
      <text>
        <r>
          <rPr>
            <b/>
            <sz val="9"/>
            <color indexed="81"/>
            <rFont val="宋体"/>
            <family val="3"/>
            <charset val="134"/>
          </rPr>
          <t>胡晓明:
如需要，请在此设置公式，引用至注释小表中期末/本期数的单元格。</t>
        </r>
      </text>
    </comment>
    <comment ref="N1738" authorId="2" shapeId="0">
      <text>
        <r>
          <rPr>
            <b/>
            <sz val="9"/>
            <color indexed="81"/>
            <rFont val="宋体"/>
            <family val="3"/>
            <charset val="134"/>
          </rPr>
          <t>胡晓明:
如需要，请在此设置公式，引用至注释小表中期初/上期数的单元格。</t>
        </r>
      </text>
    </comment>
    <comment ref="S1738"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5" authorId="2" shapeId="0">
      <text>
        <r>
          <rPr>
            <b/>
            <sz val="9"/>
            <color indexed="81"/>
            <rFont val="宋体"/>
            <family val="3"/>
            <charset val="134"/>
          </rPr>
          <t>胡晓明:
如需要，请在此设置公式，引用至注释小表中期末/本期数的单元格。</t>
        </r>
      </text>
    </comment>
    <comment ref="N1755" authorId="2" shapeId="0">
      <text>
        <r>
          <rPr>
            <b/>
            <sz val="9"/>
            <color indexed="81"/>
            <rFont val="宋体"/>
            <family val="3"/>
            <charset val="134"/>
          </rPr>
          <t>胡晓明:
如需要，请在此设置公式，引用至注释小表中期初/上期数的单元格。</t>
        </r>
      </text>
    </comment>
    <comment ref="S175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6" authorId="2" shapeId="0">
      <text>
        <r>
          <rPr>
            <b/>
            <sz val="9"/>
            <color indexed="81"/>
            <rFont val="宋体"/>
            <family val="3"/>
            <charset val="134"/>
          </rPr>
          <t>胡晓明:
如需要，请在此设置公式，引用至注释小表中期初/上期数的单元格。</t>
        </r>
      </text>
    </comment>
    <comment ref="S1792"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4" authorId="1" shapeId="0">
      <text>
        <r>
          <rPr>
            <b/>
            <sz val="9"/>
            <color indexed="12"/>
            <rFont val="Tahoma"/>
            <family val="2"/>
          </rPr>
          <t>REAL Tips:
1</t>
        </r>
        <r>
          <rPr>
            <b/>
            <sz val="9"/>
            <color indexed="12"/>
            <rFont val="宋体"/>
            <family val="3"/>
            <charset val="134"/>
          </rPr>
          <t>、金额较大的其他流动资产，应说明其内容、性质</t>
        </r>
      </text>
    </comment>
    <comment ref="G1869" authorId="0" shapeId="0">
      <text>
        <r>
          <rPr>
            <b/>
            <sz val="9"/>
            <color indexed="81"/>
            <rFont val="Tahoma"/>
            <family val="2"/>
          </rPr>
          <t>未解决注释间差异合计。
注：本表中的“差异”，如未 √ 以示确认，则为“未解决注释间差异（存疑差异）”。</t>
        </r>
      </text>
    </comment>
    <comment ref="N1871" authorId="2" shapeId="0">
      <text>
        <r>
          <rPr>
            <b/>
            <sz val="9"/>
            <color indexed="81"/>
            <rFont val="宋体"/>
            <family val="3"/>
            <charset val="134"/>
          </rPr>
          <t>胡晓明:
如需要，请在此设置公式，引用至注释小表中期初/上期数的单元格。</t>
        </r>
      </text>
    </comment>
    <comment ref="N1884" authorId="2" shapeId="0">
      <text>
        <r>
          <rPr>
            <b/>
            <sz val="9"/>
            <color indexed="81"/>
            <rFont val="宋体"/>
            <family val="3"/>
            <charset val="134"/>
          </rPr>
          <t>胡晓明:
如需要，请在此设置公式，引用至注释小表中期初/上期数的单元格。</t>
        </r>
      </text>
    </comment>
    <comment ref="N1897" authorId="2" shapeId="0">
      <text>
        <r>
          <rPr>
            <b/>
            <sz val="9"/>
            <color indexed="81"/>
            <rFont val="宋体"/>
            <family val="3"/>
            <charset val="134"/>
          </rPr>
          <t>胡晓明:
如需要，请在此设置公式，引用至注释小表中期初/上期数的单元格。</t>
        </r>
      </text>
    </comment>
    <comment ref="G1927" authorId="0" shapeId="0">
      <text>
        <r>
          <rPr>
            <b/>
            <sz val="9"/>
            <color indexed="81"/>
            <rFont val="Tahoma"/>
            <family val="2"/>
          </rPr>
          <t>未解决注释间差异合计。
注：本表中的“差异”，如未 √ 以示确认，则为“未解决注释间差异（存疑差异）”。</t>
        </r>
      </text>
    </comment>
    <comment ref="N1929" authorId="2" shapeId="0">
      <text>
        <r>
          <rPr>
            <b/>
            <sz val="9"/>
            <color indexed="81"/>
            <rFont val="宋体"/>
            <family val="3"/>
            <charset val="134"/>
          </rPr>
          <t>胡晓明:
如需要，请在此设置公式，引用至注释小表中期初/上期数的单元格。</t>
        </r>
      </text>
    </comment>
    <comment ref="K1963" authorId="2" shapeId="0">
      <text>
        <r>
          <rPr>
            <b/>
            <sz val="9"/>
            <color indexed="81"/>
            <rFont val="宋体"/>
            <family val="3"/>
            <charset val="134"/>
          </rPr>
          <t>胡晓明:
如需要，请在此设置公式，引用至注释小表中期末/本期数的单元格。</t>
        </r>
      </text>
    </comment>
    <comment ref="N1963" authorId="2" shapeId="0">
      <text>
        <r>
          <rPr>
            <b/>
            <sz val="9"/>
            <color indexed="81"/>
            <rFont val="宋体"/>
            <family val="3"/>
            <charset val="134"/>
          </rPr>
          <t>胡晓明:
如需要，请在此设置公式，引用至注释小表中期初/上期数的单元格。</t>
        </r>
      </text>
    </comment>
    <comment ref="K1973" authorId="2" shapeId="0">
      <text>
        <r>
          <rPr>
            <b/>
            <sz val="9"/>
            <color indexed="81"/>
            <rFont val="宋体"/>
            <family val="3"/>
            <charset val="134"/>
          </rPr>
          <t>胡晓明:
如需要，请在此设置公式，引用至注释小表中期末/本期数的单元格。</t>
        </r>
      </text>
    </comment>
    <comment ref="N1973" authorId="2" shapeId="0">
      <text>
        <r>
          <rPr>
            <b/>
            <sz val="9"/>
            <color indexed="81"/>
            <rFont val="宋体"/>
            <family val="3"/>
            <charset val="134"/>
          </rPr>
          <t>胡晓明:
如需要，请在此设置公式，引用至注释小表中期初/上期数的单元格。</t>
        </r>
      </text>
    </comment>
    <comment ref="K1988" authorId="2" shapeId="0">
      <text>
        <r>
          <rPr>
            <b/>
            <sz val="9"/>
            <color indexed="81"/>
            <rFont val="宋体"/>
            <family val="3"/>
            <charset val="134"/>
          </rPr>
          <t>胡晓明:
如需要，请在此设置公式，引用至注释小表中期末/本期数的单元格。</t>
        </r>
      </text>
    </comment>
    <comment ref="N1988" authorId="2" shapeId="0">
      <text>
        <r>
          <rPr>
            <b/>
            <sz val="9"/>
            <color indexed="81"/>
            <rFont val="宋体"/>
            <family val="3"/>
            <charset val="134"/>
          </rPr>
          <t>胡晓明:
如需要，请在此设置公式，引用至注释小表中期初/上期数的单元格。</t>
        </r>
      </text>
    </comment>
    <comment ref="N2003" authorId="2" shapeId="0">
      <text>
        <r>
          <rPr>
            <b/>
            <sz val="9"/>
            <color indexed="81"/>
            <rFont val="宋体"/>
            <family val="3"/>
            <charset val="134"/>
          </rPr>
          <t>胡晓明:
如需要，请在此设置公式，引用至注释小表中期初/上期数的单元格。</t>
        </r>
      </text>
    </comment>
    <comment ref="K2023" authorId="2" shapeId="0">
      <text>
        <r>
          <rPr>
            <b/>
            <sz val="9"/>
            <color indexed="81"/>
            <rFont val="宋体"/>
            <family val="3"/>
            <charset val="134"/>
          </rPr>
          <t>胡晓明:
如需要，请在此设置公式，引用至注释小表中期末/本期数的单元格。</t>
        </r>
      </text>
    </comment>
    <comment ref="N2023" authorId="2" shapeId="0">
      <text>
        <r>
          <rPr>
            <b/>
            <sz val="9"/>
            <color indexed="81"/>
            <rFont val="宋体"/>
            <family val="3"/>
            <charset val="134"/>
          </rPr>
          <t>胡晓明:
如需要，请在此设置公式，引用至注释小表中期初/上期数的单元格。</t>
        </r>
      </text>
    </comment>
    <comment ref="S2023"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5" authorId="2" shapeId="0">
      <text>
        <r>
          <rPr>
            <b/>
            <sz val="9"/>
            <color indexed="81"/>
            <rFont val="宋体"/>
            <family val="3"/>
            <charset val="134"/>
          </rPr>
          <t>胡晓明:
如需要，请在此设置公式，引用至注释小表中期初/上期数的单元格。</t>
        </r>
      </text>
    </comment>
    <comment ref="G2079" authorId="0" shapeId="0">
      <text>
        <r>
          <rPr>
            <b/>
            <sz val="9"/>
            <color indexed="81"/>
            <rFont val="Tahoma"/>
            <family val="2"/>
          </rPr>
          <t>未解决注释间差异合计。
注：本表中的“差异”，如未 √ 以示确认，则为“未解决注释间差异（存疑差异）”。</t>
        </r>
      </text>
    </comment>
    <comment ref="N2081" authorId="2" shapeId="0">
      <text>
        <r>
          <rPr>
            <b/>
            <sz val="9"/>
            <color indexed="81"/>
            <rFont val="宋体"/>
            <family val="3"/>
            <charset val="134"/>
          </rPr>
          <t>胡晓明:
如需要，请在此设置公式，引用至注释小表中期初/上期数的单元格。</t>
        </r>
      </text>
    </comment>
    <comment ref="N2094" authorId="2" shapeId="0">
      <text>
        <r>
          <rPr>
            <b/>
            <sz val="9"/>
            <color indexed="81"/>
            <rFont val="宋体"/>
            <family val="3"/>
            <charset val="134"/>
          </rPr>
          <t>胡晓明:
如需要，请在此设置公式，引用至注释小表中期初/上期数的单元格。</t>
        </r>
      </text>
    </comment>
    <comment ref="N2107" authorId="2" shapeId="0">
      <text>
        <r>
          <rPr>
            <b/>
            <sz val="9"/>
            <color indexed="81"/>
            <rFont val="宋体"/>
            <family val="3"/>
            <charset val="134"/>
          </rPr>
          <t>胡晓明:
如需要，请在此设置公式，引用至注释小表中期初/上期数的单元格。</t>
        </r>
      </text>
    </comment>
    <comment ref="N2120" authorId="2" shapeId="0">
      <text>
        <r>
          <rPr>
            <b/>
            <sz val="9"/>
            <color indexed="81"/>
            <rFont val="宋体"/>
            <family val="3"/>
            <charset val="134"/>
          </rPr>
          <t>胡晓明:
如需要，请在此设置公式，引用至注释小表中期初/上期数的单元格。</t>
        </r>
      </text>
    </comment>
    <comment ref="G2137" authorId="0" shapeId="0">
      <text>
        <r>
          <rPr>
            <b/>
            <sz val="9"/>
            <color indexed="81"/>
            <rFont val="Tahoma"/>
            <family val="2"/>
          </rPr>
          <t>未解决注释间差异合计。
注：本表中的“差异”，如未 √ 以示确认，则为“未解决注释间差异（存疑差异）”。</t>
        </r>
      </text>
    </comment>
    <comment ref="N2139" authorId="2" shapeId="0">
      <text>
        <r>
          <rPr>
            <b/>
            <sz val="9"/>
            <color indexed="81"/>
            <rFont val="宋体"/>
            <family val="3"/>
            <charset val="134"/>
          </rPr>
          <t>胡晓明:
如需要，请在此设置公式，引用至注释小表中期初/上期数的单元格。</t>
        </r>
      </text>
    </comment>
    <comment ref="K2173" authorId="2" shapeId="0">
      <text>
        <r>
          <rPr>
            <b/>
            <sz val="9"/>
            <color indexed="81"/>
            <rFont val="宋体"/>
            <family val="3"/>
            <charset val="134"/>
          </rPr>
          <t>胡晓明:
如需要，请在此设置公式，引用至注释小表中期末/本期数的单元格。</t>
        </r>
      </text>
    </comment>
    <comment ref="N2173" authorId="2" shapeId="0">
      <text>
        <r>
          <rPr>
            <b/>
            <sz val="9"/>
            <color indexed="81"/>
            <rFont val="宋体"/>
            <family val="3"/>
            <charset val="134"/>
          </rPr>
          <t>胡晓明:
如需要，请在此设置公式，引用至注释小表中期初/上期数的单元格。</t>
        </r>
      </text>
    </comment>
    <comment ref="S2173"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3" authorId="2" shapeId="0">
      <text>
        <r>
          <rPr>
            <b/>
            <sz val="9"/>
            <color indexed="81"/>
            <rFont val="宋体"/>
            <family val="3"/>
            <charset val="134"/>
          </rPr>
          <t>胡晓明:
如需要，请在此设置公式，引用至注释小表中期末/本期数的单元格。</t>
        </r>
      </text>
    </comment>
    <comment ref="N2183" authorId="2" shapeId="0">
      <text>
        <r>
          <rPr>
            <b/>
            <sz val="9"/>
            <color indexed="81"/>
            <rFont val="宋体"/>
            <family val="3"/>
            <charset val="134"/>
          </rPr>
          <t>胡晓明:
如需要，请在此设置公式，引用至注释小表中期初/上期数的单元格。</t>
        </r>
      </text>
    </comment>
    <comment ref="S2183"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20" authorId="2" shapeId="0">
      <text>
        <r>
          <rPr>
            <b/>
            <sz val="9"/>
            <color indexed="81"/>
            <rFont val="宋体"/>
            <family val="3"/>
            <charset val="134"/>
          </rPr>
          <t>胡晓明:
如需要，请在此设置公式，引用至注释小表中期初/上期数的单元格。</t>
        </r>
      </text>
    </comment>
    <comment ref="G2234" authorId="0" shapeId="0">
      <text>
        <r>
          <rPr>
            <b/>
            <sz val="9"/>
            <color indexed="81"/>
            <rFont val="Tahoma"/>
            <family val="2"/>
          </rPr>
          <t>未解决注释间差异合计。
注：本表中的“差异”，如未 √ 以示确认，则为“未解决注释间差异（存疑差异）”。</t>
        </r>
      </text>
    </comment>
    <comment ref="N2236" authorId="2" shapeId="0">
      <text>
        <r>
          <rPr>
            <b/>
            <sz val="9"/>
            <color indexed="81"/>
            <rFont val="宋体"/>
            <family val="3"/>
            <charset val="134"/>
          </rPr>
          <t>胡晓明:
如需要，请在此设置公式，引用至注释小表中期初/上期数的单元格。</t>
        </r>
      </text>
    </comment>
    <comment ref="N2249" authorId="2" shapeId="0">
      <text>
        <r>
          <rPr>
            <b/>
            <sz val="9"/>
            <color indexed="81"/>
            <rFont val="宋体"/>
            <family val="3"/>
            <charset val="134"/>
          </rPr>
          <t>胡晓明:
如需要，请在此设置公式，引用至注释小表中期初/上期数的单元格。</t>
        </r>
      </text>
    </comment>
    <comment ref="N2262" authorId="2" shapeId="0">
      <text>
        <r>
          <rPr>
            <b/>
            <sz val="9"/>
            <color indexed="81"/>
            <rFont val="宋体"/>
            <family val="3"/>
            <charset val="134"/>
          </rPr>
          <t>胡晓明:
如需要，请在此设置公式，引用至注释小表中期初/上期数的单元格。</t>
        </r>
      </text>
    </comment>
    <comment ref="G2293" authorId="0" shapeId="0">
      <text>
        <r>
          <rPr>
            <b/>
            <sz val="9"/>
            <color indexed="81"/>
            <rFont val="Tahoma"/>
            <family val="2"/>
          </rPr>
          <t>未解决注释间差异合计。
注：本表中的“差异”，如未 √ 以示确认，则为“未解决注释间差异（存疑差异）”。</t>
        </r>
      </text>
    </comment>
    <comment ref="K2295" authorId="2" shapeId="0">
      <text>
        <r>
          <rPr>
            <b/>
            <sz val="9"/>
            <color indexed="81"/>
            <rFont val="宋体"/>
            <family val="3"/>
            <charset val="134"/>
          </rPr>
          <t>胡晓明:
如需要，请在此设置公式，引用至注释小表中期末/本期数的单元格。</t>
        </r>
      </text>
    </comment>
    <comment ref="G2315" authorId="0" shapeId="0">
      <text>
        <r>
          <rPr>
            <b/>
            <sz val="9"/>
            <color indexed="81"/>
            <rFont val="Tahoma"/>
            <family val="2"/>
          </rPr>
          <t>未解决注释间差异合计。
注：本表中的“差异”，如未 √ 以示确认，则为“未解决注释间差异（存疑差异）”。</t>
        </r>
      </text>
    </comment>
    <comment ref="N2317" authorId="2" shapeId="0">
      <text>
        <r>
          <rPr>
            <b/>
            <sz val="9"/>
            <color indexed="81"/>
            <rFont val="宋体"/>
            <family val="3"/>
            <charset val="134"/>
          </rPr>
          <t>胡晓明:
如需要，请在此设置公式，引用至注释小表中期初/上期数的单元格。</t>
        </r>
      </text>
    </comment>
    <comment ref="G2349" authorId="0" shapeId="0">
      <text>
        <r>
          <rPr>
            <b/>
            <sz val="9"/>
            <color indexed="81"/>
            <rFont val="Tahoma"/>
            <family val="2"/>
          </rPr>
          <t>未解决注释间差异合计。
注：本表中的“差异”，如未 √ 以示确认，则为“未解决注释间差异（存疑差异）”。</t>
        </r>
      </text>
    </comment>
    <comment ref="N2351" authorId="2" shapeId="0">
      <text>
        <r>
          <rPr>
            <b/>
            <sz val="9"/>
            <color indexed="81"/>
            <rFont val="宋体"/>
            <family val="3"/>
            <charset val="134"/>
          </rPr>
          <t>胡晓明:
如需要，请在此设置公式，引用至注释小表中期初/上期数的单元格。</t>
        </r>
      </text>
    </comment>
    <comment ref="N2370" authorId="2" shapeId="0">
      <text>
        <r>
          <rPr>
            <b/>
            <sz val="9"/>
            <color indexed="81"/>
            <rFont val="宋体"/>
            <family val="3"/>
            <charset val="134"/>
          </rPr>
          <t>胡晓明:
如需要，请在此设置公式，引用至注释小表中期初/上期数的单元格。</t>
        </r>
      </text>
    </comment>
    <comment ref="S2370"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80" authorId="2" shapeId="0">
      <text>
        <r>
          <rPr>
            <b/>
            <sz val="9"/>
            <color indexed="81"/>
            <rFont val="宋体"/>
            <family val="3"/>
            <charset val="134"/>
          </rPr>
          <t>胡晓明:
如需要，请在此设置公式，引用至注释小表中期初/上期数的单元格。</t>
        </r>
      </text>
    </comment>
    <comment ref="S2393" authorId="1" shapeId="0">
      <text>
        <r>
          <rPr>
            <b/>
            <sz val="9"/>
            <color indexed="12"/>
            <rFont val="Tahoma"/>
            <family val="2"/>
          </rPr>
          <t>REAL Tips:
1</t>
        </r>
        <r>
          <rPr>
            <b/>
            <sz val="9"/>
            <color indexed="12"/>
            <rFont val="宋体"/>
            <family val="3"/>
            <charset val="134"/>
          </rPr>
          <t>、逾期客户的名称、逾期年限、逾期原因等</t>
        </r>
      </text>
    </comment>
    <comment ref="N2403" authorId="2" shapeId="0">
      <text>
        <r>
          <rPr>
            <b/>
            <sz val="9"/>
            <color indexed="81"/>
            <rFont val="宋体"/>
            <family val="3"/>
            <charset val="134"/>
          </rPr>
          <t>胡晓明:
如需要，请在此设置公式，引用至注释小表中期初/上期数的单元格。</t>
        </r>
      </text>
    </comment>
    <comment ref="G2431" authorId="0" shapeId="0">
      <text>
        <r>
          <rPr>
            <b/>
            <sz val="9"/>
            <color indexed="81"/>
            <rFont val="Tahoma"/>
            <family val="2"/>
          </rPr>
          <t>未解决注释间差异合计。
注：本表中的“差异”，如未 √ 以示确认，则为“未解决注释间差异（存疑差异）”。</t>
        </r>
      </text>
    </comment>
    <comment ref="G2463" authorId="0" shapeId="0">
      <text>
        <r>
          <rPr>
            <b/>
            <sz val="9"/>
            <color indexed="81"/>
            <rFont val="Tahoma"/>
            <family val="2"/>
          </rPr>
          <t>未解决注释间差异合计。
注：本表中的“差异”，如未 √ 以示确认，则为“未解决注释间差异（存疑差异）”。</t>
        </r>
      </text>
    </comment>
    <comment ref="N2508" authorId="2" shapeId="0">
      <text>
        <r>
          <rPr>
            <b/>
            <sz val="9"/>
            <color indexed="81"/>
            <rFont val="宋体"/>
            <family val="3"/>
            <charset val="134"/>
          </rPr>
          <t>胡晓明:
如需要，请在此设置公式，引用至注释小表中期初/上期数的单元格。</t>
        </r>
      </text>
    </comment>
    <comment ref="S2558"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601"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20" authorId="2" shapeId="0">
      <text>
        <r>
          <rPr>
            <b/>
            <sz val="9"/>
            <color indexed="81"/>
            <rFont val="宋体"/>
            <family val="3"/>
            <charset val="134"/>
          </rPr>
          <t>胡晓明:
如需要，请在此设置公式，引用至注释小表中期末/本期数的单元格。</t>
        </r>
      </text>
    </comment>
    <comment ref="N2620" authorId="2" shapeId="0">
      <text>
        <r>
          <rPr>
            <b/>
            <sz val="9"/>
            <color indexed="81"/>
            <rFont val="宋体"/>
            <family val="3"/>
            <charset val="134"/>
          </rPr>
          <t>胡晓明:
如需要，请在此设置公式，引用至注释小表中期初/上期数的单元格。</t>
        </r>
      </text>
    </comment>
    <comment ref="S2620"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30" authorId="2" shapeId="0">
      <text>
        <r>
          <rPr>
            <b/>
            <sz val="9"/>
            <color indexed="81"/>
            <rFont val="宋体"/>
            <family val="3"/>
            <charset val="134"/>
          </rPr>
          <t>胡晓明:
如需要，请在此设置公式，引用至注释小表中期末/本期数的单元格。</t>
        </r>
      </text>
    </comment>
    <comment ref="N2630" authorId="2" shapeId="0">
      <text>
        <r>
          <rPr>
            <b/>
            <sz val="9"/>
            <color indexed="81"/>
            <rFont val="宋体"/>
            <family val="3"/>
            <charset val="134"/>
          </rPr>
          <t>胡晓明:
如需要，请在此设置公式，引用至注释小表中期初/上期数的单元格。</t>
        </r>
      </text>
    </comment>
    <comment ref="S2649"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5" authorId="0" shapeId="0">
      <text>
        <r>
          <rPr>
            <b/>
            <sz val="9"/>
            <color indexed="81"/>
            <rFont val="Tahoma"/>
            <family val="2"/>
          </rPr>
          <t>未解决注释间差异合计。
注：本表中的“差异”，如未 √ 以示确认，则为“未解决注释间差异（存疑差异）”。</t>
        </r>
      </text>
    </comment>
    <comment ref="N2707" authorId="2" shapeId="0">
      <text>
        <r>
          <rPr>
            <b/>
            <sz val="9"/>
            <color indexed="81"/>
            <rFont val="宋体"/>
            <family val="3"/>
            <charset val="134"/>
          </rPr>
          <t>胡晓明:
如需要，请在此设置公式，引用至注释小表中期初/上期数的单元格。</t>
        </r>
      </text>
    </comment>
    <comment ref="N2721" authorId="2" shapeId="0">
      <text>
        <r>
          <rPr>
            <b/>
            <sz val="9"/>
            <color indexed="81"/>
            <rFont val="宋体"/>
            <family val="3"/>
            <charset val="134"/>
          </rPr>
          <t>胡晓明:
如需要，请在此设置公式，引用至注释小表中期初/上期数的单元格。</t>
        </r>
      </text>
    </comment>
    <comment ref="N2735" authorId="2" shapeId="0">
      <text>
        <r>
          <rPr>
            <b/>
            <sz val="9"/>
            <color indexed="81"/>
            <rFont val="宋体"/>
            <family val="3"/>
            <charset val="134"/>
          </rPr>
          <t>胡晓明:
如需要，请在此设置公式，引用至注释小表中期初/上期数的单元格。</t>
        </r>
      </text>
    </comment>
    <comment ref="K2763" authorId="2" shapeId="0">
      <text>
        <r>
          <rPr>
            <b/>
            <sz val="9"/>
            <color indexed="81"/>
            <rFont val="宋体"/>
            <family val="3"/>
            <charset val="134"/>
          </rPr>
          <t>胡晓明:
如需要，请在此设置公式，引用至注释小表中期末/本期数的单元格。</t>
        </r>
      </text>
    </comment>
    <comment ref="N2763" authorId="2" shapeId="0">
      <text>
        <r>
          <rPr>
            <b/>
            <sz val="9"/>
            <color indexed="81"/>
            <rFont val="宋体"/>
            <family val="3"/>
            <charset val="134"/>
          </rPr>
          <t>胡晓明:
如需要，请在此设置公式，引用至注释小表中期初/上期数的单元格。</t>
        </r>
      </text>
    </comment>
    <comment ref="S2763"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3" authorId="2" shapeId="0">
      <text>
        <r>
          <rPr>
            <b/>
            <sz val="9"/>
            <color indexed="81"/>
            <rFont val="宋体"/>
            <family val="3"/>
            <charset val="134"/>
          </rPr>
          <t>胡晓明:
如需要，请在此设置公式，引用至注释小表中期末/本期数的单元格。</t>
        </r>
      </text>
    </comment>
    <comment ref="N2773" authorId="2" shapeId="0">
      <text>
        <r>
          <rPr>
            <b/>
            <sz val="9"/>
            <color indexed="81"/>
            <rFont val="宋体"/>
            <family val="3"/>
            <charset val="134"/>
          </rPr>
          <t>胡晓明:
如需要，请在此设置公式，引用至注释小表中期初/上期数的单元格。</t>
        </r>
      </text>
    </comment>
    <comment ref="S2773" authorId="1" shapeId="0">
      <text>
        <r>
          <rPr>
            <b/>
            <sz val="9"/>
            <color indexed="12"/>
            <rFont val="Tahoma"/>
            <family val="2"/>
          </rPr>
          <t>REAL Tips:
1</t>
        </r>
        <r>
          <rPr>
            <b/>
            <sz val="9"/>
            <color indexed="12"/>
            <rFont val="宋体"/>
            <family val="3"/>
            <charset val="134"/>
          </rPr>
          <t>、抵押、担保的固定资产情况</t>
        </r>
      </text>
    </comment>
    <comment ref="N2783" authorId="2" shapeId="0">
      <text>
        <r>
          <rPr>
            <b/>
            <sz val="9"/>
            <color indexed="81"/>
            <rFont val="宋体"/>
            <family val="3"/>
            <charset val="134"/>
          </rPr>
          <t>胡晓明:
如需要，请在此设置公式，引用至注释小表中期初/上期数的单元格。</t>
        </r>
      </text>
    </comment>
    <comment ref="S2812"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4" authorId="2" shapeId="0">
      <text>
        <r>
          <rPr>
            <b/>
            <sz val="9"/>
            <color indexed="81"/>
            <rFont val="宋体"/>
            <family val="3"/>
            <charset val="134"/>
          </rPr>
          <t>胡晓明:
如需要，请在此设置公式，引用至注释小表中期末/本期数的单元格。</t>
        </r>
      </text>
    </comment>
    <comment ref="N2864" authorId="2" shapeId="0">
      <text>
        <r>
          <rPr>
            <b/>
            <sz val="9"/>
            <color indexed="81"/>
            <rFont val="宋体"/>
            <family val="3"/>
            <charset val="134"/>
          </rPr>
          <t>胡晓明:
如需要，请在此设置公式，引用至注释小表中期初/上期数的单元格。</t>
        </r>
      </text>
    </comment>
    <comment ref="S2864"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7" authorId="0" shapeId="0">
      <text>
        <r>
          <rPr>
            <b/>
            <sz val="9"/>
            <color indexed="81"/>
            <rFont val="Tahoma"/>
            <family val="2"/>
          </rPr>
          <t>未解决注释间差异合计。
注：本表中的“差异”，如未 √ 以示确认，则为“未解决注释间差异（存疑差异）”。</t>
        </r>
      </text>
    </comment>
    <comment ref="N2899" authorId="2" shapeId="0">
      <text>
        <r>
          <rPr>
            <b/>
            <sz val="9"/>
            <color indexed="81"/>
            <rFont val="宋体"/>
            <family val="3"/>
            <charset val="134"/>
          </rPr>
          <t>胡晓明:
如需要，请在此设置公式，引用至注释小表中期初/上期数的单元格。</t>
        </r>
      </text>
    </comment>
    <comment ref="S2899"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21"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4"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3" authorId="0" shapeId="0">
      <text>
        <r>
          <rPr>
            <b/>
            <sz val="9"/>
            <color indexed="81"/>
            <rFont val="Tahoma"/>
            <family val="2"/>
          </rPr>
          <t>未解决注释间差异合计。
注：本表中的“差异”，如未 √ 以示确认，则为“未解决注释间差异（存疑差异）”。</t>
        </r>
      </text>
    </comment>
    <comment ref="N3115" authorId="2" shapeId="0">
      <text>
        <r>
          <rPr>
            <b/>
            <sz val="9"/>
            <color indexed="81"/>
            <rFont val="宋体"/>
            <family val="3"/>
            <charset val="134"/>
          </rPr>
          <t>胡晓明:
如需要，请在此设置公式，引用至注释小表中期初/上期数的单元格。</t>
        </r>
      </text>
    </comment>
    <comment ref="K3128" authorId="2" shapeId="0">
      <text>
        <r>
          <rPr>
            <b/>
            <sz val="9"/>
            <color indexed="81"/>
            <rFont val="宋体"/>
            <family val="3"/>
            <charset val="134"/>
          </rPr>
          <t>胡晓明:
如需要，请在此设置公式，引用至注释小表中期末/本期数的单元格。</t>
        </r>
      </text>
    </comment>
    <comment ref="N3128" authorId="2" shapeId="0">
      <text>
        <r>
          <rPr>
            <b/>
            <sz val="9"/>
            <color indexed="81"/>
            <rFont val="宋体"/>
            <family val="3"/>
            <charset val="134"/>
          </rPr>
          <t>胡晓明:
如需要，请在此设置公式，引用至注释小表中期初/上期数的单元格。</t>
        </r>
      </text>
    </comment>
    <comment ref="S3128"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8" authorId="2" shapeId="0">
      <text>
        <r>
          <rPr>
            <b/>
            <sz val="9"/>
            <color indexed="81"/>
            <rFont val="宋体"/>
            <family val="3"/>
            <charset val="134"/>
          </rPr>
          <t>胡晓明:
如需要，请在此设置公式，引用至注释小表中期初/上期数的单元格。</t>
        </r>
      </text>
    </comment>
    <comment ref="K3164" authorId="2" shapeId="0">
      <text>
        <r>
          <rPr>
            <b/>
            <sz val="9"/>
            <color indexed="81"/>
            <rFont val="宋体"/>
            <family val="3"/>
            <charset val="134"/>
          </rPr>
          <t>胡晓明:
如需要，请在此设置公式，引用至注释小表中期末/本期数的单元格。</t>
        </r>
      </text>
    </comment>
    <comment ref="N3164" authorId="2" shapeId="0">
      <text>
        <r>
          <rPr>
            <b/>
            <sz val="9"/>
            <color indexed="81"/>
            <rFont val="宋体"/>
            <family val="3"/>
            <charset val="134"/>
          </rPr>
          <t>胡晓明:
如需要，请在此设置公式，引用至注释小表中期初/上期数的单元格。</t>
        </r>
      </text>
    </comment>
    <comment ref="S3177"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90"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2"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7" authorId="2" shapeId="0">
      <text>
        <r>
          <rPr>
            <b/>
            <sz val="9"/>
            <color indexed="81"/>
            <rFont val="宋体"/>
            <family val="3"/>
            <charset val="134"/>
          </rPr>
          <t>胡晓明:
如需要，请在此设置公式，引用至注释小表中期末/本期数的单元格。</t>
        </r>
      </text>
    </comment>
    <comment ref="N3227" authorId="2" shapeId="0">
      <text>
        <r>
          <rPr>
            <b/>
            <sz val="9"/>
            <color indexed="81"/>
            <rFont val="宋体"/>
            <family val="3"/>
            <charset val="134"/>
          </rPr>
          <t>胡晓明:
如需要，请在此设置公式，引用至注释小表中期初/上期数的单元格。</t>
        </r>
      </text>
    </comment>
    <comment ref="K3271" authorId="2" shapeId="0">
      <text>
        <r>
          <rPr>
            <b/>
            <sz val="9"/>
            <color indexed="81"/>
            <rFont val="宋体"/>
            <family val="3"/>
            <charset val="134"/>
          </rPr>
          <t>胡晓明:
如需要，请在此设置公式，引用至注释小表中期末/本期数的单元格。</t>
        </r>
      </text>
    </comment>
    <comment ref="N3271" authorId="2" shapeId="0">
      <text>
        <r>
          <rPr>
            <b/>
            <sz val="9"/>
            <color indexed="81"/>
            <rFont val="宋体"/>
            <family val="3"/>
            <charset val="134"/>
          </rPr>
          <t>胡晓明:
如需要，请在此设置公式，引用至注释小表中期初/上期数的单元格。</t>
        </r>
      </text>
    </comment>
    <comment ref="K3278" authorId="2" shapeId="0">
      <text>
        <r>
          <rPr>
            <b/>
            <sz val="9"/>
            <color indexed="81"/>
            <rFont val="宋体"/>
            <family val="3"/>
            <charset val="134"/>
          </rPr>
          <t>胡晓明:
如需要，请在此设置公式，引用至注释小表中期末/本期数的单元格。</t>
        </r>
      </text>
    </comment>
    <comment ref="N3278" authorId="2" shapeId="0">
      <text>
        <r>
          <rPr>
            <b/>
            <sz val="9"/>
            <color indexed="81"/>
            <rFont val="宋体"/>
            <family val="3"/>
            <charset val="134"/>
          </rPr>
          <t>胡晓明:
如需要，请在此设置公式，引用至注释小表中期初/上期数的单元格。</t>
        </r>
      </text>
    </comment>
    <comment ref="S3278"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8"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5" authorId="3" shapeId="0">
      <text>
        <r>
          <rPr>
            <b/>
            <sz val="9"/>
            <rFont val="Tahoma"/>
            <family val="2"/>
          </rPr>
          <t>未解决注释间差异合计。
注：本表中的“差异”，如未 √ 以示确认，则为“未解决注释间差异（存疑差异）”。</t>
        </r>
      </text>
    </comment>
    <comment ref="N3331" authorId="2" shapeId="0">
      <text>
        <r>
          <rPr>
            <b/>
            <sz val="9"/>
            <color indexed="81"/>
            <rFont val="宋体"/>
            <family val="3"/>
            <charset val="134"/>
          </rPr>
          <t>胡晓明:
如需要，请在此设置公式，引用至注释小表中期初/上期数的单元格。</t>
        </r>
      </text>
    </comment>
    <comment ref="N3341" authorId="2" shapeId="0">
      <text>
        <r>
          <rPr>
            <b/>
            <sz val="9"/>
            <color indexed="81"/>
            <rFont val="宋体"/>
            <family val="3"/>
            <charset val="134"/>
          </rPr>
          <t>胡晓明:
如需要，请在此设置公式，引用至注释小表中期初/上期数的单元格。</t>
        </r>
      </text>
    </comment>
    <comment ref="N3351" authorId="2" shapeId="0">
      <text>
        <r>
          <rPr>
            <b/>
            <sz val="9"/>
            <color indexed="81"/>
            <rFont val="宋体"/>
            <family val="3"/>
            <charset val="134"/>
          </rPr>
          <t>胡晓明:
如需要，请在此设置公式，引用至注释小表中期初/上期数的单元格。</t>
        </r>
      </text>
    </comment>
    <comment ref="N3361" authorId="2" shapeId="0">
      <text>
        <r>
          <rPr>
            <b/>
            <sz val="9"/>
            <color indexed="81"/>
            <rFont val="宋体"/>
            <family val="3"/>
            <charset val="134"/>
          </rPr>
          <t>胡晓明:
如需要，请在此设置公式，引用至注释小表中期初/上期数的单元格。</t>
        </r>
      </text>
    </comment>
    <comment ref="S3361"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11"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3"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71" authorId="0" shapeId="0">
      <text>
        <r>
          <rPr>
            <b/>
            <sz val="9"/>
            <color indexed="81"/>
            <rFont val="Tahoma"/>
            <family val="2"/>
          </rPr>
          <t>未解决注释间差异合计。
注：本表中的“差异”，如未 √ 以示确认，则为“未解决注释间差异（存疑差异）”。</t>
        </r>
      </text>
    </comment>
    <comment ref="N3473" authorId="2" shapeId="0">
      <text>
        <r>
          <rPr>
            <b/>
            <sz val="9"/>
            <color indexed="81"/>
            <rFont val="宋体"/>
            <family val="3"/>
            <charset val="134"/>
          </rPr>
          <t>胡晓明:
如需要，请在此设置公式，引用至注释小表中期初/上期数的单元格。</t>
        </r>
      </text>
    </comment>
    <comment ref="N3483" authorId="2" shapeId="0">
      <text>
        <r>
          <rPr>
            <b/>
            <sz val="9"/>
            <color indexed="81"/>
            <rFont val="宋体"/>
            <family val="3"/>
            <charset val="134"/>
          </rPr>
          <t>胡晓明:
如需要，请在此设置公式，引用至注释小表中期初/上期数的单元格。</t>
        </r>
      </text>
    </comment>
    <comment ref="K3493" authorId="2" shapeId="0">
      <text>
        <r>
          <rPr>
            <b/>
            <sz val="9"/>
            <color indexed="81"/>
            <rFont val="宋体"/>
            <family val="3"/>
            <charset val="134"/>
          </rPr>
          <t>胡晓明:
如需要，请在此设置公式，引用至注释小表中期末/本期数的单元格。</t>
        </r>
      </text>
    </comment>
    <comment ref="N3493" authorId="2" shapeId="0">
      <text>
        <r>
          <rPr>
            <b/>
            <sz val="9"/>
            <color indexed="81"/>
            <rFont val="宋体"/>
            <family val="3"/>
            <charset val="134"/>
          </rPr>
          <t>胡晓明:
如需要，请在此设置公式，引用至注释小表中期初/上期数的单元格。</t>
        </r>
      </text>
    </comment>
    <comment ref="N3503" authorId="2" shapeId="0">
      <text>
        <r>
          <rPr>
            <b/>
            <sz val="9"/>
            <color indexed="81"/>
            <rFont val="宋体"/>
            <family val="3"/>
            <charset val="134"/>
          </rPr>
          <t>胡晓明:
如需要，请在此设置公式，引用至注释小表中期初/上期数的单元格。</t>
        </r>
      </text>
    </comment>
    <comment ref="N3513" authorId="2" shapeId="0">
      <text>
        <r>
          <rPr>
            <b/>
            <sz val="9"/>
            <color indexed="81"/>
            <rFont val="宋体"/>
            <family val="3"/>
            <charset val="134"/>
          </rPr>
          <t>胡晓明:
如需要，请在此设置公式，引用至注释小表中期初/上期数的单元格。</t>
        </r>
      </text>
    </comment>
    <comment ref="G3558" authorId="0" shapeId="0">
      <text>
        <r>
          <rPr>
            <b/>
            <sz val="9"/>
            <color indexed="81"/>
            <rFont val="Tahoma"/>
            <family val="2"/>
          </rPr>
          <t>未解决注释间差异合计。
注：本表中的“差异”，如未 √ 以示确认，则为“未解决注释间差异（存疑差异）”。</t>
        </r>
      </text>
    </comment>
    <comment ref="N3560" authorId="2" shapeId="0">
      <text>
        <r>
          <rPr>
            <b/>
            <sz val="9"/>
            <color indexed="81"/>
            <rFont val="宋体"/>
            <family val="3"/>
            <charset val="134"/>
          </rPr>
          <t>胡晓明:
如需要，请在此设置公式，引用至注释小表中期初/上期数的单元格。</t>
        </r>
      </text>
    </comment>
    <comment ref="N3570" authorId="2" shapeId="0">
      <text>
        <r>
          <rPr>
            <b/>
            <sz val="9"/>
            <color indexed="81"/>
            <rFont val="宋体"/>
            <family val="3"/>
            <charset val="134"/>
          </rPr>
          <t>胡晓明:
如需要，请在此设置公式，引用至注释小表中期初/上期数的单元格。</t>
        </r>
      </text>
    </comment>
    <comment ref="S3570"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3"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4"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5"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6"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80" authorId="1" shapeId="0">
      <text>
        <r>
          <rPr>
            <b/>
            <sz val="9"/>
            <color indexed="12"/>
            <rFont val="Tahoma"/>
            <family val="2"/>
          </rPr>
          <t>REAL Tips:
1</t>
        </r>
        <r>
          <rPr>
            <b/>
            <sz val="9"/>
            <color indexed="12"/>
            <rFont val="宋体"/>
            <family val="3"/>
            <charset val="134"/>
          </rPr>
          <t>、房地产开发企业增加披露本表</t>
        </r>
      </text>
    </comment>
    <comment ref="K3590" authorId="2" shapeId="0">
      <text>
        <r>
          <rPr>
            <b/>
            <sz val="9"/>
            <color indexed="81"/>
            <rFont val="宋体"/>
            <family val="3"/>
            <charset val="134"/>
          </rPr>
          <t>胡晓明:
如需要，请在此设置公式，引用至注释小表中期末/本期数的单元格。</t>
        </r>
      </text>
    </comment>
    <comment ref="N3590" authorId="2" shapeId="0">
      <text>
        <r>
          <rPr>
            <b/>
            <sz val="9"/>
            <color indexed="81"/>
            <rFont val="宋体"/>
            <family val="3"/>
            <charset val="134"/>
          </rPr>
          <t>胡晓明:
如需要，请在此设置公式，引用至注释小表中期初/上期数的单元格。</t>
        </r>
      </text>
    </comment>
    <comment ref="N3600" authorId="2" shapeId="0">
      <text>
        <r>
          <rPr>
            <b/>
            <sz val="9"/>
            <color indexed="81"/>
            <rFont val="宋体"/>
            <family val="3"/>
            <charset val="134"/>
          </rPr>
          <t>胡晓明:
如需要，请在此设置公式，引用至注释小表中期初/上期数的单元格。</t>
        </r>
      </text>
    </comment>
    <comment ref="S3619"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20"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30"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7" authorId="0" shapeId="0">
      <text>
        <r>
          <rPr>
            <b/>
            <sz val="9"/>
            <color indexed="81"/>
            <rFont val="Tahoma"/>
            <family val="2"/>
          </rPr>
          <t>未解决注释间差异合计。
注：本表中的“差异”，如未 √ 以示确认，则为“未解决注释间差异（存疑差异）”。</t>
        </r>
      </text>
    </comment>
    <comment ref="S3659"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81" authorId="0" shapeId="0">
      <text>
        <r>
          <rPr>
            <b/>
            <sz val="9"/>
            <color indexed="81"/>
            <rFont val="Tahoma"/>
            <family val="2"/>
          </rPr>
          <t>未解决注释间差异合计。
注：本表中的“差异”，如未 √ 以示确认，则为“未解决注释间差异（存疑差异）”。</t>
        </r>
      </text>
    </comment>
    <comment ref="S368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5"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9"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8"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2" authorId="2" shapeId="0">
      <text>
        <r>
          <rPr>
            <b/>
            <sz val="9"/>
            <color indexed="81"/>
            <rFont val="宋体"/>
            <family val="3"/>
            <charset val="134"/>
          </rPr>
          <t>胡晓明:
如需要，请在此设置公式，引用至注释小表中期末/本期数的单元格。</t>
        </r>
      </text>
    </comment>
    <comment ref="N3792" authorId="2" shapeId="0">
      <text>
        <r>
          <rPr>
            <b/>
            <sz val="9"/>
            <color indexed="81"/>
            <rFont val="宋体"/>
            <family val="3"/>
            <charset val="134"/>
          </rPr>
          <t>胡晓明:
如需要，请在此设置公式，引用至注释小表中期初/上期数的单元格。</t>
        </r>
      </text>
    </comment>
    <comment ref="N3820" authorId="2" shapeId="0">
      <text>
        <r>
          <rPr>
            <b/>
            <sz val="9"/>
            <color indexed="81"/>
            <rFont val="宋体"/>
            <family val="3"/>
            <charset val="134"/>
          </rPr>
          <t>胡晓明:
如需要，请在此设置公式，引用至注释小表中期初/上期数的单元格。</t>
        </r>
      </text>
    </comment>
    <comment ref="G3856" authorId="0" shapeId="0">
      <text>
        <r>
          <rPr>
            <b/>
            <sz val="9"/>
            <color indexed="81"/>
            <rFont val="Tahoma"/>
            <family val="2"/>
          </rPr>
          <t>未解决注释间差异合计。
注：本表中的“差异”，如未 √ 以示确认，则为“未解决注释间差异（存疑差异）”。</t>
        </r>
      </text>
    </comment>
    <comment ref="N3858" authorId="2" shapeId="0">
      <text>
        <r>
          <rPr>
            <b/>
            <sz val="9"/>
            <color indexed="81"/>
            <rFont val="宋体"/>
            <family val="3"/>
            <charset val="134"/>
          </rPr>
          <t>胡晓明:
如需要，请在此设置公式，引用至注释小表中期初/上期数的单元格。</t>
        </r>
      </text>
    </comment>
    <comment ref="N3868" authorId="2" shapeId="0">
      <text>
        <r>
          <rPr>
            <b/>
            <sz val="9"/>
            <color indexed="81"/>
            <rFont val="宋体"/>
            <family val="3"/>
            <charset val="134"/>
          </rPr>
          <t>胡晓明:
如需要，请在此设置公式，引用至注释小表中期初/上期数的单元格。</t>
        </r>
      </text>
    </comment>
    <comment ref="N3878" authorId="2" shapeId="0">
      <text>
        <r>
          <rPr>
            <b/>
            <sz val="9"/>
            <color indexed="81"/>
            <rFont val="宋体"/>
            <family val="3"/>
            <charset val="134"/>
          </rPr>
          <t>胡晓明:
如需要，请在此设置公式，引用至注释小表中期初/上期数的单元格。</t>
        </r>
      </text>
    </comment>
    <comment ref="K3888" authorId="2" shapeId="0">
      <text>
        <r>
          <rPr>
            <b/>
            <sz val="9"/>
            <color indexed="81"/>
            <rFont val="宋体"/>
            <family val="3"/>
            <charset val="134"/>
          </rPr>
          <t>胡晓明:
如需要，请在此设置公式，引用至注释小表中期末/本期数的单元格。</t>
        </r>
      </text>
    </comment>
    <comment ref="N3888" authorId="2" shapeId="0">
      <text>
        <r>
          <rPr>
            <b/>
            <sz val="9"/>
            <color indexed="81"/>
            <rFont val="宋体"/>
            <family val="3"/>
            <charset val="134"/>
          </rPr>
          <t>胡晓明:
如需要，请在此设置公式，引用至注释小表中期初/上期数的单元格。</t>
        </r>
      </text>
    </comment>
    <comment ref="N3898" authorId="2" shapeId="0">
      <text>
        <r>
          <rPr>
            <b/>
            <sz val="9"/>
            <color indexed="81"/>
            <rFont val="宋体"/>
            <family val="3"/>
            <charset val="134"/>
          </rPr>
          <t>胡晓明:
如需要，请在此设置公式，引用至注释小表中期初/上期数的单元格。</t>
        </r>
      </text>
    </comment>
    <comment ref="S3970"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6" authorId="1" shapeId="0">
      <text>
        <r>
          <rPr>
            <b/>
            <sz val="9"/>
            <rFont val="Tahoma"/>
            <family val="2"/>
          </rPr>
          <t>未解决注释间差异合计。
注：本表中的“差异”，如未 √ 以示确认，则为“未解决注释间差异（存疑差异）”。</t>
        </r>
      </text>
    </comment>
    <comment ref="N4012" authorId="2" shapeId="0">
      <text>
        <r>
          <rPr>
            <b/>
            <sz val="9"/>
            <color indexed="81"/>
            <rFont val="宋体"/>
            <family val="3"/>
            <charset val="134"/>
          </rPr>
          <t>胡晓明:
如需要，请在此设置公式，引用至注释小表中期初/上期数的单元格。</t>
        </r>
      </text>
    </comment>
    <comment ref="N4022" authorId="2" shapeId="0">
      <text>
        <r>
          <rPr>
            <b/>
            <sz val="9"/>
            <color indexed="81"/>
            <rFont val="宋体"/>
            <family val="3"/>
            <charset val="134"/>
          </rPr>
          <t>胡晓明:
如需要，请在此设置公式，引用至注释小表中期初/上期数的单元格。</t>
        </r>
      </text>
    </comment>
    <comment ref="N4032" authorId="2" shapeId="0">
      <text>
        <r>
          <rPr>
            <b/>
            <sz val="9"/>
            <color indexed="81"/>
            <rFont val="宋体"/>
            <family val="3"/>
            <charset val="134"/>
          </rPr>
          <t>胡晓明:
如需要，请在此设置公式，引用至注释小表中期初/上期数的单元格。</t>
        </r>
      </text>
    </comment>
    <comment ref="S4052"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3"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6" authorId="2" shapeId="0">
      <text>
        <r>
          <rPr>
            <b/>
            <sz val="9"/>
            <color indexed="81"/>
            <rFont val="宋体"/>
            <family val="3"/>
            <charset val="134"/>
          </rPr>
          <t>胡晓明:
如需要，请在此设置公式，引用至注释小表中期初/上期数的单元格。</t>
        </r>
      </text>
    </comment>
    <comment ref="S4076"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6" authorId="0" shapeId="0">
      <text>
        <r>
          <rPr>
            <b/>
            <sz val="9"/>
            <color indexed="81"/>
            <rFont val="Tahoma"/>
            <family val="2"/>
          </rPr>
          <t>未解决注释间差异合计。
注：本表中的“差异”，如未 √ 以示确认，则为“未解决注释间差异（存疑差异）”。</t>
        </r>
      </text>
    </comment>
    <comment ref="N4138" authorId="2" shapeId="0">
      <text>
        <r>
          <rPr>
            <b/>
            <sz val="9"/>
            <color indexed="81"/>
            <rFont val="宋体"/>
            <family val="3"/>
            <charset val="134"/>
          </rPr>
          <t>胡晓明:
如需要，请在此设置公式，引用至注释小表中期初/上期数的单元格。</t>
        </r>
      </text>
    </comment>
    <comment ref="S4149"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9" authorId="2" shapeId="0">
      <text>
        <r>
          <rPr>
            <b/>
            <sz val="9"/>
            <color indexed="81"/>
            <rFont val="宋体"/>
            <family val="3"/>
            <charset val="134"/>
          </rPr>
          <t>胡晓明:
如需要，请在此设置公式，引用至注释小表中期初/上期数的单元格。</t>
        </r>
      </text>
    </comment>
    <comment ref="K4180" authorId="2" shapeId="0">
      <text>
        <r>
          <rPr>
            <b/>
            <sz val="9"/>
            <color indexed="81"/>
            <rFont val="宋体"/>
            <family val="3"/>
            <charset val="134"/>
          </rPr>
          <t>胡晓明:
如需要，请在此设置公式，引用至注释小表中期末/本期数的单元格。</t>
        </r>
      </text>
    </comment>
    <comment ref="N4180" authorId="2" shapeId="0">
      <text>
        <r>
          <rPr>
            <b/>
            <sz val="9"/>
            <color indexed="81"/>
            <rFont val="宋体"/>
            <family val="3"/>
            <charset val="134"/>
          </rPr>
          <t>胡晓明:
如需要，请在此设置公式，引用至注释小表中期初/上期数的单元格。</t>
        </r>
      </text>
    </comment>
    <comment ref="K4200" authorId="2" shapeId="0">
      <text>
        <r>
          <rPr>
            <b/>
            <sz val="9"/>
            <color indexed="81"/>
            <rFont val="宋体"/>
            <family val="3"/>
            <charset val="134"/>
          </rPr>
          <t>胡晓明:
如需要，请在此设置公式，引用至注释小表中期末/本期数的单元格。</t>
        </r>
      </text>
    </comment>
    <comment ref="N4200" authorId="2" shapeId="0">
      <text>
        <r>
          <rPr>
            <b/>
            <sz val="9"/>
            <color indexed="81"/>
            <rFont val="宋体"/>
            <family val="3"/>
            <charset val="134"/>
          </rPr>
          <t>胡晓明:
如需要，请在此设置公式，引用至注释小表中期初/上期数的单元格。</t>
        </r>
      </text>
    </comment>
    <comment ref="S4200"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5" authorId="2" shapeId="0">
      <text>
        <r>
          <rPr>
            <b/>
            <sz val="9"/>
            <color indexed="81"/>
            <rFont val="宋体"/>
            <family val="3"/>
            <charset val="134"/>
          </rPr>
          <t>胡晓明:
如需要，请在此设置公式，引用至注释小表中期末/本期数的单元格。</t>
        </r>
      </text>
    </comment>
    <comment ref="N4215" authorId="2" shapeId="0">
      <text>
        <r>
          <rPr>
            <b/>
            <sz val="9"/>
            <color indexed="81"/>
            <rFont val="宋体"/>
            <family val="3"/>
            <charset val="134"/>
          </rPr>
          <t>胡晓明:
如需要，请在此设置公式，引用至注释小表中期初/上期数的单元格。</t>
        </r>
      </text>
    </comment>
    <comment ref="S4215"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4" authorId="2" shapeId="0">
      <text>
        <r>
          <rPr>
            <b/>
            <sz val="9"/>
            <color indexed="81"/>
            <rFont val="宋体"/>
            <family val="3"/>
            <charset val="134"/>
          </rPr>
          <t>胡晓明:
如需要，请在此设置公式，引用至注释小表中期末/本期数的单元格。</t>
        </r>
      </text>
    </comment>
    <comment ref="N4224" authorId="2" shapeId="0">
      <text>
        <r>
          <rPr>
            <b/>
            <sz val="9"/>
            <color indexed="81"/>
            <rFont val="宋体"/>
            <family val="3"/>
            <charset val="134"/>
          </rPr>
          <t>胡晓明:
如需要，请在此设置公式，引用至注释小表中期初/上期数的单元格。</t>
        </r>
      </text>
    </comment>
    <comment ref="S4226"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5" authorId="2" shapeId="0">
      <text>
        <r>
          <rPr>
            <b/>
            <sz val="9"/>
            <color indexed="81"/>
            <rFont val="宋体"/>
            <family val="3"/>
            <charset val="134"/>
          </rPr>
          <t>胡晓明:
如需要，请在此设置公式，引用至注释小表中期末/本期数的单元格。</t>
        </r>
      </text>
    </comment>
    <comment ref="N4235" authorId="2" shapeId="0">
      <text>
        <r>
          <rPr>
            <b/>
            <sz val="9"/>
            <color indexed="81"/>
            <rFont val="宋体"/>
            <family val="3"/>
            <charset val="134"/>
          </rPr>
          <t>胡晓明:
如需要，请在此设置公式，引用至注释小表中期初/上期数的单元格。</t>
        </r>
      </text>
    </comment>
    <comment ref="S4235"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9" authorId="1" shapeId="0">
      <text>
        <r>
          <rPr>
            <b/>
            <sz val="9"/>
            <color indexed="12"/>
            <rFont val="Tahoma"/>
            <family val="2"/>
          </rPr>
          <t>REAL Tips:
1</t>
        </r>
        <r>
          <rPr>
            <b/>
            <sz val="9"/>
            <color indexed="12"/>
            <rFont val="宋体"/>
            <family val="3"/>
            <charset val="134"/>
          </rPr>
          <t>、重要的预计负债，应披露相关重要假设、估计。</t>
        </r>
      </text>
    </comment>
    <comment ref="S4263"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71" authorId="2" shapeId="0">
      <text>
        <r>
          <rPr>
            <b/>
            <sz val="9"/>
            <color indexed="81"/>
            <rFont val="宋体"/>
            <family val="3"/>
            <charset val="134"/>
          </rPr>
          <t>胡晓明:
如需要，请在此设置公式，引用至注释小表中期末/本期数的单元格。</t>
        </r>
      </text>
    </comment>
    <comment ref="N4271" authorId="2" shapeId="0">
      <text>
        <r>
          <rPr>
            <b/>
            <sz val="9"/>
            <color indexed="81"/>
            <rFont val="宋体"/>
            <family val="3"/>
            <charset val="134"/>
          </rPr>
          <t>胡晓明:
如需要，请在此设置公式，引用至注释小表中期初/上期数的单元格。</t>
        </r>
      </text>
    </comment>
    <comment ref="S4271"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6" authorId="0" shapeId="0">
      <text>
        <r>
          <rPr>
            <b/>
            <sz val="9"/>
            <color indexed="81"/>
            <rFont val="Tahoma"/>
            <family val="2"/>
          </rPr>
          <t>未解决注释间差异合计。
注：本表中的“差异”，如未 √ 以示确认，则为“未解决注释间差异（存疑差异）”。</t>
        </r>
      </text>
    </comment>
    <comment ref="K4310" authorId="2" shapeId="0">
      <text>
        <r>
          <rPr>
            <b/>
            <sz val="9"/>
            <color indexed="81"/>
            <rFont val="宋体"/>
            <family val="3"/>
            <charset val="134"/>
          </rPr>
          <t>胡晓明:
如需要，请在此设置公式，引用至注释小表中期末/本期数的单元格。</t>
        </r>
      </text>
    </comment>
    <comment ref="N4310" authorId="2" shapeId="0">
      <text>
        <r>
          <rPr>
            <b/>
            <sz val="9"/>
            <color indexed="81"/>
            <rFont val="宋体"/>
            <family val="3"/>
            <charset val="134"/>
          </rPr>
          <t>胡晓明:
如需要，请在此设置公式，引用至注释小表中期初/上期数的单元格。</t>
        </r>
      </text>
    </comment>
    <comment ref="S4310"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2" authorId="2" shapeId="0">
      <text>
        <r>
          <rPr>
            <b/>
            <sz val="9"/>
            <color indexed="81"/>
            <rFont val="宋体"/>
            <family val="3"/>
            <charset val="134"/>
          </rPr>
          <t>胡晓明:
如需要，请在此设置公式，引用至注释小表中期初/上期数的单元格。</t>
        </r>
      </text>
    </comment>
    <comment ref="S4332"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2"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2"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4"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7"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7"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8"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5" authorId="1" shapeId="0">
      <text>
        <r>
          <rPr>
            <b/>
            <sz val="9"/>
            <color indexed="12"/>
            <rFont val="Tahoma"/>
            <family val="2"/>
          </rPr>
          <t>REAL Tips:
1</t>
        </r>
        <r>
          <rPr>
            <b/>
            <sz val="9"/>
            <color indexed="12"/>
            <rFont val="宋体"/>
            <family val="3"/>
            <charset val="134"/>
          </rPr>
          <t>、专项储备的变动情况、变动原因</t>
        </r>
      </text>
    </comment>
    <comment ref="G4446" authorId="1" shapeId="0">
      <text>
        <r>
          <rPr>
            <b/>
            <sz val="9"/>
            <color indexed="12"/>
            <rFont val="Tahoma"/>
            <family val="2"/>
          </rPr>
          <t xml:space="preserve">WPE Tips:
</t>
        </r>
        <r>
          <rPr>
            <b/>
            <sz val="9"/>
            <color indexed="12"/>
            <rFont val="宋体"/>
            <family val="3"/>
            <charset val="134"/>
          </rPr>
          <t>请注明具体项目</t>
        </r>
      </text>
    </comment>
    <comment ref="S4451" authorId="1" shapeId="0">
      <text>
        <r>
          <rPr>
            <b/>
            <sz val="9"/>
            <color indexed="12"/>
            <rFont val="Tahoma"/>
            <family val="2"/>
          </rPr>
          <t>REAL Tips:
1</t>
        </r>
        <r>
          <rPr>
            <b/>
            <sz val="9"/>
            <color indexed="12"/>
            <rFont val="宋体"/>
            <family val="3"/>
            <charset val="134"/>
          </rPr>
          <t>、一般风险准备情况说明</t>
        </r>
      </text>
    </comment>
    <comment ref="G4463" authorId="1" shapeId="0">
      <text>
        <r>
          <rPr>
            <b/>
            <sz val="9"/>
            <color indexed="12"/>
            <rFont val="Tahoma"/>
            <family val="2"/>
          </rPr>
          <t xml:space="preserve">WPE Tips:
</t>
        </r>
        <r>
          <rPr>
            <b/>
            <sz val="9"/>
            <color indexed="12"/>
            <rFont val="宋体"/>
            <family val="3"/>
            <charset val="134"/>
          </rPr>
          <t>本行被其他表链接，莫删莫删！</t>
        </r>
      </text>
    </comment>
    <comment ref="N4476" authorId="2" shapeId="0">
      <text>
        <r>
          <rPr>
            <b/>
            <sz val="9"/>
            <color indexed="81"/>
            <rFont val="宋体"/>
            <family val="3"/>
            <charset val="134"/>
          </rPr>
          <t>胡晓明:
如需要，请在此设置公式，引用至注释小表中期初/上期数的单元格。</t>
        </r>
      </text>
    </comment>
    <comment ref="S4476"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8" authorId="1" shapeId="0">
      <text>
        <r>
          <rPr>
            <b/>
            <sz val="9"/>
            <color indexed="12"/>
            <rFont val="Tahoma"/>
            <family val="2"/>
          </rPr>
          <t>REAL Tips:
1</t>
        </r>
        <r>
          <rPr>
            <b/>
            <sz val="9"/>
            <color indexed="12"/>
            <rFont val="宋体"/>
            <family val="3"/>
            <charset val="134"/>
          </rPr>
          <t>、如果企业没有报告分部，应在此处增加披露</t>
        </r>
      </text>
    </comment>
    <comment ref="G4540" authorId="1" shapeId="0">
      <text>
        <r>
          <rPr>
            <b/>
            <sz val="9"/>
            <rFont val="Tahoma"/>
            <family val="2"/>
          </rPr>
          <t>未解决注释间差异合计。
注：本表中的“差异”，如未 √ 以示确认，则为“未解决注释间差异（存疑差异）”。</t>
        </r>
      </text>
    </comment>
    <comment ref="S4542" authorId="1" shapeId="0">
      <text>
        <r>
          <rPr>
            <b/>
            <sz val="9"/>
            <color indexed="12"/>
            <rFont val="Tahoma"/>
            <family val="2"/>
          </rPr>
          <t>REAL Tips:
1</t>
        </r>
        <r>
          <rPr>
            <b/>
            <sz val="9"/>
            <color indexed="12"/>
            <rFont val="宋体"/>
            <family val="3"/>
            <charset val="134"/>
          </rPr>
          <t>、如果企业没有报告分部，应在此处增加披露</t>
        </r>
      </text>
    </comment>
    <comment ref="G4563" authorId="1" shapeId="0">
      <text>
        <r>
          <rPr>
            <b/>
            <sz val="9"/>
            <rFont val="Tahoma"/>
            <family val="2"/>
          </rPr>
          <t>未解决注释间差异合计。
注：本表中的“差异”，如未 √ 以示确认，则为“未解决注释间差异（存疑差异）”。</t>
        </r>
      </text>
    </comment>
    <comment ref="S4565" authorId="1" shapeId="0">
      <text>
        <r>
          <rPr>
            <b/>
            <sz val="9"/>
            <color indexed="12"/>
            <rFont val="Tahoma"/>
            <family val="2"/>
          </rPr>
          <t>REAL Tips:
1</t>
        </r>
        <r>
          <rPr>
            <b/>
            <sz val="9"/>
            <color indexed="12"/>
            <rFont val="宋体"/>
            <family val="3"/>
            <charset val="134"/>
          </rPr>
          <t>、如果企业没有报告分部，应在此处增加披露</t>
        </r>
      </text>
    </comment>
    <comment ref="G4582" authorId="1" shapeId="0">
      <text>
        <r>
          <rPr>
            <b/>
            <sz val="9"/>
            <rFont val="Tahoma"/>
            <family val="2"/>
          </rPr>
          <t>未解决注释间差异合计。
注：本表中的“差异”，如未 √ 以示确认，则为“未解决注释间差异（存疑差异）”。</t>
        </r>
      </text>
    </comment>
    <comment ref="K4584" authorId="2" shapeId="0">
      <text>
        <r>
          <rPr>
            <b/>
            <sz val="9"/>
            <color indexed="81"/>
            <rFont val="宋体"/>
            <family val="3"/>
            <charset val="134"/>
          </rPr>
          <t>胡晓明:
如需要，请在此设置公式，引用至注释小表中期末/本期数的单元格。</t>
        </r>
      </text>
    </comment>
    <comment ref="N4584" authorId="2" shapeId="0">
      <text>
        <r>
          <rPr>
            <b/>
            <sz val="9"/>
            <color indexed="81"/>
            <rFont val="宋体"/>
            <family val="3"/>
            <charset val="134"/>
          </rPr>
          <t>胡晓明:
如需要，请在此设置公式，引用至注释小表中期初/上期数的单元格。</t>
        </r>
      </text>
    </comment>
    <comment ref="K4599" authorId="2" shapeId="0">
      <text>
        <r>
          <rPr>
            <b/>
            <sz val="9"/>
            <color indexed="81"/>
            <rFont val="宋体"/>
            <family val="3"/>
            <charset val="134"/>
          </rPr>
          <t>胡晓明:
如需要，请在此设置公式，引用至注释小表中期末/本期数的单元格。</t>
        </r>
      </text>
    </comment>
    <comment ref="N4599" authorId="2" shapeId="0">
      <text>
        <r>
          <rPr>
            <b/>
            <sz val="9"/>
            <color indexed="81"/>
            <rFont val="宋体"/>
            <family val="3"/>
            <charset val="134"/>
          </rPr>
          <t>胡晓明:
如需要，请在此设置公式，引用至注释小表中期初/上期数的单元格。</t>
        </r>
      </text>
    </comment>
    <comment ref="S4665" authorId="1" shapeId="0">
      <text>
        <r>
          <rPr>
            <b/>
            <sz val="9"/>
            <color indexed="12"/>
            <rFont val="Tahoma"/>
            <family val="2"/>
          </rPr>
          <t>REAL Tips:
1</t>
        </r>
        <r>
          <rPr>
            <b/>
            <sz val="9"/>
            <color indexed="12"/>
            <rFont val="宋体"/>
            <family val="3"/>
            <charset val="134"/>
          </rPr>
          <t>、按费用性质列示</t>
        </r>
      </text>
    </comment>
    <comment ref="S4685" authorId="1" shapeId="0">
      <text>
        <r>
          <rPr>
            <b/>
            <sz val="9"/>
            <color indexed="12"/>
            <rFont val="Tahoma"/>
            <family val="2"/>
          </rPr>
          <t>REAL Tips:
1</t>
        </r>
        <r>
          <rPr>
            <b/>
            <sz val="9"/>
            <color indexed="12"/>
            <rFont val="宋体"/>
            <family val="3"/>
            <charset val="134"/>
          </rPr>
          <t>、按费用性质列示</t>
        </r>
      </text>
    </comment>
    <comment ref="S4696" authorId="1" shapeId="0">
      <text>
        <r>
          <rPr>
            <b/>
            <sz val="9"/>
            <color indexed="12"/>
            <rFont val="Tahoma"/>
            <family val="2"/>
          </rPr>
          <t>REAL Tips:
1</t>
        </r>
        <r>
          <rPr>
            <b/>
            <sz val="9"/>
            <color indexed="12"/>
            <rFont val="宋体"/>
            <family val="3"/>
            <charset val="134"/>
          </rPr>
          <t>、按费用性质列示</t>
        </r>
      </text>
    </comment>
    <comment ref="S4716" authorId="1" shapeId="0">
      <text>
        <r>
          <rPr>
            <b/>
            <sz val="9"/>
            <color indexed="12"/>
            <rFont val="Tahoma"/>
            <family val="2"/>
          </rPr>
          <t>REAL Tips:
1</t>
        </r>
        <r>
          <rPr>
            <b/>
            <sz val="9"/>
            <color indexed="12"/>
            <rFont val="宋体"/>
            <family val="3"/>
            <charset val="134"/>
          </rPr>
          <t>、按费用性质列示</t>
        </r>
      </text>
    </comment>
    <comment ref="S4752"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7"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8" authorId="0" shapeId="0">
      <text>
        <r>
          <rPr>
            <b/>
            <sz val="9"/>
            <color indexed="81"/>
            <rFont val="Tahoma"/>
            <family val="2"/>
          </rPr>
          <t>未解决注释间差异合计。
注：本表中的“差异”，如未 √ 以示确认，则为“未解决注释间差异（存疑差异）”。</t>
        </r>
      </text>
    </comment>
    <comment ref="S4928"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3" authorId="1" shapeId="0">
      <text>
        <r>
          <rPr>
            <b/>
            <sz val="9"/>
            <rFont val="Tahoma"/>
            <family val="2"/>
          </rPr>
          <t>未解决注释间差异合计。
注：本表中的“差异”，如未 √ 以示确认，则为“未解决注释间差异（存疑差异）”。</t>
        </r>
      </text>
    </comment>
    <comment ref="K5000" authorId="2" shapeId="0">
      <text>
        <r>
          <rPr>
            <b/>
            <sz val="9"/>
            <color indexed="81"/>
            <rFont val="宋体"/>
            <family val="3"/>
            <charset val="134"/>
          </rPr>
          <t>胡晓明:
如需要，请在此设置公式，引用至注释小表中期末/本期数的单元格。</t>
        </r>
      </text>
    </comment>
    <comment ref="N5000" authorId="2" shapeId="0">
      <text>
        <r>
          <rPr>
            <b/>
            <sz val="9"/>
            <color indexed="81"/>
            <rFont val="宋体"/>
            <family val="3"/>
            <charset val="134"/>
          </rPr>
          <t>胡晓明:
如需要，请在此设置公式，引用至注释小表中期初/上期数的单元格。</t>
        </r>
      </text>
    </comment>
    <comment ref="K5010" authorId="2" shapeId="0">
      <text>
        <r>
          <rPr>
            <b/>
            <sz val="9"/>
            <color indexed="81"/>
            <rFont val="宋体"/>
            <family val="3"/>
            <charset val="134"/>
          </rPr>
          <t>胡晓明:
如需要，请在此设置公式，引用至注释小表中期末/本期数的单元格。</t>
        </r>
      </text>
    </comment>
    <comment ref="N5010" authorId="2" shapeId="0">
      <text>
        <r>
          <rPr>
            <b/>
            <sz val="9"/>
            <color indexed="81"/>
            <rFont val="宋体"/>
            <family val="3"/>
            <charset val="134"/>
          </rPr>
          <t>胡晓明:
如需要，请在此设置公式，引用至注释小表中期初/上期数的单元格。</t>
        </r>
      </text>
    </comment>
    <comment ref="K5098" authorId="2" shapeId="0">
      <text>
        <r>
          <rPr>
            <b/>
            <sz val="9"/>
            <color indexed="81"/>
            <rFont val="宋体"/>
            <family val="3"/>
            <charset val="134"/>
          </rPr>
          <t>胡晓明:
如需要，请在此设置公式，引用至注释小表中期末/本期数的单元格。</t>
        </r>
      </text>
    </comment>
    <comment ref="N5098" authorId="2" shapeId="0">
      <text>
        <r>
          <rPr>
            <b/>
            <sz val="9"/>
            <color indexed="81"/>
            <rFont val="宋体"/>
            <family val="3"/>
            <charset val="134"/>
          </rPr>
          <t>胡晓明:
如需要，请在此设置公式，引用至注释小表中期初/上期数的单元格。</t>
        </r>
      </text>
    </comment>
    <comment ref="K5121" authorId="2" shapeId="0">
      <text>
        <r>
          <rPr>
            <b/>
            <sz val="9"/>
            <color indexed="81"/>
            <rFont val="宋体"/>
            <family val="3"/>
            <charset val="134"/>
          </rPr>
          <t>胡晓明:
如需要，请在此设置公式，引用至注释小表中期末/本期数的单元格。</t>
        </r>
      </text>
    </comment>
    <comment ref="N5121" authorId="2" shapeId="0">
      <text>
        <r>
          <rPr>
            <b/>
            <sz val="9"/>
            <color indexed="81"/>
            <rFont val="宋体"/>
            <family val="3"/>
            <charset val="134"/>
          </rPr>
          <t>胡晓明:
如需要，请在此设置公式，引用至注释小表中期初/上期数的单元格。</t>
        </r>
      </text>
    </comment>
    <comment ref="K5129" authorId="2" shapeId="0">
      <text>
        <r>
          <rPr>
            <b/>
            <sz val="9"/>
            <color indexed="81"/>
            <rFont val="宋体"/>
            <family val="3"/>
            <charset val="134"/>
          </rPr>
          <t>胡晓明:
如需要，请在此设置公式，引用至注释小表中期末/本期数的单元格。</t>
        </r>
      </text>
    </comment>
    <comment ref="N5129" authorId="2" shapeId="0">
      <text>
        <r>
          <rPr>
            <b/>
            <sz val="9"/>
            <color indexed="81"/>
            <rFont val="宋体"/>
            <family val="3"/>
            <charset val="134"/>
          </rPr>
          <t>胡晓明:
如需要，请在此设置公式，引用至注释小表中期初/上期数的单元格。</t>
        </r>
      </text>
    </comment>
    <comment ref="K5138" authorId="2" shapeId="0">
      <text>
        <r>
          <rPr>
            <b/>
            <sz val="9"/>
            <color indexed="81"/>
            <rFont val="宋体"/>
            <family val="3"/>
            <charset val="134"/>
          </rPr>
          <t>胡晓明:
如需要，请在此设置公式，引用至注释小表中期末/本期数的单元格。</t>
        </r>
      </text>
    </comment>
    <comment ref="N5138" authorId="2" shapeId="0">
      <text>
        <r>
          <rPr>
            <b/>
            <sz val="9"/>
            <color indexed="81"/>
            <rFont val="宋体"/>
            <family val="3"/>
            <charset val="134"/>
          </rPr>
          <t>胡晓明:
如需要，请在此设置公式，引用至注释小表中期初/上期数的单元格。</t>
        </r>
      </text>
    </comment>
    <comment ref="K5148" authorId="2" shapeId="0">
      <text>
        <r>
          <rPr>
            <b/>
            <sz val="9"/>
            <color indexed="81"/>
            <rFont val="宋体"/>
            <family val="3"/>
            <charset val="134"/>
          </rPr>
          <t>胡晓明:
如需要，请在此设置公式，引用至注释小表中期末/本期数的单元格。</t>
        </r>
      </text>
    </comment>
    <comment ref="N5148" authorId="2" shapeId="0">
      <text>
        <r>
          <rPr>
            <b/>
            <sz val="9"/>
            <color indexed="81"/>
            <rFont val="宋体"/>
            <family val="3"/>
            <charset val="134"/>
          </rPr>
          <t>胡晓明:
如需要，请在此设置公式，引用至注释小表中期初/上期数的单元格。</t>
        </r>
      </text>
    </comment>
    <comment ref="K5158" authorId="2" shapeId="0">
      <text>
        <r>
          <rPr>
            <b/>
            <sz val="9"/>
            <color indexed="81"/>
            <rFont val="宋体"/>
            <family val="3"/>
            <charset val="134"/>
          </rPr>
          <t>胡晓明:
如需要，请在此设置公式，引用至注释小表中期末/本期数的单元格。</t>
        </r>
      </text>
    </comment>
    <comment ref="N5158" authorId="2" shapeId="0">
      <text>
        <r>
          <rPr>
            <b/>
            <sz val="9"/>
            <color indexed="81"/>
            <rFont val="宋体"/>
            <family val="3"/>
            <charset val="134"/>
          </rPr>
          <t>胡晓明:
如需要，请在此设置公式，引用至注释小表中期初/上期数的单元格。</t>
        </r>
      </text>
    </comment>
    <comment ref="S5158"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4" authorId="2" shapeId="0">
      <text>
        <r>
          <rPr>
            <b/>
            <sz val="9"/>
            <color indexed="81"/>
            <rFont val="宋体"/>
            <family val="3"/>
            <charset val="134"/>
          </rPr>
          <t>胡晓明:
如需要，请在此设置公式，引用至注释小表中期末/本期数的单元格。</t>
        </r>
      </text>
    </comment>
    <comment ref="N5174" authorId="2" shapeId="0">
      <text>
        <r>
          <rPr>
            <b/>
            <sz val="9"/>
            <color indexed="81"/>
            <rFont val="宋体"/>
            <family val="3"/>
            <charset val="134"/>
          </rPr>
          <t>胡晓明:
如需要，请在此设置公式，引用至注释小表中期初/上期数的单元格。</t>
        </r>
      </text>
    </comment>
    <comment ref="K5185" authorId="2" shapeId="0">
      <text>
        <r>
          <rPr>
            <b/>
            <sz val="9"/>
            <color indexed="81"/>
            <rFont val="宋体"/>
            <family val="3"/>
            <charset val="134"/>
          </rPr>
          <t>胡晓明:
如需要，请在此设置公式，引用至注释小表中期末/本期数的单元格。</t>
        </r>
      </text>
    </comment>
    <comment ref="N5185" authorId="2" shapeId="0">
      <text>
        <r>
          <rPr>
            <b/>
            <sz val="9"/>
            <color indexed="81"/>
            <rFont val="宋体"/>
            <family val="3"/>
            <charset val="134"/>
          </rPr>
          <t>胡晓明:
如需要，请在此设置公式，引用至注释小表中期初/上期数的单元格。</t>
        </r>
      </text>
    </comment>
    <comment ref="S5185"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6" authorId="2" shapeId="0">
      <text>
        <r>
          <rPr>
            <b/>
            <sz val="9"/>
            <color indexed="81"/>
            <rFont val="宋体"/>
            <family val="3"/>
            <charset val="134"/>
          </rPr>
          <t>胡晓明:
如需要，请在此设置公式，引用至注释小表中期末/本期数的单元格。</t>
        </r>
      </text>
    </comment>
    <comment ref="N5196" authorId="2" shapeId="0">
      <text>
        <r>
          <rPr>
            <b/>
            <sz val="9"/>
            <color indexed="81"/>
            <rFont val="宋体"/>
            <family val="3"/>
            <charset val="134"/>
          </rPr>
          <t>胡晓明:
如需要，请在此设置公式，引用至注释小表中期初/上期数的单元格。</t>
        </r>
      </text>
    </comment>
    <comment ref="K5210" authorId="2" shapeId="0">
      <text>
        <r>
          <rPr>
            <b/>
            <sz val="9"/>
            <color indexed="81"/>
            <rFont val="宋体"/>
            <family val="3"/>
            <charset val="134"/>
          </rPr>
          <t>胡晓明:
如需要，请在此设置公式，引用至注释小表中期末/本期数的单元格。</t>
        </r>
      </text>
    </comment>
    <comment ref="N5210" authorId="2" shapeId="0">
      <text>
        <r>
          <rPr>
            <b/>
            <sz val="9"/>
            <color indexed="81"/>
            <rFont val="宋体"/>
            <family val="3"/>
            <charset val="134"/>
          </rPr>
          <t>胡晓明:
如需要，请在此设置公式，引用至注释小表中期初/上期数的单元格。</t>
        </r>
      </text>
    </comment>
    <comment ref="S5210"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6" authorId="2" shapeId="0">
      <text>
        <r>
          <rPr>
            <b/>
            <sz val="9"/>
            <color indexed="81"/>
            <rFont val="宋体"/>
            <family val="3"/>
            <charset val="134"/>
          </rPr>
          <t>胡晓明:
如需要，请在此设置公式，引用至注释小表中期末/本期数的单元格。</t>
        </r>
      </text>
    </comment>
    <comment ref="N5456" authorId="2" shapeId="0">
      <text>
        <r>
          <rPr>
            <b/>
            <sz val="9"/>
            <color indexed="81"/>
            <rFont val="宋体"/>
            <family val="3"/>
            <charset val="134"/>
          </rPr>
          <t>胡晓明:
如需要，请在此设置公式，引用至注释小表中期初/上期数的单元格。</t>
        </r>
      </text>
    </comment>
    <comment ref="S5456"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50" authorId="2" shapeId="0">
      <text>
        <r>
          <rPr>
            <b/>
            <sz val="9"/>
            <color indexed="81"/>
            <rFont val="宋体"/>
            <family val="3"/>
            <charset val="134"/>
          </rPr>
          <t>胡晓明:
如需要，请在此设置公式，引用至注释小表中期初/上期数的单元格。</t>
        </r>
      </text>
    </comment>
    <comment ref="N5559" authorId="2" shapeId="0">
      <text>
        <r>
          <rPr>
            <b/>
            <sz val="9"/>
            <color indexed="81"/>
            <rFont val="宋体"/>
            <family val="3"/>
            <charset val="134"/>
          </rPr>
          <t>胡晓明:
如需要，请在此设置公式，引用至注释小表中期初/上期数的单元格。</t>
        </r>
      </text>
    </comment>
    <comment ref="K5577" authorId="2" shapeId="0">
      <text>
        <r>
          <rPr>
            <b/>
            <sz val="9"/>
            <color indexed="81"/>
            <rFont val="宋体"/>
            <family val="3"/>
            <charset val="134"/>
          </rPr>
          <t>胡晓明:
如需要，请在此设置公式，引用至注释小表中期末/本期数的单元格。</t>
        </r>
      </text>
    </comment>
    <comment ref="N5577" authorId="2" shapeId="0">
      <text>
        <r>
          <rPr>
            <b/>
            <sz val="9"/>
            <color indexed="81"/>
            <rFont val="宋体"/>
            <family val="3"/>
            <charset val="134"/>
          </rPr>
          <t>胡晓明:
如需要，请在此设置公式，引用至注释小表中期初/上期数的单元格。</t>
        </r>
      </text>
    </comment>
    <comment ref="K5603" authorId="2" shapeId="0">
      <text>
        <r>
          <rPr>
            <b/>
            <sz val="9"/>
            <color indexed="81"/>
            <rFont val="宋体"/>
            <family val="3"/>
            <charset val="134"/>
          </rPr>
          <t>胡晓明:
如需要，请在此设置公式，引用至注释小表中期末/本期数的单元格。</t>
        </r>
      </text>
    </comment>
    <comment ref="N5603" authorId="2" shapeId="0">
      <text>
        <r>
          <rPr>
            <b/>
            <sz val="9"/>
            <color indexed="81"/>
            <rFont val="宋体"/>
            <family val="3"/>
            <charset val="134"/>
          </rPr>
          <t>胡晓明:
如需要，请在此设置公式，引用至注释小表中期初/上期数的单元格。</t>
        </r>
      </text>
    </comment>
    <comment ref="S5603"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9" authorId="2" shapeId="0">
      <text>
        <r>
          <rPr>
            <b/>
            <sz val="9"/>
            <color indexed="81"/>
            <rFont val="宋体"/>
            <family val="3"/>
            <charset val="134"/>
          </rPr>
          <t>胡晓明:
如需要，请在此设置公式，引用至注释小表中期末/本期数的单元格。</t>
        </r>
      </text>
    </comment>
    <comment ref="N5649" authorId="2" shapeId="0">
      <text>
        <r>
          <rPr>
            <b/>
            <sz val="9"/>
            <color indexed="81"/>
            <rFont val="宋体"/>
            <family val="3"/>
            <charset val="134"/>
          </rPr>
          <t>胡晓明:
如需要，请在此设置公式，引用至注释小表中期初/上期数的单元格。</t>
        </r>
      </text>
    </comment>
    <comment ref="K5659" authorId="2" shapeId="0">
      <text>
        <r>
          <rPr>
            <b/>
            <sz val="9"/>
            <color indexed="81"/>
            <rFont val="宋体"/>
            <family val="3"/>
            <charset val="134"/>
          </rPr>
          <t>胡晓明:
如需要，请在此设置公式，引用至注释小表中期末/本期数的单元格。</t>
        </r>
      </text>
    </comment>
    <comment ref="N5659" authorId="2" shapeId="0">
      <text>
        <r>
          <rPr>
            <b/>
            <sz val="9"/>
            <color indexed="81"/>
            <rFont val="宋体"/>
            <family val="3"/>
            <charset val="134"/>
          </rPr>
          <t>胡晓明:
如需要，请在此设置公式，引用至注释小表中期初/上期数的单元格。</t>
        </r>
      </text>
    </comment>
    <comment ref="K5669" authorId="2" shapeId="0">
      <text>
        <r>
          <rPr>
            <b/>
            <sz val="9"/>
            <color indexed="81"/>
            <rFont val="宋体"/>
            <family val="3"/>
            <charset val="134"/>
          </rPr>
          <t>胡晓明:
如需要，请在此设置公式，引用至注释小表中期末/本期数的单元格。</t>
        </r>
      </text>
    </comment>
    <comment ref="N5669" authorId="2" shapeId="0">
      <text>
        <r>
          <rPr>
            <b/>
            <sz val="9"/>
            <color indexed="81"/>
            <rFont val="宋体"/>
            <family val="3"/>
            <charset val="134"/>
          </rPr>
          <t>胡晓明:
如需要，请在此设置公式，引用至注释小表中期初/上期数的单元格。</t>
        </r>
      </text>
    </comment>
    <comment ref="K5679" authorId="2" shapeId="0">
      <text>
        <r>
          <rPr>
            <b/>
            <sz val="9"/>
            <color indexed="81"/>
            <rFont val="宋体"/>
            <family val="3"/>
            <charset val="134"/>
          </rPr>
          <t>胡晓明:
如需要，请在此设置公式，引用至注释小表中期末/本期数的单元格。</t>
        </r>
      </text>
    </comment>
    <comment ref="N5679" authorId="2" shapeId="0">
      <text>
        <r>
          <rPr>
            <b/>
            <sz val="9"/>
            <color indexed="81"/>
            <rFont val="宋体"/>
            <family val="3"/>
            <charset val="134"/>
          </rPr>
          <t>胡晓明:
如需要，请在此设置公式，引用至注释小表中期初/上期数的单元格。</t>
        </r>
      </text>
    </comment>
    <comment ref="K5689" authorId="2" shapeId="0">
      <text>
        <r>
          <rPr>
            <b/>
            <sz val="9"/>
            <color indexed="81"/>
            <rFont val="宋体"/>
            <family val="3"/>
            <charset val="134"/>
          </rPr>
          <t>胡晓明:
如需要，请在此设置公式，引用至注释小表中期末/本期数的单元格。</t>
        </r>
      </text>
    </comment>
    <comment ref="N5689" authorId="2" shapeId="0">
      <text>
        <r>
          <rPr>
            <b/>
            <sz val="9"/>
            <color indexed="81"/>
            <rFont val="宋体"/>
            <family val="3"/>
            <charset val="134"/>
          </rPr>
          <t>胡晓明:
如需要，请在此设置公式，引用至注释小表中期初/上期数的单元格。</t>
        </r>
      </text>
    </comment>
    <comment ref="K5699" authorId="2" shapeId="0">
      <text>
        <r>
          <rPr>
            <b/>
            <sz val="9"/>
            <color indexed="81"/>
            <rFont val="宋体"/>
            <family val="3"/>
            <charset val="134"/>
          </rPr>
          <t>胡晓明:
如需要，请在此设置公式，引用至注释小表中期末/本期数的单元格。</t>
        </r>
      </text>
    </comment>
    <comment ref="N5699" authorId="2" shapeId="0">
      <text>
        <r>
          <rPr>
            <b/>
            <sz val="9"/>
            <color indexed="81"/>
            <rFont val="宋体"/>
            <family val="3"/>
            <charset val="134"/>
          </rPr>
          <t>胡晓明:
如需要，请在此设置公式，引用至注释小表中期初/上期数的单元格。</t>
        </r>
      </text>
    </comment>
    <comment ref="K5709" authorId="2" shapeId="0">
      <text>
        <r>
          <rPr>
            <b/>
            <sz val="9"/>
            <color indexed="81"/>
            <rFont val="宋体"/>
            <family val="3"/>
            <charset val="134"/>
          </rPr>
          <t>胡晓明:
如需要，请在此设置公式，引用至注释小表中期末/本期数的单元格。</t>
        </r>
      </text>
    </comment>
    <comment ref="N5709" authorId="2" shapeId="0">
      <text>
        <r>
          <rPr>
            <b/>
            <sz val="9"/>
            <color indexed="81"/>
            <rFont val="宋体"/>
            <family val="3"/>
            <charset val="134"/>
          </rPr>
          <t>胡晓明:
如需要，请在此设置公式，引用至注释小表中期初/上期数的单元格。</t>
        </r>
      </text>
    </comment>
    <comment ref="K5719" authorId="2" shapeId="0">
      <text>
        <r>
          <rPr>
            <b/>
            <sz val="9"/>
            <color indexed="81"/>
            <rFont val="宋体"/>
            <family val="3"/>
            <charset val="134"/>
          </rPr>
          <t>胡晓明:
如需要，请在此设置公式，引用至注释小表中期末/本期数的单元格。</t>
        </r>
      </text>
    </comment>
    <comment ref="N5719" authorId="2" shapeId="0">
      <text>
        <r>
          <rPr>
            <b/>
            <sz val="9"/>
            <color indexed="81"/>
            <rFont val="宋体"/>
            <family val="3"/>
            <charset val="134"/>
          </rPr>
          <t>胡晓明:
如需要，请在此设置公式，引用至注释小表中期初/上期数的单元格。</t>
        </r>
      </text>
    </comment>
    <comment ref="K5729" authorId="2" shapeId="0">
      <text>
        <r>
          <rPr>
            <b/>
            <sz val="9"/>
            <color indexed="81"/>
            <rFont val="宋体"/>
            <family val="3"/>
            <charset val="134"/>
          </rPr>
          <t>胡晓明:
如需要，请在此设置公式，引用至注释小表中期末/本期数的单元格。</t>
        </r>
      </text>
    </comment>
    <comment ref="N5729" authorId="2" shapeId="0">
      <text>
        <r>
          <rPr>
            <b/>
            <sz val="9"/>
            <color indexed="81"/>
            <rFont val="宋体"/>
            <family val="3"/>
            <charset val="134"/>
          </rPr>
          <t>胡晓明:
如需要，请在此设置公式，引用至注释小表中期初/上期数的单元格。</t>
        </r>
      </text>
    </comment>
    <comment ref="K5739" authorId="2" shapeId="0">
      <text>
        <r>
          <rPr>
            <b/>
            <sz val="9"/>
            <color indexed="81"/>
            <rFont val="宋体"/>
            <family val="3"/>
            <charset val="134"/>
          </rPr>
          <t>胡晓明:
如需要，请在此设置公式，引用至注释小表中期末/本期数的单元格。</t>
        </r>
      </text>
    </comment>
    <comment ref="N5739" authorId="2" shapeId="0">
      <text>
        <r>
          <rPr>
            <b/>
            <sz val="9"/>
            <color indexed="81"/>
            <rFont val="宋体"/>
            <family val="3"/>
            <charset val="134"/>
          </rPr>
          <t>胡晓明:
如需要，请在此设置公式，引用至注释小表中期初/上期数的单元格。</t>
        </r>
      </text>
    </comment>
    <comment ref="G5742" authorId="1" shapeId="0">
      <text>
        <r>
          <rPr>
            <sz val="9"/>
            <rFont val="Tahoma"/>
            <family val="2"/>
          </rPr>
          <t xml:space="preserve">
</t>
        </r>
        <r>
          <rPr>
            <sz val="9"/>
            <rFont val="宋体"/>
            <family val="3"/>
            <charset val="134"/>
          </rPr>
          <t>注：一般不按具体人列示</t>
        </r>
      </text>
    </comment>
    <comment ref="K5776" authorId="2" shapeId="0">
      <text>
        <r>
          <rPr>
            <b/>
            <sz val="9"/>
            <color indexed="81"/>
            <rFont val="宋体"/>
            <family val="3"/>
            <charset val="134"/>
          </rPr>
          <t>胡晓明:
如需要，请在此设置公式，引用至注释小表中期末/本期数的单元格。</t>
        </r>
      </text>
    </comment>
    <comment ref="N5776" authorId="2" shapeId="0">
      <text>
        <r>
          <rPr>
            <b/>
            <sz val="9"/>
            <color indexed="81"/>
            <rFont val="宋体"/>
            <family val="3"/>
            <charset val="134"/>
          </rPr>
          <t>胡晓明:
如需要，请在此设置公式，引用至注释小表中期初/上期数的单元格。</t>
        </r>
      </text>
    </comment>
    <comment ref="S5806"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8" authorId="2" shapeId="0">
      <text>
        <r>
          <rPr>
            <b/>
            <sz val="9"/>
            <color indexed="81"/>
            <rFont val="宋体"/>
            <family val="3"/>
            <charset val="134"/>
          </rPr>
          <t>胡晓明:
如需要，请在此设置公式，引用至注释小表中期末/本期数的单元格。</t>
        </r>
      </text>
    </comment>
    <comment ref="N5838" authorId="2" shapeId="0">
      <text>
        <r>
          <rPr>
            <b/>
            <sz val="9"/>
            <color indexed="81"/>
            <rFont val="宋体"/>
            <family val="3"/>
            <charset val="134"/>
          </rPr>
          <t>胡晓明:
如需要，请在此设置公式，引用至注释小表中期初/上期数的单元格。</t>
        </r>
      </text>
    </comment>
    <comment ref="S5838"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8" authorId="2" shapeId="0">
      <text>
        <r>
          <rPr>
            <b/>
            <sz val="9"/>
            <color indexed="81"/>
            <rFont val="宋体"/>
            <family val="3"/>
            <charset val="134"/>
          </rPr>
          <t>胡晓明:
如需要，请在此设置公式，引用至注释小表中期末/本期数的单元格。</t>
        </r>
      </text>
    </comment>
    <comment ref="N5848" authorId="2" shapeId="0">
      <text>
        <r>
          <rPr>
            <b/>
            <sz val="9"/>
            <color indexed="81"/>
            <rFont val="宋体"/>
            <family val="3"/>
            <charset val="134"/>
          </rPr>
          <t>胡晓明:
如需要，请在此设置公式，引用至注释小表中期初/上期数的单元格。</t>
        </r>
      </text>
    </comment>
    <comment ref="K5858" authorId="2" shapeId="0">
      <text>
        <r>
          <rPr>
            <b/>
            <sz val="9"/>
            <color indexed="81"/>
            <rFont val="宋体"/>
            <family val="3"/>
            <charset val="134"/>
          </rPr>
          <t>胡晓明:
如需要，请在此设置公式，引用至注释小表中期末/本期数的单元格。</t>
        </r>
      </text>
    </comment>
    <comment ref="N5858" authorId="2" shapeId="0">
      <text>
        <r>
          <rPr>
            <b/>
            <sz val="9"/>
            <color indexed="81"/>
            <rFont val="宋体"/>
            <family val="3"/>
            <charset val="134"/>
          </rPr>
          <t>胡晓明:
如需要，请在此设置公式，引用至注释小表中期初/上期数的单元格。</t>
        </r>
      </text>
    </comment>
    <comment ref="S5858"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70" authorId="2" shapeId="0">
      <text>
        <r>
          <rPr>
            <b/>
            <sz val="9"/>
            <color indexed="81"/>
            <rFont val="宋体"/>
            <family val="3"/>
            <charset val="134"/>
          </rPr>
          <t>胡晓明:
如需要，请在此设置公式，引用至注释小表中期初/上期数的单元格。</t>
        </r>
      </text>
    </comment>
    <comment ref="N5881" authorId="2" shapeId="0">
      <text>
        <r>
          <rPr>
            <b/>
            <sz val="9"/>
            <color indexed="81"/>
            <rFont val="宋体"/>
            <family val="3"/>
            <charset val="134"/>
          </rPr>
          <t>胡晓明:
如需要，请在此设置公式，引用至注释小表中期初/上期数的单元格。</t>
        </r>
      </text>
    </comment>
    <comment ref="N5892" authorId="2" shapeId="0">
      <text>
        <r>
          <rPr>
            <b/>
            <sz val="9"/>
            <color indexed="81"/>
            <rFont val="宋体"/>
            <family val="3"/>
            <charset val="134"/>
          </rPr>
          <t>胡晓明:
如需要，请在此设置公式，引用至注释小表中期初/上期数的单元格。</t>
        </r>
      </text>
    </comment>
    <comment ref="N5903" authorId="2" shapeId="0">
      <text>
        <r>
          <rPr>
            <b/>
            <sz val="9"/>
            <color indexed="81"/>
            <rFont val="宋体"/>
            <family val="3"/>
            <charset val="134"/>
          </rPr>
          <t>胡晓明:
如需要，请在此设置公式，引用至注释小表中期初/上期数的单元格。</t>
        </r>
      </text>
    </comment>
    <comment ref="N5914" authorId="2" shapeId="0">
      <text>
        <r>
          <rPr>
            <b/>
            <sz val="9"/>
            <color indexed="81"/>
            <rFont val="宋体"/>
            <family val="3"/>
            <charset val="134"/>
          </rPr>
          <t>胡晓明:
如需要，请在此设置公式，引用至注释小表中期初/上期数的单元格。</t>
        </r>
      </text>
    </comment>
    <comment ref="N5925" authorId="2" shapeId="0">
      <text>
        <r>
          <rPr>
            <b/>
            <sz val="9"/>
            <color indexed="81"/>
            <rFont val="宋体"/>
            <family val="3"/>
            <charset val="134"/>
          </rPr>
          <t>胡晓明:
如需要，请在此设置公式，引用至注释小表中期初/上期数的单元格。</t>
        </r>
      </text>
    </comment>
    <comment ref="N5936" authorId="2" shapeId="0">
      <text>
        <r>
          <rPr>
            <b/>
            <sz val="9"/>
            <color indexed="81"/>
            <rFont val="宋体"/>
            <family val="3"/>
            <charset val="134"/>
          </rPr>
          <t>胡晓明:
如需要，请在此设置公式，引用至注释小表中期初/上期数的单元格。</t>
        </r>
      </text>
    </comment>
    <comment ref="N5947" authorId="2" shapeId="0">
      <text>
        <r>
          <rPr>
            <b/>
            <sz val="9"/>
            <color indexed="81"/>
            <rFont val="宋体"/>
            <family val="3"/>
            <charset val="134"/>
          </rPr>
          <t>胡晓明:
如需要，请在此设置公式，引用至注释小表中期初/上期数的单元格。</t>
        </r>
      </text>
    </comment>
    <comment ref="N5958" authorId="2" shapeId="0">
      <text>
        <r>
          <rPr>
            <b/>
            <sz val="9"/>
            <color indexed="81"/>
            <rFont val="宋体"/>
            <family val="3"/>
            <charset val="134"/>
          </rPr>
          <t>胡晓明:
如需要，请在此设置公式，引用至注释小表中期初/上期数的单元格。</t>
        </r>
      </text>
    </comment>
    <comment ref="N5977" authorId="2" shapeId="0">
      <text>
        <r>
          <rPr>
            <b/>
            <sz val="9"/>
            <color indexed="81"/>
            <rFont val="宋体"/>
            <family val="3"/>
            <charset val="134"/>
          </rPr>
          <t>胡晓明:
如需要，请在此设置公式，引用至注释小表中期初/上期数的单元格。</t>
        </r>
      </text>
    </comment>
    <comment ref="N5998" authorId="2" shapeId="0">
      <text>
        <r>
          <rPr>
            <b/>
            <sz val="9"/>
            <color indexed="81"/>
            <rFont val="宋体"/>
            <family val="3"/>
            <charset val="134"/>
          </rPr>
          <t>胡晓明:
如需要，请在此设置公式，引用至注释小表中期初/上期数的单元格。</t>
        </r>
      </text>
    </comment>
    <comment ref="N6009" authorId="2" shapeId="0">
      <text>
        <r>
          <rPr>
            <b/>
            <sz val="9"/>
            <color indexed="81"/>
            <rFont val="宋体"/>
            <family val="3"/>
            <charset val="134"/>
          </rPr>
          <t>胡晓明:
如需要，请在此设置公式，引用至注释小表中期初/上期数的单元格。</t>
        </r>
      </text>
    </comment>
    <comment ref="N6021" authorId="2" shapeId="0">
      <text>
        <r>
          <rPr>
            <b/>
            <sz val="9"/>
            <color indexed="81"/>
            <rFont val="宋体"/>
            <family val="3"/>
            <charset val="134"/>
          </rPr>
          <t>胡晓明:
如需要，请在此设置公式，引用至注释小表中期初/上期数的单元格。</t>
        </r>
      </text>
    </comment>
    <comment ref="N6033" authorId="2" shapeId="0">
      <text>
        <r>
          <rPr>
            <b/>
            <sz val="9"/>
            <color indexed="81"/>
            <rFont val="宋体"/>
            <family val="3"/>
            <charset val="134"/>
          </rPr>
          <t>胡晓明:
如需要，请在此设置公式，引用至注释小表中期初/上期数的单元格。</t>
        </r>
      </text>
    </comment>
    <comment ref="N6056" authorId="2" shapeId="0">
      <text>
        <r>
          <rPr>
            <b/>
            <sz val="9"/>
            <color indexed="81"/>
            <rFont val="宋体"/>
            <family val="3"/>
            <charset val="134"/>
          </rPr>
          <t>胡晓明:
如需要，请在此设置公式，引用至注释小表中期初/上期数的单元格。</t>
        </r>
      </text>
    </comment>
    <comment ref="N6065" authorId="2" shapeId="0">
      <text>
        <r>
          <rPr>
            <b/>
            <sz val="9"/>
            <color indexed="81"/>
            <rFont val="宋体"/>
            <family val="3"/>
            <charset val="134"/>
          </rPr>
          <t>胡晓明:
如需要，请在此设置公式，引用至注释小表中期初/上期数的单元格。</t>
        </r>
      </text>
    </comment>
    <comment ref="N6076" authorId="2" shapeId="0">
      <text>
        <r>
          <rPr>
            <b/>
            <sz val="9"/>
            <color indexed="81"/>
            <rFont val="宋体"/>
            <family val="3"/>
            <charset val="134"/>
          </rPr>
          <t>胡晓明:
如需要，请在此设置公式，引用至注释小表中期初/上期数的单元格。</t>
        </r>
      </text>
    </comment>
    <comment ref="N6085" authorId="2" shapeId="0">
      <text>
        <r>
          <rPr>
            <b/>
            <sz val="9"/>
            <color indexed="81"/>
            <rFont val="宋体"/>
            <family val="3"/>
            <charset val="134"/>
          </rPr>
          <t>胡晓明:
如需要，请在此设置公式，引用至注释小表中期初/上期数的单元格。</t>
        </r>
      </text>
    </comment>
    <comment ref="N6094" authorId="2" shapeId="0">
      <text>
        <r>
          <rPr>
            <b/>
            <sz val="9"/>
            <color indexed="81"/>
            <rFont val="宋体"/>
            <family val="3"/>
            <charset val="134"/>
          </rPr>
          <t>胡晓明:
如需要，请在此设置公式，引用至注释小表中期初/上期数的单元格。</t>
        </r>
      </text>
    </comment>
    <comment ref="N6108" authorId="2" shapeId="0">
      <text>
        <r>
          <rPr>
            <b/>
            <sz val="9"/>
            <color indexed="81"/>
            <rFont val="宋体"/>
            <family val="3"/>
            <charset val="134"/>
          </rPr>
          <t>胡晓明:
如需要，请在此设置公式，引用至注释小表中期初/上期数的单元格。</t>
        </r>
      </text>
    </comment>
    <comment ref="N6118" authorId="2" shapeId="0">
      <text>
        <r>
          <rPr>
            <b/>
            <sz val="9"/>
            <color indexed="81"/>
            <rFont val="宋体"/>
            <family val="3"/>
            <charset val="134"/>
          </rPr>
          <t>胡晓明:
如需要，请在此设置公式，引用至注释小表中期初/上期数的单元格。</t>
        </r>
      </text>
    </comment>
    <comment ref="N6127" authorId="2" shapeId="0">
      <text>
        <r>
          <rPr>
            <b/>
            <sz val="9"/>
            <color indexed="81"/>
            <rFont val="宋体"/>
            <family val="3"/>
            <charset val="134"/>
          </rPr>
          <t>胡晓明:
如需要，请在此设置公式，引用至注释小表中期初/上期数的单元格。</t>
        </r>
      </text>
    </comment>
    <comment ref="N6138" authorId="2" shapeId="0">
      <text>
        <r>
          <rPr>
            <b/>
            <sz val="9"/>
            <color indexed="81"/>
            <rFont val="宋体"/>
            <family val="3"/>
            <charset val="134"/>
          </rPr>
          <t>胡晓明:
如需要，请在此设置公式，引用至注释小表中期初/上期数的单元格。</t>
        </r>
      </text>
    </comment>
    <comment ref="N6147" authorId="2" shapeId="0">
      <text>
        <r>
          <rPr>
            <b/>
            <sz val="9"/>
            <color indexed="81"/>
            <rFont val="宋体"/>
            <family val="3"/>
            <charset val="134"/>
          </rPr>
          <t>胡晓明:
如需要，请在此设置公式，引用至注释小表中期初/上期数的单元格。</t>
        </r>
      </text>
    </comment>
    <comment ref="N6156" authorId="2" shapeId="0">
      <text>
        <r>
          <rPr>
            <b/>
            <sz val="9"/>
            <color indexed="81"/>
            <rFont val="宋体"/>
            <family val="3"/>
            <charset val="134"/>
          </rPr>
          <t>胡晓明:
如需要，请在此设置公式，引用至注释小表中期初/上期数的单元格。</t>
        </r>
      </text>
    </comment>
    <comment ref="N6165" authorId="2" shapeId="0">
      <text>
        <r>
          <rPr>
            <b/>
            <sz val="9"/>
            <color indexed="81"/>
            <rFont val="宋体"/>
            <family val="3"/>
            <charset val="134"/>
          </rPr>
          <t>胡晓明:
如需要，请在此设置公式，引用至注释小表中期初/上期数的单元格。</t>
        </r>
      </text>
    </comment>
    <comment ref="N6187" authorId="2" shapeId="0">
      <text>
        <r>
          <rPr>
            <b/>
            <sz val="9"/>
            <color indexed="81"/>
            <rFont val="宋体"/>
            <family val="3"/>
            <charset val="134"/>
          </rPr>
          <t>胡晓明:
如需要，请在此设置公式，引用至注释小表中期初/上期数的单元格。</t>
        </r>
      </text>
    </comment>
    <comment ref="N6214" authorId="2" shapeId="0">
      <text>
        <r>
          <rPr>
            <b/>
            <sz val="9"/>
            <color indexed="81"/>
            <rFont val="宋体"/>
            <family val="3"/>
            <charset val="134"/>
          </rPr>
          <t>胡晓明:
如需要，请在此设置公式，引用至注释小表中期初/上期数的单元格。</t>
        </r>
      </text>
    </comment>
    <comment ref="N6243" authorId="2" shapeId="0">
      <text>
        <r>
          <rPr>
            <b/>
            <sz val="9"/>
            <color indexed="81"/>
            <rFont val="宋体"/>
            <family val="3"/>
            <charset val="134"/>
          </rPr>
          <t>胡晓明:
如需要，请在此设置公式，引用至注释小表中期初/上期数的单元格。</t>
        </r>
      </text>
    </comment>
  </commentList>
</comments>
</file>

<file path=xl/comments21.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2.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4.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5.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6.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7.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8.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9.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1.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<sst xmlns="http://schemas.openxmlformats.org/spreadsheetml/2006/main" count="44556" uniqueCount="7855">
  <si>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</si>
  <si>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</si>
  <si>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</si>
  <si>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</si>
  <si>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</si>
  <si>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</si>
  <si>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</si>
  <si>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</si>
  <si>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</si>
  <si>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</si>
  <si>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</si>
  <si>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</si>
  <si>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</si>
  <si>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</si>
  <si>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</si>
  <si>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</si>
  <si>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</si>
  <si>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</si>
  <si>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</si>
  <si>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</si>
  <si>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</si>
  <si>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</si>
  <si>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</si>
  <si>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</si>
  <si>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</si>
  <si>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</si>
  <si>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</si>
  <si>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</si>
  <si>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</si>
  <si>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</si>
  <si>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</si>
  <si>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</si>
  <si>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</si>
  <si>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</si>
  <si>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</si>
  <si>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</si>
  <si>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</si>
  <si>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</si>
  <si>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</si>
  <si>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</si>
  <si>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</si>
  <si>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</si>
  <si>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</si>
  <si>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</si>
  <si>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</si>
  <si>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</si>
  <si>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</si>
  <si>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</si>
  <si>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</si>
  <si>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</si>
  <si>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</si>
  <si>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</si>
  <si>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</si>
  <si>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</si>
  <si>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</si>
  <si>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</si>
  <si>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</si>
  <si>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</si>
  <si>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</si>
  <si>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</si>
  <si>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</si>
  <si>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</si>
  <si>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</si>
  <si>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</si>
  <si>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</si>
  <si>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</si>
  <si>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</si>
  <si>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</si>
  <si>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</si>
  <si>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</si>
  <si>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</si>
  <si>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</si>
  <si>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</si>
  <si>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</si>
  <si>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</si>
  <si>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</si>
  <si>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</si>
  <si>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</si>
  <si>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</si>
  <si>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</si>
  <si>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</si>
  <si>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</si>
  <si>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</si>
  <si>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</si>
  <si>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</si>
  <si>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</si>
  <si>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</si>
  <si>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</si>
  <si>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</si>
  <si>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</si>
  <si>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</si>
  <si>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</si>
  <si>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</si>
  <si>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</si>
  <si>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</si>
  <si>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</si>
  <si>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</si>
  <si>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</si>
  <si>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</si>
  <si>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</si>
  <si>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</si>
  <si>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</si>
  <si>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</si>
  <si>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</si>
  <si>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</si>
  <si>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</si>
  <si>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</si>
  <si>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</si>
  <si>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</si>
  <si>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</si>
  <si>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</si>
  <si>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</si>
  <si>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</si>
  <si>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</si>
  <si>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</si>
  <si>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</si>
  <si>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</si>
  <si>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</si>
  <si>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</si>
  <si>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</si>
  <si>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</si>
  <si>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</si>
  <si>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</si>
  <si>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</si>
  <si>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</si>
  <si>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</si>
  <si>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</si>
  <si>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</si>
  <si>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</si>
  <si>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</si>
  <si>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</si>
  <si>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</si>
  <si>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</si>
  <si>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</si>
  <si>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</si>
  <si>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</si>
  <si>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</si>
  <si>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</si>
  <si>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</si>
  <si>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</si>
  <si>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</si>
  <si>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</si>
  <si>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</si>
  <si>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</si>
  <si>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</si>
  <si>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</si>
  <si>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</si>
  <si>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</si>
  <si>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</si>
  <si>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</si>
  <si>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</si>
  <si>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</si>
  <si>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</si>
  <si>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</si>
  <si>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</si>
  <si>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</si>
  <si>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</si>
  <si>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</si>
  <si>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</si>
  <si>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</si>
  <si>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</si>
  <si>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</si>
  <si>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</si>
  <si>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</si>
  <si>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</si>
  <si>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</si>
  <si>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</si>
  <si>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</si>
  <si>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</si>
  <si>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</si>
  <si>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</si>
  <si>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</si>
  <si>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</si>
  <si>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</si>
  <si>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</si>
  <si>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</si>
  <si>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</si>
  <si>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</si>
  <si>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</si>
  <si>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</si>
  <si>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</si>
  <si>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</si>
  <si>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</si>
  <si>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</si>
  <si>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</si>
  <si>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</si>
  <si>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</si>
  <si>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</si>
  <si>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</si>
  <si>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</si>
  <si>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</si>
  <si>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</si>
  <si>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</si>
  <si>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</si>
  <si>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</si>
  <si>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</si>
  <si>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</si>
  <si>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</si>
  <si>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</si>
  <si>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</si>
  <si>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</si>
  <si>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</si>
  <si>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</si>
  <si>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</si>
  <si>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</si>
  <si>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</si>
  <si>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</si>
  <si>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</si>
  <si>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</si>
  <si>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</si>
  <si>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</si>
  <si>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</si>
  <si>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</si>
  <si>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</si>
  <si>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</si>
  <si>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</si>
  <si>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</si>
  <si>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</si>
  <si>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</si>
  <si>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</si>
  <si>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</si>
  <si>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</si>
  <si>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</si>
  <si>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</si>
  <si>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</si>
  <si>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</si>
  <si>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</si>
  <si>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</si>
  <si>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</si>
  <si>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</si>
  <si>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</si>
  <si>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</si>
  <si>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</si>
  <si>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</si>
  <si>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</si>
  <si>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</si>
  <si>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</si>
  <si>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</si>
  <si>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</si>
  <si>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</si>
  <si>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</si>
  <si>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</si>
  <si>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</si>
  <si>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</si>
  <si>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</si>
  <si>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</si>
  <si>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</si>
  <si>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</si>
  <si>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</si>
  <si>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</si>
  <si>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</si>
  <si>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</si>
  <si>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</si>
  <si>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</si>
  <si>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</si>
  <si>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</si>
  <si>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</si>
  <si>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</si>
  <si>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</si>
  <si>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</si>
  <si>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</si>
  <si>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</si>
  <si>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</si>
  <si>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</si>
  <si>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</si>
  <si>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</si>
  <si>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</si>
  <si>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</si>
  <si>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</si>
  <si>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</si>
  <si>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</si>
  <si>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</si>
  <si>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</si>
  <si>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</si>
  <si>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</si>
  <si>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</si>
  <si>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</si>
  <si>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</si>
  <si>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</si>
  <si>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</si>
  <si>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</si>
  <si>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</si>
  <si>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</si>
  <si>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</si>
  <si>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</si>
  <si>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</si>
  <si>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</si>
  <si>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</si>
  <si>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</si>
  <si>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</si>
  <si>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</si>
  <si>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</si>
  <si>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</si>
  <si>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</si>
  <si>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</si>
  <si>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</si>
  <si>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</si>
  <si>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</si>
  <si>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</si>
  <si>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</si>
  <si>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</si>
  <si>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</si>
  <si>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</si>
  <si>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</si>
  <si>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</si>
  <si>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</si>
  <si>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</si>
  <si>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</si>
  <si>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</si>
  <si>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</si>
  <si>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</si>
  <si>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</si>
  <si>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</si>
  <si>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</si>
  <si>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</si>
  <si>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</si>
  <si>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</si>
  <si>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</si>
  <si>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</si>
  <si>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</si>
  <si>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</si>
  <si>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</si>
  <si>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</si>
  <si>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</si>
  <si>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</si>
  <si>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</si>
  <si>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</si>
  <si>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</si>
  <si>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</si>
  <si>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</si>
  <si>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</si>
  <si>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</si>
  <si>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</si>
  <si>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</si>
  <si>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</si>
  <si>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</si>
  <si>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</si>
  <si>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</si>
  <si>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</si>
  <si>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</si>
  <si>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</si>
  <si>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</si>
  <si>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</si>
  <si>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</si>
  <si>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</si>
  <si>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</si>
  <si>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</si>
  <si>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</si>
  <si>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</si>
  <si>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</si>
  <si>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</si>
  <si>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</si>
  <si>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</si>
  <si>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</si>
  <si>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</si>
  <si>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</si>
  <si>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</si>
  <si>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</si>
  <si>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</si>
  <si>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</si>
  <si>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</si>
  <si>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</si>
  <si>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</si>
  <si>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</si>
  <si>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</si>
  <si>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</si>
  <si>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</si>
  <si>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</si>
  <si>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</si>
  <si>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</si>
  <si>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</si>
  <si>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</si>
  <si>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</si>
  <si>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</si>
  <si>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</si>
  <si>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</si>
  <si>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</si>
  <si>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</si>
  <si>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</si>
  <si>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</si>
  <si>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</si>
  <si>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</si>
  <si>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</si>
  <si>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</si>
  <si>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</si>
  <si>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</si>
  <si>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</si>
  <si>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</si>
  <si>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</si>
  <si>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</si>
  <si>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</si>
  <si>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</si>
  <si>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</si>
  <si>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</si>
  <si>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</si>
  <si>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</si>
  <si>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</si>
  <si>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</si>
  <si>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</si>
  <si>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</si>
  <si>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</si>
  <si>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</si>
  <si>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</si>
  <si>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</si>
  <si>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</si>
  <si>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</si>
  <si>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</si>
  <si>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</si>
  <si>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</si>
  <si>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</si>
  <si>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</si>
  <si>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</si>
  <si>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</si>
  <si>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</si>
  <si>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</si>
  <si>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</si>
  <si>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</si>
  <si>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</si>
  <si>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</si>
  <si>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</si>
  <si>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</si>
  <si>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</si>
  <si>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</si>
  <si>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</si>
  <si>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</si>
  <si>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</si>
  <si>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</si>
  <si>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</si>
  <si>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</si>
  <si>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</si>
  <si>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</si>
  <si>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</si>
  <si>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</si>
  <si>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</si>
  <si>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</si>
  <si>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</si>
  <si>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</si>
  <si>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</si>
  <si>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</si>
  <si>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</si>
  <si>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</si>
  <si>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</si>
  <si>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</si>
  <si>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</si>
  <si>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</si>
  <si>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</si>
  <si>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</si>
  <si>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</si>
  <si>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</si>
  <si>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</si>
  <si>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</si>
  <si>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</si>
  <si>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</si>
  <si>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</si>
  <si>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</si>
  <si>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</si>
  <si>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</si>
  <si>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</si>
  <si>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</si>
  <si>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</si>
  <si>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</si>
  <si>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</si>
  <si>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</si>
  <si>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</si>
  <si>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</si>
  <si>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</si>
  <si>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</si>
  <si>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</si>
  <si>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</si>
  <si>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</si>
  <si>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</si>
  <si>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</si>
  <si>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</si>
  <si>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</si>
  <si>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</si>
  <si>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</si>
  <si>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</si>
  <si>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</si>
  <si>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</si>
  <si>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</si>
  <si>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</si>
  <si>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</si>
  <si>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</si>
  <si>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</si>
  <si>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</si>
  <si>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</si>
  <si>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</si>
  <si>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</si>
  <si>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</si>
  <si>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</si>
  <si>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</si>
  <si>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</si>
  <si>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</si>
  <si>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</si>
  <si>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</si>
  <si>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</si>
  <si>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</si>
  <si>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</si>
  <si>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</si>
  <si>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</si>
  <si>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</si>
  <si>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</si>
  <si>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</si>
  <si>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</si>
  <si>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</si>
  <si>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</si>
  <si>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</si>
  <si>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</si>
  <si>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</si>
  <si>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</si>
  <si>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</si>
  <si>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</si>
  <si>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</si>
  <si>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</si>
  <si>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</si>
  <si>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</si>
  <si>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</si>
  <si>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</si>
  <si>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</si>
  <si>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</si>
  <si>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</si>
  <si>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</si>
  <si>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</si>
  <si>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</si>
  <si>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</si>
  <si>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</si>
  <si>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</si>
  <si>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</si>
  <si>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</si>
  <si>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</si>
  <si>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</si>
  <si>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</si>
  <si>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</si>
  <si>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</si>
  <si>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</si>
  <si>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</si>
  <si>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</si>
  <si>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</si>
  <si>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</si>
  <si>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</si>
  <si>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</si>
  <si>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</si>
  <si>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</si>
  <si>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</si>
  <si>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</si>
  <si>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</si>
  <si>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</si>
  <si>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</si>
  <si>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</si>
  <si>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</si>
  <si>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</si>
  <si>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</si>
  <si>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</si>
  <si>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</si>
  <si>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</si>
  <si>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</si>
  <si>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</si>
  <si>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</si>
  <si>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</si>
  <si>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</si>
  <si>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</si>
  <si>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</si>
  <si>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</si>
  <si>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</si>
  <si>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</si>
  <si>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</si>
  <si>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</si>
  <si>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</si>
  <si>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</si>
  <si>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</si>
  <si>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</si>
  <si>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</si>
  <si>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</si>
  <si>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</si>
  <si>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</si>
  <si>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</si>
  <si>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</si>
  <si>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</si>
  <si>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</si>
  <si>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</si>
  <si>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</si>
  <si>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</si>
  <si>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</si>
  <si>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</si>
  <si>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</si>
  <si>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</si>
  <si>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</si>
  <si>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</si>
  <si>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</si>
  <si>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</si>
  <si>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</si>
  <si>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</si>
  <si>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</si>
  <si>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</si>
  <si>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</si>
  <si>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</si>
  <si>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</si>
  <si>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</si>
  <si>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</si>
  <si>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</si>
  <si>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</si>
  <si>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</si>
  <si>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</si>
  <si>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</si>
  <si>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</si>
  <si>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</si>
  <si>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</si>
  <si>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</si>
  <si>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</si>
  <si>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</si>
  <si>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</si>
  <si>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</si>
  <si>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</si>
  <si>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</si>
  <si>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</si>
  <si>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</si>
  <si>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</si>
  <si>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</si>
  <si>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</si>
  <si>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</si>
  <si>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</si>
  <si>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</si>
  <si>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</si>
  <si>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</si>
  <si>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</si>
  <si>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</si>
  <si>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</si>
  <si>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</si>
  <si>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</si>
  <si>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</si>
  <si>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</si>
  <si>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</si>
  <si>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</si>
  <si>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</si>
  <si>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</si>
  <si>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</si>
  <si>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</si>
  <si>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</si>
  <si>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</si>
  <si>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</si>
  <si>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</si>
  <si>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</si>
  <si>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</si>
  <si>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</si>
  <si>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</si>
  <si>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</si>
  <si>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</si>
  <si>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</si>
  <si>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</si>
  <si>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</si>
  <si>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</si>
  <si>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</si>
  <si>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</si>
  <si>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</si>
  <si>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</si>
  <si>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</si>
  <si>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</si>
  <si>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</si>
  <si>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</si>
  <si>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</si>
  <si>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</si>
  <si>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</si>
  <si>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</si>
  <si>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</si>
  <si>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</si>
  <si>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</si>
  <si>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</si>
  <si>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</si>
  <si>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</si>
  <si>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</si>
  <si>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</si>
  <si>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</si>
  <si>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</si>
  <si>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</si>
  <si>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</si>
  <si>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</si>
  <si>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</si>
  <si>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</si>
  <si>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</si>
  <si>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</si>
  <si>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</si>
  <si>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</si>
  <si>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</si>
  <si>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</si>
  <si>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</si>
  <si>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</si>
  <si>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</si>
  <si>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</si>
  <si>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</si>
  <si>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</si>
  <si>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</si>
  <si>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</si>
  <si>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</si>
  <si>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</si>
  <si>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</si>
  <si>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</si>
  <si>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</si>
  <si>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</si>
  <si>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</si>
  <si>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</si>
  <si>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</si>
  <si>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</si>
  <si>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</si>
  <si>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</si>
  <si>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</si>
  <si>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</si>
  <si>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</si>
  <si>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</si>
  <si>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</si>
  <si>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</si>
  <si>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</si>
  <si>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</si>
  <si>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</si>
  <si>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</si>
  <si>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</si>
  <si>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</si>
  <si>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</si>
  <si>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</si>
  <si>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</si>
  <si>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</si>
  <si>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</si>
  <si>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</si>
  <si>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</si>
  <si>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</si>
  <si>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</si>
  <si>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</si>
  <si>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</si>
  <si>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</si>
  <si>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</si>
  <si>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</si>
  <si>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</si>
  <si>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</si>
  <si>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</si>
  <si>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</si>
  <si>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</si>
  <si>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</si>
  <si>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</si>
  <si>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</si>
  <si>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</si>
  <si>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</si>
  <si>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</si>
  <si>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</si>
  <si>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</si>
  <si>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</si>
  <si>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</si>
  <si>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</si>
  <si>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</si>
  <si>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</si>
  <si>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</si>
  <si>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</si>
  <si>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</si>
  <si>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</si>
  <si>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</si>
  <si>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</si>
  <si>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</si>
  <si>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</si>
  <si>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</si>
  <si>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</si>
  <si>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</si>
  <si>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</si>
  <si>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</si>
  <si>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</si>
  <si>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</si>
  <si>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</si>
  <si>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</si>
  <si>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</si>
  <si>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</si>
  <si>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</si>
  <si>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</si>
  <si>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</si>
  <si>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</si>
  <si>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</si>
  <si>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</si>
  <si>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</si>
  <si>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</si>
  <si>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</si>
  <si>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</si>
  <si>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</si>
  <si>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</si>
  <si>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</si>
  <si>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</si>
  <si>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</si>
  <si>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</si>
  <si>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</si>
  <si>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</si>
  <si>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</si>
  <si>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</si>
  <si>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</si>
  <si>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</si>
  <si>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</si>
  <si>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</si>
  <si>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</si>
  <si>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</si>
  <si>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</si>
  <si>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</si>
  <si>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</si>
  <si>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</si>
  <si>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</si>
  <si>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</si>
  <si>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</si>
  <si>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</si>
  <si>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</si>
  <si>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</si>
  <si>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</si>
  <si>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</si>
  <si>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</si>
  <si>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</si>
  <si>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</si>
  <si>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</si>
  <si>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</si>
  <si>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</si>
  <si>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</si>
  <si>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</si>
  <si>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</si>
  <si>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</si>
  <si>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</si>
  <si>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</si>
  <si>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</si>
  <si>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</si>
  <si>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</si>
  <si>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</si>
  <si>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</si>
  <si>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</si>
  <si>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</si>
  <si>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</si>
  <si>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</si>
  <si>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</si>
  <si>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</si>
  <si>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</si>
  <si>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</si>
  <si>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</si>
  <si>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</si>
  <si>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</si>
  <si>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</si>
  <si>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</si>
  <si>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</si>
  <si>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</si>
  <si>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</si>
  <si>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</si>
  <si>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</si>
  <si>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</si>
  <si>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</si>
  <si>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</si>
  <si>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</si>
  <si>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</si>
  <si>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</si>
  <si>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</si>
  <si>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</si>
  <si>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</si>
  <si>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</si>
  <si>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</si>
  <si>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</si>
  <si>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</si>
  <si>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</si>
  <si>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</si>
  <si>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</si>
  <si>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</si>
  <si>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</si>
  <si>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</si>
  <si>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</si>
  <si>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</si>
  <si>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</si>
  <si>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</si>
  <si>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</si>
  <si>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</si>
  <si>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</si>
  <si>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</si>
  <si>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</si>
  <si>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</si>
  <si>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</si>
  <si>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</si>
  <si>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</si>
  <si>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</si>
  <si>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</si>
  <si>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</si>
  <si>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</si>
  <si>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</si>
  <si>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</si>
  <si>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</si>
  <si>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</si>
  <si>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</si>
  <si>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</si>
  <si>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</si>
  <si>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</si>
  <si>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</si>
  <si>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</si>
  <si>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</si>
  <si>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</si>
  <si>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</si>
  <si>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</si>
  <si>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</si>
  <si>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</si>
  <si>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</si>
  <si>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</si>
  <si>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</si>
  <si>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</si>
  <si>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</si>
  <si>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</si>
  <si>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</si>
  <si>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</si>
  <si>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</si>
  <si>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</si>
  <si>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</si>
  <si>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</si>
  <si>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</si>
  <si>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</si>
  <si>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</si>
  <si>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</si>
  <si>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</si>
  <si>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</si>
  <si>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</si>
  <si>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</si>
  <si>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</si>
  <si>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</si>
  <si>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</si>
  <si>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</si>
  <si>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</si>
  <si>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</si>
  <si>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</si>
  <si>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</si>
  <si>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</si>
  <si>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</si>
  <si>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</si>
  <si>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</si>
  <si>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</si>
  <si>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</si>
  <si>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</si>
  <si>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</si>
  <si>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</si>
  <si>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</si>
  <si>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</si>
  <si>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</si>
  <si>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</si>
  <si>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</si>
  <si>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</si>
  <si>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</si>
  <si>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</si>
  <si>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</si>
  <si>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</si>
  <si>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</si>
  <si>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</si>
  <si>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</si>
  <si>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</si>
  <si>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</si>
  <si>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</si>
  <si>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</si>
  <si>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</si>
  <si>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</si>
  <si>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</si>
  <si>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</si>
  <si>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</si>
  <si>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</si>
  <si>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</si>
  <si>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</si>
  <si>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</si>
  <si>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</si>
  <si>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</si>
  <si>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</si>
  <si>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</si>
  <si>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</si>
  <si>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</si>
  <si>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</si>
  <si>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</si>
  <si>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</si>
  <si>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</si>
  <si>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</si>
  <si>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</si>
  <si>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</si>
  <si>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</si>
  <si>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</si>
  <si>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</si>
  <si>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</si>
  <si>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</si>
  <si>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</si>
  <si>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</si>
  <si>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</si>
  <si>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</si>
  <si>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</si>
  <si>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</si>
  <si>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</si>
  <si>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</si>
  <si>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</si>
  <si>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</si>
  <si>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</si>
  <si>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</si>
  <si>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</si>
  <si>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</si>
  <si>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</si>
  <si>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</si>
  <si>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</si>
  <si>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</si>
  <si>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</si>
  <si>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</si>
  <si>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</si>
  <si>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</si>
  <si>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</si>
  <si>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</si>
  <si>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</si>
  <si>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</si>
  <si>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</si>
  <si>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</si>
  <si>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</si>
  <si>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</si>
  <si>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</si>
  <si>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</si>
  <si>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</si>
  <si>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</si>
  <si>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</si>
  <si>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</si>
  <si>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</si>
  <si>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</si>
  <si>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</si>
  <si>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</si>
  <si>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</si>
  <si>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</si>
  <si>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</si>
  <si>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</si>
  <si>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</si>
  <si>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</si>
  <si>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</si>
  <si>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</si>
  <si>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</si>
  <si>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</si>
  <si>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</si>
  <si>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</si>
  <si>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</si>
  <si>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</si>
  <si>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</si>
  <si>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</si>
  <si>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</si>
  <si>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</si>
  <si>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</si>
  <si>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</si>
  <si>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</si>
  <si>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</si>
  <si>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</si>
  <si>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</si>
  <si>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</si>
  <si>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</si>
  <si>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</si>
  <si>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</si>
  <si>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</si>
  <si>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</si>
  <si>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</si>
  <si>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</si>
  <si>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</si>
  <si>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</si>
  <si>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</si>
  <si>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</si>
  <si>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</si>
  <si>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</si>
  <si>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</si>
  <si>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</si>
  <si>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</si>
  <si>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</si>
  <si>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</si>
  <si>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</si>
  <si>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</si>
  <si>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</si>
  <si>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</si>
  <si>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</si>
  <si>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</si>
  <si>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</si>
  <si>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</si>
  <si>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</si>
  <si>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</si>
  <si>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</si>
  <si>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</si>
  <si>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</si>
  <si>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</si>
  <si>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</si>
  <si>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</si>
  <si>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</si>
  <si>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</si>
  <si>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</si>
  <si>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</si>
  <si>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</si>
  <si>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</si>
  <si>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</si>
  <si>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</si>
  <si>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</si>
  <si>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</si>
  <si>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</si>
  <si>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</si>
  <si>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</si>
  <si>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</si>
  <si>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</si>
  <si>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</si>
  <si>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</si>
  <si>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</si>
  <si>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</si>
  <si>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</si>
  <si>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</si>
  <si>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</si>
  <si>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</si>
  <si>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</si>
  <si>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</si>
  <si>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</si>
  <si>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</si>
  <si>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</si>
  <si>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</si>
  <si>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</si>
  <si>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</si>
  <si>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</si>
  <si>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</si>
  <si>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</si>
  <si>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</si>
  <si>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</si>
  <si>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</si>
  <si>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</si>
  <si>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</si>
  <si>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</si>
  <si>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</si>
  <si>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</si>
  <si>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</si>
  <si>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</si>
  <si>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</si>
  <si>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</si>
  <si>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</si>
  <si>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</si>
  <si>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</si>
  <si>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</si>
  <si>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</si>
  <si>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</si>
  <si>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</si>
  <si>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</si>
  <si>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</si>
  <si>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</si>
  <si>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</si>
  <si>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</si>
  <si>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</si>
  <si>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</si>
  <si>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</si>
  <si>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</si>
  <si>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</si>
  <si>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</si>
  <si>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</si>
  <si>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</si>
  <si>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</si>
  <si>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</si>
  <si>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</si>
  <si>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</si>
  <si>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</si>
  <si>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</si>
  <si>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</si>
  <si>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</si>
  <si>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</si>
  <si>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</si>
  <si>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</si>
  <si>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</si>
  <si>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</si>
  <si>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</si>
  <si>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</si>
  <si>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</si>
  <si>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</si>
  <si>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</si>
  <si>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</si>
  <si>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</si>
  <si>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</si>
  <si>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</si>
  <si>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</si>
  <si>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</si>
  <si>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</si>
  <si>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</si>
  <si>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</si>
  <si>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</si>
  <si>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</si>
  <si>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</si>
  <si>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</si>
  <si>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</si>
  <si>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</si>
  <si>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</si>
  <si>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</si>
  <si>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</si>
  <si>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</si>
  <si>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</si>
  <si>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</si>
  <si>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</si>
  <si>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</si>
  <si>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</si>
  <si>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</si>
  <si>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</si>
  <si>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</si>
  <si>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</si>
  <si>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</si>
  <si>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</si>
  <si>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</si>
  <si>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</si>
  <si>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</si>
  <si>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</si>
  <si>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</si>
  <si>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</si>
  <si>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</si>
  <si>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</si>
  <si>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</si>
  <si>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</si>
  <si>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</si>
  <si>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</si>
  <si>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</si>
  <si>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</si>
  <si>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</si>
  <si>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</si>
  <si>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</si>
  <si>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</si>
  <si>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</si>
  <si>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</si>
  <si>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</si>
  <si>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</si>
  <si>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</si>
  <si>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</si>
  <si>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</si>
  <si>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</si>
  <si>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</si>
  <si>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</si>
  <si>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</si>
  <si>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</si>
  <si>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</si>
  <si>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</si>
  <si>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</si>
  <si>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</si>
  <si>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</si>
  <si>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</si>
  <si>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</si>
  <si>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</si>
  <si>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</si>
  <si>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</si>
  <si>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</si>
  <si>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</si>
  <si>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</si>
  <si>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</si>
  <si>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</si>
  <si>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</si>
  <si>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</si>
  <si>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</si>
  <si>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</si>
  <si>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</si>
  <si>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</si>
  <si>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</si>
  <si>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</si>
  <si>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</si>
  <si>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</si>
  <si>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</si>
  <si>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</si>
  <si>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</si>
  <si>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</si>
  <si>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</si>
  <si>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</si>
  <si>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</si>
  <si>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</si>
  <si>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</si>
  <si>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</si>
  <si>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</si>
  <si>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</si>
  <si>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</si>
  <si>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</si>
  <si>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</si>
  <si>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</si>
  <si>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</si>
  <si>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</si>
  <si>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</si>
  <si>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</si>
  <si>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</si>
  <si>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</si>
  <si>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</si>
  <si>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</si>
  <si>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</si>
  <si>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</si>
  <si>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</si>
  <si>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</si>
  <si>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</si>
  <si>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</si>
  <si>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</si>
  <si>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</si>
  <si>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</si>
  <si>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</si>
  <si>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</si>
  <si>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</si>
  <si>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</si>
  <si>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</si>
  <si>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</si>
  <si>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</si>
  <si>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</si>
  <si>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</si>
  <si>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</si>
  <si>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</si>
  <si>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</si>
  <si>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</si>
  <si>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</si>
  <si>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</si>
  <si>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</si>
  <si>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</si>
  <si>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</si>
  <si>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</si>
  <si>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</si>
  <si>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</si>
  <si>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</si>
  <si>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</si>
  <si>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</si>
  <si>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</si>
  <si>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</si>
  <si>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</si>
  <si>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</si>
  <si>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</si>
  <si>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</si>
  <si>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</si>
  <si>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</si>
  <si>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</si>
  <si>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</si>
  <si>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</si>
  <si>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</si>
  <si>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</si>
  <si>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</si>
  <si>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</si>
  <si>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</si>
  <si>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</si>
  <si>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</si>
  <si>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</si>
  <si>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</si>
  <si>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</si>
  <si>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</si>
  <si>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</si>
  <si>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</si>
  <si>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</si>
  <si>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</si>
  <si>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</si>
  <si>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</si>
  <si>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</si>
  <si>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</si>
  <si>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</si>
  <si>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</si>
  <si>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</si>
  <si>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</si>
  <si>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</si>
  <si>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</si>
  <si>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</si>
  <si>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</si>
  <si>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</si>
  <si>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</si>
  <si>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</si>
  <si>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</si>
  <si>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</si>
  <si>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</si>
  <si>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</si>
  <si>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</si>
  <si>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</si>
  <si>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</si>
  <si>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</si>
  <si>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</si>
  <si>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</si>
  <si>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</si>
  <si>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</si>
  <si>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</si>
  <si>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</si>
  <si>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</si>
  <si>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</si>
  <si>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</si>
  <si>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</si>
  <si>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</si>
  <si>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</si>
  <si>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</si>
  <si>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</si>
  <si>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</si>
  <si>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</si>
  <si>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</si>
  <si>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</si>
  <si>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</si>
  <si>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</si>
  <si>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</si>
  <si>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</si>
  <si>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</si>
  <si>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</si>
  <si>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</si>
  <si>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</si>
  <si>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</si>
  <si>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</si>
  <si>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</si>
  <si>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</si>
  <si>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</si>
  <si>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</si>
  <si>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</si>
  <si>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</si>
  <si>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</si>
  <si>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</si>
  <si>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</si>
  <si>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</si>
  <si>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</si>
  <si>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</si>
  <si>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</si>
  <si>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</si>
  <si>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</si>
  <si>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</si>
  <si>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</si>
  <si>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</si>
  <si>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</si>
  <si>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</si>
  <si>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</si>
  <si>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</si>
  <si>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</si>
  <si>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</si>
  <si>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</si>
  <si>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</si>
  <si>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</si>
  <si>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</si>
  <si>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</si>
  <si>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</si>
  <si>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</si>
  <si>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</si>
  <si>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</si>
  <si>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</si>
  <si>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</si>
  <si>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</si>
  <si>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</si>
  <si>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</si>
  <si>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</si>
  <si>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</si>
  <si>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</si>
  <si>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</si>
  <si>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</si>
  <si>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</si>
  <si>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</si>
  <si>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</si>
  <si>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</si>
  <si>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</si>
  <si>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</si>
  <si>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</si>
  <si>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</si>
  <si>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</si>
  <si>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</si>
  <si>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</si>
  <si>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</si>
  <si>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</si>
  <si>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</si>
  <si>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</si>
  <si>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</si>
  <si>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</si>
  <si>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</si>
  <si>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</si>
  <si>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</si>
  <si>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</si>
  <si>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</si>
  <si>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</si>
  <si>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</si>
  <si>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</si>
  <si>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</si>
  <si>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</si>
  <si>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</si>
  <si>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</si>
  <si>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</si>
  <si>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</si>
  <si>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</si>
  <si>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</si>
  <si>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</si>
  <si>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</si>
  <si>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</si>
  <si>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</si>
  <si>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</si>
  <si>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</si>
  <si>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</si>
  <si>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</si>
  <si>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</si>
  <si>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</si>
  <si>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</si>
  <si>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</si>
  <si>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</si>
  <si>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</si>
  <si>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</si>
  <si>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</si>
  <si>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</si>
  <si>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</si>
  <si>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</si>
  <si>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</si>
  <si>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</si>
  <si>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</si>
  <si>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</si>
  <si>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</si>
  <si>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</si>
  <si>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</si>
  <si>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</si>
  <si>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</si>
  <si>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</si>
  <si>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</si>
  <si>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</si>
  <si>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</si>
  <si>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</si>
  <si>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</si>
  <si>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</si>
  <si>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</si>
  <si>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</si>
  <si>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</si>
  <si>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</si>
  <si>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</si>
  <si>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</si>
  <si>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</si>
  <si>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</si>
  <si>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</si>
  <si>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</si>
  <si>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</si>
  <si>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</si>
  <si>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</si>
  <si>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</si>
  <si>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</si>
  <si>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</si>
  <si>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</si>
  <si>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</si>
  <si>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</si>
  <si>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</si>
  <si>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</si>
  <si>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</si>
  <si>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</si>
  <si>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</si>
  <si>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</si>
  <si>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</si>
  <si>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</si>
  <si>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</si>
  <si>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</si>
  <si>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</si>
  <si>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</si>
  <si>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</si>
  <si>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</si>
  <si>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</si>
  <si>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</si>
  <si>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</si>
  <si>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</si>
  <si>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</si>
  <si>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</si>
  <si>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</si>
  <si>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</si>
  <si>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</si>
  <si>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</si>
  <si>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</si>
  <si>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</si>
  <si>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</si>
  <si>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</si>
  <si>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</si>
  <si>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</si>
  <si>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</si>
  <si>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</si>
  <si>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</si>
  <si>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</si>
  <si>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</si>
  <si>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</si>
  <si>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</si>
  <si>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</si>
  <si>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</si>
  <si>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</si>
  <si>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</si>
  <si>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</si>
  <si>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</si>
  <si>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</si>
  <si>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</si>
  <si>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</si>
  <si>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</si>
  <si>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</si>
  <si>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</si>
  <si>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</si>
  <si>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</si>
  <si>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</si>
  <si>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</si>
  <si>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</si>
  <si>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</si>
  <si>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</si>
  <si>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</si>
  <si>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</si>
  <si>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</si>
  <si>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</si>
  <si>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</si>
  <si>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</si>
  <si>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</si>
  <si>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</si>
  <si>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</si>
  <si>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</si>
  <si>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</si>
  <si>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</si>
  <si>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</si>
  <si>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</si>
  <si>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</si>
  <si>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</si>
  <si>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</si>
  <si>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</si>
  <si>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</si>
  <si>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</si>
  <si>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</si>
  <si>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</si>
  <si>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</si>
  <si>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</si>
  <si>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</si>
  <si>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</si>
  <si>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</si>
  <si>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</si>
  <si>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</si>
  <si>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</si>
  <si>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</si>
  <si>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</si>
  <si>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</si>
  <si>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</si>
  <si>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</si>
  <si>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</si>
  <si>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</si>
  <si>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</si>
  <si>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</si>
  <si>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</si>
  <si>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</si>
  <si>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</si>
  <si>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</si>
  <si>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</si>
  <si>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</si>
  <si>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</si>
  <si>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</si>
  <si>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</si>
  <si>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</si>
  <si>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</si>
  <si>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</si>
  <si>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</si>
  <si>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</si>
  <si>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</si>
  <si>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</si>
  <si>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</si>
  <si>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</si>
  <si>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</si>
  <si>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</si>
  <si>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</si>
  <si>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</si>
  <si>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</si>
  <si>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</si>
  <si>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</si>
  <si>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</si>
  <si>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</si>
  <si>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</si>
  <si>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</si>
  <si>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</si>
  <si>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</si>
  <si>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</si>
  <si>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</si>
  <si>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</si>
  <si>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</si>
  <si>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</si>
  <si>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</si>
  <si>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</si>
  <si>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</si>
  <si>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</si>
  <si>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</si>
  <si>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</si>
  <si>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</si>
  <si>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</si>
  <si>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</si>
  <si>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</si>
  <si>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</si>
  <si>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</si>
  <si>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</si>
  <si>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</si>
  <si>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</si>
  <si>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</si>
  <si>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</si>
  <si>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</si>
  <si>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</si>
  <si>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</si>
  <si>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</si>
  <si>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</si>
  <si>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</si>
  <si>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</si>
  <si>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</si>
  <si>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</si>
  <si>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</si>
  <si>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</si>
  <si>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</si>
  <si>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</si>
  <si>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</si>
  <si>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</si>
  <si>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</si>
  <si>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</si>
  <si>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</si>
  <si>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</si>
  <si>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</si>
  <si>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</si>
  <si>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</si>
  <si>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</si>
  <si>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</si>
  <si>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</si>
  <si>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</si>
  <si>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</si>
  <si>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</si>
  <si>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</si>
  <si>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</si>
  <si>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</si>
  <si>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</si>
  <si>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</si>
  <si>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</si>
  <si>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</si>
  <si>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</si>
  <si>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</si>
  <si>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</si>
  <si>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</si>
  <si>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</si>
  <si>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</si>
  <si>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</si>
  <si>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</si>
  <si>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</si>
  <si>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</si>
  <si>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</si>
  <si>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</si>
  <si>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</si>
  <si>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</si>
  <si>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</si>
  <si>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</si>
  <si>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</si>
  <si>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</si>
  <si>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</si>
  <si>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</si>
  <si>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</si>
  <si>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</si>
  <si>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</si>
  <si>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</si>
  <si>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</si>
  <si>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</si>
  <si>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</si>
  <si>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</si>
  <si>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</si>
  <si>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</si>
  <si>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</si>
  <si>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</si>
  <si>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</si>
  <si>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</si>
  <si>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</si>
  <si>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</si>
  <si>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</si>
  <si>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</si>
  <si>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</si>
  <si>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</si>
  <si>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</si>
  <si>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</si>
  <si>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</si>
  <si>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</si>
  <si>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</si>
  <si>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</si>
  <si>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</si>
  <si>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</si>
  <si>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</si>
  <si>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</si>
  <si>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</si>
  <si>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</si>
  <si>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</si>
  <si>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</si>
  <si>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</si>
  <si>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</si>
  <si>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</si>
  <si>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</si>
  <si>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</si>
  <si>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</si>
  <si>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</si>
  <si>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</si>
  <si>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</si>
  <si>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</si>
  <si>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</si>
  <si>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</si>
  <si>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</si>
  <si>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</si>
  <si>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</si>
  <si>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</si>
  <si>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</si>
  <si>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</si>
  <si>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</si>
  <si>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</si>
  <si>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</si>
  <si>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</si>
  <si>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</si>
  <si>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</si>
  <si>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</si>
  <si>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</si>
  <si>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</si>
  <si>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</si>
  <si>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</si>
  <si>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</si>
  <si>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</si>
  <si>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</si>
  <si>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</si>
  <si>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</si>
  <si>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</si>
  <si>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</si>
  <si>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</si>
  <si>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</si>
  <si>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</si>
  <si>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</si>
  <si>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</si>
  <si>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</si>
  <si>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</si>
  <si>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</si>
  <si>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</si>
  <si>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</si>
  <si>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</si>
  <si>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</si>
  <si>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</si>
  <si>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</si>
  <si>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</si>
  <si>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</si>
  <si>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</si>
  <si>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</si>
  <si>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</si>
  <si>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</si>
  <si>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</si>
  <si>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</si>
  <si>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</si>
  <si>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</si>
  <si>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</si>
  <si>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</si>
  <si>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</si>
  <si>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</si>
  <si>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</si>
  <si>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</si>
  <si>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</si>
  <si>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</si>
  <si>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</si>
  <si>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</si>
  <si>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</si>
  <si>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</si>
  <si>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</si>
  <si>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</si>
  <si>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</si>
  <si>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</si>
  <si>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</si>
  <si>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</si>
  <si>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</si>
  <si>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</si>
  <si>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</si>
  <si>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</si>
  <si>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</si>
  <si>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</si>
  <si>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</si>
  <si>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</si>
  <si>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</si>
  <si>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</si>
  <si>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</si>
  <si>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</si>
  <si>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</si>
  <si>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</si>
  <si>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</si>
  <si>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</si>
  <si>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</si>
  <si>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</si>
  <si>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</si>
  <si>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</si>
  <si>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</si>
  <si>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</si>
  <si>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</si>
  <si>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</si>
  <si>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</si>
  <si>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</si>
  <si>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</si>
  <si>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</si>
  <si>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</si>
  <si>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</si>
  <si>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</si>
  <si>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</si>
  <si>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</si>
  <si>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</si>
  <si>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</si>
  <si>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</si>
  <si>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</si>
  <si>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</si>
  <si>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</si>
  <si>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</si>
  <si>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</si>
  <si>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</si>
  <si>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</si>
  <si>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</si>
  <si>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</si>
  <si>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</si>
  <si>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</si>
  <si>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</si>
  <si>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</si>
  <si>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</si>
  <si>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</si>
  <si>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</si>
  <si>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</si>
  <si>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</si>
  <si>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</si>
  <si>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</si>
  <si>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</si>
  <si>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</si>
  <si>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</si>
  <si>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</si>
  <si>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</si>
  <si>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</si>
  <si>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</si>
  <si>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</si>
  <si>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</si>
  <si>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</si>
  <si>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</si>
  <si>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</si>
  <si>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</si>
  <si>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</si>
  <si>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</si>
  <si>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</si>
  <si>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</si>
  <si>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</si>
  <si>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</si>
  <si>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</si>
  <si>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</si>
  <si>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</si>
  <si>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</si>
  <si>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</si>
  <si>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</si>
  <si>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</si>
  <si>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</si>
  <si>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</si>
  <si>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</si>
  <si>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</si>
  <si>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</si>
  <si>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</si>
  <si>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</si>
  <si>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</si>
  <si>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</si>
  <si>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</si>
  <si>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</si>
  <si>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</si>
  <si>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</si>
  <si>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</si>
  <si>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</si>
  <si>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</si>
  <si>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</si>
  <si>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</si>
  <si>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</si>
  <si>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</si>
  <si>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</si>
  <si>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</si>
  <si>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</si>
  <si>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</si>
  <si>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</si>
  <si>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</si>
  <si>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</si>
  <si>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</si>
  <si>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</si>
  <si>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</si>
  <si>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</si>
  <si>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</si>
  <si>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</si>
  <si>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</si>
  <si>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</si>
  <si>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</si>
  <si>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</si>
  <si>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</si>
  <si>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</si>
  <si>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</si>
  <si>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</si>
  <si>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</si>
  <si>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</si>
  <si>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</si>
  <si>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</si>
  <si>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</si>
  <si>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</si>
  <si>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</si>
  <si>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</si>
  <si>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</si>
  <si>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</si>
  <si>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</si>
  <si>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</si>
  <si>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</si>
  <si>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</si>
  <si>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</si>
  <si>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</si>
  <si>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</si>
  <si>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</si>
  <si>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</si>
  <si>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</si>
  <si>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</si>
  <si>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</si>
  <si>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</si>
  <si>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</si>
  <si>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</si>
  <si>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</si>
  <si>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</si>
  <si>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</si>
  <si>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</si>
  <si>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</si>
  <si>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</si>
  <si>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</si>
  <si>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</si>
  <si>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</si>
  <si>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</si>
  <si>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</si>
  <si>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</si>
  <si>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</si>
  <si>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</si>
  <si>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</si>
  <si>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</si>
  <si>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</si>
  <si>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</si>
  <si>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</si>
  <si>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</si>
  <si>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</si>
  <si>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</si>
  <si>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</si>
  <si>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</si>
  <si>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</si>
  <si>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</si>
  <si>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</si>
  <si>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</si>
  <si>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</si>
  <si>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</si>
  <si>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</si>
  <si>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</si>
  <si>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</si>
  <si>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</si>
  <si>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</si>
  <si>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</si>
  <si>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</si>
  <si>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</si>
  <si>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</si>
  <si>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</si>
  <si>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</si>
  <si>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</si>
  <si>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</si>
  <si>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</si>
  <si>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</si>
  <si>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</si>
  <si>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</si>
  <si>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</si>
  <si>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</si>
  <si>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</si>
  <si>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</si>
  <si>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</si>
  <si>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</si>
  <si>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</si>
  <si>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</si>
  <si>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</si>
  <si>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</si>
  <si>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</si>
  <si>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</si>
  <si>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</si>
  <si>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</si>
  <si>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</si>
  <si>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</si>
  <si>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</si>
  <si>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</si>
  <si>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</si>
  <si>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</si>
  <si>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</si>
  <si>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</si>
  <si>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</si>
  <si>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</si>
  <si>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</si>
  <si>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</si>
  <si>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</si>
  <si>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</si>
  <si>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</si>
  <si>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</si>
  <si>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</si>
  <si>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</si>
  <si>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</si>
  <si>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</si>
  <si>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</si>
  <si>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</si>
  <si>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</si>
  <si>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</si>
  <si>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</si>
  <si>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</si>
  <si>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</si>
  <si>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</si>
  <si>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</si>
  <si>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</si>
  <si>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</si>
  <si>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</si>
  <si>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</si>
  <si>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</si>
  <si>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</si>
  <si>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</si>
  <si>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</si>
  <si>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</si>
  <si>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</si>
  <si>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</si>
  <si>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</si>
  <si>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</si>
  <si>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</si>
  <si>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</si>
  <si>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</si>
  <si>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</si>
  <si>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</si>
  <si>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</si>
  <si>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</si>
  <si>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</si>
  <si>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</si>
  <si>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</si>
  <si>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</si>
  <si>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</si>
  <si>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</si>
  <si>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</si>
  <si>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</si>
  <si>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</si>
  <si>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</si>
  <si>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</si>
  <si>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</si>
  <si>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</si>
  <si>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</si>
  <si>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</si>
  <si>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</si>
  <si>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</si>
  <si>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</si>
  <si>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</si>
  <si>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</si>
  <si>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</si>
  <si>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</si>
  <si>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</si>
  <si>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</si>
  <si>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</si>
  <si>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</si>
  <si>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</si>
  <si>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</si>
  <si>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</si>
  <si>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</si>
  <si>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</si>
  <si>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</si>
  <si>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</si>
  <si>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</si>
  <si>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</si>
  <si>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</si>
  <si>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</si>
  <si>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</si>
  <si>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</si>
  <si>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</si>
  <si>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</si>
  <si>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</si>
  <si>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</si>
  <si>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</si>
  <si>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</si>
  <si>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</si>
  <si>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</si>
  <si>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</si>
  <si>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</si>
  <si>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</si>
  <si>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</si>
  <si>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</si>
  <si>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</si>
  <si>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</si>
  <si>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</si>
  <si>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</si>
  <si>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</si>
  <si>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</si>
  <si>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</si>
  <si>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</si>
  <si>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</si>
  <si>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</si>
  <si>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</si>
  <si>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</si>
  <si>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</si>
  <si>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</si>
  <si>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</si>
  <si>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</si>
  <si>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</si>
  <si>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</si>
  <si>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</si>
  <si>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</si>
  <si>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</si>
  <si>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</si>
  <si>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</si>
  <si>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</si>
  <si>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</si>
  <si>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</si>
  <si>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</si>
  <si>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</si>
  <si>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</si>
  <si>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</si>
  <si>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</si>
  <si>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</si>
  <si>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</si>
  <si>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</si>
  <si>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</si>
  <si>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</si>
  <si>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</si>
  <si>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</si>
  <si>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</si>
  <si>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</si>
  <si>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</si>
  <si>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</si>
  <si>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</si>
  <si>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</si>
  <si>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</si>
  <si>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</si>
  <si>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</si>
  <si>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</si>
  <si>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</si>
  <si>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</si>
  <si>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</si>
  <si>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</si>
  <si>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</si>
  <si>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</si>
  <si>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</si>
  <si>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</si>
  <si>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</si>
  <si>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</si>
  <si>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</si>
  <si>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</si>
  <si>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</si>
  <si>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</si>
  <si>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</si>
  <si>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</si>
  <si>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</si>
  <si>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</si>
  <si>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</si>
  <si>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</si>
  <si>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</si>
  <si>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</si>
  <si>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</si>
  <si>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</si>
  <si>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</si>
  <si>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</si>
  <si>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</si>
  <si>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</si>
  <si>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</si>
  <si>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</si>
  <si>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</si>
  <si>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</si>
  <si>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</si>
  <si>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</si>
  <si>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</si>
  <si>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</si>
  <si>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</si>
  <si>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</si>
  <si>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</si>
  <si>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</si>
  <si>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</si>
  <si>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</si>
  <si>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</si>
  <si>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</si>
  <si>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</si>
  <si>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</si>
  <si>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</si>
  <si>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</si>
  <si>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</si>
  <si>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</si>
  <si>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</si>
  <si>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</si>
  <si>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</si>
  <si>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</si>
  <si>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</si>
  <si>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</si>
  <si>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</si>
  <si>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</si>
  <si>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</si>
  <si>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</si>
  <si>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</si>
  <si>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</si>
  <si>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</si>
  <si>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</si>
  <si>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</si>
  <si>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</si>
  <si>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</si>
  <si>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</si>
  <si>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</si>
  <si>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</si>
  <si>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</si>
  <si>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</si>
  <si>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</si>
  <si>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</si>
  <si>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</si>
  <si>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</si>
  <si>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</si>
  <si>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</si>
  <si>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</si>
  <si>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</si>
  <si>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</si>
  <si>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</si>
  <si>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</si>
  <si>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</si>
  <si>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</si>
  <si>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</si>
  <si>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</si>
  <si>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</si>
  <si>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</si>
  <si>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</si>
  <si>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</si>
  <si>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</si>
  <si>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</si>
  <si>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</si>
  <si>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</si>
  <si>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</si>
  <si>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</si>
  <si>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</si>
  <si>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</si>
  <si>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</si>
  <si>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</si>
  <si>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</si>
  <si>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</si>
  <si>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</si>
  <si>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</si>
  <si>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</si>
  <si>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</si>
  <si>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</si>
  <si>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</si>
  <si>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</si>
  <si>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</si>
  <si>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</si>
  <si>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</si>
  <si>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</si>
  <si>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</si>
  <si>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</si>
  <si>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</si>
  <si>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</si>
  <si>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</si>
  <si>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</si>
  <si>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</si>
  <si>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</si>
  <si>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</si>
  <si>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</si>
  <si>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</si>
  <si>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</si>
  <si>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</si>
  <si>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</si>
  <si>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</si>
  <si>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</si>
  <si>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</si>
  <si>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</si>
  <si>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</si>
  <si>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</si>
  <si>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</si>
  <si>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</si>
  <si>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</si>
  <si>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</si>
  <si>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</si>
  <si>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</si>
  <si>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</si>
  <si>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</si>
  <si>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</si>
  <si>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</si>
  <si>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</si>
  <si>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</si>
  <si>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</si>
  <si>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</si>
  <si>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</si>
  <si>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</si>
  <si>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</si>
  <si>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</si>
  <si>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</si>
  <si>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</si>
  <si>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</si>
  <si>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</si>
  <si>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</si>
  <si>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</si>
  <si>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</si>
  <si>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</si>
  <si>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</si>
  <si>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</si>
  <si>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</si>
  <si>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</si>
  <si>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</si>
  <si>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</si>
  <si>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</si>
  <si>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</si>
  <si>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</si>
  <si>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</si>
  <si>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</si>
  <si>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</si>
  <si>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</si>
  <si>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</si>
  <si>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</si>
  <si>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</si>
  <si>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</si>
  <si>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</si>
  <si>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</si>
  <si>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</si>
  <si>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</si>
  <si>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</si>
  <si>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</si>
  <si>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</si>
  <si>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</si>
  <si>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</si>
  <si>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</si>
  <si>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</si>
  <si>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</si>
  <si>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</si>
  <si>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</si>
  <si>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</si>
  <si>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</si>
  <si>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</si>
  <si>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</si>
  <si>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</si>
  <si>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</si>
  <si>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</si>
  <si>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</si>
  <si>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</si>
  <si>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</si>
  <si>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</si>
  <si>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</si>
  <si>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</si>
  <si>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</si>
  <si>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</si>
  <si>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</si>
  <si>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</si>
  <si>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</si>
  <si>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</si>
  <si>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</si>
  <si>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</si>
  <si>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</si>
  <si>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</si>
  <si>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</si>
  <si>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</si>
  <si>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</si>
  <si>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</si>
  <si>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</si>
  <si>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</si>
  <si>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</si>
  <si>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</si>
  <si>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</si>
  <si>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</si>
  <si>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</si>
  <si>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</si>
  <si>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</si>
  <si>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</si>
  <si>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</si>
  <si>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</si>
  <si>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</si>
  <si>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</si>
  <si>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</si>
  <si>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</si>
  <si>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</si>
  <si>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</si>
  <si>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</si>
  <si>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</si>
  <si>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</si>
  <si>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</si>
  <si>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</si>
  <si>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</si>
  <si>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</si>
  <si>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</si>
  <si>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</si>
  <si>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</si>
  <si>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</si>
  <si>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</si>
  <si>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</si>
  <si>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</si>
  <si>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</si>
  <si>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</si>
  <si>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</si>
  <si>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</si>
  <si>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</si>
  <si>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</si>
  <si>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</si>
  <si>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</si>
  <si>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</si>
  <si>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</si>
  <si>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</si>
  <si>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</si>
  <si>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</si>
  <si>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</si>
  <si>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</si>
  <si>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</si>
  <si>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</si>
  <si>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</si>
  <si>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</si>
  <si>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</si>
  <si>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</si>
  <si>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</si>
  <si>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</si>
  <si>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</si>
  <si>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</si>
  <si>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</si>
  <si>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</si>
  <si>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</si>
  <si>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</si>
  <si>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</si>
  <si>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</si>
  <si>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</si>
  <si>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</si>
  <si>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</si>
  <si>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</si>
  <si>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</si>
  <si>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</si>
  <si>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</si>
  <si>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</si>
  <si>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</si>
  <si>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</si>
  <si>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</si>
  <si>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</si>
  <si>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</si>
  <si>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</si>
  <si>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</si>
  <si>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</si>
  <si>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</si>
  <si>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</si>
  <si>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</si>
  <si>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</si>
  <si>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</si>
  <si>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</si>
  <si>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</si>
  <si>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</si>
  <si>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</si>
  <si>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</si>
  <si>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</si>
  <si>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</si>
  <si>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</si>
  <si>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</si>
  <si>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</si>
  <si>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</si>
  <si>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</si>
  <si>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</si>
  <si>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</si>
  <si>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</si>
  <si>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</si>
  <si>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</si>
  <si>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</si>
  <si>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</si>
  <si>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</si>
  <si>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</si>
  <si>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</si>
  <si>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</si>
  <si>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</si>
  <si>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</si>
  <si>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</si>
  <si>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</si>
  <si>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</si>
  <si>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</si>
  <si>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</si>
  <si>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</si>
  <si>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</si>
  <si>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</si>
  <si>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</si>
  <si>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</si>
  <si>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</si>
  <si>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</si>
  <si>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</si>
  <si>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</si>
  <si>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</si>
  <si>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</si>
  <si>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</si>
  <si>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</si>
  <si>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</si>
  <si>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</si>
  <si>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</si>
  <si>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</si>
  <si>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</si>
  <si>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</si>
  <si>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</si>
  <si>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</si>
  <si>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</si>
  <si>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</si>
  <si>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</si>
  <si>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</si>
  <si>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</si>
  <si>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</si>
  <si>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</si>
  <si>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</si>
  <si>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</si>
  <si>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</si>
  <si>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</si>
  <si>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</si>
  <si>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</si>
  <si>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</si>
  <si>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</si>
  <si>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</si>
  <si>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</si>
  <si>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</si>
  <si>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</si>
  <si>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</si>
  <si>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</si>
  <si>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</si>
  <si>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</si>
  <si>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</si>
  <si>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</si>
  <si>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</si>
  <si>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</si>
  <si>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</si>
  <si>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</si>
  <si>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</si>
  <si>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</si>
  <si>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</si>
  <si>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</si>
  <si>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</si>
  <si>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</si>
  <si>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</si>
  <si>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</si>
  <si>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</si>
  <si>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</si>
  <si>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</si>
  <si>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</si>
  <si>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</si>
  <si>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</si>
  <si>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</si>
  <si>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</si>
  <si>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</si>
  <si>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</si>
  <si>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</si>
  <si>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</si>
  <si>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</si>
  <si>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</si>
  <si>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</si>
  <si>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</si>
  <si>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</si>
  <si>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</si>
  <si>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</si>
  <si>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</si>
  <si>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</si>
  <si>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</si>
  <si>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</si>
  <si>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</si>
  <si>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</si>
  <si>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</si>
  <si>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</si>
  <si>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</si>
  <si>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</si>
  <si>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</si>
  <si>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</si>
  <si>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</si>
  <si>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</si>
  <si>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</si>
  <si>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</si>
  <si>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</si>
  <si>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</si>
  <si>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</si>
  <si>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</si>
  <si>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</si>
  <si>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</si>
  <si>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</si>
  <si>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</si>
  <si>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</si>
  <si>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</si>
  <si>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</si>
  <si>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</si>
  <si>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</si>
  <si>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</si>
  <si>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</si>
  <si>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</si>
  <si>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</si>
  <si>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</si>
  <si>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</si>
  <si>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</si>
  <si>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</si>
  <si>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</si>
  <si>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</si>
  <si>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</si>
  <si>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</si>
  <si>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</si>
  <si>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</si>
  <si>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</si>
  <si>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</si>
  <si>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</si>
  <si>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</si>
  <si>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</si>
  <si>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</si>
  <si>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</si>
  <si>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</si>
  <si>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</si>
  <si>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</si>
  <si>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</si>
  <si>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</si>
  <si>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</si>
  <si>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</si>
  <si>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</si>
  <si>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</si>
  <si>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</si>
  <si>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</si>
  <si>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</si>
  <si>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</si>
  <si>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</si>
  <si>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</si>
  <si>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</si>
  <si>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</si>
  <si>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</si>
  <si>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</si>
  <si>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</si>
  <si>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</si>
  <si>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</si>
  <si>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</si>
  <si>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</si>
  <si>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</si>
  <si>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</si>
  <si>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</si>
  <si>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</si>
  <si>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</si>
  <si>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</si>
  <si>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</si>
  <si>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</si>
  <si>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</si>
  <si>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</si>
  <si>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</si>
  <si>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</si>
  <si>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</si>
  <si>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</si>
  <si>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</si>
  <si>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</si>
  <si>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</si>
  <si>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</si>
  <si>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</si>
  <si>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</si>
  <si>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</si>
  <si>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</si>
  <si>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</si>
  <si>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</si>
  <si>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</si>
  <si>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</si>
  <si>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</si>
  <si>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</si>
  <si>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</si>
  <si>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</si>
  <si>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</si>
  <si>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</si>
  <si>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</si>
  <si>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</si>
  <si>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</si>
  <si>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</si>
  <si>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</si>
  <si>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</si>
  <si>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</si>
  <si>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</si>
  <si>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</si>
  <si>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</si>
  <si>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</si>
  <si>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</si>
  <si>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</si>
  <si>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</si>
  <si>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</si>
  <si>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</si>
  <si>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</si>
  <si>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</si>
  <si>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</si>
  <si>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</si>
  <si>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</si>
  <si>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</si>
  <si>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</si>
  <si>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</si>
  <si>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</si>
  <si>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</si>
  <si>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</si>
  <si>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</si>
  <si>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</si>
  <si>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</si>
  <si>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</si>
  <si>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</si>
  <si>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</si>
  <si>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</si>
  <si>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</si>
  <si>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</si>
  <si>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</si>
  <si>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</si>
  <si>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</si>
  <si>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</si>
  <si>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</si>
  <si>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</si>
  <si>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</si>
  <si>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</si>
  <si>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</si>
  <si>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</si>
  <si>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</si>
  <si>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</si>
  <si>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</si>
  <si>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</si>
  <si>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</si>
  <si>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</si>
  <si>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</si>
  <si>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</si>
  <si>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</si>
  <si>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</si>
  <si>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</si>
  <si>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</si>
  <si>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</si>
  <si>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</si>
  <si>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</si>
  <si>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</si>
  <si>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</si>
  <si>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</si>
  <si>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</si>
  <si>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</si>
  <si>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</si>
  <si>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</si>
  <si>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</si>
  <si>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</si>
  <si>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</si>
  <si>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</si>
  <si>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</si>
  <si>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</si>
  <si>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</si>
  <si>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</si>
  <si>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</si>
  <si>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</si>
  <si>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</si>
  <si>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</si>
  <si>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</si>
  <si>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</si>
  <si>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</si>
  <si>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</si>
  <si>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</si>
  <si>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</si>
  <si>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</si>
  <si>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</si>
  <si>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</si>
  <si>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</si>
  <si>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</si>
  <si>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</si>
  <si>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</si>
  <si>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</si>
  <si>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</si>
  <si>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</si>
  <si>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</si>
  <si>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</si>
  <si>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</si>
  <si>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</si>
  <si>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</si>
  <si>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</si>
  <si>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</si>
  <si>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</si>
  <si>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</si>
  <si>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</si>
  <si>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</si>
  <si>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</si>
  <si>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</si>
  <si>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</si>
  <si>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</si>
  <si>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</si>
  <si>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</si>
  <si>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</si>
  <si>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</si>
  <si>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</si>
  <si>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</si>
  <si>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</si>
  <si>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</si>
  <si>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</si>
  <si>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</si>
  <si>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</si>
  <si>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</si>
  <si>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</si>
  <si>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</si>
  <si>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</si>
  <si>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</si>
  <si>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</si>
  <si>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</si>
  <si>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</si>
  <si>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</si>
  <si>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</si>
  <si>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</si>
  <si>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</si>
  <si>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</si>
  <si>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</si>
  <si>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</si>
  <si>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</si>
  <si>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</si>
  <si>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</si>
  <si>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</si>
  <si>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</si>
  <si>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</si>
  <si>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</si>
  <si>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</si>
  <si>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</si>
  <si>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</si>
  <si>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</si>
  <si>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</si>
  <si>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</si>
  <si>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</si>
  <si>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</si>
  <si>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</si>
  <si>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</si>
  <si>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</si>
  <si>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</si>
  <si>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</si>
  <si>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</si>
  <si>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</si>
  <si>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</si>
  <si>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</si>
  <si>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</si>
  <si>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</si>
  <si>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</si>
  <si>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</si>
  <si>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</si>
  <si>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</si>
  <si>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</si>
  <si>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</si>
  <si>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</si>
  <si>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</si>
  <si>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</si>
  <si>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</si>
  <si>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</si>
  <si>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</si>
  <si>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</si>
  <si>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</si>
  <si>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</si>
  <si>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</si>
  <si>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</si>
  <si>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</si>
  <si>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</si>
  <si>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</si>
  <si>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</si>
  <si>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</si>
  <si>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</si>
  <si>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</si>
  <si>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</si>
  <si>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</si>
  <si>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</si>
  <si>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</si>
  <si>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</si>
  <si>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</si>
  <si>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</si>
  <si>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</si>
  <si>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</si>
  <si>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</si>
  <si>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</si>
  <si>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</si>
  <si>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</si>
  <si>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</si>
  <si>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</si>
  <si>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</si>
  <si>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</si>
  <si>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</si>
  <si>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</si>
  <si>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</si>
  <si>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</si>
  <si>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</si>
  <si>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</si>
  <si>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</si>
  <si>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</si>
  <si>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</si>
  <si>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</si>
  <si>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</si>
  <si>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</si>
  <si>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</si>
  <si>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</si>
  <si>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</si>
  <si>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</si>
  <si>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</si>
  <si>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</si>
  <si>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</si>
  <si>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</si>
  <si>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</si>
  <si>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</si>
  <si>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</si>
  <si>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</si>
  <si>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</si>
  <si>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</si>
  <si>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</si>
  <si>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</si>
  <si>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</si>
  <si>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</si>
  <si>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</si>
  <si>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</si>
  <si>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</si>
  <si>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</si>
  <si>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</si>
  <si>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</si>
  <si>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</si>
  <si>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</si>
  <si>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</si>
  <si>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</si>
  <si>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</si>
  <si>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</si>
  <si>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</si>
  <si>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</si>
  <si>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</si>
  <si>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</si>
  <si>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</si>
  <si>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</si>
  <si>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</si>
  <si>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</si>
  <si>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</si>
  <si>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</si>
  <si>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</si>
  <si>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</si>
  <si>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</si>
  <si>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</si>
  <si>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</si>
  <si>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</si>
  <si>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</si>
  <si>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</si>
  <si>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</si>
  <si>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</si>
  <si>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</si>
  <si>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</si>
  <si>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</si>
  <si>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</si>
  <si>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</si>
  <si>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</si>
  <si>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</si>
  <si>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</si>
  <si>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</si>
  <si>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</si>
  <si>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</si>
  <si>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</si>
  <si>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</si>
  <si>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</si>
  <si>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</si>
  <si>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</si>
  <si>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</si>
  <si>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</si>
  <si>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</si>
  <si>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</si>
  <si>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</si>
  <si>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</si>
  <si>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</si>
  <si>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</si>
  <si>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</si>
  <si>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</si>
  <si>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</si>
  <si>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</si>
  <si>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</si>
  <si>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</si>
  <si>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</si>
  <si>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</si>
  <si>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</si>
  <si>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</si>
  <si>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</si>
  <si>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</si>
  <si>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</si>
  <si>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</si>
  <si>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</si>
  <si>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</si>
  <si>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</si>
  <si>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</si>
  <si>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</si>
  <si>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</si>
  <si>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</si>
  <si>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</si>
  <si>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</si>
  <si>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</si>
  <si>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</si>
  <si>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</si>
  <si>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</si>
  <si>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</si>
  <si>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</si>
  <si>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</si>
  <si>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</si>
  <si>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</si>
  <si>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</si>
  <si>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</si>
  <si>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</si>
  <si>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</si>
  <si>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</si>
  <si>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</si>
  <si>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</si>
  <si>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</si>
  <si>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</si>
  <si>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</si>
  <si>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</si>
  <si>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</si>
  <si>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</si>
  <si>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</si>
  <si>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</si>
  <si>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</si>
  <si>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</si>
  <si>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</si>
  <si>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</si>
  <si>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</si>
  <si>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</si>
  <si>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</si>
  <si>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</si>
  <si>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</si>
  <si>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</si>
  <si>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</si>
  <si>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</si>
  <si>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</si>
  <si>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</si>
  <si>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</si>
  <si>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</si>
  <si>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</si>
  <si>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</si>
  <si>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</si>
  <si>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</si>
  <si>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</si>
  <si>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</si>
  <si>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</si>
  <si>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</si>
  <si>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</si>
  <si>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</si>
  <si>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</si>
  <si>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</si>
  <si>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</si>
  <si>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</si>
  <si>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</si>
  <si>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</si>
  <si>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</si>
  <si>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</si>
  <si>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</si>
  <si>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</si>
  <si>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</si>
  <si>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</si>
  <si>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</si>
  <si>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</si>
  <si>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</si>
  <si>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</si>
  <si>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</si>
  <si>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</si>
  <si>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</si>
  <si>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</si>
  <si>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</si>
  <si>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</si>
  <si>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</si>
  <si>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</si>
  <si>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</si>
  <si>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</si>
  <si>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</si>
  <si>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</si>
  <si>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</si>
  <si>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</si>
  <si>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</si>
  <si>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</si>
  <si>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</si>
  <si>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</si>
  <si>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</si>
  <si>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</si>
  <si>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</si>
  <si>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</si>
  <si>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</si>
  <si>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</si>
  <si>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</si>
  <si>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</si>
  <si>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</si>
  <si>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</si>
  <si>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</si>
  <si>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</si>
  <si>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</si>
  <si>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</si>
  <si>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</si>
  <si>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</si>
  <si>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</si>
  <si>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</si>
  <si>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</si>
  <si>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</si>
  <si>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</si>
  <si>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</si>
  <si>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</si>
  <si>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</si>
  <si>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</si>
  <si>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</si>
  <si>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</si>
  <si>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</si>
  <si>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</si>
  <si>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</si>
  <si>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</si>
  <si>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</si>
  <si>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</si>
  <si>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</si>
  <si>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</si>
  <si>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</si>
  <si>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</si>
  <si>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</si>
  <si>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</si>
  <si>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</si>
  <si>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</si>
  <si>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</si>
  <si>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</si>
  <si>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</si>
  <si>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</si>
  <si>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</si>
  <si>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</si>
  <si>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</si>
  <si>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</si>
  <si>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</si>
  <si>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</si>
  <si>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</si>
  <si>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</si>
  <si>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</si>
  <si>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</si>
  <si>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</si>
  <si>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</si>
  <si>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</si>
  <si>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</si>
  <si>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</si>
  <si>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</si>
  <si>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</si>
  <si>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</si>
  <si>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</si>
  <si>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</si>
  <si>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</si>
  <si>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</si>
  <si>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</si>
  <si>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</si>
  <si>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</si>
  <si>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</si>
  <si>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</si>
  <si>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</si>
  <si>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</si>
  <si>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</si>
  <si>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</si>
  <si>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</si>
  <si>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</si>
  <si>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</si>
  <si>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</si>
  <si>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</si>
  <si>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</si>
  <si>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</si>
  <si>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</si>
  <si>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</si>
  <si>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</si>
  <si>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</si>
  <si>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</si>
  <si>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</si>
  <si>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</si>
  <si>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</si>
  <si>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</si>
  <si>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</si>
  <si>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</si>
  <si>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</si>
  <si>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</si>
  <si>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</si>
  <si>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</si>
  <si>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</si>
  <si>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</si>
  <si>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</si>
  <si>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</si>
  <si>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</si>
  <si>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</si>
  <si>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</si>
  <si>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</si>
  <si>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</si>
  <si>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</si>
  <si>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</si>
  <si>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</si>
  <si>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</si>
  <si>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</si>
  <si>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</si>
  <si>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</si>
  <si>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</si>
  <si>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</si>
  <si>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</si>
  <si>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</si>
  <si>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</si>
  <si>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</si>
  <si>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</si>
  <si>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</si>
  <si>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</si>
  <si>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</si>
  <si>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</si>
  <si>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</si>
  <si>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</si>
  <si>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</si>
  <si>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</si>
  <si>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</si>
  <si>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</si>
  <si>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</si>
  <si>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</si>
  <si>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</si>
  <si>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</si>
  <si>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</si>
  <si>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</si>
  <si>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</si>
  <si>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</si>
  <si>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</si>
  <si>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</si>
  <si>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</si>
  <si>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</si>
  <si>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</si>
  <si>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</si>
  <si>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</si>
  <si>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</si>
  <si>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</si>
  <si>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</si>
  <si>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</si>
  <si>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</si>
  <si>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</si>
  <si>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</si>
  <si>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</si>
  <si>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</si>
  <si>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</si>
  <si>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</si>
  <si>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</si>
  <si>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</si>
  <si>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</si>
  <si>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</si>
  <si>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</si>
  <si>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</si>
  <si>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</si>
  <si>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</si>
  <si>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</si>
  <si>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</si>
  <si>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</si>
  <si>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</si>
  <si>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</si>
  <si>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</si>
  <si>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</si>
  <si>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</si>
  <si>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</si>
  <si>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</si>
  <si>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</si>
  <si>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</si>
  <si>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</si>
  <si>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</si>
  <si>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</si>
  <si>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</si>
  <si>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</si>
  <si>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</si>
  <si>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</si>
  <si>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</si>
  <si>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</si>
  <si>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</si>
  <si>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</si>
  <si>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</si>
  <si>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</si>
  <si>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</si>
  <si>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</si>
  <si>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</si>
  <si>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</si>
  <si>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</si>
  <si>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</si>
  <si>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</si>
  <si>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</si>
  <si>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</si>
  <si>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</si>
  <si>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</si>
  <si>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</si>
  <si>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</si>
  <si>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</si>
  <si>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</si>
  <si>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</si>
  <si>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</si>
  <si>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</si>
  <si>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</si>
  <si>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</si>
  <si>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</si>
  <si>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</si>
  <si>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</si>
  <si>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</si>
  <si>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</si>
  <si>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</si>
  <si>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</si>
  <si>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</si>
  <si>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</si>
  <si>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</si>
  <si>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</si>
  <si>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</si>
  <si>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</si>
  <si>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</si>
  <si>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</si>
  <si>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</si>
  <si>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</si>
  <si>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</si>
  <si>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</si>
  <si>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</si>
  <si>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</si>
  <si>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</si>
  <si>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</si>
  <si>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</si>
  <si>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</si>
  <si>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</si>
  <si>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</si>
  <si>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</si>
  <si>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</si>
  <si>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</si>
  <si>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</si>
  <si>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</si>
  <si>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</si>
  <si>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</si>
  <si>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</si>
  <si>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</si>
  <si>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</si>
  <si>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</si>
  <si>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</si>
  <si>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</si>
  <si>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</si>
  <si>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</si>
  <si>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</si>
  <si>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</si>
  <si>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</si>
  <si>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</si>
  <si>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</si>
  <si>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</si>
  <si>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</si>
  <si>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</si>
  <si>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</si>
  <si>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</si>
  <si>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</si>
  <si>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</si>
  <si>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</si>
  <si>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</si>
  <si>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</si>
  <si>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</si>
  <si>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</si>
  <si>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</si>
  <si>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</si>
  <si>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</si>
  <si>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</si>
  <si>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</si>
  <si>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</si>
  <si>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</si>
  <si>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</si>
  <si>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</si>
  <si>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</si>
  <si>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</si>
  <si>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</si>
  <si>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</si>
  <si>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</si>
  <si>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</si>
  <si>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</si>
  <si>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</si>
  <si>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</si>
  <si>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</si>
  <si>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</si>
  <si>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</si>
  <si>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</si>
  <si>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</si>
  <si>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</si>
  <si>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</si>
  <si>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</si>
  <si>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</si>
  <si>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</si>
  <si>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</si>
  <si>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</si>
  <si>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</si>
  <si>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</si>
  <si>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</si>
  <si>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</si>
  <si>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</si>
  <si>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</si>
  <si>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</si>
  <si>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</si>
  <si>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</si>
  <si>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</si>
  <si>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</si>
  <si>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</si>
  <si>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</si>
  <si>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</si>
  <si>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</si>
  <si>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</si>
  <si>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</si>
  <si>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</si>
  <si>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</si>
  <si>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</si>
  <si>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</si>
  <si>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</si>
  <si>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</si>
  <si>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</si>
  <si>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</si>
  <si>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</si>
  <si>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</si>
  <si>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</si>
  <si>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</si>
  <si>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</si>
  <si>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</si>
  <si>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</si>
  <si>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</si>
  <si>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</si>
  <si>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</si>
  <si>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</si>
  <si>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</si>
  <si>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</si>
  <si>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</si>
  <si>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</si>
  <si>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</si>
  <si>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</si>
  <si>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</si>
  <si>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</si>
  <si>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</si>
  <si>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</si>
  <si>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</si>
  <si>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</si>
  <si>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</si>
  <si>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</si>
  <si>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</si>
  <si>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</si>
  <si>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</si>
  <si>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</si>
  <si>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</si>
  <si>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</si>
  <si>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</si>
  <si>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</si>
  <si>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</si>
  <si>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</si>
  <si>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</si>
  <si>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</si>
  <si>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</si>
  <si>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</si>
  <si>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</si>
  <si>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</si>
  <si>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</si>
  <si>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</si>
  <si>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</si>
  <si>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</si>
  <si>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</si>
  <si>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</si>
  <si>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</si>
  <si>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</si>
  <si>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</si>
  <si>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</si>
  <si>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</si>
  <si>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</si>
  <si>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</si>
  <si>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</si>
  <si>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</si>
  <si>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</si>
  <si>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</si>
  <si>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</si>
  <si>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</si>
  <si>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</si>
  <si>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</si>
  <si>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</si>
  <si>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</si>
  <si>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</si>
  <si>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</si>
  <si>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</si>
  <si>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</si>
  <si>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</si>
  <si>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</si>
  <si>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</si>
  <si>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</si>
  <si>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</si>
  <si>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</si>
  <si>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</si>
  <si>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</si>
  <si>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</si>
  <si>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</si>
  <si>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</si>
  <si>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</si>
  <si>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</si>
  <si>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</si>
  <si>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</si>
  <si>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</si>
  <si>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</si>
  <si>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</si>
  <si>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</si>
  <si>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</si>
  <si>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</si>
  <si>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</si>
  <si>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</si>
  <si>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</si>
  <si>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</si>
  <si>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</si>
  <si>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</si>
  <si>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</si>
  <si>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</si>
  <si>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</si>
  <si>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</si>
  <si>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</si>
  <si>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</si>
  <si>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</si>
  <si>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</si>
  <si>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</si>
  <si>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</si>
  <si>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</si>
  <si>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</si>
  <si>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</si>
  <si>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</si>
  <si>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</si>
  <si>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</si>
  <si>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</si>
  <si>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</si>
  <si>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</si>
  <si>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</si>
  <si>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</si>
  <si>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</si>
  <si>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</si>
  <si>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</si>
  <si>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</si>
  <si>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</si>
  <si>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</si>
  <si>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</si>
  <si>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</si>
  <si>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</si>
  <si>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</si>
  <si>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</si>
  <si>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</si>
  <si>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</si>
  <si>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</si>
  <si>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</si>
  <si>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</si>
  <si>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</si>
  <si>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</si>
  <si>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</si>
  <si>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</si>
  <si>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</si>
  <si>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</si>
  <si>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</si>
  <si>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</si>
  <si>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</si>
  <si>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</si>
  <si>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</si>
  <si>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</si>
  <si>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</si>
  <si>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</si>
  <si>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</si>
  <si>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</si>
  <si>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</si>
  <si>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</si>
  <si>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</si>
  <si>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</si>
  <si>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</si>
  <si>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</si>
  <si>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</si>
  <si>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</si>
  <si>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</si>
  <si>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</si>
  <si>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</si>
  <si>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</si>
  <si>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</si>
  <si>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</si>
  <si>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</si>
  <si>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</si>
  <si>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</si>
  <si>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</si>
  <si>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</si>
  <si>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</si>
  <si>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</si>
  <si>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</si>
  <si>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</si>
  <si>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</si>
  <si>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</si>
  <si>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</si>
  <si>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</si>
  <si>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</si>
  <si>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</si>
  <si>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</si>
  <si>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</si>
  <si>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</si>
  <si>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</si>
  <si>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</si>
  <si>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</si>
  <si>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</si>
  <si>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</si>
  <si>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</si>
  <si>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</si>
  <si>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</si>
  <si>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</si>
  <si>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</si>
  <si>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</si>
  <si>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</si>
  <si>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</si>
  <si>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</si>
  <si>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</si>
  <si>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</si>
  <si>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</si>
  <si>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</si>
  <si>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</si>
  <si>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</si>
  <si>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</si>
  <si>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</si>
  <si>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</si>
  <si>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</si>
  <si>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</si>
  <si>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</si>
  <si>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</si>
  <si>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</si>
  <si>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</si>
  <si>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</si>
  <si>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</si>
  <si>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</si>
  <si>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</si>
  <si>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</si>
  <si>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</si>
  <si>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</si>
  <si>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</si>
  <si>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</si>
  <si>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</si>
  <si>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</si>
  <si>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</si>
  <si>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</si>
  <si>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</si>
  <si>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</si>
  <si>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</si>
  <si>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</si>
  <si>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</si>
  <si>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</si>
  <si>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</si>
  <si>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</si>
  <si>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</si>
  <si>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</si>
  <si>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</si>
  <si>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</si>
  <si>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</si>
  <si>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</si>
  <si>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</si>
  <si>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</si>
  <si>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</si>
  <si>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</si>
  <si>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</si>
  <si>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</si>
  <si>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</si>
  <si>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</si>
  <si>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</si>
  <si>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</si>
  <si>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</si>
  <si>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</si>
  <si>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</si>
  <si>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</si>
  <si>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</si>
  <si>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</si>
  <si>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</si>
  <si>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</si>
  <si>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</si>
  <si>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</si>
  <si>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</si>
  <si>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</si>
  <si>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</si>
  <si>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</si>
  <si>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</si>
  <si>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</si>
  <si>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</si>
  <si>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</si>
  <si>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</si>
  <si>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</si>
  <si>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</si>
  <si>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</si>
  <si>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</si>
  <si>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</si>
  <si>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</si>
  <si>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</si>
  <si>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</si>
  <si>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</si>
  <si>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</si>
  <si>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</si>
  <si>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</si>
  <si>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</si>
  <si>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</si>
  <si>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</si>
  <si>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</si>
  <si>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</si>
  <si>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</si>
  <si>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</si>
  <si>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</si>
  <si>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</si>
  <si>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</si>
  <si>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</si>
  <si>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</si>
  <si>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</si>
  <si>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</si>
  <si>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</si>
  <si>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</si>
  <si>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</si>
  <si>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</si>
  <si>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</si>
  <si>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</si>
  <si>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</si>
  <si>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</si>
  <si>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</si>
  <si>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</si>
  <si>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</si>
  <si>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</si>
  <si>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</si>
  <si>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</si>
  <si>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</si>
  <si>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</si>
  <si>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</si>
  <si>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</si>
  <si>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</si>
  <si>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</si>
  <si>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</si>
  <si>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</si>
  <si>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</si>
  <si>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</si>
  <si>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</si>
  <si>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</si>
  <si>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</si>
  <si>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</si>
  <si>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</si>
  <si>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</si>
  <si>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</si>
  <si>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</si>
  <si>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</si>
  <si>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</si>
  <si>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</si>
  <si>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</si>
  <si>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</si>
  <si>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</si>
  <si>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</si>
  <si>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</si>
  <si>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</si>
  <si>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</si>
  <si>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</si>
  <si>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</si>
  <si>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</si>
  <si>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</si>
  <si>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</si>
  <si>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</si>
  <si>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</si>
  <si>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</si>
  <si>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</si>
  <si>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</si>
  <si>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</si>
  <si>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</si>
  <si>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</si>
  <si>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</si>
  <si>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</si>
  <si>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</si>
  <si>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</si>
  <si>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</si>
  <si>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</si>
  <si>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</si>
  <si>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</si>
  <si>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</si>
  <si>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</si>
  <si>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</si>
  <si>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</si>
  <si>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</si>
  <si>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</si>
  <si>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</si>
  <si>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</si>
  <si>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</si>
  <si>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</si>
  <si>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</si>
  <si>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</si>
  <si>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</si>
  <si>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</si>
  <si>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</si>
  <si>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</si>
  <si>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</si>
  <si>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</si>
  <si>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</si>
  <si>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</si>
  <si>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</si>
  <si>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</si>
  <si>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</si>
  <si>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</si>
  <si>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</si>
  <si>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</si>
  <si>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</si>
  <si>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</si>
  <si>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</si>
  <si>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</si>
  <si>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</si>
  <si>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</si>
  <si>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</si>
  <si>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</si>
  <si>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</si>
  <si>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</si>
  <si>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</si>
  <si>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</si>
  <si>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</si>
  <si>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</si>
  <si>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</si>
  <si>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</si>
  <si>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</si>
  <si>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</si>
  <si>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</si>
  <si>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</si>
  <si>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</si>
  <si>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</si>
  <si>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</si>
  <si>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</si>
  <si>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</si>
  <si>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</si>
  <si>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</si>
  <si>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</si>
  <si>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</si>
  <si>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</si>
  <si>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</si>
  <si>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</si>
  <si>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</si>
  <si>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</si>
  <si>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</si>
  <si>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</si>
  <si>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</si>
  <si>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</si>
  <si>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</si>
  <si>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</si>
  <si>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</si>
  <si>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</si>
  <si>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</si>
  <si>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</si>
  <si>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</si>
  <si>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</si>
  <si>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</si>
  <si>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</si>
  <si>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</si>
  <si>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</si>
  <si>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</si>
  <si>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</si>
  <si>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</si>
  <si>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</si>
  <si>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</si>
  <si>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</si>
  <si>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</si>
  <si>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</si>
  <si>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</si>
  <si>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</si>
  <si>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</si>
  <si>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</si>
  <si>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</si>
  <si>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</si>
  <si>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</si>
  <si>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</si>
  <si>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</si>
  <si>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</si>
  <si>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</si>
  <si>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</si>
  <si>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</si>
  <si>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</si>
  <si>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</si>
  <si>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</si>
  <si>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</si>
  <si>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</si>
  <si>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</si>
  <si>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</si>
  <si>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</si>
  <si>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</si>
  <si>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</si>
  <si>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</si>
  <si>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</si>
  <si>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</si>
  <si>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</si>
  <si>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</si>
  <si>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</si>
  <si>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</si>
  <si>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</si>
  <si>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</si>
  <si>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</si>
  <si>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</si>
  <si>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</si>
  <si>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</si>
  <si>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</si>
  <si>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</si>
  <si>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</si>
  <si>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</si>
  <si>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</si>
  <si>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</si>
  <si>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</si>
  <si>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</si>
  <si>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</si>
  <si>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</si>
  <si>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</si>
  <si>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</si>
  <si>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</si>
  <si>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</si>
  <si>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</si>
  <si>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</si>
  <si>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</si>
  <si>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</si>
  <si>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</si>
  <si>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</si>
  <si>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</si>
  <si>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</si>
  <si>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</si>
  <si>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</si>
  <si>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</si>
  <si>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</si>
  <si>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</si>
  <si>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</si>
  <si>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</si>
  <si>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</si>
  <si>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</si>
  <si>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</si>
  <si>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</si>
  <si>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</si>
  <si>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</si>
  <si>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</si>
  <si>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</si>
  <si>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</si>
  <si>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</si>
  <si>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</si>
  <si>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</si>
  <si>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</si>
  <si>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</si>
  <si>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</si>
  <si>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</si>
  <si>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</si>
  <si>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</si>
  <si>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</si>
  <si>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</si>
  <si>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</si>
  <si>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</si>
  <si>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</si>
  <si>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</si>
  <si>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</si>
  <si>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</si>
  <si>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</si>
  <si>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</si>
  <si>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</si>
  <si>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</si>
  <si>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</si>
  <si>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</si>
  <si>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</si>
  <si>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</si>
  <si>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</si>
  <si>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</si>
  <si>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</si>
  <si>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</si>
  <si>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</si>
  <si>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</si>
  <si>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</si>
  <si>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</si>
  <si>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</si>
  <si>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</si>
  <si>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</si>
  <si>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</si>
  <si>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</si>
  <si>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</si>
  <si>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</si>
  <si>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</si>
  <si>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</si>
  <si>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</si>
  <si>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</si>
  <si>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</si>
  <si>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</si>
  <si>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</si>
  <si>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</si>
  <si>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</si>
  <si>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</si>
  <si>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</si>
  <si>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</si>
  <si>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</si>
  <si>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</si>
  <si>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</si>
  <si>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</si>
  <si>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</si>
  <si>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</si>
  <si>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</si>
  <si>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</si>
  <si>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</si>
  <si>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</si>
  <si>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</si>
  <si>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</si>
  <si>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</si>
  <si>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</si>
  <si>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</si>
  <si>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</si>
  <si>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</si>
  <si>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</si>
  <si>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</si>
  <si>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</si>
  <si>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</si>
  <si>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</si>
  <si>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</si>
  <si>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</si>
  <si>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</si>
  <si>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</si>
  <si>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</si>
  <si>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</si>
  <si>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</si>
  <si>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</si>
  <si>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</si>
  <si>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</si>
  <si>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</si>
  <si>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</si>
  <si>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</si>
  <si>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</si>
  <si>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</si>
  <si>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</si>
  <si>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</si>
  <si>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</si>
  <si>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</si>
  <si>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</si>
  <si>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</si>
  <si>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</si>
  <si>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</si>
  <si>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</si>
  <si>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</si>
  <si>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</si>
  <si>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</si>
  <si>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</si>
  <si>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</si>
  <si>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</si>
  <si>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</si>
  <si>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</si>
  <si>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</si>
  <si>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</si>
  <si>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</si>
  <si>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</si>
  <si>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</si>
  <si>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</si>
  <si>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</si>
  <si>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</si>
  <si>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</si>
  <si>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</si>
  <si>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</si>
  <si>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</si>
  <si>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</si>
  <si>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</si>
  <si>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</si>
  <si>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</si>
  <si>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</si>
  <si>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</si>
  <si>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</si>
  <si>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</si>
  <si>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</si>
  <si>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</si>
  <si>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</si>
  <si>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</si>
  <si>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</si>
  <si>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</si>
  <si>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</si>
  <si>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</si>
  <si>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</si>
  <si>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</si>
  <si>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</si>
  <si>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</si>
  <si>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</si>
  <si>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</si>
  <si>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</si>
  <si>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</si>
  <si>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</si>
  <si>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</si>
  <si>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</si>
  <si>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</si>
  <si>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</si>
  <si>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</si>
  <si>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</si>
  <si>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</si>
  <si>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</si>
  <si>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</si>
  <si>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</si>
  <si>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</si>
  <si>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</si>
  <si>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</si>
  <si>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</si>
  <si>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</si>
  <si>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</si>
  <si>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</si>
  <si>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</si>
  <si>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</si>
  <si>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</si>
  <si>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</si>
  <si>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</si>
  <si>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</si>
  <si>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</si>
  <si>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</si>
  <si>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</si>
  <si>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</si>
  <si>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</si>
  <si>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</si>
  <si>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</si>
  <si>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</si>
  <si>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</si>
  <si>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</si>
  <si>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</si>
  <si>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</si>
  <si>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</si>
  <si>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</si>
  <si>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</si>
  <si>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</si>
  <si>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</si>
  <si>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</si>
  <si>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</si>
  <si>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</si>
  <si>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</si>
  <si>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</si>
  <si>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</si>
  <si>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</si>
  <si>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</si>
  <si>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</si>
  <si>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</si>
  <si>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</si>
  <si>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</si>
  <si>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</si>
  <si>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</si>
  <si>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</si>
  <si>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</si>
  <si>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</si>
  <si>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</si>
  <si>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</si>
  <si>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</si>
  <si>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</si>
  <si>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</si>
  <si>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</si>
  <si>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</si>
  <si>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</si>
  <si>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</si>
  <si>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</si>
  <si>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</si>
  <si>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</si>
  <si>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</si>
  <si>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</si>
  <si>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</si>
  <si>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</si>
  <si>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</si>
  <si>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</si>
  <si>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</si>
  <si>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</si>
  <si>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</si>
  <si>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</si>
  <si>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</si>
  <si>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</si>
  <si>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</si>
  <si>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</si>
  <si>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</si>
  <si>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</si>
  <si>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</si>
  <si>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</si>
  <si>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</si>
  <si>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</si>
  <si>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</si>
  <si>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</si>
  <si>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</si>
  <si>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</si>
  <si>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</si>
  <si>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</si>
  <si>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</si>
  <si>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</si>
  <si>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</si>
  <si>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</si>
  <si>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</si>
  <si>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</si>
  <si>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</si>
  <si>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</si>
  <si>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</si>
  <si>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</si>
  <si>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</si>
  <si>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</si>
  <si>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</si>
  <si>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</si>
  <si>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</si>
  <si>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</si>
  <si>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</si>
  <si>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</si>
  <si>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</si>
  <si>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</si>
  <si>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</si>
  <si>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</si>
  <si>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</si>
  <si>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</si>
  <si>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</si>
  <si>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</si>
  <si>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</si>
  <si>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</si>
  <si>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</si>
  <si>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</si>
  <si>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</si>
  <si>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</si>
  <si>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</si>
  <si>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</si>
  <si>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</si>
  <si>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</si>
  <si>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</si>
  <si>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</si>
  <si>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</si>
  <si>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</si>
  <si>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</si>
  <si>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</si>
  <si>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</si>
  <si>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</si>
  <si>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</si>
  <si>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</si>
  <si>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</si>
  <si>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</si>
  <si>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</si>
  <si>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</si>
  <si>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</si>
  <si>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</si>
  <si>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</si>
  <si>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</si>
  <si>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</si>
  <si>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</si>
  <si>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</si>
  <si>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</si>
  <si>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</si>
  <si>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</si>
  <si>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</si>
  <si>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</si>
  <si>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</si>
  <si>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</si>
  <si>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</si>
  <si>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</si>
  <si>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</si>
  <si>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</si>
  <si>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</si>
  <si>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</si>
  <si>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</si>
  <si>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</si>
  <si>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</si>
  <si>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</si>
  <si>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</si>
  <si>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</si>
  <si>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</si>
  <si>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</si>
  <si>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</si>
  <si>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</si>
  <si>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</si>
  <si>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</si>
  <si>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</si>
  <si>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</si>
  <si>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</si>
  <si>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</si>
  <si>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</si>
  <si>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</si>
  <si>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</si>
  <si>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</si>
  <si>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</si>
  <si>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</si>
  <si>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</si>
  <si>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</si>
  <si>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</si>
  <si>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</si>
  <si>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</si>
  <si>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</si>
  <si>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</si>
  <si>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</si>
  <si>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</si>
  <si>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</si>
  <si>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</si>
  <si>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</si>
  <si>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</si>
  <si>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</si>
  <si>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</si>
  <si>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</si>
  <si>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</si>
  <si>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</si>
  <si>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</si>
  <si>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</si>
  <si>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</si>
  <si>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</si>
  <si>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</si>
  <si>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</si>
  <si>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</si>
  <si>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</si>
  <si>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</si>
  <si>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</si>
  <si>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</si>
  <si>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</si>
  <si>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</si>
  <si>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</si>
  <si>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</si>
  <si>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</si>
  <si>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</si>
  <si>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</si>
  <si>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</si>
  <si>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</si>
  <si>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</si>
  <si>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</si>
  <si>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</si>
  <si>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</si>
  <si>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</si>
  <si>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</si>
  <si>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</si>
  <si>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</si>
  <si>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</si>
  <si>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</si>
  <si>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</si>
  <si>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</si>
  <si>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</si>
  <si>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</si>
  <si>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</si>
  <si>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</si>
  <si>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</si>
  <si>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</si>
  <si>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</si>
  <si>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</si>
  <si>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</si>
  <si>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</si>
  <si>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</si>
  <si>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</si>
  <si>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</si>
  <si>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</si>
  <si>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</si>
  <si>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</si>
  <si>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</si>
  <si>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</si>
  <si>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</si>
  <si>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</si>
  <si>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</si>
  <si>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</si>
  <si>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</si>
  <si>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</si>
  <si>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</si>
  <si>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</si>
  <si>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</si>
  <si>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</si>
  <si>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</si>
  <si>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</si>
  <si>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</si>
  <si>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</si>
  <si>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</si>
  <si>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</si>
  <si>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</si>
  <si>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</si>
  <si>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</si>
  <si>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</si>
  <si>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</si>
  <si>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</si>
  <si>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</si>
  <si>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</si>
  <si>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</si>
  <si>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</si>
  <si>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</si>
  <si>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</si>
  <si>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</si>
  <si>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</si>
  <si>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</si>
  <si>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</si>
  <si>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</si>
  <si>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</si>
  <si>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</si>
  <si>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</si>
  <si>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</si>
  <si>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</si>
  <si>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</si>
  <si>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</si>
  <si>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</si>
  <si>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</si>
  <si>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</si>
  <si>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</si>
  <si>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</si>
  <si>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</si>
  <si>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</si>
  <si>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</si>
  <si>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</si>
  <si>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</si>
  <si>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</si>
  <si>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</si>
  <si>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</si>
  <si>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</si>
  <si>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</si>
  <si>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</si>
  <si>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</si>
  <si>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</si>
  <si>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</si>
  <si>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</si>
  <si>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</si>
  <si>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</si>
  <si>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</si>
  <si>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</si>
  <si>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</si>
  <si>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</si>
  <si>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</si>
  <si>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</si>
  <si>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</si>
  <si>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</si>
  <si>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</si>
  <si>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</si>
  <si>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</si>
  <si>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</si>
  <si>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</si>
  <si>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</si>
  <si>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</si>
  <si>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</si>
  <si>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</si>
  <si>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</si>
  <si>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</si>
  <si>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</si>
  <si>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</si>
  <si>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</si>
  <si>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</si>
  <si>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</si>
  <si>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</si>
  <si>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</si>
  <si>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</si>
  <si>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</si>
  <si>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</si>
  <si>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</si>
  <si>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</si>
  <si>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</si>
  <si>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</si>
  <si>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</si>
  <si>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</si>
  <si>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</si>
  <si>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</si>
  <si>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</si>
  <si>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</si>
  <si>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</si>
  <si>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</si>
  <si>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</si>
  <si>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</si>
  <si>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</si>
  <si>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</si>
  <si>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</si>
  <si>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</si>
  <si>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</si>
  <si>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</si>
  <si>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</si>
  <si>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</si>
  <si>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</si>
  <si>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</si>
  <si>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</si>
  <si>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</si>
  <si>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</si>
  <si>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</si>
  <si>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</si>
  <si>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</si>
  <si>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</si>
  <si>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</si>
  <si>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</si>
  <si>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</si>
  <si>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</si>
  <si>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</si>
  <si>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</si>
  <si>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</si>
  <si>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</si>
  <si>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</si>
  <si>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</si>
  <si>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</si>
  <si>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</si>
  <si>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</si>
  <si>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</si>
  <si>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</si>
  <si>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</si>
  <si>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</si>
  <si>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</si>
  <si>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</si>
  <si>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</si>
  <si>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</si>
  <si>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</si>
  <si>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</si>
  <si>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</si>
  <si>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</si>
  <si>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</si>
  <si>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</si>
  <si>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</si>
  <si>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</si>
  <si>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</si>
  <si>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</si>
  <si>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</si>
  <si>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</si>
  <si>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</si>
  <si>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</si>
  <si>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</si>
  <si>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</si>
  <si>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</si>
  <si>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</si>
  <si>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</si>
  <si>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</si>
  <si>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</si>
  <si>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</si>
  <si>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</si>
  <si>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</si>
  <si>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</si>
  <si>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</si>
  <si>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</si>
  <si>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</si>
  <si>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</si>
  <si>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</si>
  <si>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</si>
  <si>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</si>
  <si>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</si>
  <si>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</si>
  <si>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</si>
  <si>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</si>
  <si>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</si>
  <si>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</si>
  <si>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</si>
  <si>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</si>
  <si>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</si>
  <si>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</si>
  <si>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</si>
  <si>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</si>
  <si>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</si>
  <si>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</si>
  <si>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</si>
  <si>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</si>
  <si>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</si>
  <si>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</si>
  <si>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</si>
  <si>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</si>
  <si>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</si>
  <si>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</si>
  <si>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</si>
  <si>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</si>
  <si>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</si>
  <si>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</si>
  <si>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</si>
  <si>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</si>
  <si>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</si>
  <si>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</si>
  <si>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</si>
  <si>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</si>
  <si>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</si>
  <si>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</si>
  <si>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</si>
  <si>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</si>
  <si>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</si>
  <si>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</si>
  <si>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</si>
  <si>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</si>
  <si>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</si>
  <si>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</si>
  <si>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</si>
  <si>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</si>
  <si>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</si>
  <si>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</si>
  <si>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</si>
  <si>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</si>
  <si>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</si>
  <si>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</si>
  <si>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</si>
  <si>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</si>
  <si>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</si>
  <si>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</si>
  <si>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</si>
  <si>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</si>
  <si>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</si>
  <si>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</si>
  <si>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</si>
  <si>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</si>
  <si>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</si>
  <si>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</si>
  <si>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</si>
  <si>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</si>
  <si>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</si>
  <si>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</si>
  <si>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</si>
  <si>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</si>
  <si>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</si>
  <si>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</si>
  <si>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</si>
  <si>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</si>
  <si>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</si>
  <si>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</si>
  <si>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</si>
  <si>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</si>
  <si>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</si>
  <si>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</si>
  <si>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</si>
  <si>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</si>
  <si>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</si>
  <si>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</si>
  <si>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</si>
  <si>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</si>
  <si>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</si>
  <si>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</si>
  <si>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</si>
  <si>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</si>
  <si>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</si>
  <si>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</si>
  <si>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</si>
  <si>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</si>
  <si>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</si>
  <si>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</si>
  <si>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</si>
  <si>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</si>
  <si>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</si>
  <si>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</si>
  <si>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</si>
  <si>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</si>
  <si>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</si>
  <si>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</si>
  <si>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</si>
  <si>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</si>
  <si>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</si>
  <si>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</si>
  <si>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</si>
  <si>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</si>
  <si>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</si>
  <si>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</si>
  <si>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</si>
  <si>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</si>
  <si>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</si>
  <si>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</si>
  <si>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</si>
  <si>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</si>
  <si>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</si>
  <si>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</si>
  <si>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</si>
  <si>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</si>
  <si>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</si>
  <si>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</si>
  <si>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</si>
  <si>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</si>
  <si>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</si>
  <si>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</si>
  <si>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</si>
  <si>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</si>
  <si>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</si>
  <si>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</si>
  <si>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</si>
  <si>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</si>
  <si>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</si>
  <si>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</si>
  <si>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</si>
  <si>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</si>
  <si>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</si>
  <si>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</si>
  <si>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</si>
  <si>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</si>
  <si>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</si>
  <si>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</si>
  <si>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</si>
  <si>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</si>
  <si>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</si>
  <si>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</si>
  <si>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</si>
  <si>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</si>
  <si>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</si>
  <si>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</si>
  <si>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</si>
  <si>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</si>
  <si>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</si>
  <si>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</si>
  <si>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</si>
  <si>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</si>
  <si>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</si>
  <si>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</si>
  <si>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</si>
  <si>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</si>
  <si>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</si>
  <si>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</si>
  <si>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</si>
  <si>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</si>
  <si>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</si>
  <si>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</si>
  <si>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</si>
  <si>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</si>
  <si>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</si>
  <si>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</si>
  <si>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</si>
  <si>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</si>
  <si>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</si>
  <si>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</si>
  <si>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</si>
  <si>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</si>
  <si>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</si>
  <si>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</si>
  <si>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</si>
  <si>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</si>
  <si>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</si>
  <si>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</si>
  <si>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</si>
  <si>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</si>
  <si>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</si>
  <si>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</si>
  <si>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</si>
  <si>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</si>
  <si>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</si>
  <si>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</si>
  <si>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</si>
  <si>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</si>
  <si>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</si>
  <si>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</si>
  <si>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</si>
  <si>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</si>
  <si>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</si>
  <si>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</si>
  <si>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</si>
  <si>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</si>
  <si>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</si>
  <si>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</si>
  <si>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</si>
  <si>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</si>
  <si>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</si>
  <si>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</si>
  <si>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</si>
  <si>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</si>
  <si>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</si>
  <si>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</si>
  <si>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</si>
  <si>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</si>
  <si>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</si>
  <si>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</si>
  <si>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</si>
  <si>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</si>
  <si>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</si>
  <si>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</si>
  <si>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</si>
  <si>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</si>
  <si>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</si>
  <si>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</si>
  <si>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</si>
  <si>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</si>
  <si>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</si>
  <si>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</si>
  <si>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</si>
  <si>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</si>
  <si>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</si>
  <si>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</si>
  <si>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</si>
  <si>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</si>
  <si>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</si>
  <si>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</si>
  <si>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</si>
  <si>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</si>
  <si>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</si>
  <si>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</si>
  <si>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</si>
  <si>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</si>
  <si>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</si>
  <si>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</si>
  <si>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</si>
  <si>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</si>
  <si>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</si>
  <si>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</si>
  <si>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</si>
  <si>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</si>
  <si>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</si>
  <si>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</si>
  <si>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</si>
  <si>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</si>
  <si>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</si>
  <si>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</si>
  <si>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</si>
  <si>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</si>
  <si>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</si>
  <si>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</si>
  <si>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</si>
  <si>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</si>
  <si>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</si>
  <si>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</si>
  <si>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</si>
  <si>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</si>
  <si>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</si>
  <si>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</si>
  <si>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</si>
  <si>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</si>
  <si>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</si>
  <si>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</si>
  <si>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</si>
  <si>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</si>
  <si>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</si>
  <si>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</si>
  <si>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</si>
  <si>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</si>
  <si>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</si>
  <si>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</si>
  <si>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</si>
  <si>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</si>
  <si>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</si>
  <si>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</si>
  <si>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</si>
  <si>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</si>
  <si>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</si>
  <si>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</si>
  <si>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</si>
  <si>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</si>
  <si>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</si>
  <si>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</si>
  <si>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</si>
  <si>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</si>
  <si>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</si>
  <si>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</si>
  <si>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</si>
  <si>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</si>
  <si>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</si>
  <si>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</si>
  <si>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</si>
  <si>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</si>
  <si>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</si>
  <si>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</si>
  <si>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</si>
  <si>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</si>
  <si>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</si>
  <si>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</si>
  <si>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</si>
  <si>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</si>
  <si>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</si>
  <si>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</si>
  <si>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</si>
  <si>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</si>
  <si>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</si>
  <si>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</si>
  <si>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</si>
  <si>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</si>
  <si>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</si>
  <si>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</si>
  <si>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</si>
  <si>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</si>
  <si>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</si>
  <si>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</si>
  <si>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</si>
  <si>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</si>
  <si>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</si>
  <si>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</si>
  <si>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</si>
  <si>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</si>
  <si>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</si>
  <si>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</si>
  <si>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</si>
  <si>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</si>
  <si>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</si>
  <si>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</si>
  <si>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</si>
  <si>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</si>
  <si>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</si>
  <si>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</si>
  <si>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</si>
  <si>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</si>
  <si>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</si>
  <si>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</si>
  <si>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</si>
  <si>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</si>
  <si>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</si>
  <si>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</si>
  <si>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</si>
  <si>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</si>
  <si>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</si>
  <si>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</si>
  <si>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</si>
  <si>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</si>
  <si>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</si>
  <si>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</si>
  <si>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</si>
  <si>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</si>
  <si>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</si>
  <si>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</si>
  <si>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</si>
  <si>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</si>
  <si>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</si>
  <si>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</si>
  <si>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</si>
  <si>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</si>
  <si>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</si>
  <si>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</si>
  <si>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</si>
  <si>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</si>
  <si>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</si>
  <si>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</si>
  <si>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</si>
  <si>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</si>
  <si>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</si>
  <si>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</si>
  <si>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</si>
  <si>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</si>
  <si>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</si>
  <si>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</si>
  <si>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</si>
  <si>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</si>
  <si>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</si>
  <si>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</si>
  <si>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</si>
  <si>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</si>
  <si>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</si>
  <si>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</si>
  <si>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</si>
  <si>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</si>
  <si>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</si>
  <si>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</si>
  <si>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</si>
  <si>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</si>
  <si>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</si>
  <si>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</si>
  <si>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</si>
  <si>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</si>
  <si>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</si>
  <si>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</si>
  <si>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</si>
  <si>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</si>
  <si>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</si>
  <si>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</si>
  <si>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</si>
  <si>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</si>
  <si>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</si>
  <si>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</si>
  <si>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</si>
  <si>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</si>
  <si>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</si>
  <si>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</si>
  <si>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</si>
  <si>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</si>
  <si>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</si>
  <si>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</si>
  <si>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</si>
  <si>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</si>
  <si>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</si>
  <si>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</si>
  <si>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</si>
  <si>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</si>
  <si>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</si>
  <si>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</si>
  <si>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</si>
  <si>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</si>
  <si>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</si>
  <si>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</si>
  <si>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</si>
  <si>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</si>
  <si>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</si>
  <si>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</si>
  <si>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</si>
  <si>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</si>
  <si>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</si>
  <si>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</si>
  <si>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</si>
  <si>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</si>
  <si>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</si>
  <si>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</si>
  <si>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</si>
  <si>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</si>
  <si>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</si>
  <si>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</si>
  <si>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</si>
  <si>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</si>
  <si>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</si>
  <si>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</si>
  <si>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</si>
  <si>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</si>
  <si>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</si>
  <si>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</si>
  <si>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</si>
  <si>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</si>
  <si>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</si>
  <si>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</si>
  <si>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</si>
  <si>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</si>
  <si>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</si>
  <si>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</si>
  <si>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</si>
  <si>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</si>
  <si>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</si>
  <si>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</si>
  <si>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</si>
  <si>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</si>
  <si>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</si>
  <si>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</si>
  <si>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</si>
  <si>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</si>
  <si>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</si>
  <si>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</si>
  <si>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</si>
  <si>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</si>
  <si>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</si>
  <si>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</si>
  <si>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</si>
  <si>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</si>
  <si>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</si>
  <si>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</si>
  <si>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</si>
  <si>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</si>
  <si>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</si>
  <si>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</si>
  <si>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</si>
  <si>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</si>
  <si>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</si>
  <si>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</si>
  <si>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</si>
  <si>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</si>
  <si>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</si>
  <si>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</si>
  <si>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</si>
  <si>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</si>
  <si>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</si>
  <si>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</si>
  <si>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</si>
  <si>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</si>
  <si>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</si>
  <si>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</si>
  <si>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</si>
  <si>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</si>
  <si>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</si>
  <si>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</si>
  <si>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</si>
  <si>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</si>
  <si>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</si>
  <si>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</si>
  <si>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</si>
  <si>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</si>
  <si>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</si>
  <si>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</si>
  <si>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</si>
  <si>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</si>
  <si>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</si>
  <si>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</si>
  <si>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</si>
  <si>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</si>
  <si>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</si>
  <si>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</si>
  <si>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</si>
  <si>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</si>
  <si>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</si>
  <si>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</si>
  <si>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</si>
  <si>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</si>
  <si>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</si>
  <si>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</si>
  <si>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</si>
  <si>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</si>
  <si>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</si>
  <si>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</si>
  <si>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</si>
  <si>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</si>
  <si>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</si>
  <si>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</si>
  <si>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</si>
  <si>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</si>
  <si>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</si>
  <si>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</si>
  <si>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</si>
  <si>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</si>
  <si>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</si>
  <si>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</si>
  <si>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</si>
  <si>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</si>
  <si>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</si>
  <si>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</si>
  <si>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</si>
  <si>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</si>
  <si>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</si>
  <si>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</si>
  <si>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</si>
  <si>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</si>
  <si>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</si>
  <si>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</si>
  <si>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</si>
  <si>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</si>
  <si>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</si>
  <si>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</si>
  <si>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</si>
  <si>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</si>
  <si>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</si>
  <si>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</si>
  <si>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</si>
  <si>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</si>
  <si>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</si>
  <si>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</si>
  <si>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</si>
  <si>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</si>
  <si>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</si>
  <si>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</si>
  <si>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</si>
  <si>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</si>
  <si>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</si>
  <si>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</si>
  <si>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</si>
  <si>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</si>
  <si>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</si>
  <si>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</si>
  <si>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</si>
  <si>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</si>
  <si>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</si>
  <si>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</si>
  <si>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</si>
  <si>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</si>
  <si>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</si>
  <si>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</si>
  <si>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</si>
  <si>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</si>
  <si>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</si>
  <si>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</si>
  <si>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</si>
  <si>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</si>
  <si>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</si>
  <si>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</si>
  <si>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</si>
  <si>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</si>
  <si>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</si>
  <si>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</si>
  <si>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</si>
  <si>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</si>
  <si>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</si>
  <si>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</si>
  <si>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</si>
  <si>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</si>
  <si>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</si>
  <si>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</si>
  <si>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</si>
  <si>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</si>
  <si>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</si>
  <si>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</si>
  <si>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</si>
  <si>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</si>
  <si>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</si>
  <si>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</si>
  <si>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</si>
  <si>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</si>
  <si>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</si>
  <si>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</si>
  <si>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</si>
  <si>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</si>
  <si>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</si>
  <si>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</si>
  <si>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</si>
  <si>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</si>
  <si>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</si>
  <si>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</si>
  <si>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</si>
  <si>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</si>
  <si>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</si>
  <si>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</si>
  <si>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</si>
  <si>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</si>
  <si>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</si>
  <si>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</si>
  <si>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</si>
  <si>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</si>
  <si>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</si>
  <si>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</si>
  <si>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</si>
  <si>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</si>
  <si>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</si>
  <si>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</si>
  <si>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</si>
  <si>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</si>
  <si>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</si>
  <si>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</si>
  <si>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</si>
  <si>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</si>
  <si>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</si>
  <si>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</si>
  <si>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</si>
  <si>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</si>
  <si>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</si>
  <si>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</si>
  <si>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</si>
  <si>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</si>
  <si>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</si>
  <si>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</si>
  <si>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</si>
  <si>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</si>
  <si>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</si>
  <si>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</si>
  <si>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</si>
  <si>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</si>
  <si>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</si>
  <si>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</si>
  <si>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</si>
  <si>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</si>
  <si>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</si>
  <si>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</si>
  <si>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</si>
  <si>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</si>
  <si>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</si>
  <si>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</si>
  <si>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</si>
  <si>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</si>
  <si>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</si>
  <si>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</si>
  <si>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</si>
  <si>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</si>
  <si>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</si>
  <si>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</si>
  <si>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</si>
  <si>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</si>
  <si>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</si>
  <si>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</si>
  <si>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</si>
  <si>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</si>
  <si>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</si>
  <si>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</si>
  <si>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</si>
  <si>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</si>
  <si>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</si>
  <si>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</si>
  <si>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</si>
  <si>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</si>
  <si>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</si>
  <si>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</si>
  <si>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</si>
  <si>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</si>
  <si>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</si>
  <si>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</si>
  <si>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</si>
  <si>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</si>
  <si>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</si>
  <si>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</si>
  <si>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</si>
  <si>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</si>
  <si>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</si>
  <si>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</si>
  <si>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</si>
  <si>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</si>
  <si>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</si>
  <si>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</si>
  <si>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</si>
  <si>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</si>
  <si>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</si>
  <si>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</si>
  <si>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</si>
  <si>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</si>
  <si>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</si>
  <si>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</si>
  <si>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</si>
  <si>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</si>
  <si>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</si>
  <si>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</si>
  <si>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</si>
  <si>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</si>
  <si>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</si>
  <si>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</si>
  <si>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</si>
  <si>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</si>
  <si>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</si>
  <si>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</si>
  <si>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</si>
  <si>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</si>
  <si>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</si>
  <si>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</si>
  <si>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</si>
  <si>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</si>
  <si>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</si>
  <si>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</si>
  <si>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</si>
  <si>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</si>
  <si>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</si>
  <si>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</si>
  <si>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</si>
  <si>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</si>
  <si>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</si>
  <si>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</si>
  <si>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</si>
  <si>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</si>
  <si>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</si>
  <si>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</si>
  <si>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</si>
  <si>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</si>
  <si>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</si>
  <si>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</si>
  <si>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</si>
  <si>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</si>
  <si>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</si>
  <si>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</si>
  <si>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</si>
  <si>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</si>
  <si>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</si>
  <si>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</si>
  <si>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</si>
  <si>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</si>
  <si>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</si>
  <si>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</si>
  <si>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</si>
  <si>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</si>
  <si>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</si>
  <si>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</si>
  <si>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</si>
  <si>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</si>
  <si>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</si>
  <si>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</si>
  <si>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</si>
  <si>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</si>
  <si>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</si>
  <si>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</si>
  <si>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</si>
  <si>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</si>
  <si>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</si>
  <si>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</si>
  <si>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</si>
  <si>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</si>
  <si>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</si>
  <si>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</si>
  <si>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</si>
  <si>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</si>
  <si>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</si>
  <si>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</si>
  <si>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</si>
  <si>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</si>
  <si>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</si>
  <si>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</si>
  <si>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</si>
  <si>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</si>
  <si>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</si>
  <si>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</si>
  <si>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</si>
  <si>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</si>
  <si>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</si>
  <si>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</si>
  <si>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</si>
  <si>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</si>
  <si>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</si>
  <si>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</si>
  <si>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</si>
  <si>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</si>
  <si>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</si>
  <si>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</si>
  <si>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</si>
  <si>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</si>
  <si>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</si>
  <si>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</si>
  <si>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</si>
  <si>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</si>
  <si>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</si>
  <si>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</si>
  <si>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</si>
  <si>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</si>
  <si>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</si>
  <si>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</si>
  <si>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</si>
  <si>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</si>
  <si>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</si>
  <si>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</si>
  <si>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</si>
  <si>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</si>
  <si>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</si>
  <si>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</si>
  <si>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</si>
  <si>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</si>
  <si>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</si>
  <si>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</si>
  <si>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</si>
  <si>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</si>
  <si>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</si>
  <si>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</si>
  <si>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</si>
  <si>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</si>
  <si>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</si>
  <si>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</si>
  <si>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</si>
  <si>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</si>
  <si>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</si>
  <si>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</si>
  <si>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</si>
  <si>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</si>
  <si>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</si>
  <si>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</si>
  <si>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</si>
  <si>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</si>
  <si>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</si>
  <si>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</si>
  <si>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</si>
  <si>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</si>
  <si>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</si>
  <si>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</si>
  <si>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</si>
  <si>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</si>
  <si>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</si>
  <si>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</si>
  <si>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</si>
  <si>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</si>
  <si>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</si>
  <si>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</si>
  <si>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</si>
  <si>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</si>
  <si>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</si>
  <si>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</si>
  <si>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</si>
  <si>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</si>
  <si>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</si>
  <si>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</si>
  <si>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</si>
  <si>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</si>
  <si>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</si>
  <si>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</si>
  <si>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</si>
  <si>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</si>
  <si>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</si>
  <si>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</si>
  <si>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</si>
  <si>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</si>
  <si>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</si>
  <si>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</si>
  <si>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</si>
  <si>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</si>
  <si>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</si>
  <si>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</si>
  <si>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</si>
  <si>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</si>
  <si>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</si>
  <si>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</si>
  <si>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</si>
  <si>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</si>
  <si>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</si>
  <si>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</si>
  <si>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</si>
  <si>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</si>
  <si>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</si>
  <si>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</si>
  <si>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</si>
  <si>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</si>
  <si>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</si>
  <si>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</si>
  <si>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</si>
  <si>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</si>
  <si>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</si>
  <si>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</si>
  <si>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</si>
  <si>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</si>
  <si>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</si>
  <si>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</si>
  <si>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</si>
  <si>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</si>
  <si>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</si>
  <si>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</si>
  <si>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</si>
  <si>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</si>
  <si>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</si>
  <si>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</si>
  <si>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</si>
  <si>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</si>
  <si>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</si>
  <si>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</si>
  <si>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</si>
  <si>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</si>
  <si>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</si>
  <si>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</si>
  <si>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</si>
  <si>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</si>
  <si>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</si>
  <si>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</si>
  <si>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</si>
  <si>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</si>
  <si>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</si>
  <si>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</si>
  <si>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</si>
  <si>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</si>
  <si>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</si>
  <si>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</si>
  <si>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</si>
  <si>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</si>
  <si>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</si>
  <si>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</si>
  <si>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</si>
  <si>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</si>
  <si>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</si>
  <si>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</si>
  <si>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</si>
  <si>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</si>
  <si>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</si>
  <si>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</si>
  <si>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</si>
  <si>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</si>
  <si>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</si>
  <si>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</si>
  <si>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</si>
  <si>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</si>
  <si>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</si>
  <si>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</si>
  <si>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</si>
  <si>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</si>
  <si>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</si>
  <si>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</si>
  <si>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</si>
  <si>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</si>
  <si>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</si>
  <si>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</si>
  <si>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</si>
  <si>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</si>
  <si>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</si>
  <si>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</si>
  <si>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</si>
  <si>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</si>
  <si>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</si>
  <si>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</si>
  <si>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</si>
  <si>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</si>
  <si>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</si>
  <si>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</si>
  <si>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</si>
  <si>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</si>
  <si>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</si>
  <si>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</si>
  <si>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</si>
  <si>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</si>
  <si>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</si>
  <si>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</si>
  <si>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</si>
  <si>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</si>
  <si>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</si>
  <si>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</si>
  <si>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</si>
  <si>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</si>
  <si>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</si>
  <si>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</si>
  <si>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</si>
  <si>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</si>
  <si>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</si>
  <si>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</si>
  <si>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</si>
  <si>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</si>
  <si>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</si>
  <si>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</si>
  <si>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</si>
  <si>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</si>
  <si>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</si>
  <si>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</si>
  <si>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</si>
  <si>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</si>
  <si>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</si>
  <si>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</si>
  <si>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</si>
  <si>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</si>
  <si>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</si>
  <si>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</si>
  <si>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</si>
  <si>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</si>
  <si>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</si>
  <si>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</si>
  <si>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</si>
  <si>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</si>
  <si>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</si>
  <si>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</si>
  <si>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</si>
  <si>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</si>
  <si>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</si>
  <si>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</si>
  <si>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</si>
  <si>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</si>
  <si>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</si>
  <si>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</si>
  <si>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</si>
  <si>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</si>
  <si>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</si>
  <si>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</si>
  <si>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</si>
  <si>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</si>
  <si>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</si>
  <si>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</si>
  <si>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</si>
  <si>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</si>
  <si>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</si>
  <si>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</si>
  <si>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</si>
  <si>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</si>
  <si>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</si>
  <si>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</si>
  <si>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</si>
  <si>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</si>
  <si>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</si>
  <si>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</si>
  <si>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</si>
  <si>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</si>
  <si>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</si>
  <si>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</si>
  <si>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</si>
  <si>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</si>
  <si>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</si>
  <si>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</si>
  <si>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</si>
  <si>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</si>
  <si>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</si>
  <si>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</si>
  <si>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</si>
  <si>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</si>
  <si>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</si>
  <si>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</si>
  <si>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</si>
  <si>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</si>
  <si>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</si>
  <si>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</si>
  <si>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</si>
  <si>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</si>
  <si>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</si>
  <si>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</si>
  <si>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</si>
  <si>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</si>
  <si>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</si>
  <si>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</si>
  <si>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</si>
  <si>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</si>
  <si>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</si>
  <si>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</si>
  <si>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</si>
  <si>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</si>
  <si>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</si>
  <si>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</si>
  <si>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</si>
  <si>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</si>
  <si>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</si>
  <si>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</si>
  <si>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</si>
  <si>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</si>
  <si>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</si>
  <si>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</si>
  <si>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</si>
  <si>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</si>
  <si>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</si>
  <si>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</si>
  <si>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</si>
  <si>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</si>
  <si>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</si>
  <si>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</si>
  <si>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</si>
  <si>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</si>
  <si>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</si>
  <si>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</si>
  <si>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</si>
  <si>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</si>
  <si>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</si>
  <si>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</si>
  <si>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</si>
  <si>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</si>
  <si>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</si>
  <si>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</si>
  <si>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</si>
  <si>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</si>
  <si>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</si>
  <si>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</si>
  <si>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</si>
  <si>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</si>
  <si>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</si>
  <si>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</si>
  <si>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</si>
  <si>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</si>
  <si>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</si>
  <si>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</si>
  <si>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</si>
  <si>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</si>
  <si>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</si>
  <si>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</si>
  <si>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</si>
  <si>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</si>
  <si>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</si>
  <si>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</si>
  <si>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</si>
  <si>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</si>
  <si>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</si>
  <si>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</si>
  <si>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</si>
  <si>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</si>
  <si>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</si>
  <si>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</si>
  <si>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</si>
  <si>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</si>
  <si>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</si>
  <si>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</si>
  <si>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</si>
  <si>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</si>
  <si>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</si>
  <si>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</si>
  <si>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</si>
  <si>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</si>
  <si>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</si>
  <si>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</si>
  <si>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</si>
  <si>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</si>
  <si>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</si>
  <si>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</si>
  <si>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</si>
  <si>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</si>
  <si>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</si>
  <si>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</si>
  <si>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</si>
  <si>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</si>
  <si>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</si>
  <si>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</si>
  <si>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</si>
  <si>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</si>
  <si>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</si>
  <si>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</si>
  <si>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</si>
  <si>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</si>
  <si>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</si>
  <si>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</si>
  <si>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</si>
  <si>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</si>
  <si>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</si>
  <si>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</si>
  <si>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</si>
  <si>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</si>
  <si>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</si>
  <si>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</si>
  <si>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</si>
  <si>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</si>
  <si>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</si>
  <si>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</si>
  <si>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</si>
  <si>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</si>
  <si>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</si>
  <si>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</si>
  <si>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</si>
  <si>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</si>
  <si>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</si>
  <si>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</si>
  <si>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</si>
  <si>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</si>
  <si>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</si>
  <si>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</si>
  <si>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</si>
  <si>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</si>
  <si>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</si>
  <si>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</si>
  <si>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</si>
  <si>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</si>
  <si>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</si>
  <si>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</si>
  <si>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</si>
  <si>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</si>
  <si>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</si>
  <si>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</si>
  <si>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</si>
  <si>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</si>
  <si>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</si>
  <si>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</si>
  <si>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</si>
  <si>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</si>
  <si>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</si>
  <si>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</si>
  <si>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</si>
  <si>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</si>
  <si>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</si>
  <si>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</si>
  <si>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</si>
  <si>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</si>
  <si>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</si>
  <si>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</si>
  <si>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</si>
  <si>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</si>
  <si>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</si>
  <si>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</si>
  <si>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</si>
  <si>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</si>
  <si>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</si>
  <si>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</si>
  <si>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</si>
  <si>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</si>
  <si>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</si>
  <si>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</si>
  <si>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</si>
  <si>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</si>
  <si>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</si>
  <si>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</si>
  <si>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</si>
  <si>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</si>
  <si>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</si>
  <si>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</si>
  <si>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</si>
  <si>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</si>
  <si>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</si>
  <si>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</si>
  <si>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</si>
  <si>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</si>
  <si>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</si>
  <si>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</si>
  <si>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</si>
  <si>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</si>
  <si>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</si>
  <si>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</si>
  <si>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</si>
  <si>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</si>
  <si>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</si>
  <si>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</si>
  <si>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</si>
  <si>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</si>
  <si>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</si>
  <si>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</si>
  <si>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</si>
  <si>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</si>
  <si>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</si>
  <si>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</si>
  <si>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</si>
  <si>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</si>
  <si>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</si>
  <si>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</si>
  <si>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</si>
  <si>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</si>
  <si>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</si>
  <si>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</si>
  <si>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</si>
  <si>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</si>
  <si>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</si>
  <si>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</si>
  <si>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</si>
  <si>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</si>
  <si>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</si>
  <si>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</si>
  <si>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</si>
  <si>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</si>
  <si>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</si>
  <si>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</si>
  <si>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</si>
  <si>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</si>
  <si>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</si>
  <si>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</si>
  <si>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</si>
  <si>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</si>
  <si>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</si>
  <si>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</si>
  <si>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</si>
  <si>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</si>
  <si>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</si>
  <si>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</si>
  <si>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</si>
  <si>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</si>
  <si>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</si>
  <si>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</si>
  <si>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</si>
  <si>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</si>
  <si>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</si>
  <si>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</si>
  <si>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</si>
  <si>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</si>
  <si>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</si>
  <si>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</si>
  <si>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</si>
  <si>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</si>
  <si>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</si>
  <si>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</si>
  <si>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</si>
  <si>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</si>
  <si>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</si>
  <si>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</si>
  <si>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</si>
  <si>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</si>
  <si>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</si>
  <si>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</si>
  <si>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</si>
  <si>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</si>
  <si>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</si>
  <si>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</si>
  <si>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</si>
  <si>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</si>
  <si>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</si>
  <si>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</si>
  <si>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</si>
  <si>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</si>
  <si>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</si>
  <si>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</si>
  <si>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</si>
  <si>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</si>
  <si>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</si>
  <si>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</si>
  <si>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</si>
  <si>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</si>
  <si>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</si>
  <si>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</si>
  <si>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</si>
  <si>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</si>
  <si>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</si>
  <si>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</si>
  <si>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</si>
  <si>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</si>
  <si>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</si>
  <si>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</si>
  <si>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</si>
  <si>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</si>
  <si>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</si>
  <si>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</si>
  <si>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</si>
  <si>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</si>
  <si>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</si>
  <si>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</si>
  <si>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</si>
  <si>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</si>
  <si>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</si>
  <si>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</si>
  <si>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</si>
  <si>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</si>
  <si>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</si>
  <si>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</si>
  <si>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</si>
  <si>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</si>
  <si>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</si>
  <si>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</si>
  <si>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</si>
  <si>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</si>
  <si>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</si>
  <si>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</si>
  <si>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</si>
  <si>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</si>
  <si>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</si>
  <si>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</si>
  <si>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</si>
  <si>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</si>
  <si>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</si>
  <si>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</si>
  <si>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</si>
  <si>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</si>
  <si>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</si>
  <si>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</si>
  <si>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</si>
  <si>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</si>
  <si>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</si>
  <si>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</si>
  <si>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</si>
  <si>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</si>
  <si>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</si>
  <si>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</si>
  <si>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</si>
  <si>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</si>
  <si>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</si>
  <si>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</si>
  <si>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</si>
  <si>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</si>
  <si>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</si>
  <si>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</si>
  <si>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</si>
  <si>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</si>
  <si>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</si>
  <si>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</si>
  <si>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</si>
  <si>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</si>
  <si>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</si>
  <si>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</si>
  <si>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</si>
  <si>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</si>
  <si>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</si>
  <si>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</si>
  <si>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</si>
  <si>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</si>
  <si>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</si>
  <si>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</si>
  <si>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</si>
  <si>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</si>
  <si>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</si>
  <si>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</si>
  <si>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</si>
  <si>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</si>
  <si>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</si>
  <si>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</si>
  <si>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</si>
  <si>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</si>
  <si>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</si>
  <si>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</si>
  <si>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</si>
  <si>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</si>
  <si>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</si>
  <si>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</si>
  <si>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</si>
  <si>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</si>
  <si>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</si>
  <si>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</si>
  <si>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</si>
  <si>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</si>
  <si>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</si>
  <si>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</si>
  <si>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</si>
  <si>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</si>
  <si>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</si>
  <si>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</si>
  <si>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</si>
  <si>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</si>
  <si>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</si>
  <si>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</si>
  <si>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</si>
  <si>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</si>
  <si>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</si>
  <si>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</si>
  <si>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</si>
  <si>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</si>
  <si>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</si>
  <si>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</si>
  <si>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</si>
  <si>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</si>
  <si>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</si>
  <si>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</si>
  <si>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</si>
  <si>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</si>
  <si>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</si>
  <si>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</si>
  <si>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</si>
  <si>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</si>
  <si>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</si>
  <si>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</si>
  <si>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</si>
  <si>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</si>
  <si>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</si>
  <si>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</si>
  <si>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</si>
  <si>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</si>
  <si>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</si>
  <si>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</si>
  <si>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</si>
  <si>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</si>
  <si>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</si>
  <si>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</si>
  <si>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</si>
  <si>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</si>
  <si>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</si>
  <si>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</si>
  <si>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</si>
  <si>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</si>
  <si>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</si>
  <si>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</si>
  <si>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</si>
  <si>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</si>
  <si>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</si>
  <si>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</si>
  <si>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</si>
  <si>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</si>
  <si>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</si>
  <si>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</si>
  <si>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</si>
  <si>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</si>
  <si>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</si>
  <si>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</si>
  <si>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</si>
  <si>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</si>
  <si>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</si>
  <si>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</si>
  <si>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</si>
  <si>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</si>
  <si>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</si>
  <si>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</si>
  <si>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</si>
  <si>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</si>
  <si>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</si>
  <si>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</si>
  <si>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</si>
  <si>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</si>
  <si>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</si>
  <si>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</si>
  <si>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</si>
  <si>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</si>
  <si>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</si>
  <si>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</si>
  <si>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</si>
  <si>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</si>
  <si>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</si>
  <si>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</si>
  <si>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</si>
  <si>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</si>
  <si>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</si>
  <si>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</si>
  <si>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</si>
  <si>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</si>
  <si>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</si>
  <si>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</si>
  <si>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</si>
  <si>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</si>
  <si>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</si>
  <si>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</si>
  <si>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</si>
  <si>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</si>
  <si>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</si>
  <si>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</si>
  <si>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</si>
  <si>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</si>
  <si>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</si>
  <si>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</si>
  <si>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</si>
  <si>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</si>
  <si>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</si>
  <si>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</si>
  <si>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</si>
  <si>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</si>
  <si>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</si>
  <si>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</si>
  <si>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</si>
  <si>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</si>
  <si>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</si>
  <si>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</si>
  <si>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</si>
  <si>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</si>
  <si>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</si>
  <si>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</si>
  <si>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</si>
  <si>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</si>
  <si>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</si>
  <si>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</si>
  <si>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</si>
  <si>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</si>
  <si>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</si>
  <si>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</si>
  <si>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</si>
  <si>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</si>
  <si>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</si>
  <si>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</si>
  <si>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</si>
  <si>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</si>
  <si>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</si>
  <si>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</si>
  <si>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</si>
  <si>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</si>
  <si>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</si>
  <si>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</si>
  <si>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</si>
  <si>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</si>
  <si>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</si>
  <si>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</si>
  <si>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</si>
  <si>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</si>
  <si>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</si>
  <si>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</si>
  <si>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</si>
  <si>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</si>
  <si>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</si>
  <si>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</si>
  <si>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</si>
  <si>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</si>
  <si>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</si>
  <si>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</si>
  <si>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</si>
  <si>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</si>
  <si>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</si>
  <si>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</si>
  <si>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</si>
  <si>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</si>
  <si>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</si>
  <si>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</si>
  <si>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</si>
  <si>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</si>
  <si>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</si>
  <si>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</si>
  <si>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</si>
  <si>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</si>
  <si>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</si>
  <si>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</si>
  <si>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</si>
  <si>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</si>
  <si>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</si>
  <si>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</si>
  <si>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</si>
  <si>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</si>
  <si>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</si>
  <si>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</si>
  <si>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</si>
  <si>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</si>
  <si>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</si>
  <si>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</si>
  <si>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</si>
  <si>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</si>
  <si>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</si>
  <si>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</si>
  <si>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</si>
  <si>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</si>
  <si>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</si>
  <si>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</si>
  <si>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</si>
  <si>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</si>
  <si>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</si>
  <si>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</si>
  <si>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</si>
  <si>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</si>
  <si>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</si>
  <si>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</si>
  <si>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</si>
  <si>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</si>
  <si>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</si>
  <si>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</si>
  <si>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</si>
  <si>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</si>
  <si>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</si>
  <si>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</si>
  <si>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</si>
  <si>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</si>
  <si>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</si>
  <si>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</si>
  <si>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</si>
  <si>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</si>
  <si>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</si>
  <si>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</si>
  <si>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</si>
  <si>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</si>
  <si>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</si>
  <si>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</si>
  <si>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</si>
  <si>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</si>
  <si>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</si>
  <si>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</si>
  <si>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</si>
  <si>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</si>
  <si>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</si>
  <si>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</si>
  <si>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</si>
  <si>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</si>
  <si>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</si>
  <si>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</si>
  <si>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</si>
  <si>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</si>
  <si>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</si>
  <si>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</si>
  <si>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</si>
  <si>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</si>
  <si>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</si>
  <si>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</si>
  <si>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</si>
  <si>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</si>
  <si>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</si>
  <si>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</si>
  <si>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</si>
  <si>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</si>
  <si>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</si>
  <si>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</si>
  <si>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</si>
  <si>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</si>
  <si>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</si>
  <si>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</si>
  <si>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</si>
  <si>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</si>
  <si>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</si>
  <si>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</si>
  <si>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</si>
  <si>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</si>
  <si>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</si>
  <si>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</si>
  <si>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</si>
  <si>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</si>
  <si>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</si>
  <si>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</si>
  <si>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</si>
  <si>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</si>
  <si>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</si>
  <si>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</si>
  <si>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</si>
  <si>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</si>
  <si>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</si>
  <si>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</si>
  <si>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</si>
  <si>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</si>
  <si>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</si>
  <si>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</si>
  <si>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</si>
  <si>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</si>
  <si>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</si>
  <si>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</si>
  <si>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</si>
  <si>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</si>
  <si>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</si>
  <si>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</si>
  <si>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</si>
  <si>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</si>
  <si>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</si>
  <si>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</si>
  <si>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</si>
  <si>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</si>
  <si>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</si>
  <si>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</si>
  <si>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</si>
  <si>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</si>
  <si>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</si>
  <si>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</si>
  <si>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</si>
  <si>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</si>
  <si>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</si>
  <si>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</si>
  <si>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</si>
  <si>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</si>
  <si>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</si>
  <si>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</si>
  <si>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</si>
  <si>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</si>
  <si>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</si>
  <si>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</si>
  <si>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</si>
  <si>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</si>
  <si>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</si>
  <si>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</si>
  <si>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</si>
  <si>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</si>
  <si>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</si>
  <si>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</si>
  <si>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</si>
  <si>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</si>
  <si>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</si>
  <si>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</si>
  <si>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</si>
  <si>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</si>
  <si>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</si>
  <si>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</si>
  <si>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</si>
  <si>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</si>
  <si>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</si>
  <si>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</si>
  <si>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</si>
  <si>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</si>
  <si>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</si>
  <si>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</si>
  <si>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</si>
  <si>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</si>
  <si>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</si>
  <si>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</si>
  <si>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</si>
  <si>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</si>
  <si>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</si>
  <si>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</si>
  <si>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</si>
  <si>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</si>
  <si>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</si>
  <si>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</si>
  <si>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</si>
  <si>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</si>
  <si>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</si>
  <si>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</si>
  <si>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</si>
  <si>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</si>
  <si>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</si>
  <si>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</si>
  <si>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</si>
  <si>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</si>
  <si>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</si>
  <si>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</si>
  <si>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</si>
  <si>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</si>
  <si>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</si>
  <si>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</si>
  <si>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</si>
  <si>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</si>
  <si>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</si>
  <si>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</si>
  <si>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</si>
  <si>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</si>
  <si>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</si>
  <si>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</si>
  <si>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</si>
  <si>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</si>
  <si>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</si>
  <si>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</si>
  <si>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</si>
  <si>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</si>
  <si>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</si>
  <si>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</si>
  <si>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</si>
  <si>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</si>
  <si>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</si>
  <si>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</si>
  <si>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</si>
  <si>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</si>
  <si>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</si>
  <si>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</si>
  <si>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</si>
  <si>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</si>
  <si>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</si>
  <si>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</si>
  <si>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</si>
  <si>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</si>
  <si>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</si>
  <si>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</si>
  <si>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</si>
  <si>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</si>
  <si>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</si>
  <si>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</si>
  <si>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</si>
  <si>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</si>
  <si>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</si>
  <si>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</si>
  <si>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</si>
  <si>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</si>
  <si>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</si>
  <si>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</si>
  <si>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</si>
  <si>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</si>
  <si>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</si>
  <si>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</si>
  <si>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</si>
  <si>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</si>
  <si>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</si>
  <si>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</si>
  <si>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</si>
  <si>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</si>
  <si>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</si>
  <si>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</si>
  <si>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</si>
  <si>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</si>
  <si>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</si>
  <si>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</si>
  <si>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</si>
  <si>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</si>
  <si>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</si>
  <si>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</si>
  <si>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</si>
  <si>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</si>
  <si>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</si>
  <si>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</si>
  <si>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</si>
  <si>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</si>
  <si>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</si>
  <si>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</si>
  <si>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</si>
  <si>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</si>
  <si>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</si>
  <si>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</si>
  <si>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</si>
  <si>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</si>
  <si>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</si>
  <si>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</si>
  <si>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</si>
  <si>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</si>
  <si>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</si>
  <si>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</si>
  <si>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</si>
  <si>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</si>
  <si>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</si>
  <si>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</si>
  <si>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</si>
  <si>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</si>
  <si>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</si>
  <si>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</si>
  <si>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</si>
  <si>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</si>
  <si>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</si>
  <si>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</si>
  <si>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</si>
  <si>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</si>
  <si>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</si>
  <si>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</si>
  <si>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</si>
  <si>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</si>
  <si>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</si>
  <si>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</si>
  <si>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</si>
  <si>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</si>
  <si>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</si>
  <si>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</si>
  <si>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</si>
  <si>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</si>
  <si>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</si>
  <si>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</si>
  <si>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</si>
  <si>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</si>
  <si>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</si>
  <si>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</si>
  <si>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</si>
  <si>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</si>
  <si>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</si>
  <si>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</si>
  <si>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</si>
  <si>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</si>
  <si>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</si>
  <si>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</si>
  <si>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</si>
  <si>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</si>
  <si>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</si>
  <si>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</si>
  <si>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</si>
  <si>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</si>
  <si>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</si>
  <si>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</si>
  <si>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</si>
  <si>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</si>
  <si>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</si>
  <si>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</si>
  <si>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</si>
  <si>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</si>
  <si>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</si>
  <si>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</si>
  <si>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</si>
  <si>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</si>
  <si>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</si>
  <si>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</si>
  <si>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</si>
  <si>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</si>
  <si>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</si>
  <si>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</si>
  <si>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</si>
  <si>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</si>
  <si>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</si>
  <si>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</si>
  <si>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</si>
  <si>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</si>
  <si>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</si>
  <si>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</si>
  <si>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</si>
  <si>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</si>
  <si>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</si>
  <si>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</si>
  <si>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</si>
  <si>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</si>
  <si>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</si>
  <si>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</si>
  <si>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</si>
  <si>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</si>
  <si>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</si>
  <si>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</si>
  <si>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</si>
  <si>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</si>
  <si>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</si>
  <si>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</si>
  <si>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</si>
  <si>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</si>
  <si>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</si>
  <si>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</si>
  <si>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</si>
  <si>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</si>
  <si>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</si>
  <si>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</si>
  <si>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</si>
  <si>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</si>
  <si>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</si>
  <si>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</si>
  <si>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</si>
  <si>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</si>
  <si>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</si>
  <si>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</si>
  <si>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</si>
  <si>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</si>
  <si>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</si>
  <si>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</si>
  <si>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</si>
  <si>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</si>
  <si>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</si>
  <si>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</si>
  <si>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</si>
  <si>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</si>
  <si>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</si>
  <si>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</si>
  <si>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</si>
  <si>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</si>
  <si>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</si>
  <si>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</si>
  <si>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</si>
  <si>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</si>
  <si>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</si>
  <si>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</si>
  <si>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</si>
  <si>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</si>
  <si>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</si>
  <si>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</si>
  <si>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</si>
  <si>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</si>
  <si>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</si>
  <si>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</si>
  <si>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</si>
  <si>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</si>
  <si>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</si>
  <si>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</si>
  <si>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</si>
  <si>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</si>
  <si>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</si>
  <si>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</si>
  <si>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</si>
  <si>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</si>
  <si>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</si>
  <si>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</si>
  <si>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</si>
  <si>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</si>
  <si>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</si>
  <si>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</si>
  <si>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</si>
  <si>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</si>
  <si>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</si>
  <si>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</si>
  <si>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</si>
  <si>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</si>
  <si>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</si>
  <si>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</si>
  <si>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</si>
  <si>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</si>
  <si>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</si>
  <si>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</si>
  <si>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</si>
  <si>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</si>
  <si>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</si>
  <si>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</si>
  <si>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</si>
  <si>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</si>
  <si>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</si>
  <si>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</si>
  <si>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</si>
  <si>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</si>
  <si>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</si>
  <si>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</si>
  <si>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</si>
  <si>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</si>
  <si>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</si>
  <si>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</si>
  <si>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</si>
  <si>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</si>
  <si>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</si>
  <si>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</si>
  <si>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</si>
  <si>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</si>
  <si>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</si>
  <si>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</si>
  <si>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</si>
  <si>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</si>
  <si>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</si>
  <si>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</si>
  <si>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</si>
  <si>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</si>
  <si>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</si>
  <si>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</si>
  <si>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</si>
  <si>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</si>
  <si>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</si>
  <si>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</si>
  <si>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</si>
  <si>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</si>
  <si>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</si>
  <si>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</si>
  <si>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</si>
  <si>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</si>
  <si>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</si>
  <si>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</si>
  <si>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</si>
  <si>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</si>
  <si>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</si>
  <si>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</si>
  <si>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</si>
  <si>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</si>
  <si>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</si>
  <si>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</si>
  <si>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</si>
  <si>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</si>
  <si>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</si>
  <si>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</si>
  <si>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</si>
  <si>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</si>
  <si>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</si>
  <si>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</si>
  <si>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</si>
  <si>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</si>
  <si>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</si>
  <si>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</si>
  <si>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</si>
  <si>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</si>
  <si>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</si>
  <si>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</si>
  <si>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</si>
  <si>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</si>
  <si>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</si>
  <si>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</si>
  <si>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</si>
  <si>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</si>
  <si>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</si>
  <si>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</si>
  <si>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</si>
  <si>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</si>
  <si>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</si>
  <si>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</si>
  <si>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</si>
  <si>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</si>
  <si>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</si>
  <si>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</si>
  <si>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</si>
  <si>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</si>
  <si>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</si>
  <si>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</si>
  <si>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</si>
  <si>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</si>
  <si>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105_</t>
  </si>
  <si>
    <t>2019年度</t>
    <phoneticPr fontId="163" type="noConversion"/>
  </si>
  <si>
    <t>2018年度</t>
    <phoneticPr fontId="163" type="noConversion"/>
  </si>
  <si>
    <t>山东天安</t>
  </si>
  <si>
    <t>山东天安化工股份有限公司</t>
  </si>
  <si>
    <t>陈彦良</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</si>
  <si>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</si>
  <si>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</si>
  <si>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</si>
  <si>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</si>
  <si>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</si>
  <si>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</si>
  <si>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</si>
  <si>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</si>
  <si>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</si>
  <si>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</si>
  <si>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</si>
  <si>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</si>
  <si>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</si>
  <si>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</si>
  <si>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</si>
  <si>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</si>
  <si>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</si>
  <si>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</si>
  <si>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</si>
  <si>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</si>
  <si>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</si>
  <si>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</si>
  <si>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</si>
  <si>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</si>
  <si>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</si>
  <si>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</si>
  <si>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</si>
  <si>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</si>
  <si>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</si>
  <si>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</si>
  <si>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</si>
  <si>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</si>
  <si>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</si>
  <si>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</si>
  <si>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</si>
  <si>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</si>
  <si>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</si>
  <si>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</si>
  <si>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</si>
  <si>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</si>
  <si>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</si>
  <si>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</si>
  <si>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</si>
  <si>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</si>
  <si>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</si>
  <si>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</si>
  <si>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序号</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</si>
  <si>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</si>
  <si>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</si>
  <si>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</si>
  <si>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</si>
  <si>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</si>
  <si>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</si>
  <si>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</si>
  <si>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</si>
  <si>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</si>
  <si>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</si>
  <si>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</si>
  <si>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</si>
  <si>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</si>
  <si>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</si>
  <si>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</si>
  <si>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</si>
  <si>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</si>
  <si>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</si>
  <si>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小计</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</si>
  <si>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</si>
  <si>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</si>
  <si>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</si>
  <si>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</si>
  <si>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</si>
  <si>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</si>
  <si>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</si>
  <si>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</si>
  <si>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</si>
  <si>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</si>
  <si>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</si>
  <si>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</si>
  <si>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管理层不予更正的原因</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</si>
  <si>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</si>
  <si>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</si>
  <si>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</si>
  <si>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</si>
  <si>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</si>
  <si>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</si>
  <si>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</si>
  <si>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</si>
  <si>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</si>
  <si>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</si>
  <si>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</si>
  <si>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</si>
  <si>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</si>
  <si>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</si>
  <si>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</si>
  <si>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</si>
  <si>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</si>
  <si>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</si>
  <si>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</si>
  <si>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</si>
  <si>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</si>
  <si>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</si>
  <si>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</si>
  <si>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</si>
  <si>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</si>
  <si>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</si>
  <si>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</si>
  <si>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</si>
  <si>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</si>
  <si>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</si>
  <si>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</si>
  <si>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</si>
  <si>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</si>
  <si>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</si>
  <si>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</si>
  <si>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</si>
  <si>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</si>
  <si>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</si>
  <si>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</si>
  <si>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</si>
  <si>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</si>
  <si>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</si>
  <si>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</si>
  <si>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</si>
  <si>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</si>
  <si>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</si>
  <si>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</si>
  <si>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</si>
  <si>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</si>
  <si>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</si>
  <si>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</si>
  <si>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</si>
  <si>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</si>
  <si>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</si>
  <si>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</si>
  <si>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</si>
  <si>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</si>
  <si>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</si>
  <si>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</si>
  <si>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</si>
  <si>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</si>
  <si>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</si>
  <si>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</si>
  <si>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</si>
  <si>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</si>
  <si>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</si>
  <si>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</si>
  <si>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</si>
  <si>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</si>
  <si>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</si>
  <si>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</si>
  <si>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Y</t>
    <phoneticPr fontId="163" type="noConversion"/>
  </si>
  <si>
    <t>LIS,GEN</t>
  </si>
  <si>
    <t>A19,B19</t>
  </si>
  <si>
    <t xml:space="preserve">        --&gt;</t>
  </si>
  <si>
    <t>A19</t>
  </si>
  <si>
    <t>B19</t>
  </si>
  <si>
    <t>GEN</t>
  </si>
  <si>
    <t>Notes</t>
  </si>
  <si>
    <t>级</t>
    <phoneticPr fontId="163" type="noConversion"/>
  </si>
  <si>
    <t>完成否</t>
    <phoneticPr fontId="163" type="noConversion"/>
  </si>
  <si>
    <t>编制者注</t>
    <phoneticPr fontId="163" type="noConversion"/>
  </si>
  <si>
    <t>复核意见</t>
    <phoneticPr fontId="163" type="noConversion"/>
  </si>
  <si>
    <t>跟进复核意见</t>
    <phoneticPr fontId="163" type="noConversion"/>
  </si>
  <si>
    <t>是否显示</t>
    <phoneticPr fontId="163" type="noConversion"/>
  </si>
  <si>
    <t>发送Word2</t>
    <phoneticPr fontId="163" type="noConversion"/>
  </si>
  <si>
    <t>fatherId</t>
    <phoneticPr fontId="163" type="noConversion"/>
  </si>
  <si>
    <t>sendToWord1</t>
    <phoneticPr fontId="163" type="noConversion"/>
  </si>
  <si>
    <t>companyID</t>
    <phoneticPr fontId="163" type="noConversion"/>
  </si>
  <si>
    <t>tscID</t>
    <phoneticPr fontId="163" type="noConversion"/>
  </si>
  <si>
    <t>status2</t>
    <phoneticPr fontId="163" type="noConversion"/>
  </si>
  <si>
    <t>勾稽检查 Integrity Checks</t>
    <phoneticPr fontId="163" type="noConversion"/>
  </si>
  <si>
    <t>Check1</t>
  </si>
  <si>
    <t>附注项目</t>
    <phoneticPr fontId="163" type="noConversion"/>
  </si>
  <si>
    <t>本期差异</t>
    <phoneticPr fontId="163" type="noConversion"/>
  </si>
  <si>
    <t>上期差异</t>
    <phoneticPr fontId="163" type="noConversion"/>
  </si>
  <si>
    <t>(1)货币资金明细项目</t>
  </si>
  <si>
    <t>(2)货币资金按币种列示</t>
  </si>
  <si>
    <t>(3)有回收风险的货币资金</t>
  </si>
  <si>
    <t>(1)交易性金融资产明细项目</t>
  </si>
  <si>
    <t>(1)以公允价值计量且其变动计入当期损益的金融资产明细项目</t>
  </si>
  <si>
    <t>(1)衍生金融资产明细项目</t>
  </si>
  <si>
    <t>(1)应收票据分类列示</t>
  </si>
  <si>
    <t>(2)期末已质押的应收票据</t>
  </si>
  <si>
    <t>(3)期末已背书或贴现但尚未到期的应收票据</t>
  </si>
  <si>
    <t>(4)期末因出票人未履约而将其转应收账款的应收票据</t>
  </si>
  <si>
    <t>(5)应收票据按坏账计提方法分类披露</t>
  </si>
  <si>
    <t>(5.1)期末按单项计提坏账准备的应收票据</t>
  </si>
  <si>
    <t>(5.2)期末按按组合1计提坏账准备的应收票据</t>
  </si>
  <si>
    <t>(5.3)期末按按组合2计提坏账准备的应收票据</t>
  </si>
  <si>
    <t>(6)本期应收票据坏账准备变动情况</t>
  </si>
  <si>
    <t>(6.1)本期转回或收回金额重要的应收票据坏账准备</t>
  </si>
  <si>
    <t>(7)本期实际核销的应收票据情况</t>
  </si>
  <si>
    <t>(7.1)本期重要的应收票据核销情况</t>
  </si>
  <si>
    <t>(8)外币应收票据</t>
  </si>
  <si>
    <t>(1)应收账款按账龄披露</t>
  </si>
  <si>
    <t>(2.1)应收账款按坏账计提方法分类披露（按简化模型计提）</t>
  </si>
  <si>
    <t>(2.21)期末按单项计提坏账准备的应收账款（简化模型）</t>
  </si>
  <si>
    <t>(2.22)期末按组合1计提坏账准备的应收账款（简化模型）</t>
  </si>
  <si>
    <t>(2.23)期末按组合2计提坏账准备的应收账款（简化模型）</t>
  </si>
  <si>
    <t>(2.24)期末按组合3计提坏账准备的应收账款（简化模型）</t>
  </si>
  <si>
    <t>(2.2)应收账款按坏账计提方法分类披露（按已发生损失模型计提）</t>
  </si>
  <si>
    <t>(3.1)上期末单项金额重大并单项计提坏账准备的应收账款（已发生损失模型）</t>
  </si>
  <si>
    <t>(3.2)上期末组合中按账龄分析法计提坏账准备的应收账款（已发生损失模型）</t>
  </si>
  <si>
    <t>(3)本期应收账款坏账准备的变动情况</t>
  </si>
  <si>
    <t>(3.1)本期应收账款坏账准备转回或收回金额重要的</t>
  </si>
  <si>
    <t>(4)本期实际核销的应收账款情况</t>
  </si>
  <si>
    <t>(4.1)本期重要的应收账款核销情况</t>
  </si>
  <si>
    <t>(5)按欠款方归集的期末余额前五名的应收账款情况</t>
  </si>
  <si>
    <t>(6)因金融资产转移而终止确认的应收账款</t>
  </si>
  <si>
    <t>(7)转移应收账款且继续涉入形成的资产、负债金额</t>
  </si>
  <si>
    <t>(8)外币应收账款</t>
  </si>
  <si>
    <t>(9)关联方应收应付款项——应收账款</t>
  </si>
  <si>
    <t>(10)应收账款补充资料</t>
  </si>
  <si>
    <t>(1)应收款项融资分类列示</t>
  </si>
  <si>
    <t>(2)应收款项融资——应收票据按减值计提方法分类</t>
  </si>
  <si>
    <t>(2.1)期末按单项计提减值准备的应收款项融资——应收票据</t>
  </si>
  <si>
    <t>(2.2)期末按按组合1计提减值准备的应收款项融资——应收票据</t>
  </si>
  <si>
    <t>(2.3)期末按按组合2计提减值准备的应收款项融资——应收票据</t>
  </si>
  <si>
    <t>(3)应收款项融资——应收账款按减值计提方法分类</t>
  </si>
  <si>
    <t>(3.1)期末按单项计提减值准备的应收款项融资——应收账款</t>
  </si>
  <si>
    <t>(3.2)期末按按组合1计提减值准备的应收款项融资——应收账款</t>
  </si>
  <si>
    <t>(3.3)期末按按组合2计提减值准备的应收款项融资——应收账款</t>
  </si>
  <si>
    <t>(4)应收款项融资减值准备的变动情况</t>
  </si>
  <si>
    <t>(1)预付款项按账龄列示</t>
  </si>
  <si>
    <t>(2)按预付对象归集的期末余额前五名的预付款项情况</t>
  </si>
  <si>
    <t>(3)账龄超过1年的金额重要的预付账款</t>
  </si>
  <si>
    <t>(4)预付款项按项目列示</t>
  </si>
  <si>
    <t>(5)关联方应收应付款项——预付款项</t>
  </si>
  <si>
    <t>(6)预付款项补充资料</t>
  </si>
  <si>
    <t>(1)其他应收款分类列示</t>
  </si>
  <si>
    <t>(1)应收利息分类列示</t>
  </si>
  <si>
    <t>(2)期末重要的逾期应收利息</t>
  </si>
  <si>
    <t>(1)应收股利分类列示</t>
  </si>
  <si>
    <t>(2)期末重要的账龄超过1年的应收股利</t>
  </si>
  <si>
    <t>(1)其他应收款按账龄披露</t>
  </si>
  <si>
    <t>(2)其他应收款按款项性质分类情况</t>
  </si>
  <si>
    <t>(3A)其他应收款按坏账计提方法分类披露（三阶段模型）</t>
  </si>
  <si>
    <t>(3A1)期末处于第一阶段的其他应收款坏账准备（三阶段模型）</t>
  </si>
  <si>
    <t>(3A1.1)期末按单项计提坏账准备的其他应收款（第一阶段）</t>
  </si>
  <si>
    <t>(3A1.2)期末按组合1计提坏账准备的其他应收款（第一阶段）</t>
  </si>
  <si>
    <t>(3A1.3)期末按组合2计提坏账准备的其他应收款（第一阶段）</t>
  </si>
  <si>
    <t>(3A1.4)期末按组合3计提坏账准备的其他应收款（第一阶段）</t>
  </si>
  <si>
    <t>(3A2)期末处于第二阶段的其他应收款坏账准备（三阶段模型）</t>
  </si>
  <si>
    <t>(3A2.1)期末按单项计提坏账准备的其他应收款（第二阶段）</t>
  </si>
  <si>
    <t>(3A2.2)期末按组合1计提坏账准备的其他应收款（第二阶段）</t>
  </si>
  <si>
    <t>(3A2.3)期末按组合2计提坏账准备的其他应收款（第二阶段）</t>
  </si>
  <si>
    <t>(3A2.4)期末按组合3计提坏账准备的其他应收款（第二阶段）</t>
  </si>
  <si>
    <t>(3A3)期末处于第三阶段的其他应收款坏账准备（三阶段模型）</t>
  </si>
  <si>
    <t>(3A3.1)期末按单项计提坏账准备的其他应收款（第三阶段）</t>
  </si>
  <si>
    <t>(3A3.2)期末按组合1计提坏账准备的其他应收款（第三阶段）</t>
  </si>
  <si>
    <t>(3A3.3)期末按组合2计提坏账准备的其他应收款（第三阶段）</t>
  </si>
  <si>
    <t>(3A3.4)期末按组合3计提坏账准备的其他应收款（第三阶段）</t>
  </si>
  <si>
    <t>(3B)其他应收款按坏账计提方法分类披露（已发生损失模型）</t>
  </si>
  <si>
    <t>(3B1)上期末按单项金额重大并单项计提坏账准备的其他应收款（已发生损失模型）</t>
  </si>
  <si>
    <t>(3B2)上期末组合中按账龄分析法计提坏账准备的其他应收款（已发生损失模型）</t>
  </si>
  <si>
    <t>(4)本期其他应收款坏账准备的变动情况</t>
  </si>
  <si>
    <t>(4)本期其他应收款坏账准备的变动情况（备选格式）</t>
  </si>
  <si>
    <t>(4.1)本期其他应收款坏账准备收回或转回金额重要的</t>
  </si>
  <si>
    <t>(5)本期实际核销的其他应收款情况</t>
  </si>
  <si>
    <t>(5.1)本期重要的其他应收款核销情况</t>
  </si>
  <si>
    <t>(6)按欠款方归集的期末余额前五名的其他应收款情况</t>
  </si>
  <si>
    <t>(7)涉及政府补助的其他应收款</t>
  </si>
  <si>
    <t>(8)因金融资产转移而终止确认的其他应收款</t>
  </si>
  <si>
    <t>(9)转移其他应收款且继续涉入形成的资产、负债的金额</t>
  </si>
  <si>
    <t>(10)外币其他应收款</t>
  </si>
  <si>
    <t>(11)关联方应收应付款项——其他应收款</t>
  </si>
  <si>
    <t>(12)其他应收款补充资料</t>
  </si>
  <si>
    <t>(1)存货分类列示</t>
  </si>
  <si>
    <t>(2)存货跌价准备的增减变动情况</t>
  </si>
  <si>
    <t>(3)存货期末余额中含有借款费用资本化金额的说明</t>
  </si>
  <si>
    <t>(4)建造合同形成的已完工未结算资产情况</t>
  </si>
  <si>
    <t>(5)开发成本</t>
  </si>
  <si>
    <t>(6)开发产品</t>
  </si>
  <si>
    <t>(7)周转房</t>
  </si>
  <si>
    <t>(8)期末用于债务担保的存货</t>
  </si>
  <si>
    <t>(9)存货跌价准备计提依据与转回情况</t>
  </si>
  <si>
    <t>(10)存货补充资料</t>
  </si>
  <si>
    <t>(1)期末持有待售的非流动资产或处置组</t>
  </si>
  <si>
    <t>(2)期末持有待售资产减值准备</t>
  </si>
  <si>
    <t>(1)一年内到期的非流动资产明细项目</t>
  </si>
  <si>
    <t>(2)期末重要的一年内到期的债权投资或其他债权投资</t>
  </si>
  <si>
    <t>(1)其他流动资产明细列示</t>
  </si>
  <si>
    <t>(1)债权投资情况</t>
  </si>
  <si>
    <t>(2)期末重要的债权投资</t>
  </si>
  <si>
    <t>(3)债权投资按减值计提方法分类披露（三阶段模型）</t>
  </si>
  <si>
    <t>(3.1)期末处于第一阶段的债权投资的减值准备</t>
  </si>
  <si>
    <t>(3.2)期末处于第二阶段的债权投资的减值准备</t>
  </si>
  <si>
    <t>(3.3)期末处于第三阶段的债权投资的减值准备</t>
  </si>
  <si>
    <t>(4)本期债权投资减值准备的变动情况</t>
  </si>
  <si>
    <t>(4)本期债权投资减值准备的变动情况（备选格式）</t>
  </si>
  <si>
    <t>(1)可供出售金融资产情况</t>
  </si>
  <si>
    <t>(2)按公允价值计量的可供出售金融资产</t>
  </si>
  <si>
    <t>(3)按成本计量的可供出售金融资产</t>
  </si>
  <si>
    <t>(3.1)按成本计量的可供出售金融资产（续）</t>
  </si>
  <si>
    <t>(4)可供出售金融资产减值的变动情况</t>
  </si>
  <si>
    <t>(5)可供出售权益工具公允价值严重下跌或非暂时性下跌但未计提减值准备的相关说明</t>
  </si>
  <si>
    <t>(1)其他债权投资情况</t>
  </si>
  <si>
    <t>(2)期末重要的其他债权投资</t>
  </si>
  <si>
    <t>(3)其他债权投资按减值计提方法分类披露（三阶段模型）</t>
  </si>
  <si>
    <t>(3.1)期末处于第一阶段的其他债权投资的减值准备</t>
  </si>
  <si>
    <t>(3.2)期末处于第二阶段的其他债权投资的减值准备</t>
  </si>
  <si>
    <t>(3.3)期末处于第三阶段的其他债权投资的减值准备</t>
  </si>
  <si>
    <t>(4)其他债权投资减值准备的变动情况</t>
  </si>
  <si>
    <t>(4)其他债权投资减值准备的变动情况（备选格式）</t>
  </si>
  <si>
    <t>(1)持有至到期投资情况</t>
  </si>
  <si>
    <t>(2)重要的持有至到期投资</t>
  </si>
  <si>
    <t>(3)本期重分类的持有至到期投资</t>
  </si>
  <si>
    <t>(4)外币持有至到期投资</t>
  </si>
  <si>
    <t>(1)长期应收款情况</t>
  </si>
  <si>
    <t>(2.1)长期应收款按坏账计提方法分类披露（三阶段模型）</t>
  </si>
  <si>
    <t>(2.1A)期末处于第一阶段的长期应收款坏账准备（三阶段模型）</t>
  </si>
  <si>
    <t>(2.1B)期末处于第二阶段的长期应收款坏账准备（三阶段模型）</t>
  </si>
  <si>
    <t>(2.1C)期末处于第三阶段的长期应收款坏账准备（三阶段模型）</t>
  </si>
  <si>
    <t>(2.2)长期应收款按坏账计提方法分类披露（已发生损失模型）</t>
  </si>
  <si>
    <t>(2.2A)上期末按单项金额重大并单项计提坏账准备的长期应收款（已发生损失模型）</t>
  </si>
  <si>
    <t>(2.2B)上期末按组合计提坏账准备的长期应收款（已发生损失模型）</t>
  </si>
  <si>
    <t>(3)长期应收款坏账准备的变动情况</t>
  </si>
  <si>
    <t>(3)长期应收款坏账准备的变动情况（备选格式）</t>
  </si>
  <si>
    <t>(4)因金融资产转移而终止确认的长期应收款</t>
  </si>
  <si>
    <t>(5)转移长期应收款且继续涉入形成的资产、负债金额</t>
  </si>
  <si>
    <t>(6)长期应收款逾期情况分析</t>
  </si>
  <si>
    <t>(7)外币长期应收款</t>
  </si>
  <si>
    <t>(1)长期股权投资情况</t>
  </si>
  <si>
    <t>(2)长期股权投资——对子公司投资明细</t>
  </si>
  <si>
    <t>(3)长期股权投资——对联营、合营企业投资明细</t>
  </si>
  <si>
    <t>(1)其他权益工具投资情况</t>
  </si>
  <si>
    <t>(2)非交易性权益工具的投资情况</t>
  </si>
  <si>
    <t>(1)其他非流动金融资产明细</t>
  </si>
  <si>
    <t>(2)其他非流动金融资产——权益工具投资明细</t>
  </si>
  <si>
    <t>(3)其他非流动金融资产——债务工具投资明细</t>
  </si>
  <si>
    <t>(1)采用成本计量模式的投资性房地产</t>
  </si>
  <si>
    <t>(2)采用公允价值计量模式的投资性房地产</t>
  </si>
  <si>
    <t>(3)未办妥产权证书的投资性房地产情况</t>
  </si>
  <si>
    <t>(4)投资性房地产抵押情况</t>
  </si>
  <si>
    <t>(1)固定资产分类列示</t>
  </si>
  <si>
    <t>(1)固定资产情况</t>
  </si>
  <si>
    <t>(2)暂时闲置的固定资产情况</t>
  </si>
  <si>
    <t>(3)通过融资租赁租入的固定资产情况</t>
  </si>
  <si>
    <t>(4)通过经营租赁租出的固定资产</t>
  </si>
  <si>
    <t>(5)未办妥产权证书的固定资产情况</t>
  </si>
  <si>
    <t>(6)未办妥产权证书的固定资产及其累计折旧明细项目</t>
  </si>
  <si>
    <t>(7)固定资产抵押情况</t>
  </si>
  <si>
    <t>(8)固定资产累计折旧补充资料</t>
  </si>
  <si>
    <t>(1)固定资产清理明细项目</t>
  </si>
  <si>
    <t>(2)固定资产清理补充资料</t>
  </si>
  <si>
    <t>(1)在建工程分类列示</t>
  </si>
  <si>
    <t>(1)在建工程情况</t>
  </si>
  <si>
    <t>(2)重要在建工程项目变动情况列示</t>
  </si>
  <si>
    <t>(2)重要在建工程项目变动情况列示（续）</t>
  </si>
  <si>
    <t>(3)在建工程项目减值准备情况</t>
  </si>
  <si>
    <t>(3)工程物资明细项目</t>
  </si>
  <si>
    <t>(1)采用成本计量模式的生产性生物资产</t>
  </si>
  <si>
    <t>(2)采用公允价值计量模式的生产性生物资产</t>
  </si>
  <si>
    <t>(1)油气资产情况</t>
  </si>
  <si>
    <t>(1)无形资产情况</t>
  </si>
  <si>
    <t>(2)未办妥产权证书的土地使用权情况</t>
  </si>
  <si>
    <t>(3)未办妥产权证书的土地使用权及其累计摊销明细项目</t>
  </si>
  <si>
    <t>(4)无形资产抵押或担保情况</t>
  </si>
  <si>
    <t>(5)无形资产补充资料</t>
  </si>
  <si>
    <t>(6)无形资产累计摊销补充资料</t>
  </si>
  <si>
    <t>(1)开发支出变动情况</t>
  </si>
  <si>
    <t>(1)商誉账面原值</t>
  </si>
  <si>
    <t>(2)商誉减值准备</t>
  </si>
  <si>
    <t>(1)长期待摊费用明细项目</t>
  </si>
  <si>
    <t>(2)长期待摊费用补充资料</t>
  </si>
  <si>
    <t>(1)未经抵销的递延所得税资产</t>
  </si>
  <si>
    <t>(2)未经抵销的递延所得税负债</t>
  </si>
  <si>
    <t>(3)以抵销后净额列示的递延所得税资产或负债</t>
  </si>
  <si>
    <t>(4)未确认递延所得税资产明细</t>
  </si>
  <si>
    <t>(5)未确认递延所得税资产的可抵扣亏损将于以下年度到期</t>
  </si>
  <si>
    <t>(1)其他非流动资产明细项目</t>
  </si>
  <si>
    <t>(1)短期借款分类</t>
  </si>
  <si>
    <t>(1.1)短期借款中的质押借款明细列示</t>
  </si>
  <si>
    <t>(1.2)短期借款中的抵押借款明细列示</t>
  </si>
  <si>
    <t>(1.3)短期借款中的保证借款明细列示</t>
  </si>
  <si>
    <t>(2)重要的已逾期未偿还的短期借款情况</t>
  </si>
  <si>
    <t>(3)外币短期借款</t>
  </si>
  <si>
    <t>(1)交易性金融负债情况</t>
  </si>
  <si>
    <t>(2)指定为以公允价值计量且其变动计入当期损益的金融负债公允价值变动情况</t>
  </si>
  <si>
    <t>(1)以公允价值计量且其变动计入当期损益的金融负债明细列示</t>
  </si>
  <si>
    <t>(1)衍生金融负债明细列示</t>
  </si>
  <si>
    <t>(1)应付票据明细项目</t>
  </si>
  <si>
    <t>(1)应付账款按性质列示</t>
  </si>
  <si>
    <t>(2)应付账款按账龄列示</t>
  </si>
  <si>
    <t>(3)期末账龄超过1年的重要应付账款</t>
  </si>
  <si>
    <t>(4)外币应付账款</t>
  </si>
  <si>
    <t>(5)关联方应收应付款项——应付账款</t>
  </si>
  <si>
    <t>(6)单项金额较大的应付账款</t>
  </si>
  <si>
    <t>(7)应付账款补充资料</t>
  </si>
  <si>
    <t>(1)预收款项列示</t>
  </si>
  <si>
    <t>(2)预收账款按账龄列示</t>
  </si>
  <si>
    <t>(3)期末账龄超过1年的重要预收款项</t>
  </si>
  <si>
    <t>(4)建造合同形成的已结算未完工项目情况</t>
  </si>
  <si>
    <t>(5)预收款项中预售房产收款情况</t>
  </si>
  <si>
    <t>(6)关联方应收应付款项——预收款项</t>
  </si>
  <si>
    <t>(7)预收款项补充资料</t>
  </si>
  <si>
    <t>(1)应付职工薪酬列示</t>
  </si>
  <si>
    <t>(2)短期薪酬列示</t>
  </si>
  <si>
    <t>(3)设定提存计划列示</t>
  </si>
  <si>
    <t>(4)应付职工薪酬分类列示</t>
  </si>
  <si>
    <t>(5)应付职工薪酬补充资料</t>
  </si>
  <si>
    <t>(1)应交税费本期增减变动</t>
  </si>
  <si>
    <t>(2)应交税费补充资料</t>
  </si>
  <si>
    <t>(1)其他应付款分类列示</t>
  </si>
  <si>
    <t>(1)应付利息明细项目</t>
  </si>
  <si>
    <t>(2)期末重要的已逾期未支付的利息情况</t>
  </si>
  <si>
    <t>(1)应付股利明细项目</t>
  </si>
  <si>
    <t>(2)期末重要的超过1年未支付的应付股利</t>
  </si>
  <si>
    <t>(1)按款项性质列示其他应付款</t>
  </si>
  <si>
    <t>(2)其他应付款按账龄列示</t>
  </si>
  <si>
    <t>(3)期末账龄超过1年的重要其他应付款</t>
  </si>
  <si>
    <t>(4)单项金额较大的其他应付款</t>
  </si>
  <si>
    <t>(5)外币其他应付款</t>
  </si>
  <si>
    <t>(6)关联方应收应付款项——其他应付款</t>
  </si>
  <si>
    <t>(7)其他应付款补充资料</t>
  </si>
  <si>
    <t>(1)持有待售负债明细</t>
  </si>
  <si>
    <t>(1)一年内到期的非流动负债明细项目</t>
  </si>
  <si>
    <t>(2)一年内到期的长期借款</t>
  </si>
  <si>
    <t>(3)一年内到期的应付债券</t>
  </si>
  <si>
    <t>(4)一年内到期的长期应付款项</t>
  </si>
  <si>
    <t>(1)其他流动负债明细项目</t>
  </si>
  <si>
    <t>(2)短期应付债券的增减变动</t>
  </si>
  <si>
    <t>(1)长期借款分类</t>
  </si>
  <si>
    <t>(1.1)长期借款中的质押借款明细列示</t>
  </si>
  <si>
    <t>(1.2)长期借款中的抵押借款明细列示</t>
  </si>
  <si>
    <t>(1.3)长期借款中的保证借款明细列示</t>
  </si>
  <si>
    <t>(2)外币长期借款</t>
  </si>
  <si>
    <t>(1)应付债券明细项目</t>
  </si>
  <si>
    <t>(2)应付债券的增减变动（不包括划分为金融负债的优先股、永续债等其他金融工具）</t>
  </si>
  <si>
    <t>(3)划分为金融负债的其他金融工具说明（期末发行在外的优先股、永续债等其他金融工具的基本情况表）</t>
  </si>
  <si>
    <t>(4)划分为金融负债的其他金融工具说明（期末发行在外的优先股、永续债等其他金融工具变动情况表）</t>
  </si>
  <si>
    <t>(5)外币应付债券</t>
  </si>
  <si>
    <t>(1)长期应付款分类列示</t>
  </si>
  <si>
    <t>(1)按款项性质列示长期应付款</t>
  </si>
  <si>
    <t>(2)外币长期应付款</t>
  </si>
  <si>
    <t>(1)专项应付款明细项目</t>
  </si>
  <si>
    <t>(2)外币专项应付款</t>
  </si>
  <si>
    <t>(1)长期应付职工薪酬明细</t>
  </si>
  <si>
    <t>(2.1)设定受益计划变动情况（设定受益计划义务现值）</t>
  </si>
  <si>
    <t>(2.2)设定受益计划变动情况（计划资产）</t>
  </si>
  <si>
    <t>(2.3)设定受益计划净负债（净资产）</t>
  </si>
  <si>
    <t>(2.4)设定受益计划重大精算假设</t>
  </si>
  <si>
    <t>(2.5)设定受益计划重大精算假设敏感性分析</t>
  </si>
  <si>
    <t>(1)预计负债明细项目</t>
  </si>
  <si>
    <t>(1)递延收益情况</t>
  </si>
  <si>
    <t>(2)递延收益（涉及政府补助的项目）</t>
  </si>
  <si>
    <t>(1)其他非流动负债明细项目</t>
  </si>
  <si>
    <t>(2)其他非流动负债补充资料</t>
  </si>
  <si>
    <t>(1)股本变动情况</t>
  </si>
  <si>
    <t>(2)实收资本变动情况</t>
  </si>
  <si>
    <t>(1)期末发行在外的优先股、永续债等其他金融工具基本情况表</t>
  </si>
  <si>
    <t>(2)期末发行在外的优先股、永续债等金融工具变动情况表</t>
  </si>
  <si>
    <t>(1)资本公积变动情况</t>
  </si>
  <si>
    <t>(1)库存股变动情况</t>
  </si>
  <si>
    <t>(1)其他综合收益列示</t>
  </si>
  <si>
    <t>(1)专项储备变动情况</t>
  </si>
  <si>
    <t>(1)盈余公积列示</t>
  </si>
  <si>
    <t>(1)一般风险准备变动情况</t>
  </si>
  <si>
    <t>(1)未分配利润增减变动情况</t>
  </si>
  <si>
    <t>(2)调整本期期初未分配利润明细情况</t>
  </si>
  <si>
    <t>(1)营业收入及营业成本明细列示</t>
  </si>
  <si>
    <t>(2)营业收入明细项目</t>
  </si>
  <si>
    <t>(3)营业成本明细项目</t>
  </si>
  <si>
    <t>(4)主营业务（分行业或业务）</t>
  </si>
  <si>
    <t>(5)主营业务（分产品）</t>
  </si>
  <si>
    <t>(6)主营业务（分地区）</t>
  </si>
  <si>
    <t>(6)本期销售前十名情况</t>
  </si>
  <si>
    <t>(7)本期采购前十名情况</t>
  </si>
  <si>
    <t>(8)营业收入补充资料</t>
  </si>
  <si>
    <t>(9)营业成本补充资料</t>
  </si>
  <si>
    <t>(2)税金及附加补充资料</t>
  </si>
  <si>
    <t>(1)销售费用明细项目</t>
  </si>
  <si>
    <t>(2)销售费用补充资料</t>
  </si>
  <si>
    <t>(1)管理费用明细项目</t>
  </si>
  <si>
    <t>(2)管理费用补充资料</t>
  </si>
  <si>
    <t>(1)研发费用明细项目</t>
  </si>
  <si>
    <t>(2)研发费用补充资料</t>
  </si>
  <si>
    <t>(1)财务费用明细项目</t>
  </si>
  <si>
    <t>(2)财务费用补充资料</t>
  </si>
  <si>
    <t>(1)其他收益明细项目</t>
  </si>
  <si>
    <t>(1)投资收益明细项目</t>
  </si>
  <si>
    <t>(1)净敞口套期收益明细项目</t>
  </si>
  <si>
    <t>(1)公允价值变动收益明细项目列示</t>
  </si>
  <si>
    <t>(1)信用减值损失明细项目</t>
  </si>
  <si>
    <t>(1)资产减值损失明细项目</t>
  </si>
  <si>
    <t>(1)资产处置收益明细项目</t>
  </si>
  <si>
    <t>(1)营业外收入明细项目</t>
  </si>
  <si>
    <t>(2)与企业日常活动无关的政府补助</t>
  </si>
  <si>
    <t>(1)营业外支出明细项目</t>
  </si>
  <si>
    <t>(1)所得税费用的组成</t>
  </si>
  <si>
    <t>(2)会计利润与所得税费用调整过程</t>
  </si>
  <si>
    <t>(1)费用按性质分类的补充资料</t>
  </si>
  <si>
    <t>(2)补充资料（一）</t>
  </si>
  <si>
    <t>(3)补充资料（二）</t>
  </si>
  <si>
    <t>(1)收到的其他与经营活动有关的现金</t>
  </si>
  <si>
    <t>(1)支付的其他与经营活动有关的现金</t>
  </si>
  <si>
    <t>(1)收到的其他与投资活动有关的现金</t>
  </si>
  <si>
    <t>(1)支付的其他与投资活动有关的现金</t>
  </si>
  <si>
    <t>(1)收到的其他与筹资活动有关的现金</t>
  </si>
  <si>
    <t>(1)支付的其他与筹资活动有关的现金</t>
  </si>
  <si>
    <t>(1)将净利润调节为经营活动现金流量</t>
  </si>
  <si>
    <t>(2)不涉及现金收支的重大投资和筹资活动</t>
  </si>
  <si>
    <t>(3)现金及现金等价物净变动情况</t>
  </si>
  <si>
    <t>(4)本期支付的取得子公司的现金净额</t>
  </si>
  <si>
    <t>(5)本期收到的处置子公司的现金净额</t>
  </si>
  <si>
    <t>(6)现金及现金等价物的构成</t>
  </si>
  <si>
    <t>(7)货币资金与现金及现金等价物的调节</t>
  </si>
  <si>
    <t>(1)所有者权益变动表项目注释</t>
  </si>
  <si>
    <t>(1)所有权或使用权受到限制的资产明细项目</t>
  </si>
  <si>
    <t>(1)外币货币性项目明细</t>
  </si>
  <si>
    <t>(1)与资产相关的政府补助</t>
  </si>
  <si>
    <t>(2)与收益相关的政府补助</t>
  </si>
  <si>
    <t>(3)政府补助退回情况</t>
  </si>
  <si>
    <t>(1)本期末金融负债到期期限</t>
  </si>
  <si>
    <t>(2)上期末金融负债到期期限</t>
  </si>
  <si>
    <t>(3)本期末金融资产的到期期限分析</t>
  </si>
  <si>
    <t>(4)上期末金融资产的到期期限分析</t>
  </si>
  <si>
    <t>(5)本期末各外币资产负债项目的主要外汇风险敞口</t>
  </si>
  <si>
    <t>(5)上期末各外币资产负债项目的主要外汇风险敞口</t>
  </si>
  <si>
    <t>(1)以公允价值计量的资产和负债的公允价值</t>
  </si>
  <si>
    <t>(2)持续和非持续第二层次公允价值计量项目采用的估值技术和重要参数的定性及定量信息</t>
  </si>
  <si>
    <t>(3)持续和非持续第三层次公允价值计量项目采用的估值技术和重要参数的定性及定量信息</t>
  </si>
  <si>
    <t>(4)持续的第三层次公允价值计量项目期初与期末账面价值之间的调节信息及不可观察参数的敏感性分析</t>
  </si>
  <si>
    <t>(5)不以公允价值计量的金融资产和金融负债的公允价值情况</t>
  </si>
  <si>
    <t>(5.11)采购商品、接受劳务的关联交易情况</t>
  </si>
  <si>
    <t>(5.12)出售商品、提供劳务的关联交易情况</t>
  </si>
  <si>
    <t>(5.21)受托管理或承包情况表</t>
  </si>
  <si>
    <t>(5.22)委托管理或出包情况表</t>
  </si>
  <si>
    <t>(5.31)关联租赁情况——公司出租</t>
  </si>
  <si>
    <t>(5.32)关联租赁情况——公司承租</t>
  </si>
  <si>
    <t>(5.41)关联担保情况——作为担保方</t>
  </si>
  <si>
    <t>(5.42)关联担保情况——作为被担保方</t>
  </si>
  <si>
    <t>(5.51)关联方资金拆借情况——拆入</t>
  </si>
  <si>
    <t>(5.52)关联方资金拆借情况——拆出</t>
  </si>
  <si>
    <t>(5.6)关联方资产转让、债务重组情况</t>
  </si>
  <si>
    <t>(5.7)关键管理人员报酬情况</t>
  </si>
  <si>
    <t>(6.1)关联方应收应付款项——应收项目</t>
  </si>
  <si>
    <t>(6.2)关联方应收应付款项——应付项目</t>
  </si>
  <si>
    <t>(1)其他重要事项（终止经营）</t>
  </si>
  <si>
    <t>(1)当期非经常性损益明细表</t>
  </si>
  <si>
    <t>(2)将《公开发行证券的公司信息披露解释性公告第1号——非经常性损益》中列举的非经常性损益项目界定为经常性损益的项目及原因</t>
  </si>
  <si>
    <t>(3)其他符合非经常性损益定义的损益项目</t>
  </si>
  <si>
    <t>(4)报告年度不再作为非经常性损益列报的项目</t>
  </si>
  <si>
    <t>(1)销售商品提供劳务收到的现金计算表</t>
  </si>
  <si>
    <t>(1)收到其他与经营活动有关的现金计算表</t>
  </si>
  <si>
    <t>(1)购买商品接受劳务支付的现金计算表</t>
  </si>
  <si>
    <t>(1)支付给职工以及为职工支付的现金计算表</t>
  </si>
  <si>
    <t>(1)支付的各项税费计算表</t>
  </si>
  <si>
    <t>(1)支付其他与经营活动有关的现金计算表</t>
  </si>
  <si>
    <t>(1)收回投资收到的现金计算表</t>
  </si>
  <si>
    <t>(1)取得投资收益收到的现金计算表</t>
  </si>
  <si>
    <t>(1)处置固定资产无形资产长期资产收回的现金计算表</t>
  </si>
  <si>
    <t>(1)购置固定资产无形资产长期资产支付的现金计算表</t>
  </si>
  <si>
    <t>(1)投资支付的现金计算表</t>
  </si>
  <si>
    <t>(1)取得借款收到的现金计算表</t>
  </si>
  <si>
    <t>(1)偿还债务支付的现金计算表</t>
  </si>
  <si>
    <t>(1)分配利润偿付利息支付的现金计算表</t>
  </si>
  <si>
    <t>(1)将净利润调节为经营活动现金流量：资产减值准备金额</t>
  </si>
  <si>
    <t>(1)将净利润调节为经营活动现金流量：固定资产折旧、油气资产折耗、生产性生物资产折旧</t>
  </si>
  <si>
    <t>(1)将净利润调节为经营活动现金流量：无形资产摊销</t>
  </si>
  <si>
    <t>(1)将净利润调节为经营活动现金流量：长期待摊费用摊销</t>
  </si>
  <si>
    <t>(1)将净利润调节为经营活动现金流量：处置固定资产、无形资产和其他长期资产的损失</t>
  </si>
  <si>
    <t>(1)将净利润调节为经营活动现金流量：固定资产报废损失</t>
  </si>
  <si>
    <t>(1)将净利润调节为经营活动现金流量：公允价值变动损失</t>
  </si>
  <si>
    <t>(1)将净利润调节为经营活动现金流量：财务费用金额</t>
  </si>
  <si>
    <t>(1)将净利润调节为经营活动现金流量：投资损失</t>
  </si>
  <si>
    <t>(1)将净利润调节为经营活动现金流量：递延所得税资产减少</t>
  </si>
  <si>
    <t>(1)将净利润调节为经营活动现金流量：递延所得税负债增加</t>
  </si>
  <si>
    <t>(1)将净利润调节为经营活动现金流量：存货的减少</t>
  </si>
  <si>
    <t>(1)将净利润调节为经营活动现金流量：经营性应收项目的减少</t>
  </si>
  <si>
    <t>(1)将净利润调节为经营活动现金流量：经营性应付项目的增加</t>
  </si>
  <si>
    <t>(1)将净利润调节为经营活动现金流量：其他项目</t>
  </si>
  <si>
    <t>105_个别报表_2019年度_山东天安_V0.1.xlsx</t>
  </si>
  <si>
    <t>货币资金大幅下降，结合销售和采购分析下降原因</t>
    <phoneticPr fontId="163" type="noConversion"/>
  </si>
  <si>
    <t>关注商票金额，期末未到期商票应恢复为应收账款</t>
    <phoneticPr fontId="163" type="noConversion"/>
  </si>
  <si>
    <t>关注营业收入较上年下降的情况下应收账款反而上升的原因，应收账款周转率是否下降明显，计算信用减值损失时应考虑</t>
    <phoneticPr fontId="163" type="noConversion"/>
  </si>
  <si>
    <t>预付账款大幅上升的原因？是否需要重分类？是否涉及采购付款方式的变更？</t>
    <phoneticPr fontId="163" type="noConversion"/>
  </si>
  <si>
    <t>大幅上升的原因？</t>
    <phoneticPr fontId="163" type="noConversion"/>
  </si>
  <si>
    <t>存货变动不大，关注库龄和跌价</t>
    <phoneticPr fontId="163" type="noConversion"/>
  </si>
  <si>
    <t>关注折旧测算</t>
    <phoneticPr fontId="163" type="noConversion"/>
  </si>
  <si>
    <t>关注下降原因及是否达到转固条件</t>
    <phoneticPr fontId="163" type="noConversion"/>
  </si>
  <si>
    <t>应该是期末重分类出来的，本期也需关注是否需要重分类</t>
    <phoneticPr fontId="163" type="noConversion"/>
  </si>
  <si>
    <t>关注摊销测算</t>
    <phoneticPr fontId="163" type="noConversion"/>
  </si>
  <si>
    <t>结合预付大幅增加考虑，本期采购的付款方式是否发生改变，无法使用票据付款？</t>
    <phoneticPr fontId="163" type="noConversion"/>
  </si>
  <si>
    <t>上升原因？主要采购对象是什么</t>
    <phoneticPr fontId="163" type="noConversion"/>
  </si>
  <si>
    <t>大幅上升的原因？关注真实性</t>
    <phoneticPr fontId="163" type="noConversion"/>
  </si>
  <si>
    <t>按照天安薪酬政策，应付职工薪酬期末余额应为最后一个月工资加年终奖，本期大幅下降，关注薪酬政策是否改变，计提和发放数是否一致</t>
    <phoneticPr fontId="163" type="noConversion"/>
  </si>
  <si>
    <t>大幅下降原因</t>
    <phoneticPr fontId="163" type="noConversion"/>
  </si>
  <si>
    <t>关注使用情况</t>
    <phoneticPr fontId="163" type="noConversion"/>
  </si>
  <si>
    <t>关注收入的真实性和截止性</t>
    <phoneticPr fontId="163" type="noConversion"/>
  </si>
  <si>
    <t>关注成本的完整性和准确性</t>
    <phoneticPr fontId="163" type="noConversion"/>
  </si>
  <si>
    <t>关注费用的真实性和截止性；其中运费应结合营业收入分析</t>
    <phoneticPr fontId="163" type="noConversion"/>
  </si>
  <si>
    <t>关注费用的真实性和截止性；管理费用-其他金额过大，披露时应注意重分类</t>
    <phoneticPr fontId="163" type="noConversion"/>
  </si>
  <si>
    <t>大幅下降原因；关注完整性</t>
    <phoneticPr fontId="163" type="noConversion"/>
  </si>
  <si>
    <t>关注下降原因</t>
    <phoneticPr fontId="163" type="noConversion"/>
  </si>
  <si>
    <t>关注政府补助的真实性</t>
    <phoneticPr fontId="163" type="noConversion"/>
  </si>
  <si>
    <t>上期主要是坏账，本期在信用减值损失体现，此处主要为存货跌价损失</t>
    <phoneticPr fontId="163" type="noConversion"/>
  </si>
  <si>
    <t>结合长期资产一并分析</t>
    <phoneticPr fontId="163" type="noConversion"/>
  </si>
  <si>
    <t>关注真实性</t>
    <phoneticPr fontId="163" type="noConversion"/>
  </si>
  <si>
    <t>加</t>
  </si>
  <si>
    <t>减</t>
  </si>
  <si>
    <t>退增值税</t>
  </si>
  <si>
    <t>退所得税</t>
  </si>
  <si>
    <t>退其他税</t>
  </si>
  <si>
    <t>期末数</t>
    <phoneticPr fontId="163" type="noConversion"/>
  </si>
  <si>
    <t>期初数</t>
    <phoneticPr fontId="163" type="noConversion"/>
  </si>
  <si>
    <t>本期发生数</t>
  </si>
  <si>
    <t>制造费用-长期待摊费用摊销数</t>
  </si>
  <si>
    <t>固定资产清理折旧</t>
  </si>
  <si>
    <r>
      <rPr>
        <sz val="10"/>
        <color indexed="8"/>
        <rFont val="宋体"/>
        <family val="3"/>
        <charset val="134"/>
      </rPr>
      <t>存货跌价准备</t>
    </r>
  </si>
  <si>
    <t>纳税调增</t>
  </si>
  <si>
    <t>调整后利润总额</t>
  </si>
  <si>
    <t>不可抵扣坏账损失</t>
  </si>
  <si>
    <t>罚款、滞纳金</t>
  </si>
  <si>
    <t>各种赞助支出</t>
  </si>
  <si>
    <t>职工教育经费</t>
  </si>
  <si>
    <t>工会经费</t>
  </si>
  <si>
    <t>业务招待费</t>
  </si>
  <si>
    <t>适用税率</t>
  </si>
  <si>
    <t>应纳所得税额</t>
  </si>
  <si>
    <t>已计提所得税</t>
  </si>
  <si>
    <t>应调整差额</t>
  </si>
  <si>
    <t>减值准备表</t>
  </si>
  <si>
    <r>
      <rPr>
        <b/>
        <sz val="12"/>
        <rFont val="Arial Narrow"/>
        <family val="2"/>
      </rPr>
      <t>2018</t>
    </r>
    <r>
      <rPr>
        <b/>
        <sz val="12"/>
        <rFont val="宋体"/>
        <family val="3"/>
        <charset val="134"/>
      </rPr>
      <t>年</t>
    </r>
    <r>
      <rPr>
        <b/>
        <sz val="12"/>
        <rFont val="Arial Narrow"/>
        <family val="2"/>
      </rPr>
      <t>1-12</t>
    </r>
    <r>
      <rPr>
        <b/>
        <sz val="12"/>
        <rFont val="宋体"/>
        <family val="3"/>
        <charset val="134"/>
      </rPr>
      <t>月</t>
    </r>
  </si>
  <si>
    <t>单位：人民币元</t>
  </si>
  <si>
    <t>年初审定数</t>
  </si>
  <si>
    <t>年末未审余额</t>
  </si>
  <si>
    <t>本期调整借方</t>
  </si>
  <si>
    <t>本期调整贷方　</t>
  </si>
  <si>
    <t>年末审定数</t>
  </si>
  <si>
    <t>preBS期末核对</t>
    <phoneticPr fontId="163" type="noConversion"/>
  </si>
  <si>
    <t>BS期末核对</t>
    <phoneticPr fontId="163" type="noConversion"/>
  </si>
  <si>
    <t>BS期初核对</t>
    <phoneticPr fontId="163" type="noConversion"/>
  </si>
  <si>
    <t>本年计提</t>
  </si>
  <si>
    <t>应收账款</t>
    <phoneticPr fontId="163" type="noConversion"/>
  </si>
  <si>
    <t>应收账款坏账准备</t>
    <phoneticPr fontId="163" type="noConversion"/>
  </si>
  <si>
    <t>应收账款净额</t>
    <phoneticPr fontId="163" type="noConversion"/>
  </si>
  <si>
    <t>应收票据</t>
    <phoneticPr fontId="163" type="noConversion"/>
  </si>
  <si>
    <t>应收票据坏账准备</t>
    <phoneticPr fontId="163" type="noConversion"/>
  </si>
  <si>
    <t>应收票据净额</t>
    <phoneticPr fontId="163" type="noConversion"/>
  </si>
  <si>
    <t>其他应收款净额</t>
  </si>
  <si>
    <t>存货净额</t>
  </si>
  <si>
    <t>坏账准备_长期应收款</t>
  </si>
  <si>
    <t>check</t>
  </si>
  <si>
    <t>递延所得税计算表</t>
  </si>
  <si>
    <r>
      <rPr>
        <b/>
        <sz val="10"/>
        <rFont val="宋体"/>
        <family val="3"/>
        <charset val="134"/>
      </rPr>
      <t>项目</t>
    </r>
  </si>
  <si>
    <r>
      <rPr>
        <b/>
        <sz val="10"/>
        <rFont val="宋体"/>
        <family val="3"/>
        <charset val="134"/>
      </rPr>
      <t>年初账面价值与计税基础差异</t>
    </r>
  </si>
  <si>
    <r>
      <rPr>
        <b/>
        <sz val="10"/>
        <rFont val="宋体"/>
        <family val="3"/>
        <charset val="134"/>
      </rPr>
      <t>年初应确认递延所得税</t>
    </r>
  </si>
  <si>
    <r>
      <rPr>
        <b/>
        <sz val="10"/>
        <rFont val="宋体"/>
        <family val="3"/>
        <charset val="134"/>
      </rPr>
      <t>年末账面价值与计税基础差异</t>
    </r>
  </si>
  <si>
    <t>年末应确认递延所得税</t>
  </si>
  <si>
    <r>
      <rPr>
        <b/>
        <sz val="10"/>
        <rFont val="宋体"/>
        <family val="3"/>
        <charset val="134"/>
      </rPr>
      <t>账面已确认金额</t>
    </r>
  </si>
  <si>
    <r>
      <rPr>
        <b/>
        <sz val="10"/>
        <rFont val="宋体"/>
        <family val="3"/>
        <charset val="134"/>
      </rPr>
      <t>应调整</t>
    </r>
  </si>
  <si>
    <r>
      <rPr>
        <b/>
        <sz val="10"/>
        <rFont val="宋体"/>
        <family val="3"/>
        <charset val="134"/>
      </rPr>
      <t>所得税率</t>
    </r>
  </si>
  <si>
    <r>
      <rPr>
        <sz val="10"/>
        <color indexed="8"/>
        <rFont val="宋体"/>
        <family val="3"/>
        <charset val="134"/>
      </rPr>
      <t>坏账准备</t>
    </r>
  </si>
  <si>
    <r>
      <rPr>
        <sz val="10"/>
        <color indexed="8"/>
        <rFont val="宋体"/>
        <family val="3"/>
        <charset val="134"/>
      </rPr>
      <t>职工教育经费</t>
    </r>
  </si>
  <si>
    <r>
      <rPr>
        <sz val="10"/>
        <color indexed="8"/>
        <rFont val="宋体"/>
        <family val="3"/>
        <charset val="134"/>
      </rPr>
      <t>开办费</t>
    </r>
  </si>
  <si>
    <r>
      <rPr>
        <sz val="10"/>
        <color indexed="8"/>
        <rFont val="宋体"/>
        <family val="3"/>
        <charset val="134"/>
      </rPr>
      <t>未弥补亏损</t>
    </r>
  </si>
  <si>
    <r>
      <rPr>
        <sz val="10"/>
        <color indexed="8"/>
        <rFont val="宋体"/>
        <family val="3"/>
        <charset val="134"/>
      </rPr>
      <t>递延所得税资产合计</t>
    </r>
  </si>
  <si>
    <r>
      <rPr>
        <sz val="10"/>
        <color indexed="8"/>
        <rFont val="宋体"/>
        <family val="3"/>
        <charset val="134"/>
      </rPr>
      <t>可供出售金融资产</t>
    </r>
  </si>
  <si>
    <r>
      <rPr>
        <sz val="10"/>
        <color indexed="8"/>
        <rFont val="宋体"/>
        <family val="3"/>
        <charset val="134"/>
      </rPr>
      <t>递延所得税负债合计</t>
    </r>
  </si>
  <si>
    <r>
      <t>check1</t>
    </r>
    <r>
      <rPr>
        <b/>
        <sz val="12"/>
        <color rgb="FFFF0000"/>
        <rFont val="宋体"/>
        <family val="3"/>
        <charset val="134"/>
      </rPr>
      <t>（未审）</t>
    </r>
    <phoneticPr fontId="163" type="noConversion"/>
  </si>
  <si>
    <r>
      <t>check1</t>
    </r>
    <r>
      <rPr>
        <b/>
        <sz val="12"/>
        <color rgb="FFFF0000"/>
        <rFont val="宋体"/>
        <family val="3"/>
        <charset val="134"/>
      </rPr>
      <t>（审定）</t>
    </r>
    <phoneticPr fontId="163" type="noConversion"/>
  </si>
  <si>
    <t>应纳所得税计算表</t>
  </si>
  <si>
    <r>
      <rPr>
        <b/>
        <sz val="10"/>
        <rFont val="Arial Narrow"/>
        <family val="2"/>
      </rPr>
      <t>2018</t>
    </r>
    <r>
      <rPr>
        <b/>
        <sz val="10"/>
        <rFont val="宋体"/>
        <family val="3"/>
        <charset val="134"/>
      </rPr>
      <t>年</t>
    </r>
    <r>
      <rPr>
        <b/>
        <sz val="10"/>
        <rFont val="Arial Narrow"/>
        <family val="2"/>
      </rPr>
      <t>1-12</t>
    </r>
    <r>
      <rPr>
        <b/>
        <sz val="10"/>
        <rFont val="宋体"/>
        <family val="3"/>
        <charset val="134"/>
      </rPr>
      <t>月</t>
    </r>
  </si>
  <si>
    <t>备注</t>
    <phoneticPr fontId="163" type="noConversion"/>
  </si>
  <si>
    <t>发生额</t>
    <phoneticPr fontId="163" type="noConversion"/>
  </si>
  <si>
    <r>
      <rPr>
        <sz val="10"/>
        <color indexed="8"/>
        <rFont val="宋体"/>
        <family val="3"/>
        <charset val="134"/>
      </rPr>
      <t>管理费用</t>
    </r>
    <r>
      <rPr>
        <sz val="10"/>
        <color indexed="8"/>
        <rFont val="Arial Narrow"/>
        <family val="2"/>
      </rPr>
      <t>-</t>
    </r>
    <r>
      <rPr>
        <sz val="10"/>
        <color indexed="8"/>
        <rFont val="宋体"/>
        <family val="3"/>
        <charset val="134"/>
      </rPr>
      <t>业务招待费</t>
    </r>
    <phoneticPr fontId="163" type="noConversion"/>
  </si>
  <si>
    <t>加：纳税调整增加额</t>
  </si>
  <si>
    <r>
      <rPr>
        <sz val="10"/>
        <color indexed="8"/>
        <rFont val="宋体"/>
        <family val="3"/>
        <charset val="134"/>
      </rPr>
      <t>销售费用</t>
    </r>
    <r>
      <rPr>
        <sz val="10"/>
        <color indexed="8"/>
        <rFont val="Arial Narrow"/>
        <family val="2"/>
      </rPr>
      <t>-</t>
    </r>
    <r>
      <rPr>
        <sz val="10"/>
        <color indexed="8"/>
        <rFont val="宋体"/>
        <family val="3"/>
        <charset val="134"/>
      </rPr>
      <t>业务招待费</t>
    </r>
    <phoneticPr fontId="163" type="noConversion"/>
  </si>
  <si>
    <r>
      <rPr>
        <sz val="10"/>
        <color indexed="8"/>
        <rFont val="宋体"/>
        <family val="3"/>
        <charset val="134"/>
      </rPr>
      <t>存货/营业成本</t>
    </r>
    <r>
      <rPr>
        <sz val="10"/>
        <color indexed="8"/>
        <rFont val="Arial Narrow"/>
        <family val="2"/>
      </rPr>
      <t>-</t>
    </r>
    <r>
      <rPr>
        <sz val="10"/>
        <color indexed="8"/>
        <rFont val="宋体"/>
        <family val="3"/>
        <charset val="134"/>
      </rPr>
      <t>业务招待费</t>
    </r>
    <phoneticPr fontId="163" type="noConversion"/>
  </si>
  <si>
    <r>
      <rPr>
        <sz val="10"/>
        <color indexed="10"/>
        <rFont val="宋体"/>
        <family val="3"/>
        <charset val="134"/>
      </rPr>
      <t>小计</t>
    </r>
  </si>
  <si>
    <t>捐赠支出</t>
  </si>
  <si>
    <r>
      <rPr>
        <sz val="10"/>
        <color indexed="8"/>
        <rFont val="宋体"/>
        <family val="3"/>
        <charset val="134"/>
      </rPr>
      <t>招待费发生额</t>
    </r>
    <r>
      <rPr>
        <sz val="10"/>
        <color indexed="8"/>
        <rFont val="Arial Narrow"/>
        <family val="2"/>
      </rPr>
      <t>60%</t>
    </r>
  </si>
  <si>
    <t>分公司坏账损失</t>
  </si>
  <si>
    <r>
      <rPr>
        <sz val="10"/>
        <color indexed="8"/>
        <rFont val="宋体"/>
        <family val="3"/>
        <charset val="134"/>
      </rPr>
      <t>审定收入</t>
    </r>
  </si>
  <si>
    <t>合并抵消利润</t>
  </si>
  <si>
    <r>
      <rPr>
        <sz val="10"/>
        <color indexed="8"/>
        <rFont val="宋体"/>
        <family val="3"/>
        <charset val="134"/>
      </rPr>
      <t>收入</t>
    </r>
    <r>
      <rPr>
        <sz val="10"/>
        <color indexed="8"/>
        <rFont val="Arial Narrow"/>
        <family val="2"/>
      </rPr>
      <t>0.5%</t>
    </r>
  </si>
  <si>
    <t>合并抵消坏账准备</t>
  </si>
  <si>
    <r>
      <rPr>
        <sz val="10"/>
        <color indexed="60"/>
        <rFont val="宋体"/>
        <family val="3"/>
        <charset val="134"/>
      </rPr>
      <t>纳税调增额</t>
    </r>
  </si>
  <si>
    <t>未按权责发生制原则确认的收入</t>
    <phoneticPr fontId="163" type="noConversion"/>
  </si>
  <si>
    <t>审定工资总额</t>
  </si>
  <si>
    <t>跨期扣除</t>
  </si>
  <si>
    <t>比例</t>
  </si>
  <si>
    <t>按审定工资总额计算</t>
    <phoneticPr fontId="163" type="noConversion"/>
  </si>
  <si>
    <t>取得与收入无关的支出</t>
  </si>
  <si>
    <r>
      <rPr>
        <sz val="10"/>
        <color indexed="8"/>
        <rFont val="宋体"/>
        <family val="3"/>
        <charset val="134"/>
      </rPr>
      <t>职工福利费</t>
    </r>
  </si>
  <si>
    <r>
      <rPr>
        <sz val="10"/>
        <rFont val="宋体"/>
        <family val="3"/>
        <charset val="134"/>
      </rPr>
      <t>工会经费</t>
    </r>
  </si>
  <si>
    <t>固定资产提前报废损失</t>
    <phoneticPr fontId="163" type="noConversion"/>
  </si>
  <si>
    <r>
      <rPr>
        <sz val="10"/>
        <color indexed="8"/>
        <rFont val="宋体"/>
        <family val="3"/>
        <charset val="134"/>
      </rPr>
      <t>销售费用</t>
    </r>
    <r>
      <rPr>
        <sz val="10"/>
        <color indexed="8"/>
        <rFont val="Arial Narrow"/>
        <family val="2"/>
      </rPr>
      <t>-</t>
    </r>
    <r>
      <rPr>
        <sz val="10"/>
        <color indexed="8"/>
        <rFont val="宋体"/>
        <family val="3"/>
        <charset val="134"/>
      </rPr>
      <t>广告费</t>
    </r>
  </si>
  <si>
    <t>广告费</t>
    <phoneticPr fontId="163" type="noConversion"/>
  </si>
  <si>
    <r>
      <rPr>
        <sz val="10"/>
        <color indexed="8"/>
        <rFont val="宋体"/>
        <family val="3"/>
        <charset val="134"/>
      </rPr>
      <t>管理费用</t>
    </r>
    <r>
      <rPr>
        <sz val="10"/>
        <color indexed="8"/>
        <rFont val="Arial Narrow"/>
        <family val="2"/>
      </rPr>
      <t>-</t>
    </r>
    <r>
      <rPr>
        <sz val="10"/>
        <color indexed="8"/>
        <rFont val="宋体"/>
        <family val="3"/>
        <charset val="134"/>
      </rPr>
      <t>广告费</t>
    </r>
  </si>
  <si>
    <t>减：纳税调整减少额</t>
  </si>
  <si>
    <r>
      <rPr>
        <sz val="10"/>
        <color indexed="8"/>
        <rFont val="宋体"/>
        <family val="3"/>
        <charset val="134"/>
      </rPr>
      <t>存货</t>
    </r>
    <r>
      <rPr>
        <sz val="10"/>
        <color indexed="8"/>
        <rFont val="Arial Narrow"/>
        <family val="2"/>
      </rPr>
      <t>/</t>
    </r>
    <r>
      <rPr>
        <sz val="10"/>
        <color indexed="8"/>
        <rFont val="宋体"/>
        <family val="3"/>
        <charset val="134"/>
      </rPr>
      <t>营业成本</t>
    </r>
    <r>
      <rPr>
        <sz val="10"/>
        <color indexed="8"/>
        <rFont val="Arial Narrow"/>
        <family val="2"/>
      </rPr>
      <t>--</t>
    </r>
    <r>
      <rPr>
        <sz val="10"/>
        <color indexed="8"/>
        <rFont val="宋体"/>
        <family val="3"/>
        <charset val="134"/>
      </rPr>
      <t>广告费</t>
    </r>
    <phoneticPr fontId="163" type="noConversion"/>
  </si>
  <si>
    <t>免税收入</t>
  </si>
  <si>
    <t>冲回检察院扣款</t>
  </si>
  <si>
    <t>权益法核算的投资收益+股利</t>
  </si>
  <si>
    <r>
      <rPr>
        <sz val="10"/>
        <color indexed="8"/>
        <rFont val="宋体"/>
        <family val="3"/>
        <charset val="134"/>
      </rPr>
      <t>收入1</t>
    </r>
    <r>
      <rPr>
        <sz val="10"/>
        <color indexed="8"/>
        <rFont val="Arial Narrow"/>
        <family val="2"/>
      </rPr>
      <t>5%</t>
    </r>
  </si>
  <si>
    <t>在应付福利费中列支补充医疗保险</t>
  </si>
  <si>
    <t>研发费加计扣除</t>
  </si>
  <si>
    <t>二、应纳税所得额</t>
  </si>
  <si>
    <r>
      <rPr>
        <sz val="10"/>
        <rFont val="宋体"/>
        <family val="3"/>
        <charset val="134"/>
      </rPr>
      <t>本期调整</t>
    </r>
    <r>
      <rPr>
        <sz val="10"/>
        <rFont val="Arial Narrow"/>
        <family val="2"/>
      </rPr>
      <t>-</t>
    </r>
  </si>
  <si>
    <r>
      <t>check1</t>
    </r>
    <r>
      <rPr>
        <b/>
        <sz val="10"/>
        <rFont val="宋体"/>
        <family val="3"/>
        <charset val="134"/>
      </rPr>
      <t>（未审）</t>
    </r>
    <phoneticPr fontId="163" type="noConversion"/>
  </si>
  <si>
    <r>
      <t>check2</t>
    </r>
    <r>
      <rPr>
        <b/>
        <sz val="10"/>
        <rFont val="宋体"/>
        <family val="3"/>
        <charset val="134"/>
      </rPr>
      <t>（审定）</t>
    </r>
    <phoneticPr fontId="163" type="noConversion"/>
  </si>
  <si>
    <r>
      <t>2019</t>
    </r>
    <r>
      <rPr>
        <b/>
        <sz val="12"/>
        <rFont val="宋体"/>
        <family val="3"/>
        <charset val="134"/>
      </rPr>
      <t>年</t>
    </r>
    <r>
      <rPr>
        <b/>
        <sz val="12"/>
        <rFont val="Arial Narrow"/>
        <family val="2"/>
      </rPr>
      <t>1-12</t>
    </r>
    <r>
      <rPr>
        <b/>
        <sz val="12"/>
        <rFont val="宋体"/>
        <family val="3"/>
        <charset val="134"/>
      </rPr>
      <t>月</t>
    </r>
    <phoneticPr fontId="163" type="noConversion"/>
  </si>
  <si>
    <t>电子设备及其他</t>
  </si>
  <si>
    <t>主营业务成本</t>
    <phoneticPr fontId="163" type="noConversion"/>
  </si>
  <si>
    <t>本期在建工程-蒸汽管道已达到可使用状态，现调整转固</t>
  </si>
  <si>
    <t>生产使用设备</t>
  </si>
  <si>
    <t>蒸汽管道</t>
  </si>
  <si>
    <t>AJE</t>
  </si>
  <si>
    <t>维修改造项目</t>
  </si>
  <si>
    <t xml:space="preserve">   冯如泉</t>
  </si>
  <si>
    <t xml:space="preserve">   冯丽</t>
  </si>
  <si>
    <t xml:space="preserve">   冯长乐</t>
  </si>
  <si>
    <t xml:space="preserve">   其他股东</t>
  </si>
  <si>
    <t xml:space="preserve">   苏州天马精化股份有限公司</t>
  </si>
  <si>
    <t>罚款</t>
  </si>
  <si>
    <t>存货报废</t>
  </si>
  <si>
    <t>汇兑损益</t>
  </si>
  <si>
    <t>汇兑损益差异0.12需调整，分录如下：</t>
  </si>
  <si>
    <t>山东天安二期基建项目工程-募投项目</t>
  </si>
  <si>
    <t>地磅</t>
  </si>
  <si>
    <t>燃气锅炉</t>
  </si>
  <si>
    <t>其他零星项目</t>
  </si>
  <si>
    <t>续调</t>
    <phoneticPr fontId="163" type="noConversion"/>
  </si>
  <si>
    <r>
      <t>调整2018</t>
    </r>
    <r>
      <rPr>
        <sz val="10"/>
        <rFont val="宋体"/>
        <family val="3"/>
        <charset val="134"/>
      </rPr>
      <t>账面已冲销</t>
    </r>
    <r>
      <rPr>
        <sz val="10"/>
        <rFont val="宋体"/>
        <family val="3"/>
        <charset val="134"/>
      </rPr>
      <t>2017</t>
    </r>
    <r>
      <rPr>
        <sz val="10"/>
        <rFont val="宋体"/>
        <family val="3"/>
        <charset val="134"/>
      </rPr>
      <t>在建工程暂估但未继续暂估，</t>
    </r>
    <r>
      <rPr>
        <sz val="10"/>
        <rFont val="宋体"/>
        <family val="3"/>
        <charset val="134"/>
      </rPr>
      <t>2018</t>
    </r>
    <r>
      <rPr>
        <sz val="10"/>
        <rFont val="宋体"/>
        <family val="3"/>
        <charset val="134"/>
      </rPr>
      <t>在建工程无变动</t>
    </r>
    <phoneticPr fontId="163" type="noConversion"/>
  </si>
  <si>
    <t>天然气已充值但尚未充气本期盘亏调整</t>
  </si>
  <si>
    <t>AJE</t>
    <phoneticPr fontId="163" type="noConversion"/>
  </si>
  <si>
    <t>临邑中邑燃气有限公司</t>
  </si>
  <si>
    <t>存货跌价准备调整</t>
  </si>
  <si>
    <t>在制品</t>
  </si>
  <si>
    <t>存货跌价</t>
    <phoneticPr fontId="163" type="noConversion"/>
  </si>
  <si>
    <t>陈红</t>
    <phoneticPr fontId="163" type="noConversion"/>
  </si>
  <si>
    <t>将工程设备款重分类至其他非流动资产核算：</t>
  </si>
  <si>
    <t>RJE</t>
  </si>
  <si>
    <t>暂估工程款重分类至在建工程</t>
  </si>
  <si>
    <t>瑞必科净化设备（上海）有限公司</t>
  </si>
  <si>
    <t>扬州庆松化工设备有限公司</t>
  </si>
  <si>
    <t>山东环冠科技有限公司</t>
  </si>
  <si>
    <t>山东省环境保护科学研究设计院</t>
  </si>
  <si>
    <t>中国船舶重工集团公司第711研究所</t>
  </si>
  <si>
    <t>北京复盛机械有限公司</t>
  </si>
  <si>
    <t>河北巨鑫输送工程有限公司</t>
  </si>
  <si>
    <t>石家庄市德隆机电设备厂</t>
  </si>
  <si>
    <t>长春东狮科贸实业有限公司</t>
  </si>
  <si>
    <t>贵州绿色环保设备工程有限责任公司</t>
  </si>
  <si>
    <t>靖江市诚实化工设备制造有限公司</t>
  </si>
  <si>
    <t>江苏金诺化工装备有限公司</t>
  </si>
  <si>
    <t>苏州制氧机有限责任公司</t>
  </si>
  <si>
    <t>期末费用挂账调整</t>
  </si>
  <si>
    <t>运费</t>
  </si>
  <si>
    <t>制造费用-咨询费</t>
  </si>
  <si>
    <t>山东海瀚消防设备安装工程有限公司</t>
  </si>
  <si>
    <t>临邑县人民法院</t>
  </si>
  <si>
    <t>中外运-敦豪国际航空快件有限公司苏州分公司</t>
  </si>
  <si>
    <t>合肥吉通货物运输有限公司</t>
  </si>
  <si>
    <t>山东金必达环保科技有限公司</t>
  </si>
  <si>
    <t>德州市环境保护科学研究所有限公司</t>
  </si>
  <si>
    <t>范县源泰运输服务有限公司</t>
  </si>
  <si>
    <t>将账面做入预收的预提费用重分类至应付账款</t>
  </si>
  <si>
    <t>废物处置费</t>
  </si>
  <si>
    <t>虞至纯</t>
    <phoneticPr fontId="163" type="noConversion"/>
  </si>
  <si>
    <t>补提应收账款坏账准备</t>
  </si>
  <si>
    <t>苏州市佳协化学品有限公司</t>
  </si>
  <si>
    <t>青岛前线生物工程有限公司</t>
  </si>
  <si>
    <t>寿光市荣马化工有限公司</t>
  </si>
  <si>
    <t>兴平市天成精细化学品有限公司</t>
  </si>
  <si>
    <t>淮安市信丰精细化学科技有限公司</t>
  </si>
  <si>
    <t>石家庄柏奇化工有限公司</t>
  </si>
  <si>
    <t>临邑兴安科技有限公司</t>
  </si>
  <si>
    <t>威海东方润德新材料有限公司</t>
  </si>
  <si>
    <t>关联方</t>
    <phoneticPr fontId="163" type="noConversion"/>
  </si>
  <si>
    <t>金陵华软科技股份有限公司</t>
  </si>
  <si>
    <t>天禾化学品（苏州）有限公司</t>
  </si>
  <si>
    <t>镇江润港化工有限公司</t>
  </si>
  <si>
    <t>天合（香港）投资有限公司</t>
  </si>
  <si>
    <t>TIANHE INVESTMENT PTELTD.,</t>
  </si>
  <si>
    <t>%IN</t>
    <phoneticPr fontId="163" type="noConversion"/>
  </si>
  <si>
    <t>南通市纳百园化工有限公司</t>
  </si>
  <si>
    <t>MARE S.P.A</t>
  </si>
  <si>
    <t>化学品销售及贸易</t>
  </si>
  <si>
    <t>AKD系列造纸化学品</t>
  </si>
  <si>
    <t>光气衍生品及光气加工</t>
  </si>
  <si>
    <t>国内</t>
  </si>
  <si>
    <t>国外</t>
  </si>
  <si>
    <t>运输费</t>
  </si>
  <si>
    <t>职工薪酬</t>
  </si>
  <si>
    <t>差旅费</t>
  </si>
  <si>
    <t>佣金费</t>
  </si>
  <si>
    <t>广告宣传费</t>
  </si>
  <si>
    <t>办公费</t>
  </si>
  <si>
    <t>固定资产折旧</t>
  </si>
  <si>
    <t>德州实华化工有限公司</t>
  </si>
  <si>
    <t>东营华泰化工集团有限公司</t>
  </si>
  <si>
    <t>新乡市航运锅炉有限公司</t>
  </si>
  <si>
    <t>北京融发环保科技有限公司</t>
  </si>
  <si>
    <t>费用款</t>
    <phoneticPr fontId="163" type="noConversion"/>
  </si>
  <si>
    <t>补提其他应收款坏账准备</t>
    <phoneticPr fontId="163" type="noConversion"/>
  </si>
  <si>
    <t>其他应收款坏账准备</t>
    <phoneticPr fontId="163" type="noConversion"/>
  </si>
  <si>
    <t>补提所得税费用</t>
  </si>
  <si>
    <t>所得税</t>
  </si>
  <si>
    <t>补提盈余公积</t>
  </si>
  <si>
    <t>同时挂账调整</t>
    <phoneticPr fontId="163" type="noConversion"/>
  </si>
  <si>
    <t>其他应收款</t>
    <phoneticPr fontId="163" type="noConversion"/>
  </si>
  <si>
    <t>其他应付款</t>
    <phoneticPr fontId="163" type="noConversion"/>
  </si>
  <si>
    <t>其他单位往来款</t>
  </si>
  <si>
    <t>员工备用金</t>
  </si>
  <si>
    <t>关联方往来</t>
    <phoneticPr fontId="163" type="noConversion"/>
  </si>
  <si>
    <t>冯如泉</t>
  </si>
  <si>
    <t>冯丽</t>
  </si>
  <si>
    <t>盐城市阳辰化工贸易有限公司</t>
  </si>
  <si>
    <t>盐城市阳辰化工贸易有限公司</t>
    <phoneticPr fontId="163" type="noConversion"/>
  </si>
  <si>
    <t>收回可能性很小</t>
    <phoneticPr fontId="163" type="noConversion"/>
  </si>
  <si>
    <t>坏账准备</t>
    <phoneticPr fontId="163" type="noConversion"/>
  </si>
  <si>
    <t>预付工程款</t>
  </si>
  <si>
    <t>预付设备款</t>
    <phoneticPr fontId="163" type="noConversion"/>
  </si>
  <si>
    <t>印花税</t>
    <phoneticPr fontId="163" type="noConversion"/>
  </si>
  <si>
    <r>
      <t>补提2</t>
    </r>
    <r>
      <rPr>
        <sz val="10"/>
        <rFont val="宋体"/>
        <family val="3"/>
        <charset val="134"/>
      </rPr>
      <t>-3季度资源税、环保税</t>
    </r>
    <phoneticPr fontId="163" type="noConversion"/>
  </si>
  <si>
    <t>税金及附加</t>
    <phoneticPr fontId="163" type="noConversion"/>
  </si>
  <si>
    <t>应交税费</t>
    <phoneticPr fontId="163" type="noConversion"/>
  </si>
  <si>
    <t>资源税</t>
    <phoneticPr fontId="163" type="noConversion"/>
  </si>
  <si>
    <t>环保税</t>
    <phoneticPr fontId="163" type="noConversion"/>
  </si>
  <si>
    <t>合并范围内关联往来款</t>
  </si>
  <si>
    <t>非关联往来款</t>
  </si>
  <si>
    <t>其他</t>
    <phoneticPr fontId="163" type="noConversion"/>
  </si>
  <si>
    <t>中介机构服务费</t>
  </si>
  <si>
    <t>税费</t>
  </si>
  <si>
    <t>工程物资报废</t>
  </si>
  <si>
    <t>停工损失</t>
  </si>
  <si>
    <t>诉讼费</t>
  </si>
  <si>
    <t>现金流量表编制底稿</t>
    <phoneticPr fontId="163" type="noConversion"/>
  </si>
  <si>
    <t>所有手工填入的数字都标注绿色</t>
    <phoneticPr fontId="163" type="noConversion"/>
  </si>
  <si>
    <t>编制单位：</t>
    <phoneticPr fontId="163" type="noConversion"/>
  </si>
  <si>
    <t>公式及性质</t>
    <phoneticPr fontId="163" type="noConversion"/>
  </si>
  <si>
    <t>明细</t>
    <phoneticPr fontId="163" type="noConversion"/>
  </si>
  <si>
    <t>金额</t>
    <phoneticPr fontId="163" type="noConversion"/>
  </si>
  <si>
    <t>现金及现金等价物净增加额主表与附表之差</t>
    <phoneticPr fontId="163" type="noConversion"/>
  </si>
  <si>
    <t>经营活动产生的现金流量净额主表与附表之差</t>
    <phoneticPr fontId="163" type="noConversion"/>
  </si>
  <si>
    <r>
      <t>1</t>
    </r>
    <r>
      <rPr>
        <sz val="10"/>
        <rFont val="宋体"/>
        <family val="3"/>
        <charset val="134"/>
      </rPr>
      <t>、</t>
    </r>
    <r>
      <rPr>
        <sz val="12"/>
        <rFont val="宋体"/>
        <family val="3"/>
        <charset val="134"/>
      </rPr>
      <t>销售商品、提供劳务收到的现金</t>
    </r>
    <phoneticPr fontId="163" type="noConversion"/>
  </si>
  <si>
    <t>本期发生数</t>
    <phoneticPr fontId="163" type="noConversion"/>
  </si>
  <si>
    <t>销项税金</t>
    <phoneticPr fontId="163" type="noConversion"/>
  </si>
  <si>
    <t>期初数</t>
    <phoneticPr fontId="163" type="noConversion"/>
  </si>
  <si>
    <t>应收票据</t>
    <phoneticPr fontId="163" type="noConversion"/>
  </si>
  <si>
    <t>期末数</t>
    <phoneticPr fontId="163" type="noConversion"/>
  </si>
  <si>
    <t>票据背书</t>
    <phoneticPr fontId="163" type="noConversion"/>
  </si>
  <si>
    <t>7、票据现流</t>
    <phoneticPr fontId="163" type="noConversion"/>
  </si>
  <si>
    <r>
      <t>8</t>
    </r>
    <r>
      <rPr>
        <sz val="12"/>
        <rFont val="宋体"/>
        <family val="3"/>
        <charset val="134"/>
      </rPr>
      <t>、关联方往来款</t>
    </r>
    <phoneticPr fontId="163" type="noConversion"/>
  </si>
  <si>
    <t>应收账款</t>
    <phoneticPr fontId="163" type="noConversion"/>
  </si>
  <si>
    <t>票据转让</t>
    <phoneticPr fontId="163" type="noConversion"/>
  </si>
  <si>
    <t>类别</t>
    <phoneticPr fontId="272" type="noConversion"/>
  </si>
  <si>
    <t>公司</t>
    <phoneticPr fontId="272" type="noConversion"/>
  </si>
  <si>
    <t>金额</t>
    <phoneticPr fontId="163" type="noConversion"/>
  </si>
  <si>
    <t>合并取数</t>
    <phoneticPr fontId="163" type="noConversion"/>
  </si>
  <si>
    <r>
      <t>坏账准备</t>
    </r>
    <r>
      <rPr>
        <sz val="12"/>
        <rFont val="Arial Narrow"/>
        <family val="2"/>
      </rPr>
      <t>_</t>
    </r>
    <r>
      <rPr>
        <sz val="10"/>
        <rFont val="宋体"/>
        <family val="3"/>
        <charset val="134"/>
      </rPr>
      <t>应收账款</t>
    </r>
    <phoneticPr fontId="163" type="noConversion"/>
  </si>
  <si>
    <t>票据承兑和贴现</t>
    <phoneticPr fontId="163" type="noConversion"/>
  </si>
  <si>
    <t>支付其他</t>
    <phoneticPr fontId="163" type="noConversion"/>
  </si>
  <si>
    <t>天马精化</t>
    <phoneticPr fontId="163" type="noConversion"/>
  </si>
  <si>
    <t>销售</t>
    <phoneticPr fontId="163" type="noConversion"/>
  </si>
  <si>
    <t>天马精化</t>
  </si>
  <si>
    <t>背书工程款项</t>
    <phoneticPr fontId="163" type="noConversion"/>
  </si>
  <si>
    <t>预收款项</t>
    <phoneticPr fontId="163" type="noConversion"/>
  </si>
  <si>
    <t>背书材料款</t>
    <phoneticPr fontId="163" type="noConversion"/>
  </si>
  <si>
    <t>应收账款坏账核销</t>
    <phoneticPr fontId="163" type="noConversion"/>
  </si>
  <si>
    <t>小计</t>
    <phoneticPr fontId="163" type="noConversion"/>
  </si>
  <si>
    <r>
      <t>2</t>
    </r>
    <r>
      <rPr>
        <sz val="10"/>
        <rFont val="宋体"/>
        <family val="3"/>
        <charset val="134"/>
      </rPr>
      <t>、</t>
    </r>
    <r>
      <rPr>
        <sz val="12"/>
        <rFont val="宋体"/>
        <family val="3"/>
        <charset val="134"/>
      </rPr>
      <t>收到的税费返还</t>
    </r>
    <phoneticPr fontId="163" type="noConversion"/>
  </si>
  <si>
    <t>出口退税</t>
    <phoneticPr fontId="163" type="noConversion"/>
  </si>
  <si>
    <r>
      <t>3</t>
    </r>
    <r>
      <rPr>
        <sz val="10"/>
        <rFont val="宋体"/>
        <family val="3"/>
        <charset val="134"/>
      </rPr>
      <t>、</t>
    </r>
    <r>
      <rPr>
        <sz val="12"/>
        <rFont val="宋体"/>
        <family val="3"/>
        <charset val="134"/>
      </rPr>
      <t>收到的其他与经营活动有关的现金</t>
    </r>
    <phoneticPr fontId="163" type="noConversion"/>
  </si>
  <si>
    <t>加</t>
    <phoneticPr fontId="163" type="noConversion"/>
  </si>
  <si>
    <t>本期发生数</t>
    <phoneticPr fontId="163" type="noConversion"/>
  </si>
  <si>
    <t>财务费用-利息收入</t>
    <phoneticPr fontId="163" type="noConversion"/>
  </si>
  <si>
    <r>
      <t>营业外收入</t>
    </r>
    <r>
      <rPr>
        <sz val="12"/>
        <rFont val="Arial Narrow"/>
        <family val="2"/>
      </rPr>
      <t>-</t>
    </r>
    <r>
      <rPr>
        <sz val="12"/>
        <rFont val="宋体"/>
        <family val="3"/>
        <charset val="134"/>
      </rPr>
      <t>处置固定资产收益</t>
    </r>
    <phoneticPr fontId="163" type="noConversion"/>
  </si>
  <si>
    <r>
      <t>营业外收入</t>
    </r>
    <r>
      <rPr>
        <sz val="12"/>
        <rFont val="Arial Narrow"/>
        <family val="2"/>
      </rPr>
      <t>-</t>
    </r>
    <r>
      <rPr>
        <sz val="12"/>
        <rFont val="宋体"/>
        <family val="3"/>
        <charset val="134"/>
      </rPr>
      <t>处置无形及其他资产收益</t>
    </r>
    <phoneticPr fontId="163" type="noConversion"/>
  </si>
  <si>
    <t>债务重组收入</t>
    <phoneticPr fontId="163" type="noConversion"/>
  </si>
  <si>
    <t>营业外收入-退增值税</t>
    <phoneticPr fontId="163" type="noConversion"/>
  </si>
  <si>
    <t>本期借方发生数</t>
    <phoneticPr fontId="163" type="noConversion"/>
  </si>
  <si>
    <t>专项应付款</t>
    <phoneticPr fontId="163" type="noConversion"/>
  </si>
  <si>
    <t>保证金收回</t>
    <phoneticPr fontId="163" type="noConversion"/>
  </si>
  <si>
    <t>应收利息</t>
    <phoneticPr fontId="163" type="noConversion"/>
  </si>
  <si>
    <t>其他应收款</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</si>
  <si>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</si>
  <si>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期初数</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</si>
  <si>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</si>
  <si>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期末数</t>
    <phoneticPr fontId="163" type="noConversion"/>
  </si>
  <si>
    <t>长期应收款-经营类</t>
    <phoneticPr fontId="163" type="noConversion"/>
  </si>
  <si>
    <t>其他应付款</t>
    <phoneticPr fontId="163" type="noConversion"/>
  </si>
  <si>
    <t>减</t>
    <phoneticPr fontId="163" type="noConversion"/>
  </si>
  <si>
    <t>其他流动资产-预缴税费</t>
    <phoneticPr fontId="163" type="noConversion"/>
  </si>
  <si>
    <t>小计</t>
    <phoneticPr fontId="163" type="noConversion"/>
  </si>
  <si>
    <r>
      <t>4</t>
    </r>
    <r>
      <rPr>
        <sz val="10"/>
        <rFont val="宋体"/>
        <family val="3"/>
        <charset val="134"/>
      </rPr>
      <t>、</t>
    </r>
    <r>
      <rPr>
        <sz val="12"/>
        <rFont val="宋体"/>
        <family val="3"/>
        <charset val="134"/>
      </rPr>
      <t>购买商品、接受劳务支付的现金</t>
    </r>
    <phoneticPr fontId="163" type="noConversion"/>
  </si>
  <si>
    <t>本期发生数</t>
    <phoneticPr fontId="163" type="noConversion"/>
  </si>
  <si>
    <t>进项税金（扣除进项转出后）</t>
    <phoneticPr fontId="163" type="noConversion"/>
  </si>
  <si>
    <t>存货</t>
    <phoneticPr fontId="163" type="noConversion"/>
  </si>
  <si>
    <t>存货跌价准备</t>
    <phoneticPr fontId="163" type="noConversion"/>
  </si>
  <si>
    <t>预付款项</t>
    <phoneticPr fontId="163" type="noConversion"/>
  </si>
  <si>
    <t>应付票据</t>
    <phoneticPr fontId="163" type="noConversion"/>
  </si>
  <si>
    <t>期末数</t>
    <phoneticPr fontId="163" type="noConversion"/>
  </si>
  <si>
    <t>应付票据</t>
    <phoneticPr fontId="163" type="noConversion"/>
  </si>
  <si>
    <t>本期发生数</t>
    <phoneticPr fontId="163" type="noConversion"/>
  </si>
  <si>
    <t>票据背书</t>
    <phoneticPr fontId="163" type="noConversion"/>
  </si>
  <si>
    <t>期初数</t>
    <phoneticPr fontId="163" type="noConversion"/>
  </si>
  <si>
    <t>应付账款</t>
    <phoneticPr fontId="163" type="noConversion"/>
  </si>
  <si>
    <t>减</t>
    <phoneticPr fontId="163" type="noConversion"/>
  </si>
  <si>
    <t>预付款项-预付费用</t>
    <phoneticPr fontId="163" type="noConversion"/>
  </si>
  <si>
    <t>加</t>
    <phoneticPr fontId="163" type="noConversion"/>
  </si>
  <si>
    <t>预付款项-预付费用</t>
    <phoneticPr fontId="163" type="noConversion"/>
  </si>
  <si>
    <t>预付款项-预付工程及设备款</t>
    <phoneticPr fontId="163" type="noConversion"/>
  </si>
  <si>
    <t>应付账款-应付工程及设备款</t>
    <phoneticPr fontId="163" type="noConversion"/>
  </si>
  <si>
    <t>减</t>
    <phoneticPr fontId="163" type="noConversion"/>
  </si>
  <si>
    <t>专项储备</t>
    <phoneticPr fontId="163" type="noConversion"/>
  </si>
  <si>
    <t>加</t>
    <phoneticPr fontId="163" type="noConversion"/>
  </si>
  <si>
    <t>受限资金</t>
    <phoneticPr fontId="163" type="noConversion"/>
  </si>
  <si>
    <t>生产成本-员工薪酬</t>
    <phoneticPr fontId="163" type="noConversion"/>
  </si>
  <si>
    <t>制造费用-员工薪酬</t>
    <phoneticPr fontId="163" type="noConversion"/>
  </si>
  <si>
    <r>
      <t>制造费用</t>
    </r>
    <r>
      <rPr>
        <sz val="12"/>
        <rFont val="Arial Narrow"/>
        <family val="2"/>
      </rPr>
      <t>-</t>
    </r>
    <r>
      <rPr>
        <sz val="12"/>
        <rFont val="宋体"/>
        <family val="3"/>
        <charset val="134"/>
      </rPr>
      <t>折旧费</t>
    </r>
    <phoneticPr fontId="163" type="noConversion"/>
  </si>
  <si>
    <t>跌价转回</t>
    <phoneticPr fontId="163" type="noConversion"/>
  </si>
  <si>
    <t>小计</t>
    <phoneticPr fontId="163" type="noConversion"/>
  </si>
  <si>
    <r>
      <t>5</t>
    </r>
    <r>
      <rPr>
        <sz val="10"/>
        <rFont val="宋体"/>
        <family val="3"/>
        <charset val="134"/>
      </rPr>
      <t>、</t>
    </r>
    <r>
      <rPr>
        <sz val="12"/>
        <rFont val="宋体"/>
        <family val="3"/>
        <charset val="134"/>
      </rPr>
      <t>支付给职工以及为职工支付的现金</t>
    </r>
    <phoneticPr fontId="163" type="noConversion"/>
  </si>
  <si>
    <t>制造费用-员工薪酬</t>
    <phoneticPr fontId="163" type="noConversion"/>
  </si>
  <si>
    <t>销售费用-员工薪酬</t>
    <phoneticPr fontId="163" type="noConversion"/>
  </si>
  <si>
    <t>本期发生数</t>
    <phoneticPr fontId="163" type="noConversion"/>
  </si>
  <si>
    <t>管理费用-员工薪酬</t>
    <phoneticPr fontId="163" type="noConversion"/>
  </si>
  <si>
    <t>生产成本-员工薪酬</t>
    <phoneticPr fontId="163" type="noConversion"/>
  </si>
  <si>
    <t>应付职工薪酬</t>
    <phoneticPr fontId="163" type="noConversion"/>
  </si>
  <si>
    <t>薪酬费用勾稽差异</t>
  </si>
  <si>
    <r>
      <t>6</t>
    </r>
    <r>
      <rPr>
        <sz val="10"/>
        <rFont val="宋体"/>
        <family val="3"/>
        <charset val="134"/>
      </rPr>
      <t>、</t>
    </r>
    <r>
      <rPr>
        <sz val="12"/>
        <rFont val="宋体"/>
        <family val="3"/>
        <charset val="134"/>
      </rPr>
      <t>支付的各项税费</t>
    </r>
    <phoneticPr fontId="163" type="noConversion"/>
  </si>
  <si>
    <t>营业税金及附加</t>
  </si>
  <si>
    <t>本期发生额</t>
    <phoneticPr fontId="163" type="noConversion"/>
  </si>
  <si>
    <t>其他流动资产-预缴税费</t>
    <phoneticPr fontId="163" type="noConversion"/>
  </si>
  <si>
    <t>管理费用-税金</t>
    <phoneticPr fontId="163" type="noConversion"/>
  </si>
  <si>
    <t>销项税金</t>
    <phoneticPr fontId="163" type="noConversion"/>
  </si>
  <si>
    <t>期初数</t>
    <phoneticPr fontId="163" type="noConversion"/>
  </si>
  <si>
    <t>应交税费</t>
    <phoneticPr fontId="163" type="noConversion"/>
  </si>
  <si>
    <t>递延所得税负债</t>
    <phoneticPr fontId="163" type="noConversion"/>
  </si>
  <si>
    <t>期末数</t>
    <phoneticPr fontId="163" type="noConversion"/>
  </si>
  <si>
    <t>递延所得税资产</t>
    <phoneticPr fontId="163" type="noConversion"/>
  </si>
  <si>
    <t>出口退税</t>
    <phoneticPr fontId="163" type="noConversion"/>
  </si>
  <si>
    <t>进项税金</t>
    <phoneticPr fontId="163" type="noConversion"/>
  </si>
  <si>
    <t>应交税费-个调税</t>
    <phoneticPr fontId="163" type="noConversion"/>
  </si>
  <si>
    <t>递延所得税负债</t>
    <phoneticPr fontId="163" type="noConversion"/>
  </si>
  <si>
    <t>递延所得税资产</t>
    <phoneticPr fontId="163" type="noConversion"/>
  </si>
  <si>
    <t>应交税费</t>
    <phoneticPr fontId="163" type="noConversion"/>
  </si>
  <si>
    <r>
      <t>7</t>
    </r>
    <r>
      <rPr>
        <sz val="10"/>
        <rFont val="宋体"/>
        <family val="3"/>
        <charset val="134"/>
      </rPr>
      <t>、</t>
    </r>
    <r>
      <rPr>
        <sz val="12"/>
        <rFont val="宋体"/>
        <family val="3"/>
        <charset val="134"/>
      </rPr>
      <t>支付的其他与经营活动有关的现金</t>
    </r>
    <phoneticPr fontId="163" type="noConversion"/>
  </si>
  <si>
    <t>财务费用</t>
    <phoneticPr fontId="163" type="noConversion"/>
  </si>
  <si>
    <r>
      <t>长期应收款</t>
    </r>
    <r>
      <rPr>
        <sz val="12"/>
        <rFont val="Arial Narrow"/>
        <family val="2"/>
      </rPr>
      <t>-</t>
    </r>
    <r>
      <rPr>
        <sz val="10"/>
        <rFont val="宋体"/>
        <family val="3"/>
        <charset val="134"/>
      </rPr>
      <t>经营类</t>
    </r>
    <phoneticPr fontId="163" type="noConversion"/>
  </si>
  <si>
    <r>
      <t>长期应收款</t>
    </r>
    <r>
      <rPr>
        <sz val="12"/>
        <rFont val="Arial Narrow"/>
        <family val="2"/>
      </rPr>
      <t>-</t>
    </r>
    <r>
      <rPr>
        <sz val="10"/>
        <rFont val="宋体"/>
        <family val="3"/>
        <charset val="134"/>
      </rPr>
      <t>经营类</t>
    </r>
    <phoneticPr fontId="163" type="noConversion"/>
  </si>
  <si>
    <t>其他应收款</t>
    <phoneticPr fontId="163" type="noConversion"/>
  </si>
  <si>
    <t>其他应收款</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</si>
  <si>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</si>
  <si>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</si>
  <si>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其他流动资产</t>
    <phoneticPr fontId="163" type="noConversion"/>
  </si>
  <si>
    <t>其他流动负债</t>
    <phoneticPr fontId="163" type="noConversion"/>
  </si>
  <si>
    <t>其他非流动负债</t>
    <phoneticPr fontId="163" type="noConversion"/>
  </si>
  <si>
    <t>增加两行</t>
    <phoneticPr fontId="163" type="noConversion"/>
  </si>
  <si>
    <t>其他应付款</t>
    <phoneticPr fontId="163" type="noConversion"/>
  </si>
  <si>
    <t>预计负债</t>
    <phoneticPr fontId="163" type="noConversion"/>
  </si>
  <si>
    <t>累计折旧-投资性房地产</t>
    <phoneticPr fontId="163" type="noConversion"/>
  </si>
  <si>
    <t>累计折旧-固定资产</t>
    <phoneticPr fontId="163" type="noConversion"/>
  </si>
  <si>
    <t>累计折旧-生产性生物资产</t>
    <phoneticPr fontId="163" type="noConversion"/>
  </si>
  <si>
    <t>累计折旧-油气资产</t>
    <phoneticPr fontId="163" type="noConversion"/>
  </si>
  <si>
    <t>累计折旧-固定资产</t>
    <phoneticPr fontId="163" type="noConversion"/>
  </si>
  <si>
    <t>累计折旧-生产性生物资产</t>
    <phoneticPr fontId="163" type="noConversion"/>
  </si>
  <si>
    <t>累计折旧-油气资产</t>
    <phoneticPr fontId="163" type="noConversion"/>
  </si>
  <si>
    <t>投资性房地产清理折旧</t>
    <phoneticPr fontId="163" type="noConversion"/>
  </si>
  <si>
    <t>生产性生物资产清理折旧</t>
    <phoneticPr fontId="163" type="noConversion"/>
  </si>
  <si>
    <t>油气资产清理折旧</t>
    <phoneticPr fontId="163" type="noConversion"/>
  </si>
  <si>
    <r>
      <t>销售费用</t>
    </r>
    <r>
      <rPr>
        <sz val="12"/>
        <rFont val="Arial Narrow"/>
        <family val="2"/>
      </rPr>
      <t>-</t>
    </r>
    <r>
      <rPr>
        <sz val="12"/>
        <rFont val="宋体"/>
        <family val="3"/>
        <charset val="134"/>
      </rPr>
      <t>员工薪酬</t>
    </r>
    <phoneticPr fontId="163" type="noConversion"/>
  </si>
  <si>
    <r>
      <t>管理费用</t>
    </r>
    <r>
      <rPr>
        <sz val="12"/>
        <rFont val="Arial Narrow"/>
        <family val="2"/>
      </rPr>
      <t>-</t>
    </r>
    <r>
      <rPr>
        <sz val="10"/>
        <rFont val="宋体"/>
        <family val="3"/>
        <charset val="134"/>
      </rPr>
      <t>员工薪酬</t>
    </r>
    <phoneticPr fontId="163" type="noConversion"/>
  </si>
  <si>
    <t>无形资产摊销</t>
    <phoneticPr fontId="163" type="noConversion"/>
  </si>
  <si>
    <t>长期待摊费用摊销</t>
    <phoneticPr fontId="163" type="noConversion"/>
  </si>
  <si>
    <t>开发支出摊销</t>
    <phoneticPr fontId="163" type="noConversion"/>
  </si>
  <si>
    <t>商誉摊销</t>
    <phoneticPr fontId="163" type="noConversion"/>
  </si>
  <si>
    <t>其他非流动资产摊销</t>
    <phoneticPr fontId="163" type="noConversion"/>
  </si>
  <si>
    <r>
      <t>营业外支出</t>
    </r>
    <r>
      <rPr>
        <sz val="12"/>
        <rFont val="Arial Narrow"/>
        <family val="2"/>
      </rPr>
      <t>-</t>
    </r>
    <r>
      <rPr>
        <sz val="12"/>
        <rFont val="宋体"/>
        <family val="3"/>
        <charset val="134"/>
      </rPr>
      <t>处置固定资产损失</t>
    </r>
    <phoneticPr fontId="163" type="noConversion"/>
  </si>
  <si>
    <r>
      <t>营业外支出</t>
    </r>
    <r>
      <rPr>
        <sz val="12"/>
        <rFont val="Arial Narrow"/>
        <family val="2"/>
      </rPr>
      <t>-</t>
    </r>
    <r>
      <rPr>
        <sz val="12"/>
        <rFont val="宋体"/>
        <family val="3"/>
        <charset val="134"/>
      </rPr>
      <t>固定资产报废损失</t>
    </r>
    <phoneticPr fontId="163" type="noConversion"/>
  </si>
  <si>
    <r>
      <t>营业外支出</t>
    </r>
    <r>
      <rPr>
        <sz val="12"/>
        <rFont val="Arial Narrow"/>
        <family val="2"/>
      </rPr>
      <t>-</t>
    </r>
    <r>
      <rPr>
        <sz val="12"/>
        <rFont val="宋体"/>
        <family val="3"/>
        <charset val="134"/>
      </rPr>
      <t>处置无形资产损失</t>
    </r>
    <phoneticPr fontId="163" type="noConversion"/>
  </si>
  <si>
    <t>营业外支出-处置其他非流动资产损失</t>
    <phoneticPr fontId="163" type="noConversion"/>
  </si>
  <si>
    <r>
      <t>财务费用</t>
    </r>
    <r>
      <rPr>
        <sz val="12"/>
        <rFont val="Arial Narrow"/>
        <family val="2"/>
      </rPr>
      <t>-</t>
    </r>
    <r>
      <rPr>
        <sz val="12"/>
        <rFont val="宋体"/>
        <family val="3"/>
        <charset val="134"/>
      </rPr>
      <t>利息支出</t>
    </r>
    <phoneticPr fontId="163" type="noConversion"/>
  </si>
  <si>
    <r>
      <t>财务费用</t>
    </r>
    <r>
      <rPr>
        <sz val="12"/>
        <rFont val="Arial Narrow"/>
        <family val="2"/>
      </rPr>
      <t>-</t>
    </r>
    <r>
      <rPr>
        <sz val="12"/>
        <rFont val="宋体"/>
        <family val="3"/>
        <charset val="134"/>
      </rPr>
      <t>利息收入</t>
    </r>
    <phoneticPr fontId="163" type="noConversion"/>
  </si>
  <si>
    <r>
      <t>财务费用</t>
    </r>
    <r>
      <rPr>
        <sz val="12"/>
        <rFont val="Arial Narrow"/>
        <family val="2"/>
      </rPr>
      <t>-</t>
    </r>
    <r>
      <rPr>
        <sz val="12"/>
        <rFont val="宋体"/>
        <family val="3"/>
        <charset val="134"/>
      </rPr>
      <t>汇兑损失</t>
    </r>
    <r>
      <rPr>
        <sz val="12"/>
        <rFont val="Arial Narrow"/>
        <family val="2"/>
      </rPr>
      <t/>
    </r>
    <phoneticPr fontId="163" type="noConversion"/>
  </si>
  <si>
    <t>财务费用-汇兑收益</t>
    <phoneticPr fontId="163" type="noConversion"/>
  </si>
  <si>
    <r>
      <t xml:space="preserve"> </t>
    </r>
    <r>
      <rPr>
        <sz val="12"/>
        <rFont val="宋体"/>
        <family val="3"/>
        <charset val="134"/>
      </rPr>
      <t>管理费用</t>
    </r>
    <r>
      <rPr>
        <sz val="12"/>
        <rFont val="Arial Narrow"/>
        <family val="2"/>
      </rPr>
      <t>-</t>
    </r>
    <r>
      <rPr>
        <sz val="12"/>
        <rFont val="宋体"/>
        <family val="3"/>
        <charset val="134"/>
      </rPr>
      <t>税金</t>
    </r>
    <phoneticPr fontId="163" type="noConversion"/>
  </si>
  <si>
    <r>
      <t>8</t>
    </r>
    <r>
      <rPr>
        <sz val="10"/>
        <rFont val="宋体"/>
        <family val="3"/>
        <charset val="134"/>
      </rPr>
      <t>、</t>
    </r>
    <r>
      <rPr>
        <sz val="12"/>
        <rFont val="宋体"/>
        <family val="3"/>
        <charset val="134"/>
      </rPr>
      <t>收回投资所收到的现金</t>
    </r>
    <phoneticPr fontId="163" type="noConversion"/>
  </si>
  <si>
    <t>转让交易性金融资产收到的现金</t>
    <phoneticPr fontId="163" type="noConversion"/>
  </si>
  <si>
    <t>转让可供出售金融资产收到的现金</t>
    <phoneticPr fontId="163" type="noConversion"/>
  </si>
  <si>
    <t>转让或到期收回长期应收款收到的现金</t>
    <phoneticPr fontId="163" type="noConversion"/>
  </si>
  <si>
    <t>转让或到期收回持有至到期投资收到的现金(非股权类）</t>
    <phoneticPr fontId="163" type="noConversion"/>
  </si>
  <si>
    <r>
      <t>9</t>
    </r>
    <r>
      <rPr>
        <sz val="10"/>
        <rFont val="宋体"/>
        <family val="3"/>
        <charset val="134"/>
      </rPr>
      <t>、</t>
    </r>
    <r>
      <rPr>
        <sz val="12"/>
        <rFont val="宋体"/>
        <family val="3"/>
        <charset val="134"/>
      </rPr>
      <t>取得投资收益所收到的现金</t>
    </r>
    <phoneticPr fontId="163" type="noConversion"/>
  </si>
  <si>
    <r>
      <t>投资收益</t>
    </r>
    <r>
      <rPr>
        <sz val="12"/>
        <rFont val="Arial Narrow"/>
        <family val="2"/>
      </rPr>
      <t>-</t>
    </r>
    <r>
      <rPr>
        <sz val="10"/>
        <rFont val="宋体"/>
        <family val="3"/>
        <charset val="134"/>
      </rPr>
      <t>股利收入</t>
    </r>
    <phoneticPr fontId="163" type="noConversion"/>
  </si>
  <si>
    <t>利息收入-长期应收款</t>
    <phoneticPr fontId="163" type="noConversion"/>
  </si>
  <si>
    <t>其他流动资产利息</t>
    <phoneticPr fontId="163" type="noConversion"/>
  </si>
  <si>
    <t>持有至到期投资利息</t>
    <phoneticPr fontId="163" type="noConversion"/>
  </si>
  <si>
    <t>应收利息</t>
    <phoneticPr fontId="163" type="noConversion"/>
  </si>
  <si>
    <t>应收利息</t>
    <phoneticPr fontId="163" type="noConversion"/>
  </si>
  <si>
    <t>应收股利</t>
    <phoneticPr fontId="163" type="noConversion"/>
  </si>
  <si>
    <r>
      <t>10</t>
    </r>
    <r>
      <rPr>
        <sz val="10"/>
        <rFont val="宋体"/>
        <family val="3"/>
        <charset val="134"/>
      </rPr>
      <t>、</t>
    </r>
    <r>
      <rPr>
        <sz val="12"/>
        <rFont val="宋体"/>
        <family val="3"/>
        <charset val="134"/>
      </rPr>
      <t>处置固定资产、无形资产和其他长期资产所收回的现金净额</t>
    </r>
    <phoneticPr fontId="163" type="noConversion"/>
  </si>
  <si>
    <t>出售投资性房地产收到的现金</t>
    <phoneticPr fontId="163" type="noConversion"/>
  </si>
  <si>
    <t>出售固定资产收到的现金</t>
    <phoneticPr fontId="163" type="noConversion"/>
  </si>
  <si>
    <t>资产处置收益,叉车报废</t>
    <phoneticPr fontId="163" type="noConversion"/>
  </si>
  <si>
    <t>出售生产性生物资产收到的现金</t>
    <phoneticPr fontId="163" type="noConversion"/>
  </si>
  <si>
    <t>出售在建工程收到的现金</t>
    <phoneticPr fontId="163" type="noConversion"/>
  </si>
  <si>
    <t>出售无形资产收到的现金</t>
    <phoneticPr fontId="163" type="noConversion"/>
  </si>
  <si>
    <t>出售其他非流动资产收到的现金</t>
    <phoneticPr fontId="163" type="noConversion"/>
  </si>
  <si>
    <t>保险赔偿收入</t>
    <phoneticPr fontId="163" type="noConversion"/>
  </si>
  <si>
    <t>支付处置资产费用</t>
    <phoneticPr fontId="163" type="noConversion"/>
  </si>
  <si>
    <r>
      <t>11</t>
    </r>
    <r>
      <rPr>
        <sz val="10"/>
        <rFont val="宋体"/>
        <family val="3"/>
        <charset val="134"/>
      </rPr>
      <t>、</t>
    </r>
    <r>
      <rPr>
        <sz val="12"/>
        <rFont val="宋体"/>
        <family val="3"/>
        <charset val="134"/>
      </rPr>
      <t>处置子公司及其他营业单位收到的现金净额</t>
    </r>
    <r>
      <rPr>
        <sz val="12"/>
        <rFont val="Arial Narrow"/>
        <family val="2"/>
      </rPr>
      <t xml:space="preserve"> </t>
    </r>
    <phoneticPr fontId="163" type="noConversion"/>
  </si>
  <si>
    <t>转让或到期收回持有至到期收回投资收到的现金</t>
    <phoneticPr fontId="163" type="noConversion"/>
  </si>
  <si>
    <t>转让或到期收回持有至到期投资收到的现金(股权类）</t>
    <phoneticPr fontId="163" type="noConversion"/>
  </si>
  <si>
    <t>转让或到期收回长期股权投资收到的现金</t>
    <phoneticPr fontId="163" type="noConversion"/>
  </si>
  <si>
    <r>
      <t>12</t>
    </r>
    <r>
      <rPr>
        <sz val="10"/>
        <rFont val="宋体"/>
        <family val="3"/>
        <charset val="134"/>
      </rPr>
      <t>、</t>
    </r>
    <r>
      <rPr>
        <sz val="12"/>
        <rFont val="宋体"/>
        <family val="3"/>
        <charset val="134"/>
      </rPr>
      <t>收到的其他与投资活动有关的现金</t>
    </r>
    <phoneticPr fontId="163" type="noConversion"/>
  </si>
  <si>
    <t>收购股权时收购日子公司的现金</t>
    <phoneticPr fontId="163" type="noConversion"/>
  </si>
  <si>
    <r>
      <t>13</t>
    </r>
    <r>
      <rPr>
        <sz val="10"/>
        <rFont val="宋体"/>
        <family val="3"/>
        <charset val="134"/>
      </rPr>
      <t>、</t>
    </r>
    <r>
      <rPr>
        <sz val="12"/>
        <rFont val="宋体"/>
        <family val="3"/>
        <charset val="134"/>
      </rPr>
      <t>购建固定资产、无形资产和其他长期资产所支付的现金</t>
    </r>
    <phoneticPr fontId="163" type="noConversion"/>
  </si>
  <si>
    <t>投资性房地产</t>
    <phoneticPr fontId="163" type="noConversion"/>
  </si>
  <si>
    <t>固定资产</t>
    <phoneticPr fontId="163" type="noConversion"/>
  </si>
  <si>
    <t>固定资产减值准备</t>
    <phoneticPr fontId="163" type="noConversion"/>
  </si>
  <si>
    <t>在建工程减值准备</t>
    <phoneticPr fontId="163" type="noConversion"/>
  </si>
  <si>
    <t>无形资产减值准备</t>
    <phoneticPr fontId="163" type="noConversion"/>
  </si>
  <si>
    <t>工程物资减值准备</t>
    <phoneticPr fontId="163" type="noConversion"/>
  </si>
  <si>
    <t>在建工程</t>
    <phoneticPr fontId="163" type="noConversion"/>
  </si>
  <si>
    <t>工程物资</t>
    <phoneticPr fontId="163" type="noConversion"/>
  </si>
  <si>
    <t>发生数</t>
    <phoneticPr fontId="163" type="noConversion"/>
  </si>
  <si>
    <t>固定资产清理</t>
    <phoneticPr fontId="163" type="noConversion"/>
  </si>
  <si>
    <t>生产性生物资产</t>
    <phoneticPr fontId="163" type="noConversion"/>
  </si>
  <si>
    <t>油气资产</t>
    <phoneticPr fontId="163" type="noConversion"/>
  </si>
  <si>
    <t>无形资产</t>
    <phoneticPr fontId="163" type="noConversion"/>
  </si>
  <si>
    <t>期末数</t>
    <phoneticPr fontId="163" type="noConversion"/>
  </si>
  <si>
    <t>开发支出</t>
    <phoneticPr fontId="163" type="noConversion"/>
  </si>
  <si>
    <t>商誉</t>
    <phoneticPr fontId="163" type="noConversion"/>
  </si>
  <si>
    <t>长期待摊费用</t>
    <phoneticPr fontId="163" type="noConversion"/>
  </si>
  <si>
    <t>其他非流动资产</t>
    <phoneticPr fontId="163" type="noConversion"/>
  </si>
  <si>
    <t>固定资产</t>
    <phoneticPr fontId="163" type="noConversion"/>
  </si>
  <si>
    <t>在建工程</t>
    <phoneticPr fontId="163" type="noConversion"/>
  </si>
  <si>
    <t>减</t>
    <phoneticPr fontId="163" type="noConversion"/>
  </si>
  <si>
    <t>累计折旧-投资性房地产</t>
    <phoneticPr fontId="163" type="noConversion"/>
  </si>
  <si>
    <t>固定资产减值准备</t>
    <phoneticPr fontId="163" type="noConversion"/>
  </si>
  <si>
    <t>在建工程减值准备</t>
    <phoneticPr fontId="163" type="noConversion"/>
  </si>
  <si>
    <t>无形资产减值准备</t>
    <phoneticPr fontId="163" type="noConversion"/>
  </si>
  <si>
    <t>工程物资减值准备</t>
    <phoneticPr fontId="163" type="noConversion"/>
  </si>
  <si>
    <t>在建工程清理</t>
    <phoneticPr fontId="163" type="noConversion"/>
  </si>
  <si>
    <t>加</t>
    <phoneticPr fontId="163" type="noConversion"/>
  </si>
  <si>
    <t>固定资产清理原值</t>
    <phoneticPr fontId="163" type="noConversion"/>
  </si>
  <si>
    <t>固定资产清理减值</t>
    <phoneticPr fontId="163" type="noConversion"/>
  </si>
  <si>
    <t>生产性生物资产清理原值</t>
    <phoneticPr fontId="163" type="noConversion"/>
  </si>
  <si>
    <t>油气资产清理原值</t>
    <phoneticPr fontId="163" type="noConversion"/>
  </si>
  <si>
    <t>无形资产摊销</t>
    <phoneticPr fontId="163" type="noConversion"/>
  </si>
  <si>
    <t>开发支出摊销</t>
    <phoneticPr fontId="163" type="noConversion"/>
  </si>
  <si>
    <t>商誉摊销</t>
    <phoneticPr fontId="163" type="noConversion"/>
  </si>
  <si>
    <t>长期待摊费用摊销</t>
    <phoneticPr fontId="163" type="noConversion"/>
  </si>
  <si>
    <t>其他非流动资产摊销</t>
    <phoneticPr fontId="163" type="noConversion"/>
  </si>
  <si>
    <t>应付账款-应付工程及设备款</t>
    <phoneticPr fontId="163" type="noConversion"/>
  </si>
  <si>
    <t>应付账款-应付工程及设备款</t>
    <phoneticPr fontId="163" type="noConversion"/>
  </si>
  <si>
    <t>预付款项-预付工程及设备款</t>
    <phoneticPr fontId="163" type="noConversion"/>
  </si>
  <si>
    <t>本期处置的固定资产、在建工程、工程物资对应的减值准备</t>
    <phoneticPr fontId="163" type="noConversion"/>
  </si>
  <si>
    <r>
      <t>14</t>
    </r>
    <r>
      <rPr>
        <sz val="10"/>
        <rFont val="宋体"/>
        <family val="3"/>
        <charset val="134"/>
      </rPr>
      <t>、</t>
    </r>
    <r>
      <rPr>
        <sz val="12"/>
        <rFont val="宋体"/>
        <family val="3"/>
        <charset val="134"/>
      </rPr>
      <t>投资所支付的现金</t>
    </r>
    <phoneticPr fontId="163" type="noConversion"/>
  </si>
  <si>
    <t>购入交易性金融资产支付的现金</t>
    <phoneticPr fontId="163" type="noConversion"/>
  </si>
  <si>
    <t>购入可供出售金融资产支付的现金</t>
    <phoneticPr fontId="163" type="noConversion"/>
  </si>
  <si>
    <t>增加长期应收款支付的现金</t>
    <phoneticPr fontId="163" type="noConversion"/>
  </si>
  <si>
    <t>取得长期股权投资股权支付的现金</t>
    <phoneticPr fontId="163" type="noConversion"/>
  </si>
  <si>
    <t>取得持有至到期投资支付的现金(非股权类）</t>
    <phoneticPr fontId="163" type="noConversion"/>
  </si>
  <si>
    <r>
      <t>1</t>
    </r>
    <r>
      <rPr>
        <sz val="10"/>
        <rFont val="宋体"/>
        <family val="3"/>
        <charset val="134"/>
      </rPr>
      <t>5、</t>
    </r>
    <r>
      <rPr>
        <sz val="12"/>
        <rFont val="宋体"/>
        <family val="3"/>
        <charset val="134"/>
      </rPr>
      <t xml:space="preserve">取得子公司及其他营业单位支付的现金净额 </t>
    </r>
    <phoneticPr fontId="163" type="noConversion"/>
  </si>
  <si>
    <t>取得持有至到期投资支付的现金(股权类）</t>
    <phoneticPr fontId="163" type="noConversion"/>
  </si>
  <si>
    <r>
      <t>16</t>
    </r>
    <r>
      <rPr>
        <sz val="10"/>
        <rFont val="宋体"/>
        <family val="3"/>
        <charset val="134"/>
      </rPr>
      <t>、</t>
    </r>
    <r>
      <rPr>
        <sz val="12"/>
        <rFont val="宋体"/>
        <family val="3"/>
        <charset val="134"/>
      </rPr>
      <t>支付的其他与投资活动有关的现金</t>
    </r>
    <phoneticPr fontId="163" type="noConversion"/>
  </si>
  <si>
    <t>支付有关投资的其他事项的现金</t>
    <phoneticPr fontId="163" type="noConversion"/>
  </si>
  <si>
    <r>
      <t>17</t>
    </r>
    <r>
      <rPr>
        <sz val="10"/>
        <rFont val="宋体"/>
        <family val="3"/>
        <charset val="134"/>
      </rPr>
      <t>、</t>
    </r>
    <r>
      <rPr>
        <sz val="12"/>
        <rFont val="宋体"/>
        <family val="3"/>
        <charset val="134"/>
      </rPr>
      <t>吸收投资所收到的现金</t>
    </r>
    <phoneticPr fontId="163" type="noConversion"/>
  </si>
  <si>
    <r>
      <t>资本公积</t>
    </r>
    <r>
      <rPr>
        <sz val="12"/>
        <rFont val="Arial Narrow"/>
        <family val="2"/>
      </rPr>
      <t>-</t>
    </r>
    <r>
      <rPr>
        <sz val="12"/>
        <rFont val="宋体"/>
        <family val="3"/>
        <charset val="134"/>
      </rPr>
      <t>股本溢价</t>
    </r>
    <phoneticPr fontId="163" type="noConversion"/>
  </si>
  <si>
    <r>
      <t>18</t>
    </r>
    <r>
      <rPr>
        <sz val="10"/>
        <rFont val="宋体"/>
        <family val="3"/>
        <charset val="134"/>
      </rPr>
      <t>、</t>
    </r>
    <r>
      <rPr>
        <sz val="12"/>
        <rFont val="宋体"/>
        <family val="3"/>
        <charset val="134"/>
      </rPr>
      <t>借款所收到的现金</t>
    </r>
    <phoneticPr fontId="163" type="noConversion"/>
  </si>
  <si>
    <t>本期贷方发生数</t>
    <phoneticPr fontId="163" type="noConversion"/>
  </si>
  <si>
    <r>
      <t>短期借款</t>
    </r>
    <r>
      <rPr>
        <sz val="12"/>
        <rFont val="Arial Narrow"/>
        <family val="2"/>
      </rPr>
      <t/>
    </r>
    <phoneticPr fontId="163" type="noConversion"/>
  </si>
  <si>
    <r>
      <t>长期借款</t>
    </r>
    <r>
      <rPr>
        <sz val="12"/>
        <rFont val="Arial Narrow"/>
        <family val="2"/>
      </rPr>
      <t/>
    </r>
    <phoneticPr fontId="163" type="noConversion"/>
  </si>
  <si>
    <r>
      <t>19</t>
    </r>
    <r>
      <rPr>
        <sz val="10"/>
        <rFont val="宋体"/>
        <family val="3"/>
        <charset val="134"/>
      </rPr>
      <t>、</t>
    </r>
    <r>
      <rPr>
        <sz val="12"/>
        <rFont val="宋体"/>
        <family val="3"/>
        <charset val="134"/>
      </rPr>
      <t>收到的其他与筹资活动有关的现金</t>
    </r>
    <phoneticPr fontId="163" type="noConversion"/>
  </si>
  <si>
    <t>资本公积-捐赠收入</t>
    <phoneticPr fontId="163" type="noConversion"/>
  </si>
  <si>
    <t>专项应付款</t>
    <phoneticPr fontId="163" type="noConversion"/>
  </si>
  <si>
    <r>
      <t>20</t>
    </r>
    <r>
      <rPr>
        <sz val="10"/>
        <rFont val="宋体"/>
        <family val="3"/>
        <charset val="134"/>
      </rPr>
      <t>、</t>
    </r>
    <r>
      <rPr>
        <sz val="12"/>
        <rFont val="宋体"/>
        <family val="3"/>
        <charset val="134"/>
      </rPr>
      <t>偿还债务所支付的现金</t>
    </r>
    <phoneticPr fontId="163" type="noConversion"/>
  </si>
  <si>
    <t>本期借方发生数</t>
    <phoneticPr fontId="163" type="noConversion"/>
  </si>
  <si>
    <t>短期借款</t>
    <phoneticPr fontId="163" type="noConversion"/>
  </si>
  <si>
    <t>长期借款</t>
    <phoneticPr fontId="163" type="noConversion"/>
  </si>
  <si>
    <t>一年内到期的非流动负债</t>
    <phoneticPr fontId="163" type="noConversion"/>
  </si>
  <si>
    <r>
      <t>21</t>
    </r>
    <r>
      <rPr>
        <sz val="10"/>
        <rFont val="宋体"/>
        <family val="3"/>
        <charset val="134"/>
      </rPr>
      <t>、</t>
    </r>
    <r>
      <rPr>
        <sz val="12"/>
        <rFont val="宋体"/>
        <family val="3"/>
        <charset val="134"/>
      </rPr>
      <t>分配股利、利润或偿付利息所支付的现金</t>
    </r>
    <phoneticPr fontId="163" type="noConversion"/>
  </si>
  <si>
    <t>应付股利</t>
    <phoneticPr fontId="163" type="noConversion"/>
  </si>
  <si>
    <r>
      <t>财务费用</t>
    </r>
    <r>
      <rPr>
        <sz val="12"/>
        <rFont val="Arial Narrow"/>
        <family val="2"/>
      </rPr>
      <t>-</t>
    </r>
    <r>
      <rPr>
        <sz val="10"/>
        <rFont val="宋体"/>
        <family val="3"/>
        <charset val="134"/>
      </rPr>
      <t>利息支出</t>
    </r>
    <phoneticPr fontId="163" type="noConversion"/>
  </si>
  <si>
    <t>应付利息</t>
    <phoneticPr fontId="163" type="noConversion"/>
  </si>
  <si>
    <r>
      <t>22</t>
    </r>
    <r>
      <rPr>
        <sz val="10"/>
        <rFont val="宋体"/>
        <family val="3"/>
        <charset val="134"/>
      </rPr>
      <t>、</t>
    </r>
    <r>
      <rPr>
        <sz val="12"/>
        <rFont val="宋体"/>
        <family val="3"/>
        <charset val="134"/>
      </rPr>
      <t>支付的其他与筹资活动有关的现金</t>
    </r>
    <phoneticPr fontId="163" type="noConversion"/>
  </si>
  <si>
    <r>
      <t>资本公积</t>
    </r>
    <r>
      <rPr>
        <sz val="12"/>
        <rFont val="Arial Narrow"/>
        <family val="2"/>
      </rPr>
      <t>-</t>
    </r>
    <r>
      <rPr>
        <sz val="12"/>
        <rFont val="宋体"/>
        <family val="3"/>
        <charset val="134"/>
      </rPr>
      <t>发行审计、咨询费</t>
    </r>
    <phoneticPr fontId="163" type="noConversion"/>
  </si>
  <si>
    <r>
      <t>资本公积-</t>
    </r>
    <r>
      <rPr>
        <sz val="12"/>
        <rFont val="宋体"/>
        <family val="3"/>
        <charset val="134"/>
      </rPr>
      <t>捐赠现金支出</t>
    </r>
    <phoneticPr fontId="163" type="noConversion"/>
  </si>
  <si>
    <t>其他货币资金-承兑汇票保证金等</t>
    <phoneticPr fontId="163" type="noConversion"/>
  </si>
  <si>
    <t>流入</t>
    <phoneticPr fontId="163" type="noConversion"/>
  </si>
  <si>
    <t>流出</t>
    <phoneticPr fontId="163" type="noConversion"/>
  </si>
  <si>
    <t>在建工程减值准备</t>
    <phoneticPr fontId="163" type="noConversion"/>
  </si>
  <si>
    <t>工程物资减值准备</t>
    <phoneticPr fontId="163" type="noConversion"/>
  </si>
  <si>
    <t>无形资产减值准备</t>
    <phoneticPr fontId="163" type="noConversion"/>
  </si>
  <si>
    <t>工程物资减值</t>
    <phoneticPr fontId="163" type="noConversion"/>
  </si>
  <si>
    <t>在建工程减值</t>
    <phoneticPr fontId="163" type="noConversion"/>
  </si>
  <si>
    <t>固定资产减值</t>
  </si>
  <si>
    <t>无形资产减值</t>
    <phoneticPr fontId="163" type="noConversion"/>
  </si>
  <si>
    <t>安全生产费的计提</t>
  </si>
  <si>
    <t>其他（固废处置费）</t>
    <phoneticPr fontId="163" type="noConversion"/>
  </si>
  <si>
    <t>在建工程</t>
    <phoneticPr fontId="163" type="noConversion"/>
  </si>
  <si>
    <t>存货跌价准备</t>
    <phoneticPr fontId="163" type="noConversion"/>
  </si>
  <si>
    <t>冲回企业自行调整的工程物资及已经核销的减值准备</t>
    <phoneticPr fontId="163" type="noConversion"/>
  </si>
  <si>
    <t>借</t>
    <phoneticPr fontId="163" type="noConversion"/>
  </si>
  <si>
    <t>贷</t>
    <phoneticPr fontId="163" type="noConversion"/>
  </si>
  <si>
    <t>工程物资减值准备</t>
    <phoneticPr fontId="163" type="noConversion"/>
  </si>
  <si>
    <t>专用材料及设备</t>
  </si>
  <si>
    <t>其他</t>
    <phoneticPr fontId="163" type="noConversion"/>
  </si>
  <si>
    <t>银行承兑汇票到期</t>
    <phoneticPr fontId="163" type="noConversion"/>
  </si>
  <si>
    <t>核销不合格存货</t>
    <phoneticPr fontId="163" type="noConversion"/>
  </si>
  <si>
    <t>将账面资产减值损失重分类为信用减值损失</t>
    <phoneticPr fontId="163" type="noConversion"/>
  </si>
  <si>
    <t>信用减值损失</t>
    <phoneticPr fontId="163" type="noConversion"/>
  </si>
  <si>
    <t>资产减值损失</t>
    <phoneticPr fontId="163" type="noConversion"/>
  </si>
  <si>
    <t>金陵华软的资金占用费</t>
    <phoneticPr fontId="163" type="noConversion"/>
  </si>
  <si>
    <t>加</t>
    <phoneticPr fontId="163" type="noConversion"/>
  </si>
  <si>
    <t>本期贷方发生数</t>
    <phoneticPr fontId="163" type="noConversion"/>
  </si>
  <si>
    <t>其他应付款-关联方往来</t>
    <phoneticPr fontId="163" type="noConversion"/>
  </si>
  <si>
    <t>本期借方发生数</t>
    <phoneticPr fontId="163" type="noConversion"/>
  </si>
  <si>
    <t>减</t>
    <phoneticPr fontId="163" type="noConversion"/>
  </si>
  <si>
    <t>加</t>
    <phoneticPr fontId="163" type="noConversion"/>
  </si>
  <si>
    <t>关联方往来</t>
    <phoneticPr fontId="163" type="noConversion"/>
  </si>
  <si>
    <t>生产成本</t>
    <phoneticPr fontId="163" type="noConversion"/>
  </si>
  <si>
    <t>基本生产</t>
    <phoneticPr fontId="163" type="noConversion"/>
  </si>
  <si>
    <t>辅助生产</t>
    <phoneticPr fontId="163" type="noConversion"/>
  </si>
  <si>
    <t>直接人工</t>
    <phoneticPr fontId="163" type="noConversion"/>
  </si>
  <si>
    <t>制造费用</t>
    <phoneticPr fontId="163" type="noConversion"/>
  </si>
  <si>
    <t>销售费用</t>
    <phoneticPr fontId="163" type="noConversion"/>
  </si>
  <si>
    <t>管理费用</t>
    <phoneticPr fontId="163" type="noConversion"/>
  </si>
  <si>
    <t>信用减值损失</t>
    <phoneticPr fontId="163" type="noConversion"/>
  </si>
  <si>
    <t>调整应收账款坏账准备（坏账政策变更）</t>
    <phoneticPr fontId="163" type="noConversion"/>
  </si>
  <si>
    <t>续调上期分录：调整应收账款坏账准备（坏账政策变更）</t>
    <phoneticPr fontId="163" type="noConversion"/>
  </si>
  <si>
    <t>企业破产，涉诉</t>
    <phoneticPr fontId="163" type="noConversion"/>
  </si>
  <si>
    <t>补确认本期发出商品已签收未开票结转成本：</t>
  </si>
  <si>
    <t xml:space="preserve">     国内成本</t>
  </si>
  <si>
    <t xml:space="preserve">     国外成本</t>
  </si>
  <si>
    <t>陈红</t>
    <phoneticPr fontId="163" type="noConversion"/>
  </si>
  <si>
    <t>董春妹</t>
    <phoneticPr fontId="163" type="noConversion"/>
  </si>
  <si>
    <t>补确认本期已签收未开票收入并结转成本：</t>
  </si>
  <si>
    <t>江阴市万丰化工物资有限公司</t>
  </si>
  <si>
    <t>主营业务收入</t>
  </si>
  <si>
    <t>增值税（销项税额）</t>
  </si>
  <si>
    <t>虞至纯</t>
    <phoneticPr fontId="163" type="noConversion"/>
  </si>
  <si>
    <t>虞至纯</t>
    <phoneticPr fontId="163" type="noConversion"/>
  </si>
  <si>
    <t>济宁鸿祚化工有限公司</t>
  </si>
  <si>
    <t>广东腾龙化工科技有限公司</t>
  </si>
  <si>
    <t>MANXY LIMITED</t>
  </si>
  <si>
    <t>W&amp;H ALLIANCE(UK)CO.,LTD</t>
  </si>
  <si>
    <t>将发出商品中赠送给客户的样品调整至销售费用</t>
  </si>
  <si>
    <t>补确认潍坊琪睿和新加坡天禾成本</t>
  </si>
  <si>
    <t>确认发出商品中质量补偿货物成本</t>
  </si>
  <si>
    <t>客户信用状况恶化</t>
    <phoneticPr fontId="163" type="noConversion"/>
  </si>
  <si>
    <t>客户信用状况恶化</t>
    <phoneticPr fontId="163" type="noConversion"/>
  </si>
  <si>
    <t>主营业务收入-国外</t>
  </si>
  <si>
    <r>
      <t>补提本期akd</t>
    </r>
    <r>
      <rPr>
        <sz val="10"/>
        <rFont val="宋体"/>
        <family val="3"/>
        <charset val="134"/>
      </rPr>
      <t>产品</t>
    </r>
    <r>
      <rPr>
        <sz val="10"/>
        <rFont val="宋体"/>
        <family val="3"/>
        <charset val="134"/>
      </rPr>
      <t>出口销项税</t>
    </r>
    <phoneticPr fontId="163" type="noConversion"/>
  </si>
  <si>
    <t>应收款项融资</t>
    <phoneticPr fontId="163" type="noConversion"/>
  </si>
  <si>
    <t>应收票据</t>
    <phoneticPr fontId="163" type="noConversion"/>
  </si>
  <si>
    <t>根据新金融工具准则，将期末持有目的为背书转让的应收票据重分类为应收款项融资</t>
    <phoneticPr fontId="163" type="noConversion"/>
  </si>
  <si>
    <t>根据新金融工具准则，将期末可供出售金融资产重分类为其他非流动金融资产</t>
    <phoneticPr fontId="163" type="noConversion"/>
  </si>
  <si>
    <t>可供出售金融资产</t>
    <phoneticPr fontId="163" type="noConversion"/>
  </si>
  <si>
    <t>营业成本</t>
    <phoneticPr fontId="163" type="noConversion"/>
  </si>
  <si>
    <t>管理费用</t>
    <phoneticPr fontId="163" type="noConversion"/>
  </si>
  <si>
    <t>应付账款</t>
    <phoneticPr fontId="163" type="noConversion"/>
  </si>
  <si>
    <t>预提废物处置费</t>
  </si>
  <si>
    <t>收到政府补助</t>
  </si>
  <si>
    <t>付现费用</t>
    <phoneticPr fontId="163" type="noConversion"/>
  </si>
  <si>
    <t>支付合并范围内关联方往来</t>
  </si>
  <si>
    <t>收到合并范围内关联方往来</t>
    <phoneticPr fontId="163" type="noConversion"/>
  </si>
  <si>
    <t>将无法收回预付款项调整至其他应收款并全额计提坏账</t>
  </si>
  <si>
    <t>制造费用跨期调整</t>
  </si>
  <si>
    <t>银行汇票保证金</t>
  </si>
  <si>
    <t>光大银行保证金结息未入账，导致对账单和账面余额不一致，现调整，分录如下：</t>
    <phoneticPr fontId="163" type="noConversion"/>
  </si>
  <si>
    <t>收到的临盘街道办退还的土地拆迁补偿款，不应冲减在建工程。应调整至资产处置收益，调整分录如下：</t>
  </si>
  <si>
    <t>2020年1月企业发放销售人员绩效奖261,550.00，但2019年12月并未计提。现补提绩效奖。</t>
  </si>
  <si>
    <t>银行手续费</t>
    <phoneticPr fontId="163" type="noConversion"/>
  </si>
  <si>
    <t>应收化工业务客户</t>
    <phoneticPr fontId="163" type="noConversion"/>
  </si>
  <si>
    <t>应收合并范围内关联方</t>
    <phoneticPr fontId="163" type="noConversion"/>
  </si>
  <si>
    <t>合并范围内关联方往来款</t>
    <phoneticPr fontId="163" type="noConversion"/>
  </si>
  <si>
    <t>其他</t>
    <phoneticPr fontId="163" type="noConversion"/>
  </si>
  <si>
    <t>应收员工备用金、应收出口退税款及合并范围内关联方往来</t>
  </si>
  <si>
    <t>应收其他款项</t>
  </si>
  <si>
    <t>%IN</t>
    <phoneticPr fontId="163" type="noConversion"/>
  </si>
  <si>
    <t>核销不合格存货</t>
    <phoneticPr fontId="163" type="noConversion"/>
  </si>
  <si>
    <t>预付款项负数重分类</t>
    <phoneticPr fontId="163" type="noConversion"/>
  </si>
  <si>
    <t>预付款项</t>
    <phoneticPr fontId="163" type="noConversion"/>
  </si>
  <si>
    <t>应付账款</t>
    <phoneticPr fontId="163" type="noConversion"/>
  </si>
  <si>
    <t>银行结息</t>
    <phoneticPr fontId="163" type="noConversion"/>
  </si>
  <si>
    <t>对闲置的固定资产计提减值准备</t>
    <phoneticPr fontId="163" type="noConversion"/>
  </si>
  <si>
    <t>冲销多计提的员工福利费</t>
    <phoneticPr fontId="163" type="noConversion"/>
  </si>
  <si>
    <t>管理费用</t>
    <phoneticPr fontId="163" type="noConversion"/>
  </si>
  <si>
    <t>应付职工薪酬</t>
    <phoneticPr fontId="163" type="noConversion"/>
  </si>
  <si>
    <t>管理费用</t>
    <phoneticPr fontId="163" type="noConversion"/>
  </si>
  <si>
    <t>营业成本</t>
    <phoneticPr fontId="163" type="noConversion"/>
  </si>
  <si>
    <t>直接人工</t>
    <phoneticPr fontId="163" type="noConversion"/>
  </si>
  <si>
    <t>制造费用</t>
    <phoneticPr fontId="163" type="noConversion"/>
  </si>
  <si>
    <t>销售费用</t>
    <phoneticPr fontId="163" type="noConversion"/>
  </si>
  <si>
    <t>应付职工薪酬</t>
    <phoneticPr fontId="163" type="noConversion"/>
  </si>
  <si>
    <t>在建工程减值</t>
    <phoneticPr fontId="163" type="noConversion"/>
  </si>
  <si>
    <t>资产减值损失</t>
    <phoneticPr fontId="163" type="noConversion"/>
  </si>
  <si>
    <t>在建工程</t>
    <phoneticPr fontId="163" type="noConversion"/>
  </si>
  <si>
    <t>管理费用-停工损失</t>
    <phoneticPr fontId="163" type="noConversion"/>
  </si>
  <si>
    <t>减</t>
    <phoneticPr fontId="163" type="noConversion"/>
  </si>
  <si>
    <t>根据期后发放数补计提年终奖</t>
    <phoneticPr fontId="163" type="noConversion"/>
  </si>
  <si>
    <t>补计提固废处置专项奖励</t>
    <phoneticPr fontId="163" type="noConversion"/>
  </si>
  <si>
    <t>将原计入管理费用的固废处置费调整到营业成本</t>
    <phoneticPr fontId="163" type="noConversion"/>
  </si>
  <si>
    <t>将固定资产报废损失重分类至营业外支出</t>
    <phoneticPr fontId="163" type="noConversion"/>
  </si>
  <si>
    <t>营业外支出</t>
    <phoneticPr fontId="163" type="noConversion"/>
  </si>
  <si>
    <t>资产处置收益</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</si>
</sst>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6">
    <numFmt numFmtId="44" formatCode="_ &quot;¥&quot;* #,##0.00_ ;_ &quot;¥&quot;* \-#,##0.00_ ;_ &quot;¥&quot;* &quot;-&quot;??_ ;_ @_ "/>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_([$€-2]* #,##0.00_);_([$€-2]* \(#,##0.00\);_([$€-2]* &quot;-&quot;??_)"/>
    <numFmt numFmtId="212" formatCode="\ \ \ \ \ @"/>
    <numFmt numFmtId="213" formatCode="&quot;一、&quot;@"/>
    <numFmt numFmtId="214" formatCode="&quot;减&quot;\:&quot;@&quot;"/>
    <numFmt numFmtId="215" formatCode="\ @"/>
    <numFmt numFmtId="216" formatCode="_(\¥* #,##0.00_);_(\¥* \(#,##0.00\);_(\¥* &quot;-&quot;??_);_(@_)"/>
    <numFmt numFmtId="217" formatCode="0.0%"/>
    <numFmt numFmtId="218" formatCode="_ &quot;￥&quot;* #,##0.00_ ;_ &quot;￥&quot;* \-#,##0.00_ ;_ &quot;￥&quot;* &quot;-&quot;??_ ;_ @_ "/>
    <numFmt numFmtId="219" formatCode="#,##0.0000"/>
  </numFmts>
  <fonts count="273">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
      <b/>
      <sz val="20"/>
      <name val="宋体"/>
      <family val="3"/>
      <charset val="134"/>
    </font>
    <font>
      <b/>
      <sz val="20"/>
      <name val="Arial Narrow"/>
      <family val="2"/>
    </font>
    <font>
      <b/>
      <sz val="12"/>
      <name val="宋体"/>
      <family val="3"/>
      <charset val="134"/>
    </font>
    <font>
      <b/>
      <sz val="12"/>
      <name val="Arial Narrow"/>
      <family val="2"/>
    </font>
    <font>
      <sz val="11"/>
      <name val="Arial Narrow"/>
      <family val="2"/>
    </font>
    <font>
      <b/>
      <sz val="24"/>
      <name val="宋体"/>
      <family val="3"/>
      <charset val="134"/>
    </font>
    <font>
      <b/>
      <sz val="24"/>
      <name val="Arial Narrow"/>
      <family val="2"/>
    </font>
    <font>
      <b/>
      <sz val="26"/>
      <name val="宋体"/>
      <family val="3"/>
      <charset val="134"/>
    </font>
    <font>
      <b/>
      <sz val="26"/>
      <name val="Arial Narrow"/>
      <family val="2"/>
    </font>
    <font>
      <sz val="12"/>
      <color indexed="8"/>
      <name val="宋体"/>
      <family val="3"/>
      <charset val="134"/>
    </font>
    <font>
      <b/>
      <sz val="12"/>
      <color indexed="8"/>
      <name val="宋体"/>
      <family val="3"/>
      <charset val="134"/>
    </font>
    <font>
      <b/>
      <sz val="12"/>
      <color rgb="FFFF0000"/>
      <name val="Arial Narrow"/>
      <family val="2"/>
    </font>
    <font>
      <b/>
      <sz val="12"/>
      <color rgb="FFFF0000"/>
      <name val="宋体"/>
      <family val="3"/>
      <charset val="134"/>
    </font>
    <font>
      <b/>
      <sz val="12"/>
      <color theme="1"/>
      <name val="Arial Narrow"/>
      <family val="2"/>
    </font>
    <font>
      <sz val="10"/>
      <color rgb="FFFF0000"/>
      <name val="Arial Narrow"/>
      <family val="2"/>
    </font>
    <font>
      <sz val="10"/>
      <color rgb="FF7030A0"/>
      <name val="Arial Narrow"/>
      <family val="2"/>
    </font>
    <font>
      <b/>
      <sz val="10"/>
      <color rgb="FF7030A0"/>
      <name val="宋体"/>
      <family val="3"/>
      <charset val="134"/>
    </font>
    <font>
      <sz val="6"/>
      <name val="宋体"/>
      <family val="3"/>
      <charset val="134"/>
    </font>
    <font>
      <sz val="9"/>
      <name val="宋体"/>
      <family val="2"/>
      <charset val="134"/>
      <scheme val="minor"/>
    </font>
  </fonts>
  <fills count="34">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rgb="FF92D050"/>
        <bgColor indexed="64"/>
      </patternFill>
    </fill>
    <fill>
      <patternFill patternType="solid">
        <fgColor rgb="FFFFFF00"/>
        <bgColor indexed="64"/>
      </patternFill>
    </fill>
    <fill>
      <patternFill patternType="solid">
        <fgColor indexed="55"/>
        <bgColor indexed="64"/>
      </patternFill>
    </fill>
    <fill>
      <patternFill patternType="solid">
        <fgColor rgb="FFFF0000"/>
        <bgColor indexed="64"/>
      </patternFill>
    </fill>
    <fill>
      <patternFill patternType="solid">
        <fgColor indexed="46"/>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5" tint="0.59999389629810485"/>
        <bgColor indexed="64"/>
      </patternFill>
    </fill>
  </fills>
  <borders count="354">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bottom style="thin">
        <color indexed="14"/>
      </bottom>
      <diagonal/>
    </border>
    <border>
      <left style="thin">
        <color indexed="14"/>
      </left>
      <right/>
      <top/>
      <bottom style="thin">
        <color indexed="14"/>
      </bottom>
      <diagonal/>
    </border>
    <border>
      <left/>
      <right style="thin">
        <color indexed="14"/>
      </right>
      <top/>
      <bottom style="thin">
        <color indexed="14"/>
      </bottom>
      <diagonal/>
    </border>
    <border>
      <left style="thin">
        <color indexed="14"/>
      </left>
      <right style="thin">
        <color indexed="14"/>
      </right>
      <top/>
      <bottom style="thin">
        <color indexed="14"/>
      </bottom>
      <diagonal/>
    </border>
    <border>
      <left style="thin">
        <color indexed="14"/>
      </left>
      <right style="double">
        <color indexed="14"/>
      </right>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style="thin">
        <color indexed="14"/>
      </bottom>
      <diagonal/>
    </border>
    <border>
      <left style="double">
        <color indexed="14"/>
      </left>
      <right style="thin">
        <color indexed="14"/>
      </right>
      <top/>
      <bottom/>
      <diagonal/>
    </border>
    <border>
      <left/>
      <right style="thin">
        <color indexed="14"/>
      </right>
      <top/>
      <bottom/>
      <diagonal/>
    </border>
    <border>
      <left style="thin">
        <color indexed="14"/>
      </left>
      <right/>
      <top style="double">
        <color indexed="14"/>
      </top>
      <bottom style="thin">
        <color indexed="14"/>
      </bottom>
      <diagonal/>
    </border>
    <border>
      <left style="thin">
        <color indexed="14"/>
      </left>
      <right/>
      <top style="thin">
        <color indexed="14"/>
      </top>
      <bottom style="thin">
        <color indexed="14"/>
      </bottom>
      <diagonal/>
    </border>
    <border>
      <left style="thin">
        <color indexed="14"/>
      </left>
      <right style="thin">
        <color indexed="14"/>
      </right>
      <top style="thin">
        <color indexed="14"/>
      </top>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style="thin">
        <color auto="1"/>
      </left>
      <right style="thin">
        <color auto="1"/>
      </right>
      <top style="thin">
        <color auto="1"/>
      </top>
      <bottom style="thin">
        <color auto="1"/>
      </bottom>
      <diagonal/>
    </border>
    <border>
      <left style="thin">
        <color indexed="14"/>
      </left>
      <right style="double">
        <color indexed="14"/>
      </right>
      <top style="thin">
        <color indexed="14"/>
      </top>
      <bottom style="double">
        <color indexed="14"/>
      </bottom>
      <diagonal/>
    </border>
    <border>
      <left/>
      <right style="double">
        <color indexed="14"/>
      </right>
      <top style="double">
        <color indexed="14"/>
      </top>
      <bottom style="thin">
        <color indexed="14"/>
      </bottom>
      <diagonal/>
    </border>
    <border>
      <left/>
      <right style="double">
        <color indexed="14"/>
      </right>
      <top style="thin">
        <color indexed="14"/>
      </top>
      <bottom style="thin">
        <color indexed="14"/>
      </bottom>
      <diagonal/>
    </border>
    <border>
      <left/>
      <right style="double">
        <color indexed="14"/>
      </right>
      <top style="thin">
        <color indexed="14"/>
      </top>
      <bottom style="double">
        <color indexed="14"/>
      </bottom>
      <diagonal/>
    </border>
    <border>
      <left style="thin">
        <color indexed="14"/>
      </left>
      <right style="double">
        <color indexed="14"/>
      </right>
      <top style="thin">
        <color indexed="14"/>
      </top>
      <bottom/>
      <diagonal/>
    </border>
    <border>
      <left style="thin">
        <color indexed="14"/>
      </left>
      <right/>
      <top style="thin">
        <color indexed="14"/>
      </top>
      <bottom style="double">
        <color indexed="14"/>
      </bottom>
      <diagonal/>
    </border>
  </borders>
  <cellStyleXfs count="16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176" fontId="2" fillId="0" borderId="0" applyFont="0" applyFill="0" applyBorder="0" applyAlignment="0" applyProtection="0"/>
    <xf numFmtId="176" fontId="1" fillId="0" borderId="0" applyFont="0" applyFill="0" applyBorder="0" applyAlignment="0" applyProtection="0">
      <alignment vertical="center"/>
    </xf>
    <xf numFmtId="211" fontId="1" fillId="0" borderId="0">
      <alignment vertical="center"/>
    </xf>
    <xf numFmtId="211" fontId="2" fillId="0" borderId="0"/>
    <xf numFmtId="211" fontId="2" fillId="0" borderId="0"/>
    <xf numFmtId="176" fontId="2" fillId="0" borderId="0" applyFont="0" applyFill="0" applyBorder="0" applyAlignment="0" applyProtection="0"/>
    <xf numFmtId="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alignment vertical="center"/>
    </xf>
    <xf numFmtId="9" fontId="2" fillId="0" borderId="0" applyFont="0" applyFill="0" applyBorder="0" applyAlignment="0" applyProtection="0"/>
    <xf numFmtId="0" fontId="2" fillId="0" borderId="0">
      <alignment vertical="center"/>
    </xf>
    <xf numFmtId="176" fontId="1" fillId="0" borderId="0" applyFont="0" applyFill="0" applyBorder="0" applyAlignment="0" applyProtection="0">
      <alignment vertical="center"/>
    </xf>
    <xf numFmtId="0" fontId="1" fillId="0" borderId="0"/>
    <xf numFmtId="176" fontId="2" fillId="0" borderId="0" applyFont="0" applyFill="0" applyBorder="0" applyAlignment="0" applyProtection="0"/>
    <xf numFmtId="0" fontId="2" fillId="0" borderId="0">
      <alignment vertical="center"/>
    </xf>
    <xf numFmtId="176" fontId="1" fillId="0" borderId="0" applyFont="0" applyFill="0" applyBorder="0" applyAlignment="0" applyProtection="0">
      <alignment vertical="center"/>
    </xf>
    <xf numFmtId="176" fontId="2" fillId="0" borderId="0" applyFont="0" applyFill="0" applyBorder="0" applyAlignment="0" applyProtection="0"/>
    <xf numFmtId="9" fontId="1" fillId="0" borderId="0" applyFont="0" applyFill="0" applyBorder="0" applyAlignment="0" applyProtection="0">
      <alignment vertical="center"/>
    </xf>
    <xf numFmtId="211" fontId="2" fillId="0" borderId="0">
      <alignment vertical="center"/>
    </xf>
    <xf numFmtId="211" fontId="2" fillId="0" borderId="0">
      <alignment vertical="center"/>
    </xf>
  </cellStyleXfs>
  <cellXfs count="3680">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0" fontId="2" fillId="0" borderId="339" xfId="29" applyFill="1" applyBorder="1" applyAlignment="1" applyProtection="1">
      <alignment horizontal="center" vertical="center"/>
    </xf>
    <xf numFmtId="176" fontId="2" fillId="0" borderId="339" xfId="140" applyFont="1" applyFill="1" applyBorder="1" applyAlignment="1" applyProtection="1">
      <alignment vertical="center" shrinkToFit="1"/>
    </xf>
    <xf numFmtId="0" fontId="22" fillId="28" borderId="0" xfId="12" applyFont="1" applyFill="1" applyAlignment="1" applyProtection="1">
      <alignment vertical="center"/>
    </xf>
    <xf numFmtId="0" fontId="86" fillId="28" borderId="0" xfId="12" applyFont="1" applyFill="1" applyAlignment="1" applyProtection="1">
      <alignment vertical="center"/>
      <protection hidden="1"/>
    </xf>
    <xf numFmtId="0" fontId="262" fillId="28" borderId="0" xfId="12" applyFont="1" applyFill="1" applyAlignment="1" applyProtection="1">
      <alignment horizontal="center" vertical="center"/>
      <protection hidden="1"/>
    </xf>
    <xf numFmtId="0" fontId="2" fillId="28" borderId="0" xfId="12" applyFill="1" applyProtection="1">
      <protection locked="0"/>
    </xf>
    <xf numFmtId="0" fontId="86" fillId="28" borderId="0" xfId="12" applyFont="1" applyFill="1" applyAlignment="1" applyProtection="1">
      <alignment vertical="center"/>
      <protection locked="0"/>
    </xf>
    <xf numFmtId="31" fontId="256" fillId="28" borderId="0" xfId="12" applyNumberFormat="1" applyFont="1" applyFill="1" applyAlignment="1" applyProtection="1">
      <alignment horizontal="center" vertical="center"/>
    </xf>
    <xf numFmtId="31" fontId="257" fillId="28" borderId="0" xfId="12" applyNumberFormat="1" applyFont="1" applyFill="1" applyAlignment="1" applyProtection="1">
      <alignment horizontal="center" vertical="center"/>
      <protection locked="0"/>
    </xf>
    <xf numFmtId="0" fontId="257" fillId="28" borderId="0" xfId="12" applyFont="1" applyFill="1" applyAlignment="1" applyProtection="1">
      <alignment horizontal="center" vertical="center"/>
      <protection locked="0"/>
    </xf>
    <xf numFmtId="176" fontId="86" fillId="28" borderId="0" xfId="12" applyNumberFormat="1" applyFont="1" applyFill="1" applyAlignment="1" applyProtection="1">
      <alignment vertical="center" shrinkToFit="1"/>
      <protection locked="0"/>
    </xf>
    <xf numFmtId="0" fontId="256" fillId="28" borderId="0" xfId="12" applyFont="1" applyFill="1" applyAlignment="1" applyProtection="1">
      <alignment horizontal="right" vertical="center" shrinkToFit="1"/>
      <protection hidden="1"/>
    </xf>
    <xf numFmtId="0" fontId="257" fillId="28" borderId="0" xfId="12" applyNumberFormat="1" applyFont="1" applyFill="1" applyAlignment="1" applyProtection="1">
      <alignment horizontal="left" vertical="center"/>
    </xf>
    <xf numFmtId="0" fontId="257" fillId="28" borderId="0" xfId="12" applyNumberFormat="1" applyFont="1" applyFill="1" applyAlignment="1" applyProtection="1">
      <alignment horizontal="center" vertical="center"/>
      <protection locked="0"/>
    </xf>
    <xf numFmtId="0" fontId="257" fillId="28" borderId="0" xfId="12" applyNumberFormat="1" applyFont="1" applyFill="1" applyAlignment="1" applyProtection="1">
      <alignment horizontal="left" vertical="center" shrinkToFit="1"/>
      <protection locked="0"/>
    </xf>
    <xf numFmtId="0" fontId="257" fillId="28" borderId="0" xfId="12" applyNumberFormat="1" applyFont="1" applyFill="1" applyAlignment="1" applyProtection="1">
      <alignment horizontal="left" vertical="center"/>
      <protection locked="0"/>
    </xf>
    <xf numFmtId="0" fontId="256" fillId="28" borderId="0" xfId="12" applyFont="1" applyFill="1" applyAlignment="1" applyProtection="1">
      <alignment horizontal="right" vertical="center"/>
      <protection hidden="1"/>
    </xf>
    <xf numFmtId="0" fontId="2" fillId="28" borderId="0" xfId="12" applyFill="1" applyAlignment="1" applyProtection="1">
      <alignment vertical="center"/>
      <protection hidden="1"/>
    </xf>
    <xf numFmtId="0" fontId="256" fillId="4" borderId="328" xfId="12" applyNumberFormat="1" applyFont="1" applyFill="1" applyBorder="1" applyAlignment="1" applyProtection="1">
      <alignment horizontal="center" vertical="center" shrinkToFit="1"/>
      <protection hidden="1"/>
    </xf>
    <xf numFmtId="0" fontId="256" fillId="4" borderId="329" xfId="12" applyNumberFormat="1" applyFont="1" applyFill="1" applyBorder="1" applyAlignment="1" applyProtection="1">
      <alignment horizontal="center" vertical="center"/>
      <protection hidden="1"/>
    </xf>
    <xf numFmtId="176" fontId="256" fillId="4" borderId="329" xfId="12" applyNumberFormat="1" applyFont="1" applyFill="1" applyBorder="1" applyAlignment="1" applyProtection="1">
      <alignment horizontal="center" vertical="center" shrinkToFit="1"/>
      <protection hidden="1"/>
    </xf>
    <xf numFmtId="0" fontId="256" fillId="4" borderId="329" xfId="12" applyNumberFormat="1" applyFont="1" applyFill="1" applyBorder="1" applyAlignment="1" applyProtection="1">
      <alignment horizontal="center" vertical="center" shrinkToFit="1"/>
      <protection hidden="1"/>
    </xf>
    <xf numFmtId="176" fontId="256" fillId="4" borderId="349" xfId="12" applyNumberFormat="1" applyFont="1" applyFill="1" applyBorder="1" applyAlignment="1" applyProtection="1">
      <alignment horizontal="center" vertical="center" shrinkToFit="1"/>
      <protection hidden="1"/>
    </xf>
    <xf numFmtId="0" fontId="2" fillId="28" borderId="0" xfId="12" applyFill="1" applyProtection="1">
      <protection hidden="1"/>
    </xf>
    <xf numFmtId="0" fontId="263" fillId="5" borderId="336" xfId="150" applyFont="1" applyFill="1" applyBorder="1" applyAlignment="1" applyProtection="1">
      <alignment vertical="center" shrinkToFit="1"/>
      <protection hidden="1"/>
    </xf>
    <xf numFmtId="0" fontId="86" fillId="0" borderId="339" xfId="12" applyFont="1" applyBorder="1" applyAlignment="1" applyProtection="1">
      <alignment horizontal="center" vertical="center"/>
      <protection hidden="1"/>
    </xf>
    <xf numFmtId="176" fontId="86" fillId="0" borderId="350" xfId="151" applyFont="1" applyBorder="1" applyAlignment="1" applyProtection="1">
      <alignment horizontal="right" vertical="center" shrinkToFit="1"/>
      <protection locked="0"/>
    </xf>
    <xf numFmtId="176" fontId="86" fillId="0" borderId="339" xfId="151" applyFont="1" applyBorder="1" applyAlignment="1" applyProtection="1">
      <alignment horizontal="center" vertical="center"/>
      <protection hidden="1"/>
    </xf>
    <xf numFmtId="176" fontId="86" fillId="0" borderId="339" xfId="151" applyFont="1" applyBorder="1" applyAlignment="1" applyProtection="1">
      <alignment horizontal="right" vertical="center" shrinkToFit="1"/>
      <protection locked="0"/>
    </xf>
    <xf numFmtId="176" fontId="2" fillId="28" borderId="0" xfId="12" applyNumberFormat="1" applyFill="1" applyProtection="1">
      <protection locked="0"/>
    </xf>
    <xf numFmtId="176" fontId="2" fillId="28" borderId="0" xfId="151" applyFont="1" applyFill="1" applyAlignment="1" applyProtection="1">
      <alignment shrinkToFit="1"/>
      <protection locked="0"/>
    </xf>
    <xf numFmtId="176" fontId="86" fillId="0" borderId="339" xfId="12" applyNumberFormat="1" applyFont="1" applyBorder="1" applyAlignment="1" applyProtection="1">
      <alignment horizontal="center" vertical="center"/>
      <protection hidden="1"/>
    </xf>
    <xf numFmtId="176" fontId="86" fillId="0" borderId="339" xfId="151" applyFont="1" applyFill="1" applyBorder="1" applyAlignment="1" applyProtection="1">
      <alignment horizontal="right" vertical="center" shrinkToFit="1"/>
      <protection locked="0"/>
    </xf>
    <xf numFmtId="176" fontId="86" fillId="28" borderId="0" xfId="151" applyFont="1" applyFill="1" applyAlignment="1" applyProtection="1">
      <alignment shrinkToFit="1"/>
      <protection locked="0"/>
    </xf>
    <xf numFmtId="216" fontId="2" fillId="28" borderId="0" xfId="12" applyNumberFormat="1" applyFill="1" applyProtection="1">
      <protection locked="0"/>
    </xf>
    <xf numFmtId="0" fontId="264" fillId="31" borderId="336" xfId="150" applyFont="1" applyFill="1" applyBorder="1" applyAlignment="1" applyProtection="1">
      <alignment vertical="center" shrinkToFit="1"/>
      <protection hidden="1"/>
    </xf>
    <xf numFmtId="0" fontId="86" fillId="31" borderId="339" xfId="12" applyFont="1" applyFill="1" applyBorder="1" applyAlignment="1" applyProtection="1">
      <alignment horizontal="center" vertical="center"/>
      <protection hidden="1"/>
    </xf>
    <xf numFmtId="176" fontId="86" fillId="31" borderId="350" xfId="151" applyFont="1" applyFill="1" applyBorder="1" applyAlignment="1" applyProtection="1">
      <alignment horizontal="right" vertical="center" shrinkToFit="1"/>
      <protection locked="0"/>
    </xf>
    <xf numFmtId="176" fontId="86" fillId="29" borderId="350" xfId="151" applyFont="1" applyFill="1" applyBorder="1" applyAlignment="1" applyProtection="1">
      <alignment horizontal="right" vertical="center" shrinkToFit="1"/>
      <protection locked="0"/>
    </xf>
    <xf numFmtId="0" fontId="86" fillId="28" borderId="0" xfId="151" applyNumberFormat="1" applyFont="1" applyFill="1" applyAlignment="1" applyProtection="1">
      <alignment shrinkToFit="1"/>
      <protection locked="0"/>
    </xf>
    <xf numFmtId="176" fontId="86" fillId="0" borderId="339" xfId="12" applyNumberFormat="1" applyFont="1" applyFill="1" applyBorder="1" applyAlignment="1" applyProtection="1">
      <alignment horizontal="center" vertical="center"/>
      <protection hidden="1"/>
    </xf>
    <xf numFmtId="176" fontId="86" fillId="28" borderId="0" xfId="151" applyFont="1" applyFill="1" applyAlignment="1" applyProtection="1">
      <alignment vertical="center" shrinkToFit="1"/>
      <protection locked="0"/>
    </xf>
    <xf numFmtId="176" fontId="86" fillId="31" borderId="339" xfId="151" applyFont="1" applyFill="1" applyBorder="1" applyAlignment="1" applyProtection="1">
      <alignment horizontal="right" vertical="center" shrinkToFit="1"/>
      <protection locked="0"/>
    </xf>
    <xf numFmtId="0" fontId="86" fillId="28" borderId="0" xfId="12" applyFont="1" applyFill="1" applyProtection="1">
      <protection locked="0"/>
    </xf>
    <xf numFmtId="0" fontId="264" fillId="30" borderId="336" xfId="150" applyFont="1" applyFill="1" applyBorder="1" applyAlignment="1" applyProtection="1">
      <alignment horizontal="center" vertical="center" shrinkToFit="1"/>
      <protection hidden="1"/>
    </xf>
    <xf numFmtId="0" fontId="86" fillId="30" borderId="339" xfId="12" applyFont="1" applyFill="1" applyBorder="1" applyAlignment="1" applyProtection="1">
      <alignment horizontal="center" vertical="center"/>
      <protection hidden="1"/>
    </xf>
    <xf numFmtId="176" fontId="258" fillId="30" borderId="339" xfId="12" applyNumberFormat="1" applyFont="1" applyFill="1" applyBorder="1" applyAlignment="1" applyProtection="1">
      <alignment horizontal="right" vertical="center" shrinkToFit="1"/>
    </xf>
    <xf numFmtId="176" fontId="86" fillId="30" borderId="339" xfId="151" applyFont="1" applyFill="1" applyBorder="1" applyAlignment="1" applyProtection="1">
      <alignment horizontal="right" vertical="center" shrinkToFit="1"/>
    </xf>
    <xf numFmtId="176" fontId="86" fillId="30" borderId="350" xfId="151" applyFont="1" applyFill="1" applyBorder="1" applyAlignment="1" applyProtection="1">
      <alignment horizontal="right" vertical="center" shrinkToFit="1"/>
    </xf>
    <xf numFmtId="0" fontId="264" fillId="30" borderId="345" xfId="150" applyFont="1" applyFill="1" applyBorder="1" applyAlignment="1" applyProtection="1">
      <alignment horizontal="center" vertical="center" shrinkToFit="1"/>
      <protection hidden="1"/>
    </xf>
    <xf numFmtId="0" fontId="86" fillId="30" borderId="346" xfId="12" applyFont="1" applyFill="1" applyBorder="1" applyAlignment="1" applyProtection="1">
      <alignment horizontal="center" vertical="center"/>
      <protection hidden="1"/>
    </xf>
    <xf numFmtId="176" fontId="86" fillId="30" borderId="346" xfId="151" applyFont="1" applyFill="1" applyBorder="1" applyAlignment="1" applyProtection="1">
      <alignment horizontal="right" vertical="center" shrinkToFit="1"/>
    </xf>
    <xf numFmtId="176" fontId="86" fillId="30" borderId="351" xfId="151" applyFont="1" applyFill="1" applyBorder="1" applyAlignment="1" applyProtection="1">
      <alignment horizontal="right" vertical="center" shrinkToFit="1"/>
    </xf>
    <xf numFmtId="176" fontId="86" fillId="29" borderId="351" xfId="151" applyFont="1" applyFill="1" applyBorder="1" applyAlignment="1" applyProtection="1">
      <alignment horizontal="right" vertical="center" shrinkToFit="1"/>
    </xf>
    <xf numFmtId="176" fontId="86" fillId="28" borderId="0" xfId="151" applyFont="1" applyFill="1" applyAlignment="1" applyProtection="1">
      <alignment vertical="center"/>
      <protection hidden="1"/>
    </xf>
    <xf numFmtId="176" fontId="257" fillId="28" borderId="0" xfId="151" applyFont="1" applyFill="1" applyBorder="1" applyAlignment="1" applyProtection="1">
      <alignment horizontal="left" vertical="center"/>
    </xf>
    <xf numFmtId="176" fontId="86" fillId="28" borderId="0" xfId="151" applyFont="1" applyFill="1" applyAlignment="1" applyProtection="1">
      <alignment vertical="center"/>
      <protection locked="0"/>
    </xf>
    <xf numFmtId="176" fontId="257" fillId="28" borderId="0" xfId="151" applyFont="1" applyFill="1" applyAlignment="1" applyProtection="1">
      <alignment horizontal="right" vertical="center"/>
    </xf>
    <xf numFmtId="0" fontId="2" fillId="28" borderId="0" xfId="12" applyFont="1" applyFill="1" applyAlignment="1" applyProtection="1">
      <alignment vertical="center"/>
      <protection hidden="1"/>
    </xf>
    <xf numFmtId="0" fontId="86" fillId="28" borderId="0" xfId="12" applyFont="1" applyFill="1" applyAlignment="1" applyProtection="1">
      <alignment horizontal="center" vertical="center"/>
      <protection locked="0"/>
    </xf>
    <xf numFmtId="176" fontId="258" fillId="28" borderId="0" xfId="12" applyNumberFormat="1" applyFont="1" applyFill="1" applyAlignment="1" applyProtection="1">
      <alignment vertical="center" shrinkToFit="1"/>
      <protection locked="0"/>
    </xf>
    <xf numFmtId="0" fontId="258" fillId="28" borderId="0" xfId="12" applyNumberFormat="1" applyFont="1" applyFill="1" applyBorder="1" applyAlignment="1" applyProtection="1">
      <alignment horizontal="right" vertical="center"/>
      <protection hidden="1"/>
    </xf>
    <xf numFmtId="176" fontId="258" fillId="28" borderId="0" xfId="12" applyNumberFormat="1" applyFont="1" applyFill="1" applyAlignment="1" applyProtection="1">
      <alignment horizontal="right" vertical="center" shrinkToFit="1"/>
      <protection locked="0"/>
    </xf>
    <xf numFmtId="176" fontId="258" fillId="28" borderId="0" xfId="12" applyNumberFormat="1" applyFont="1" applyFill="1" applyAlignment="1" applyProtection="1">
      <alignment horizontal="right" vertical="center" shrinkToFit="1"/>
    </xf>
    <xf numFmtId="0" fontId="86" fillId="28" borderId="0" xfId="12" applyFont="1" applyFill="1" applyAlignment="1" applyProtection="1">
      <alignment horizontal="center" vertical="center"/>
      <protection hidden="1"/>
    </xf>
    <xf numFmtId="176" fontId="258" fillId="28" borderId="0" xfId="12" applyNumberFormat="1" applyFont="1" applyFill="1" applyAlignment="1" applyProtection="1">
      <alignment vertical="center" shrinkToFit="1"/>
      <protection hidden="1"/>
    </xf>
    <xf numFmtId="176" fontId="86" fillId="28" borderId="0" xfId="151" applyFont="1" applyFill="1" applyAlignment="1" applyProtection="1">
      <alignment vertical="center" shrinkToFit="1"/>
      <protection hidden="1"/>
    </xf>
    <xf numFmtId="0" fontId="86" fillId="28" borderId="0" xfId="152" applyFont="1" applyFill="1" applyAlignment="1" applyProtection="1">
      <alignment vertical="center"/>
    </xf>
    <xf numFmtId="0" fontId="86" fillId="28" borderId="0" xfId="152" applyFont="1" applyFill="1" applyAlignment="1" applyProtection="1">
      <alignment vertical="center" shrinkToFit="1"/>
    </xf>
    <xf numFmtId="0" fontId="257" fillId="28" borderId="0" xfId="152" applyFont="1" applyFill="1" applyAlignment="1" applyProtection="1">
      <alignment vertical="center"/>
    </xf>
    <xf numFmtId="176" fontId="257" fillId="28" borderId="0" xfId="153" applyFont="1" applyFill="1" applyAlignment="1" applyProtection="1">
      <alignment vertical="center"/>
    </xf>
    <xf numFmtId="176" fontId="256" fillId="28" borderId="0" xfId="153" applyFont="1" applyFill="1" applyAlignment="1" applyProtection="1">
      <alignment horizontal="right" vertical="center"/>
    </xf>
    <xf numFmtId="0" fontId="257" fillId="28" borderId="0" xfId="152" applyNumberFormat="1" applyFont="1" applyFill="1" applyAlignment="1" applyProtection="1">
      <alignment horizontal="left" vertical="center"/>
      <protection hidden="1"/>
    </xf>
    <xf numFmtId="0" fontId="21" fillId="4" borderId="328" xfId="152" applyFont="1" applyFill="1" applyBorder="1" applyAlignment="1" applyProtection="1">
      <alignment horizontal="center" vertical="center" shrinkToFit="1"/>
    </xf>
    <xf numFmtId="176" fontId="21" fillId="4" borderId="329" xfId="153" applyFont="1" applyFill="1" applyBorder="1" applyAlignment="1" applyProtection="1">
      <alignment horizontal="center" vertical="center" wrapText="1" shrinkToFit="1"/>
    </xf>
    <xf numFmtId="176" fontId="5" fillId="4" borderId="342" xfId="153" applyFont="1" applyFill="1" applyBorder="1" applyAlignment="1" applyProtection="1">
      <alignment horizontal="center" vertical="center" wrapText="1" shrinkToFit="1"/>
    </xf>
    <xf numFmtId="176" fontId="21" fillId="4" borderId="342" xfId="153" applyFont="1" applyFill="1" applyBorder="1" applyAlignment="1" applyProtection="1">
      <alignment horizontal="center" vertical="center" wrapText="1" shrinkToFit="1"/>
    </xf>
    <xf numFmtId="176" fontId="21" fillId="4" borderId="330" xfId="153" applyFont="1" applyFill="1" applyBorder="1" applyAlignment="1" applyProtection="1">
      <alignment horizontal="center" vertical="center"/>
    </xf>
    <xf numFmtId="0" fontId="86" fillId="0" borderId="0" xfId="152" applyFont="1" applyAlignment="1" applyProtection="1">
      <alignment vertical="center"/>
    </xf>
    <xf numFmtId="176" fontId="256" fillId="3" borderId="98" xfId="153" applyFont="1" applyFill="1" applyBorder="1" applyAlignment="1" applyProtection="1">
      <alignment horizontal="center" vertical="center" shrinkToFit="1"/>
    </xf>
    <xf numFmtId="0" fontId="21" fillId="4" borderId="331" xfId="152" applyFont="1" applyFill="1" applyBorder="1" applyAlignment="1" applyProtection="1">
      <alignment horizontal="center" vertical="center" shrinkToFit="1"/>
    </xf>
    <xf numFmtId="176" fontId="21" fillId="4" borderId="334" xfId="153" applyFont="1" applyFill="1" applyBorder="1" applyAlignment="1" applyProtection="1">
      <alignment horizontal="center" vertical="center" wrapText="1" shrinkToFit="1"/>
    </xf>
    <xf numFmtId="9" fontId="65" fillId="27" borderId="332" xfId="146" applyFont="1" applyFill="1" applyBorder="1" applyAlignment="1" applyProtection="1">
      <alignment horizontal="center" vertical="center" wrapText="1" shrinkToFit="1"/>
    </xf>
    <xf numFmtId="176" fontId="21" fillId="4" borderId="332" xfId="153" applyFont="1" applyFill="1" applyBorder="1" applyAlignment="1" applyProtection="1">
      <alignment horizontal="center" vertical="center" wrapText="1" shrinkToFit="1"/>
    </xf>
    <xf numFmtId="176" fontId="21" fillId="4" borderId="335" xfId="153" applyFont="1" applyFill="1" applyBorder="1" applyAlignment="1" applyProtection="1">
      <alignment horizontal="center" vertical="center"/>
    </xf>
    <xf numFmtId="176" fontId="256" fillId="3" borderId="0" xfId="153" applyFont="1" applyFill="1" applyBorder="1" applyAlignment="1" applyProtection="1">
      <alignment horizontal="center" vertical="center" shrinkToFit="1"/>
    </xf>
    <xf numFmtId="212" fontId="63" fillId="5" borderId="336" xfId="154" applyNumberFormat="1" applyFont="1" applyFill="1" applyBorder="1" applyAlignment="1" applyProtection="1">
      <alignment vertical="center" wrapText="1"/>
    </xf>
    <xf numFmtId="176" fontId="22" fillId="5" borderId="339" xfId="153" applyFont="1" applyFill="1" applyBorder="1" applyAlignment="1" applyProtection="1">
      <alignment vertical="center" shrinkToFit="1"/>
      <protection hidden="1"/>
    </xf>
    <xf numFmtId="176" fontId="22" fillId="5" borderId="343" xfId="153" applyFont="1" applyFill="1" applyBorder="1" applyAlignment="1" applyProtection="1">
      <alignment vertical="center" shrinkToFit="1"/>
      <protection hidden="1"/>
    </xf>
    <xf numFmtId="176" fontId="22" fillId="5" borderId="344" xfId="153" applyFont="1" applyFill="1" applyBorder="1" applyAlignment="1" applyProtection="1">
      <alignment horizontal="center" vertical="center" wrapText="1" shrinkToFit="1"/>
    </xf>
    <xf numFmtId="176" fontId="22" fillId="5" borderId="352" xfId="155" applyFont="1" applyFill="1" applyBorder="1" applyAlignment="1" applyProtection="1">
      <alignment horizontal="center" vertical="center" shrinkToFit="1"/>
      <protection hidden="1"/>
    </xf>
    <xf numFmtId="176" fontId="86" fillId="28" borderId="0" xfId="152" applyNumberFormat="1" applyFont="1" applyFill="1" applyAlignment="1" applyProtection="1">
      <alignment vertical="center"/>
    </xf>
    <xf numFmtId="176" fontId="22" fillId="5" borderId="339" xfId="153" applyFont="1" applyFill="1" applyBorder="1" applyAlignment="1" applyProtection="1">
      <alignment vertical="center" shrinkToFit="1"/>
    </xf>
    <xf numFmtId="176" fontId="22" fillId="5" borderId="337" xfId="155" applyFont="1" applyFill="1" applyBorder="1" applyAlignment="1" applyProtection="1">
      <alignment vertical="center" shrinkToFit="1"/>
      <protection hidden="1"/>
    </xf>
    <xf numFmtId="176" fontId="22" fillId="5" borderId="332" xfId="153" applyFont="1" applyFill="1" applyBorder="1" applyAlignment="1" applyProtection="1">
      <alignment horizontal="right" vertical="center" wrapText="1" shrinkToFit="1"/>
    </xf>
    <xf numFmtId="212" fontId="63" fillId="5" borderId="338" xfId="154" applyNumberFormat="1" applyFont="1" applyFill="1" applyBorder="1" applyAlignment="1" applyProtection="1">
      <alignment vertical="center" wrapText="1"/>
    </xf>
    <xf numFmtId="176" fontId="22" fillId="5" borderId="344" xfId="153" applyFont="1" applyFill="1" applyBorder="1" applyAlignment="1" applyProtection="1">
      <alignment vertical="center" shrinkToFit="1"/>
    </xf>
    <xf numFmtId="212" fontId="63" fillId="4" borderId="345" xfId="154" applyNumberFormat="1" applyFont="1" applyFill="1" applyBorder="1" applyAlignment="1" applyProtection="1">
      <alignment vertical="center" wrapText="1"/>
    </xf>
    <xf numFmtId="176" fontId="22" fillId="4" borderId="346" xfId="153" applyFont="1" applyFill="1" applyBorder="1" applyAlignment="1" applyProtection="1">
      <alignment vertical="center" shrinkToFit="1"/>
      <protection hidden="1"/>
    </xf>
    <xf numFmtId="176" fontId="22" fillId="5" borderId="343" xfId="153" applyFont="1" applyFill="1" applyBorder="1" applyAlignment="1" applyProtection="1">
      <alignment vertical="center" shrinkToFit="1"/>
    </xf>
    <xf numFmtId="176" fontId="22" fillId="5" borderId="337" xfId="153" applyFont="1" applyFill="1" applyBorder="1" applyAlignment="1" applyProtection="1">
      <alignment vertical="center" shrinkToFit="1"/>
    </xf>
    <xf numFmtId="176" fontId="22" fillId="5" borderId="337" xfId="153" applyFont="1" applyFill="1" applyBorder="1" applyAlignment="1" applyProtection="1">
      <alignment vertical="center" shrinkToFit="1"/>
      <protection hidden="1"/>
    </xf>
    <xf numFmtId="176" fontId="22" fillId="4" borderId="353" xfId="153" applyFont="1" applyFill="1" applyBorder="1" applyAlignment="1" applyProtection="1">
      <alignment vertical="center" shrinkToFit="1"/>
    </xf>
    <xf numFmtId="0" fontId="265" fillId="0" borderId="0" xfId="152" applyFont="1" applyFill="1" applyAlignment="1" applyProtection="1">
      <alignment vertical="center"/>
    </xf>
    <xf numFmtId="176" fontId="265" fillId="0" borderId="0" xfId="153" applyFont="1" applyFill="1" applyAlignment="1" applyProtection="1">
      <alignment vertical="center"/>
    </xf>
    <xf numFmtId="176" fontId="267" fillId="29" borderId="0" xfId="153" applyFont="1" applyFill="1" applyAlignment="1" applyProtection="1">
      <alignment vertical="center"/>
    </xf>
    <xf numFmtId="176" fontId="265" fillId="29" borderId="0" xfId="153" applyFont="1" applyFill="1" applyAlignment="1" applyProtection="1">
      <alignment vertical="center"/>
    </xf>
    <xf numFmtId="176" fontId="86" fillId="28" borderId="0" xfId="153" applyFont="1" applyFill="1" applyAlignment="1" applyProtection="1">
      <alignment vertical="center"/>
    </xf>
    <xf numFmtId="176" fontId="86" fillId="28" borderId="0" xfId="153" applyFont="1" applyFill="1" applyAlignment="1" applyProtection="1">
      <alignment vertical="center"/>
      <protection hidden="1"/>
    </xf>
    <xf numFmtId="0" fontId="2" fillId="28" borderId="0" xfId="152" applyFont="1" applyFill="1" applyAlignment="1" applyProtection="1">
      <alignment vertical="center"/>
    </xf>
    <xf numFmtId="0" fontId="1" fillId="28" borderId="0" xfId="12" applyFont="1" applyFill="1" applyAlignment="1" applyProtection="1">
      <alignment vertical="center"/>
    </xf>
    <xf numFmtId="0" fontId="21" fillId="28" borderId="0" xfId="12" applyFont="1" applyFill="1" applyAlignment="1" applyProtection="1">
      <alignment vertical="center"/>
    </xf>
    <xf numFmtId="176" fontId="21" fillId="28" borderId="0" xfId="151" applyFont="1" applyFill="1" applyAlignment="1" applyProtection="1">
      <alignment vertical="center"/>
    </xf>
    <xf numFmtId="0" fontId="21" fillId="28" borderId="0" xfId="12" applyNumberFormat="1" applyFont="1" applyFill="1" applyAlignment="1" applyProtection="1">
      <alignment horizontal="left" vertical="center"/>
    </xf>
    <xf numFmtId="0" fontId="5" fillId="4" borderId="328" xfId="12" applyFont="1" applyFill="1" applyBorder="1" applyAlignment="1" applyProtection="1">
      <alignment horizontal="center" vertical="center" shrinkToFit="1"/>
    </xf>
    <xf numFmtId="176" fontId="21" fillId="4" borderId="329" xfId="151" applyFont="1" applyFill="1" applyBorder="1" applyAlignment="1" applyProtection="1">
      <alignment horizontal="center" vertical="center"/>
    </xf>
    <xf numFmtId="176" fontId="5" fillId="4" borderId="329" xfId="151" applyFont="1" applyFill="1" applyBorder="1" applyAlignment="1" applyProtection="1">
      <alignment horizontal="center" vertical="center"/>
    </xf>
    <xf numFmtId="176" fontId="5" fillId="4" borderId="330" xfId="156" applyFont="1" applyFill="1" applyBorder="1" applyAlignment="1" applyProtection="1">
      <alignment horizontal="center" vertical="center"/>
    </xf>
    <xf numFmtId="213" fontId="0" fillId="5" borderId="336" xfId="12" applyNumberFormat="1" applyFont="1" applyFill="1" applyBorder="1" applyAlignment="1" applyProtection="1">
      <alignment vertical="center" shrinkToFit="1"/>
    </xf>
    <xf numFmtId="176" fontId="22" fillId="5" borderId="339" xfId="151" applyFont="1" applyFill="1" applyBorder="1" applyAlignment="1" applyProtection="1">
      <alignment vertical="center" shrinkToFit="1"/>
    </xf>
    <xf numFmtId="0" fontId="22" fillId="0" borderId="0" xfId="12" applyFont="1" applyAlignment="1" applyProtection="1">
      <alignment vertical="center"/>
    </xf>
    <xf numFmtId="176" fontId="1" fillId="28" borderId="0" xfId="155" applyFont="1" applyFill="1" applyAlignment="1" applyProtection="1">
      <alignment vertical="center"/>
    </xf>
    <xf numFmtId="212" fontId="63" fillId="5" borderId="336" xfId="150" applyNumberFormat="1" applyFont="1" applyFill="1" applyBorder="1" applyAlignment="1" applyProtection="1">
      <alignment horizontal="left" vertical="center" wrapText="1"/>
    </xf>
    <xf numFmtId="176" fontId="22" fillId="5" borderId="337" xfId="156" applyFont="1" applyFill="1" applyBorder="1" applyAlignment="1" applyProtection="1">
      <alignment vertical="center" shrinkToFit="1"/>
    </xf>
    <xf numFmtId="214" fontId="58" fillId="5" borderId="336" xfId="150" applyNumberFormat="1" applyFont="1" applyFill="1" applyBorder="1" applyAlignment="1" applyProtection="1">
      <alignment vertical="center" wrapText="1"/>
    </xf>
    <xf numFmtId="212" fontId="58" fillId="5" borderId="336" xfId="150" applyNumberFormat="1" applyFont="1" applyFill="1" applyBorder="1" applyAlignment="1" applyProtection="1">
      <alignment vertical="center" wrapText="1"/>
    </xf>
    <xf numFmtId="176" fontId="22" fillId="28" borderId="0" xfId="155" applyFont="1" applyFill="1" applyAlignment="1" applyProtection="1">
      <alignment vertical="center" shrinkToFit="1"/>
    </xf>
    <xf numFmtId="176" fontId="22" fillId="28" borderId="0" xfId="155" applyFont="1" applyFill="1" applyAlignment="1" applyProtection="1">
      <alignment vertical="center"/>
    </xf>
    <xf numFmtId="212" fontId="268" fillId="5" borderId="336" xfId="150" applyNumberFormat="1" applyFont="1" applyFill="1" applyBorder="1" applyAlignment="1" applyProtection="1">
      <alignment vertical="center" wrapText="1"/>
    </xf>
    <xf numFmtId="176" fontId="268" fillId="5" borderId="337" xfId="156" applyFont="1" applyFill="1" applyBorder="1" applyAlignment="1" applyProtection="1">
      <alignment vertical="center" shrinkToFit="1"/>
    </xf>
    <xf numFmtId="212" fontId="63" fillId="5" borderId="336" xfId="150" applyNumberFormat="1" applyFont="1" applyFill="1" applyBorder="1" applyAlignment="1" applyProtection="1">
      <alignment vertical="center" wrapText="1"/>
    </xf>
    <xf numFmtId="212" fontId="58" fillId="0" borderId="336" xfId="150" applyNumberFormat="1" applyFont="1" applyFill="1" applyBorder="1" applyAlignment="1" applyProtection="1">
      <alignment vertical="center" wrapText="1"/>
    </xf>
    <xf numFmtId="176" fontId="22" fillId="0" borderId="339" xfId="151" applyFont="1" applyFill="1" applyBorder="1" applyAlignment="1" applyProtection="1">
      <alignment vertical="center" shrinkToFit="1"/>
    </xf>
    <xf numFmtId="176" fontId="0" fillId="28" borderId="0" xfId="155" applyFont="1" applyFill="1" applyAlignment="1" applyProtection="1">
      <alignment vertical="center"/>
    </xf>
    <xf numFmtId="212" fontId="269" fillId="5" borderId="345" xfId="150" applyNumberFormat="1" applyFont="1" applyFill="1" applyBorder="1" applyAlignment="1" applyProtection="1">
      <alignment vertical="center" wrapText="1"/>
    </xf>
    <xf numFmtId="176" fontId="269" fillId="5" borderId="348" xfId="156" applyFont="1" applyFill="1" applyBorder="1" applyAlignment="1" applyProtection="1">
      <alignment vertical="center" shrinkToFit="1"/>
    </xf>
    <xf numFmtId="0" fontId="1" fillId="32" borderId="347" xfId="12" applyFont="1" applyFill="1" applyBorder="1" applyAlignment="1" applyProtection="1">
      <alignment vertical="center"/>
    </xf>
    <xf numFmtId="176" fontId="22" fillId="32" borderId="347" xfId="82" applyFont="1" applyFill="1" applyBorder="1" applyAlignment="1" applyProtection="1">
      <alignment vertical="center" shrinkToFit="1"/>
    </xf>
    <xf numFmtId="176" fontId="1" fillId="28" borderId="0" xfId="12" applyNumberFormat="1" applyFont="1" applyFill="1" applyAlignment="1" applyProtection="1">
      <alignment vertical="center"/>
    </xf>
    <xf numFmtId="176" fontId="5" fillId="4" borderId="329" xfId="156" applyFont="1" applyFill="1" applyBorder="1" applyAlignment="1" applyProtection="1">
      <alignment horizontal="center" vertical="center"/>
    </xf>
    <xf numFmtId="176" fontId="5" fillId="4" borderId="329" xfId="156" applyFont="1" applyFill="1" applyBorder="1" applyAlignment="1" applyProtection="1">
      <alignment horizontal="center" vertical="center" wrapText="1"/>
    </xf>
    <xf numFmtId="176" fontId="270" fillId="4" borderId="330" xfId="156" applyFont="1" applyFill="1" applyBorder="1" applyAlignment="1" applyProtection="1">
      <alignment horizontal="center" vertical="center"/>
    </xf>
    <xf numFmtId="176" fontId="22" fillId="5" borderId="339" xfId="156" applyFont="1" applyFill="1" applyBorder="1" applyAlignment="1" applyProtection="1">
      <alignment vertical="center" shrinkToFit="1"/>
    </xf>
    <xf numFmtId="9" fontId="22" fillId="5" borderId="339" xfId="157" applyNumberFormat="1" applyFont="1" applyFill="1" applyBorder="1" applyAlignment="1" applyProtection="1">
      <alignment horizontal="center" vertical="center" shrinkToFit="1"/>
    </xf>
    <xf numFmtId="43" fontId="22" fillId="5" borderId="339" xfId="120" applyFont="1" applyFill="1" applyBorder="1" applyAlignment="1" applyProtection="1">
      <alignment horizontal="center" vertical="center" shrinkToFit="1"/>
    </xf>
    <xf numFmtId="176" fontId="269" fillId="5" borderId="337" xfId="156" applyFont="1" applyFill="1" applyBorder="1" applyAlignment="1" applyProtection="1">
      <alignment vertical="center" shrinkToFit="1"/>
    </xf>
    <xf numFmtId="217" fontId="22" fillId="5" borderId="339" xfId="157" applyNumberFormat="1" applyFont="1" applyFill="1" applyBorder="1" applyAlignment="1" applyProtection="1">
      <alignment horizontal="center" vertical="center" shrinkToFit="1"/>
    </xf>
    <xf numFmtId="212" fontId="22" fillId="5" borderId="336" xfId="150" applyNumberFormat="1" applyFont="1" applyFill="1" applyBorder="1" applyAlignment="1" applyProtection="1">
      <alignment vertical="center" wrapText="1"/>
    </xf>
    <xf numFmtId="212" fontId="268" fillId="5" borderId="345" xfId="150" applyNumberFormat="1" applyFont="1" applyFill="1" applyBorder="1" applyAlignment="1" applyProtection="1">
      <alignment vertical="center" wrapText="1"/>
    </xf>
    <xf numFmtId="176" fontId="268" fillId="5" borderId="346" xfId="156" applyFont="1" applyFill="1" applyBorder="1" applyAlignment="1" applyProtection="1">
      <alignment vertical="center" shrinkToFit="1"/>
    </xf>
    <xf numFmtId="177" fontId="268" fillId="5" borderId="345" xfId="150" applyNumberFormat="1" applyFont="1" applyFill="1" applyBorder="1" applyAlignment="1" applyProtection="1">
      <alignment vertical="center" wrapText="1"/>
    </xf>
    <xf numFmtId="176" fontId="1" fillId="28" borderId="0" xfId="155" applyFont="1" applyFill="1" applyAlignment="1" applyProtection="1">
      <alignment vertical="center" shrinkToFit="1"/>
    </xf>
    <xf numFmtId="176" fontId="1" fillId="28" borderId="0" xfId="155" applyFont="1" applyFill="1" applyAlignment="1" applyProtection="1">
      <alignment horizontal="right" vertical="center" shrinkToFit="1"/>
    </xf>
    <xf numFmtId="176" fontId="22" fillId="28" borderId="0" xfId="155" applyFont="1" applyFill="1" applyAlignment="1" applyProtection="1">
      <alignment horizontal="right" vertical="center" shrinkToFit="1"/>
    </xf>
    <xf numFmtId="176" fontId="22" fillId="27" borderId="339" xfId="151" applyFont="1" applyFill="1" applyBorder="1" applyAlignment="1" applyProtection="1">
      <alignment vertical="center" shrinkToFit="1"/>
    </xf>
    <xf numFmtId="218" fontId="22" fillId="28" borderId="0" xfId="12" applyNumberFormat="1" applyFont="1" applyFill="1" applyAlignment="1" applyProtection="1">
      <alignment vertical="center"/>
    </xf>
    <xf numFmtId="215" fontId="58" fillId="5" borderId="336" xfId="150" applyNumberFormat="1" applyFont="1" applyFill="1" applyBorder="1" applyAlignment="1" applyProtection="1">
      <alignment vertical="center" wrapText="1"/>
    </xf>
    <xf numFmtId="216" fontId="22" fillId="28" borderId="0" xfId="12" applyNumberFormat="1" applyFont="1" applyFill="1" applyAlignment="1" applyProtection="1">
      <alignment vertical="center"/>
    </xf>
    <xf numFmtId="44" fontId="247" fillId="0" borderId="0" xfId="12" applyNumberFormat="1" applyFont="1" applyFill="1" applyAlignment="1" applyProtection="1">
      <alignment vertical="center"/>
    </xf>
    <xf numFmtId="176" fontId="7" fillId="28" borderId="0" xfId="155" applyFont="1" applyFill="1" applyAlignment="1" applyProtection="1">
      <alignment vertical="center"/>
    </xf>
    <xf numFmtId="176" fontId="22" fillId="28" borderId="0" xfId="151" applyFont="1" applyFill="1" applyAlignment="1" applyProtection="1">
      <alignment vertical="center" shrinkToFit="1"/>
    </xf>
    <xf numFmtId="212" fontId="58" fillId="5" borderId="345" xfId="150" applyNumberFormat="1" applyFont="1" applyFill="1" applyBorder="1" applyAlignment="1" applyProtection="1">
      <alignment vertical="center" wrapText="1"/>
    </xf>
    <xf numFmtId="176" fontId="22" fillId="26" borderId="346" xfId="151" applyFont="1" applyFill="1" applyBorder="1" applyAlignment="1" applyProtection="1">
      <alignment vertical="center" shrinkToFit="1"/>
    </xf>
    <xf numFmtId="0" fontId="0" fillId="28" borderId="0" xfId="12" applyFont="1" applyFill="1" applyAlignment="1" applyProtection="1">
      <alignment vertical="center"/>
    </xf>
    <xf numFmtId="176" fontId="22" fillId="28" borderId="0" xfId="151" applyFont="1" applyFill="1" applyAlignment="1" applyProtection="1">
      <alignment vertical="center"/>
    </xf>
    <xf numFmtId="0" fontId="21" fillId="29" borderId="0" xfId="12" applyFont="1" applyFill="1" applyAlignment="1" applyProtection="1">
      <alignment vertical="center"/>
    </xf>
    <xf numFmtId="176" fontId="22" fillId="29" borderId="0" xfId="151" applyFont="1" applyFill="1" applyAlignment="1" applyProtection="1">
      <alignment vertical="center"/>
    </xf>
    <xf numFmtId="0" fontId="22" fillId="0" borderId="0" xfId="12" applyFont="1" applyFill="1" applyAlignment="1" applyProtection="1">
      <alignment vertical="center"/>
    </xf>
    <xf numFmtId="0" fontId="86" fillId="28" borderId="0" xfId="12" applyFont="1" applyFill="1" applyAlignment="1" applyProtection="1">
      <alignment vertical="center"/>
    </xf>
    <xf numFmtId="177" fontId="0" fillId="2" borderId="0" xfId="0" applyNumberFormat="1" applyFill="1" applyProtection="1">
      <alignment vertical="center"/>
      <protection locked="0"/>
    </xf>
    <xf numFmtId="10" fontId="49" fillId="0" borderId="58" xfId="7" applyNumberFormat="1" applyFont="1" applyFill="1" applyBorder="1" applyAlignment="1" applyProtection="1">
      <alignment vertical="center"/>
      <protection locked="0"/>
    </xf>
    <xf numFmtId="177" fontId="0" fillId="6" borderId="0" xfId="0" applyNumberFormat="1" applyFill="1" applyProtection="1">
      <alignment vertical="center"/>
      <protection locked="0"/>
    </xf>
    <xf numFmtId="219" fontId="22" fillId="0" borderId="58" xfId="0" applyNumberFormat="1" applyFont="1" applyFill="1" applyBorder="1" applyAlignment="1" applyProtection="1">
      <alignment vertical="center"/>
      <protection locked="0"/>
    </xf>
    <xf numFmtId="0" fontId="1" fillId="0" borderId="27" xfId="0" applyFont="1" applyFill="1" applyBorder="1" applyAlignment="1" applyProtection="1">
      <alignment vertical="center" wrapText="1"/>
      <protection locked="0"/>
    </xf>
    <xf numFmtId="0" fontId="1" fillId="0" borderId="12" xfId="0" applyFont="1" applyFill="1" applyBorder="1" applyAlignment="1" applyProtection="1">
      <alignment horizontal="left" vertical="center"/>
      <protection locked="0"/>
    </xf>
    <xf numFmtId="0" fontId="1" fillId="0" borderId="12" xfId="0"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0" fontId="1" fillId="2" borderId="0" xfId="0" applyFont="1" applyFill="1" applyBorder="1" applyAlignment="1" applyProtection="1">
      <alignment vertical="center"/>
      <protection locked="0"/>
    </xf>
    <xf numFmtId="0" fontId="39" fillId="0" borderId="302" xfId="0" applyNumberFormat="1" applyFont="1" applyFill="1" applyBorder="1" applyAlignment="1" applyProtection="1">
      <alignment horizontal="center" vertical="center" shrinkToFit="1"/>
      <protection locked="0"/>
    </xf>
    <xf numFmtId="0" fontId="25"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0" fillId="0" borderId="303" xfId="0" applyFill="1" applyBorder="1" applyAlignment="1" applyProtection="1">
      <alignment vertical="center" wrapText="1"/>
      <protection locked="0"/>
    </xf>
    <xf numFmtId="177" fontId="22" fillId="0" borderId="303" xfId="0" applyNumberFormat="1" applyFont="1" applyFill="1" applyBorder="1" applyAlignment="1" applyProtection="1">
      <alignment vertical="center" shrinkToFit="1"/>
      <protection locked="0"/>
    </xf>
    <xf numFmtId="177" fontId="22" fillId="0" borderId="304" xfId="0" applyNumberFormat="1" applyFont="1" applyFill="1" applyBorder="1" applyAlignment="1" applyProtection="1">
      <alignment vertical="center" shrinkToFit="1"/>
      <protection locked="0"/>
    </xf>
    <xf numFmtId="0" fontId="1" fillId="0" borderId="302" xfId="0" applyFont="1" applyFill="1" applyBorder="1" applyAlignment="1" applyProtection="1">
      <alignment horizontal="left" vertical="center"/>
      <protection locked="0"/>
    </xf>
    <xf numFmtId="0" fontId="1" fillId="0" borderId="303" xfId="0" applyFont="1" applyFill="1" applyBorder="1" applyAlignment="1" applyProtection="1">
      <alignment vertical="center" wrapText="1"/>
      <protection locked="0"/>
    </xf>
    <xf numFmtId="0" fontId="189" fillId="0" borderId="65" xfId="0" applyNumberFormat="1" applyFont="1" applyFill="1" applyBorder="1" applyAlignment="1" applyProtection="1">
      <alignment vertical="center"/>
      <protection locked="0"/>
    </xf>
    <xf numFmtId="2" fontId="22" fillId="0" borderId="65" xfId="0" applyNumberFormat="1" applyFont="1" applyFill="1" applyBorder="1" applyAlignment="1" applyProtection="1">
      <alignment vertical="center"/>
      <protection locked="0"/>
    </xf>
    <xf numFmtId="2" fontId="50" fillId="0" borderId="58" xfId="0" applyNumberFormat="1" applyFont="1" applyFill="1" applyBorder="1" applyAlignment="1" applyProtection="1">
      <alignment vertical="center"/>
      <protection locked="0"/>
    </xf>
    <xf numFmtId="176" fontId="22" fillId="0" borderId="65" xfId="4" applyFont="1" applyFill="1" applyBorder="1" applyAlignment="1" applyProtection="1">
      <alignment vertical="center"/>
      <protection locked="0"/>
    </xf>
    <xf numFmtId="177" fontId="271" fillId="0" borderId="13" xfId="0" applyNumberFormat="1" applyFont="1" applyFill="1" applyBorder="1" applyAlignment="1" applyProtection="1">
      <alignment vertical="center" wrapText="1"/>
      <protection locked="0"/>
    </xf>
    <xf numFmtId="0" fontId="39" fillId="0" borderId="52" xfId="0" applyNumberFormat="1" applyFont="1" applyFill="1" applyBorder="1" applyAlignment="1" applyProtection="1">
      <alignment horizontal="center" vertical="center" shrinkToFit="1"/>
      <protection locked="0"/>
    </xf>
    <xf numFmtId="0" fontId="25" fillId="0" borderId="47" xfId="0" applyFont="1" applyFill="1" applyBorder="1" applyAlignment="1" applyProtection="1">
      <alignment vertical="center"/>
    </xf>
    <xf numFmtId="0" fontId="42" fillId="0" borderId="65" xfId="0" applyNumberFormat="1" applyFont="1" applyFill="1" applyBorder="1" applyAlignment="1" applyProtection="1">
      <alignment vertical="center"/>
      <protection locked="0"/>
    </xf>
    <xf numFmtId="10" fontId="49" fillId="0" borderId="65" xfId="0" applyNumberFormat="1" applyFont="1" applyFill="1" applyBorder="1" applyAlignment="1" applyProtection="1">
      <alignment vertical="center"/>
      <protection locked="0"/>
    </xf>
    <xf numFmtId="202" fontId="49" fillId="0" borderId="58" xfId="0" applyNumberFormat="1" applyFont="1" applyFill="1" applyBorder="1" applyAlignment="1" applyProtection="1">
      <alignment vertical="center"/>
      <protection locked="0"/>
    </xf>
    <xf numFmtId="0" fontId="1" fillId="0" borderId="50" xfId="0" applyFont="1" applyFill="1" applyBorder="1" applyAlignment="1" applyProtection="1">
      <alignment vertical="center" wrapText="1"/>
      <protection locked="0"/>
    </xf>
    <xf numFmtId="0" fontId="2" fillId="26" borderId="0" xfId="29" applyFont="1" applyFill="1" applyAlignment="1" applyProtection="1">
      <alignment vertical="center"/>
    </xf>
    <xf numFmtId="0" fontId="86" fillId="26" borderId="0" xfId="29" applyFont="1" applyFill="1" applyAlignment="1" applyProtection="1">
      <alignment vertical="center"/>
    </xf>
    <xf numFmtId="0" fontId="86" fillId="25" borderId="0" xfId="29" applyFont="1" applyFill="1" applyAlignment="1" applyProtection="1">
      <alignment vertical="center"/>
    </xf>
    <xf numFmtId="31" fontId="257" fillId="25" borderId="0" xfId="29" applyNumberFormat="1" applyFont="1" applyFill="1" applyAlignment="1" applyProtection="1">
      <alignment horizontal="left" vertical="center"/>
    </xf>
    <xf numFmtId="31" fontId="257" fillId="25" borderId="0" xfId="29" applyNumberFormat="1" applyFont="1" applyFill="1" applyAlignment="1" applyProtection="1">
      <alignment horizontal="center" vertical="center"/>
    </xf>
    <xf numFmtId="176" fontId="257" fillId="25" borderId="0" xfId="140" applyFont="1" applyFill="1" applyAlignment="1" applyProtection="1">
      <alignment vertical="center"/>
    </xf>
    <xf numFmtId="0" fontId="256" fillId="25" borderId="0" xfId="29" applyFont="1" applyFill="1" applyAlignment="1" applyProtection="1">
      <alignment horizontal="right" vertical="center" shrinkToFit="1"/>
    </xf>
    <xf numFmtId="0" fontId="256" fillId="25" borderId="0" xfId="29" applyNumberFormat="1" applyFont="1" applyFill="1" applyAlignment="1" applyProtection="1">
      <alignment horizontal="left" vertical="center"/>
    </xf>
    <xf numFmtId="0" fontId="257" fillId="25" borderId="0" xfId="29" applyNumberFormat="1" applyFont="1" applyFill="1" applyAlignment="1" applyProtection="1">
      <alignment horizontal="center" vertical="center"/>
    </xf>
    <xf numFmtId="176" fontId="257" fillId="25" borderId="0" xfId="140" applyFont="1" applyFill="1" applyAlignment="1" applyProtection="1">
      <alignment vertical="center" shrinkToFit="1"/>
    </xf>
    <xf numFmtId="0" fontId="256" fillId="25" borderId="0" xfId="29" applyFont="1" applyFill="1" applyAlignment="1" applyProtection="1">
      <alignment horizontal="center" vertical="center" shrinkToFit="1"/>
    </xf>
    <xf numFmtId="176" fontId="86" fillId="25" borderId="0" xfId="141" applyFont="1" applyFill="1" applyAlignment="1" applyProtection="1">
      <alignment vertical="center"/>
    </xf>
    <xf numFmtId="0" fontId="256" fillId="25" borderId="328" xfId="29" applyNumberFormat="1" applyFont="1" applyFill="1" applyBorder="1" applyAlignment="1" applyProtection="1">
      <alignment horizontal="center" vertical="center" shrinkToFit="1"/>
    </xf>
    <xf numFmtId="176" fontId="256" fillId="25" borderId="329" xfId="140" applyFont="1" applyFill="1" applyBorder="1" applyAlignment="1" applyProtection="1">
      <alignment vertical="center" shrinkToFit="1"/>
    </xf>
    <xf numFmtId="176" fontId="256" fillId="25" borderId="330" xfId="29" applyNumberFormat="1" applyFont="1" applyFill="1" applyBorder="1" applyAlignment="1" applyProtection="1">
      <alignment horizontal="center" vertical="center" shrinkToFit="1"/>
    </xf>
    <xf numFmtId="0" fontId="256" fillId="25" borderId="331" xfId="29" applyNumberFormat="1" applyFont="1" applyFill="1" applyBorder="1" applyAlignment="1" applyProtection="1">
      <alignment horizontal="left" vertical="center"/>
    </xf>
    <xf numFmtId="0" fontId="256" fillId="25" borderId="332" xfId="29" applyNumberFormat="1" applyFont="1" applyFill="1" applyBorder="1" applyAlignment="1" applyProtection="1">
      <alignment horizontal="center" vertical="center"/>
    </xf>
    <xf numFmtId="0" fontId="256" fillId="25" borderId="333" xfId="29" applyNumberFormat="1" applyFont="1" applyFill="1" applyBorder="1" applyAlignment="1" applyProtection="1">
      <alignment horizontal="center" vertical="center"/>
    </xf>
    <xf numFmtId="176" fontId="256" fillId="25" borderId="334" xfId="140" applyFont="1" applyFill="1" applyBorder="1" applyAlignment="1" applyProtection="1">
      <alignment vertical="center" shrinkToFit="1"/>
    </xf>
    <xf numFmtId="176" fontId="257" fillId="25" borderId="335" xfId="141" applyFont="1" applyFill="1" applyBorder="1" applyAlignment="1" applyProtection="1">
      <alignment horizontal="right" vertical="center" shrinkToFit="1"/>
    </xf>
    <xf numFmtId="176" fontId="86" fillId="25" borderId="0" xfId="29" applyNumberFormat="1" applyFont="1" applyFill="1" applyAlignment="1" applyProtection="1">
      <alignment vertical="center"/>
    </xf>
    <xf numFmtId="0" fontId="256" fillId="25" borderId="336" xfId="29" applyNumberFormat="1" applyFont="1" applyFill="1" applyBorder="1" applyAlignment="1" applyProtection="1">
      <alignment horizontal="left" vertical="center"/>
    </xf>
    <xf numFmtId="0" fontId="256" fillId="25" borderId="334" xfId="29" applyNumberFormat="1" applyFont="1" applyFill="1" applyBorder="1" applyAlignment="1" applyProtection="1">
      <alignment horizontal="center" vertical="center"/>
    </xf>
    <xf numFmtId="176" fontId="86" fillId="25" borderId="337" xfId="141" applyFont="1" applyFill="1" applyBorder="1" applyAlignment="1" applyProtection="1">
      <alignment horizontal="right" vertical="center" shrinkToFit="1"/>
    </xf>
    <xf numFmtId="176" fontId="86" fillId="25" borderId="338" xfId="140" applyFont="1" applyFill="1" applyBorder="1" applyAlignment="1" applyProtection="1">
      <alignment vertical="center"/>
    </xf>
    <xf numFmtId="0" fontId="86" fillId="0" borderId="339" xfId="29" applyFont="1" applyFill="1" applyBorder="1" applyAlignment="1" applyProtection="1">
      <alignment horizontal="center" vertical="center"/>
    </xf>
    <xf numFmtId="176" fontId="86" fillId="33" borderId="337" xfId="141" applyFont="1" applyFill="1" applyBorder="1" applyAlignment="1" applyProtection="1">
      <alignment horizontal="right" vertical="center" shrinkToFit="1"/>
    </xf>
    <xf numFmtId="176" fontId="86" fillId="25" borderId="340" xfId="140" applyFont="1" applyFill="1" applyBorder="1" applyAlignment="1" applyProtection="1">
      <alignment vertical="center"/>
    </xf>
    <xf numFmtId="176" fontId="86" fillId="26" borderId="337" xfId="141" applyFont="1" applyFill="1" applyBorder="1" applyAlignment="1" applyProtection="1">
      <alignment horizontal="right" vertical="center" shrinkToFit="1"/>
    </xf>
    <xf numFmtId="211" fontId="1" fillId="0" borderId="0" xfId="142" applyFont="1">
      <alignment vertical="center"/>
    </xf>
    <xf numFmtId="0" fontId="86" fillId="0" borderId="0" xfId="29" applyFont="1" applyFill="1" applyAlignment="1" applyProtection="1">
      <alignment vertical="center"/>
    </xf>
    <xf numFmtId="177" fontId="22" fillId="0" borderId="0" xfId="29" applyNumberFormat="1" applyFont="1" applyFill="1" applyAlignment="1" applyProtection="1">
      <alignment vertical="center" shrinkToFit="1"/>
    </xf>
    <xf numFmtId="211" fontId="1" fillId="0" borderId="0" xfId="142">
      <alignment vertical="center"/>
    </xf>
    <xf numFmtId="176" fontId="86" fillId="27" borderId="337" xfId="141" applyFont="1" applyFill="1" applyBorder="1" applyAlignment="1" applyProtection="1">
      <alignment horizontal="right" vertical="center" shrinkToFit="1"/>
    </xf>
    <xf numFmtId="0" fontId="2" fillId="25" borderId="0" xfId="29" applyFont="1" applyFill="1" applyAlignment="1" applyProtection="1">
      <alignment vertical="center"/>
    </xf>
    <xf numFmtId="177" fontId="22" fillId="25" borderId="0" xfId="29" applyNumberFormat="1" applyFont="1" applyFill="1" applyAlignment="1" applyProtection="1">
      <alignment vertical="center" shrinkToFit="1"/>
    </xf>
    <xf numFmtId="176" fontId="2" fillId="25" borderId="336" xfId="140" applyFont="1" applyFill="1" applyBorder="1" applyAlignment="1" applyProtection="1">
      <alignment horizontal="left" vertical="center" indent="1" shrinkToFit="1"/>
      <protection hidden="1"/>
    </xf>
    <xf numFmtId="0" fontId="256" fillId="0" borderId="334" xfId="29" applyNumberFormat="1" applyFont="1" applyFill="1" applyBorder="1" applyAlignment="1" applyProtection="1">
      <alignment horizontal="center" vertical="center"/>
    </xf>
    <xf numFmtId="176" fontId="256" fillId="0" borderId="334" xfId="140" applyFont="1" applyFill="1" applyBorder="1" applyAlignment="1" applyProtection="1">
      <alignment vertical="center" shrinkToFit="1"/>
    </xf>
    <xf numFmtId="176" fontId="257" fillId="25" borderId="335" xfId="141" applyFont="1" applyFill="1" applyBorder="1" applyAlignment="1" applyProtection="1">
      <alignment horizontal="center" vertical="center" shrinkToFit="1"/>
    </xf>
    <xf numFmtId="176" fontId="86" fillId="0" borderId="339" xfId="140" applyFont="1" applyFill="1" applyBorder="1" applyAlignment="1" applyProtection="1">
      <alignment vertical="center" shrinkToFit="1"/>
    </xf>
    <xf numFmtId="176" fontId="86" fillId="0" borderId="337" xfId="141" applyFont="1" applyFill="1" applyBorder="1" applyAlignment="1" applyProtection="1">
      <alignment horizontal="right" vertical="center" shrinkToFit="1"/>
    </xf>
    <xf numFmtId="176" fontId="86" fillId="25" borderId="341" xfId="140" applyFont="1" applyFill="1" applyBorder="1" applyAlignment="1" applyProtection="1">
      <alignment vertical="center"/>
    </xf>
    <xf numFmtId="0" fontId="2" fillId="0" borderId="334" xfId="29" applyFill="1" applyBorder="1" applyAlignment="1" applyProtection="1">
      <alignment horizontal="center" vertical="center"/>
    </xf>
    <xf numFmtId="176" fontId="2" fillId="0" borderId="334" xfId="140" applyFont="1" applyFill="1" applyBorder="1" applyAlignment="1" applyProtection="1">
      <alignment vertical="center" shrinkToFit="1"/>
    </xf>
    <xf numFmtId="176" fontId="86" fillId="25" borderId="335" xfId="141" applyFont="1" applyFill="1" applyBorder="1" applyAlignment="1" applyProtection="1">
      <alignment horizontal="right" vertical="center" shrinkToFit="1"/>
    </xf>
    <xf numFmtId="0" fontId="2" fillId="25" borderId="0" xfId="29" applyFill="1" applyAlignment="1" applyProtection="1">
      <alignment vertical="center"/>
    </xf>
    <xf numFmtId="176" fontId="2" fillId="25" borderId="0" xfId="29" applyNumberFormat="1" applyFill="1" applyAlignment="1" applyProtection="1">
      <alignment vertical="center"/>
    </xf>
    <xf numFmtId="0" fontId="2" fillId="0" borderId="339" xfId="29" applyFont="1" applyFill="1" applyBorder="1" applyAlignment="1" applyProtection="1">
      <alignment horizontal="center" vertical="center"/>
    </xf>
    <xf numFmtId="176" fontId="2" fillId="25" borderId="0" xfId="140" applyFont="1" applyFill="1" applyAlignment="1" applyProtection="1">
      <alignment vertical="center"/>
    </xf>
    <xf numFmtId="0" fontId="86" fillId="0" borderId="334" xfId="29" applyFont="1" applyFill="1" applyBorder="1" applyAlignment="1" applyProtection="1">
      <alignment horizontal="center" vertical="center"/>
    </xf>
    <xf numFmtId="176" fontId="86" fillId="26" borderId="335" xfId="141" applyFont="1" applyFill="1" applyBorder="1" applyAlignment="1" applyProtection="1">
      <alignment horizontal="right" vertical="center" shrinkToFit="1"/>
    </xf>
    <xf numFmtId="176" fontId="2" fillId="0" borderId="334" xfId="140" applyFont="1" applyFill="1" applyBorder="1" applyAlignment="1" applyProtection="1">
      <alignment vertical="center" wrapText="1" shrinkToFit="1"/>
    </xf>
    <xf numFmtId="0" fontId="2" fillId="0" borderId="334" xfId="29" applyFont="1" applyFill="1" applyBorder="1" applyAlignment="1" applyProtection="1">
      <alignment horizontal="center" vertical="center"/>
    </xf>
    <xf numFmtId="0" fontId="1" fillId="0" borderId="334" xfId="140" applyNumberFormat="1" applyFont="1" applyFill="1" applyBorder="1" applyAlignment="1" applyProtection="1">
      <alignment vertical="center"/>
    </xf>
    <xf numFmtId="176" fontId="2" fillId="25" borderId="340" xfId="140" applyFont="1" applyFill="1" applyBorder="1" applyAlignment="1" applyProtection="1">
      <alignment vertical="center" shrinkToFit="1"/>
      <protection hidden="1"/>
    </xf>
    <xf numFmtId="176" fontId="2" fillId="25" borderId="338" xfId="140" applyFont="1" applyFill="1" applyBorder="1" applyAlignment="1" applyProtection="1">
      <alignment vertical="center" shrinkToFit="1"/>
      <protection hidden="1"/>
    </xf>
    <xf numFmtId="211" fontId="86" fillId="0" borderId="339" xfId="143" applyFont="1" applyFill="1" applyBorder="1" applyAlignment="1" applyProtection="1">
      <alignment horizontal="center" vertical="center"/>
    </xf>
    <xf numFmtId="211" fontId="2" fillId="0" borderId="339" xfId="143" applyFill="1" applyBorder="1" applyAlignment="1" applyProtection="1">
      <alignment horizontal="center" vertical="center"/>
    </xf>
    <xf numFmtId="0" fontId="86" fillId="25" borderId="0" xfId="29" applyFont="1" applyFill="1" applyAlignment="1" applyProtection="1">
      <alignment horizontal="center" vertical="center"/>
    </xf>
    <xf numFmtId="176" fontId="258" fillId="25" borderId="0" xfId="140" applyFont="1" applyFill="1" applyAlignment="1" applyProtection="1">
      <alignment vertical="center" shrinkToFit="1"/>
    </xf>
    <xf numFmtId="176" fontId="258" fillId="25" borderId="0" xfId="29" applyNumberFormat="1" applyFont="1" applyFill="1" applyAlignment="1" applyProtection="1">
      <alignment vertical="center" shrinkToFit="1"/>
    </xf>
    <xf numFmtId="176" fontId="258" fillId="25" borderId="0" xfId="29" applyNumberFormat="1" applyFont="1" applyFill="1" applyAlignment="1" applyProtection="1">
      <alignment horizontal="right" vertical="center" shrinkToFit="1"/>
    </xf>
    <xf numFmtId="176" fontId="86" fillId="25" borderId="0" xfId="4" applyFont="1" applyFill="1" applyAlignment="1" applyProtection="1">
      <alignment vertical="center"/>
    </xf>
    <xf numFmtId="176" fontId="3" fillId="25" borderId="0" xfId="140" applyFont="1" applyFill="1" applyAlignment="1" applyProtection="1">
      <alignment vertical="center" shrinkToFit="1"/>
    </xf>
    <xf numFmtId="44" fontId="86" fillId="25" borderId="0" xfId="29" applyNumberFormat="1" applyFont="1" applyFill="1" applyAlignment="1" applyProtection="1">
      <alignment vertical="center"/>
    </xf>
    <xf numFmtId="4" fontId="1" fillId="0" borderId="0" xfId="6" applyNumberFormat="1" applyFill="1" applyProtection="1">
      <alignment vertical="center"/>
      <protection locked="0"/>
    </xf>
    <xf numFmtId="4" fontId="1" fillId="0" borderId="0" xfId="19" applyNumberFormat="1" applyFill="1" applyProtection="1">
      <alignment vertical="center"/>
      <protection locked="0"/>
    </xf>
    <xf numFmtId="177" fontId="1" fillId="0" borderId="0" xfId="6" applyNumberFormat="1" applyFill="1" applyProtection="1">
      <alignment vertical="center"/>
      <protection locked="0"/>
    </xf>
    <xf numFmtId="211" fontId="86" fillId="28" borderId="0" xfId="144" applyFont="1" applyFill="1" applyAlignment="1" applyProtection="1">
      <alignment vertical="center"/>
    </xf>
    <xf numFmtId="212" fontId="58" fillId="5" borderId="336" xfId="158" applyNumberFormat="1" applyFont="1" applyFill="1" applyBorder="1" applyAlignment="1" applyProtection="1">
      <alignment vertical="center" wrapText="1"/>
    </xf>
    <xf numFmtId="176" fontId="22" fillId="5" borderId="339" xfId="145" applyFont="1" applyFill="1" applyBorder="1" applyAlignment="1" applyProtection="1">
      <alignment vertical="center" shrinkToFit="1"/>
    </xf>
    <xf numFmtId="176" fontId="22" fillId="5" borderId="343" xfId="145" applyFont="1" applyFill="1" applyBorder="1" applyAlignment="1" applyProtection="1">
      <alignment vertical="center" shrinkToFit="1"/>
      <protection hidden="1"/>
    </xf>
    <xf numFmtId="176" fontId="22" fillId="0" borderId="343" xfId="145" applyFont="1" applyFill="1" applyBorder="1" applyAlignment="1" applyProtection="1">
      <alignment vertical="center" shrinkToFit="1"/>
      <protection hidden="1"/>
    </xf>
    <xf numFmtId="176" fontId="22" fillId="5" borderId="332" xfId="145" applyFont="1" applyFill="1" applyBorder="1" applyAlignment="1" applyProtection="1">
      <alignment horizontal="right" vertical="center" wrapText="1" shrinkToFit="1"/>
    </xf>
    <xf numFmtId="176" fontId="22" fillId="5" borderId="337" xfId="145" applyFont="1" applyFill="1" applyBorder="1" applyAlignment="1" applyProtection="1">
      <alignment vertical="center" shrinkToFit="1"/>
      <protection hidden="1"/>
    </xf>
    <xf numFmtId="176" fontId="86" fillId="28" borderId="0" xfId="144" applyNumberFormat="1" applyFont="1" applyFill="1" applyAlignment="1" applyProtection="1">
      <alignment vertical="center"/>
    </xf>
    <xf numFmtId="177" fontId="22" fillId="28" borderId="0" xfId="144" applyNumberFormat="1" applyFont="1" applyFill="1" applyAlignment="1" applyProtection="1">
      <alignment vertical="center" shrinkToFit="1"/>
    </xf>
    <xf numFmtId="212" fontId="58" fillId="27" borderId="336" xfId="158" applyNumberFormat="1" applyFont="1" applyFill="1" applyBorder="1" applyAlignment="1" applyProtection="1">
      <alignment vertical="center" wrapText="1"/>
    </xf>
    <xf numFmtId="176" fontId="22" fillId="27" borderId="339" xfId="145" applyFont="1" applyFill="1" applyBorder="1" applyAlignment="1" applyProtection="1">
      <alignment vertical="center" shrinkToFit="1"/>
    </xf>
    <xf numFmtId="176" fontId="22" fillId="27" borderId="343" xfId="145" applyFont="1" applyFill="1" applyBorder="1" applyAlignment="1" applyProtection="1">
      <alignment vertical="center" shrinkToFit="1"/>
      <protection hidden="1"/>
    </xf>
    <xf numFmtId="176" fontId="22" fillId="27" borderId="332" xfId="145" applyFont="1" applyFill="1" applyBorder="1" applyAlignment="1" applyProtection="1">
      <alignment horizontal="right" vertical="center" wrapText="1" shrinkToFit="1"/>
    </xf>
    <xf numFmtId="176" fontId="22" fillId="27" borderId="337" xfId="145" applyFont="1" applyFill="1" applyBorder="1" applyAlignment="1" applyProtection="1">
      <alignment vertical="center" shrinkToFit="1"/>
      <protection hidden="1"/>
    </xf>
    <xf numFmtId="176" fontId="22" fillId="0" borderId="343" xfId="145" applyFont="1" applyFill="1" applyBorder="1" applyAlignment="1" applyProtection="1">
      <alignment vertical="center" shrinkToFit="1"/>
    </xf>
    <xf numFmtId="211" fontId="22" fillId="28" borderId="0" xfId="143" applyFont="1" applyFill="1" applyAlignment="1" applyProtection="1">
      <alignment vertical="center"/>
    </xf>
    <xf numFmtId="212" fontId="58" fillId="5" borderId="336" xfId="159" applyNumberFormat="1" applyFont="1" applyFill="1" applyBorder="1" applyAlignment="1" applyProtection="1">
      <alignment vertical="center" wrapText="1"/>
    </xf>
    <xf numFmtId="176" fontId="22" fillId="5" borderId="339" xfId="147" applyFont="1" applyFill="1" applyBorder="1" applyAlignment="1" applyProtection="1">
      <alignment vertical="center" shrinkToFit="1"/>
    </xf>
    <xf numFmtId="176" fontId="22" fillId="5" borderId="337" xfId="147" applyFont="1" applyFill="1" applyBorder="1" applyAlignment="1" applyProtection="1">
      <alignment vertical="center" shrinkToFit="1"/>
    </xf>
    <xf numFmtId="211" fontId="1" fillId="28" borderId="0" xfId="143" applyFont="1" applyFill="1" applyAlignment="1" applyProtection="1">
      <alignment vertical="center"/>
    </xf>
    <xf numFmtId="177" fontId="22" fillId="28" borderId="0" xfId="143" applyNumberFormat="1" applyFont="1" applyFill="1" applyAlignment="1" applyProtection="1">
      <alignment vertical="center" shrinkToFit="1"/>
    </xf>
    <xf numFmtId="176" fontId="22" fillId="5" borderId="0" xfId="147" applyFont="1" applyFill="1" applyBorder="1" applyAlignment="1" applyProtection="1">
      <alignment vertical="center" shrinkToFit="1"/>
    </xf>
    <xf numFmtId="212" fontId="269" fillId="5" borderId="0" xfId="150" applyNumberFormat="1" applyFont="1" applyFill="1" applyBorder="1" applyAlignment="1" applyProtection="1">
      <alignment vertical="center" wrapText="1"/>
    </xf>
    <xf numFmtId="176" fontId="269" fillId="5" borderId="0" xfId="156" applyFont="1" applyFill="1" applyBorder="1" applyAlignment="1" applyProtection="1">
      <alignment vertical="center" shrinkToFit="1"/>
    </xf>
    <xf numFmtId="0" fontId="3" fillId="28" borderId="0" xfId="12" applyNumberFormat="1" applyFont="1" applyFill="1" applyBorder="1" applyAlignment="1" applyProtection="1">
      <alignment horizontal="right" vertical="center"/>
      <protection hidden="1"/>
    </xf>
    <xf numFmtId="4" fontId="258" fillId="28" borderId="0" xfId="12" applyNumberFormat="1" applyFont="1" applyFill="1" applyBorder="1" applyAlignment="1" applyProtection="1">
      <alignment horizontal="right" vertical="center"/>
      <protection hidden="1"/>
    </xf>
    <xf numFmtId="0" fontId="1" fillId="2" borderId="0" xfId="0" applyFont="1" applyFill="1" applyProtection="1">
      <alignment vertical="center"/>
      <protection locked="0"/>
    </xf>
    <xf numFmtId="4" fontId="86" fillId="25" borderId="0" xfId="29" applyNumberFormat="1" applyFont="1" applyFill="1" applyAlignment="1" applyProtection="1">
      <alignment vertical="center"/>
    </xf>
    <xf numFmtId="4" fontId="2" fillId="25" borderId="0" xfId="29" applyNumberFormat="1" applyFill="1" applyAlignment="1" applyProtection="1">
      <alignment vertical="center"/>
    </xf>
    <xf numFmtId="0" fontId="1" fillId="0" borderId="27" xfId="0" applyNumberFormat="1" applyFont="1" applyFill="1" applyBorder="1" applyAlignment="1" applyProtection="1">
      <alignment horizontal="left" vertical="center"/>
      <protection locked="0"/>
    </xf>
    <xf numFmtId="177" fontId="22" fillId="8" borderId="0" xfId="0" applyNumberFormat="1" applyFont="1" applyFill="1" applyBorder="1" applyAlignment="1" applyProtection="1">
      <alignment vertical="center"/>
      <protection locked="0"/>
    </xf>
    <xf numFmtId="10" fontId="59" fillId="0" borderId="58" xfId="7" applyNumberFormat="1" applyFont="1" applyFill="1" applyBorder="1" applyAlignment="1" applyProtection="1">
      <alignment vertical="center"/>
      <protection locked="0"/>
    </xf>
    <xf numFmtId="0" fontId="59" fillId="0" borderId="58" xfId="7" applyNumberFormat="1" applyFont="1" applyFill="1" applyBorder="1" applyAlignment="1" applyProtection="1">
      <alignment vertical="center"/>
      <protection locked="0"/>
    </xf>
    <xf numFmtId="2" fontId="22"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77" fontId="0" fillId="2" borderId="0" xfId="0" applyNumberFormat="1" applyFill="1" applyBorder="1" applyProtection="1">
      <alignment vertical="center"/>
      <protection locked="0"/>
    </xf>
    <xf numFmtId="177" fontId="1" fillId="0" borderId="0" xfId="25" applyNumberFormat="1" applyFill="1" applyProtection="1">
      <alignment vertical="center"/>
      <protection locked="0"/>
    </xf>
    <xf numFmtId="0" fontId="261" fillId="28" borderId="0" xfId="12" applyFont="1" applyFill="1" applyAlignment="1" applyProtection="1">
      <alignment horizontal="center" vertical="center"/>
      <protection hidden="1"/>
    </xf>
    <xf numFmtId="0" fontId="262" fillId="28" borderId="0" xfId="12" applyFont="1" applyFill="1" applyAlignment="1" applyProtection="1">
      <alignment horizontal="center" vertical="center"/>
      <protection hidden="1"/>
    </xf>
    <xf numFmtId="31" fontId="257" fillId="28" borderId="0" xfId="12" applyNumberFormat="1" applyFont="1" applyFill="1" applyAlignment="1" applyProtection="1">
      <alignment horizontal="center" vertical="center"/>
    </xf>
    <xf numFmtId="0" fontId="259" fillId="28" borderId="0" xfId="152" applyFont="1" applyFill="1" applyAlignment="1" applyProtection="1">
      <alignment horizontal="center" vertical="center" shrinkToFit="1"/>
    </xf>
    <xf numFmtId="0" fontId="260" fillId="28" borderId="0" xfId="152" applyFont="1" applyFill="1" applyAlignment="1" applyProtection="1">
      <alignment horizontal="center" vertical="center" shrinkToFit="1"/>
    </xf>
    <xf numFmtId="14" fontId="257" fillId="28" borderId="0" xfId="152" applyNumberFormat="1" applyFont="1" applyFill="1" applyAlignment="1" applyProtection="1">
      <alignment horizontal="center" vertical="center" shrinkToFit="1"/>
      <protection hidden="1"/>
    </xf>
    <xf numFmtId="0" fontId="257" fillId="28" borderId="0" xfId="152" applyFont="1" applyFill="1" applyAlignment="1" applyProtection="1">
      <alignment horizontal="center" vertical="center" shrinkToFit="1"/>
      <protection hidden="1"/>
    </xf>
    <xf numFmtId="0" fontId="5" fillId="28" borderId="0" xfId="12" applyFont="1" applyFill="1" applyAlignment="1" applyProtection="1">
      <alignment horizontal="center" vertical="center" shrinkToFit="1"/>
    </xf>
    <xf numFmtId="0" fontId="21" fillId="28" borderId="0" xfId="12" applyFont="1" applyFill="1" applyAlignment="1" applyProtection="1">
      <alignment horizontal="center" vertical="center" shrinkToFit="1"/>
    </xf>
    <xf numFmtId="14" fontId="21" fillId="28" borderId="0" xfId="12" applyNumberFormat="1" applyFont="1" applyFill="1" applyAlignment="1" applyProtection="1">
      <alignment horizontal="center" vertical="center" shrinkToFit="1"/>
    </xf>
    <xf numFmtId="0" fontId="254" fillId="25" borderId="0" xfId="29" applyFont="1" applyFill="1" applyAlignment="1" applyProtection="1">
      <alignment horizontal="center" vertical="center"/>
    </xf>
    <xf numFmtId="0" fontId="255" fillId="25" borderId="0" xfId="29" applyFont="1" applyFill="1" applyAlignment="1" applyProtection="1">
      <alignment horizontal="center" vertical="center"/>
    </xf>
    <xf numFmtId="31" fontId="256" fillId="25" borderId="0" xfId="29" applyNumberFormat="1" applyFont="1" applyFill="1" applyAlignment="1" applyProtection="1">
      <alignment horizontal="center" vertical="center"/>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60">
    <cellStyle name="Normal 2" xfId="136"/>
    <cellStyle name="百分比" xfId="7" builtinId="5"/>
    <cellStyle name="百分比 2 2 2" xfId="149"/>
    <cellStyle name="百分比 2 3 3" xfId="157"/>
    <cellStyle name="百分比 3 2" xfId="146"/>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3 2" xfId="142"/>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3"/>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3 4 2" xfId="144"/>
    <cellStyle name="常规 3 4 3" xfId="15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58"/>
    <cellStyle name="常规_港务电子会计报表格式(6-7)_个别报表_200712_三明齿轮 2" xfId="154"/>
    <cellStyle name="常规_港务电子会计报表格式(6-7)_个别报表_200712_永安轴承2" xfId="159"/>
    <cellStyle name="常规_港务电子会计报表格式(6-7)_个别报表_200712_永安轴承2 2" xfId="150"/>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18" xfId="155"/>
    <cellStyle name="千位分隔 2" xfId="73"/>
    <cellStyle name="千位分隔 2 2" xfId="91"/>
    <cellStyle name="千位分隔 2 2 3" xfId="147"/>
    <cellStyle name="千位分隔 2 2 3 2" xfId="151"/>
    <cellStyle name="千位分隔 2 2 3 2 2" xfId="156"/>
    <cellStyle name="千位分隔 2 2 4" xfId="148"/>
    <cellStyle name="千位分隔 2 3" xfId="120"/>
    <cellStyle name="千位分隔 2 4" xfId="123"/>
    <cellStyle name="千位分隔 2 4 2" xfId="140"/>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2" xfId="145"/>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3 7" xfId="153"/>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 name="千位分隔 9 3" xfId="141"/>
  </cellStyles>
  <dxfs count="4106">
    <dxf>
      <fill>
        <patternFill patternType="solid">
          <bgColor indexed="13"/>
        </patternFill>
      </fill>
    </dxf>
    <dxf>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rgb="FFFF0000"/>
      </font>
      <fill>
        <patternFill>
          <bgColor rgb="FFFFFF00"/>
        </patternFill>
      </fill>
    </dxf>
    <dxf>
      <font>
        <strike val="0"/>
        <u/>
        <color rgb="FF0000FF"/>
      </font>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externalLink" Target="externalLinks/externalLink12.xml"/><Relationship Id="rId63" Type="http://schemas.openxmlformats.org/officeDocument/2006/relationships/externalLink" Target="externalLinks/externalLink20.xml"/><Relationship Id="rId68" Type="http://schemas.openxmlformats.org/officeDocument/2006/relationships/externalLink" Target="externalLinks/externalLink25.xml"/><Relationship Id="rId76" Type="http://schemas.openxmlformats.org/officeDocument/2006/relationships/externalLink" Target="externalLinks/externalLink33.xml"/><Relationship Id="rId84" Type="http://schemas.openxmlformats.org/officeDocument/2006/relationships/externalLink" Target="externalLinks/externalLink41.xml"/><Relationship Id="rId89" Type="http://schemas.openxmlformats.org/officeDocument/2006/relationships/externalLink" Target="externalLinks/externalLink46.xml"/><Relationship Id="rId7" Type="http://schemas.openxmlformats.org/officeDocument/2006/relationships/worksheet" Target="worksheets/sheet7.xml"/><Relationship Id="rId71" Type="http://schemas.openxmlformats.org/officeDocument/2006/relationships/externalLink" Target="externalLinks/externalLink28.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externalLink" Target="externalLinks/externalLink10.xml"/><Relationship Id="rId58" Type="http://schemas.openxmlformats.org/officeDocument/2006/relationships/externalLink" Target="externalLinks/externalLink15.xml"/><Relationship Id="rId66" Type="http://schemas.openxmlformats.org/officeDocument/2006/relationships/externalLink" Target="externalLinks/externalLink23.xml"/><Relationship Id="rId74" Type="http://schemas.openxmlformats.org/officeDocument/2006/relationships/externalLink" Target="externalLinks/externalLink31.xml"/><Relationship Id="rId79" Type="http://schemas.openxmlformats.org/officeDocument/2006/relationships/externalLink" Target="externalLinks/externalLink36.xml"/><Relationship Id="rId87" Type="http://schemas.openxmlformats.org/officeDocument/2006/relationships/externalLink" Target="externalLinks/externalLink44.xml"/><Relationship Id="rId5" Type="http://schemas.openxmlformats.org/officeDocument/2006/relationships/worksheet" Target="worksheets/sheet5.xml"/><Relationship Id="rId61" Type="http://schemas.openxmlformats.org/officeDocument/2006/relationships/externalLink" Target="externalLinks/externalLink18.xml"/><Relationship Id="rId82" Type="http://schemas.openxmlformats.org/officeDocument/2006/relationships/externalLink" Target="externalLinks/externalLink39.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externalLink" Target="externalLinks/externalLink13.xml"/><Relationship Id="rId64" Type="http://schemas.openxmlformats.org/officeDocument/2006/relationships/externalLink" Target="externalLinks/externalLink21.xml"/><Relationship Id="rId69" Type="http://schemas.openxmlformats.org/officeDocument/2006/relationships/externalLink" Target="externalLinks/externalLink26.xml"/><Relationship Id="rId77" Type="http://schemas.openxmlformats.org/officeDocument/2006/relationships/externalLink" Target="externalLinks/externalLink34.xml"/><Relationship Id="rId8" Type="http://schemas.openxmlformats.org/officeDocument/2006/relationships/worksheet" Target="worksheets/sheet8.xml"/><Relationship Id="rId51" Type="http://schemas.openxmlformats.org/officeDocument/2006/relationships/externalLink" Target="externalLinks/externalLink8.xml"/><Relationship Id="rId72" Type="http://schemas.openxmlformats.org/officeDocument/2006/relationships/externalLink" Target="externalLinks/externalLink29.xml"/><Relationship Id="rId80" Type="http://schemas.openxmlformats.org/officeDocument/2006/relationships/externalLink" Target="externalLinks/externalLink37.xml"/><Relationship Id="rId85" Type="http://schemas.openxmlformats.org/officeDocument/2006/relationships/externalLink" Target="externalLinks/externalLink42.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externalLink" Target="externalLinks/externalLink16.xml"/><Relationship Id="rId67"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1.xml"/><Relationship Id="rId62" Type="http://schemas.openxmlformats.org/officeDocument/2006/relationships/externalLink" Target="externalLinks/externalLink19.xml"/><Relationship Id="rId70" Type="http://schemas.openxmlformats.org/officeDocument/2006/relationships/externalLink" Target="externalLinks/externalLink27.xml"/><Relationship Id="rId75" Type="http://schemas.openxmlformats.org/officeDocument/2006/relationships/externalLink" Target="externalLinks/externalLink32.xml"/><Relationship Id="rId83" Type="http://schemas.openxmlformats.org/officeDocument/2006/relationships/externalLink" Target="externalLinks/externalLink40.xml"/><Relationship Id="rId88" Type="http://schemas.openxmlformats.org/officeDocument/2006/relationships/externalLink" Target="externalLinks/externalLink45.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openxmlformats.org/officeDocument/2006/relationships/externalLink" Target="externalLinks/externalLink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externalLink" Target="externalLinks/externalLink9.xml"/><Relationship Id="rId60" Type="http://schemas.openxmlformats.org/officeDocument/2006/relationships/externalLink" Target="externalLinks/externalLink17.xml"/><Relationship Id="rId65" Type="http://schemas.openxmlformats.org/officeDocument/2006/relationships/externalLink" Target="externalLinks/externalLink22.xml"/><Relationship Id="rId73" Type="http://schemas.openxmlformats.org/officeDocument/2006/relationships/externalLink" Target="externalLinks/externalLink30.xml"/><Relationship Id="rId78" Type="http://schemas.openxmlformats.org/officeDocument/2006/relationships/externalLink" Target="externalLinks/externalLink35.xml"/><Relationship Id="rId81" Type="http://schemas.openxmlformats.org/officeDocument/2006/relationships/externalLink" Target="externalLinks/externalLink38.xml"/><Relationship Id="rId86" Type="http://schemas.openxmlformats.org/officeDocument/2006/relationships/externalLink" Target="externalLinks/externalLink43.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15,214,835.78</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246</xdr:row>
      <xdr:rowOff>142875</xdr:rowOff>
    </xdr:from>
    <xdr:to>
      <xdr:col>15</xdr:col>
      <xdr:colOff>962025</xdr:colOff>
      <xdr:row>263</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OY-780275\aws\Alks\2001\0112\01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udit_k6\Michelle\Epro\Epro%20Beixin%206-01%20W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OY-780275\aws\Alks\2000\2K12\Audit\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WINDOWS\TEMP\notesE1EF34\PBC\PBC0412\SEGC%20detailed%20PBC%20liab_041231%20(draft)%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arles-406278\ICBC\Documents%20and%20Settings\770515\Desktop\Leadschedule_Maste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22269;&#36164;&#22996;\PBC_1&#36164;&#20135;&#31867;&#31185;&#30446;_31122006_112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Users\pc\Desktop\&#29616;&#27969;&#32534;&#21046;\1001&#20010;&#21035;&#25253;&#34920;_2015_&#33487;&#24030;&#21551;&#36842;_V0.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20013;&#35774;&#38598;&#22242;-2018&#24180;&#24180;&#23457;\&#20013;&#35774;&#38598;&#22242;&#20010;&#25253;&#26032;\2&#20010;&#25253;&#35843;&#25972;&#31995;&#32479;-&#20013;&#35774;&#38598;&#22242;20181231\2&#20010;&#25253;&#35843;&#25972;&#31995;&#32479;-&#20013;&#35774;&#38598;&#22242;20181231\2&#20010;&#25253;&#35843;&#25972;&#31995;&#32479;-&#20013;&#35774;&#38598;&#22242;20181231\102&#20010;&#21035;&#25253;&#34920;_2018&#24180;&#24230;_&#27743;&#33487;&#32428;&#20449;_V0.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34945;&#24935;&#39336;\2016&#24180;&#24230;&#35774;&#35745;&#32929;&#20221;\&#25253;&#34920;&#35843;&#25972;&#31995;&#32479;\101&#20010;&#21035;&#25253;&#34920;_2016_&#20013;&#35774;&#38598;&#22242;_V0.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0&#25253;&#34920;&#21450;&#27010;&#20917;_31122006_1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y_cen_fs1\cen_disk\Documents%20and%20Settings\405612\Desktop\Air%20China\DTT\2001%20DTT%20ADJ.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Ben-780642\finance%20company\Documents%20and%20Settings\780000\My%20Documents\ICBC\section\my%20section\cl-2004-4\DOCUME~1\405861\LOCALS~1\Temp\audit\2000&#24180;&#19994;&#21153;&#35268;&#33539;\&#25552;&#20379;&#20989;\&#25991;&#26412;&#25552;&#20379;&#20989;\&#19978;&#24066;&#20844;&#21496;\EXCEL\&#23457;&#2668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OCUME~1\wbw1\LOCALS~1\Temp\Rar$DI01.953\Finance%20co_PBC_assets%20(rev).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project\SHE\2005%20Annual\Planning\PBC\Delivery\SEGC%20PBC%20assets_05123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JOY-780275\aws\Alks\9908EST\1999Bud\9999\Bud9\KS\99BUDMIS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463\My%20Documents\My%20Job\Huaxia\HX%20June%202002\Investment\Anno's%20workdone\PBC\To%20stephen\To%20stephen\9D4FF100"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harles-406278\ICBC\ICBC\Zhejiang\Salary%20Movemen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WINNT\temp\c.lotus.notes.data\SHE\PBC%20and%20former%20files\&#21512;&#24182;&#25253;&#34920;&#23578;&#38656;&#36164;&#26009;\&#21494;&#26000;&#30340;&#25991;&#20214;&#22841;\&#26032;&#24314;&#25991;&#20214;&#22841;\SYS\TEMP\MAN-2000-6&#20013;&#2599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Documents%20and%20Settings\fengye.gao\Desktop\SEGC_0612\PBC\1205\SEGC%20PBC%20Liability%20and%20P&amp;L_061231%20for%20Finance%20&amp;%20Lease%20Co..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Job\SHE\200412\2004BS%20combined%20notes\G\G_200412\Consol%20pack%20I_G%20(Power%20Station)_050128_%20v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WINNT\temp\Rar$DI23.3811\SEGC_detailed%20pbc_assets_Sept%202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2019&#24180;&#24230;&#23457;&#35745;\&#26684;&#23616;&#21830;&#23398;\&#20013;&#32858;\102_&#20010;&#21035;&#25253;&#34920;_2018&#24180;&#24230;_&#40718;&#36798;&#26032;&#25216;&#26415;_V0.1.xlsx"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Worksheet%20in%205441-H01%20Stock%20provision%20Movement"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WINNT\temp\CONSO%20PACKAGE\DF%20consol%20package-2004-07-01(tang)%20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JOANNA-780174\aws\Documents%20and%20Settings\780000\Desktop\Rich%20Product\2002\U%20Section\RP_02_Workingpaper_E.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My%20Documents\Projects\SEGC3\21\SEGC%20consol%20package_040930%20(update).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ris-770538\Consol%20ICBC\AFS%20Notes\Shandong\clear%20Q\DOCUME~1\405861\LOCALS~1\Temp\audit\2000&#24180;&#19994;&#21153;&#35268;&#33539;\&#25552;&#20379;&#20989;\&#25991;&#26412;&#25552;&#20379;&#20989;\&#19978;&#24066;&#20844;&#21496;\EXCEL\&#23457;&#26680;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WINNT\temp\SEGC_detailed%20pbc_liab.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23457;&#35745;\2009&#23457;&#35745;\&#40857;&#28330;&#36724;&#25215;\&#20010;&#21035;&#25253;&#34920;_2009_07&#2925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23457;&#35745;\2011&#23457;&#35745;\&#32858;&#38534;&#20013;&#26399;\&#23457;&#35745;&#25253;&#21578;\2&#20010;&#21035;&#25253;&#34920;_2011630_&#32858;&#38534;&#31185;&#25216;&#26412;&#37096;72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31526;&#30427;&#20016;\2002&#24180;3&#23395;&#24230;\DOCUME~1\405861\LOCALS~1\Temp\audit\2000&#24180;&#19994;&#21153;&#35268;&#33539;\&#25552;&#20379;&#20989;\&#25991;&#26412;&#25552;&#20379;&#20989;\&#19978;&#24066;&#20844;&#21496;\EXCEL\&#23457;&#26680;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Jingle-780365\20041231\Documents%20and%20Settings\780000\Desktop\SHE\20041231\consol%20workingpaer\question\Consol_VD.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WINDOWS\TEMP\notesE1EF34\EY%20work\SHE1\20051231\&#19978;&#28023;&#30005;&#27668;&#38598;&#22242;&#32929;&#20221;&#26377;&#38480;&#20844;&#21496;&#25237;&#36164;&#28165;&#21333;&#65293;10.3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2&#36127;&#20538;&#31867;&#21450;&#26435;&#30410;&#31867;&#31185;&#30446;_31122006_101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WINNT\temp\Rar$DI00.844\SHE\Finance%20Company\Finalized%20Section\Sections\U%20others\0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Foxmail_Temp\IPO&#25253;&#34920;_&#32858;&#38534;&#24037;&#31243;_070906&#26032;(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WINNT\Temp\PBC-liability.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WINDOWS\TEMP\notesE1EF34\SEGC%20PBC%20Liability%20and%20P&amp;L_051231%20for%20Finance%20Co..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23457;&#35745;\2009&#23457;&#35745;\&#21335;&#20140;&#32858;&#38534;\&#24180;&#24230;&#23457;&#35745;\&#21335;&#20140;&#32858;&#38534;_2010_&#33609;&#31295;&#2999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WINNT\temp\c.lotus.notes.data\&#23453;&#38050;H&#32929;\&#25151;&#23627;\&#19968;,&#20108;&#26399;&#26368;&#32456;&#29256;\&#35774;&#22791;&#37096;&#25151;&#23627;&#24314;&#31569;&#29289;&#28165;&#26597;&#35780;&#20272;&#26126;&#32454;&#34920;(&#25552;&#20132;&#29256;&#65289;.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531\Desktop\ICBC%20ZHJ\ICBC%20Hangzhou-lea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WINNT\temp\SEGC%20consol%20package_04093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WINDOWS\TEMP\notesE1EF34\PBC%20&amp;%20Pack\SEGC%20detailed%20PBC%20assets_05063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SHE\PBC\30092005\PBC_1&#36164;&#20135;&#31867;&#31185;&#30446;_30092005.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2019&#24180;&#24230;&#23457;&#35745;\&#21326;&#36719;930&#23457;&#38405;\2018&#24180;&#25253;&#21578;&#12289;&#25253;&#34920;&#21450;&#24213;&#31295;\2018&#24180;&#26368;&#32456;&#29256;&#25253;&#34920;\105&#20010;&#21035;&#25253;&#34920;_2018&#24180;&#24230;_&#23665;&#19996;&#22825;&#23433;_V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s>
    <sheetDataSet>
      <sheetData sheetId="0"/>
      <sheetData sheetId="1">
        <row r="23">
          <cell r="G23">
            <v>-611060.56000000006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 Ck"/>
      <sheetName val="A4-1 HK VS PRC PL"/>
      <sheetName val="A4-1-1 HK Vs PRC BS"/>
      <sheetName val="A3 &amp; U 12-00"/>
      <sheetName val="A5"/>
      <sheetName val="A5-1"/>
      <sheetName val="A5-2"/>
      <sheetName val="A6-2 RPT"/>
      <sheetName val="A8"/>
      <sheetName val="C"/>
      <sheetName val="E"/>
      <sheetName val="E1"/>
      <sheetName val="I"/>
      <sheetName val="O - Tax"/>
      <sheetName val="O1 - VAT"/>
      <sheetName val="O1-1 VAT entries"/>
      <sheetName val="P2 - Search"/>
      <sheetName val="U1"/>
      <sheetName val="U2 -  Expenses"/>
      <sheetName val="U2-1 Salaries"/>
      <sheetName val="U2-2 Rent"/>
      <sheetName val="Exp diff"/>
      <sheetName val="O1 - VAT (2)"/>
      <sheetName val="Sheet15"/>
      <sheetName val="Sheet16"/>
      <sheetName val="Sheet1"/>
      <sheetName val="Sheet2"/>
      <sheetName val="Sheet3"/>
      <sheetName val="Link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OPC"/>
      <sheetName val="D4RP"/>
      <sheetName val="STK"/>
      <sheetName val="STK1"/>
      <sheetName val="A1"/>
      <sheetName val="D2"/>
      <sheetName val="D3"/>
      <sheetName val="Investment"/>
      <sheetName val="D5"/>
      <sheetName val="D9"/>
      <sheetName val="S1"/>
      <sheetName val="P1 Phase"/>
      <sheetName val="P1 Phase (2)"/>
      <sheetName val="P1"/>
      <sheetName val="P1A"/>
      <sheetName val="P2"/>
      <sheetName val="P2A"/>
      <sheetName val="P3"/>
      <sheetName val="R76"/>
      <sheetName val="R85"/>
      <sheetName val="R06G"/>
      <sheetName val="R83"/>
      <sheetName val="R78-OLD"/>
      <sheetName val="R79"/>
      <sheetName val="BS"/>
      <sheetName val="PL"/>
      <sheetName val="P7QS"/>
      <sheetName val="P1L"/>
      <sheetName val="P1AL"/>
      <sheetName val="P2L"/>
      <sheetName val="P2AL"/>
      <sheetName val="P3L"/>
      <sheetName val="D3SPEC"/>
      <sheetName val="TB Link"/>
      <sheetName val="SCTB"/>
    </sheetNames>
    <sheetDataSet>
      <sheetData sheetId="0"/>
      <sheetData sheetId="1">
        <row r="4">
          <cell r="G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预收货款明细"/>
      <sheetName val="一年内到期的长期负债"/>
      <sheetName val="长期应付款"/>
      <sheetName val="长期借款"/>
      <sheetName val="短期借款"/>
      <sheetName val="应付票据"/>
      <sheetName val="增值税"/>
      <sheetName val="应付帐款"/>
      <sheetName val="预计负债 "/>
      <sheetName val="应付股利"/>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销售成本明细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或有负债"/>
      <sheetName val="关联交易明细表"/>
      <sheetName val="盈余公积"/>
      <sheetName val="股本"/>
      <sheetName val="资本公积"/>
      <sheetName val="十大客户"/>
      <sheetName val="十大供应商"/>
      <sheetName val="五大最高薪金员工"/>
      <sheetName val="上海电气集团股份有限公司合并范围内公司清单"/>
      <sheetName val="上报资产负债表"/>
      <sheetName val="上报损益表"/>
      <sheetName val="现金流量表（月报）"/>
      <sheetName val="补充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乐清存放同业"/>
      <sheetName val="Issue"/>
      <sheetName val="A300"/>
      <sheetName val="A301"/>
      <sheetName val="A302 "/>
      <sheetName val="A400"/>
      <sheetName val="A410"/>
      <sheetName val="A420"/>
      <sheetName val="A430"/>
      <sheetName val="温州01-BS"/>
      <sheetName val="温州01-PL"/>
      <sheetName val="温州00-BS"/>
      <sheetName val="温州00-PL"/>
      <sheetName val="A500"/>
      <sheetName val="A501"/>
      <sheetName val="A502"/>
      <sheetName val="A1000"/>
      <sheetName val="B100"/>
      <sheetName val="C100"/>
      <sheetName val="C200"/>
      <sheetName val="C300"/>
      <sheetName val="C400"/>
      <sheetName val="OS"/>
      <sheetName val="E"/>
      <sheetName val="E10"/>
      <sheetName val="E100"/>
      <sheetName val="E200"/>
      <sheetName val="E300"/>
      <sheetName val="E400"/>
      <sheetName val="E500"/>
      <sheetName val="E600"/>
      <sheetName val="E700"/>
      <sheetName val="E800"/>
      <sheetName val="E900"/>
      <sheetName val="E1000"/>
      <sheetName val="G"/>
      <sheetName val="G100"/>
      <sheetName val="G200"/>
      <sheetName val="G300"/>
      <sheetName val="H"/>
      <sheetName val="H100"/>
      <sheetName val="H200"/>
      <sheetName val="J"/>
      <sheetName val="J100"/>
      <sheetName val="J110"/>
      <sheetName val="J200"/>
      <sheetName val="J300"/>
      <sheetName val="K"/>
      <sheetName val="K100"/>
      <sheetName val="K200"/>
      <sheetName val="K300 "/>
      <sheetName val="L"/>
      <sheetName val="L100"/>
      <sheetName val="L200"/>
      <sheetName val="L210"/>
      <sheetName val="N "/>
      <sheetName val="乐清同业存放"/>
      <sheetName val="N20"/>
      <sheetName val="N100 "/>
      <sheetName val="N200 "/>
      <sheetName val="N300 "/>
      <sheetName val="N500 "/>
      <sheetName val="N600"/>
      <sheetName val="N900 "/>
      <sheetName val="N1000 "/>
      <sheetName val="N1100"/>
      <sheetName val="N1200  "/>
      <sheetName val="O"/>
      <sheetName val="O100"/>
      <sheetName val="O110"/>
      <sheetName val="O120"/>
      <sheetName val="O130"/>
      <sheetName val="P"/>
      <sheetName val="P100"/>
      <sheetName val="P110"/>
      <sheetName val="P200"/>
      <sheetName val="P300"/>
      <sheetName val="P900"/>
      <sheetName val="Q"/>
      <sheetName val="Q100"/>
      <sheetName val="Q110"/>
      <sheetName val="Q200"/>
      <sheetName val="Q210"/>
      <sheetName val="温州"/>
      <sheetName val="Q300"/>
      <sheetName val="Q400"/>
      <sheetName val="Q500"/>
      <sheetName val="Q600"/>
      <sheetName val="Q700"/>
      <sheetName val="S"/>
      <sheetName val="S100"/>
      <sheetName val="S200"/>
      <sheetName val="T"/>
      <sheetName val="T100"/>
      <sheetName val="T200"/>
      <sheetName val="T300"/>
      <sheetName val="U.detail"/>
      <sheetName val="U10"/>
      <sheetName val="u11"/>
      <sheetName val="U100"/>
      <sheetName val="U200"/>
      <sheetName val="U210"/>
      <sheetName val="U300"/>
      <sheetName val="U400"/>
      <sheetName val="U500"/>
      <sheetName val="U600"/>
      <sheetName val="U700"/>
      <sheetName val="U800"/>
      <sheetName val="U900"/>
      <sheetName val="U1000"/>
      <sheetName val="U1100"/>
      <sheetName val="U1200"/>
      <sheetName val="U1210"/>
      <sheetName val="U1300"/>
      <sheetName val="U1400"/>
      <sheetName val="operate lease"/>
      <sheetName val="V"/>
      <sheetName val="V100"/>
      <sheetName val="V200"/>
      <sheetName val="V300"/>
      <sheetName val="OS Matters"/>
      <sheetName val="review"/>
      <sheetName val="Standard audit marks"/>
      <sheetName val="H100&lt;notused&gt;"/>
      <sheetName val="H10(notused)"/>
      <sheetName val="H300&lt;notused&gt;"/>
      <sheetName val="非应计贷款-2003"/>
      <sheetName val="非应计贷款-2002"/>
      <sheetName val="目录"/>
      <sheetName val="汇率"/>
      <sheetName val="2004年业务状况表"/>
      <sheetName val="2003年业务状况表"/>
      <sheetName val="2002年业务状况表"/>
      <sheetName val="表2汇总"/>
      <sheetName val="表21-1贷款损失准备"/>
      <sheetName val="表21-2核销贷款明细"/>
      <sheetName val="表21-3收回以前年度已核销贷款明细"/>
      <sheetName val="表22-1固定资产及累计折旧2004 "/>
      <sheetName val="表22-4房屋附属设备清单评估明细"/>
      <sheetName val="表22-5闲置房屋出租情况统计表"/>
      <sheetName val="表23-固定资产清理"/>
      <sheetName val="表24-1待处理资产损溢"/>
      <sheetName val="表24-2待处理流动资产净损失"/>
      <sheetName val="表25-1 在建工程2004"/>
      <sheetName val="表26-1无形资产2004"/>
      <sheetName val="表26-2无形资产（土地使用权）2004"/>
      <sheetName val="表26-7无形资产-其他无形资产评估明细"/>
      <sheetName val="表27-1递延资产(长期待摊费用)2004"/>
      <sheetName val="表27-4递延资产(长期待摊费用)评估明细"/>
      <sheetName val="表28-1抵债资产明细表2004"/>
      <sheetName val="表29-1其他长期资产"/>
      <sheetName val="表29-2待清理接收资产"/>
      <sheetName val="表30-1向中央银行借款2004 "/>
      <sheetName val="表31-1A存款期限分析"/>
      <sheetName val="表31-1B短期存款"/>
      <sheetName val="表31-1C短期储蓄存款"/>
      <sheetName val="表31-1D长期存款"/>
      <sheetName val="表31-1E长期储蓄存款"/>
      <sheetName val="表31-1F财政性存款"/>
      <sheetName val="表31-2A应解汇款"/>
      <sheetName val="表31-2B应解汇款评估明细"/>
      <sheetName val="表31-3A汇出汇款"/>
      <sheetName val="表31-3B汇出汇款评估明细"/>
      <sheetName val="表32-预提费用 "/>
      <sheetName val="表33-同业存放款项"/>
      <sheetName val="表34-同业及金融性公司拆入"/>
      <sheetName val="表35-1保证金"/>
      <sheetName val="表35-2存入短期保证金明细 "/>
      <sheetName val="表35-3存入长期保证金明细"/>
      <sheetName val="#REF"/>
      <sheetName val="2005年12月31日业务状况表"/>
      <sheetName val="表22-1A 固定资产及累计折旧 05年12月31日"/>
      <sheetName val="表22-1B 固定资产及累计折旧 05年10月31日"/>
      <sheetName val="表22-2固定资产增加明细表"/>
      <sheetName val="表22-3固定资产减少明细表"/>
      <sheetName val="表22-4闲置房屋出租情况统计表"/>
      <sheetName val="表22-5 银行房产清单及使用期限"/>
      <sheetName val="表23-1固定资产清理"/>
      <sheetName val="表23-2 实体清理清单（98年6月至05年6月30日）"/>
      <sheetName val="表23-3 实体清理清单（05年7月1日至12月31日）"/>
      <sheetName val="表23-4 仍存在实体清单（截至05年12月31日）"/>
      <sheetName val="表23-5 账外经济实体清单"/>
      <sheetName val="表24待处理资产损溢"/>
      <sheetName val="表25 在建工程"/>
      <sheetName val="表26-1无形资产"/>
      <sheetName val="表26-2无形资产（土地使用权）"/>
      <sheetName val="表27 递延资产（长期待摊费用）"/>
      <sheetName val="表28 抵债资产明细表"/>
      <sheetName val="表30 向中央银行借款"/>
      <sheetName val="表31-1B存款明细表"/>
      <sheetName val="表31-2应解汇款"/>
      <sheetName val="表31-3汇出汇款"/>
      <sheetName val="表32 预提费用 "/>
      <sheetName val="表33 同业存放款项"/>
      <sheetName val="表34 同业及金融性公司拆入"/>
      <sheetName val="表35 保证金"/>
      <sheetName val="#REF!"/>
      <sheetName val="ÀÖÇå´æ·ÅÍ¬Òµ"/>
      <sheetName val="ÎÂÖÝ01-BS"/>
      <sheetName val="ÎÂÖÝ01-PL"/>
      <sheetName val="ÎÂÖÝ00-BS"/>
      <sheetName val="ÎÂÖÝ00-PL"/>
      <sheetName val="ÀÖÇåÍ¬Òµ´æ·Å"/>
      <sheetName val="ÎÂÖÝ"/>
      <sheetName val="·ÇÓ¦¼Æ´û¿î-2003"/>
      <sheetName val="·ÇÓ¦¼Æ´û¿î-2002"/>
      <sheetName val="Ä¿Â¼"/>
      <sheetName val="»ãÂÊ"/>
      <sheetName val="2004ÄêÒµÎñ×´¿ö±í"/>
      <sheetName val="2003ÄêÒµÎñ×´¿ö±í"/>
      <sheetName val="2002ÄêÒµÎñ×´¿ö±í"/>
      <sheetName val="±í2»ã×Ü"/>
      <sheetName val="±í21-1´û¿îËðÊ§×¼±¸"/>
      <sheetName val="±í21-2ºËÏú´û¿îÃ÷Ï¸"/>
      <sheetName val="í21-3ÊÕ»ØÒÔÇ°Äê¶ÈÒÑºËÏú´û¿îÃ÷Ï¸"/>
      <sheetName val="±í22-1¹Ì¶¨×Ê²ú¼°ÀÛ¼ÆÕÛ¾É2004 "/>
      <sheetName val="±í22-4·¿ÎÝ¸½ÊôÉè±¸Çåµ¥ÆÀ¹ÀÃ÷Ï¸"/>
      <sheetName val="±í22-5ÏÐÖÃ·¿ÎÝ³ö×âÇé¿öÍ³¼Æ±í"/>
      <sheetName val="±í23-¹Ì¶¨×Ê²úÇåÀí"/>
      <sheetName val="±í24-1´ý´¦Àí×Ê²úËðÒç"/>
      <sheetName val="±í24-2´ý´¦ÀíÁ÷¶¯×Ê²ú¾»ËðÊ§"/>
      <sheetName val="±í25-1 ÔÚ½¨¹¤³Ì2004"/>
      <sheetName val="±í26-1ÎÞÐÎ×Ê²ú2004"/>
      <sheetName val="í26-2ÎÞÐÎ×Ê²ú£¨ÍÁµØÊ¹ÓÃÈ¨£©2004"/>
      <sheetName val="-7ÎÞÐÎ×Ê²ú-ÆäËûÎÞÐÎ×Ê²úÆÀ¹ÀÃ÷Ï¸"/>
      <sheetName val="í27-1µÝÑÓ×Ê²ú(³¤ÆÚ´ýÌ¯·ÑÓÃ)2004"/>
      <sheetName val="4µÝÑÓ×Ê²ú(³¤ÆÚ´ýÌ¯·ÑÓÃ)ÆÀ¹ÀÃ÷Ï¸"/>
      <sheetName val="±í28-1µÖÕ®×Ê²úÃ÷Ï¸±í2004"/>
      <sheetName val="±í29-1ÆäËû³¤ÆÚ×Ê²ú"/>
      <sheetName val="±í29-2´ýÇåÀí½ÓÊÕ×Ê²ú"/>
      <sheetName val="±í30-1ÏòÖÐÑëÒøÐÐ½è¿î2004 "/>
      <sheetName val="±í31-1A´æ¿îÆÚÏÞ·ÖÎö"/>
      <sheetName val="±í31-1B¶ÌÆÚ´æ¿î"/>
      <sheetName val="±í31-1C¶ÌÆÚ´¢Ðî´æ¿î"/>
      <sheetName val="±í31-1D³¤ÆÚ´æ¿î"/>
      <sheetName val="±í31-1E³¤ÆÚ´¢Ðî´æ¿î"/>
      <sheetName val="±í31-1F²ÆÕþÐÔ´æ¿î"/>
      <sheetName val="±í31-2AÓ¦½â»ã¿î"/>
      <sheetName val="±í31-2BÓ¦½â»ã¿îÆÀ¹ÀÃ÷Ï¸"/>
      <sheetName val="±í31-3A»ã³ö»ã¿î"/>
      <sheetName val="±í31-3B»ã³ö»ã¿îÆÀ¹ÀÃ÷Ï¸"/>
      <sheetName val="±í32-Ô¤Ìá·ÑÓÃ "/>
      <sheetName val="±í33-Í¬Òµ´æ·Å¿îÏî"/>
      <sheetName val="±í34-Í¬Òµ¼°½ðÈÚÐÔ¹«Ë¾²ðÈë"/>
      <sheetName val="±í35-1±£Ö¤½ð"/>
      <sheetName val="±í35-2´æÈë¶ÌÆÚ±£Ö¤½ðÃ÷Ï¸ "/>
      <sheetName val="±í35-3´æÈë³¤ÆÚ±£Ö¤½ðÃ÷Ï¸"/>
      <sheetName val="2005Äê12ÔÂ31ÈÕÒµÎñ×´¿ö±í"/>
      <sheetName val="¹Ì¶¨×Ê²ú¼°ÀÛ¼ÆÕÛ¾É 05Äê12ÔÂ31ÈÕ"/>
      <sheetName val="¹Ì¶¨×Ê²ú¼°ÀÛ¼ÆÕÛ¾É 05Äê10ÔÂ31ÈÕ"/>
      <sheetName val="±í22-2¹Ì¶¨×Ê²úÔö¼ÓÃ÷Ï¸±í"/>
      <sheetName val="±í22-3¹Ì¶¨×Ê²ú¼õÉÙÃ÷Ï¸±í"/>
      <sheetName val="±í22-4ÏÐÖÃ·¿ÎÝ³ö×âÇé¿öÍ³¼Æ±í"/>
      <sheetName val="±í22-5 ÒøÐÐ·¿²úÇåµ¥¼°Ê¹ÓÃÆÚÏÞ"/>
      <sheetName val="±í23-1¹Ì¶¨×Ê²úÇåÀí"/>
      <sheetName val="åÀíÇåµ¥£¨98Äê6ÔÂÖÁ05Äê6ÔÂ30ÈÕ£©"/>
      <sheetName val="åÀíÇåµ¥£¨05Äê7ÔÂ1ÈÕÖÁ12ÔÂ31ÈÕ£©"/>
      <sheetName val="æÔÚÊµÌåÇåµ¥£¨½ØÖÁ05Äê12ÔÂ31ÈÕ£©"/>
      <sheetName val="±í23-5 ÕËÍâ¾­¼ÃÊµÌåÇåµ¥"/>
      <sheetName val="±í24´ý´¦Àí×Ê²úËðÒç"/>
      <sheetName val="±í25 ÔÚ½¨¹¤³Ì"/>
      <sheetName val="±í26-1ÎÞÐÎ×Ê²ú"/>
      <sheetName val="±í26-2ÎÞÐÎ×Ê²ú£¨ÍÁµØÊ¹ÓÃÈ¨£©"/>
      <sheetName val="±í27 µÝÑÓ×Ê²ú£¨³¤ÆÚ´ýÌ¯·ÑÓÃ£©"/>
      <sheetName val="±í28 µÖÕ®×Ê²úÃ÷Ï¸±í"/>
      <sheetName val="±í30 ÏòÖÐÑëÒøÐÐ½è¿î"/>
      <sheetName val="±í31-1B´æ¿îÃ÷Ï¸±í"/>
      <sheetName val="±í31-2Ó¦½â»ã¿î"/>
      <sheetName val="±í31-3»ã³ö»ã¿î"/>
      <sheetName val="±í32 Ô¤Ìá·ÑÓÃ "/>
      <sheetName val="±í33 Í¬Òµ´æ·Å¿îÏî"/>
      <sheetName val="±í34 Í¬Òµ¼°½ðÈÚÐÔ¹«Ë¾²ðÈë"/>
      <sheetName val="±í35 ±£Ö¤½ð"/>
      <sheetName val="±í22-4·¿ÎÝ¸½ÊôÉè±¸Çåµ¥ÆÀ¹ÀÃ÷Ë¸"/>
      <sheetName val="±í22-5ÏÐÖÃ·¿ÎÝ³ö×âÇé¿öÍ³¼Æ±é"/>
      <sheetName val="±í24-1´ý°¦Àí×Ê²úËðÒç"/>
      <sheetName val="±í24-2´ý´¦ÀíÁ÷¶¯×È²ú¾»ËðÊ§"/>
      <sheetName val="í26-2ÎÞÐÎÃÊ²ú£¨ÍÁµØÊ¹ÓÃÈ¨£©2004"/>
      <sheetName val="-7ÎÞÐÎ×J²ú-ÆäËûÎÞÐÎ×Ê²úÆÀ¹ÀÃ÷Ï¸"/>
      <sheetName val="í27-1¡ÝÑÓ×Ê²ú(³¤ÆÚ´ýÌ¯·ÑÓÃ)2004"/>
      <sheetName val="4µÝQÓ×Ê²ú(³¤ÆÚ´ýÌ¯·ÑÓÃ)ÆÀ¹ÀÃ÷Ï¸"/>
      <sheetName val="±é28-1µÖÕ®×Ê²úÃ÷Ï¸±í2004"/>
      <sheetName val="±í29-1DäËû³¤ÆÚ×Ê²ú"/>
      <sheetName val="±í31-1B¶ÈÆÚ´æ¿î"/>
      <sheetName val="±í31-1E³¤ÆÚ´¢Ðh´æ¿î"/>
      <sheetName val="±í31-3@»ã³ö»ã¿îÆÀ¹ÀÃ÷Ï¸"/>
      <sheetName val="±í32-Ô¤Ìá·ÑÓÁ "/>
      <sheetName val="±í34-Í¬Ðµ¼°½ðÈÚÐÔ¹«Ë¾²ðÈë"/>
      <sheetName val="1í35-3´æÈë³¤ÆÚ±£Ö¤½ðÃ÷Ï¸"/>
      <sheetName val="¹Ì¶¨×Ê²ú,°ÀÛ¼ÆÕÛ¾É 05Äê10ÔÂ31ÈÕ"/>
      <sheetName val="±í22-3¹Ì¶¨×J²ú¼õÉÙÃ÷Ï¸±í"/>
      <sheetName val="±í22-4ÏÐÖÃ·¿ÎÝ³öSâÇé¿öÍ³¼Æ±í"/>
      <sheetName val="±í23-1¹Ì¶¨×Ê²úÇåÀm"/>
      <sheetName val="åÀíÇåµ¥£¨98Äê6ÔÂÖÁ05Äê6ÔÂ30ÈA£©"/>
      <sheetName val="±í25 ÔÚ=¨¹¤³Ì"/>
      <sheetName val="±í26-2NÞÐÎ×Ê²ú£¨ÍÁµØÊ¹ÓÃÈ¨£©"/>
      <sheetName val="±í27 µÝQÓ×Ê²ú£¨³¤ÆÚ´ýÌ¯·ÑÓÃ£©"/>
      <sheetName val="±í28 µÖÑ®×Ê²úÃ÷Ï¸±í"/>
      <sheetName val="±í30 ÏòÖÐÑëÒøÐÐ½è?î"/>
      <sheetName val="±í31-2Ó&quot;½â»ã¿î"/>
      <sheetName val="表26-7无形资产-其他无形资캧譄估明细"/>
      <sheetName val="表2䀷-1递延资产(长期待摊费用)2004"/>
      <sheetName val="表27-4递延资产䀨锿期待摊费用)评估明细"/>
      <sheetName val="表28ိ1抵债资产明细表2004"/>
      <sheetName val="表28ိ1抵债资产明细表2԰_x0000__x0000_"/>
      <sheetName val="Sheet1"/>
      <sheetName val="source"/>
      <sheetName val="B"/>
      <sheetName val="表28ိ1抵债资产明细表20_x0000_Ԁ"/>
      <sheetName val="master"/>
      <sheetName val="关联交易-存款"/>
      <sheetName val="17应付票据明细表"/>
      <sheetName val="A3"/>
      <sheetName val="DTCT"/>
      <sheetName val="DATA"/>
      <sheetName val="上报资产负债表"/>
      <sheetName val="其他业务利润明细表"/>
      <sheetName val="投资收益明细表"/>
      <sheetName val="未交税金明细表"/>
      <sheetName val="生产成本"/>
      <sheetName val="WTB"/>
      <sheetName val="A302_"/>
      <sheetName val="K300_"/>
      <sheetName val="N_"/>
      <sheetName val="N100_"/>
      <sheetName val="N200_"/>
      <sheetName val="N300_"/>
      <sheetName val="N500_"/>
      <sheetName val="N900_"/>
      <sheetName val="N1000_"/>
      <sheetName val="N1200__"/>
      <sheetName val="U_detail"/>
      <sheetName val="operate_lease"/>
      <sheetName val="OS_Matters"/>
      <sheetName val="Standard_audit_marks"/>
      <sheetName val="表22-1固定资产及累计折旧2004_"/>
      <sheetName val="表25-1_在建工程2004"/>
      <sheetName val="表30-1向中央银行借款2004_"/>
      <sheetName val="表32-预提费用_"/>
      <sheetName val="表35-2存入短期保证金明细_"/>
      <sheetName val="表22-1A_固定资产及累计折旧_05年12月31日"/>
      <sheetName val="表22-1B_固定资产及累计折旧_05年10月31日"/>
      <sheetName val="表22-5_银行房产清单及使用期限"/>
      <sheetName val="表23-2_实体清理清单（98年6月至05年6月30日）"/>
      <sheetName val="表23-3_实体清理清单（05年7月1日至12月31日）"/>
      <sheetName val="表23-4_仍存在实体清单（截至05年12月31日）"/>
      <sheetName val="表23-5_账外经济实体清单"/>
      <sheetName val="表25_在建工程"/>
      <sheetName val="表27_递延资产（长期待摊费用）"/>
      <sheetName val="表28_抵债资产明细表"/>
      <sheetName val="表30_向中央银行借款"/>
      <sheetName val="表32_预提费用_"/>
      <sheetName val="表33_同业存放款项"/>
      <sheetName val="表34_同业及金融性公司拆入"/>
      <sheetName val="表35_保证金"/>
      <sheetName val="±í22-1¹Ì¶¨×Ê²ú¼°ÀÛ¼ÆÕÛ¾É2004_"/>
      <sheetName val="±í25-1_ÔÚ½¨¹¤³Ì2004"/>
      <sheetName val="±í30-1ÏòÖÐÑëÒøÐÐ½è¿î2004_"/>
      <sheetName val="±í32-Ô¤Ìá·ÑÓÃ_"/>
      <sheetName val="±í35-2´æÈë¶ÌÆÚ±£Ö¤½ðÃ÷Ï¸_"/>
      <sheetName val="¹Ì¶¨×Ê²ú¼°ÀÛ¼ÆÕÛ¾É_05Äê12ÔÂ31ÈÕ"/>
      <sheetName val="¹Ì¶¨×Ê²ú¼°ÀÛ¼ÆÕÛ¾É_05Äê10ÔÂ31ÈÕ"/>
      <sheetName val="±í22-5_ÒøÐÐ·¿²úÇåµ¥¼°Ê¹ÓÃÆÚÏÞ"/>
      <sheetName val="±í23-5_ÕËÍâ¾­¼ÃÊµÌåÇåµ¥"/>
      <sheetName val="±í25_ÔÚ½¨¹¤³Ì"/>
      <sheetName val="±í27_µÝÑÓ×Ê²ú£¨³¤ÆÚ´ýÌ¯·ÑÓÃ£©"/>
      <sheetName val="±í28_µÖÕ®×Ê²úÃ÷Ï¸±í"/>
      <sheetName val="±í30_ÏòÖÐÑëÒøÐÐ½è¿î"/>
      <sheetName val="±í32_Ô¤Ìá·ÑÓÃ_"/>
      <sheetName val="±í33_Í¬Òµ´æ·Å¿îÏî"/>
      <sheetName val="±í34_Í¬Òµ¼°½ðÈÚÐÔ¹«Ë¾²ðÈë"/>
      <sheetName val="±í35_±£Ö¤½ð"/>
      <sheetName val="±í32-Ô¤Ìá·ÑÓÁ_"/>
      <sheetName val="¹Ì¶¨×Ê²ú,°ÀÛ¼ÆÕÛ¾É_05Äê10ÔÂ31ÈÕ"/>
      <sheetName val="±í25_ÔÚ=¨¹¤³Ì"/>
      <sheetName val="±í27_µÝQÓ×Ê²ú£¨³¤ÆÚ´ýÌ¯·ÑÓÃ£©"/>
      <sheetName val="±í28_µÖÑ®×Ê²úÃ÷Ï¸±í"/>
      <sheetName val="±í30_ÏòÖÐÑëÒøÐÐ½è?î"/>
      <sheetName val="M-5C"/>
      <sheetName val="企业表一"/>
      <sheetName val="M-5A"/>
      <sheetName val="12月到货 "/>
      <sheetName val="Item Type list"/>
      <sheetName val="Item Type"/>
      <sheetName val="D4RP"/>
      <sheetName val="LinkData"/>
      <sheetName val="E1020"/>
      <sheetName val="表28ိ1抵债资产明细表2԰??"/>
      <sheetName val="表28ိ1抵债资产明细表20?Ԁ"/>
      <sheetName val="应收票据(关联方)(5)"/>
      <sheetName val="accode"/>
      <sheetName val="待摊费用"/>
      <sheetName val="detail"/>
      <sheetName val="Ex_Rate"/>
      <sheetName val="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C100-银行存款"/>
      <sheetName val="C100-其他货币资金"/>
      <sheetName val="D100-短期投资"/>
      <sheetName val="D110-委托贷款"/>
      <sheetName val="E100-应收票据1"/>
      <sheetName val="E100-应收票据2"/>
      <sheetName val="E200-应收股利"/>
      <sheetName val="E300-应收账款"/>
      <sheetName val="E310-应收账款(质保金)－1"/>
      <sheetName val="E310-应收账款(质保金)－2"/>
      <sheetName val="E320-应收账款期后回款"/>
      <sheetName val="F100-存货"/>
      <sheetName val="F110-期后发货"/>
      <sheetName val="F120-内部采购存货 "/>
      <sheetName val="F130-已开票未发货"/>
      <sheetName val="F140-已发货未开票"/>
      <sheetName val="F150-暂估入库"/>
      <sheetName val="G100-其它应收帐款"/>
      <sheetName val="G200-预付账款"/>
      <sheetName val="G300-待摊费用"/>
      <sheetName val="G400-应收补贴款及应收出口退税 "/>
      <sheetName val="H100-长期投资汇总"/>
      <sheetName val="H200-长期投资-对联营公司"/>
      <sheetName val="H300-长期投资-对合营公司"/>
      <sheetName val="H400-长期投资-对子公司"/>
      <sheetName val="H600-长期投资-股票投资或其它股权投资"/>
      <sheetName val="H800-长期投资-债券投资"/>
      <sheetName val="H900-长期投资-其它债权投资"/>
      <sheetName val="H910-长期投资-长期委托贷款"/>
      <sheetName val="K100-固定资产 "/>
      <sheetName val="K101-房屋及建筑物"/>
      <sheetName val="K102-机器设备 (通用设备)"/>
      <sheetName val="K103-机器设备(专用设备)"/>
      <sheetName val="K104-运输设备"/>
      <sheetName val="K105-办公设备"/>
      <sheetName val="K106-租入固定资产改良支出"/>
      <sheetName val="K107-固定资产增加"/>
      <sheetName val="K108-固定资产减少"/>
      <sheetName val="K109-待处理固定资产"/>
      <sheetName val="K200-在建工程"/>
      <sheetName val="K111-瑕疵房屋建筑物汇总"/>
      <sheetName val="K121-土地使用权汇总"/>
      <sheetName val="L100-无形资产"/>
      <sheetName val="L200-长期待摊费用"/>
      <sheetName val="L300-其它长期资产"/>
      <sheetName val="F1"/>
    </sheetNames>
    <sheetDataSet>
      <sheetData sheetId="0">
        <row r="3">
          <cell r="L3" t="str">
            <v>设备维护费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1251重要性计算表"/>
      <sheetName val="CF底稿"/>
      <sheetName val="Lead"/>
      <sheetName val="noteChecks"/>
      <sheetName val="Checks"/>
      <sheetName val="preBS"/>
      <sheetName val="preIS"/>
      <sheetName val="preCF"/>
      <sheetName val="preCE"/>
      <sheetName val="TB"/>
      <sheetName val="BS"/>
      <sheetName val="IS"/>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D2">
            <v>0</v>
          </cell>
          <cell r="E2" t="str">
            <v>：</v>
          </cell>
          <cell r="F2">
            <v>0</v>
          </cell>
          <cell r="G2" t="str">
            <v>资产负债表</v>
          </cell>
          <cell r="H2">
            <v>0</v>
          </cell>
          <cell r="I2">
            <v>1</v>
          </cell>
          <cell r="J2">
            <v>0</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D3">
            <v>0</v>
          </cell>
          <cell r="E3" t="str">
            <v>：</v>
          </cell>
          <cell r="F3">
            <v>0</v>
          </cell>
          <cell r="G3" t="str">
            <v>流动资产：</v>
          </cell>
          <cell r="H3">
            <v>0</v>
          </cell>
          <cell r="I3">
            <v>1000</v>
          </cell>
          <cell r="J3">
            <v>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E4">
            <v>0</v>
          </cell>
          <cell r="F4">
            <v>3100</v>
          </cell>
          <cell r="G4" t="str">
            <v>货币资金</v>
          </cell>
          <cell r="H4">
            <v>0</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v>0</v>
          </cell>
          <cell r="G5" t="str">
            <v>结算备付金</v>
          </cell>
          <cell r="H5">
            <v>0</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v>0</v>
          </cell>
          <cell r="G6" t="str">
            <v>拆出资金</v>
          </cell>
          <cell r="H6">
            <v>0</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E7">
            <v>0</v>
          </cell>
          <cell r="F7" t="str">
            <v>3210_3280</v>
          </cell>
          <cell r="G7" t="str">
            <v>以公允价值计量且其变动计入当期损益的金融资产</v>
          </cell>
          <cell r="H7">
            <v>0</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H8">
            <v>0</v>
          </cell>
          <cell r="I8">
            <v>1115</v>
          </cell>
          <cell r="J8" t="str">
            <v>J</v>
          </cell>
          <cell r="M8" t="str">
            <v>应收账款</v>
          </cell>
          <cell r="P8" t="str">
            <v>收回投资收到的现金</v>
          </cell>
          <cell r="S8" t="str">
            <v>1121a</v>
          </cell>
          <cell r="T8" t="str">
            <v>应收票据分类</v>
          </cell>
          <cell r="U8" t="str">
            <v>种       类</v>
          </cell>
          <cell r="V8">
            <v>1</v>
          </cell>
          <cell r="W8">
            <v>1121</v>
          </cell>
          <cell r="X8">
            <v>1</v>
          </cell>
          <cell r="AG8" t="str">
            <v>客户不同意调整</v>
          </cell>
          <cell r="AK8" t="str">
            <v>65损益_费用</v>
          </cell>
        </row>
        <row r="9">
          <cell r="B9">
            <v>1121</v>
          </cell>
          <cell r="C9" t="str">
            <v>应收票据</v>
          </cell>
          <cell r="D9">
            <v>1</v>
          </cell>
          <cell r="E9">
            <v>0</v>
          </cell>
          <cell r="F9">
            <v>3310</v>
          </cell>
          <cell r="G9" t="str">
            <v>应收票据</v>
          </cell>
          <cell r="H9">
            <v>0</v>
          </cell>
          <cell r="I9">
            <v>1121</v>
          </cell>
          <cell r="J9" t="str">
            <v>J</v>
          </cell>
          <cell r="M9" t="str">
            <v>应收账款坏账准备</v>
          </cell>
          <cell r="P9" t="str">
            <v>取得投资收益收到的现金</v>
          </cell>
          <cell r="S9" t="str">
            <v>1121b</v>
          </cell>
          <cell r="T9" t="str">
            <v>期末已质押的应收票据</v>
          </cell>
          <cell r="U9" t="str">
            <v>种       类</v>
          </cell>
          <cell r="V9">
            <v>1</v>
          </cell>
          <cell r="W9">
            <v>1121</v>
          </cell>
          <cell r="X9">
            <v>2</v>
          </cell>
          <cell r="AG9" t="str">
            <v>客户正式同意调整</v>
          </cell>
        </row>
        <row r="10">
          <cell r="B10">
            <v>1122</v>
          </cell>
          <cell r="C10" t="str">
            <v>应收账款</v>
          </cell>
          <cell r="D10">
            <v>1</v>
          </cell>
          <cell r="E10">
            <v>0</v>
          </cell>
          <cell r="F10">
            <v>3320</v>
          </cell>
          <cell r="G10" t="str">
            <v>应收账款</v>
          </cell>
          <cell r="H10">
            <v>0</v>
          </cell>
          <cell r="I10">
            <v>1122</v>
          </cell>
          <cell r="J10" t="str">
            <v>J</v>
          </cell>
          <cell r="M10" t="str">
            <v>预付款项</v>
          </cell>
          <cell r="P10" t="str">
            <v>处置固定资产无形资产长期资产收回的现金</v>
          </cell>
          <cell r="S10" t="str">
            <v>1121d</v>
          </cell>
          <cell r="T10" t="str">
            <v>期末已背书或贴现但尚未到期的应收票据</v>
          </cell>
          <cell r="U10" t="str">
            <v>种       类</v>
          </cell>
          <cell r="V10">
            <v>1</v>
          </cell>
          <cell r="W10">
            <v>1121</v>
          </cell>
          <cell r="X10">
            <v>2</v>
          </cell>
          <cell r="AG10" t="str">
            <v>经理复核</v>
          </cell>
        </row>
        <row r="11">
          <cell r="B11">
            <v>1125</v>
          </cell>
          <cell r="C11" t="str">
            <v>预付款项</v>
          </cell>
          <cell r="D11">
            <v>1</v>
          </cell>
          <cell r="E11">
            <v>0</v>
          </cell>
          <cell r="F11">
            <v>3330</v>
          </cell>
          <cell r="G11" t="str">
            <v>预付款项</v>
          </cell>
          <cell r="H11">
            <v>0</v>
          </cell>
          <cell r="I11">
            <v>1125</v>
          </cell>
          <cell r="J11" t="str">
            <v>J</v>
          </cell>
          <cell r="M11" t="str">
            <v>预付款项坏账准备</v>
          </cell>
          <cell r="P11" t="str">
            <v>处置子公司及其他营业单位收到的现金净额</v>
          </cell>
          <cell r="S11" t="str">
            <v>1121c</v>
          </cell>
          <cell r="T11" t="str">
            <v>期末因出票人未履约而转为应收账款的票据</v>
          </cell>
          <cell r="U11" t="str">
            <v>种       类</v>
          </cell>
          <cell r="V11">
            <v>1</v>
          </cell>
          <cell r="W11">
            <v>1121</v>
          </cell>
          <cell r="X11">
            <v>2</v>
          </cell>
          <cell r="AG11" t="str">
            <v>合伙人复核</v>
          </cell>
        </row>
        <row r="12">
          <cell r="B12">
            <v>1127</v>
          </cell>
          <cell r="C12" t="str">
            <v>应收保费</v>
          </cell>
          <cell r="D12">
            <v>1</v>
          </cell>
          <cell r="E12" t="str">
            <v>△</v>
          </cell>
          <cell r="F12">
            <v>0</v>
          </cell>
          <cell r="G12" t="str">
            <v>应收保费</v>
          </cell>
          <cell r="H12">
            <v>0</v>
          </cell>
          <cell r="I12">
            <v>1127</v>
          </cell>
          <cell r="J12" t="str">
            <v>J</v>
          </cell>
          <cell r="M12" t="str">
            <v>应收股利</v>
          </cell>
          <cell r="P12" t="str">
            <v>收到其他与投资活动有关的现金</v>
          </cell>
          <cell r="S12" t="str">
            <v>1122a</v>
          </cell>
          <cell r="T12" t="str">
            <v>应收账款按种类列示</v>
          </cell>
          <cell r="U12" t="str">
            <v>种       类</v>
          </cell>
          <cell r="V12">
            <v>1</v>
          </cell>
          <cell r="W12">
            <v>1122</v>
          </cell>
          <cell r="X12">
            <v>1</v>
          </cell>
          <cell r="AG12" t="str">
            <v>质控部复核</v>
          </cell>
        </row>
        <row r="13">
          <cell r="B13">
            <v>1211</v>
          </cell>
          <cell r="C13" t="str">
            <v>应收分保账款</v>
          </cell>
          <cell r="D13">
            <v>1</v>
          </cell>
          <cell r="E13" t="str">
            <v>△</v>
          </cell>
          <cell r="F13">
            <v>0</v>
          </cell>
          <cell r="G13" t="str">
            <v>应收分保账款</v>
          </cell>
          <cell r="H13">
            <v>0</v>
          </cell>
          <cell r="I13">
            <v>1211</v>
          </cell>
          <cell r="J13" t="str">
            <v>J</v>
          </cell>
          <cell r="M13" t="str">
            <v>应收利息</v>
          </cell>
          <cell r="P13" t="str">
            <v>购置固定资产无形资产长期资产支付的现金</v>
          </cell>
          <cell r="S13" t="str">
            <v>1122b</v>
          </cell>
          <cell r="T13" t="str">
            <v>应收账款按种类列示（续）</v>
          </cell>
          <cell r="U13" t="str">
            <v>种       类</v>
          </cell>
          <cell r="V13">
            <v>1</v>
          </cell>
          <cell r="W13">
            <v>1122</v>
          </cell>
          <cell r="X13">
            <v>2</v>
          </cell>
        </row>
        <row r="14">
          <cell r="B14">
            <v>1212</v>
          </cell>
          <cell r="C14" t="str">
            <v>应收分保合同准备金</v>
          </cell>
          <cell r="D14">
            <v>1</v>
          </cell>
          <cell r="E14" t="str">
            <v>△</v>
          </cell>
          <cell r="F14">
            <v>0</v>
          </cell>
          <cell r="G14" t="str">
            <v>应收分保合同准备金</v>
          </cell>
          <cell r="H14">
            <v>0</v>
          </cell>
          <cell r="I14">
            <v>1212</v>
          </cell>
          <cell r="J14" t="str">
            <v>J</v>
          </cell>
          <cell r="M14" t="str">
            <v>其他应收款</v>
          </cell>
          <cell r="P14" t="str">
            <v>投资支付的现金</v>
          </cell>
          <cell r="S14" t="str">
            <v>1122g</v>
          </cell>
          <cell r="T14" t="str">
            <v>期末单项金额重大并单项计提坏账准备的应收账款</v>
          </cell>
          <cell r="U14" t="str">
            <v>应收账款（按单位）</v>
          </cell>
          <cell r="V14">
            <v>1</v>
          </cell>
          <cell r="W14">
            <v>1122</v>
          </cell>
          <cell r="X14">
            <v>2</v>
          </cell>
        </row>
        <row r="15">
          <cell r="B15">
            <v>1132</v>
          </cell>
          <cell r="C15" t="str">
            <v>应收利息</v>
          </cell>
          <cell r="D15">
            <v>1</v>
          </cell>
          <cell r="E15">
            <v>0</v>
          </cell>
          <cell r="F15">
            <v>3350</v>
          </cell>
          <cell r="G15" t="str">
            <v>应收利息</v>
          </cell>
          <cell r="H15">
            <v>0</v>
          </cell>
          <cell r="I15">
            <v>1132</v>
          </cell>
          <cell r="J15" t="str">
            <v>J</v>
          </cell>
          <cell r="M15" t="str">
            <v>其他应收款坏账准备</v>
          </cell>
          <cell r="P15" t="str">
            <v>取得子公司及其他营业单位支付的现金净额</v>
          </cell>
          <cell r="S15" t="str">
            <v>1122d</v>
          </cell>
          <cell r="T15" t="str">
            <v>组合中按账龄分析法计提坏账准备的应收账款</v>
          </cell>
          <cell r="U15" t="str">
            <v>账  龄</v>
          </cell>
          <cell r="V15">
            <v>1</v>
          </cell>
          <cell r="W15">
            <v>1122</v>
          </cell>
          <cell r="X15">
            <v>2</v>
          </cell>
        </row>
        <row r="16">
          <cell r="B16">
            <v>1131</v>
          </cell>
          <cell r="C16" t="str">
            <v>应收股利</v>
          </cell>
          <cell r="D16">
            <v>1</v>
          </cell>
          <cell r="E16">
            <v>0</v>
          </cell>
          <cell r="F16">
            <v>3340</v>
          </cell>
          <cell r="G16" t="str">
            <v>应收股利</v>
          </cell>
          <cell r="H16">
            <v>0</v>
          </cell>
          <cell r="I16">
            <v>1131</v>
          </cell>
          <cell r="J16" t="str">
            <v>J</v>
          </cell>
          <cell r="M16" t="str">
            <v>划分为持有待售的资产</v>
          </cell>
          <cell r="P16" t="str">
            <v>支付其他与投资活动有关的现金</v>
          </cell>
          <cell r="S16" t="str">
            <v>1122e</v>
          </cell>
          <cell r="T16" t="str">
            <v>组合中采用余额百分比法计提坏账准备的应收账款</v>
          </cell>
          <cell r="U16" t="str">
            <v>组合名称</v>
          </cell>
          <cell r="V16">
            <v>1</v>
          </cell>
          <cell r="W16">
            <v>1122</v>
          </cell>
          <cell r="X16">
            <v>2</v>
          </cell>
        </row>
        <row r="17">
          <cell r="B17">
            <v>1221</v>
          </cell>
          <cell r="C17" t="str">
            <v>其他应收款</v>
          </cell>
          <cell r="D17">
            <v>1</v>
          </cell>
          <cell r="E17">
            <v>0</v>
          </cell>
          <cell r="F17">
            <v>3360</v>
          </cell>
          <cell r="G17" t="str">
            <v>其他应收款</v>
          </cell>
          <cell r="H17">
            <v>0</v>
          </cell>
          <cell r="I17">
            <v>1221</v>
          </cell>
          <cell r="J17" t="str">
            <v>J</v>
          </cell>
          <cell r="M17" t="str">
            <v>存货</v>
          </cell>
          <cell r="P17" t="str">
            <v>吸收投资收到的现金</v>
          </cell>
          <cell r="S17" t="str">
            <v>1122f</v>
          </cell>
          <cell r="T17" t="str">
            <v>组合中采用其他方法计提坏账准备的应收账款</v>
          </cell>
          <cell r="U17" t="str">
            <v>组合名称</v>
          </cell>
          <cell r="V17">
            <v>1</v>
          </cell>
          <cell r="W17">
            <v>1122</v>
          </cell>
          <cell r="X17">
            <v>2</v>
          </cell>
        </row>
        <row r="18">
          <cell r="B18">
            <v>1111</v>
          </cell>
          <cell r="C18" t="str">
            <v>买入返售金融资产</v>
          </cell>
          <cell r="D18">
            <v>1</v>
          </cell>
          <cell r="E18" t="str">
            <v>△</v>
          </cell>
          <cell r="F18">
            <v>0</v>
          </cell>
          <cell r="G18" t="str">
            <v>买入返售金融资产</v>
          </cell>
          <cell r="H18">
            <v>0</v>
          </cell>
          <cell r="I18">
            <v>1111</v>
          </cell>
          <cell r="J18" t="str">
            <v>J</v>
          </cell>
          <cell r="M18" t="str">
            <v>材料采购</v>
          </cell>
          <cell r="P18" t="str">
            <v>子公司吸收少数股东投资收到的现金</v>
          </cell>
          <cell r="S18" t="str">
            <v>1122h</v>
          </cell>
          <cell r="T18" t="str">
            <v>本期坏账准备转回或收回金额重要的</v>
          </cell>
          <cell r="U18" t="str">
            <v>单位名称</v>
          </cell>
          <cell r="V18">
            <v>1</v>
          </cell>
          <cell r="W18">
            <v>1122</v>
          </cell>
          <cell r="X18">
            <v>2</v>
          </cell>
        </row>
        <row r="19">
          <cell r="B19">
            <v>1400</v>
          </cell>
          <cell r="C19" t="str">
            <v>存货</v>
          </cell>
          <cell r="D19">
            <v>1</v>
          </cell>
          <cell r="E19">
            <v>0</v>
          </cell>
          <cell r="F19">
            <v>3400</v>
          </cell>
          <cell r="G19" t="str">
            <v>存货</v>
          </cell>
          <cell r="H19">
            <v>0</v>
          </cell>
          <cell r="I19">
            <v>1400</v>
          </cell>
          <cell r="J19" t="str">
            <v>J</v>
          </cell>
          <cell r="M19" t="str">
            <v>在途物资</v>
          </cell>
          <cell r="P19" t="str">
            <v>取得借款收到的现金</v>
          </cell>
          <cell r="S19" t="str">
            <v>1122i</v>
          </cell>
          <cell r="T19" t="str">
            <v>本期重要的应收账款核销情况</v>
          </cell>
          <cell r="U19" t="str">
            <v>单位名称</v>
          </cell>
          <cell r="V19">
            <v>1</v>
          </cell>
          <cell r="W19">
            <v>1122</v>
          </cell>
          <cell r="X19">
            <v>2</v>
          </cell>
        </row>
        <row r="20">
          <cell r="B20">
            <v>1315</v>
          </cell>
          <cell r="C20" t="str">
            <v>划分为持有待售的资产</v>
          </cell>
          <cell r="D20">
            <v>1</v>
          </cell>
          <cell r="E20" t="str">
            <v>Ｘ</v>
          </cell>
          <cell r="F20">
            <v>3860</v>
          </cell>
          <cell r="G20" t="str">
            <v>划分为持有待售的资产</v>
          </cell>
          <cell r="H20">
            <v>0</v>
          </cell>
          <cell r="I20">
            <v>1315</v>
          </cell>
          <cell r="J20" t="str">
            <v>J</v>
          </cell>
          <cell r="M20" t="str">
            <v>原材料</v>
          </cell>
          <cell r="P20" t="str">
            <v>收到其他与筹资活动有关的现金</v>
          </cell>
          <cell r="S20" t="str">
            <v>1122k</v>
          </cell>
          <cell r="T20" t="str">
            <v>按欠款方归集的应收账款期末余额前五名单位情况</v>
          </cell>
          <cell r="U20" t="str">
            <v>单位名称</v>
          </cell>
          <cell r="V20">
            <v>1</v>
          </cell>
          <cell r="W20">
            <v>1122</v>
          </cell>
          <cell r="X20">
            <v>2</v>
          </cell>
        </row>
        <row r="21">
          <cell r="B21">
            <v>1495</v>
          </cell>
          <cell r="C21" t="str">
            <v>一年内到期的非流动资产</v>
          </cell>
          <cell r="D21">
            <v>1</v>
          </cell>
          <cell r="E21">
            <v>0</v>
          </cell>
          <cell r="F21">
            <v>3380</v>
          </cell>
          <cell r="G21" t="str">
            <v>一年内到期的非流动资产</v>
          </cell>
          <cell r="H21">
            <v>0</v>
          </cell>
          <cell r="I21">
            <v>1495</v>
          </cell>
          <cell r="J21" t="str">
            <v>J</v>
          </cell>
          <cell r="M21" t="str">
            <v>材料成本差异</v>
          </cell>
          <cell r="P21" t="str">
            <v>偿还债务支付的现金</v>
          </cell>
          <cell r="S21" t="str">
            <v>1122m</v>
          </cell>
          <cell r="T21" t="str">
            <v>因金融资产转移而终止确认的应收账款情况</v>
          </cell>
          <cell r="U21" t="str">
            <v>项       目</v>
          </cell>
          <cell r="V21">
            <v>1</v>
          </cell>
          <cell r="W21">
            <v>1122</v>
          </cell>
          <cell r="X21">
            <v>2</v>
          </cell>
        </row>
        <row r="22">
          <cell r="B22">
            <v>1496</v>
          </cell>
          <cell r="C22" t="str">
            <v>其他流动资产</v>
          </cell>
          <cell r="D22">
            <v>1</v>
          </cell>
          <cell r="E22">
            <v>0</v>
          </cell>
          <cell r="F22">
            <v>3390</v>
          </cell>
          <cell r="G22" t="str">
            <v>其他流动资产</v>
          </cell>
          <cell r="H22">
            <v>0</v>
          </cell>
          <cell r="I22">
            <v>1496</v>
          </cell>
          <cell r="J22" t="str">
            <v>J</v>
          </cell>
          <cell r="M22" t="str">
            <v>库存商品</v>
          </cell>
          <cell r="P22" t="str">
            <v>分配利润偿付利息支付的现金</v>
          </cell>
          <cell r="S22" t="str">
            <v>1122n</v>
          </cell>
          <cell r="T22" t="str">
            <v>转移应收账款且继续涉入形成的资产的金额</v>
          </cell>
          <cell r="U22" t="str">
            <v>项       目</v>
          </cell>
          <cell r="V22">
            <v>1</v>
          </cell>
          <cell r="W22">
            <v>1122</v>
          </cell>
          <cell r="X22">
            <v>2</v>
          </cell>
        </row>
        <row r="23">
          <cell r="B23">
            <v>1498</v>
          </cell>
          <cell r="C23" t="str">
            <v>流动资产</v>
          </cell>
          <cell r="D23">
            <v>0</v>
          </cell>
          <cell r="E23" t="str">
            <v>＝</v>
          </cell>
          <cell r="F23">
            <v>0</v>
          </cell>
          <cell r="G23" t="str">
            <v>流动资产合计</v>
          </cell>
          <cell r="H23">
            <v>0</v>
          </cell>
          <cell r="I23">
            <v>1498</v>
          </cell>
          <cell r="J23">
            <v>0</v>
          </cell>
          <cell r="M23" t="str">
            <v>发出商品</v>
          </cell>
          <cell r="P23" t="str">
            <v>子公司支付少数股东的现金股利</v>
          </cell>
          <cell r="S23" t="str">
            <v>1122o</v>
          </cell>
          <cell r="T23" t="str">
            <v>转移应收账款且继续涉入形成的负债的金额</v>
          </cell>
          <cell r="U23" t="str">
            <v>项       目</v>
          </cell>
          <cell r="V23">
            <v>1</v>
          </cell>
          <cell r="W23">
            <v>1122</v>
          </cell>
          <cell r="X23">
            <v>2</v>
          </cell>
        </row>
        <row r="24">
          <cell r="B24">
            <v>1500</v>
          </cell>
          <cell r="C24" t="str">
            <v>非流动资产项目</v>
          </cell>
          <cell r="D24">
            <v>0</v>
          </cell>
          <cell r="E24" t="str">
            <v>：</v>
          </cell>
          <cell r="F24">
            <v>0</v>
          </cell>
          <cell r="G24" t="str">
            <v>非流动资产：</v>
          </cell>
          <cell r="H24">
            <v>0</v>
          </cell>
          <cell r="I24">
            <v>1500</v>
          </cell>
          <cell r="J24">
            <v>0</v>
          </cell>
          <cell r="M24" t="str">
            <v>商品进销差价</v>
          </cell>
          <cell r="P24" t="str">
            <v>支付其他与筹资活动有关的现金</v>
          </cell>
          <cell r="S24" t="str">
            <v>1122c</v>
          </cell>
          <cell r="T24" t="str">
            <v>外币应收账款</v>
          </cell>
          <cell r="U24" t="str">
            <v>币       种</v>
          </cell>
          <cell r="V24">
            <v>1</v>
          </cell>
          <cell r="W24">
            <v>1122</v>
          </cell>
          <cell r="X24">
            <v>2</v>
          </cell>
        </row>
        <row r="25">
          <cell r="B25">
            <v>1600</v>
          </cell>
          <cell r="C25" t="str">
            <v>发放委托贷款及垫款</v>
          </cell>
          <cell r="D25">
            <v>1</v>
          </cell>
          <cell r="E25" t="str">
            <v>△</v>
          </cell>
          <cell r="F25">
            <v>0</v>
          </cell>
          <cell r="G25" t="str">
            <v>发放委托贷款及垫款</v>
          </cell>
          <cell r="H25">
            <v>0</v>
          </cell>
          <cell r="I25">
            <v>1600</v>
          </cell>
          <cell r="J25" t="str">
            <v>J</v>
          </cell>
          <cell r="M25" t="str">
            <v>委托加工物资</v>
          </cell>
          <cell r="P25" t="str">
            <v>子公司减资支付给少数股东的现金</v>
          </cell>
          <cell r="S25" t="str">
            <v>1122l</v>
          </cell>
          <cell r="T25" t="str">
            <v>关联方应收应付款项——应收账款</v>
          </cell>
          <cell r="U25" t="str">
            <v>关联方</v>
          </cell>
          <cell r="V25">
            <v>1</v>
          </cell>
          <cell r="W25">
            <v>1122</v>
          </cell>
          <cell r="X25">
            <v>2</v>
          </cell>
        </row>
        <row r="26">
          <cell r="B26">
            <v>1503</v>
          </cell>
          <cell r="C26" t="str">
            <v>可供出售金融资产</v>
          </cell>
          <cell r="D26">
            <v>1</v>
          </cell>
          <cell r="E26">
            <v>0</v>
          </cell>
          <cell r="F26">
            <v>3220</v>
          </cell>
          <cell r="G26" t="str">
            <v>可供出售金融资产</v>
          </cell>
          <cell r="H26">
            <v>0</v>
          </cell>
          <cell r="I26">
            <v>1503</v>
          </cell>
          <cell r="J26" t="str">
            <v>J</v>
          </cell>
          <cell r="M26" t="str">
            <v>周转材料</v>
          </cell>
          <cell r="P26" t="str">
            <v>汇率变动对现金及现金等价物的影响</v>
          </cell>
          <cell r="S26" t="str">
            <v>1125a</v>
          </cell>
          <cell r="T26" t="str">
            <v>预付款项按账龄列示</v>
          </cell>
          <cell r="U26" t="str">
            <v>账       龄</v>
          </cell>
          <cell r="V26">
            <v>1</v>
          </cell>
          <cell r="W26">
            <v>1125</v>
          </cell>
          <cell r="X26">
            <v>1</v>
          </cell>
        </row>
        <row r="27">
          <cell r="B27">
            <v>1501</v>
          </cell>
          <cell r="C27" t="str">
            <v>持有至到期投资</v>
          </cell>
          <cell r="D27">
            <v>1</v>
          </cell>
          <cell r="E27">
            <v>0</v>
          </cell>
          <cell r="F27">
            <v>3230</v>
          </cell>
          <cell r="G27" t="str">
            <v>持有至到期投资</v>
          </cell>
          <cell r="H27">
            <v>0</v>
          </cell>
          <cell r="I27">
            <v>1501</v>
          </cell>
          <cell r="J27" t="str">
            <v>J</v>
          </cell>
          <cell r="M27" t="str">
            <v>消耗性生物资产</v>
          </cell>
          <cell r="P27" t="str">
            <v>收到原保险合同保费取得的现金</v>
          </cell>
          <cell r="S27" t="str">
            <v>1125d</v>
          </cell>
          <cell r="T27" t="str">
            <v>账龄超过1年的金额重要的预付账款</v>
          </cell>
          <cell r="U27" t="str">
            <v>单位名称</v>
          </cell>
          <cell r="V27">
            <v>1</v>
          </cell>
          <cell r="W27">
            <v>1125</v>
          </cell>
          <cell r="X27">
            <v>2</v>
          </cell>
        </row>
        <row r="28">
          <cell r="B28">
            <v>1531</v>
          </cell>
          <cell r="C28" t="str">
            <v>长期应收款</v>
          </cell>
          <cell r="D28">
            <v>1</v>
          </cell>
          <cell r="E28">
            <v>0</v>
          </cell>
          <cell r="F28">
            <v>3840</v>
          </cell>
          <cell r="G28" t="str">
            <v>长期应收款</v>
          </cell>
          <cell r="H28">
            <v>0</v>
          </cell>
          <cell r="I28">
            <v>1531</v>
          </cell>
          <cell r="J28" t="str">
            <v>J</v>
          </cell>
          <cell r="M28" t="str">
            <v>存货跌价准备</v>
          </cell>
          <cell r="P28" t="str">
            <v>收到再保险业务现金净额</v>
          </cell>
          <cell r="S28" t="str">
            <v>1125c</v>
          </cell>
          <cell r="T28" t="str">
            <v>按预付对象归集的预付款项期末余额前五名单位情况</v>
          </cell>
          <cell r="U28" t="str">
            <v>单位名称</v>
          </cell>
          <cell r="V28">
            <v>1</v>
          </cell>
          <cell r="W28">
            <v>1125</v>
          </cell>
          <cell r="X28">
            <v>2</v>
          </cell>
        </row>
        <row r="29">
          <cell r="B29">
            <v>1515</v>
          </cell>
          <cell r="C29" t="str">
            <v>设定受益计划净资产</v>
          </cell>
          <cell r="D29">
            <v>1</v>
          </cell>
          <cell r="E29" t="str">
            <v>OEI</v>
          </cell>
          <cell r="F29">
            <v>4330</v>
          </cell>
          <cell r="G29" t="str">
            <v>设定受益计划净资产</v>
          </cell>
          <cell r="H29">
            <v>0</v>
          </cell>
          <cell r="I29">
            <v>1515</v>
          </cell>
          <cell r="J29" t="str">
            <v>J</v>
          </cell>
          <cell r="M29" t="str">
            <v>生产成本</v>
          </cell>
          <cell r="P29" t="str">
            <v>保户储金及投资款净增加额</v>
          </cell>
          <cell r="S29" t="str">
            <v>1125b</v>
          </cell>
          <cell r="T29" t="str">
            <v>外币预付款项</v>
          </cell>
          <cell r="U29" t="str">
            <v>币       种</v>
          </cell>
          <cell r="V29">
            <v>1</v>
          </cell>
          <cell r="W29">
            <v>1125</v>
          </cell>
          <cell r="X29">
            <v>2</v>
          </cell>
        </row>
        <row r="30">
          <cell r="B30">
            <v>1511</v>
          </cell>
          <cell r="C30" t="str">
            <v>长期股权投资</v>
          </cell>
          <cell r="D30">
            <v>1</v>
          </cell>
          <cell r="E30">
            <v>0</v>
          </cell>
          <cell r="F30">
            <v>3240</v>
          </cell>
          <cell r="G30" t="str">
            <v>长期股权投资</v>
          </cell>
          <cell r="H30">
            <v>0</v>
          </cell>
          <cell r="I30">
            <v>1511</v>
          </cell>
          <cell r="J30" t="str">
            <v>J</v>
          </cell>
          <cell r="M30" t="str">
            <v>制造费用</v>
          </cell>
          <cell r="P30" t="str">
            <v>处置交易性金融资产净增加额</v>
          </cell>
          <cell r="S30" t="str">
            <v>1125e</v>
          </cell>
          <cell r="T30" t="str">
            <v>关联方应收应付款项——预付款项</v>
          </cell>
          <cell r="U30" t="str">
            <v>单位名称</v>
          </cell>
          <cell r="V30">
            <v>1</v>
          </cell>
          <cell r="W30">
            <v>1125</v>
          </cell>
          <cell r="X30">
            <v>2</v>
          </cell>
        </row>
        <row r="31">
          <cell r="B31">
            <v>1521</v>
          </cell>
          <cell r="C31" t="str">
            <v>投资性房地产</v>
          </cell>
          <cell r="D31">
            <v>1</v>
          </cell>
          <cell r="E31">
            <v>0</v>
          </cell>
          <cell r="F31">
            <v>3710</v>
          </cell>
          <cell r="G31" t="str">
            <v>投资性房地产</v>
          </cell>
          <cell r="H31">
            <v>0</v>
          </cell>
          <cell r="I31">
            <v>1521</v>
          </cell>
          <cell r="J31" t="str">
            <v>J</v>
          </cell>
          <cell r="M31" t="str">
            <v>工程施工</v>
          </cell>
          <cell r="P31" t="str">
            <v>收取利息手续费及佣金的现金</v>
          </cell>
          <cell r="S31" t="str">
            <v>1132a</v>
          </cell>
          <cell r="T31" t="str">
            <v>应收利息明细项目</v>
          </cell>
          <cell r="U31" t="str">
            <v>项       目</v>
          </cell>
          <cell r="V31">
            <v>1</v>
          </cell>
          <cell r="W31">
            <v>1132</v>
          </cell>
          <cell r="X31">
            <v>1</v>
          </cell>
        </row>
        <row r="32">
          <cell r="B32">
            <v>1601</v>
          </cell>
          <cell r="C32" t="str">
            <v>固定资产</v>
          </cell>
          <cell r="D32">
            <v>1</v>
          </cell>
          <cell r="E32">
            <v>0</v>
          </cell>
          <cell r="F32">
            <v>3720</v>
          </cell>
          <cell r="G32" t="str">
            <v>固定资产</v>
          </cell>
          <cell r="H32">
            <v>0</v>
          </cell>
          <cell r="I32">
            <v>1601</v>
          </cell>
          <cell r="J32" t="str">
            <v>J</v>
          </cell>
          <cell r="M32" t="str">
            <v>一年内到期的非流动资产</v>
          </cell>
          <cell r="P32" t="str">
            <v>拆入资金净增加额</v>
          </cell>
          <cell r="S32" t="str">
            <v>1132b</v>
          </cell>
          <cell r="T32" t="str">
            <v>重要的逾期应收利息</v>
          </cell>
          <cell r="U32" t="str">
            <v>借款单位</v>
          </cell>
          <cell r="V32">
            <v>1</v>
          </cell>
          <cell r="W32">
            <v>1132</v>
          </cell>
          <cell r="X32">
            <v>2</v>
          </cell>
        </row>
        <row r="33">
          <cell r="B33">
            <v>1604</v>
          </cell>
          <cell r="C33" t="str">
            <v>在建工程</v>
          </cell>
          <cell r="D33">
            <v>1</v>
          </cell>
          <cell r="E33">
            <v>0</v>
          </cell>
          <cell r="F33">
            <v>3730</v>
          </cell>
          <cell r="G33" t="str">
            <v>在建工程</v>
          </cell>
          <cell r="H33">
            <v>0</v>
          </cell>
          <cell r="I33">
            <v>1604</v>
          </cell>
          <cell r="J33" t="str">
            <v>J</v>
          </cell>
          <cell r="M33" t="str">
            <v>其他流动资产</v>
          </cell>
          <cell r="P33" t="str">
            <v>回购业务资金净增加额</v>
          </cell>
          <cell r="S33" t="str">
            <v>1131a</v>
          </cell>
          <cell r="T33" t="str">
            <v>应收股利明细项目</v>
          </cell>
          <cell r="U33" t="str">
            <v>项       目</v>
          </cell>
          <cell r="V33">
            <v>1</v>
          </cell>
          <cell r="W33">
            <v>1131</v>
          </cell>
          <cell r="X33">
            <v>1</v>
          </cell>
        </row>
        <row r="34">
          <cell r="B34">
            <v>1605</v>
          </cell>
          <cell r="C34" t="str">
            <v>工程物资</v>
          </cell>
          <cell r="D34">
            <v>1</v>
          </cell>
          <cell r="E34">
            <v>0</v>
          </cell>
          <cell r="F34">
            <v>3740</v>
          </cell>
          <cell r="G34" t="str">
            <v>工程物资</v>
          </cell>
          <cell r="H34">
            <v>0</v>
          </cell>
          <cell r="I34">
            <v>1605</v>
          </cell>
          <cell r="J34" t="str">
            <v>J</v>
          </cell>
          <cell r="M34" t="str">
            <v>持有至到期投资</v>
          </cell>
          <cell r="P34" t="str">
            <v>客户贷款及垫款净增加额</v>
          </cell>
          <cell r="S34" t="str">
            <v>1131b</v>
          </cell>
          <cell r="T34" t="str">
            <v>重要的账龄超过1年的应收股利</v>
          </cell>
          <cell r="U34" t="str">
            <v>项       目</v>
          </cell>
          <cell r="V34">
            <v>1</v>
          </cell>
          <cell r="W34">
            <v>1131</v>
          </cell>
          <cell r="X34">
            <v>2</v>
          </cell>
        </row>
        <row r="35">
          <cell r="B35">
            <v>1606</v>
          </cell>
          <cell r="C35" t="str">
            <v>固定资产清理</v>
          </cell>
          <cell r="D35">
            <v>1</v>
          </cell>
          <cell r="E35">
            <v>0</v>
          </cell>
          <cell r="F35">
            <v>3750</v>
          </cell>
          <cell r="G35" t="str">
            <v>固定资产清理</v>
          </cell>
          <cell r="H35">
            <v>0</v>
          </cell>
          <cell r="I35">
            <v>1606</v>
          </cell>
          <cell r="J35" t="str">
            <v>J</v>
          </cell>
          <cell r="M35" t="str">
            <v>持有至到期投资减值准备</v>
          </cell>
          <cell r="P35" t="str">
            <v>存放中央银行和同业款项净增加额</v>
          </cell>
          <cell r="S35" t="str">
            <v>1221a</v>
          </cell>
          <cell r="T35" t="str">
            <v>其他应收款按种类列示</v>
          </cell>
          <cell r="U35" t="str">
            <v xml:space="preserve">类       别  </v>
          </cell>
          <cell r="V35">
            <v>1</v>
          </cell>
          <cell r="W35">
            <v>1221</v>
          </cell>
          <cell r="X35">
            <v>1</v>
          </cell>
        </row>
        <row r="36">
          <cell r="B36">
            <v>1621</v>
          </cell>
          <cell r="C36" t="str">
            <v>生产性生物资产</v>
          </cell>
          <cell r="D36">
            <v>1</v>
          </cell>
          <cell r="E36">
            <v>0</v>
          </cell>
          <cell r="F36">
            <v>3760</v>
          </cell>
          <cell r="G36" t="str">
            <v>生产性生物资产</v>
          </cell>
          <cell r="H36">
            <v>0</v>
          </cell>
          <cell r="I36">
            <v>1621</v>
          </cell>
          <cell r="J36" t="str">
            <v>J</v>
          </cell>
          <cell r="M36" t="str">
            <v>可供出售金融资产</v>
          </cell>
          <cell r="P36" t="str">
            <v>支付原保险合同赔付款项的现金</v>
          </cell>
          <cell r="S36" t="str">
            <v>1221b</v>
          </cell>
          <cell r="T36" t="str">
            <v>其他应收款按种类列示（续）</v>
          </cell>
          <cell r="U36" t="str">
            <v xml:space="preserve">类       别  </v>
          </cell>
          <cell r="V36">
            <v>1</v>
          </cell>
          <cell r="W36">
            <v>1221</v>
          </cell>
          <cell r="X36">
            <v>2</v>
          </cell>
        </row>
        <row r="37">
          <cell r="B37">
            <v>1631</v>
          </cell>
          <cell r="C37" t="str">
            <v>油气资产</v>
          </cell>
          <cell r="D37">
            <v>1</v>
          </cell>
          <cell r="E37">
            <v>0</v>
          </cell>
          <cell r="F37">
            <v>3770</v>
          </cell>
          <cell r="G37" t="str">
            <v>油气资产</v>
          </cell>
          <cell r="H37">
            <v>0</v>
          </cell>
          <cell r="I37">
            <v>1631</v>
          </cell>
          <cell r="J37" t="str">
            <v>J</v>
          </cell>
          <cell r="M37" t="str">
            <v>可供出售金融资产减值准备</v>
          </cell>
          <cell r="P37" t="str">
            <v>支付利息手续费及佣金的现金</v>
          </cell>
          <cell r="S37" t="str">
            <v>1221g</v>
          </cell>
          <cell r="T37" t="str">
            <v>期末单项金额重大并单项计提坏账准备的其他应收款</v>
          </cell>
          <cell r="U37" t="str">
            <v>其他应收款（按单位）</v>
          </cell>
          <cell r="V37">
            <v>1</v>
          </cell>
          <cell r="W37">
            <v>1221</v>
          </cell>
          <cell r="X37">
            <v>2</v>
          </cell>
        </row>
        <row r="38">
          <cell r="B38">
            <v>1701</v>
          </cell>
          <cell r="C38" t="str">
            <v>无形资产</v>
          </cell>
          <cell r="D38">
            <v>1</v>
          </cell>
          <cell r="E38">
            <v>0</v>
          </cell>
          <cell r="F38">
            <v>3810</v>
          </cell>
          <cell r="G38" t="str">
            <v>无形资产</v>
          </cell>
          <cell r="H38">
            <v>0</v>
          </cell>
          <cell r="I38">
            <v>1701</v>
          </cell>
          <cell r="J38" t="str">
            <v>J</v>
          </cell>
          <cell r="M38" t="str">
            <v>长期股权投资</v>
          </cell>
          <cell r="P38" t="str">
            <v>支付保单红利的现金</v>
          </cell>
          <cell r="S38" t="str">
            <v>1221d</v>
          </cell>
          <cell r="T38" t="str">
            <v>组合中按账龄分析法计提坏账准备的其他应收款</v>
          </cell>
          <cell r="U38" t="str">
            <v>账  龄</v>
          </cell>
          <cell r="V38">
            <v>1</v>
          </cell>
          <cell r="W38">
            <v>1221</v>
          </cell>
          <cell r="X38">
            <v>2</v>
          </cell>
        </row>
        <row r="39">
          <cell r="B39">
            <v>1700</v>
          </cell>
          <cell r="C39" t="str">
            <v>开发支出</v>
          </cell>
          <cell r="D39">
            <v>1</v>
          </cell>
          <cell r="E39">
            <v>0</v>
          </cell>
          <cell r="F39">
            <v>3820</v>
          </cell>
          <cell r="G39" t="str">
            <v>开发支出</v>
          </cell>
          <cell r="H39">
            <v>0</v>
          </cell>
          <cell r="I39">
            <v>1700</v>
          </cell>
          <cell r="J39" t="str">
            <v>J</v>
          </cell>
          <cell r="M39" t="str">
            <v>长期股权投资减值准备</v>
          </cell>
          <cell r="P39" t="str">
            <v>质押贷款净增加额</v>
          </cell>
          <cell r="S39" t="str">
            <v>1221e</v>
          </cell>
          <cell r="T39" t="str">
            <v>组合中采用余额百分比法计提坏账准备的其他应收款</v>
          </cell>
          <cell r="U39" t="str">
            <v>组合名称</v>
          </cell>
          <cell r="V39">
            <v>1</v>
          </cell>
          <cell r="W39">
            <v>1221</v>
          </cell>
          <cell r="X39">
            <v>2</v>
          </cell>
        </row>
        <row r="40">
          <cell r="B40">
            <v>1711</v>
          </cell>
          <cell r="C40" t="str">
            <v>商誉</v>
          </cell>
          <cell r="D40">
            <v>1</v>
          </cell>
          <cell r="E40">
            <v>0</v>
          </cell>
          <cell r="F40">
            <v>3830</v>
          </cell>
          <cell r="G40" t="str">
            <v>商誉</v>
          </cell>
          <cell r="H40">
            <v>0</v>
          </cell>
          <cell r="I40">
            <v>1711</v>
          </cell>
          <cell r="J40" t="str">
            <v>J</v>
          </cell>
          <cell r="M40" t="str">
            <v>设定受益计划净资产</v>
          </cell>
          <cell r="P40" t="str">
            <v>发行债券收到的现金</v>
          </cell>
          <cell r="S40" t="str">
            <v>1221f</v>
          </cell>
          <cell r="T40" t="str">
            <v>组合中采用其他方法计提坏账准备的其他应收款</v>
          </cell>
          <cell r="U40" t="str">
            <v>组合名称</v>
          </cell>
          <cell r="V40">
            <v>1</v>
          </cell>
          <cell r="W40">
            <v>1221</v>
          </cell>
          <cell r="X40">
            <v>2</v>
          </cell>
        </row>
        <row r="41">
          <cell r="B41">
            <v>1801</v>
          </cell>
          <cell r="C41" t="str">
            <v>长期待摊费用</v>
          </cell>
          <cell r="D41">
            <v>1</v>
          </cell>
          <cell r="E41">
            <v>0</v>
          </cell>
          <cell r="F41">
            <v>3850</v>
          </cell>
          <cell r="G41" t="str">
            <v>长期待摊费用</v>
          </cell>
          <cell r="H41">
            <v>0</v>
          </cell>
          <cell r="I41">
            <v>1801</v>
          </cell>
          <cell r="J41" t="str">
            <v>J</v>
          </cell>
          <cell r="M41" t="str">
            <v>投资性房地产</v>
          </cell>
          <cell r="P41" t="str">
            <v>客户存款和同业存放款项净增加额</v>
          </cell>
          <cell r="S41" t="str">
            <v>1221h</v>
          </cell>
          <cell r="T41" t="str">
            <v>本期其他应收款坏账准备转回或收回金额重要的</v>
          </cell>
          <cell r="U41" t="str">
            <v>单位名称</v>
          </cell>
          <cell r="V41">
            <v>1</v>
          </cell>
          <cell r="W41">
            <v>1221</v>
          </cell>
          <cell r="X41">
            <v>2</v>
          </cell>
        </row>
        <row r="42">
          <cell r="B42">
            <v>1811</v>
          </cell>
          <cell r="C42" t="str">
            <v>递延所得税资产</v>
          </cell>
          <cell r="D42">
            <v>1</v>
          </cell>
          <cell r="E42">
            <v>0</v>
          </cell>
          <cell r="F42">
            <v>3880</v>
          </cell>
          <cell r="G42" t="str">
            <v>递延所得税资产</v>
          </cell>
          <cell r="H42">
            <v>0</v>
          </cell>
          <cell r="I42">
            <v>1811</v>
          </cell>
          <cell r="J42" t="str">
            <v>J</v>
          </cell>
          <cell r="M42" t="str">
            <v>投资性房地产减值准备</v>
          </cell>
          <cell r="P42" t="str">
            <v>向中央银行借款净增加额</v>
          </cell>
          <cell r="S42" t="str">
            <v>1221i</v>
          </cell>
          <cell r="T42" t="str">
            <v>本期重要的其他应收款核销情况</v>
          </cell>
          <cell r="U42" t="str">
            <v>单位名称</v>
          </cell>
          <cell r="V42">
            <v>1</v>
          </cell>
          <cell r="W42">
            <v>1221</v>
          </cell>
          <cell r="X42">
            <v>2</v>
          </cell>
        </row>
        <row r="43">
          <cell r="B43">
            <v>1996</v>
          </cell>
          <cell r="C43" t="str">
            <v>其他非流动资产</v>
          </cell>
          <cell r="D43">
            <v>1</v>
          </cell>
          <cell r="E43">
            <v>0</v>
          </cell>
          <cell r="F43">
            <v>3890</v>
          </cell>
          <cell r="G43" t="str">
            <v>其他非流动资产</v>
          </cell>
          <cell r="H43">
            <v>0</v>
          </cell>
          <cell r="I43">
            <v>1996</v>
          </cell>
          <cell r="J43" t="str">
            <v>J</v>
          </cell>
          <cell r="M43" t="str">
            <v>投资性房地产累计折旧</v>
          </cell>
          <cell r="P43" t="str">
            <v>向其他金融机构拆入资金净增加额</v>
          </cell>
          <cell r="S43" t="str">
            <v>1221l</v>
          </cell>
          <cell r="T43" t="str">
            <v>其他应收款按款项性质披露</v>
          </cell>
          <cell r="U43" t="str">
            <v>单位名称</v>
          </cell>
          <cell r="V43">
            <v>1</v>
          </cell>
          <cell r="W43">
            <v>1221</v>
          </cell>
          <cell r="X43">
            <v>2</v>
          </cell>
        </row>
        <row r="44">
          <cell r="B44">
            <v>1998</v>
          </cell>
          <cell r="C44" t="str">
            <v>非流动资产</v>
          </cell>
          <cell r="D44">
            <v>0</v>
          </cell>
          <cell r="E44" t="str">
            <v>＝</v>
          </cell>
          <cell r="F44">
            <v>0</v>
          </cell>
          <cell r="G44" t="str">
            <v>非流动资产合计</v>
          </cell>
          <cell r="H44">
            <v>0</v>
          </cell>
          <cell r="I44">
            <v>1998</v>
          </cell>
          <cell r="J44">
            <v>0</v>
          </cell>
          <cell r="M44" t="str">
            <v>长期应收款</v>
          </cell>
          <cell r="P44" t="str">
            <v>收到原保险合同保费取得的现金</v>
          </cell>
          <cell r="S44" t="str">
            <v>1221k</v>
          </cell>
          <cell r="T44" t="str">
            <v>按欠款方归集的其他应收款期末余额前五名单位情况</v>
          </cell>
          <cell r="U44" t="str">
            <v>单位名称</v>
          </cell>
          <cell r="V44">
            <v>1</v>
          </cell>
          <cell r="W44">
            <v>1221</v>
          </cell>
          <cell r="X44">
            <v>2</v>
          </cell>
        </row>
        <row r="45">
          <cell r="B45">
            <v>1999</v>
          </cell>
          <cell r="C45" t="str">
            <v>资产</v>
          </cell>
          <cell r="D45">
            <v>0</v>
          </cell>
          <cell r="E45" t="str">
            <v>＝</v>
          </cell>
          <cell r="F45">
            <v>0</v>
          </cell>
          <cell r="G45" t="str">
            <v>资产总计</v>
          </cell>
          <cell r="H45">
            <v>0</v>
          </cell>
          <cell r="I45">
            <v>1999</v>
          </cell>
          <cell r="J45">
            <v>0</v>
          </cell>
          <cell r="M45" t="str">
            <v>固定资产</v>
          </cell>
          <cell r="P45" t="str">
            <v>收到再保险业务现金净额</v>
          </cell>
          <cell r="S45" t="str">
            <v>1221r</v>
          </cell>
          <cell r="T45" t="str">
            <v>应收政府补助情况</v>
          </cell>
          <cell r="U45" t="str">
            <v>单位名称</v>
          </cell>
          <cell r="V45">
            <v>1</v>
          </cell>
          <cell r="W45">
            <v>1221</v>
          </cell>
          <cell r="X45">
            <v>2</v>
          </cell>
        </row>
        <row r="46">
          <cell r="B46">
            <v>2000</v>
          </cell>
          <cell r="C46" t="str">
            <v>流动负债项目</v>
          </cell>
          <cell r="D46">
            <v>0</v>
          </cell>
          <cell r="E46" t="str">
            <v>：</v>
          </cell>
          <cell r="F46">
            <v>0</v>
          </cell>
          <cell r="G46" t="str">
            <v>流动负债：</v>
          </cell>
          <cell r="H46">
            <v>0</v>
          </cell>
          <cell r="I46">
            <v>2000</v>
          </cell>
          <cell r="J46">
            <v>0</v>
          </cell>
          <cell r="M46" t="str">
            <v>累计折旧</v>
          </cell>
          <cell r="P46" t="str">
            <v>保户储金及投资款净增加额</v>
          </cell>
          <cell r="S46" t="str">
            <v>1221n</v>
          </cell>
          <cell r="T46" t="str">
            <v>因金融资产转移而终止确认的其他应收款情况</v>
          </cell>
          <cell r="U46" t="str">
            <v>项       目</v>
          </cell>
          <cell r="V46">
            <v>1</v>
          </cell>
          <cell r="W46">
            <v>1221</v>
          </cell>
          <cell r="X46">
            <v>2</v>
          </cell>
        </row>
        <row r="47">
          <cell r="B47">
            <v>2001</v>
          </cell>
          <cell r="C47" t="str">
            <v>短期借款</v>
          </cell>
          <cell r="D47">
            <v>-1</v>
          </cell>
          <cell r="E47">
            <v>0</v>
          </cell>
          <cell r="F47">
            <v>4110</v>
          </cell>
          <cell r="G47" t="str">
            <v>短期借款</v>
          </cell>
          <cell r="H47">
            <v>0</v>
          </cell>
          <cell r="I47">
            <v>2001</v>
          </cell>
          <cell r="J47" t="str">
            <v>J</v>
          </cell>
          <cell r="M47" t="str">
            <v>固定资产减值准备</v>
          </cell>
          <cell r="P47" t="str">
            <v>处置交易性金融资产净增加额</v>
          </cell>
          <cell r="S47" t="str">
            <v>1221o</v>
          </cell>
          <cell r="T47" t="str">
            <v>转移其他应收款且继续涉入形成的资产金额</v>
          </cell>
          <cell r="U47" t="str">
            <v>项       目</v>
          </cell>
          <cell r="V47">
            <v>1</v>
          </cell>
          <cell r="W47">
            <v>1221</v>
          </cell>
          <cell r="X47">
            <v>2</v>
          </cell>
        </row>
        <row r="48">
          <cell r="B48">
            <v>2004</v>
          </cell>
          <cell r="C48" t="str">
            <v>向中央银行借款</v>
          </cell>
          <cell r="D48">
            <v>-1</v>
          </cell>
          <cell r="E48" t="str">
            <v>△</v>
          </cell>
          <cell r="F48">
            <v>0</v>
          </cell>
          <cell r="G48" t="str">
            <v>向中央银行借款</v>
          </cell>
          <cell r="H48">
            <v>0</v>
          </cell>
          <cell r="I48">
            <v>2004</v>
          </cell>
          <cell r="J48" t="str">
            <v>J</v>
          </cell>
          <cell r="M48" t="str">
            <v>在建工程</v>
          </cell>
          <cell r="P48" t="str">
            <v>收取利息手续费及佣金的现金</v>
          </cell>
          <cell r="S48" t="str">
            <v>1221p</v>
          </cell>
          <cell r="T48" t="str">
            <v>转移其他应收款且继续涉入形成的负债金额</v>
          </cell>
          <cell r="U48" t="str">
            <v>项       目</v>
          </cell>
          <cell r="V48">
            <v>1</v>
          </cell>
          <cell r="W48">
            <v>1221</v>
          </cell>
          <cell r="X48">
            <v>2</v>
          </cell>
        </row>
        <row r="49">
          <cell r="B49">
            <v>2010</v>
          </cell>
          <cell r="C49" t="str">
            <v>吸收存款及同业存放</v>
          </cell>
          <cell r="D49">
            <v>-1</v>
          </cell>
          <cell r="E49" t="str">
            <v>△</v>
          </cell>
          <cell r="F49">
            <v>0</v>
          </cell>
          <cell r="G49" t="str">
            <v>吸收存款及同业存放</v>
          </cell>
          <cell r="H49">
            <v>0</v>
          </cell>
          <cell r="I49">
            <v>2010</v>
          </cell>
          <cell r="J49" t="str">
            <v>J</v>
          </cell>
          <cell r="M49" t="str">
            <v>在建工程减值准备</v>
          </cell>
          <cell r="P49" t="str">
            <v>拆入资金净增加额</v>
          </cell>
          <cell r="S49" t="str">
            <v>1221c</v>
          </cell>
          <cell r="T49" t="str">
            <v>外币其他应收款</v>
          </cell>
          <cell r="U49" t="str">
            <v>币       种</v>
          </cell>
          <cell r="V49">
            <v>1</v>
          </cell>
          <cell r="W49">
            <v>1221</v>
          </cell>
          <cell r="X49">
            <v>2</v>
          </cell>
        </row>
        <row r="50">
          <cell r="B50">
            <v>2003</v>
          </cell>
          <cell r="C50" t="str">
            <v>拆入资金</v>
          </cell>
          <cell r="D50">
            <v>-1</v>
          </cell>
          <cell r="E50" t="str">
            <v>△</v>
          </cell>
          <cell r="F50">
            <v>0</v>
          </cell>
          <cell r="G50" t="str">
            <v>拆入资金</v>
          </cell>
          <cell r="H50">
            <v>0</v>
          </cell>
          <cell r="I50">
            <v>2003</v>
          </cell>
          <cell r="J50" t="str">
            <v>J</v>
          </cell>
          <cell r="M50" t="str">
            <v>工程物资</v>
          </cell>
          <cell r="P50" t="str">
            <v>回购业务资金净增加额</v>
          </cell>
          <cell r="S50" t="str">
            <v>1221m</v>
          </cell>
          <cell r="T50" t="str">
            <v>关联方应收应付款项——其他应收款</v>
          </cell>
          <cell r="U50" t="str">
            <v>单位名称</v>
          </cell>
          <cell r="V50">
            <v>1</v>
          </cell>
          <cell r="W50">
            <v>1221</v>
          </cell>
          <cell r="X50">
            <v>2</v>
          </cell>
        </row>
        <row r="51">
          <cell r="B51">
            <v>2101</v>
          </cell>
          <cell r="C51" t="str">
            <v>以公允价值计量且其变动计入当期损益的金融负债</v>
          </cell>
          <cell r="D51">
            <v>-1</v>
          </cell>
          <cell r="E51">
            <v>0</v>
          </cell>
          <cell r="F51" t="str">
            <v>4610_4620</v>
          </cell>
          <cell r="G51" t="str">
            <v>以公允价值计量且其变动计入当期损益的金融负债</v>
          </cell>
          <cell r="H51">
            <v>0</v>
          </cell>
          <cell r="I51">
            <v>2101</v>
          </cell>
          <cell r="J51" t="str">
            <v>J</v>
          </cell>
          <cell r="M51" t="str">
            <v>工程物资减值准备</v>
          </cell>
          <cell r="P51" t="str">
            <v>客户贷款及垫款净增加额</v>
          </cell>
          <cell r="S51" t="str">
            <v>1400a</v>
          </cell>
          <cell r="T51" t="str">
            <v>存货分类列示</v>
          </cell>
          <cell r="U51" t="str">
            <v>存货种类</v>
          </cell>
          <cell r="V51">
            <v>1</v>
          </cell>
          <cell r="W51">
            <v>1400</v>
          </cell>
          <cell r="X51">
            <v>1</v>
          </cell>
        </row>
        <row r="52">
          <cell r="B52">
            <v>2115</v>
          </cell>
          <cell r="C52" t="str">
            <v>衍生金融负债</v>
          </cell>
          <cell r="D52">
            <v>-1</v>
          </cell>
          <cell r="E52" t="str">
            <v>Ｘ</v>
          </cell>
          <cell r="F52">
            <v>4620</v>
          </cell>
          <cell r="G52" t="str">
            <v>衍生金融负债</v>
          </cell>
          <cell r="H52">
            <v>0</v>
          </cell>
          <cell r="I52">
            <v>2115</v>
          </cell>
          <cell r="J52" t="str">
            <v>J</v>
          </cell>
          <cell r="M52" t="str">
            <v>固定资产清理</v>
          </cell>
          <cell r="P52" t="str">
            <v>存放中央银行和同业款项净增加额</v>
          </cell>
          <cell r="S52" t="str">
            <v>1400b</v>
          </cell>
          <cell r="T52" t="str">
            <v>存货跌价准备的增减变动情况</v>
          </cell>
          <cell r="U52" t="str">
            <v>存货种类</v>
          </cell>
          <cell r="V52">
            <v>1</v>
          </cell>
          <cell r="W52">
            <v>1400</v>
          </cell>
          <cell r="X52">
            <v>2</v>
          </cell>
        </row>
        <row r="53">
          <cell r="B53">
            <v>2201</v>
          </cell>
          <cell r="C53" t="str">
            <v>应付票据</v>
          </cell>
          <cell r="D53">
            <v>-1</v>
          </cell>
          <cell r="E53">
            <v>0</v>
          </cell>
          <cell r="F53">
            <v>4220</v>
          </cell>
          <cell r="G53" t="str">
            <v>应付票据</v>
          </cell>
          <cell r="H53">
            <v>0</v>
          </cell>
          <cell r="I53">
            <v>2201</v>
          </cell>
          <cell r="J53" t="str">
            <v>J</v>
          </cell>
          <cell r="M53" t="str">
            <v>生产性生物资产</v>
          </cell>
          <cell r="P53" t="str">
            <v>支付原保险合同赔付款项的现金</v>
          </cell>
          <cell r="S53" t="str">
            <v>1400c</v>
          </cell>
          <cell r="T53" t="str">
            <v>存货跌价准备计提依据与转回情况</v>
          </cell>
          <cell r="U53" t="str">
            <v>存货种类</v>
          </cell>
          <cell r="V53">
            <v>1</v>
          </cell>
          <cell r="W53">
            <v>1400</v>
          </cell>
          <cell r="X53">
            <v>2</v>
          </cell>
        </row>
        <row r="54">
          <cell r="B54">
            <v>2202</v>
          </cell>
          <cell r="C54" t="str">
            <v>应付账款</v>
          </cell>
          <cell r="D54">
            <v>-1</v>
          </cell>
          <cell r="E54">
            <v>0</v>
          </cell>
          <cell r="F54">
            <v>4230</v>
          </cell>
          <cell r="G54" t="str">
            <v>应付账款</v>
          </cell>
          <cell r="H54">
            <v>0</v>
          </cell>
          <cell r="I54">
            <v>2202</v>
          </cell>
          <cell r="J54" t="str">
            <v>J</v>
          </cell>
          <cell r="M54" t="str">
            <v>生产性生物资产累计折旧</v>
          </cell>
          <cell r="P54" t="str">
            <v>支付利息手续费及佣金的现金</v>
          </cell>
          <cell r="S54" t="str">
            <v>1400t</v>
          </cell>
          <cell r="T54" t="str">
            <v>存货期末余额中含有借款费用资本化金额的说明</v>
          </cell>
          <cell r="U54" t="str">
            <v>项       目</v>
          </cell>
          <cell r="V54">
            <v>1</v>
          </cell>
          <cell r="W54">
            <v>1400</v>
          </cell>
          <cell r="X54">
            <v>2</v>
          </cell>
        </row>
        <row r="55">
          <cell r="B55">
            <v>2205</v>
          </cell>
          <cell r="C55" t="str">
            <v>预收款项</v>
          </cell>
          <cell r="D55">
            <v>-1</v>
          </cell>
          <cell r="E55">
            <v>0</v>
          </cell>
          <cell r="F55">
            <v>4240</v>
          </cell>
          <cell r="G55" t="str">
            <v>预收款项</v>
          </cell>
          <cell r="H55">
            <v>0</v>
          </cell>
          <cell r="I55">
            <v>2205</v>
          </cell>
          <cell r="J55" t="str">
            <v>J</v>
          </cell>
          <cell r="M55" t="str">
            <v>生产性生物资产减值准备</v>
          </cell>
          <cell r="P55" t="str">
            <v>支付保单红利的现金</v>
          </cell>
          <cell r="S55" t="str">
            <v>1400d</v>
          </cell>
          <cell r="T55" t="str">
            <v>开发成本</v>
          </cell>
          <cell r="U55" t="str">
            <v>项目名称</v>
          </cell>
          <cell r="V55">
            <v>1</v>
          </cell>
          <cell r="W55">
            <v>1400</v>
          </cell>
          <cell r="X55">
            <v>2</v>
          </cell>
        </row>
        <row r="56">
          <cell r="B56">
            <v>2111</v>
          </cell>
          <cell r="C56" t="str">
            <v>卖出回购金融资产款</v>
          </cell>
          <cell r="D56">
            <v>-1</v>
          </cell>
          <cell r="E56" t="str">
            <v>△</v>
          </cell>
          <cell r="F56">
            <v>0</v>
          </cell>
          <cell r="G56" t="str">
            <v>卖出回购金融资产款</v>
          </cell>
          <cell r="H56">
            <v>0</v>
          </cell>
          <cell r="I56">
            <v>2111</v>
          </cell>
          <cell r="J56" t="str">
            <v>J</v>
          </cell>
          <cell r="M56" t="str">
            <v>油气资产</v>
          </cell>
          <cell r="P56" t="str">
            <v>质押贷款净增加额</v>
          </cell>
          <cell r="S56" t="str">
            <v>1400e</v>
          </cell>
          <cell r="T56" t="str">
            <v>开发产品</v>
          </cell>
          <cell r="U56" t="str">
            <v>项目名称</v>
          </cell>
          <cell r="V56">
            <v>1</v>
          </cell>
          <cell r="W56">
            <v>1400</v>
          </cell>
          <cell r="X56">
            <v>2</v>
          </cell>
        </row>
        <row r="57">
          <cell r="B57">
            <v>2240</v>
          </cell>
          <cell r="C57" t="str">
            <v>应付手续费及佣金</v>
          </cell>
          <cell r="D57">
            <v>-1</v>
          </cell>
          <cell r="E57" t="str">
            <v>△</v>
          </cell>
          <cell r="F57">
            <v>0</v>
          </cell>
          <cell r="G57" t="str">
            <v>应付手续费及佣金</v>
          </cell>
          <cell r="H57">
            <v>0</v>
          </cell>
          <cell r="I57">
            <v>2240</v>
          </cell>
          <cell r="J57" t="str">
            <v>J</v>
          </cell>
          <cell r="M57" t="str">
            <v>累计折耗</v>
          </cell>
          <cell r="P57" t="str">
            <v>期初现金及现金等价物余额</v>
          </cell>
          <cell r="S57" t="str">
            <v>1400g</v>
          </cell>
          <cell r="T57" t="str">
            <v>周转房</v>
          </cell>
          <cell r="U57" t="str">
            <v>项目名称</v>
          </cell>
          <cell r="V57">
            <v>1</v>
          </cell>
          <cell r="W57">
            <v>1400</v>
          </cell>
          <cell r="X57">
            <v>2</v>
          </cell>
        </row>
        <row r="58">
          <cell r="B58">
            <v>2211</v>
          </cell>
          <cell r="C58" t="str">
            <v>应付职工薪酬</v>
          </cell>
          <cell r="D58">
            <v>-1</v>
          </cell>
          <cell r="E58">
            <v>0</v>
          </cell>
          <cell r="F58">
            <v>4300</v>
          </cell>
          <cell r="G58" t="str">
            <v>应付职工薪酬</v>
          </cell>
          <cell r="H58">
            <v>0</v>
          </cell>
          <cell r="I58">
            <v>2211</v>
          </cell>
          <cell r="J58" t="str">
            <v>J</v>
          </cell>
          <cell r="M58" t="str">
            <v>油气资产减值准备</v>
          </cell>
          <cell r="P58" t="str">
            <v>现金流量调整</v>
          </cell>
          <cell r="S58" t="str">
            <v>1400h</v>
          </cell>
          <cell r="T58" t="str">
            <v>建造合同形成的已完工未结算资产</v>
          </cell>
          <cell r="U58" t="str">
            <v>项       目</v>
          </cell>
          <cell r="V58">
            <v>1</v>
          </cell>
          <cell r="W58">
            <v>1400</v>
          </cell>
          <cell r="X58">
            <v>2</v>
          </cell>
        </row>
        <row r="59">
          <cell r="B59">
            <v>2221</v>
          </cell>
          <cell r="C59" t="str">
            <v>应交税费</v>
          </cell>
          <cell r="D59">
            <v>-1</v>
          </cell>
          <cell r="E59">
            <v>0</v>
          </cell>
          <cell r="F59">
            <v>4410</v>
          </cell>
          <cell r="G59" t="str">
            <v>应交税费</v>
          </cell>
          <cell r="H59">
            <v>0</v>
          </cell>
          <cell r="I59">
            <v>2221</v>
          </cell>
          <cell r="J59" t="str">
            <v>J</v>
          </cell>
          <cell r="M59" t="str">
            <v>开发支出</v>
          </cell>
          <cell r="S59" t="str">
            <v>1400s</v>
          </cell>
          <cell r="T59" t="str">
            <v>期末用于债务担保的存货</v>
          </cell>
          <cell r="U59" t="str">
            <v>项       目</v>
          </cell>
          <cell r="V59">
            <v>1</v>
          </cell>
          <cell r="W59">
            <v>1400</v>
          </cell>
          <cell r="X59">
            <v>2</v>
          </cell>
        </row>
        <row r="60">
          <cell r="B60">
            <v>2231</v>
          </cell>
          <cell r="C60" t="str">
            <v>应付利息</v>
          </cell>
          <cell r="D60">
            <v>-1</v>
          </cell>
          <cell r="E60">
            <v>0</v>
          </cell>
          <cell r="F60">
            <v>4250</v>
          </cell>
          <cell r="G60" t="str">
            <v>应付利息</v>
          </cell>
          <cell r="H60">
            <v>0</v>
          </cell>
          <cell r="I60">
            <v>2231</v>
          </cell>
          <cell r="J60" t="str">
            <v>J</v>
          </cell>
          <cell r="M60" t="str">
            <v>无形资产</v>
          </cell>
          <cell r="S60" t="str">
            <v>1315a</v>
          </cell>
          <cell r="T60" t="str">
            <v>划分为持有待售的资产</v>
          </cell>
          <cell r="U60" t="str">
            <v>项       目</v>
          </cell>
          <cell r="V60">
            <v>1</v>
          </cell>
          <cell r="W60">
            <v>1315</v>
          </cell>
          <cell r="X60">
            <v>1</v>
          </cell>
        </row>
        <row r="61">
          <cell r="B61">
            <v>2232</v>
          </cell>
          <cell r="C61" t="str">
            <v>应付股利</v>
          </cell>
          <cell r="D61">
            <v>-1</v>
          </cell>
          <cell r="E61">
            <v>0</v>
          </cell>
          <cell r="F61">
            <v>4260</v>
          </cell>
          <cell r="G61" t="str">
            <v>应付股利</v>
          </cell>
          <cell r="H61">
            <v>0</v>
          </cell>
          <cell r="I61">
            <v>2232</v>
          </cell>
          <cell r="J61" t="str">
            <v>J</v>
          </cell>
          <cell r="M61" t="str">
            <v>累计摊销</v>
          </cell>
          <cell r="S61" t="str">
            <v>2315a</v>
          </cell>
          <cell r="T61" t="str">
            <v>划分为持有待售的负债</v>
          </cell>
          <cell r="U61" t="str">
            <v>项       目</v>
          </cell>
          <cell r="V61">
            <v>1</v>
          </cell>
          <cell r="W61">
            <v>2315</v>
          </cell>
          <cell r="X61">
            <v>1</v>
          </cell>
        </row>
        <row r="62">
          <cell r="B62">
            <v>2241</v>
          </cell>
          <cell r="C62" t="str">
            <v>其他应付款</v>
          </cell>
          <cell r="D62">
            <v>-1</v>
          </cell>
          <cell r="E62">
            <v>0</v>
          </cell>
          <cell r="F62">
            <v>4270</v>
          </cell>
          <cell r="G62" t="str">
            <v>其他应付款</v>
          </cell>
          <cell r="H62">
            <v>0</v>
          </cell>
          <cell r="I62">
            <v>2241</v>
          </cell>
          <cell r="J62" t="str">
            <v>J</v>
          </cell>
          <cell r="M62" t="str">
            <v>无形资产减值准备</v>
          </cell>
          <cell r="S62" t="str">
            <v>1315b</v>
          </cell>
          <cell r="T62" t="str">
            <v>划分为持有待售的非流动资产</v>
          </cell>
          <cell r="U62" t="str">
            <v>项       目</v>
          </cell>
          <cell r="V62">
            <v>1</v>
          </cell>
          <cell r="W62">
            <v>1315</v>
          </cell>
          <cell r="X62">
            <v>2</v>
          </cell>
        </row>
        <row r="63">
          <cell r="B63">
            <v>2261</v>
          </cell>
          <cell r="C63" t="str">
            <v>应付分保账款</v>
          </cell>
          <cell r="D63">
            <v>-1</v>
          </cell>
          <cell r="E63" t="str">
            <v>△</v>
          </cell>
          <cell r="F63">
            <v>0</v>
          </cell>
          <cell r="G63" t="str">
            <v>应付分保账款</v>
          </cell>
          <cell r="H63">
            <v>0</v>
          </cell>
          <cell r="I63">
            <v>2261</v>
          </cell>
          <cell r="J63" t="str">
            <v>J</v>
          </cell>
          <cell r="M63" t="str">
            <v>商誉</v>
          </cell>
          <cell r="S63" t="str">
            <v>1315c</v>
          </cell>
          <cell r="T63" t="str">
            <v>划分为持有待售的处置组（一）</v>
          </cell>
          <cell r="U63" t="str">
            <v>项       目</v>
          </cell>
          <cell r="V63">
            <v>1</v>
          </cell>
          <cell r="W63">
            <v>1315</v>
          </cell>
          <cell r="X63">
            <v>2</v>
          </cell>
        </row>
        <row r="64">
          <cell r="B64">
            <v>2310</v>
          </cell>
          <cell r="C64" t="str">
            <v>保险合同准备金</v>
          </cell>
          <cell r="D64">
            <v>-1</v>
          </cell>
          <cell r="E64" t="str">
            <v>△</v>
          </cell>
          <cell r="F64">
            <v>0</v>
          </cell>
          <cell r="G64" t="str">
            <v>保险合同准备金</v>
          </cell>
          <cell r="H64">
            <v>0</v>
          </cell>
          <cell r="I64">
            <v>2310</v>
          </cell>
          <cell r="J64" t="str">
            <v>J</v>
          </cell>
          <cell r="M64" t="str">
            <v>商誉减值准备</v>
          </cell>
          <cell r="S64" t="str">
            <v>1315d</v>
          </cell>
          <cell r="T64" t="str">
            <v>划分为持有待售的处置组（二）</v>
          </cell>
          <cell r="U64" t="str">
            <v>项       目</v>
          </cell>
          <cell r="V64">
            <v>1</v>
          </cell>
          <cell r="W64">
            <v>1315</v>
          </cell>
          <cell r="X64">
            <v>2</v>
          </cell>
        </row>
        <row r="65">
          <cell r="B65">
            <v>2311</v>
          </cell>
          <cell r="C65" t="str">
            <v>代理买卖证券款</v>
          </cell>
          <cell r="D65">
            <v>-1</v>
          </cell>
          <cell r="E65" t="str">
            <v>△</v>
          </cell>
          <cell r="F65">
            <v>0</v>
          </cell>
          <cell r="G65" t="str">
            <v>代理买卖证券款</v>
          </cell>
          <cell r="H65">
            <v>0</v>
          </cell>
          <cell r="I65">
            <v>2311</v>
          </cell>
          <cell r="J65" t="str">
            <v>J</v>
          </cell>
          <cell r="M65" t="str">
            <v>长期待摊费用</v>
          </cell>
          <cell r="S65" t="str">
            <v>1495a</v>
          </cell>
          <cell r="T65" t="str">
            <v>一年内到期的非流动资产</v>
          </cell>
          <cell r="U65" t="str">
            <v>项       目</v>
          </cell>
          <cell r="V65">
            <v>1</v>
          </cell>
          <cell r="W65">
            <v>1495</v>
          </cell>
          <cell r="X65">
            <v>1</v>
          </cell>
        </row>
        <row r="66">
          <cell r="B66">
            <v>2312</v>
          </cell>
          <cell r="C66" t="str">
            <v>代理承销证券款</v>
          </cell>
          <cell r="D66">
            <v>-1</v>
          </cell>
          <cell r="E66" t="str">
            <v>△</v>
          </cell>
          <cell r="F66">
            <v>0</v>
          </cell>
          <cell r="G66" t="str">
            <v>代理承销证券款</v>
          </cell>
          <cell r="H66">
            <v>0</v>
          </cell>
          <cell r="I66">
            <v>2312</v>
          </cell>
          <cell r="J66" t="str">
            <v>J</v>
          </cell>
          <cell r="M66" t="str">
            <v>递延所得税资产</v>
          </cell>
          <cell r="S66" t="str">
            <v>1496a</v>
          </cell>
          <cell r="T66" t="str">
            <v>其他流动资产明细列示</v>
          </cell>
          <cell r="U66" t="str">
            <v>项       目</v>
          </cell>
          <cell r="V66">
            <v>1</v>
          </cell>
          <cell r="W66">
            <v>1496</v>
          </cell>
          <cell r="X66">
            <v>1</v>
          </cell>
        </row>
        <row r="67">
          <cell r="B67">
            <v>2315</v>
          </cell>
          <cell r="C67" t="str">
            <v>划分为持有待售的负债</v>
          </cell>
          <cell r="D67">
            <v>-1</v>
          </cell>
          <cell r="E67" t="str">
            <v>Ｘ</v>
          </cell>
          <cell r="F67">
            <v>4550</v>
          </cell>
          <cell r="G67" t="str">
            <v>划分为持有待售的负债</v>
          </cell>
          <cell r="H67">
            <v>0</v>
          </cell>
          <cell r="I67">
            <v>2315</v>
          </cell>
          <cell r="J67" t="str">
            <v>J</v>
          </cell>
          <cell r="M67" t="str">
            <v>其他非流动资产</v>
          </cell>
          <cell r="S67" t="str">
            <v>1503a</v>
          </cell>
          <cell r="T67" t="str">
            <v>可供出售金融资产情况</v>
          </cell>
          <cell r="U67" t="str">
            <v>项       目</v>
          </cell>
          <cell r="V67">
            <v>1</v>
          </cell>
          <cell r="W67">
            <v>1503</v>
          </cell>
          <cell r="X67">
            <v>1</v>
          </cell>
        </row>
        <row r="68">
          <cell r="B68">
            <v>2395</v>
          </cell>
          <cell r="C68" t="str">
            <v>一年内到期的非流动负债</v>
          </cell>
          <cell r="D68">
            <v>-1</v>
          </cell>
          <cell r="E68">
            <v>0</v>
          </cell>
          <cell r="F68">
            <v>4280</v>
          </cell>
          <cell r="G68" t="str">
            <v>一年内到期的非流动负债</v>
          </cell>
          <cell r="H68">
            <v>0</v>
          </cell>
          <cell r="I68">
            <v>2395</v>
          </cell>
          <cell r="J68" t="str">
            <v>J</v>
          </cell>
          <cell r="M68" t="str">
            <v>公益性生物资产</v>
          </cell>
          <cell r="S68" t="str">
            <v>1503e</v>
          </cell>
          <cell r="T68" t="str">
            <v>按公允价值计量的可供出售金融资产</v>
          </cell>
          <cell r="U68" t="str">
            <v>可供出售金融资产分类</v>
          </cell>
          <cell r="V68">
            <v>1</v>
          </cell>
          <cell r="W68">
            <v>1503</v>
          </cell>
          <cell r="X68">
            <v>2</v>
          </cell>
        </row>
        <row r="69">
          <cell r="B69">
            <v>2396</v>
          </cell>
          <cell r="C69" t="str">
            <v>其他流动负债</v>
          </cell>
          <cell r="D69">
            <v>-1</v>
          </cell>
          <cell r="E69">
            <v>0</v>
          </cell>
          <cell r="F69">
            <v>4290</v>
          </cell>
          <cell r="G69" t="str">
            <v>其他流动负债</v>
          </cell>
          <cell r="H69">
            <v>0</v>
          </cell>
          <cell r="I69">
            <v>2396</v>
          </cell>
          <cell r="J69" t="str">
            <v>J</v>
          </cell>
          <cell r="M69" t="str">
            <v>短期借款</v>
          </cell>
          <cell r="S69" t="str">
            <v>1503f</v>
          </cell>
          <cell r="T69" t="str">
            <v>采用成本计量的可供出售权益工具</v>
          </cell>
          <cell r="U69" t="str">
            <v>被投资单位</v>
          </cell>
          <cell r="V69">
            <v>1</v>
          </cell>
          <cell r="W69">
            <v>1503</v>
          </cell>
          <cell r="X69">
            <v>2</v>
          </cell>
        </row>
        <row r="70">
          <cell r="B70">
            <v>2498</v>
          </cell>
          <cell r="C70" t="str">
            <v>流动负债</v>
          </cell>
          <cell r="D70">
            <v>0</v>
          </cell>
          <cell r="E70" t="str">
            <v>＝</v>
          </cell>
          <cell r="F70">
            <v>0</v>
          </cell>
          <cell r="G70" t="str">
            <v>流动负债合计</v>
          </cell>
          <cell r="H70">
            <v>0</v>
          </cell>
          <cell r="I70">
            <v>2498</v>
          </cell>
          <cell r="J70">
            <v>0</v>
          </cell>
          <cell r="M70" t="str">
            <v>以公允价值计量且其变动计入当期损益的金融负债</v>
          </cell>
          <cell r="S70" t="str">
            <v>1503d</v>
          </cell>
          <cell r="T70" t="str">
            <v>报告期内可供出售金融资产减值的变动情况</v>
          </cell>
          <cell r="U70" t="str">
            <v>可供出售金融资产分类</v>
          </cell>
          <cell r="V70">
            <v>1</v>
          </cell>
          <cell r="W70">
            <v>1503</v>
          </cell>
          <cell r="X70">
            <v>2</v>
          </cell>
        </row>
        <row r="71">
          <cell r="B71">
            <v>2500</v>
          </cell>
          <cell r="C71" t="str">
            <v>非流动负债项目</v>
          </cell>
          <cell r="D71">
            <v>0</v>
          </cell>
          <cell r="E71" t="str">
            <v>：</v>
          </cell>
          <cell r="F71">
            <v>0</v>
          </cell>
          <cell r="G71" t="str">
            <v>非流动负债：</v>
          </cell>
          <cell r="H71">
            <v>0</v>
          </cell>
          <cell r="I71">
            <v>2500</v>
          </cell>
          <cell r="J71">
            <v>0</v>
          </cell>
          <cell r="M71" t="str">
            <v>衍生金融负债</v>
          </cell>
          <cell r="S71" t="str">
            <v>1503g</v>
          </cell>
          <cell r="T71" t="str">
            <v>可供出售权益工具期末公允价值大幅下跌或持续下跌相关说明</v>
          </cell>
          <cell r="U71" t="str">
            <v>可供出售权益工具项目</v>
          </cell>
          <cell r="V71">
            <v>1</v>
          </cell>
          <cell r="W71">
            <v>1503</v>
          </cell>
          <cell r="X71">
            <v>2</v>
          </cell>
        </row>
        <row r="72">
          <cell r="B72">
            <v>2501</v>
          </cell>
          <cell r="C72" t="str">
            <v>长期借款</v>
          </cell>
          <cell r="D72">
            <v>-1</v>
          </cell>
          <cell r="E72">
            <v>0</v>
          </cell>
          <cell r="F72">
            <v>4120</v>
          </cell>
          <cell r="G72" t="str">
            <v>长期借款</v>
          </cell>
          <cell r="H72">
            <v>0</v>
          </cell>
          <cell r="I72">
            <v>2501</v>
          </cell>
          <cell r="J72" t="str">
            <v>J</v>
          </cell>
          <cell r="M72" t="str">
            <v>应付票据</v>
          </cell>
          <cell r="S72" t="str">
            <v>1501a</v>
          </cell>
          <cell r="T72" t="str">
            <v>持有至到期投资分项列示</v>
          </cell>
          <cell r="U72" t="str">
            <v>项       目</v>
          </cell>
          <cell r="V72">
            <v>1</v>
          </cell>
          <cell r="W72">
            <v>1501</v>
          </cell>
          <cell r="X72">
            <v>1</v>
          </cell>
        </row>
        <row r="73">
          <cell r="B73">
            <v>2502</v>
          </cell>
          <cell r="C73" t="str">
            <v>应付债券</v>
          </cell>
          <cell r="D73">
            <v>-1</v>
          </cell>
          <cell r="E73">
            <v>0</v>
          </cell>
          <cell r="F73">
            <v>4130</v>
          </cell>
          <cell r="G73" t="str">
            <v>应付债券</v>
          </cell>
          <cell r="H73">
            <v>0</v>
          </cell>
          <cell r="I73">
            <v>2502</v>
          </cell>
          <cell r="J73" t="str">
            <v>J</v>
          </cell>
          <cell r="M73" t="str">
            <v>应付账款</v>
          </cell>
          <cell r="S73" t="str">
            <v>1501d</v>
          </cell>
          <cell r="T73" t="str">
            <v>重要的持有至到期投资</v>
          </cell>
          <cell r="U73" t="str">
            <v>债券项目</v>
          </cell>
          <cell r="V73">
            <v>1</v>
          </cell>
          <cell r="W73">
            <v>1501</v>
          </cell>
          <cell r="X73">
            <v>2</v>
          </cell>
        </row>
        <row r="74">
          <cell r="B74">
            <v>2502.11</v>
          </cell>
          <cell r="C74" t="str">
            <v>应付债券_优先股</v>
          </cell>
          <cell r="D74">
            <v>-1</v>
          </cell>
          <cell r="E74" t="str">
            <v>OEI</v>
          </cell>
          <cell r="F74">
            <v>0</v>
          </cell>
          <cell r="G74" t="str">
            <v>其中：优先股</v>
          </cell>
          <cell r="H74">
            <v>0</v>
          </cell>
          <cell r="I74">
            <v>2502.11</v>
          </cell>
          <cell r="J74" t="str">
            <v>J</v>
          </cell>
          <cell r="M74" t="str">
            <v>预收款项</v>
          </cell>
          <cell r="S74" t="str">
            <v>1501e</v>
          </cell>
          <cell r="T74" t="str">
            <v>持有至到期投资重分类情况</v>
          </cell>
          <cell r="U74" t="str">
            <v>项       目</v>
          </cell>
          <cell r="V74">
            <v>1</v>
          </cell>
          <cell r="W74">
            <v>1501</v>
          </cell>
          <cell r="X74">
            <v>2</v>
          </cell>
        </row>
        <row r="75">
          <cell r="B75">
            <v>2502.31</v>
          </cell>
          <cell r="C75" t="str">
            <v>应付债券_永续债</v>
          </cell>
          <cell r="D75">
            <v>-1</v>
          </cell>
          <cell r="E75" t="str">
            <v>OEI</v>
          </cell>
          <cell r="F75">
            <v>0</v>
          </cell>
          <cell r="G75" t="str">
            <v xml:space="preserve">      永续债</v>
          </cell>
          <cell r="H75">
            <v>0</v>
          </cell>
          <cell r="I75">
            <v>2502.31</v>
          </cell>
          <cell r="J75" t="str">
            <v>J</v>
          </cell>
          <cell r="M75" t="str">
            <v>应付职工薪酬</v>
          </cell>
          <cell r="S75" t="str">
            <v>1531a</v>
          </cell>
          <cell r="T75" t="str">
            <v>长期应收款按性质披露</v>
          </cell>
          <cell r="U75" t="str">
            <v>项       目</v>
          </cell>
          <cell r="V75">
            <v>1</v>
          </cell>
          <cell r="W75">
            <v>1531</v>
          </cell>
          <cell r="X75">
            <v>1</v>
          </cell>
        </row>
        <row r="76">
          <cell r="B76">
            <v>2701</v>
          </cell>
          <cell r="C76" t="str">
            <v>长期应付款</v>
          </cell>
          <cell r="D76">
            <v>-1</v>
          </cell>
          <cell r="E76">
            <v>0</v>
          </cell>
          <cell r="F76">
            <v>4510</v>
          </cell>
          <cell r="G76" t="str">
            <v>长期应付款</v>
          </cell>
          <cell r="H76">
            <v>0</v>
          </cell>
          <cell r="I76">
            <v>2701</v>
          </cell>
          <cell r="J76" t="str">
            <v>J</v>
          </cell>
          <cell r="M76" t="str">
            <v>应交税费</v>
          </cell>
          <cell r="S76" t="str">
            <v>1531b</v>
          </cell>
          <cell r="T76" t="str">
            <v>长期应收款逾期情况</v>
          </cell>
          <cell r="U76" t="str">
            <v>逾  期</v>
          </cell>
          <cell r="V76">
            <v>1</v>
          </cell>
          <cell r="W76">
            <v>1531</v>
          </cell>
          <cell r="X76">
            <v>2</v>
          </cell>
        </row>
        <row r="77">
          <cell r="B77">
            <v>2715</v>
          </cell>
          <cell r="C77" t="str">
            <v>长期应付职工薪酬</v>
          </cell>
          <cell r="D77">
            <v>-1</v>
          </cell>
          <cell r="E77">
            <v>0</v>
          </cell>
          <cell r="F77">
            <v>4320</v>
          </cell>
          <cell r="G77" t="str">
            <v>长期应付职工薪酬</v>
          </cell>
          <cell r="H77">
            <v>0</v>
          </cell>
          <cell r="I77">
            <v>2715</v>
          </cell>
          <cell r="J77" t="str">
            <v>J</v>
          </cell>
          <cell r="M77" t="str">
            <v>应付利息</v>
          </cell>
          <cell r="S77" t="str">
            <v>1531c</v>
          </cell>
          <cell r="T77" t="str">
            <v>终止确认的长期应收款情况</v>
          </cell>
          <cell r="U77" t="str">
            <v>项       目</v>
          </cell>
          <cell r="V77">
            <v>1</v>
          </cell>
          <cell r="W77">
            <v>1531</v>
          </cell>
          <cell r="X77">
            <v>2</v>
          </cell>
        </row>
        <row r="78">
          <cell r="B78">
            <v>2711</v>
          </cell>
          <cell r="C78" t="str">
            <v>专项应付款</v>
          </cell>
          <cell r="D78">
            <v>-1</v>
          </cell>
          <cell r="E78">
            <v>0</v>
          </cell>
          <cell r="F78">
            <v>4520</v>
          </cell>
          <cell r="G78" t="str">
            <v>专项应付款</v>
          </cell>
          <cell r="H78">
            <v>0</v>
          </cell>
          <cell r="I78">
            <v>2711</v>
          </cell>
          <cell r="J78" t="str">
            <v>J</v>
          </cell>
          <cell r="M78" t="str">
            <v>应付股利</v>
          </cell>
          <cell r="S78" t="str">
            <v>1531d</v>
          </cell>
          <cell r="T78" t="str">
            <v>转移长期应收款且继续涉入形成的资产</v>
          </cell>
          <cell r="U78" t="str">
            <v>项       目</v>
          </cell>
          <cell r="V78">
            <v>1</v>
          </cell>
          <cell r="W78">
            <v>1531</v>
          </cell>
          <cell r="X78">
            <v>2</v>
          </cell>
        </row>
        <row r="79">
          <cell r="B79">
            <v>2801</v>
          </cell>
          <cell r="C79" t="str">
            <v>预计负债</v>
          </cell>
          <cell r="D79">
            <v>-1</v>
          </cell>
          <cell r="E79">
            <v>0</v>
          </cell>
          <cell r="F79">
            <v>4530</v>
          </cell>
          <cell r="G79" t="str">
            <v>预计负债</v>
          </cell>
          <cell r="H79">
            <v>0</v>
          </cell>
          <cell r="I79">
            <v>2801</v>
          </cell>
          <cell r="J79" t="str">
            <v>J</v>
          </cell>
          <cell r="M79" t="str">
            <v>其他应付款</v>
          </cell>
          <cell r="S79" t="str">
            <v>1531e</v>
          </cell>
          <cell r="T79" t="str">
            <v>转移长期应收款且继续涉入形成的负债</v>
          </cell>
          <cell r="U79" t="str">
            <v>项       目</v>
          </cell>
          <cell r="V79">
            <v>1</v>
          </cell>
          <cell r="W79">
            <v>1531</v>
          </cell>
          <cell r="X79">
            <v>2</v>
          </cell>
        </row>
        <row r="80">
          <cell r="B80">
            <v>2401</v>
          </cell>
          <cell r="C80" t="str">
            <v>递延收益</v>
          </cell>
          <cell r="D80">
            <v>-1</v>
          </cell>
          <cell r="E80">
            <v>0</v>
          </cell>
          <cell r="F80">
            <v>4540</v>
          </cell>
          <cell r="G80" t="str">
            <v>递延收益</v>
          </cell>
          <cell r="H80">
            <v>0</v>
          </cell>
          <cell r="I80">
            <v>2401</v>
          </cell>
          <cell r="J80" t="str">
            <v>J</v>
          </cell>
          <cell r="M80" t="str">
            <v>划分为持有待售的负债</v>
          </cell>
          <cell r="S80" t="str">
            <v>1531f</v>
          </cell>
          <cell r="T80" t="str">
            <v>外币长期应收款</v>
          </cell>
          <cell r="U80" t="str">
            <v>币       种</v>
          </cell>
          <cell r="V80">
            <v>1</v>
          </cell>
          <cell r="W80">
            <v>1531</v>
          </cell>
          <cell r="X80">
            <v>2</v>
          </cell>
        </row>
        <row r="81">
          <cell r="B81">
            <v>2901</v>
          </cell>
          <cell r="C81" t="str">
            <v>递延所得税负债</v>
          </cell>
          <cell r="D81">
            <v>-1</v>
          </cell>
          <cell r="E81">
            <v>0</v>
          </cell>
          <cell r="F81">
            <v>4420</v>
          </cell>
          <cell r="G81" t="str">
            <v>递延所得税负债</v>
          </cell>
          <cell r="H81">
            <v>0</v>
          </cell>
          <cell r="I81">
            <v>2901</v>
          </cell>
          <cell r="J81" t="str">
            <v>J</v>
          </cell>
          <cell r="M81" t="str">
            <v>一年内到期的非流动负债</v>
          </cell>
          <cell r="S81" t="str">
            <v>1515a</v>
          </cell>
          <cell r="T81" t="str">
            <v>设定受益计划净资产</v>
          </cell>
          <cell r="U81" t="str">
            <v>项       目</v>
          </cell>
          <cell r="V81">
            <v>1</v>
          </cell>
          <cell r="W81">
            <v>1515</v>
          </cell>
          <cell r="X81">
            <v>1</v>
          </cell>
        </row>
        <row r="82">
          <cell r="B82">
            <v>2996</v>
          </cell>
          <cell r="C82" t="str">
            <v>其他非流动负债</v>
          </cell>
          <cell r="D82">
            <v>-1</v>
          </cell>
          <cell r="E82">
            <v>0</v>
          </cell>
          <cell r="F82">
            <v>4590</v>
          </cell>
          <cell r="G82" t="str">
            <v>其他非流动负债</v>
          </cell>
          <cell r="H82">
            <v>0</v>
          </cell>
          <cell r="I82">
            <v>2996</v>
          </cell>
          <cell r="J82" t="str">
            <v>J</v>
          </cell>
          <cell r="M82" t="str">
            <v>其他流动负债</v>
          </cell>
          <cell r="S82" t="str">
            <v>1515b</v>
          </cell>
          <cell r="T82" t="str">
            <v>设定受益计划义务现值变动情况</v>
          </cell>
          <cell r="U82" t="str">
            <v>项       目</v>
          </cell>
          <cell r="V82">
            <v>1</v>
          </cell>
          <cell r="W82">
            <v>1515</v>
          </cell>
          <cell r="X82">
            <v>2</v>
          </cell>
        </row>
        <row r="83">
          <cell r="B83">
            <v>2998</v>
          </cell>
          <cell r="C83" t="str">
            <v>非流动负债</v>
          </cell>
          <cell r="D83">
            <v>0</v>
          </cell>
          <cell r="E83" t="str">
            <v>＝</v>
          </cell>
          <cell r="F83">
            <v>0</v>
          </cell>
          <cell r="G83" t="str">
            <v>非流动负债合计</v>
          </cell>
          <cell r="H83">
            <v>0</v>
          </cell>
          <cell r="I83">
            <v>2998</v>
          </cell>
          <cell r="J83">
            <v>0</v>
          </cell>
          <cell r="M83" t="str">
            <v>递延收益</v>
          </cell>
          <cell r="S83" t="str">
            <v>1515c</v>
          </cell>
          <cell r="T83" t="str">
            <v>设定受益计划资产变动情况</v>
          </cell>
          <cell r="U83" t="str">
            <v>项       目</v>
          </cell>
          <cell r="V83">
            <v>1</v>
          </cell>
          <cell r="W83">
            <v>1515</v>
          </cell>
          <cell r="X83">
            <v>2</v>
          </cell>
        </row>
        <row r="84">
          <cell r="B84">
            <v>2999</v>
          </cell>
          <cell r="C84" t="str">
            <v>负债</v>
          </cell>
          <cell r="D84">
            <v>0</v>
          </cell>
          <cell r="E84" t="str">
            <v>＝</v>
          </cell>
          <cell r="F84">
            <v>0</v>
          </cell>
          <cell r="G84" t="str">
            <v>负债合计</v>
          </cell>
          <cell r="H84">
            <v>0</v>
          </cell>
          <cell r="I84">
            <v>2999</v>
          </cell>
          <cell r="J84">
            <v>0</v>
          </cell>
          <cell r="M84" t="str">
            <v>长期借款</v>
          </cell>
          <cell r="S84" t="str">
            <v>1515d</v>
          </cell>
          <cell r="T84" t="str">
            <v>设定受益计划净资产变动情况</v>
          </cell>
          <cell r="U84" t="str">
            <v>项       目</v>
          </cell>
          <cell r="V84">
            <v>1</v>
          </cell>
          <cell r="W84">
            <v>1515</v>
          </cell>
          <cell r="X84">
            <v>2</v>
          </cell>
        </row>
        <row r="85">
          <cell r="B85">
            <v>4000</v>
          </cell>
          <cell r="C85" t="str">
            <v>所有者权益项目</v>
          </cell>
          <cell r="D85">
            <v>0</v>
          </cell>
          <cell r="E85" t="str">
            <v>：</v>
          </cell>
          <cell r="F85">
            <v>0</v>
          </cell>
          <cell r="G85" t="str">
            <v>股东（或所有者）权益：</v>
          </cell>
          <cell r="H85" t="str">
            <v>所有者权益(或股东权益)：</v>
          </cell>
          <cell r="I85">
            <v>4000</v>
          </cell>
          <cell r="J85">
            <v>0</v>
          </cell>
          <cell r="M85" t="str">
            <v>应付债券</v>
          </cell>
          <cell r="S85" t="str">
            <v>1515e</v>
          </cell>
          <cell r="T85" t="str">
            <v>未折现的离职后福利预计到期分析</v>
          </cell>
          <cell r="U85" t="str">
            <v>项       目</v>
          </cell>
          <cell r="V85">
            <v>1</v>
          </cell>
          <cell r="W85">
            <v>1515</v>
          </cell>
          <cell r="X85">
            <v>2</v>
          </cell>
        </row>
        <row r="86">
          <cell r="B86">
            <v>4001</v>
          </cell>
          <cell r="C86" t="str">
            <v>实收资本</v>
          </cell>
          <cell r="D86">
            <v>-1</v>
          </cell>
          <cell r="E86">
            <v>0</v>
          </cell>
          <cell r="F86">
            <v>5110</v>
          </cell>
          <cell r="G86" t="str">
            <v>股本</v>
          </cell>
          <cell r="H86" t="str">
            <v>实收资本（或股本）</v>
          </cell>
          <cell r="I86">
            <v>4001</v>
          </cell>
          <cell r="J86" t="str">
            <v>J</v>
          </cell>
          <cell r="M86" t="str">
            <v>应付债券_优先股</v>
          </cell>
          <cell r="S86" t="str">
            <v>1515f</v>
          </cell>
          <cell r="T86" t="str">
            <v>设定受益计划资产明细</v>
          </cell>
          <cell r="U86" t="str">
            <v>项       目</v>
          </cell>
          <cell r="V86">
            <v>1</v>
          </cell>
          <cell r="W86">
            <v>1515</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应付债券_永续债</v>
          </cell>
          <cell r="S87" t="str">
            <v>1515g</v>
          </cell>
          <cell r="T87" t="str">
            <v>设定受益计划精算假设</v>
          </cell>
          <cell r="U87" t="str">
            <v>项       目</v>
          </cell>
          <cell r="V87">
            <v>1</v>
          </cell>
          <cell r="W87">
            <v>1515</v>
          </cell>
          <cell r="X87">
            <v>2</v>
          </cell>
        </row>
        <row r="88">
          <cell r="B88">
            <v>4015.11</v>
          </cell>
          <cell r="C88" t="str">
            <v>其他权益工具_优先股</v>
          </cell>
          <cell r="D88">
            <v>-1</v>
          </cell>
          <cell r="E88" t="str">
            <v>OEI</v>
          </cell>
          <cell r="F88">
            <v>0</v>
          </cell>
          <cell r="G88" t="str">
            <v>其中：优先股</v>
          </cell>
          <cell r="H88" t="str">
            <v>其中：优先股</v>
          </cell>
          <cell r="I88">
            <v>4015.11</v>
          </cell>
          <cell r="J88" t="str">
            <v>J</v>
          </cell>
          <cell r="M88" t="str">
            <v>长期应付款</v>
          </cell>
          <cell r="S88" t="str">
            <v>1515h</v>
          </cell>
          <cell r="T88" t="str">
            <v>设定受益计划敏感性分析</v>
          </cell>
          <cell r="U88" t="str">
            <v>项       目</v>
          </cell>
          <cell r="V88">
            <v>1</v>
          </cell>
          <cell r="W88">
            <v>1515</v>
          </cell>
          <cell r="X88">
            <v>2</v>
          </cell>
        </row>
        <row r="89">
          <cell r="B89">
            <v>4015.31</v>
          </cell>
          <cell r="C89" t="str">
            <v>其他权益工具_永续债</v>
          </cell>
          <cell r="D89">
            <v>-1</v>
          </cell>
          <cell r="E89" t="str">
            <v>OEI</v>
          </cell>
          <cell r="F89">
            <v>0</v>
          </cell>
          <cell r="G89" t="str">
            <v xml:space="preserve">      永续债</v>
          </cell>
          <cell r="H89" t="str">
            <v xml:space="preserve">      永续债</v>
          </cell>
          <cell r="I89">
            <v>4015.31</v>
          </cell>
          <cell r="J89" t="str">
            <v>J</v>
          </cell>
          <cell r="M89" t="str">
            <v>专项应付款</v>
          </cell>
          <cell r="S89" t="str">
            <v>1511a</v>
          </cell>
          <cell r="T89" t="str">
            <v>长期股权投资分项列示</v>
          </cell>
          <cell r="U89" t="str">
            <v>被投资单位</v>
          </cell>
          <cell r="V89">
            <v>1</v>
          </cell>
          <cell r="W89">
            <v>1511</v>
          </cell>
          <cell r="X89">
            <v>2</v>
          </cell>
        </row>
        <row r="90">
          <cell r="B90">
            <v>4015.91</v>
          </cell>
          <cell r="C90" t="str">
            <v>其他权益工具_其他</v>
          </cell>
          <cell r="D90">
            <v>-1</v>
          </cell>
          <cell r="E90" t="str">
            <v>OEI</v>
          </cell>
          <cell r="F90">
            <v>0</v>
          </cell>
          <cell r="G90" t="str">
            <v xml:space="preserve">      其他</v>
          </cell>
          <cell r="H90" t="str">
            <v xml:space="preserve">      其他</v>
          </cell>
          <cell r="I90">
            <v>4015.91</v>
          </cell>
          <cell r="J90" t="str">
            <v>J</v>
          </cell>
          <cell r="M90" t="str">
            <v>长期应付职工薪酬</v>
          </cell>
          <cell r="S90" t="str">
            <v>1511b</v>
          </cell>
          <cell r="T90" t="str">
            <v>长期股权投资本期增减变动</v>
          </cell>
          <cell r="U90" t="str">
            <v>被投资单位</v>
          </cell>
          <cell r="V90">
            <v>1</v>
          </cell>
          <cell r="W90">
            <v>1511</v>
          </cell>
          <cell r="X90">
            <v>1</v>
          </cell>
        </row>
        <row r="91">
          <cell r="B91">
            <v>4002</v>
          </cell>
          <cell r="C91" t="str">
            <v>资本公积</v>
          </cell>
          <cell r="D91">
            <v>-1</v>
          </cell>
          <cell r="E91">
            <v>0</v>
          </cell>
          <cell r="F91">
            <v>5210</v>
          </cell>
          <cell r="G91" t="str">
            <v>资本公积</v>
          </cell>
          <cell r="H91" t="str">
            <v>资本公积</v>
          </cell>
          <cell r="I91">
            <v>4002</v>
          </cell>
          <cell r="J91" t="str">
            <v>J</v>
          </cell>
          <cell r="M91" t="str">
            <v>预计负债</v>
          </cell>
          <cell r="S91" t="str">
            <v>1521d</v>
          </cell>
          <cell r="T91" t="str">
            <v>按成本计量的投资性房地产账面原值</v>
          </cell>
          <cell r="U91" t="str">
            <v>项       目</v>
          </cell>
          <cell r="V91">
            <v>1</v>
          </cell>
          <cell r="W91">
            <v>1521</v>
          </cell>
          <cell r="X91">
            <v>2</v>
          </cell>
        </row>
        <row r="92">
          <cell r="B92">
            <v>4201</v>
          </cell>
          <cell r="C92" t="str">
            <v>库存股</v>
          </cell>
          <cell r="D92">
            <v>1</v>
          </cell>
          <cell r="E92">
            <v>0</v>
          </cell>
          <cell r="F92">
            <v>5310</v>
          </cell>
          <cell r="G92" t="str">
            <v>减：库存股</v>
          </cell>
          <cell r="H92" t="str">
            <v>减：库存股</v>
          </cell>
          <cell r="I92">
            <v>4201</v>
          </cell>
          <cell r="J92" t="str">
            <v>J</v>
          </cell>
          <cell r="M92" t="str">
            <v>递延所得税负债</v>
          </cell>
          <cell r="S92" t="str">
            <v>1521e</v>
          </cell>
          <cell r="T92" t="str">
            <v>按成本计量的投资性房地产累计折旧和累计摊销</v>
          </cell>
          <cell r="U92" t="str">
            <v>项       目</v>
          </cell>
          <cell r="V92">
            <v>1</v>
          </cell>
          <cell r="W92">
            <v>1521</v>
          </cell>
          <cell r="X92">
            <v>2</v>
          </cell>
        </row>
        <row r="93">
          <cell r="B93">
            <v>4215</v>
          </cell>
          <cell r="C93" t="str">
            <v>其他综合收益</v>
          </cell>
          <cell r="D93">
            <v>-1</v>
          </cell>
          <cell r="E93">
            <v>0</v>
          </cell>
          <cell r="F93">
            <v>6710</v>
          </cell>
          <cell r="G93" t="str">
            <v>其他综合收益</v>
          </cell>
          <cell r="H93" t="str">
            <v>其他综合收益</v>
          </cell>
          <cell r="I93">
            <v>4215</v>
          </cell>
          <cell r="J93" t="str">
            <v>J</v>
          </cell>
          <cell r="M93" t="str">
            <v>其他非流动负债</v>
          </cell>
          <cell r="S93" t="str">
            <v>1521f</v>
          </cell>
          <cell r="T93" t="str">
            <v>按成本计量的投资性房地产减值准备</v>
          </cell>
          <cell r="U93" t="str">
            <v>项       目</v>
          </cell>
          <cell r="V93">
            <v>1</v>
          </cell>
          <cell r="W93">
            <v>1521</v>
          </cell>
          <cell r="X93">
            <v>2</v>
          </cell>
        </row>
        <row r="94">
          <cell r="B94">
            <v>4301</v>
          </cell>
          <cell r="C94" t="str">
            <v>专项储备</v>
          </cell>
          <cell r="D94">
            <v>-1</v>
          </cell>
          <cell r="E94">
            <v>0</v>
          </cell>
          <cell r="F94">
            <v>5510</v>
          </cell>
          <cell r="G94" t="str">
            <v>专项储备</v>
          </cell>
          <cell r="H94" t="str">
            <v>专项储备</v>
          </cell>
          <cell r="I94">
            <v>4301</v>
          </cell>
          <cell r="J94" t="str">
            <v>J</v>
          </cell>
          <cell r="M94" t="str">
            <v>营业收入</v>
          </cell>
          <cell r="S94" t="str">
            <v>1521g</v>
          </cell>
          <cell r="T94" t="str">
            <v>按成本计量的投资性房地产账面价值</v>
          </cell>
          <cell r="U94" t="str">
            <v>项       目</v>
          </cell>
          <cell r="V94">
            <v>1</v>
          </cell>
          <cell r="W94">
            <v>1521</v>
          </cell>
          <cell r="X94">
            <v>1</v>
          </cell>
        </row>
        <row r="95">
          <cell r="B95">
            <v>4101</v>
          </cell>
          <cell r="C95" t="str">
            <v>盈余公积</v>
          </cell>
          <cell r="D95">
            <v>-1</v>
          </cell>
          <cell r="E95">
            <v>0</v>
          </cell>
          <cell r="F95">
            <v>5410</v>
          </cell>
          <cell r="G95" t="str">
            <v>盈余公积</v>
          </cell>
          <cell r="H95" t="str">
            <v>盈余公积</v>
          </cell>
          <cell r="I95">
            <v>4101</v>
          </cell>
          <cell r="J95" t="str">
            <v>J</v>
          </cell>
          <cell r="M95" t="str">
            <v>公允价值变动收益</v>
          </cell>
          <cell r="S95" t="str">
            <v>1521b</v>
          </cell>
          <cell r="T95" t="str">
            <v>按公允价值计量的投资性房地产</v>
          </cell>
          <cell r="U95" t="str">
            <v>项       目</v>
          </cell>
          <cell r="V95">
            <v>1</v>
          </cell>
          <cell r="W95">
            <v>1521</v>
          </cell>
          <cell r="X95">
            <v>2</v>
          </cell>
        </row>
        <row r="96">
          <cell r="B96">
            <v>4102</v>
          </cell>
          <cell r="C96" t="str">
            <v>一般风险准备</v>
          </cell>
          <cell r="D96">
            <v>-1</v>
          </cell>
          <cell r="E96">
            <v>0</v>
          </cell>
          <cell r="F96">
            <v>0</v>
          </cell>
          <cell r="G96" t="str">
            <v>一般风险准备</v>
          </cell>
          <cell r="H96" t="str">
            <v>一般风险准备</v>
          </cell>
          <cell r="I96">
            <v>4102</v>
          </cell>
          <cell r="J96" t="str">
            <v>J</v>
          </cell>
          <cell r="M96" t="str">
            <v>投资收益</v>
          </cell>
          <cell r="S96" t="str">
            <v>1521c</v>
          </cell>
          <cell r="T96" t="str">
            <v>未办妥产权证书的情况</v>
          </cell>
          <cell r="U96" t="str">
            <v>项       目</v>
          </cell>
          <cell r="V96">
            <v>1</v>
          </cell>
          <cell r="W96">
            <v>1521</v>
          </cell>
          <cell r="X96">
            <v>2</v>
          </cell>
        </row>
        <row r="97">
          <cell r="B97">
            <v>4200</v>
          </cell>
          <cell r="C97" t="str">
            <v>未分配利润</v>
          </cell>
          <cell r="D97">
            <v>-1</v>
          </cell>
          <cell r="E97">
            <v>0</v>
          </cell>
          <cell r="F97">
            <v>5610</v>
          </cell>
          <cell r="G97" t="str">
            <v>未分配利润</v>
          </cell>
          <cell r="H97" t="str">
            <v>未分配利润</v>
          </cell>
          <cell r="I97">
            <v>4200</v>
          </cell>
          <cell r="J97" t="str">
            <v>J</v>
          </cell>
          <cell r="M97" t="str">
            <v>对联营企业和合营企业的投资收益</v>
          </cell>
          <cell r="S97" t="str">
            <v>1521s</v>
          </cell>
          <cell r="T97" t="str">
            <v>投资性房地产抵押情况</v>
          </cell>
          <cell r="U97" t="str">
            <v>抵押资产明细项目</v>
          </cell>
          <cell r="V97">
            <v>1</v>
          </cell>
          <cell r="W97">
            <v>1521</v>
          </cell>
          <cell r="X97">
            <v>2</v>
          </cell>
        </row>
        <row r="98">
          <cell r="B98">
            <v>4210</v>
          </cell>
          <cell r="C98" t="str">
            <v>外币报表折算差额</v>
          </cell>
          <cell r="D98">
            <v>-1</v>
          </cell>
          <cell r="E98" t="str">
            <v>※</v>
          </cell>
          <cell r="F98">
            <v>0</v>
          </cell>
          <cell r="G98" t="str">
            <v>外币报表折算差额</v>
          </cell>
          <cell r="H98" t="str">
            <v>外币报表折算差额</v>
          </cell>
          <cell r="I98">
            <v>4210</v>
          </cell>
          <cell r="J98">
            <v>0</v>
          </cell>
          <cell r="M98" t="str">
            <v>营业成本</v>
          </cell>
          <cell r="S98" t="str">
            <v>1521a</v>
          </cell>
          <cell r="T98" t="str">
            <v>采用成本计量模式的投资性房地产增减变动</v>
          </cell>
          <cell r="U98" t="str">
            <v>项       目</v>
          </cell>
          <cell r="V98">
            <v>1</v>
          </cell>
          <cell r="W98">
            <v>1521</v>
          </cell>
          <cell r="X98">
            <v>2</v>
          </cell>
        </row>
        <row r="99">
          <cell r="B99">
            <v>4298</v>
          </cell>
          <cell r="C99" t="str">
            <v>归属于母公司所有者权益</v>
          </cell>
          <cell r="D99">
            <v>0</v>
          </cell>
          <cell r="E99" t="str">
            <v>※</v>
          </cell>
          <cell r="F99">
            <v>0</v>
          </cell>
          <cell r="G99" t="str">
            <v>归属于母公司股东权益合计</v>
          </cell>
          <cell r="H99" t="str">
            <v>归属于母公司所有者权益合计</v>
          </cell>
          <cell r="I99">
            <v>4298</v>
          </cell>
          <cell r="J99">
            <v>0</v>
          </cell>
          <cell r="M99" t="str">
            <v>营业税金及附加</v>
          </cell>
          <cell r="S99" t="str">
            <v>1601g</v>
          </cell>
          <cell r="T99" t="str">
            <v>固定资产原值</v>
          </cell>
          <cell r="U99" t="str">
            <v>项       目</v>
          </cell>
          <cell r="V99">
            <v>1</v>
          </cell>
          <cell r="W99">
            <v>1601</v>
          </cell>
          <cell r="X99">
            <v>2</v>
          </cell>
        </row>
        <row r="100">
          <cell r="B100">
            <v>4398</v>
          </cell>
          <cell r="C100" t="str">
            <v>少数股东权益</v>
          </cell>
          <cell r="D100">
            <v>-1</v>
          </cell>
          <cell r="E100" t="str">
            <v>※</v>
          </cell>
          <cell r="F100">
            <v>0</v>
          </cell>
          <cell r="G100" t="str">
            <v>少数股东权益</v>
          </cell>
          <cell r="H100" t="str">
            <v>少数股东权益</v>
          </cell>
          <cell r="I100">
            <v>4398</v>
          </cell>
          <cell r="J100" t="str">
            <v>J</v>
          </cell>
          <cell r="M100" t="str">
            <v>销售费用</v>
          </cell>
          <cell r="S100" t="str">
            <v>1601h</v>
          </cell>
          <cell r="T100" t="str">
            <v>固定资产累计折旧</v>
          </cell>
          <cell r="U100" t="str">
            <v>项       目</v>
          </cell>
          <cell r="V100">
            <v>1</v>
          </cell>
          <cell r="W100">
            <v>1601</v>
          </cell>
          <cell r="X100">
            <v>2</v>
          </cell>
        </row>
        <row r="101">
          <cell r="B101">
            <v>4999</v>
          </cell>
          <cell r="C101" t="str">
            <v>所有者权益</v>
          </cell>
          <cell r="D101">
            <v>0</v>
          </cell>
          <cell r="E101" t="str">
            <v>＝</v>
          </cell>
          <cell r="F101">
            <v>0</v>
          </cell>
          <cell r="G101" t="str">
            <v>股东（或所有者）权益合计</v>
          </cell>
          <cell r="H101" t="str">
            <v>所有者权益合计</v>
          </cell>
          <cell r="I101">
            <v>4999</v>
          </cell>
          <cell r="J101">
            <v>0</v>
          </cell>
          <cell r="M101" t="str">
            <v>管理费用</v>
          </cell>
          <cell r="S101" t="str">
            <v>1601i</v>
          </cell>
          <cell r="T101" t="str">
            <v>固定资产减值准备</v>
          </cell>
          <cell r="U101" t="str">
            <v>项       目</v>
          </cell>
          <cell r="V101">
            <v>1</v>
          </cell>
          <cell r="W101">
            <v>1601</v>
          </cell>
          <cell r="X101">
            <v>2</v>
          </cell>
        </row>
        <row r="102">
          <cell r="B102">
            <v>5000</v>
          </cell>
          <cell r="C102" t="str">
            <v>负债和所有者权益</v>
          </cell>
          <cell r="D102">
            <v>0</v>
          </cell>
          <cell r="E102" t="str">
            <v>＝</v>
          </cell>
          <cell r="F102">
            <v>0</v>
          </cell>
          <cell r="G102" t="str">
            <v>负债和股东（或所有者）权益总计</v>
          </cell>
          <cell r="H102" t="str">
            <v>负债和所有者权益总计</v>
          </cell>
          <cell r="I102">
            <v>5000</v>
          </cell>
          <cell r="J102">
            <v>0</v>
          </cell>
          <cell r="M102" t="str">
            <v>财务费用</v>
          </cell>
          <cell r="S102" t="str">
            <v>1601j</v>
          </cell>
          <cell r="T102" t="str">
            <v>固定资产账面价值</v>
          </cell>
          <cell r="U102" t="str">
            <v>项       目</v>
          </cell>
          <cell r="V102">
            <v>1</v>
          </cell>
          <cell r="W102">
            <v>1601</v>
          </cell>
          <cell r="X102">
            <v>1</v>
          </cell>
        </row>
        <row r="103">
          <cell r="B103">
            <v>6</v>
          </cell>
          <cell r="C103" t="str">
            <v>利润表</v>
          </cell>
          <cell r="D103">
            <v>0</v>
          </cell>
          <cell r="E103" t="str">
            <v>：</v>
          </cell>
          <cell r="F103">
            <v>0</v>
          </cell>
          <cell r="G103" t="str">
            <v>利润表</v>
          </cell>
          <cell r="H103">
            <v>0</v>
          </cell>
          <cell r="I103">
            <v>6</v>
          </cell>
          <cell r="J103">
            <v>0</v>
          </cell>
          <cell r="M103" t="str">
            <v>资产减值损失</v>
          </cell>
          <cell r="S103" t="str">
            <v>1601b</v>
          </cell>
          <cell r="T103" t="str">
            <v>暂时闲置的固定资产情况</v>
          </cell>
          <cell r="U103" t="str">
            <v>类       别</v>
          </cell>
          <cell r="V103">
            <v>1</v>
          </cell>
          <cell r="W103">
            <v>1601</v>
          </cell>
          <cell r="X103">
            <v>2</v>
          </cell>
        </row>
        <row r="104">
          <cell r="B104">
            <v>6098</v>
          </cell>
          <cell r="C104" t="str">
            <v>营业总收入</v>
          </cell>
          <cell r="D104">
            <v>0</v>
          </cell>
          <cell r="E104" t="str">
            <v>※</v>
          </cell>
          <cell r="F104">
            <v>0</v>
          </cell>
          <cell r="G104" t="str">
            <v>一、营业总收入</v>
          </cell>
          <cell r="H104" t="str">
            <v>一、营业总收入</v>
          </cell>
          <cell r="I104">
            <v>6098</v>
          </cell>
          <cell r="J104">
            <v>0</v>
          </cell>
          <cell r="M104" t="str">
            <v>营业外收入</v>
          </cell>
          <cell r="S104" t="str">
            <v>1601c</v>
          </cell>
          <cell r="T104" t="str">
            <v>通过融资租赁租入的固定资产情况</v>
          </cell>
          <cell r="U104" t="str">
            <v>资产类别</v>
          </cell>
          <cell r="V104">
            <v>1</v>
          </cell>
          <cell r="W104">
            <v>1601</v>
          </cell>
          <cell r="X104">
            <v>2</v>
          </cell>
        </row>
        <row r="105">
          <cell r="B105">
            <v>6001</v>
          </cell>
          <cell r="C105" t="str">
            <v>营业收入</v>
          </cell>
          <cell r="D105">
            <v>-1</v>
          </cell>
          <cell r="E105">
            <v>0</v>
          </cell>
          <cell r="F105">
            <v>6100</v>
          </cell>
          <cell r="G105" t="str">
            <v>一、营业收入</v>
          </cell>
          <cell r="H105" t="str">
            <v>其中：营业收入</v>
          </cell>
          <cell r="I105">
            <v>6001</v>
          </cell>
          <cell r="J105" t="str">
            <v>J</v>
          </cell>
          <cell r="M105" t="str">
            <v>营业外收入_非流动资产处置利得</v>
          </cell>
          <cell r="S105" t="str">
            <v>1601d</v>
          </cell>
          <cell r="T105" t="str">
            <v>通过经营租赁租出的固定资产</v>
          </cell>
          <cell r="U105" t="str">
            <v>资产类别</v>
          </cell>
          <cell r="V105">
            <v>1</v>
          </cell>
          <cell r="W105">
            <v>1601</v>
          </cell>
          <cell r="X105">
            <v>2</v>
          </cell>
        </row>
        <row r="106">
          <cell r="B106">
            <v>6011</v>
          </cell>
          <cell r="C106" t="str">
            <v>利息收入</v>
          </cell>
          <cell r="D106">
            <v>-1</v>
          </cell>
          <cell r="E106" t="str">
            <v>△</v>
          </cell>
          <cell r="F106">
            <v>0</v>
          </cell>
          <cell r="G106" t="str">
            <v>利息收入</v>
          </cell>
          <cell r="H106" t="str">
            <v>利息收入</v>
          </cell>
          <cell r="I106">
            <v>6011</v>
          </cell>
          <cell r="J106" t="str">
            <v>J</v>
          </cell>
          <cell r="M106" t="str">
            <v>营业外支出</v>
          </cell>
          <cell r="S106" t="str">
            <v>1601f</v>
          </cell>
          <cell r="T106" t="str">
            <v>未办妥产权证书的固定资产情况</v>
          </cell>
          <cell r="U106" t="str">
            <v>项       目</v>
          </cell>
          <cell r="V106">
            <v>1</v>
          </cell>
          <cell r="W106">
            <v>1601</v>
          </cell>
          <cell r="X106">
            <v>2</v>
          </cell>
        </row>
        <row r="107">
          <cell r="B107">
            <v>6030</v>
          </cell>
          <cell r="C107" t="str">
            <v>已赚保费</v>
          </cell>
          <cell r="D107">
            <v>-1</v>
          </cell>
          <cell r="E107" t="str">
            <v>△</v>
          </cell>
          <cell r="F107">
            <v>0</v>
          </cell>
          <cell r="G107" t="str">
            <v>已赚保费</v>
          </cell>
          <cell r="H107" t="str">
            <v>已赚保费</v>
          </cell>
          <cell r="I107">
            <v>6030</v>
          </cell>
          <cell r="J107" t="str">
            <v>J</v>
          </cell>
          <cell r="M107" t="str">
            <v>非流动资产处置损失</v>
          </cell>
          <cell r="S107" t="str">
            <v>1601s</v>
          </cell>
          <cell r="T107" t="str">
            <v>固定资产抵押情况</v>
          </cell>
          <cell r="U107" t="str">
            <v>抵押资产明细项目</v>
          </cell>
          <cell r="V107">
            <v>1</v>
          </cell>
          <cell r="W107">
            <v>1601</v>
          </cell>
          <cell r="X107">
            <v>2</v>
          </cell>
        </row>
        <row r="108">
          <cell r="B108">
            <v>6021</v>
          </cell>
          <cell r="C108" t="str">
            <v>手续费及佣金收入</v>
          </cell>
          <cell r="D108">
            <v>-1</v>
          </cell>
          <cell r="E108" t="str">
            <v>△</v>
          </cell>
          <cell r="F108">
            <v>0</v>
          </cell>
          <cell r="G108" t="str">
            <v>手续费及佣金收入</v>
          </cell>
          <cell r="H108" t="str">
            <v>手续费及佣金收入</v>
          </cell>
          <cell r="I108">
            <v>6021</v>
          </cell>
          <cell r="J108" t="str">
            <v>J</v>
          </cell>
          <cell r="M108" t="str">
            <v>所得税费用</v>
          </cell>
          <cell r="S108" t="str">
            <v>1601a</v>
          </cell>
          <cell r="T108" t="str">
            <v>固定资产及其累计折旧明细项目和增减变动</v>
          </cell>
          <cell r="U108" t="str">
            <v>项       目</v>
          </cell>
          <cell r="V108">
            <v>1</v>
          </cell>
          <cell r="W108">
            <v>1601</v>
          </cell>
          <cell r="X108">
            <v>2</v>
          </cell>
        </row>
        <row r="109">
          <cell r="B109">
            <v>6598</v>
          </cell>
          <cell r="C109" t="str">
            <v>营业总成本</v>
          </cell>
          <cell r="D109">
            <v>0</v>
          </cell>
          <cell r="E109" t="str">
            <v>※</v>
          </cell>
          <cell r="F109">
            <v>0</v>
          </cell>
          <cell r="G109" t="str">
            <v>二、营业总成本</v>
          </cell>
          <cell r="H109" t="str">
            <v>二、营业总成本</v>
          </cell>
          <cell r="I109">
            <v>6598</v>
          </cell>
          <cell r="J109">
            <v>0</v>
          </cell>
          <cell r="M109" t="str">
            <v>少数股东损益</v>
          </cell>
          <cell r="S109" t="str">
            <v>1604a</v>
          </cell>
          <cell r="T109" t="str">
            <v>在建工程明细</v>
          </cell>
          <cell r="U109" t="str">
            <v>项       目</v>
          </cell>
          <cell r="V109">
            <v>1</v>
          </cell>
          <cell r="W109">
            <v>1604</v>
          </cell>
          <cell r="X109">
            <v>1</v>
          </cell>
        </row>
        <row r="110">
          <cell r="B110">
            <v>6401</v>
          </cell>
          <cell r="C110" t="str">
            <v>营业成本</v>
          </cell>
          <cell r="D110">
            <v>1</v>
          </cell>
          <cell r="E110">
            <v>0</v>
          </cell>
          <cell r="F110">
            <v>6200</v>
          </cell>
          <cell r="G110" t="str">
            <v>减：营业成本</v>
          </cell>
          <cell r="H110" t="str">
            <v>其中：营业成本</v>
          </cell>
          <cell r="I110">
            <v>6401</v>
          </cell>
          <cell r="J110" t="str">
            <v>J</v>
          </cell>
          <cell r="M110" t="str">
            <v>重新计量设定受益计划净负债或净资产的变动</v>
          </cell>
          <cell r="S110" t="str">
            <v>1604b</v>
          </cell>
          <cell r="T110" t="str">
            <v>重要在建工程项目变动情况</v>
          </cell>
          <cell r="U110" t="str">
            <v>工程名称</v>
          </cell>
          <cell r="V110">
            <v>1</v>
          </cell>
          <cell r="W110">
            <v>1604</v>
          </cell>
          <cell r="X110">
            <v>2</v>
          </cell>
        </row>
        <row r="111">
          <cell r="B111">
            <v>6411</v>
          </cell>
          <cell r="C111" t="str">
            <v>利息支出</v>
          </cell>
          <cell r="D111">
            <v>1</v>
          </cell>
          <cell r="E111" t="str">
            <v>△</v>
          </cell>
          <cell r="F111">
            <v>0</v>
          </cell>
          <cell r="G111" t="str">
            <v>利息支出</v>
          </cell>
          <cell r="H111" t="str">
            <v>利息支出</v>
          </cell>
          <cell r="I111">
            <v>6411</v>
          </cell>
          <cell r="J111" t="str">
            <v>J</v>
          </cell>
          <cell r="M111" t="str">
            <v>权益法下在被投资单位不能重分类进损益的其他综合收益中享有的份额</v>
          </cell>
          <cell r="S111" t="str">
            <v>1604c</v>
          </cell>
          <cell r="T111" t="str">
            <v>重要在建工程项目变动情况（续）</v>
          </cell>
          <cell r="U111" t="str">
            <v>工程名称</v>
          </cell>
          <cell r="V111">
            <v>1</v>
          </cell>
          <cell r="W111">
            <v>1604</v>
          </cell>
          <cell r="X111">
            <v>2</v>
          </cell>
        </row>
        <row r="112">
          <cell r="B112">
            <v>6421</v>
          </cell>
          <cell r="C112" t="str">
            <v>手续费及佣金支出</v>
          </cell>
          <cell r="D112">
            <v>1</v>
          </cell>
          <cell r="E112" t="str">
            <v>△</v>
          </cell>
          <cell r="F112">
            <v>0</v>
          </cell>
          <cell r="G112" t="str">
            <v>手续费及佣金支出</v>
          </cell>
          <cell r="H112" t="str">
            <v>手续费及佣金支出</v>
          </cell>
          <cell r="I112">
            <v>6421</v>
          </cell>
          <cell r="J112" t="str">
            <v>J</v>
          </cell>
          <cell r="M112" t="str">
            <v>其他以后不能重分类进损益的其他综合收益</v>
          </cell>
          <cell r="S112" t="str">
            <v>1604d</v>
          </cell>
          <cell r="T112" t="str">
            <v>在建工程减值准备</v>
          </cell>
          <cell r="U112" t="str">
            <v>项       目</v>
          </cell>
          <cell r="V112">
            <v>1</v>
          </cell>
          <cell r="W112">
            <v>1604</v>
          </cell>
          <cell r="X112">
            <v>2</v>
          </cell>
        </row>
        <row r="113">
          <cell r="B113">
            <v>6531</v>
          </cell>
          <cell r="C113" t="str">
            <v>退保金</v>
          </cell>
          <cell r="D113">
            <v>1</v>
          </cell>
          <cell r="E113" t="str">
            <v>△</v>
          </cell>
          <cell r="F113">
            <v>0</v>
          </cell>
          <cell r="G113" t="str">
            <v>退保金</v>
          </cell>
          <cell r="H113" t="str">
            <v>退保金</v>
          </cell>
          <cell r="I113">
            <v>6531</v>
          </cell>
          <cell r="J113" t="str">
            <v>J</v>
          </cell>
          <cell r="M113" t="str">
            <v>权益法下在被投资单位以后将重分类进损益的其他综合收益中享有的份额</v>
          </cell>
          <cell r="S113" t="str">
            <v>1605a</v>
          </cell>
          <cell r="T113" t="str">
            <v>工程物资明细项目</v>
          </cell>
          <cell r="U113" t="str">
            <v>项       目</v>
          </cell>
          <cell r="V113">
            <v>1</v>
          </cell>
          <cell r="W113">
            <v>1605</v>
          </cell>
          <cell r="X113">
            <v>1</v>
          </cell>
        </row>
        <row r="114">
          <cell r="B114">
            <v>6510</v>
          </cell>
          <cell r="C114" t="str">
            <v>赔付支出净额</v>
          </cell>
          <cell r="D114">
            <v>1</v>
          </cell>
          <cell r="E114" t="str">
            <v>△</v>
          </cell>
          <cell r="F114">
            <v>0</v>
          </cell>
          <cell r="G114" t="str">
            <v>赔付支出净额</v>
          </cell>
          <cell r="H114" t="str">
            <v>赔付支出净额</v>
          </cell>
          <cell r="I114">
            <v>6510</v>
          </cell>
          <cell r="J114" t="str">
            <v>J</v>
          </cell>
          <cell r="M114" t="str">
            <v>可供出售金融资产公允价值变动损益</v>
          </cell>
          <cell r="S114" t="str">
            <v>1606a</v>
          </cell>
          <cell r="T114" t="str">
            <v>固定资产清理明细项目</v>
          </cell>
          <cell r="U114" t="str">
            <v>类       别</v>
          </cell>
          <cell r="V114">
            <v>1</v>
          </cell>
          <cell r="W114">
            <v>1606</v>
          </cell>
          <cell r="X114">
            <v>1</v>
          </cell>
        </row>
        <row r="115">
          <cell r="B115">
            <v>6505</v>
          </cell>
          <cell r="C115" t="str">
            <v>提取保险合同准备金净额</v>
          </cell>
          <cell r="D115">
            <v>1</v>
          </cell>
          <cell r="E115" t="str">
            <v>△</v>
          </cell>
          <cell r="F115">
            <v>0</v>
          </cell>
          <cell r="G115" t="str">
            <v>提取保险合同准备金净额</v>
          </cell>
          <cell r="H115" t="str">
            <v>提取保险合同准备金净额</v>
          </cell>
          <cell r="I115">
            <v>6505</v>
          </cell>
          <cell r="J115" t="str">
            <v>J</v>
          </cell>
          <cell r="M115" t="str">
            <v>持有至到期投资重分类为可供出售金融资产损益</v>
          </cell>
          <cell r="S115" t="str">
            <v>1621c</v>
          </cell>
          <cell r="T115" t="str">
            <v>以成本计量的生产性生物资产账面原值</v>
          </cell>
          <cell r="U115" t="str">
            <v>项       目</v>
          </cell>
          <cell r="V115">
            <v>1</v>
          </cell>
          <cell r="W115">
            <v>1621</v>
          </cell>
          <cell r="X115">
            <v>2</v>
          </cell>
        </row>
        <row r="116">
          <cell r="B116">
            <v>6521</v>
          </cell>
          <cell r="C116" t="str">
            <v>保单红利支出</v>
          </cell>
          <cell r="D116">
            <v>1</v>
          </cell>
          <cell r="E116" t="str">
            <v>△</v>
          </cell>
          <cell r="F116">
            <v>0</v>
          </cell>
          <cell r="G116" t="str">
            <v>保单红利支出</v>
          </cell>
          <cell r="H116" t="str">
            <v>保单红利支出</v>
          </cell>
          <cell r="I116">
            <v>6521</v>
          </cell>
          <cell r="J116" t="str">
            <v>J</v>
          </cell>
          <cell r="M116" t="str">
            <v>现金流量套期损益的有效部分</v>
          </cell>
          <cell r="S116" t="str">
            <v>1621d</v>
          </cell>
          <cell r="T116" t="str">
            <v>以成本计量的生产性生物资产累计折旧</v>
          </cell>
          <cell r="U116" t="str">
            <v>项       目</v>
          </cell>
          <cell r="V116">
            <v>1</v>
          </cell>
          <cell r="W116">
            <v>1621</v>
          </cell>
          <cell r="X116">
            <v>2</v>
          </cell>
        </row>
        <row r="117">
          <cell r="B117">
            <v>6542</v>
          </cell>
          <cell r="C117" t="str">
            <v>分保费用</v>
          </cell>
          <cell r="D117">
            <v>1</v>
          </cell>
          <cell r="E117" t="str">
            <v>△</v>
          </cell>
          <cell r="F117">
            <v>0</v>
          </cell>
          <cell r="G117" t="str">
            <v>分保费用</v>
          </cell>
          <cell r="H117" t="str">
            <v>分保费用</v>
          </cell>
          <cell r="I117">
            <v>6542</v>
          </cell>
          <cell r="J117" t="str">
            <v>J</v>
          </cell>
          <cell r="M117" t="str">
            <v>外币财务报表折算差额</v>
          </cell>
          <cell r="S117" t="str">
            <v>1621e</v>
          </cell>
          <cell r="T117" t="str">
            <v>以成本计量的生产性生物资产减值准备</v>
          </cell>
          <cell r="U117" t="str">
            <v>项       目</v>
          </cell>
          <cell r="V117">
            <v>1</v>
          </cell>
          <cell r="W117">
            <v>1621</v>
          </cell>
          <cell r="X117">
            <v>2</v>
          </cell>
        </row>
        <row r="118">
          <cell r="B118">
            <v>6600</v>
          </cell>
          <cell r="C118" t="str">
            <v>营业税金及附加</v>
          </cell>
          <cell r="D118">
            <v>1</v>
          </cell>
          <cell r="E118">
            <v>0</v>
          </cell>
          <cell r="F118">
            <v>6610</v>
          </cell>
          <cell r="G118" t="str">
            <v>营业税金及附加</v>
          </cell>
          <cell r="H118" t="str">
            <v>营业税金及附加</v>
          </cell>
          <cell r="I118">
            <v>6600</v>
          </cell>
          <cell r="J118" t="str">
            <v>J</v>
          </cell>
          <cell r="M118" t="str">
            <v>自用房地产或作为存货的房地产转换为以公允价值计量的投资性房地产在转换日公允价值大于账面价值部分</v>
          </cell>
          <cell r="S118" t="str">
            <v>1621f</v>
          </cell>
          <cell r="T118" t="str">
            <v>以成本计量的生产性生物资产账面价值</v>
          </cell>
          <cell r="U118" t="str">
            <v>项       目</v>
          </cell>
          <cell r="V118">
            <v>1</v>
          </cell>
          <cell r="W118">
            <v>1621</v>
          </cell>
          <cell r="X118">
            <v>1</v>
          </cell>
        </row>
        <row r="119">
          <cell r="B119">
            <v>6601</v>
          </cell>
          <cell r="C119" t="str">
            <v>销售费用</v>
          </cell>
          <cell r="D119">
            <v>1</v>
          </cell>
          <cell r="E119">
            <v>0</v>
          </cell>
          <cell r="F119">
            <v>6310</v>
          </cell>
          <cell r="G119" t="str">
            <v>销售费用</v>
          </cell>
          <cell r="H119" t="str">
            <v>销售费用</v>
          </cell>
          <cell r="I119">
            <v>6601</v>
          </cell>
          <cell r="J119" t="str">
            <v>J</v>
          </cell>
          <cell r="M119" t="str">
            <v>多次交易分步处置子公司股权构成一揽子交易的丧失控制权之前各次交易处置价款与对应净资产账面价值份额的差额</v>
          </cell>
          <cell r="S119" t="str">
            <v>1621b</v>
          </cell>
          <cell r="T119" t="str">
            <v>以公允价值计量的生产性生物资产明细列示</v>
          </cell>
          <cell r="U119" t="str">
            <v>项       目</v>
          </cell>
          <cell r="V119">
            <v>1</v>
          </cell>
          <cell r="W119">
            <v>1621</v>
          </cell>
          <cell r="X119">
            <v>2</v>
          </cell>
        </row>
        <row r="120">
          <cell r="B120">
            <v>6602</v>
          </cell>
          <cell r="C120" t="str">
            <v>管理费用</v>
          </cell>
          <cell r="D120">
            <v>1</v>
          </cell>
          <cell r="E120">
            <v>0</v>
          </cell>
          <cell r="F120">
            <v>6320</v>
          </cell>
          <cell r="G120" t="str">
            <v>管理费用</v>
          </cell>
          <cell r="H120" t="str">
            <v>管理费用</v>
          </cell>
          <cell r="I120">
            <v>6602</v>
          </cell>
          <cell r="J120" t="str">
            <v>J</v>
          </cell>
          <cell r="M120" t="str">
            <v>其他以后将重分类进损益的其他综合收益</v>
          </cell>
          <cell r="S120" t="str">
            <v>1621a</v>
          </cell>
          <cell r="T120" t="str">
            <v>以成本计量的生产性生物资产明细列示</v>
          </cell>
          <cell r="U120" t="str">
            <v>项       目</v>
          </cell>
          <cell r="V120">
            <v>1</v>
          </cell>
          <cell r="W120">
            <v>1621</v>
          </cell>
          <cell r="X120">
            <v>2</v>
          </cell>
        </row>
        <row r="121">
          <cell r="B121">
            <v>6603</v>
          </cell>
          <cell r="C121" t="str">
            <v>财务费用</v>
          </cell>
          <cell r="D121">
            <v>1</v>
          </cell>
          <cell r="E121">
            <v>0</v>
          </cell>
          <cell r="F121">
            <v>6330</v>
          </cell>
          <cell r="G121" t="str">
            <v>财务费用</v>
          </cell>
          <cell r="H121" t="str">
            <v>财务费用</v>
          </cell>
          <cell r="I121">
            <v>6603</v>
          </cell>
          <cell r="J121" t="str">
            <v>J</v>
          </cell>
          <cell r="M121" t="str">
            <v>归属于少数股东的其他综合收益的税后净额</v>
          </cell>
          <cell r="S121" t="str">
            <v>1631a</v>
          </cell>
          <cell r="T121" t="str">
            <v>油气资产明细项目</v>
          </cell>
          <cell r="U121" t="str">
            <v>项       目</v>
          </cell>
          <cell r="V121">
            <v>1</v>
          </cell>
          <cell r="W121">
            <v>1631</v>
          </cell>
          <cell r="X121">
            <v>1</v>
          </cell>
        </row>
        <row r="122">
          <cell r="B122">
            <v>6671</v>
          </cell>
          <cell r="C122" t="str">
            <v>资产减值损失</v>
          </cell>
          <cell r="D122">
            <v>1</v>
          </cell>
          <cell r="E122">
            <v>0</v>
          </cell>
          <cell r="F122">
            <v>6350</v>
          </cell>
          <cell r="G122" t="str">
            <v>资产减值损失</v>
          </cell>
          <cell r="H122" t="str">
            <v>资产减值损失</v>
          </cell>
          <cell r="I122">
            <v>6671</v>
          </cell>
          <cell r="J122" t="str">
            <v>J</v>
          </cell>
          <cell r="M122" t="str">
            <v>实收资本_上年年末余额</v>
          </cell>
          <cell r="S122" t="str">
            <v>1701a</v>
          </cell>
          <cell r="T122" t="str">
            <v>无形资产账面原值</v>
          </cell>
          <cell r="U122" t="str">
            <v>项       目</v>
          </cell>
          <cell r="V122">
            <v>1</v>
          </cell>
          <cell r="W122">
            <v>1701</v>
          </cell>
          <cell r="X122">
            <v>2</v>
          </cell>
        </row>
        <row r="123">
          <cell r="B123">
            <v>6101</v>
          </cell>
          <cell r="C123" t="str">
            <v>公允价值变动收益</v>
          </cell>
          <cell r="D123">
            <v>-1</v>
          </cell>
          <cell r="E123">
            <v>0</v>
          </cell>
          <cell r="F123">
            <v>6410</v>
          </cell>
          <cell r="G123" t="str">
            <v>加：公允价值变动收益（损失以“-”号填列）</v>
          </cell>
          <cell r="H123" t="str">
            <v>加：公允价值变动收益（损失以“-”号填列）</v>
          </cell>
          <cell r="I123">
            <v>6101</v>
          </cell>
          <cell r="J123" t="str">
            <v>J</v>
          </cell>
          <cell r="M123" t="str">
            <v>实收资本_会计政策变更调整上年年末余额</v>
          </cell>
          <cell r="S123" t="str">
            <v>1701b</v>
          </cell>
          <cell r="T123" t="str">
            <v>无形资产累计摊销</v>
          </cell>
          <cell r="U123" t="str">
            <v>项       目</v>
          </cell>
          <cell r="V123">
            <v>1</v>
          </cell>
          <cell r="W123">
            <v>1701</v>
          </cell>
          <cell r="X123">
            <v>2</v>
          </cell>
        </row>
        <row r="124">
          <cell r="B124">
            <v>6111</v>
          </cell>
          <cell r="C124" t="str">
            <v>投资收益</v>
          </cell>
          <cell r="D124">
            <v>-1</v>
          </cell>
          <cell r="E124">
            <v>0</v>
          </cell>
          <cell r="F124">
            <v>6420</v>
          </cell>
          <cell r="G124" t="str">
            <v>投资收益（损失以“-”号填列）</v>
          </cell>
          <cell r="H124" t="str">
            <v>投资收益（损失以“-”号填列）</v>
          </cell>
          <cell r="I124">
            <v>6111</v>
          </cell>
          <cell r="J124" t="str">
            <v>J</v>
          </cell>
          <cell r="M124" t="str">
            <v>实收资本_前期差错更正调整上年年末余额</v>
          </cell>
          <cell r="S124" t="str">
            <v>1701c</v>
          </cell>
          <cell r="T124" t="str">
            <v>无形资产减值准备</v>
          </cell>
          <cell r="U124" t="str">
            <v>项       目</v>
          </cell>
          <cell r="V124">
            <v>1</v>
          </cell>
          <cell r="W124">
            <v>1701</v>
          </cell>
          <cell r="X124">
            <v>2</v>
          </cell>
        </row>
        <row r="125">
          <cell r="B125">
            <v>6111.01</v>
          </cell>
          <cell r="C125" t="str">
            <v>对联营企业和合营企业的投资收益</v>
          </cell>
          <cell r="D125">
            <v>-1</v>
          </cell>
          <cell r="E125">
            <v>0</v>
          </cell>
          <cell r="F125">
            <v>0</v>
          </cell>
          <cell r="G125" t="str">
            <v>其中：对联营企业和合营企业的投资收益</v>
          </cell>
          <cell r="H125" t="str">
            <v>其中：对联营企业和合营企业的投资收益</v>
          </cell>
          <cell r="I125">
            <v>6111.01</v>
          </cell>
          <cell r="J125" t="str">
            <v>J</v>
          </cell>
          <cell r="M125" t="str">
            <v>实收资本_同一控制下企业合并调整上年年末余额</v>
          </cell>
          <cell r="S125" t="str">
            <v>1701d</v>
          </cell>
          <cell r="T125" t="str">
            <v>无形资产账面价值</v>
          </cell>
          <cell r="U125" t="str">
            <v>项       目</v>
          </cell>
          <cell r="V125">
            <v>1</v>
          </cell>
          <cell r="W125">
            <v>1701</v>
          </cell>
          <cell r="X125">
            <v>1</v>
          </cell>
        </row>
        <row r="126">
          <cell r="B126">
            <v>6161</v>
          </cell>
          <cell r="C126" t="str">
            <v>汇兑收益</v>
          </cell>
          <cell r="D126">
            <v>-1</v>
          </cell>
          <cell r="E126" t="str">
            <v>△</v>
          </cell>
          <cell r="F126">
            <v>0</v>
          </cell>
          <cell r="G126" t="str">
            <v>汇兑收益（损失以“-”号填列）</v>
          </cell>
          <cell r="H126" t="str">
            <v>汇兑收益（损失以“-”号填列）</v>
          </cell>
          <cell r="I126">
            <v>6161</v>
          </cell>
          <cell r="J126" t="str">
            <v>J</v>
          </cell>
          <cell r="M126" t="str">
            <v>实收资本_其他原因调整上年年末余额</v>
          </cell>
          <cell r="S126" t="str">
            <v>1701e</v>
          </cell>
          <cell r="T126" t="str">
            <v>未办妥产权证书的土地使用权情况</v>
          </cell>
          <cell r="U126" t="str">
            <v>项       目</v>
          </cell>
          <cell r="V126">
            <v>1</v>
          </cell>
          <cell r="W126">
            <v>1701</v>
          </cell>
          <cell r="X126">
            <v>2</v>
          </cell>
        </row>
        <row r="127">
          <cell r="B127">
            <v>6689</v>
          </cell>
          <cell r="C127" t="str">
            <v>营业利润</v>
          </cell>
          <cell r="D127">
            <v>0</v>
          </cell>
          <cell r="E127" t="str">
            <v>＝</v>
          </cell>
          <cell r="F127">
            <v>0</v>
          </cell>
          <cell r="G127" t="str">
            <v>二、营业利润（亏损以“-”号填列）</v>
          </cell>
          <cell r="H127" t="str">
            <v>三、营业利润（亏损以“-”号填列）</v>
          </cell>
          <cell r="I127">
            <v>6689</v>
          </cell>
          <cell r="J127">
            <v>0</v>
          </cell>
          <cell r="M127" t="str">
            <v>实收资本_净利润增加权益</v>
          </cell>
          <cell r="S127" t="str">
            <v>1705t</v>
          </cell>
          <cell r="T127" t="str">
            <v>无形资产抵押情况</v>
          </cell>
          <cell r="U127" t="str">
            <v>项       目</v>
          </cell>
          <cell r="V127">
            <v>1</v>
          </cell>
          <cell r="W127">
            <v>1701</v>
          </cell>
          <cell r="X127">
            <v>2</v>
          </cell>
        </row>
        <row r="128">
          <cell r="B128">
            <v>6710</v>
          </cell>
          <cell r="C128" t="str">
            <v>营业外收入</v>
          </cell>
          <cell r="D128">
            <v>-1</v>
          </cell>
          <cell r="E128">
            <v>0</v>
          </cell>
          <cell r="F128">
            <v>6510</v>
          </cell>
          <cell r="G128" t="str">
            <v>加：营业外收入</v>
          </cell>
          <cell r="H128" t="str">
            <v>加：营业外收入</v>
          </cell>
          <cell r="I128">
            <v>6710</v>
          </cell>
          <cell r="J128" t="str">
            <v>J</v>
          </cell>
          <cell r="M128" t="str">
            <v>实收资本_其他综合收益增加权益</v>
          </cell>
          <cell r="S128" t="str">
            <v>1705a</v>
          </cell>
          <cell r="T128" t="str">
            <v>无形资产情况</v>
          </cell>
          <cell r="U128" t="str">
            <v>项       目</v>
          </cell>
          <cell r="V128">
            <v>-1</v>
          </cell>
          <cell r="W128">
            <v>1701</v>
          </cell>
          <cell r="X128">
            <v>2</v>
          </cell>
        </row>
        <row r="129">
          <cell r="B129">
            <v>6710.11</v>
          </cell>
          <cell r="C129" t="str">
            <v>营业外收入_非流动资产处置利得</v>
          </cell>
          <cell r="D129">
            <v>-1</v>
          </cell>
          <cell r="E129">
            <v>0</v>
          </cell>
          <cell r="F129">
            <v>0</v>
          </cell>
          <cell r="G129" t="str">
            <v>其中：非流动资产处置利得</v>
          </cell>
          <cell r="H129" t="str">
            <v>其中：非流动资产处置利得</v>
          </cell>
          <cell r="I129">
            <v>6710.11</v>
          </cell>
          <cell r="J129" t="str">
            <v>J</v>
          </cell>
          <cell r="M129" t="str">
            <v>实收资本_综合收益总额增加权益</v>
          </cell>
          <cell r="S129" t="str">
            <v>1705b</v>
          </cell>
          <cell r="T129" t="str">
            <v>开发支出明细项目</v>
          </cell>
          <cell r="U129" t="str">
            <v>项       目</v>
          </cell>
          <cell r="V129">
            <v>-1</v>
          </cell>
          <cell r="W129">
            <v>1700</v>
          </cell>
          <cell r="X129">
            <v>1</v>
          </cell>
        </row>
        <row r="130">
          <cell r="B130">
            <v>6711</v>
          </cell>
          <cell r="C130" t="str">
            <v>营业外支出</v>
          </cell>
          <cell r="D130">
            <v>1</v>
          </cell>
          <cell r="E130">
            <v>0</v>
          </cell>
          <cell r="F130">
            <v>6520</v>
          </cell>
          <cell r="G130" t="str">
            <v>减：营业外支出</v>
          </cell>
          <cell r="H130" t="str">
            <v>减：营业外支出</v>
          </cell>
          <cell r="I130">
            <v>6711</v>
          </cell>
          <cell r="J130" t="str">
            <v>J</v>
          </cell>
          <cell r="M130" t="str">
            <v>实收资本_所有者投入资本</v>
          </cell>
          <cell r="S130" t="str">
            <v>1711a</v>
          </cell>
          <cell r="T130" t="str">
            <v>商誉账面原值</v>
          </cell>
          <cell r="U130" t="str">
            <v>被投资单位名称或形成商誉的事项</v>
          </cell>
          <cell r="V130">
            <v>1</v>
          </cell>
          <cell r="W130">
            <v>1711</v>
          </cell>
          <cell r="X130">
            <v>1</v>
          </cell>
        </row>
        <row r="131">
          <cell r="B131">
            <v>6711.01</v>
          </cell>
          <cell r="C131" t="str">
            <v>非流动资产处置损失</v>
          </cell>
          <cell r="D131">
            <v>1</v>
          </cell>
          <cell r="E131">
            <v>0</v>
          </cell>
          <cell r="F131">
            <v>0</v>
          </cell>
          <cell r="G131" t="str">
            <v>其中：非流动资产处置损失</v>
          </cell>
          <cell r="H131" t="str">
            <v>其中：非流动资产处置损失</v>
          </cell>
          <cell r="I131">
            <v>6711.01</v>
          </cell>
          <cell r="J131" t="str">
            <v>J</v>
          </cell>
          <cell r="M131" t="str">
            <v>实收资本_股份支付计入所有者权益的金额</v>
          </cell>
          <cell r="S131" t="str">
            <v>1711b</v>
          </cell>
          <cell r="T131" t="str">
            <v xml:space="preserve">商誉减值准备 </v>
          </cell>
          <cell r="U131" t="str">
            <v>被投资单位名称或形成商誉的事项</v>
          </cell>
          <cell r="V131">
            <v>1</v>
          </cell>
          <cell r="W131">
            <v>1711</v>
          </cell>
          <cell r="X131">
            <v>2</v>
          </cell>
        </row>
        <row r="132">
          <cell r="B132">
            <v>6788</v>
          </cell>
          <cell r="C132" t="str">
            <v>利润总额</v>
          </cell>
          <cell r="D132">
            <v>0</v>
          </cell>
          <cell r="E132" t="str">
            <v>＝</v>
          </cell>
          <cell r="F132">
            <v>0</v>
          </cell>
          <cell r="G132" t="str">
            <v>三、利润总额（亏损总额以“-”号填列）</v>
          </cell>
          <cell r="H132" t="str">
            <v>四、利润总额（亏损总额以“-”号填列）</v>
          </cell>
          <cell r="I132">
            <v>6788</v>
          </cell>
          <cell r="J132">
            <v>0</v>
          </cell>
          <cell r="M132" t="str">
            <v>实收资本_其他权益工具持有者投入资本</v>
          </cell>
          <cell r="S132" t="str">
            <v>1801a</v>
          </cell>
          <cell r="T132" t="str">
            <v>长期待摊费用明细项目</v>
          </cell>
          <cell r="U132" t="str">
            <v>项       目</v>
          </cell>
          <cell r="V132">
            <v>1</v>
          </cell>
          <cell r="W132">
            <v>1801</v>
          </cell>
          <cell r="X132">
            <v>1</v>
          </cell>
        </row>
        <row r="133">
          <cell r="B133">
            <v>6791</v>
          </cell>
          <cell r="C133" t="str">
            <v>所得税费用</v>
          </cell>
          <cell r="D133">
            <v>1</v>
          </cell>
          <cell r="E133">
            <v>0</v>
          </cell>
          <cell r="F133">
            <v>6620</v>
          </cell>
          <cell r="G133" t="str">
            <v>减：所得税费用</v>
          </cell>
          <cell r="H133" t="str">
            <v>减：所得税费用</v>
          </cell>
          <cell r="I133">
            <v>6791</v>
          </cell>
          <cell r="J133" t="str">
            <v>J</v>
          </cell>
          <cell r="M133" t="str">
            <v>实收资本_所有者其他投入和减少资本</v>
          </cell>
          <cell r="S133" t="str">
            <v>1829a</v>
          </cell>
          <cell r="T133" t="str">
            <v>未经抵销的递延所得税资产</v>
          </cell>
          <cell r="U133" t="str">
            <v>项       目</v>
          </cell>
          <cell r="V133">
            <v>-1</v>
          </cell>
          <cell r="W133">
            <v>1811</v>
          </cell>
          <cell r="X133">
            <v>1</v>
          </cell>
        </row>
        <row r="134">
          <cell r="B134">
            <v>6799</v>
          </cell>
          <cell r="C134" t="str">
            <v>净利润</v>
          </cell>
          <cell r="D134">
            <v>0</v>
          </cell>
          <cell r="E134" t="str">
            <v>＝</v>
          </cell>
          <cell r="F134">
            <v>0</v>
          </cell>
          <cell r="G134" t="str">
            <v>四、净利润（净亏损以“-”号填列）</v>
          </cell>
          <cell r="H134" t="str">
            <v>五、净利润（净亏损以“-”号填列）</v>
          </cell>
          <cell r="I134">
            <v>6799</v>
          </cell>
          <cell r="J134">
            <v>0</v>
          </cell>
          <cell r="M134" t="str">
            <v>实收资本_提取盈余公积影响权益</v>
          </cell>
          <cell r="S134" t="str">
            <v>1829b</v>
          </cell>
          <cell r="T134" t="str">
            <v>未经抵销的递延所得税负债</v>
          </cell>
          <cell r="U134" t="str">
            <v>项       目</v>
          </cell>
          <cell r="V134">
            <v>-1</v>
          </cell>
          <cell r="W134">
            <v>2901</v>
          </cell>
          <cell r="X134">
            <v>1</v>
          </cell>
        </row>
        <row r="135">
          <cell r="B135">
            <v>6805</v>
          </cell>
          <cell r="C135" t="str">
            <v>同一控制下企业合并的被合并方在合并前实现的净利润</v>
          </cell>
          <cell r="D135">
            <v>1</v>
          </cell>
          <cell r="E135" t="str">
            <v>※</v>
          </cell>
          <cell r="F135">
            <v>0</v>
          </cell>
          <cell r="G135" t="str">
            <v>其中：同一控制下企业合并的被合并方在合并前实现的净利润</v>
          </cell>
          <cell r="H135" t="str">
            <v>其中：同一控制下企业合并的被合并方在合并前实现的净利润</v>
          </cell>
          <cell r="I135">
            <v>6805</v>
          </cell>
          <cell r="J135">
            <v>0</v>
          </cell>
          <cell r="M135" t="str">
            <v>实收资本_提取一般风险准备影响权益</v>
          </cell>
          <cell r="S135" t="str">
            <v>1829c</v>
          </cell>
          <cell r="T135" t="str">
            <v>以抵销后净额列示的递延所得税资产或负债</v>
          </cell>
          <cell r="U135" t="str">
            <v>项       目</v>
          </cell>
          <cell r="V135">
            <v>-1</v>
          </cell>
          <cell r="W135">
            <v>0</v>
          </cell>
          <cell r="X135">
            <v>2</v>
          </cell>
        </row>
        <row r="136">
          <cell r="B136">
            <v>6811</v>
          </cell>
          <cell r="C136" t="str">
            <v>归属于母公司所有者的净利润</v>
          </cell>
          <cell r="D136">
            <v>-1</v>
          </cell>
          <cell r="E136" t="str">
            <v>※</v>
          </cell>
          <cell r="F136">
            <v>0</v>
          </cell>
          <cell r="G136" t="str">
            <v>归属于母公司股东的净利润</v>
          </cell>
          <cell r="H136" t="str">
            <v>归属于母公司股东的净利润</v>
          </cell>
          <cell r="I136">
            <v>6811</v>
          </cell>
          <cell r="J136">
            <v>0</v>
          </cell>
          <cell r="M136" t="str">
            <v>实收资本_对所有者的分配影响权益</v>
          </cell>
          <cell r="S136" t="str">
            <v>1829e</v>
          </cell>
          <cell r="T136" t="str">
            <v>未确认递延所得税资产的可抵扣暂时性差异及可抵扣亏损明细</v>
          </cell>
          <cell r="U136" t="str">
            <v>项       目</v>
          </cell>
          <cell r="V136">
            <v>-1</v>
          </cell>
          <cell r="W136">
            <v>0</v>
          </cell>
          <cell r="X136">
            <v>2</v>
          </cell>
        </row>
        <row r="137">
          <cell r="B137">
            <v>6812</v>
          </cell>
          <cell r="C137" t="str">
            <v>少数股东损益</v>
          </cell>
          <cell r="D137">
            <v>1</v>
          </cell>
          <cell r="E137" t="str">
            <v>※</v>
          </cell>
          <cell r="F137">
            <v>0</v>
          </cell>
          <cell r="G137" t="str">
            <v>少数股东损益</v>
          </cell>
          <cell r="H137" t="str">
            <v>少数股东损益</v>
          </cell>
          <cell r="I137">
            <v>6812</v>
          </cell>
          <cell r="J137" t="str">
            <v>J</v>
          </cell>
          <cell r="M137" t="str">
            <v>实收资本_其他利润分配影响权益</v>
          </cell>
          <cell r="S137" t="str">
            <v>1829f</v>
          </cell>
          <cell r="T137" t="str">
            <v>未确认递延所得税资产的可抵扣亏损将于以下年度到期</v>
          </cell>
          <cell r="U137" t="str">
            <v>年       份</v>
          </cell>
          <cell r="V137">
            <v>-1</v>
          </cell>
          <cell r="W137">
            <v>0</v>
          </cell>
          <cell r="X137">
            <v>2</v>
          </cell>
        </row>
        <row r="138">
          <cell r="B138">
            <v>6820</v>
          </cell>
          <cell r="C138" t="str">
            <v>每股收益</v>
          </cell>
          <cell r="D138">
            <v>0</v>
          </cell>
          <cell r="E138" t="str">
            <v>：</v>
          </cell>
          <cell r="F138">
            <v>0</v>
          </cell>
          <cell r="G138" t="str">
            <v>七、每股收益：</v>
          </cell>
          <cell r="H138" t="str">
            <v>六、每股收益：</v>
          </cell>
          <cell r="I138">
            <v>6820</v>
          </cell>
          <cell r="J138">
            <v>0</v>
          </cell>
          <cell r="M138" t="str">
            <v>实收资本_资本公积转增</v>
          </cell>
          <cell r="S138" t="str">
            <v>1996a</v>
          </cell>
          <cell r="T138" t="str">
            <v>其他非流动资产明细项目</v>
          </cell>
          <cell r="U138" t="str">
            <v>项       目</v>
          </cell>
          <cell r="V138">
            <v>1</v>
          </cell>
          <cell r="W138">
            <v>1996</v>
          </cell>
          <cell r="X138">
            <v>1</v>
          </cell>
        </row>
        <row r="139">
          <cell r="B139">
            <v>6821</v>
          </cell>
          <cell r="C139" t="str">
            <v>基本每股收益</v>
          </cell>
          <cell r="D139">
            <v>0</v>
          </cell>
          <cell r="E139">
            <v>0</v>
          </cell>
          <cell r="F139">
            <v>0</v>
          </cell>
          <cell r="G139" t="str">
            <v>（一）基本每股收益</v>
          </cell>
          <cell r="H139" t="str">
            <v>（一）基本每股收益</v>
          </cell>
          <cell r="I139">
            <v>6821</v>
          </cell>
          <cell r="J139">
            <v>0</v>
          </cell>
          <cell r="M139" t="str">
            <v>实收资本_盈余公积转增</v>
          </cell>
          <cell r="S139" t="str">
            <v>2001a</v>
          </cell>
          <cell r="T139" t="str">
            <v>短期借款明细项目</v>
          </cell>
          <cell r="U139" t="str">
            <v>借款类别</v>
          </cell>
          <cell r="V139">
            <v>1</v>
          </cell>
          <cell r="W139">
            <v>2001</v>
          </cell>
          <cell r="X139">
            <v>1</v>
          </cell>
        </row>
        <row r="140">
          <cell r="B140">
            <v>6822</v>
          </cell>
          <cell r="C140" t="str">
            <v>稀释每股收益</v>
          </cell>
          <cell r="D140">
            <v>0</v>
          </cell>
          <cell r="E140">
            <v>0</v>
          </cell>
          <cell r="F140">
            <v>0</v>
          </cell>
          <cell r="G140" t="str">
            <v>（二）稀释每股收益</v>
          </cell>
          <cell r="H140" t="str">
            <v>（二）稀释每股收益</v>
          </cell>
          <cell r="I140">
            <v>6822</v>
          </cell>
          <cell r="J140">
            <v>0</v>
          </cell>
          <cell r="M140" t="str">
            <v>实收资本_盈余公积弥补亏损影响权益</v>
          </cell>
          <cell r="S140" t="str">
            <v>2001b</v>
          </cell>
          <cell r="T140" t="str">
            <v>重要的逾期借款情况</v>
          </cell>
          <cell r="U140" t="str">
            <v>贷款单位</v>
          </cell>
          <cell r="V140">
            <v>1</v>
          </cell>
          <cell r="W140">
            <v>2001</v>
          </cell>
          <cell r="X140">
            <v>2</v>
          </cell>
        </row>
        <row r="141">
          <cell r="B141">
            <v>6829</v>
          </cell>
          <cell r="C141" t="str">
            <v>其他综合收益的税后净额</v>
          </cell>
          <cell r="D141">
            <v>0</v>
          </cell>
          <cell r="E141" t="str">
            <v>＝</v>
          </cell>
          <cell r="F141">
            <v>0</v>
          </cell>
          <cell r="G141" t="str">
            <v>五、其他综合收益的税后净额</v>
          </cell>
          <cell r="H141" t="str">
            <v>五、其他综合收益的税后净额</v>
          </cell>
          <cell r="I141">
            <v>6829</v>
          </cell>
          <cell r="J141">
            <v>0</v>
          </cell>
          <cell r="M141" t="str">
            <v>实收资本_结转重新计量设定受益计划净负债或净资产所产生的变动</v>
          </cell>
          <cell r="S141" t="str">
            <v>2001c</v>
          </cell>
          <cell r="T141" t="str">
            <v>外币短期借款</v>
          </cell>
          <cell r="U141" t="str">
            <v>币       种</v>
          </cell>
          <cell r="V141">
            <v>1</v>
          </cell>
          <cell r="W141">
            <v>2001</v>
          </cell>
          <cell r="X141">
            <v>2</v>
          </cell>
        </row>
        <row r="142">
          <cell r="B142">
            <v>6829.2</v>
          </cell>
          <cell r="C142" t="str">
            <v>归属于母公司所有者的其他综合收益的税后净额</v>
          </cell>
          <cell r="D142">
            <v>0</v>
          </cell>
          <cell r="E142" t="str">
            <v>※</v>
          </cell>
          <cell r="F142">
            <v>0</v>
          </cell>
          <cell r="G142" t="str">
            <v>归属于母公司股东的其他综合收益的税后净额</v>
          </cell>
          <cell r="H142" t="str">
            <v>归属于母公司股东的其他综合收益的税后净额</v>
          </cell>
          <cell r="I142">
            <v>6829.2</v>
          </cell>
          <cell r="J142">
            <v>0</v>
          </cell>
          <cell r="M142" t="str">
            <v>实收资本_所有者权益其他内部结转</v>
          </cell>
          <cell r="S142" t="str">
            <v>2101a</v>
          </cell>
          <cell r="T142" t="str">
            <v>以公允价值计量且其变动计入当期损益的金融负债</v>
          </cell>
          <cell r="U142" t="str">
            <v>项       目</v>
          </cell>
          <cell r="V142">
            <v>1</v>
          </cell>
          <cell r="W142">
            <v>2101</v>
          </cell>
          <cell r="X142">
            <v>1</v>
          </cell>
        </row>
        <row r="143">
          <cell r="B143">
            <v>6829.21</v>
          </cell>
          <cell r="C143" t="str">
            <v>以后不能重分类进损益的其他综合收益</v>
          </cell>
          <cell r="D143">
            <v>0</v>
          </cell>
          <cell r="E143" t="str">
            <v>＝</v>
          </cell>
          <cell r="F143">
            <v>0</v>
          </cell>
          <cell r="G143" t="str">
            <v>（一）以后不能重分类进损益的其他综合收益</v>
          </cell>
          <cell r="H143" t="str">
            <v>（一）以后不能重分类进损益的其他综合收益</v>
          </cell>
          <cell r="I143">
            <v>6829.21</v>
          </cell>
          <cell r="J143">
            <v>0</v>
          </cell>
          <cell r="M143" t="str">
            <v>实收资本_专项储备本期提取</v>
          </cell>
          <cell r="S143" t="str">
            <v>2115a</v>
          </cell>
          <cell r="T143" t="str">
            <v>衍生金融负债</v>
          </cell>
          <cell r="U143" t="str">
            <v>项       目</v>
          </cell>
          <cell r="V143">
            <v>1</v>
          </cell>
          <cell r="W143">
            <v>2115</v>
          </cell>
          <cell r="X143">
            <v>1</v>
          </cell>
        </row>
        <row r="144">
          <cell r="B144">
            <v>6829.2110000000002</v>
          </cell>
          <cell r="C144" t="str">
            <v>重新计量设定受益计划净负债或净资产的变动</v>
          </cell>
          <cell r="D144">
            <v>-1</v>
          </cell>
          <cell r="E144" t="str">
            <v>Ｘ</v>
          </cell>
          <cell r="F144">
            <v>0</v>
          </cell>
          <cell r="G144" t="str">
            <v>1、重新计量设定受益计划净负债或净资产的变动</v>
          </cell>
          <cell r="H144" t="str">
            <v>1、重新计量设定受益计划净负债或净资产的变动</v>
          </cell>
          <cell r="I144">
            <v>6829.2110000000002</v>
          </cell>
          <cell r="J144" t="str">
            <v>J</v>
          </cell>
          <cell r="M144" t="str">
            <v>实收资本_专项储备本期使用</v>
          </cell>
          <cell r="S144" t="str">
            <v>2201a</v>
          </cell>
          <cell r="T144" t="str">
            <v>应付票据明细项目</v>
          </cell>
          <cell r="U144" t="str">
            <v>种       类</v>
          </cell>
          <cell r="V144">
            <v>1</v>
          </cell>
          <cell r="W144">
            <v>2201</v>
          </cell>
          <cell r="X144">
            <v>1</v>
          </cell>
        </row>
        <row r="145">
          <cell r="B145">
            <v>6829.2120000000004</v>
          </cell>
          <cell r="C145" t="str">
            <v>权益法下在被投资单位不能重分类进损益的其他综合收益中享有的份额</v>
          </cell>
          <cell r="D145">
            <v>-1</v>
          </cell>
          <cell r="E145" t="str">
            <v>Ｘ</v>
          </cell>
          <cell r="F145">
            <v>0</v>
          </cell>
          <cell r="G145" t="str">
            <v>2、权益法下在被投资单位不能重分类进损益的其他综合收益中享有的份额</v>
          </cell>
          <cell r="H145" t="str">
            <v>2、权益法下在被投资单位不能重分类进损益的其他综合收益中享有的份额</v>
          </cell>
          <cell r="I145">
            <v>6829.2120000000004</v>
          </cell>
          <cell r="J145" t="str">
            <v>J</v>
          </cell>
          <cell r="M145" t="str">
            <v>实收资本_本期其他增减变动</v>
          </cell>
          <cell r="S145" t="str">
            <v>2202e</v>
          </cell>
          <cell r="T145" t="str">
            <v>应付账款按项目列示</v>
          </cell>
          <cell r="U145" t="str">
            <v>项       目</v>
          </cell>
          <cell r="V145">
            <v>1</v>
          </cell>
          <cell r="W145">
            <v>2202</v>
          </cell>
          <cell r="X145">
            <v>1</v>
          </cell>
        </row>
        <row r="146">
          <cell r="B146">
            <v>6829.2190000000001</v>
          </cell>
          <cell r="C146" t="str">
            <v>其他以后不能重分类进损益的其他综合收益</v>
          </cell>
          <cell r="D146">
            <v>-1</v>
          </cell>
          <cell r="E146">
            <v>0</v>
          </cell>
          <cell r="F146">
            <v>0</v>
          </cell>
          <cell r="G146" t="str">
            <v>3、其他</v>
          </cell>
          <cell r="H146" t="str">
            <v>3、其他</v>
          </cell>
          <cell r="I146">
            <v>6829.2190000000001</v>
          </cell>
          <cell r="J146" t="str">
            <v>J</v>
          </cell>
          <cell r="M146" t="str">
            <v>资本公积_上年年末余额</v>
          </cell>
          <cell r="S146" t="str">
            <v>2202a</v>
          </cell>
          <cell r="T146" t="str">
            <v>账龄超过1年的重要应付账款</v>
          </cell>
          <cell r="U146" t="str">
            <v>债权人名称</v>
          </cell>
          <cell r="V146">
            <v>1</v>
          </cell>
          <cell r="W146">
            <v>2202</v>
          </cell>
          <cell r="X146">
            <v>2</v>
          </cell>
        </row>
        <row r="147">
          <cell r="B147">
            <v>6829.23</v>
          </cell>
          <cell r="C147" t="str">
            <v>以后将重分类进损益的其他综合收益</v>
          </cell>
          <cell r="D147">
            <v>0</v>
          </cell>
          <cell r="E147" t="str">
            <v>＝</v>
          </cell>
          <cell r="F147">
            <v>0</v>
          </cell>
          <cell r="G147" t="str">
            <v>（二）以后将重分类进损益的其他综合收益</v>
          </cell>
          <cell r="H147" t="str">
            <v>（二）以后将重分类进损益的其他综合收益</v>
          </cell>
          <cell r="I147">
            <v>6829.23</v>
          </cell>
          <cell r="J147">
            <v>0</v>
          </cell>
          <cell r="M147" t="str">
            <v>资本公积_会计政策变更调整上年年末余额</v>
          </cell>
          <cell r="S147" t="str">
            <v>2202d</v>
          </cell>
          <cell r="T147" t="str">
            <v>外币应付账款</v>
          </cell>
          <cell r="U147" t="str">
            <v>币       种</v>
          </cell>
          <cell r="V147">
            <v>1</v>
          </cell>
          <cell r="W147">
            <v>2202</v>
          </cell>
          <cell r="X147">
            <v>2</v>
          </cell>
        </row>
        <row r="148">
          <cell r="B148">
            <v>6829.2309999999998</v>
          </cell>
          <cell r="C148" t="str">
            <v>权益法下在被投资单位以后将重分类进损益的其他综合收益中享有的份额</v>
          </cell>
          <cell r="D148">
            <v>-1</v>
          </cell>
          <cell r="E148" t="str">
            <v>Ｘ</v>
          </cell>
          <cell r="F148">
            <v>0</v>
          </cell>
          <cell r="G148" t="str">
            <v>1、权益法下在被投资单位以后将重分类进损益的其他综合收益中享有的份额</v>
          </cell>
          <cell r="H148" t="str">
            <v>1、权益法下在被投资单位以后将重分类进损益的其他综合收益中享有的份额</v>
          </cell>
          <cell r="I148">
            <v>6829.2309999999998</v>
          </cell>
          <cell r="J148" t="str">
            <v>J</v>
          </cell>
          <cell r="M148" t="str">
            <v>资本公积_前期差错更正调整上年年末余额</v>
          </cell>
          <cell r="S148" t="str">
            <v>2202c</v>
          </cell>
          <cell r="T148" t="str">
            <v>关联方应收应付款项——应付账款</v>
          </cell>
          <cell r="U148" t="str">
            <v>关联方</v>
          </cell>
          <cell r="V148">
            <v>1</v>
          </cell>
          <cell r="W148">
            <v>2202</v>
          </cell>
          <cell r="X148">
            <v>2</v>
          </cell>
        </row>
        <row r="149">
          <cell r="B149">
            <v>6829.232</v>
          </cell>
          <cell r="C149" t="str">
            <v>可供出售金融资产公允价值变动损益</v>
          </cell>
          <cell r="D149">
            <v>-1</v>
          </cell>
          <cell r="E149" t="str">
            <v>Ｘ</v>
          </cell>
          <cell r="F149">
            <v>0</v>
          </cell>
          <cell r="G149" t="str">
            <v>2、可供出售金融资产公允价值变动损益</v>
          </cell>
          <cell r="H149" t="str">
            <v>2、可供出售金融资产公允价值变动损益</v>
          </cell>
          <cell r="I149">
            <v>6829.232</v>
          </cell>
          <cell r="J149" t="str">
            <v>J</v>
          </cell>
          <cell r="M149" t="str">
            <v>资本公积_同一控制下企业合并调整上年年末余额</v>
          </cell>
          <cell r="S149" t="str">
            <v>2205f</v>
          </cell>
          <cell r="T149" t="str">
            <v>预收账款按项目列示</v>
          </cell>
          <cell r="U149" t="str">
            <v>项       目</v>
          </cell>
          <cell r="V149">
            <v>1</v>
          </cell>
          <cell r="W149">
            <v>2205</v>
          </cell>
          <cell r="X149">
            <v>1</v>
          </cell>
        </row>
        <row r="150">
          <cell r="B150">
            <v>6829.2330000000002</v>
          </cell>
          <cell r="C150" t="str">
            <v>持有至到期投资重分类为可供出售金融资产损益</v>
          </cell>
          <cell r="D150">
            <v>-1</v>
          </cell>
          <cell r="E150" t="str">
            <v>Ｘ</v>
          </cell>
          <cell r="F150">
            <v>0</v>
          </cell>
          <cell r="G150" t="str">
            <v>3、持有至到期投资重分类为可供出售金融资产损益</v>
          </cell>
          <cell r="H150" t="str">
            <v>3、持有至到期投资重分类为可供出售金融资产损益</v>
          </cell>
          <cell r="I150">
            <v>6829.2330000000002</v>
          </cell>
          <cell r="J150" t="str">
            <v>J</v>
          </cell>
          <cell r="M150" t="str">
            <v>资本公积_其他原因调整上年年末余额</v>
          </cell>
          <cell r="S150" t="str">
            <v>2205a</v>
          </cell>
          <cell r="T150" t="str">
            <v>账龄超过1年的重要预收款项</v>
          </cell>
          <cell r="U150" t="str">
            <v>项       目</v>
          </cell>
          <cell r="V150">
            <v>1</v>
          </cell>
          <cell r="W150">
            <v>2205</v>
          </cell>
          <cell r="X150">
            <v>2</v>
          </cell>
        </row>
        <row r="151">
          <cell r="B151">
            <v>6829.2340000000004</v>
          </cell>
          <cell r="C151" t="str">
            <v>现金流量套期损益的有效部分</v>
          </cell>
          <cell r="D151">
            <v>-1</v>
          </cell>
          <cell r="E151" t="str">
            <v>Ｘ</v>
          </cell>
          <cell r="F151">
            <v>0</v>
          </cell>
          <cell r="G151" t="str">
            <v>4、现金流量套期损益的有效部分</v>
          </cell>
          <cell r="H151" t="str">
            <v>4、现金流量套期损益的有效部分</v>
          </cell>
          <cell r="I151">
            <v>6829.2340000000004</v>
          </cell>
          <cell r="J151" t="str">
            <v>J</v>
          </cell>
          <cell r="M151" t="str">
            <v>资本公积_净利润增加权益</v>
          </cell>
          <cell r="S151" t="str">
            <v>2205h</v>
          </cell>
          <cell r="T151" t="str">
            <v>建造合同形成的已结算未完工项目</v>
          </cell>
          <cell r="U151" t="str">
            <v>项       目</v>
          </cell>
          <cell r="V151">
            <v>1</v>
          </cell>
          <cell r="W151">
            <v>2205</v>
          </cell>
          <cell r="X151">
            <v>2</v>
          </cell>
        </row>
        <row r="152">
          <cell r="B152">
            <v>6829.2349999999997</v>
          </cell>
          <cell r="C152" t="str">
            <v>外币财务报表折算差额</v>
          </cell>
          <cell r="D152">
            <v>-1</v>
          </cell>
          <cell r="E152" t="str">
            <v>Ｘ</v>
          </cell>
          <cell r="F152">
            <v>0</v>
          </cell>
          <cell r="G152" t="str">
            <v>5、外币财务报表折算差额</v>
          </cell>
          <cell r="H152" t="str">
            <v>5、外币财务报表折算差额</v>
          </cell>
          <cell r="I152">
            <v>6829.2349999999997</v>
          </cell>
          <cell r="J152" t="str">
            <v>J</v>
          </cell>
          <cell r="M152" t="str">
            <v>资本公积_其他综合收益</v>
          </cell>
          <cell r="S152" t="str">
            <v>2205e</v>
          </cell>
          <cell r="T152" t="str">
            <v>预收款项中预售房产收款情况</v>
          </cell>
          <cell r="U152" t="str">
            <v>项目名称</v>
          </cell>
          <cell r="V152">
            <v>1</v>
          </cell>
          <cell r="W152">
            <v>2205</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F153">
            <v>0</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资本公积_综合收益总额增加权益</v>
          </cell>
          <cell r="S153" t="str">
            <v>2205d</v>
          </cell>
          <cell r="T153" t="str">
            <v>外币预收款项</v>
          </cell>
          <cell r="U153" t="str">
            <v>币       种</v>
          </cell>
          <cell r="V153">
            <v>1</v>
          </cell>
          <cell r="W153">
            <v>2205</v>
          </cell>
          <cell r="X153">
            <v>2</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F154">
            <v>0</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资本公积_所有者投入资本</v>
          </cell>
          <cell r="S154" t="str">
            <v>2205c</v>
          </cell>
          <cell r="T154" t="str">
            <v>关联方应收应付款项——预收款项</v>
          </cell>
          <cell r="U154" t="str">
            <v>单位名称</v>
          </cell>
          <cell r="V154">
            <v>1</v>
          </cell>
          <cell r="W154">
            <v>2205</v>
          </cell>
          <cell r="X154">
            <v>2</v>
          </cell>
        </row>
        <row r="155">
          <cell r="B155">
            <v>6829.2389999999996</v>
          </cell>
          <cell r="C155" t="str">
            <v>其他以后将重分类进损益的其他综合收益</v>
          </cell>
          <cell r="D155">
            <v>-1</v>
          </cell>
          <cell r="E155">
            <v>0</v>
          </cell>
          <cell r="F155">
            <v>0</v>
          </cell>
          <cell r="G155" t="str">
            <v>8、其他</v>
          </cell>
          <cell r="H155" t="str">
            <v>8、其他</v>
          </cell>
          <cell r="I155">
            <v>6829.2389999999996</v>
          </cell>
          <cell r="J155" t="str">
            <v>J</v>
          </cell>
          <cell r="M155" t="str">
            <v>资本公积_股份支付</v>
          </cell>
          <cell r="S155" t="str">
            <v>2211a</v>
          </cell>
          <cell r="T155" t="str">
            <v>应付职工薪酬明细项目</v>
          </cell>
          <cell r="U155" t="str">
            <v>项       目</v>
          </cell>
          <cell r="V155">
            <v>1</v>
          </cell>
          <cell r="W155">
            <v>2211</v>
          </cell>
          <cell r="X155">
            <v>1</v>
          </cell>
        </row>
        <row r="156">
          <cell r="B156">
            <v>6829.5</v>
          </cell>
          <cell r="C156" t="str">
            <v>归属于少数股东的其他综合收益的税后净额</v>
          </cell>
          <cell r="D156">
            <v>1</v>
          </cell>
          <cell r="E156" t="str">
            <v>※</v>
          </cell>
          <cell r="F156">
            <v>0</v>
          </cell>
          <cell r="G156" t="str">
            <v>归属于少数股东的其他综合收益的税后净额</v>
          </cell>
          <cell r="H156" t="str">
            <v>归属于少数股东的其他综合收益的税后净额</v>
          </cell>
          <cell r="I156">
            <v>6829.5</v>
          </cell>
          <cell r="J156" t="str">
            <v>J</v>
          </cell>
          <cell r="M156" t="str">
            <v>资本公积_其他权益工具持有者投入资本</v>
          </cell>
          <cell r="S156" t="str">
            <v>2211b</v>
          </cell>
          <cell r="T156" t="str">
            <v>短期薪酬</v>
          </cell>
          <cell r="U156" t="str">
            <v>项       目</v>
          </cell>
          <cell r="V156">
            <v>1</v>
          </cell>
          <cell r="W156">
            <v>2211</v>
          </cell>
          <cell r="X156">
            <v>2</v>
          </cell>
        </row>
        <row r="157">
          <cell r="B157">
            <v>6839</v>
          </cell>
          <cell r="C157" t="str">
            <v>综合收益总额</v>
          </cell>
          <cell r="D157">
            <v>0</v>
          </cell>
          <cell r="E157" t="str">
            <v>＝</v>
          </cell>
          <cell r="F157">
            <v>0</v>
          </cell>
          <cell r="G157" t="str">
            <v>六、综合收益总额</v>
          </cell>
          <cell r="H157" t="str">
            <v>八、综合收益总额</v>
          </cell>
          <cell r="I157">
            <v>6839</v>
          </cell>
          <cell r="J157">
            <v>0</v>
          </cell>
          <cell r="M157" t="str">
            <v>资本公积_所有者其他投入和减少资本</v>
          </cell>
          <cell r="S157" t="str">
            <v>2211c</v>
          </cell>
          <cell r="T157" t="str">
            <v>设定提存计划</v>
          </cell>
          <cell r="U157" t="str">
            <v>项       目</v>
          </cell>
          <cell r="V157">
            <v>1</v>
          </cell>
          <cell r="W157">
            <v>2211</v>
          </cell>
          <cell r="X157">
            <v>2</v>
          </cell>
        </row>
        <row r="158">
          <cell r="B158">
            <v>6841</v>
          </cell>
          <cell r="C158" t="str">
            <v>归属于母公司所有者的综合收益总额</v>
          </cell>
          <cell r="D158">
            <v>-1</v>
          </cell>
          <cell r="E158" t="str">
            <v>※</v>
          </cell>
          <cell r="F158">
            <v>0</v>
          </cell>
          <cell r="G158" t="str">
            <v>归属于母公司股东的综合收益总额</v>
          </cell>
          <cell r="H158" t="str">
            <v>归属于母公司股东的综合收益总额</v>
          </cell>
          <cell r="I158">
            <v>6841</v>
          </cell>
          <cell r="J158">
            <v>0</v>
          </cell>
          <cell r="M158" t="str">
            <v>资本公积_提取盈余公积影响权益</v>
          </cell>
          <cell r="S158" t="str">
            <v>2221a</v>
          </cell>
          <cell r="T158" t="str">
            <v>应交税费明细项目</v>
          </cell>
          <cell r="U158" t="str">
            <v>项       目</v>
          </cell>
          <cell r="V158">
            <v>1</v>
          </cell>
          <cell r="W158">
            <v>2221</v>
          </cell>
          <cell r="X158">
            <v>1</v>
          </cell>
        </row>
        <row r="159">
          <cell r="B159">
            <v>6842</v>
          </cell>
          <cell r="C159" t="str">
            <v>归属于少数股东的综合收益总额</v>
          </cell>
          <cell r="D159">
            <v>1</v>
          </cell>
          <cell r="E159" t="str">
            <v>※</v>
          </cell>
          <cell r="F159">
            <v>0</v>
          </cell>
          <cell r="G159" t="str">
            <v>归属于少数股东的综合收益总额</v>
          </cell>
          <cell r="H159" t="str">
            <v>归属于少数股东的综合收益总额</v>
          </cell>
          <cell r="I159">
            <v>6842</v>
          </cell>
          <cell r="J159">
            <v>0</v>
          </cell>
          <cell r="M159" t="str">
            <v>资本公积_提取一般风险准备影响权益</v>
          </cell>
          <cell r="S159" t="str">
            <v>2231a</v>
          </cell>
          <cell r="T159" t="str">
            <v>应付利息明细项目</v>
          </cell>
          <cell r="U159" t="str">
            <v>项       目</v>
          </cell>
          <cell r="V159">
            <v>1</v>
          </cell>
          <cell r="W159">
            <v>2231</v>
          </cell>
          <cell r="X159">
            <v>1</v>
          </cell>
        </row>
        <row r="160">
          <cell r="B160">
            <v>8</v>
          </cell>
          <cell r="C160" t="str">
            <v>所有者权益变动表</v>
          </cell>
          <cell r="D160">
            <v>0</v>
          </cell>
          <cell r="E160" t="str">
            <v>：</v>
          </cell>
          <cell r="F160">
            <v>0</v>
          </cell>
          <cell r="G160" t="str">
            <v>所有者权益变动表</v>
          </cell>
          <cell r="H160" t="str">
            <v>所有者权益变动表</v>
          </cell>
          <cell r="I160">
            <v>8</v>
          </cell>
          <cell r="J160">
            <v>0</v>
          </cell>
          <cell r="M160" t="str">
            <v>资本公积_对所有者的分配影响权益</v>
          </cell>
          <cell r="S160" t="str">
            <v>2231b</v>
          </cell>
          <cell r="T160" t="str">
            <v xml:space="preserve">重要的逾期未付利息 </v>
          </cell>
          <cell r="U160" t="str">
            <v>借款单位</v>
          </cell>
          <cell r="V160">
            <v>1</v>
          </cell>
          <cell r="W160">
            <v>2231</v>
          </cell>
          <cell r="X160">
            <v>2</v>
          </cell>
        </row>
        <row r="161">
          <cell r="B161">
            <v>8000</v>
          </cell>
          <cell r="C161" t="str">
            <v>所有者权益增减变动</v>
          </cell>
          <cell r="D161">
            <v>0</v>
          </cell>
          <cell r="E161" t="str">
            <v>：</v>
          </cell>
          <cell r="F161">
            <v>0</v>
          </cell>
          <cell r="G161" t="str">
            <v>所有者权益增减变动</v>
          </cell>
          <cell r="H161" t="str">
            <v>所有者权益增减变动</v>
          </cell>
          <cell r="I161">
            <v>8000</v>
          </cell>
          <cell r="J161">
            <v>0</v>
          </cell>
          <cell r="M161" t="str">
            <v>资本公积_其他利润分配</v>
          </cell>
          <cell r="S161" t="str">
            <v>2232a</v>
          </cell>
          <cell r="T161" t="str">
            <v>应付股利明细项目</v>
          </cell>
          <cell r="U161" t="str">
            <v>项目（或股东名称）</v>
          </cell>
          <cell r="V161">
            <v>1</v>
          </cell>
          <cell r="W161">
            <v>2232</v>
          </cell>
          <cell r="X161">
            <v>1</v>
          </cell>
        </row>
        <row r="162">
          <cell r="B162">
            <v>8001</v>
          </cell>
          <cell r="C162" t="str">
            <v>所有者权益_上年年末余额</v>
          </cell>
          <cell r="D162">
            <v>-1</v>
          </cell>
          <cell r="E162" t="str">
            <v>＝</v>
          </cell>
          <cell r="F162">
            <v>0</v>
          </cell>
          <cell r="G162" t="str">
            <v>一、上年年末余额</v>
          </cell>
          <cell r="H162" t="str">
            <v>一、上年年末余额</v>
          </cell>
          <cell r="I162">
            <v>8001</v>
          </cell>
          <cell r="J162">
            <v>0</v>
          </cell>
          <cell r="M162" t="str">
            <v>资本公积_转增资本</v>
          </cell>
          <cell r="S162" t="str">
            <v>2232b</v>
          </cell>
          <cell r="T162" t="str">
            <v>重要的超过1年未支付的应付股利</v>
          </cell>
          <cell r="U162" t="str">
            <v>股东名称</v>
          </cell>
          <cell r="V162">
            <v>1</v>
          </cell>
          <cell r="W162">
            <v>2232</v>
          </cell>
          <cell r="X162">
            <v>2</v>
          </cell>
        </row>
        <row r="163">
          <cell r="B163">
            <v>8002</v>
          </cell>
          <cell r="C163" t="str">
            <v>所有者权益_会计政策变更调整上年年末余额</v>
          </cell>
          <cell r="D163">
            <v>-1</v>
          </cell>
          <cell r="E163" t="str">
            <v>＝</v>
          </cell>
          <cell r="F163">
            <v>0</v>
          </cell>
          <cell r="G163" t="str">
            <v>加：会计政策变更</v>
          </cell>
          <cell r="H163" t="str">
            <v>加：会计政策变更</v>
          </cell>
          <cell r="I163">
            <v>8002</v>
          </cell>
          <cell r="J163">
            <v>0</v>
          </cell>
          <cell r="M163" t="str">
            <v>资本公积_盈余公积转增资本影响权益</v>
          </cell>
          <cell r="S163" t="str">
            <v>2241e</v>
          </cell>
          <cell r="T163" t="str">
            <v>其他应付款按款项性质列示</v>
          </cell>
          <cell r="U163" t="str">
            <v>项       目</v>
          </cell>
          <cell r="V163">
            <v>1</v>
          </cell>
          <cell r="W163">
            <v>2241</v>
          </cell>
          <cell r="X163">
            <v>1</v>
          </cell>
        </row>
        <row r="164">
          <cell r="B164">
            <v>8003</v>
          </cell>
          <cell r="C164" t="str">
            <v>所有者权益_前期差错更正调整上年年末余额</v>
          </cell>
          <cell r="D164">
            <v>-1</v>
          </cell>
          <cell r="E164" t="str">
            <v>＝</v>
          </cell>
          <cell r="F164">
            <v>0</v>
          </cell>
          <cell r="G164" t="str">
            <v>前期差错更正</v>
          </cell>
          <cell r="H164" t="str">
            <v>前期差错更正</v>
          </cell>
          <cell r="I164">
            <v>8003</v>
          </cell>
          <cell r="J164">
            <v>0</v>
          </cell>
          <cell r="M164" t="str">
            <v>资本公积_盈余公积弥补亏损影响权益</v>
          </cell>
          <cell r="S164" t="str">
            <v>2241c</v>
          </cell>
          <cell r="T164" t="str">
            <v>账龄超过1年的重要其他应付款</v>
          </cell>
          <cell r="U164" t="str">
            <v>项       目</v>
          </cell>
          <cell r="V164">
            <v>1</v>
          </cell>
          <cell r="W164">
            <v>2241</v>
          </cell>
          <cell r="X164">
            <v>2</v>
          </cell>
        </row>
        <row r="165">
          <cell r="B165">
            <v>8004</v>
          </cell>
          <cell r="C165" t="str">
            <v>所有者权益_同一控制下企业合并调整上年年末余额</v>
          </cell>
          <cell r="D165">
            <v>-1</v>
          </cell>
          <cell r="E165" t="str">
            <v>※＝</v>
          </cell>
          <cell r="F165">
            <v>0</v>
          </cell>
          <cell r="G165" t="str">
            <v>同一控制下企业合并</v>
          </cell>
          <cell r="H165" t="str">
            <v>同一控制下企业合并</v>
          </cell>
          <cell r="I165">
            <v>8004</v>
          </cell>
          <cell r="J165">
            <v>0</v>
          </cell>
          <cell r="M165" t="str">
            <v>资本公积_结转重新计量设定受益计划净负债或净资产所产生的变动</v>
          </cell>
          <cell r="S165" t="str">
            <v>2241g</v>
          </cell>
          <cell r="T165" t="str">
            <v>外币其他应付款</v>
          </cell>
          <cell r="U165" t="str">
            <v>币       种</v>
          </cell>
          <cell r="V165">
            <v>1</v>
          </cell>
          <cell r="W165">
            <v>2241</v>
          </cell>
          <cell r="X165">
            <v>2</v>
          </cell>
        </row>
        <row r="166">
          <cell r="B166">
            <v>8009</v>
          </cell>
          <cell r="C166" t="str">
            <v>所有者权益_其他原因调整上年年末余额</v>
          </cell>
          <cell r="D166">
            <v>-1</v>
          </cell>
          <cell r="E166" t="str">
            <v>＝</v>
          </cell>
          <cell r="F166">
            <v>0</v>
          </cell>
          <cell r="G166" t="str">
            <v>其他</v>
          </cell>
          <cell r="H166" t="str">
            <v>其他</v>
          </cell>
          <cell r="I166">
            <v>8009</v>
          </cell>
          <cell r="J166">
            <v>0</v>
          </cell>
          <cell r="M166" t="str">
            <v>资本公积_所有者权益其他内部结转</v>
          </cell>
          <cell r="S166" t="str">
            <v>2241a</v>
          </cell>
          <cell r="T166" t="str">
            <v>关联方应收应付款项——其他应付款</v>
          </cell>
          <cell r="U166" t="str">
            <v>项       目</v>
          </cell>
          <cell r="V166">
            <v>1</v>
          </cell>
          <cell r="W166">
            <v>2241</v>
          </cell>
          <cell r="X166">
            <v>2</v>
          </cell>
        </row>
        <row r="167">
          <cell r="B167">
            <v>8010</v>
          </cell>
          <cell r="C167" t="str">
            <v>所有者权益_本年年初余额</v>
          </cell>
          <cell r="D167">
            <v>0</v>
          </cell>
          <cell r="E167" t="str">
            <v>＝</v>
          </cell>
          <cell r="F167">
            <v>0</v>
          </cell>
          <cell r="G167" t="str">
            <v>二、本年年初余额</v>
          </cell>
          <cell r="H167" t="str">
            <v>二、本年年初余额</v>
          </cell>
          <cell r="I167">
            <v>8010</v>
          </cell>
          <cell r="J167">
            <v>0</v>
          </cell>
          <cell r="M167" t="str">
            <v>资本公积_专项储备本期提取</v>
          </cell>
          <cell r="S167" t="str">
            <v>2395a</v>
          </cell>
          <cell r="T167" t="str">
            <v>一年内到期的非流动负债</v>
          </cell>
          <cell r="U167" t="str">
            <v>项       目</v>
          </cell>
          <cell r="V167">
            <v>1</v>
          </cell>
          <cell r="W167">
            <v>2395</v>
          </cell>
          <cell r="X167">
            <v>1</v>
          </cell>
        </row>
        <row r="168">
          <cell r="B168">
            <v>8090</v>
          </cell>
          <cell r="C168" t="str">
            <v>所有者权益_本期增减变动金额</v>
          </cell>
          <cell r="D168">
            <v>0</v>
          </cell>
          <cell r="E168" t="str">
            <v>＝</v>
          </cell>
          <cell r="F168">
            <v>0</v>
          </cell>
          <cell r="G168" t="str">
            <v>三、本期增减变动金额（减少以“-”号填列）</v>
          </cell>
          <cell r="H168" t="str">
            <v>三、本年增减变动金额（减少以“－”号填列）</v>
          </cell>
          <cell r="I168">
            <v>8090</v>
          </cell>
          <cell r="J168">
            <v>0</v>
          </cell>
          <cell r="M168" t="str">
            <v>资本公积_专项储备本期使用</v>
          </cell>
          <cell r="S168" t="str">
            <v>2395b</v>
          </cell>
          <cell r="T168" t="str">
            <v>1年内到期的长期借款</v>
          </cell>
          <cell r="U168" t="str">
            <v>项       目</v>
          </cell>
          <cell r="V168">
            <v>1</v>
          </cell>
          <cell r="W168">
            <v>2395</v>
          </cell>
          <cell r="X168">
            <v>2</v>
          </cell>
        </row>
        <row r="169">
          <cell r="B169">
            <v>8021</v>
          </cell>
          <cell r="C169" t="str">
            <v>所有者权益_净利润增加权益</v>
          </cell>
          <cell r="D169">
            <v>-1</v>
          </cell>
          <cell r="E169" t="str">
            <v>＝</v>
          </cell>
          <cell r="F169">
            <v>0</v>
          </cell>
          <cell r="G169" t="str">
            <v>（一）净利润</v>
          </cell>
          <cell r="H169">
            <v>0</v>
          </cell>
          <cell r="I169">
            <v>8021</v>
          </cell>
          <cell r="J169">
            <v>0</v>
          </cell>
          <cell r="M169" t="str">
            <v>资本公积_本期其他增减变动</v>
          </cell>
          <cell r="S169" t="str">
            <v>2395e</v>
          </cell>
          <cell r="T169" t="str">
            <v>1年内到期的应付债券</v>
          </cell>
          <cell r="U169" t="str">
            <v>债券名称</v>
          </cell>
          <cell r="V169">
            <v>1</v>
          </cell>
          <cell r="W169">
            <v>2395</v>
          </cell>
          <cell r="X169">
            <v>2</v>
          </cell>
        </row>
        <row r="170">
          <cell r="B170">
            <v>8030</v>
          </cell>
          <cell r="C170" t="str">
            <v>所有者权益_其他综合收益增加权益</v>
          </cell>
          <cell r="D170">
            <v>-1</v>
          </cell>
          <cell r="E170" t="str">
            <v>＝</v>
          </cell>
          <cell r="F170">
            <v>0</v>
          </cell>
          <cell r="G170" t="str">
            <v>（二）其他综合收益</v>
          </cell>
          <cell r="H170">
            <v>0</v>
          </cell>
          <cell r="I170">
            <v>8030</v>
          </cell>
          <cell r="J170">
            <v>0</v>
          </cell>
          <cell r="M170" t="str">
            <v>库存股_上年年末余额</v>
          </cell>
          <cell r="S170" t="str">
            <v>2395f</v>
          </cell>
          <cell r="T170" t="str">
            <v>一年内到期的长期应付款</v>
          </cell>
          <cell r="U170" t="str">
            <v>项       目</v>
          </cell>
          <cell r="V170">
            <v>1</v>
          </cell>
          <cell r="W170">
            <v>2395</v>
          </cell>
          <cell r="X170">
            <v>2</v>
          </cell>
        </row>
        <row r="171">
          <cell r="B171">
            <v>8040</v>
          </cell>
          <cell r="C171" t="str">
            <v>所有者权益_综合收益总额增加权益</v>
          </cell>
          <cell r="D171">
            <v>0</v>
          </cell>
          <cell r="E171" t="str">
            <v>＝</v>
          </cell>
          <cell r="F171">
            <v>0</v>
          </cell>
          <cell r="G171" t="str">
            <v>（一）综合收益总额</v>
          </cell>
          <cell r="H171" t="str">
            <v>（一）综合收益总额</v>
          </cell>
          <cell r="I171">
            <v>8040</v>
          </cell>
          <cell r="J171">
            <v>0</v>
          </cell>
          <cell r="M171" t="str">
            <v>库存股_会计政策变更调整上年年末余额</v>
          </cell>
          <cell r="S171" t="str">
            <v>2396a</v>
          </cell>
          <cell r="T171" t="str">
            <v>其他流动负债明细项目</v>
          </cell>
          <cell r="U171" t="str">
            <v>项       目</v>
          </cell>
          <cell r="V171">
            <v>1</v>
          </cell>
          <cell r="W171">
            <v>2396</v>
          </cell>
          <cell r="X171">
            <v>1</v>
          </cell>
        </row>
        <row r="172">
          <cell r="B172">
            <v>8050</v>
          </cell>
          <cell r="C172" t="str">
            <v>所有者权益_所有者投入和减少资本影响权益</v>
          </cell>
          <cell r="D172">
            <v>0</v>
          </cell>
          <cell r="E172" t="str">
            <v>＝</v>
          </cell>
          <cell r="F172">
            <v>0</v>
          </cell>
          <cell r="G172" t="str">
            <v>（二）所有者投入和减少资本</v>
          </cell>
          <cell r="H172" t="str">
            <v>（二）股东（或所有者）投入和减少资本</v>
          </cell>
          <cell r="I172">
            <v>8050</v>
          </cell>
          <cell r="J172">
            <v>0</v>
          </cell>
          <cell r="M172" t="str">
            <v>库存股_前期差错更正调整上年年末余额</v>
          </cell>
          <cell r="S172" t="str">
            <v>2396c</v>
          </cell>
          <cell r="T172" t="str">
            <v>短期应付债券</v>
          </cell>
          <cell r="U172" t="str">
            <v>债券名称</v>
          </cell>
          <cell r="V172">
            <v>1</v>
          </cell>
          <cell r="W172">
            <v>2396</v>
          </cell>
          <cell r="X172">
            <v>2</v>
          </cell>
        </row>
        <row r="173">
          <cell r="B173">
            <v>8051</v>
          </cell>
          <cell r="C173" t="str">
            <v>所有者权益_所有者投入资本增加权益</v>
          </cell>
          <cell r="D173">
            <v>-1</v>
          </cell>
          <cell r="E173" t="str">
            <v>＝</v>
          </cell>
          <cell r="F173">
            <v>0</v>
          </cell>
          <cell r="G173" t="str">
            <v>所有者投入资本</v>
          </cell>
          <cell r="H173" t="str">
            <v>1．股东投入的普通股</v>
          </cell>
          <cell r="I173">
            <v>8051</v>
          </cell>
          <cell r="J173">
            <v>0</v>
          </cell>
          <cell r="M173" t="str">
            <v>库存股_同一控制下企业合并调整上年年末余额</v>
          </cell>
          <cell r="S173" t="str">
            <v>2396b</v>
          </cell>
          <cell r="T173" t="str">
            <v>递延收益——政府补助情况</v>
          </cell>
          <cell r="U173" t="str">
            <v>补助项目</v>
          </cell>
          <cell r="V173">
            <v>1</v>
          </cell>
          <cell r="W173">
            <v>2396</v>
          </cell>
          <cell r="X173">
            <v>2</v>
          </cell>
        </row>
        <row r="174">
          <cell r="B174">
            <v>8053</v>
          </cell>
          <cell r="C174" t="str">
            <v>所有者权益_其他权益工具持有者投入资本</v>
          </cell>
          <cell r="D174">
            <v>-1</v>
          </cell>
          <cell r="E174" t="str">
            <v>OEI＝</v>
          </cell>
          <cell r="F174">
            <v>0</v>
          </cell>
          <cell r="G174" t="str">
            <v>其他权益工具持有者投入资本</v>
          </cell>
          <cell r="H174" t="str">
            <v>2．其他权益工具持有者投入资本</v>
          </cell>
          <cell r="I174">
            <v>8053</v>
          </cell>
          <cell r="J174">
            <v>0</v>
          </cell>
          <cell r="M174" t="str">
            <v>库存股_其他原因调整上年年末余额</v>
          </cell>
          <cell r="S174" t="str">
            <v>2501a</v>
          </cell>
          <cell r="T174" t="str">
            <v>长期借款明细项目</v>
          </cell>
          <cell r="U174" t="str">
            <v>借款类别</v>
          </cell>
          <cell r="V174">
            <v>1</v>
          </cell>
          <cell r="W174">
            <v>2501</v>
          </cell>
          <cell r="X174">
            <v>1</v>
          </cell>
        </row>
        <row r="175">
          <cell r="B175">
            <v>8052</v>
          </cell>
          <cell r="C175" t="str">
            <v>所有者权益_股份支付计入所有者权益的金额</v>
          </cell>
          <cell r="D175">
            <v>-1</v>
          </cell>
          <cell r="E175" t="str">
            <v>＝</v>
          </cell>
          <cell r="F175">
            <v>0</v>
          </cell>
          <cell r="G175" t="str">
            <v>股份支付计入所有者权益的金额</v>
          </cell>
          <cell r="H175" t="str">
            <v>3．股份支付计入股东权益的金额</v>
          </cell>
          <cell r="I175">
            <v>8052</v>
          </cell>
          <cell r="J175">
            <v>0</v>
          </cell>
          <cell r="M175" t="str">
            <v>库存股_净利润增加权益</v>
          </cell>
          <cell r="S175" t="str">
            <v>2501c</v>
          </cell>
          <cell r="T175" t="str">
            <v>外币长期借款</v>
          </cell>
          <cell r="U175" t="str">
            <v>币       种</v>
          </cell>
          <cell r="V175">
            <v>1</v>
          </cell>
          <cell r="W175">
            <v>2501</v>
          </cell>
          <cell r="X175">
            <v>2</v>
          </cell>
        </row>
        <row r="176">
          <cell r="B176">
            <v>8056</v>
          </cell>
          <cell r="C176" t="str">
            <v>所有者权益_所有者其他投入和减少资本</v>
          </cell>
          <cell r="D176">
            <v>-1</v>
          </cell>
          <cell r="E176" t="str">
            <v>＝</v>
          </cell>
          <cell r="F176">
            <v>0</v>
          </cell>
          <cell r="G176" t="str">
            <v>其他</v>
          </cell>
          <cell r="H176" t="str">
            <v>4．其他</v>
          </cell>
          <cell r="I176">
            <v>8056</v>
          </cell>
          <cell r="J176">
            <v>0</v>
          </cell>
          <cell r="M176" t="str">
            <v>库存股_其他综合收益增加权益</v>
          </cell>
          <cell r="S176" t="str">
            <v>2502b</v>
          </cell>
          <cell r="T176" t="str">
            <v>应付债券明细项目</v>
          </cell>
          <cell r="U176" t="str">
            <v>债券名称</v>
          </cell>
          <cell r="V176">
            <v>1</v>
          </cell>
          <cell r="W176">
            <v>2502</v>
          </cell>
          <cell r="X176">
            <v>1</v>
          </cell>
        </row>
        <row r="177">
          <cell r="B177">
            <v>8060</v>
          </cell>
          <cell r="C177" t="str">
            <v>所有者权益_利润分配影响权益</v>
          </cell>
          <cell r="D177">
            <v>0</v>
          </cell>
          <cell r="E177" t="str">
            <v>＝</v>
          </cell>
          <cell r="F177">
            <v>0</v>
          </cell>
          <cell r="G177" t="str">
            <v>（三）利润分配</v>
          </cell>
          <cell r="H177" t="str">
            <v>（三）利润分配</v>
          </cell>
          <cell r="I177">
            <v>8060</v>
          </cell>
          <cell r="J177">
            <v>0</v>
          </cell>
          <cell r="M177" t="str">
            <v>库存股_综合收益总额增加权益</v>
          </cell>
          <cell r="S177" t="str">
            <v>2502a</v>
          </cell>
          <cell r="T177" t="str">
            <v>应付债券的增减变动</v>
          </cell>
          <cell r="U177" t="str">
            <v>债券名称</v>
          </cell>
          <cell r="V177">
            <v>1</v>
          </cell>
          <cell r="W177">
            <v>2502</v>
          </cell>
          <cell r="X177">
            <v>2</v>
          </cell>
        </row>
        <row r="178">
          <cell r="B178">
            <v>8061</v>
          </cell>
          <cell r="C178" t="str">
            <v>所有者权益_提取盈余公积影响权益</v>
          </cell>
          <cell r="D178">
            <v>-1</v>
          </cell>
          <cell r="E178" t="str">
            <v>＝</v>
          </cell>
          <cell r="F178">
            <v>0</v>
          </cell>
          <cell r="G178" t="str">
            <v>提取盈余公积</v>
          </cell>
          <cell r="H178" t="str">
            <v>1．提取盈余公积</v>
          </cell>
          <cell r="I178">
            <v>8061</v>
          </cell>
          <cell r="J178">
            <v>0</v>
          </cell>
          <cell r="M178" t="str">
            <v>库存股_所有者投入资本</v>
          </cell>
          <cell r="S178" t="str">
            <v>2502d</v>
          </cell>
          <cell r="T178" t="str">
            <v>期末发行在外的优先股、永续债等其他金融工具的基本情况</v>
          </cell>
          <cell r="U178" t="str">
            <v>发行在外的金融工具</v>
          </cell>
          <cell r="V178">
            <v>1</v>
          </cell>
          <cell r="W178">
            <v>2502</v>
          </cell>
          <cell r="X178">
            <v>2</v>
          </cell>
        </row>
        <row r="179">
          <cell r="B179">
            <v>8062</v>
          </cell>
          <cell r="C179" t="str">
            <v>所有者权益_提取一般风险准备影响权益</v>
          </cell>
          <cell r="D179">
            <v>-1</v>
          </cell>
          <cell r="E179" t="str">
            <v>＝</v>
          </cell>
          <cell r="F179">
            <v>0</v>
          </cell>
          <cell r="G179" t="str">
            <v>提取一般风险准备</v>
          </cell>
          <cell r="H179" t="str">
            <v>2．提取一般风险准备</v>
          </cell>
          <cell r="I179">
            <v>8062</v>
          </cell>
          <cell r="J179">
            <v>0</v>
          </cell>
          <cell r="M179" t="str">
            <v>库存股_股份支付</v>
          </cell>
          <cell r="S179" t="str">
            <v>2502c</v>
          </cell>
          <cell r="T179" t="str">
            <v>期末发行在外的优先股、永续债等其他金融工具变动情况表</v>
          </cell>
          <cell r="U179" t="str">
            <v>发行在外的金融工具</v>
          </cell>
          <cell r="V179">
            <v>1</v>
          </cell>
          <cell r="W179">
            <v>2502</v>
          </cell>
          <cell r="X179">
            <v>2</v>
          </cell>
        </row>
        <row r="180">
          <cell r="B180">
            <v>8063</v>
          </cell>
          <cell r="C180" t="str">
            <v>所有者权益_对所有者的分配影响权益</v>
          </cell>
          <cell r="D180">
            <v>-1</v>
          </cell>
          <cell r="E180" t="str">
            <v>＝</v>
          </cell>
          <cell r="F180">
            <v>0</v>
          </cell>
          <cell r="G180" t="str">
            <v>对所有者（或股东）的分配</v>
          </cell>
          <cell r="H180" t="str">
            <v>2．对股东（或所有者）的分配</v>
          </cell>
          <cell r="I180">
            <v>8063</v>
          </cell>
          <cell r="J180">
            <v>0</v>
          </cell>
          <cell r="M180" t="str">
            <v>库存股_其他权益工具持有者投入资本</v>
          </cell>
          <cell r="S180" t="str">
            <v>2701c</v>
          </cell>
          <cell r="T180" t="str">
            <v>长期应付款明细项目</v>
          </cell>
          <cell r="U180" t="str">
            <v>项       目</v>
          </cell>
          <cell r="V180">
            <v>1</v>
          </cell>
          <cell r="W180">
            <v>2701</v>
          </cell>
          <cell r="X180">
            <v>1</v>
          </cell>
        </row>
        <row r="181">
          <cell r="B181">
            <v>8066</v>
          </cell>
          <cell r="C181" t="str">
            <v>所有者权益_其他利润分配影响权益</v>
          </cell>
          <cell r="D181">
            <v>-1</v>
          </cell>
          <cell r="E181" t="str">
            <v>＝</v>
          </cell>
          <cell r="F181">
            <v>0</v>
          </cell>
          <cell r="G181" t="str">
            <v>其他</v>
          </cell>
          <cell r="H181" t="str">
            <v>3．其他</v>
          </cell>
          <cell r="I181">
            <v>8066</v>
          </cell>
          <cell r="J181">
            <v>0</v>
          </cell>
          <cell r="M181" t="str">
            <v>库存股_所有者其他投入和减少资本</v>
          </cell>
          <cell r="S181" t="str">
            <v>2701d</v>
          </cell>
          <cell r="T181" t="str">
            <v>外币长期应付款</v>
          </cell>
          <cell r="U181" t="str">
            <v>币       种</v>
          </cell>
          <cell r="V181">
            <v>1</v>
          </cell>
          <cell r="W181">
            <v>2701</v>
          </cell>
          <cell r="X181">
            <v>2</v>
          </cell>
        </row>
        <row r="182">
          <cell r="B182">
            <v>8070</v>
          </cell>
          <cell r="C182" t="str">
            <v>所有者权益_所有者权益内部结转</v>
          </cell>
          <cell r="D182">
            <v>0</v>
          </cell>
          <cell r="E182" t="str">
            <v>＝</v>
          </cell>
          <cell r="F182">
            <v>0</v>
          </cell>
          <cell r="G182" t="str">
            <v>（四）所有者权益内部结转</v>
          </cell>
          <cell r="H182" t="str">
            <v>（四）股东权益内部结转</v>
          </cell>
          <cell r="I182">
            <v>8070</v>
          </cell>
          <cell r="J182">
            <v>0</v>
          </cell>
          <cell r="M182" t="str">
            <v>库存股_提取盈余公积影响权益</v>
          </cell>
          <cell r="S182" t="str">
            <v>2715a</v>
          </cell>
          <cell r="T182" t="str">
            <v>长期应付职工薪酬</v>
          </cell>
          <cell r="U182" t="str">
            <v>项       目</v>
          </cell>
          <cell r="V182">
            <v>1</v>
          </cell>
          <cell r="W182">
            <v>2715</v>
          </cell>
          <cell r="X182">
            <v>1</v>
          </cell>
        </row>
        <row r="183">
          <cell r="B183">
            <v>8071</v>
          </cell>
          <cell r="C183" t="str">
            <v>所有者权益_资本公积转增资本影响权益</v>
          </cell>
          <cell r="D183">
            <v>-1</v>
          </cell>
          <cell r="E183" t="str">
            <v>＝</v>
          </cell>
          <cell r="F183">
            <v>0</v>
          </cell>
          <cell r="G183" t="str">
            <v>资本公积转增资本（或股本）</v>
          </cell>
          <cell r="H183" t="str">
            <v>1．资本公积转增股本（或资本）</v>
          </cell>
          <cell r="I183">
            <v>8071</v>
          </cell>
          <cell r="J183">
            <v>0</v>
          </cell>
          <cell r="M183" t="str">
            <v>库存股_提取一般风险准备影响权益</v>
          </cell>
          <cell r="S183" t="str">
            <v>2715b</v>
          </cell>
          <cell r="T183" t="str">
            <v>设定受益计划义务现值变动情况</v>
          </cell>
          <cell r="U183" t="str">
            <v>项       目</v>
          </cell>
          <cell r="V183">
            <v>1</v>
          </cell>
          <cell r="W183">
            <v>2715</v>
          </cell>
          <cell r="X183">
            <v>2</v>
          </cell>
        </row>
        <row r="184">
          <cell r="B184">
            <v>8072</v>
          </cell>
          <cell r="C184" t="str">
            <v>所有者权益_盈余公积转增资本影响权益</v>
          </cell>
          <cell r="D184">
            <v>-1</v>
          </cell>
          <cell r="E184" t="str">
            <v>＝</v>
          </cell>
          <cell r="F184">
            <v>0</v>
          </cell>
          <cell r="G184" t="str">
            <v>盈余公积转增资本（或股本）</v>
          </cell>
          <cell r="H184" t="str">
            <v>2．盈余公积转增股本（或资本）</v>
          </cell>
          <cell r="I184">
            <v>8072</v>
          </cell>
          <cell r="J184">
            <v>0</v>
          </cell>
          <cell r="M184" t="str">
            <v>库存股_对所有者的分配</v>
          </cell>
          <cell r="S184" t="str">
            <v>2715c</v>
          </cell>
          <cell r="T184" t="str">
            <v>设定受益计划资产变动情况</v>
          </cell>
          <cell r="U184" t="str">
            <v>项       目</v>
          </cell>
          <cell r="V184">
            <v>1</v>
          </cell>
          <cell r="W184">
            <v>2715</v>
          </cell>
          <cell r="X184">
            <v>2</v>
          </cell>
        </row>
        <row r="185">
          <cell r="B185">
            <v>8073</v>
          </cell>
          <cell r="C185" t="str">
            <v>所有者权益_盈余公积弥补亏损影响权益</v>
          </cell>
          <cell r="D185">
            <v>-1</v>
          </cell>
          <cell r="E185" t="str">
            <v>＝</v>
          </cell>
          <cell r="F185">
            <v>0</v>
          </cell>
          <cell r="G185" t="str">
            <v>盈余公积弥补亏损</v>
          </cell>
          <cell r="H185" t="str">
            <v>3．盈余公积弥补亏损</v>
          </cell>
          <cell r="I185">
            <v>8073</v>
          </cell>
          <cell r="J185">
            <v>0</v>
          </cell>
          <cell r="M185" t="str">
            <v>库存股_其他利润分配</v>
          </cell>
          <cell r="S185" t="str">
            <v>2715d</v>
          </cell>
          <cell r="T185" t="str">
            <v>设定受益计划净负债变动情况</v>
          </cell>
          <cell r="U185" t="str">
            <v>项       目</v>
          </cell>
          <cell r="V185">
            <v>1</v>
          </cell>
          <cell r="W185">
            <v>2715</v>
          </cell>
          <cell r="X185">
            <v>2</v>
          </cell>
        </row>
        <row r="186">
          <cell r="B186">
            <v>8075</v>
          </cell>
          <cell r="C186" t="str">
            <v>所有者权益_结转重新计量设定受益计划净负债或净资产所产生的变动</v>
          </cell>
          <cell r="D186">
            <v>-1</v>
          </cell>
          <cell r="E186" t="str">
            <v>OEI＝</v>
          </cell>
          <cell r="F186">
            <v>0</v>
          </cell>
          <cell r="G186" t="str">
            <v>结转重新计量设定受益计划净负债或净资产所产生的变动</v>
          </cell>
          <cell r="H186" t="str">
            <v>4．结转重新计量设定受益计划净负债或净资产所产生的变动</v>
          </cell>
          <cell r="I186">
            <v>8075</v>
          </cell>
          <cell r="J186">
            <v>0</v>
          </cell>
          <cell r="M186" t="str">
            <v>库存股_资本公积转增资本影响权益</v>
          </cell>
          <cell r="S186" t="str">
            <v>2715e</v>
          </cell>
          <cell r="T186" t="str">
            <v>未折现的离职后福利预计到期分析</v>
          </cell>
          <cell r="U186" t="str">
            <v>项       目</v>
          </cell>
          <cell r="V186">
            <v>1</v>
          </cell>
          <cell r="W186">
            <v>2715</v>
          </cell>
          <cell r="X186">
            <v>2</v>
          </cell>
        </row>
        <row r="187">
          <cell r="B187">
            <v>8076</v>
          </cell>
          <cell r="C187" t="str">
            <v>所有者权益_所有者权益其他内部结转</v>
          </cell>
          <cell r="D187">
            <v>-1</v>
          </cell>
          <cell r="E187" t="str">
            <v>＝</v>
          </cell>
          <cell r="F187">
            <v>0</v>
          </cell>
          <cell r="G187" t="str">
            <v>其他</v>
          </cell>
          <cell r="H187" t="str">
            <v>5．其他</v>
          </cell>
          <cell r="I187">
            <v>8076</v>
          </cell>
          <cell r="J187">
            <v>0</v>
          </cell>
          <cell r="M187" t="str">
            <v>库存股_盈余公积转增资本影响权益</v>
          </cell>
          <cell r="S187" t="str">
            <v>2715f</v>
          </cell>
          <cell r="T187" t="str">
            <v>设定受益计划资产明细</v>
          </cell>
          <cell r="U187" t="str">
            <v>项       目</v>
          </cell>
          <cell r="V187">
            <v>1</v>
          </cell>
          <cell r="W187">
            <v>2715</v>
          </cell>
          <cell r="X187">
            <v>2</v>
          </cell>
        </row>
        <row r="188">
          <cell r="B188">
            <v>8080</v>
          </cell>
          <cell r="C188" t="str">
            <v>所有者权益_专项储备影响权益</v>
          </cell>
          <cell r="D188">
            <v>0</v>
          </cell>
          <cell r="E188" t="str">
            <v>＝</v>
          </cell>
          <cell r="F188">
            <v>0</v>
          </cell>
          <cell r="G188" t="str">
            <v>（五）专项储备</v>
          </cell>
          <cell r="H188" t="str">
            <v>（五）专项储备</v>
          </cell>
          <cell r="I188">
            <v>8080</v>
          </cell>
          <cell r="J188">
            <v>0</v>
          </cell>
          <cell r="M188" t="str">
            <v>库存股_盈余公积弥补亏损影响权益</v>
          </cell>
          <cell r="S188" t="str">
            <v>2715g</v>
          </cell>
          <cell r="T188" t="str">
            <v>设定受益计划精算假设</v>
          </cell>
          <cell r="U188" t="str">
            <v>项       目</v>
          </cell>
          <cell r="V188">
            <v>1</v>
          </cell>
          <cell r="W188">
            <v>2715</v>
          </cell>
          <cell r="X188">
            <v>2</v>
          </cell>
        </row>
        <row r="189">
          <cell r="B189">
            <v>8081</v>
          </cell>
          <cell r="C189" t="str">
            <v>所有者权益_专项储备本期提取</v>
          </cell>
          <cell r="D189">
            <v>-1</v>
          </cell>
          <cell r="E189" t="str">
            <v>＝</v>
          </cell>
          <cell r="F189">
            <v>0</v>
          </cell>
          <cell r="G189" t="str">
            <v>本期提取</v>
          </cell>
          <cell r="H189" t="str">
            <v>1．本期提取</v>
          </cell>
          <cell r="I189">
            <v>8081</v>
          </cell>
          <cell r="J189">
            <v>0</v>
          </cell>
          <cell r="M189" t="str">
            <v>库存股_结转重新计量设定受益计划净负债或净资产所产生的变动</v>
          </cell>
          <cell r="S189" t="str">
            <v>2715h</v>
          </cell>
          <cell r="T189" t="str">
            <v>设定受益计划敏感性分析</v>
          </cell>
          <cell r="U189" t="str">
            <v>项       目</v>
          </cell>
          <cell r="V189">
            <v>1</v>
          </cell>
          <cell r="W189">
            <v>2715</v>
          </cell>
          <cell r="X189">
            <v>2</v>
          </cell>
        </row>
        <row r="190">
          <cell r="B190">
            <v>8082</v>
          </cell>
          <cell r="C190" t="str">
            <v>所有者权益_专项储备本期使用</v>
          </cell>
          <cell r="D190">
            <v>-1</v>
          </cell>
          <cell r="E190" t="str">
            <v>＝</v>
          </cell>
          <cell r="F190">
            <v>0</v>
          </cell>
          <cell r="G190" t="str">
            <v>本期使用</v>
          </cell>
          <cell r="H190" t="str">
            <v>2．本期使用（以负号填列）</v>
          </cell>
          <cell r="I190">
            <v>8082</v>
          </cell>
          <cell r="J190">
            <v>0</v>
          </cell>
          <cell r="M190" t="str">
            <v>库存股_所有者权益其他内部结转</v>
          </cell>
          <cell r="S190" t="str">
            <v>2711a</v>
          </cell>
          <cell r="T190" t="str">
            <v>专项应付款明细项目</v>
          </cell>
          <cell r="U190" t="str">
            <v>项       目</v>
          </cell>
          <cell r="V190">
            <v>1</v>
          </cell>
          <cell r="W190">
            <v>2711</v>
          </cell>
          <cell r="X190">
            <v>1</v>
          </cell>
        </row>
        <row r="191">
          <cell r="B191">
            <v>8096</v>
          </cell>
          <cell r="C191" t="str">
            <v>所有者权益_本期其他增减变动</v>
          </cell>
          <cell r="D191">
            <v>-1</v>
          </cell>
          <cell r="E191" t="str">
            <v>＝</v>
          </cell>
          <cell r="F191">
            <v>0</v>
          </cell>
          <cell r="G191" t="str">
            <v>（七）其他</v>
          </cell>
          <cell r="H191" t="str">
            <v>（六）其他</v>
          </cell>
          <cell r="I191">
            <v>8096</v>
          </cell>
          <cell r="J191">
            <v>0</v>
          </cell>
          <cell r="M191" t="str">
            <v>库存股_专项储备本期提取</v>
          </cell>
          <cell r="S191" t="str">
            <v>2711b</v>
          </cell>
          <cell r="T191" t="str">
            <v>外币专项应付款</v>
          </cell>
          <cell r="U191" t="str">
            <v>币       种</v>
          </cell>
          <cell r="V191">
            <v>1</v>
          </cell>
          <cell r="W191">
            <v>2711</v>
          </cell>
          <cell r="X191">
            <v>2</v>
          </cell>
        </row>
        <row r="192">
          <cell r="B192">
            <v>8099</v>
          </cell>
          <cell r="C192" t="str">
            <v>所有者权益_本期期末余额</v>
          </cell>
          <cell r="D192">
            <v>0</v>
          </cell>
          <cell r="E192" t="str">
            <v>＝</v>
          </cell>
          <cell r="F192">
            <v>0</v>
          </cell>
          <cell r="G192" t="str">
            <v>四、本期期末余额</v>
          </cell>
          <cell r="H192" t="str">
            <v>四、本年年末余额</v>
          </cell>
          <cell r="I192">
            <v>8099</v>
          </cell>
          <cell r="J192">
            <v>0</v>
          </cell>
          <cell r="M192" t="str">
            <v>库存股_专项储备本期使用</v>
          </cell>
          <cell r="S192" t="str">
            <v>2801a</v>
          </cell>
          <cell r="T192" t="str">
            <v>预计负债明细项目</v>
          </cell>
          <cell r="U192" t="str">
            <v>种       类</v>
          </cell>
          <cell r="V192">
            <v>1</v>
          </cell>
          <cell r="W192">
            <v>2801</v>
          </cell>
          <cell r="X192">
            <v>1</v>
          </cell>
        </row>
        <row r="193">
          <cell r="B193">
            <v>8100</v>
          </cell>
          <cell r="C193" t="str">
            <v>实收资本增减变动</v>
          </cell>
          <cell r="D193">
            <v>0</v>
          </cell>
          <cell r="E193" t="str">
            <v>：</v>
          </cell>
          <cell r="F193">
            <v>0</v>
          </cell>
          <cell r="G193" t="str">
            <v>实收资本(或股本)增减变动</v>
          </cell>
          <cell r="H193">
            <v>0</v>
          </cell>
          <cell r="I193">
            <v>8100</v>
          </cell>
          <cell r="J193">
            <v>0</v>
          </cell>
          <cell r="M193" t="str">
            <v>库存股_本期其他增减变动</v>
          </cell>
          <cell r="S193" t="str">
            <v>2401a</v>
          </cell>
          <cell r="T193" t="str">
            <v>递延收益</v>
          </cell>
          <cell r="U193" t="str">
            <v>项       目</v>
          </cell>
          <cell r="V193">
            <v>1</v>
          </cell>
          <cell r="W193">
            <v>2401</v>
          </cell>
          <cell r="X193">
            <v>1</v>
          </cell>
        </row>
        <row r="194">
          <cell r="B194">
            <v>8101</v>
          </cell>
          <cell r="C194" t="str">
            <v>实收资本_上年年末余额</v>
          </cell>
          <cell r="D194">
            <v>-1</v>
          </cell>
          <cell r="E194">
            <v>0</v>
          </cell>
          <cell r="F194">
            <v>5110</v>
          </cell>
          <cell r="G194" t="str">
            <v>一、上年年末余额</v>
          </cell>
          <cell r="H194">
            <v>0</v>
          </cell>
          <cell r="I194">
            <v>8101</v>
          </cell>
          <cell r="J194" t="str">
            <v>J</v>
          </cell>
          <cell r="M194" t="str">
            <v>专项储备_上年年末余额</v>
          </cell>
          <cell r="S194" t="str">
            <v>2401b</v>
          </cell>
          <cell r="T194" t="str">
            <v>递延收益——政府补助情况</v>
          </cell>
          <cell r="U194" t="str">
            <v>补助项目</v>
          </cell>
          <cell r="V194">
            <v>1</v>
          </cell>
          <cell r="W194">
            <v>2401</v>
          </cell>
          <cell r="X194">
            <v>2</v>
          </cell>
        </row>
        <row r="195">
          <cell r="B195">
            <v>8102</v>
          </cell>
          <cell r="C195" t="str">
            <v>实收资本_会计政策变更调整上年年末余额</v>
          </cell>
          <cell r="D195">
            <v>-1</v>
          </cell>
          <cell r="E195" t="str">
            <v>LOW</v>
          </cell>
          <cell r="F195">
            <v>5110</v>
          </cell>
          <cell r="G195" t="str">
            <v>加：会计政策变更</v>
          </cell>
          <cell r="H195">
            <v>0</v>
          </cell>
          <cell r="I195">
            <v>8102</v>
          </cell>
          <cell r="J195" t="str">
            <v>J</v>
          </cell>
          <cell r="M195" t="str">
            <v>专项储备_会计政策变更调整上年年末余额</v>
          </cell>
          <cell r="S195" t="str">
            <v>2996a</v>
          </cell>
          <cell r="T195" t="str">
            <v>其他非流动负债明细项目</v>
          </cell>
          <cell r="U195" t="str">
            <v>项       目</v>
          </cell>
          <cell r="V195">
            <v>1</v>
          </cell>
          <cell r="W195">
            <v>2996</v>
          </cell>
          <cell r="X195">
            <v>1</v>
          </cell>
        </row>
        <row r="196">
          <cell r="B196">
            <v>8103</v>
          </cell>
          <cell r="C196" t="str">
            <v>实收资本_前期差错更正调整上年年末余额</v>
          </cell>
          <cell r="D196">
            <v>-1</v>
          </cell>
          <cell r="E196">
            <v>0</v>
          </cell>
          <cell r="F196">
            <v>5110</v>
          </cell>
          <cell r="G196" t="str">
            <v>前期差错更正</v>
          </cell>
          <cell r="H196">
            <v>0</v>
          </cell>
          <cell r="I196">
            <v>8103</v>
          </cell>
          <cell r="J196" t="str">
            <v>J</v>
          </cell>
          <cell r="M196" t="str">
            <v>专项储备_前期差错更正调整上年年末余额</v>
          </cell>
          <cell r="S196" t="str">
            <v>2996x</v>
          </cell>
          <cell r="T196" t="str">
            <v>其他非流动负债</v>
          </cell>
          <cell r="U196" t="str">
            <v>项       目</v>
          </cell>
          <cell r="V196">
            <v>1</v>
          </cell>
          <cell r="W196">
            <v>2996</v>
          </cell>
          <cell r="X196">
            <v>2</v>
          </cell>
        </row>
        <row r="197">
          <cell r="B197">
            <v>8104</v>
          </cell>
          <cell r="C197" t="str">
            <v>实收资本_同一控制下企业合并调整上年年末余额</v>
          </cell>
          <cell r="D197">
            <v>-1</v>
          </cell>
          <cell r="E197" t="str">
            <v>※</v>
          </cell>
          <cell r="F197">
            <v>5110</v>
          </cell>
          <cell r="G197" t="str">
            <v>同一控制下企业合并</v>
          </cell>
          <cell r="H197">
            <v>0</v>
          </cell>
          <cell r="I197">
            <v>8104</v>
          </cell>
          <cell r="J197" t="str">
            <v>J</v>
          </cell>
          <cell r="M197" t="str">
            <v>专项储备_同一控制下企业合并调整上年年末余额</v>
          </cell>
          <cell r="S197" t="str">
            <v>4001a</v>
          </cell>
          <cell r="T197" t="str">
            <v>股本变动情况</v>
          </cell>
          <cell r="U197" t="str">
            <v>股份类别</v>
          </cell>
          <cell r="V197">
            <v>0</v>
          </cell>
          <cell r="W197">
            <v>4001</v>
          </cell>
          <cell r="X197">
            <v>2</v>
          </cell>
        </row>
        <row r="198">
          <cell r="B198">
            <v>8109</v>
          </cell>
          <cell r="C198" t="str">
            <v>实收资本_其他原因调整上年年末余额</v>
          </cell>
          <cell r="D198">
            <v>-1</v>
          </cell>
          <cell r="E198" t="str">
            <v>LOW</v>
          </cell>
          <cell r="F198">
            <v>5110</v>
          </cell>
          <cell r="G198" t="str">
            <v>其他</v>
          </cell>
          <cell r="H198">
            <v>0</v>
          </cell>
          <cell r="I198">
            <v>8109</v>
          </cell>
          <cell r="J198" t="str">
            <v>J</v>
          </cell>
          <cell r="M198" t="str">
            <v>专项储备_其他原因调整上年年末余额</v>
          </cell>
          <cell r="S198" t="str">
            <v>4001b</v>
          </cell>
          <cell r="T198" t="str">
            <v>实收资本变动情况</v>
          </cell>
          <cell r="U198" t="str">
            <v>股东名称</v>
          </cell>
          <cell r="V198">
            <v>1</v>
          </cell>
          <cell r="W198">
            <v>4001</v>
          </cell>
          <cell r="X198">
            <v>1</v>
          </cell>
        </row>
        <row r="199">
          <cell r="B199">
            <v>8110</v>
          </cell>
          <cell r="C199" t="str">
            <v>实收资本_本年年初余额</v>
          </cell>
          <cell r="D199">
            <v>0</v>
          </cell>
          <cell r="E199" t="str">
            <v>＝</v>
          </cell>
          <cell r="F199">
            <v>0</v>
          </cell>
          <cell r="G199" t="str">
            <v>二、本年年初余额</v>
          </cell>
          <cell r="H199">
            <v>0</v>
          </cell>
          <cell r="I199">
            <v>8110</v>
          </cell>
          <cell r="J199">
            <v>0</v>
          </cell>
          <cell r="M199" t="str">
            <v>专项储备_净利润增加权益</v>
          </cell>
          <cell r="S199" t="str">
            <v>4015b</v>
          </cell>
          <cell r="T199" t="str">
            <v>期末发行在外的优先股、永续债等其他金融工具的基本情况</v>
          </cell>
          <cell r="U199">
            <v>0</v>
          </cell>
          <cell r="V199">
            <v>1</v>
          </cell>
          <cell r="W199">
            <v>4015</v>
          </cell>
          <cell r="X199">
            <v>2</v>
          </cell>
        </row>
        <row r="200">
          <cell r="B200">
            <v>8190</v>
          </cell>
          <cell r="C200" t="str">
            <v>实收资本_本期增减变动金额</v>
          </cell>
          <cell r="D200">
            <v>0</v>
          </cell>
          <cell r="E200" t="str">
            <v>＝</v>
          </cell>
          <cell r="F200">
            <v>0</v>
          </cell>
          <cell r="G200" t="str">
            <v>三、本期增减变动金额（减少以“-”号填列）</v>
          </cell>
          <cell r="H200">
            <v>0</v>
          </cell>
          <cell r="I200">
            <v>8190</v>
          </cell>
          <cell r="J200">
            <v>0</v>
          </cell>
          <cell r="M200" t="str">
            <v>专项储备_其他综合收益增加权益</v>
          </cell>
          <cell r="S200" t="str">
            <v>4015a</v>
          </cell>
          <cell r="T200" t="str">
            <v>期末发行在外的优先股、永续债等其他金融工具变动情况表</v>
          </cell>
          <cell r="U200" t="str">
            <v>发行在外的金融工具</v>
          </cell>
          <cell r="V200">
            <v>1</v>
          </cell>
          <cell r="W200">
            <v>4015</v>
          </cell>
          <cell r="X200">
            <v>1</v>
          </cell>
        </row>
        <row r="201">
          <cell r="B201">
            <v>8150</v>
          </cell>
          <cell r="C201" t="str">
            <v>实收资本_所有者投入和减少资本影响权益</v>
          </cell>
          <cell r="D201">
            <v>0</v>
          </cell>
          <cell r="E201" t="str">
            <v>＝</v>
          </cell>
          <cell r="F201">
            <v>0</v>
          </cell>
          <cell r="G201" t="str">
            <v>（二）所有者投入和减少资本</v>
          </cell>
          <cell r="H201">
            <v>0</v>
          </cell>
          <cell r="I201">
            <v>8150</v>
          </cell>
          <cell r="J201">
            <v>0</v>
          </cell>
          <cell r="M201" t="str">
            <v>专项储备_综合收益总额增加权益</v>
          </cell>
          <cell r="S201" t="str">
            <v>4015c</v>
          </cell>
          <cell r="T201" t="str">
            <v>权益工具持有者的相关信息</v>
          </cell>
          <cell r="U201" t="str">
            <v>项       目</v>
          </cell>
          <cell r="V201">
            <v>1</v>
          </cell>
          <cell r="W201">
            <v>4015</v>
          </cell>
          <cell r="X201">
            <v>2</v>
          </cell>
        </row>
        <row r="202">
          <cell r="B202">
            <v>8151</v>
          </cell>
          <cell r="C202" t="str">
            <v>实收资本_所有者投入资本</v>
          </cell>
          <cell r="D202">
            <v>-1</v>
          </cell>
          <cell r="E202">
            <v>0</v>
          </cell>
          <cell r="F202">
            <v>5110</v>
          </cell>
          <cell r="G202" t="str">
            <v>所有者投入资本</v>
          </cell>
          <cell r="H202">
            <v>0</v>
          </cell>
          <cell r="I202">
            <v>8151</v>
          </cell>
          <cell r="J202" t="str">
            <v>J</v>
          </cell>
          <cell r="M202" t="str">
            <v>专项储备_所有者投入资本增加权益</v>
          </cell>
          <cell r="S202" t="str">
            <v>4002a</v>
          </cell>
          <cell r="T202" t="str">
            <v>资本公积变动情况</v>
          </cell>
          <cell r="U202" t="str">
            <v>种       类</v>
          </cell>
          <cell r="V202">
            <v>1</v>
          </cell>
          <cell r="W202">
            <v>4002</v>
          </cell>
          <cell r="X202">
            <v>1</v>
          </cell>
        </row>
        <row r="203">
          <cell r="B203">
            <v>8153</v>
          </cell>
          <cell r="C203" t="str">
            <v>实收资本_其他权益工具持有者投入资本</v>
          </cell>
          <cell r="D203">
            <v>-1</v>
          </cell>
          <cell r="E203" t="str">
            <v>OEI</v>
          </cell>
          <cell r="F203">
            <v>5110</v>
          </cell>
          <cell r="G203" t="str">
            <v>其他权益工具持有者投入资本</v>
          </cell>
          <cell r="H203">
            <v>0</v>
          </cell>
          <cell r="I203">
            <v>8153</v>
          </cell>
          <cell r="J203" t="str">
            <v>J</v>
          </cell>
          <cell r="M203" t="str">
            <v>专项储备_股份支付计入所有者权益的金额</v>
          </cell>
          <cell r="S203" t="str">
            <v>4201a</v>
          </cell>
          <cell r="T203" t="str">
            <v>库存股变动情况</v>
          </cell>
          <cell r="U203" t="str">
            <v>项       目</v>
          </cell>
          <cell r="V203">
            <v>1</v>
          </cell>
          <cell r="W203">
            <v>4201</v>
          </cell>
          <cell r="X203">
            <v>1</v>
          </cell>
        </row>
        <row r="204">
          <cell r="B204">
            <v>8156</v>
          </cell>
          <cell r="C204" t="str">
            <v>实收资本_所有者其他投入和减少资本</v>
          </cell>
          <cell r="D204">
            <v>-1</v>
          </cell>
          <cell r="E204" t="str">
            <v>LOW</v>
          </cell>
          <cell r="F204">
            <v>5110</v>
          </cell>
          <cell r="G204" t="str">
            <v>其他</v>
          </cell>
          <cell r="H204">
            <v>0</v>
          </cell>
          <cell r="I204">
            <v>8156</v>
          </cell>
          <cell r="J204" t="str">
            <v>J</v>
          </cell>
          <cell r="M204" t="str">
            <v>专项储备_其他权益工具持有者投入资本</v>
          </cell>
          <cell r="S204" t="str">
            <v>4215a</v>
          </cell>
          <cell r="T204" t="str">
            <v>其他综合收益</v>
          </cell>
          <cell r="U204" t="str">
            <v>项       目</v>
          </cell>
          <cell r="V204">
            <v>1</v>
          </cell>
          <cell r="W204">
            <v>4215</v>
          </cell>
          <cell r="X204">
            <v>1</v>
          </cell>
        </row>
        <row r="205">
          <cell r="B205">
            <v>8170</v>
          </cell>
          <cell r="C205" t="str">
            <v>实收资本_所有者权益内部结转</v>
          </cell>
          <cell r="D205">
            <v>0</v>
          </cell>
          <cell r="E205" t="str">
            <v>＝</v>
          </cell>
          <cell r="F205">
            <v>0</v>
          </cell>
          <cell r="G205" t="str">
            <v>（四）所有者权益内部结转</v>
          </cell>
          <cell r="H205">
            <v>0</v>
          </cell>
          <cell r="I205">
            <v>8170</v>
          </cell>
          <cell r="J205">
            <v>0</v>
          </cell>
          <cell r="M205" t="str">
            <v>专项储备_所有者其他投入和减少资本</v>
          </cell>
          <cell r="S205" t="str">
            <v>4301a</v>
          </cell>
          <cell r="T205" t="str">
            <v>专项储备变动情况</v>
          </cell>
          <cell r="U205" t="str">
            <v>项       目</v>
          </cell>
          <cell r="V205">
            <v>1</v>
          </cell>
          <cell r="W205">
            <v>4301</v>
          </cell>
          <cell r="X205">
            <v>1</v>
          </cell>
        </row>
        <row r="206">
          <cell r="B206">
            <v>8171</v>
          </cell>
          <cell r="C206" t="str">
            <v>实收资本_资本公积转增</v>
          </cell>
          <cell r="D206">
            <v>-1</v>
          </cell>
          <cell r="E206">
            <v>0</v>
          </cell>
          <cell r="F206">
            <v>5110</v>
          </cell>
          <cell r="G206" t="str">
            <v>资本公积转增资本（或股本）</v>
          </cell>
          <cell r="H206">
            <v>0</v>
          </cell>
          <cell r="I206">
            <v>8171</v>
          </cell>
          <cell r="J206" t="str">
            <v>J</v>
          </cell>
          <cell r="M206" t="str">
            <v>专项储备_提取盈余公积影响权益</v>
          </cell>
          <cell r="S206" t="str">
            <v>4101a</v>
          </cell>
          <cell r="T206" t="str">
            <v>盈余公积变动情况</v>
          </cell>
          <cell r="U206" t="str">
            <v>项       目</v>
          </cell>
          <cell r="V206">
            <v>1</v>
          </cell>
          <cell r="W206">
            <v>4101</v>
          </cell>
          <cell r="X206">
            <v>1</v>
          </cell>
        </row>
        <row r="207">
          <cell r="B207">
            <v>8172</v>
          </cell>
          <cell r="C207" t="str">
            <v>实收资本_盈余公积转增</v>
          </cell>
          <cell r="D207">
            <v>-1</v>
          </cell>
          <cell r="E207">
            <v>0</v>
          </cell>
          <cell r="F207">
            <v>5110</v>
          </cell>
          <cell r="G207" t="str">
            <v>盈余公积转增资本（或股本）</v>
          </cell>
          <cell r="H207">
            <v>0</v>
          </cell>
          <cell r="I207">
            <v>8172</v>
          </cell>
          <cell r="J207" t="str">
            <v>J</v>
          </cell>
          <cell r="M207" t="str">
            <v>专项储备_提取一般风险准备影响权益</v>
          </cell>
          <cell r="S207" t="str">
            <v>4102a</v>
          </cell>
          <cell r="T207" t="str">
            <v>一般风险准备变动情况</v>
          </cell>
          <cell r="U207" t="str">
            <v>项       目</v>
          </cell>
          <cell r="V207">
            <v>1</v>
          </cell>
          <cell r="W207">
            <v>4102</v>
          </cell>
          <cell r="X207">
            <v>1</v>
          </cell>
        </row>
        <row r="208">
          <cell r="B208">
            <v>8175</v>
          </cell>
          <cell r="C208" t="str">
            <v>实收资本_结转重新计量设定受益计划净负债或净资产所产生的变动</v>
          </cell>
          <cell r="D208">
            <v>-1</v>
          </cell>
          <cell r="E208" t="str">
            <v>OEI</v>
          </cell>
          <cell r="F208">
            <v>5110</v>
          </cell>
          <cell r="G208" t="str">
            <v>结转重新计量设定受益计划净负债或净资产所产生的变动</v>
          </cell>
          <cell r="H208">
            <v>0</v>
          </cell>
          <cell r="I208">
            <v>8175</v>
          </cell>
          <cell r="J208" t="str">
            <v>J</v>
          </cell>
          <cell r="M208" t="str">
            <v>专项储备_对所有者的分配影响权益</v>
          </cell>
          <cell r="S208" t="str">
            <v>4200a</v>
          </cell>
          <cell r="T208" t="str">
            <v>未分配利润增减变动情况</v>
          </cell>
          <cell r="U208" t="str">
            <v>项       目</v>
          </cell>
          <cell r="V208">
            <v>1</v>
          </cell>
          <cell r="W208">
            <v>4200</v>
          </cell>
          <cell r="X208">
            <v>1</v>
          </cell>
        </row>
        <row r="209">
          <cell r="B209">
            <v>8176</v>
          </cell>
          <cell r="C209" t="str">
            <v>实收资本_所有者权益其他内部结转</v>
          </cell>
          <cell r="D209">
            <v>-1</v>
          </cell>
          <cell r="E209" t="str">
            <v>LOW</v>
          </cell>
          <cell r="F209">
            <v>5110</v>
          </cell>
          <cell r="G209" t="str">
            <v>其他</v>
          </cell>
          <cell r="H209">
            <v>0</v>
          </cell>
          <cell r="I209">
            <v>8176</v>
          </cell>
          <cell r="J209" t="str">
            <v>J</v>
          </cell>
          <cell r="M209" t="str">
            <v>专项储备_其他利润分配影响权益</v>
          </cell>
          <cell r="S209" t="str">
            <v>4200b</v>
          </cell>
          <cell r="T209" t="str">
            <v>调整本期期初未分配利润明细情况</v>
          </cell>
          <cell r="U209" t="str">
            <v>调整原因</v>
          </cell>
          <cell r="V209">
            <v>1</v>
          </cell>
          <cell r="W209">
            <v>4200</v>
          </cell>
          <cell r="X209">
            <v>2</v>
          </cell>
        </row>
        <row r="210">
          <cell r="B210">
            <v>8196</v>
          </cell>
          <cell r="C210" t="str">
            <v>实收资本_本期其他增减变动</v>
          </cell>
          <cell r="D210">
            <v>-1</v>
          </cell>
          <cell r="E210" t="str">
            <v>LOW</v>
          </cell>
          <cell r="F210">
            <v>5110</v>
          </cell>
          <cell r="G210" t="str">
            <v>（七）其他</v>
          </cell>
          <cell r="H210">
            <v>0</v>
          </cell>
          <cell r="I210">
            <v>8196</v>
          </cell>
          <cell r="J210" t="str">
            <v>J</v>
          </cell>
          <cell r="M210" t="str">
            <v>专项储备_资本公积转增资本影响权益</v>
          </cell>
          <cell r="S210" t="str">
            <v>6064a</v>
          </cell>
          <cell r="T210" t="str">
            <v>营业收入明细项目</v>
          </cell>
          <cell r="U210" t="str">
            <v>项       目</v>
          </cell>
          <cell r="V210">
            <v>-1</v>
          </cell>
          <cell r="W210">
            <v>6001</v>
          </cell>
          <cell r="X210">
            <v>1</v>
          </cell>
        </row>
        <row r="211">
          <cell r="B211">
            <v>8199</v>
          </cell>
          <cell r="C211" t="str">
            <v>实收资本_本期期末余额</v>
          </cell>
          <cell r="D211">
            <v>0</v>
          </cell>
          <cell r="E211" t="str">
            <v>＝</v>
          </cell>
          <cell r="F211">
            <v>0</v>
          </cell>
          <cell r="G211" t="str">
            <v>四、本期期末余额</v>
          </cell>
          <cell r="H211">
            <v>0</v>
          </cell>
          <cell r="I211">
            <v>8199</v>
          </cell>
          <cell r="J211">
            <v>0</v>
          </cell>
          <cell r="M211" t="str">
            <v>专项储备_盈余公积转增资本影响权益</v>
          </cell>
          <cell r="S211" t="str">
            <v>6064b</v>
          </cell>
          <cell r="T211" t="str">
            <v>营业成本明细项目</v>
          </cell>
          <cell r="U211" t="str">
            <v>项       目</v>
          </cell>
          <cell r="V211">
            <v>-1</v>
          </cell>
          <cell r="W211">
            <v>6401</v>
          </cell>
          <cell r="X211">
            <v>1</v>
          </cell>
        </row>
        <row r="212">
          <cell r="B212" t="str">
            <v>8a00</v>
          </cell>
          <cell r="C212" t="str">
            <v>其他权益工具增减变动</v>
          </cell>
          <cell r="D212">
            <v>0</v>
          </cell>
          <cell r="E212" t="str">
            <v>：OEI</v>
          </cell>
          <cell r="F212">
            <v>0</v>
          </cell>
          <cell r="G212" t="str">
            <v>其他权益工具增减变动</v>
          </cell>
          <cell r="H212">
            <v>0</v>
          </cell>
          <cell r="I212" t="str">
            <v>8a00</v>
          </cell>
          <cell r="J212">
            <v>0</v>
          </cell>
          <cell r="M212" t="str">
            <v>专项储备_盈余公积弥补亏损影响权益</v>
          </cell>
          <cell r="S212" t="str">
            <v>6064c</v>
          </cell>
          <cell r="T212" t="str">
            <v>主营业务按行业类别列示</v>
          </cell>
          <cell r="U212" t="str">
            <v>行业或业务名称</v>
          </cell>
          <cell r="V212">
            <v>-2</v>
          </cell>
          <cell r="W212">
            <v>0</v>
          </cell>
          <cell r="X212">
            <v>2</v>
          </cell>
        </row>
        <row r="213">
          <cell r="B213" t="str">
            <v>8b00</v>
          </cell>
          <cell r="C213" t="str">
            <v>其他权益工具（优先股）增减变动</v>
          </cell>
          <cell r="D213">
            <v>0</v>
          </cell>
          <cell r="E213" t="str">
            <v>：OEI</v>
          </cell>
          <cell r="F213">
            <v>0</v>
          </cell>
          <cell r="G213" t="str">
            <v>其他权益工具（优先股）增减变动</v>
          </cell>
          <cell r="H213">
            <v>0</v>
          </cell>
          <cell r="I213" t="str">
            <v>8b00</v>
          </cell>
          <cell r="J213">
            <v>0</v>
          </cell>
          <cell r="M213" t="str">
            <v>专项储备_结转重新计量设定受益计划净负债或净资产所产生的变动</v>
          </cell>
          <cell r="S213" t="str">
            <v>6064d</v>
          </cell>
          <cell r="T213" t="str">
            <v>主营业务按产品类别列示</v>
          </cell>
          <cell r="U213" t="str">
            <v>产品名称</v>
          </cell>
          <cell r="V213">
            <v>-2</v>
          </cell>
          <cell r="W213">
            <v>0</v>
          </cell>
          <cell r="X213">
            <v>2</v>
          </cell>
        </row>
        <row r="214">
          <cell r="B214" t="str">
            <v>8b01</v>
          </cell>
          <cell r="C214" t="str">
            <v>其他权益工具（优先股）_上年年末余额</v>
          </cell>
          <cell r="D214">
            <v>-1</v>
          </cell>
          <cell r="E214" t="str">
            <v>OEI</v>
          </cell>
          <cell r="F214">
            <v>0</v>
          </cell>
          <cell r="G214" t="str">
            <v>一、上年年末余额</v>
          </cell>
          <cell r="H214">
            <v>0</v>
          </cell>
          <cell r="I214" t="str">
            <v>8b01</v>
          </cell>
          <cell r="J214" t="str">
            <v>J</v>
          </cell>
          <cell r="M214" t="str">
            <v>专项储备_所有者权益其他内部结转</v>
          </cell>
          <cell r="S214" t="str">
            <v>6064e</v>
          </cell>
          <cell r="T214" t="str">
            <v>主营业务按地区类别列示</v>
          </cell>
          <cell r="U214" t="str">
            <v>地区名称</v>
          </cell>
          <cell r="V214">
            <v>-2</v>
          </cell>
          <cell r="W214">
            <v>0</v>
          </cell>
          <cell r="X214">
            <v>2</v>
          </cell>
        </row>
        <row r="215">
          <cell r="B215" t="str">
            <v>8b02</v>
          </cell>
          <cell r="C215" t="str">
            <v>其他权益工具（优先股）_会计政策变更调整上年年末余额</v>
          </cell>
          <cell r="D215">
            <v>-1</v>
          </cell>
          <cell r="E215" t="str">
            <v>OEI</v>
          </cell>
          <cell r="F215">
            <v>0</v>
          </cell>
          <cell r="G215" t="str">
            <v>加：会计政策变更</v>
          </cell>
          <cell r="H215">
            <v>0</v>
          </cell>
          <cell r="I215" t="str">
            <v>8b02</v>
          </cell>
          <cell r="J215" t="str">
            <v>J</v>
          </cell>
          <cell r="M215" t="str">
            <v>专项储备_本期提取</v>
          </cell>
          <cell r="S215" t="str">
            <v>6600a</v>
          </cell>
          <cell r="T215" t="str">
            <v>营业税金及附加明细项目</v>
          </cell>
          <cell r="U215" t="str">
            <v>税       种</v>
          </cell>
          <cell r="V215">
            <v>1</v>
          </cell>
          <cell r="W215">
            <v>6600</v>
          </cell>
          <cell r="X215">
            <v>1</v>
          </cell>
        </row>
        <row r="216">
          <cell r="B216" t="str">
            <v>8b03</v>
          </cell>
          <cell r="C216" t="str">
            <v>其他权益工具（优先股）_前期差错更正调整上年年末余额</v>
          </cell>
          <cell r="D216">
            <v>-1</v>
          </cell>
          <cell r="E216" t="str">
            <v>OEI</v>
          </cell>
          <cell r="F216">
            <v>0</v>
          </cell>
          <cell r="G216" t="str">
            <v>前期差错更正</v>
          </cell>
          <cell r="H216">
            <v>0</v>
          </cell>
          <cell r="I216" t="str">
            <v>8b03</v>
          </cell>
          <cell r="J216" t="str">
            <v>J</v>
          </cell>
          <cell r="M216" t="str">
            <v>专项储备_本期使用</v>
          </cell>
          <cell r="S216" t="str">
            <v>6601a</v>
          </cell>
          <cell r="T216" t="str">
            <v>销售费用明细项目</v>
          </cell>
          <cell r="U216" t="str">
            <v>项       目</v>
          </cell>
          <cell r="V216">
            <v>1</v>
          </cell>
          <cell r="W216">
            <v>6601</v>
          </cell>
          <cell r="X216">
            <v>1</v>
          </cell>
        </row>
        <row r="217">
          <cell r="B217" t="str">
            <v>8b04</v>
          </cell>
          <cell r="C217" t="str">
            <v>其他权益工具（优先股）_同一控制下企业合并调整上年年末余额</v>
          </cell>
          <cell r="D217">
            <v>-1</v>
          </cell>
          <cell r="E217" t="str">
            <v>※OEI</v>
          </cell>
          <cell r="F217">
            <v>0</v>
          </cell>
          <cell r="G217" t="str">
            <v>同一控制下企业合并</v>
          </cell>
          <cell r="H217">
            <v>0</v>
          </cell>
          <cell r="I217" t="str">
            <v>8b04</v>
          </cell>
          <cell r="J217" t="str">
            <v>J</v>
          </cell>
          <cell r="M217" t="str">
            <v>专项储备_本期其他增减变动</v>
          </cell>
          <cell r="S217" t="str">
            <v>6602a</v>
          </cell>
          <cell r="T217" t="str">
            <v>管理费用明细项目</v>
          </cell>
          <cell r="U217" t="str">
            <v>项       目</v>
          </cell>
          <cell r="V217">
            <v>1</v>
          </cell>
          <cell r="W217">
            <v>6602</v>
          </cell>
          <cell r="X217">
            <v>1</v>
          </cell>
        </row>
        <row r="218">
          <cell r="B218" t="str">
            <v>8b09</v>
          </cell>
          <cell r="C218" t="str">
            <v>其他权益工具（优先股）_其他原因调整上年年末余额</v>
          </cell>
          <cell r="D218">
            <v>-1</v>
          </cell>
          <cell r="E218" t="str">
            <v>OEI</v>
          </cell>
          <cell r="F218">
            <v>0</v>
          </cell>
          <cell r="G218" t="str">
            <v>其他</v>
          </cell>
          <cell r="H218">
            <v>0</v>
          </cell>
          <cell r="I218" t="str">
            <v>8b09</v>
          </cell>
          <cell r="J218" t="str">
            <v>J</v>
          </cell>
          <cell r="M218" t="str">
            <v>盈余公积_上年年末余额</v>
          </cell>
          <cell r="S218" t="str">
            <v>6603a</v>
          </cell>
          <cell r="T218" t="str">
            <v>财务费用明细项目</v>
          </cell>
          <cell r="U218" t="str">
            <v>项       目</v>
          </cell>
          <cell r="V218">
            <v>1</v>
          </cell>
          <cell r="W218">
            <v>6603</v>
          </cell>
          <cell r="X218">
            <v>1</v>
          </cell>
        </row>
        <row r="219">
          <cell r="B219" t="str">
            <v>8b10</v>
          </cell>
          <cell r="C219" t="str">
            <v>其他权益工具（优先股）_本年年初余额</v>
          </cell>
          <cell r="D219">
            <v>0</v>
          </cell>
          <cell r="E219" t="str">
            <v>OEI＝</v>
          </cell>
          <cell r="F219">
            <v>0</v>
          </cell>
          <cell r="G219" t="str">
            <v>二、本年年初余额</v>
          </cell>
          <cell r="H219">
            <v>0</v>
          </cell>
          <cell r="I219" t="str">
            <v>8b10</v>
          </cell>
          <cell r="J219">
            <v>0</v>
          </cell>
          <cell r="M219" t="str">
            <v>盈余公积_会计政策变更调整上年年末余额</v>
          </cell>
          <cell r="S219" t="str">
            <v>6671a</v>
          </cell>
          <cell r="T219" t="str">
            <v>资产减值损失明细项目</v>
          </cell>
          <cell r="U219" t="str">
            <v>项       目</v>
          </cell>
          <cell r="V219">
            <v>1</v>
          </cell>
          <cell r="W219">
            <v>6671</v>
          </cell>
          <cell r="X219">
            <v>1</v>
          </cell>
        </row>
        <row r="220">
          <cell r="B220" t="str">
            <v>8b90</v>
          </cell>
          <cell r="C220" t="str">
            <v>其他权益工具（优先股）_本期增减变动金额</v>
          </cell>
          <cell r="D220">
            <v>0</v>
          </cell>
          <cell r="E220" t="str">
            <v>OEI＝</v>
          </cell>
          <cell r="F220">
            <v>0</v>
          </cell>
          <cell r="G220" t="str">
            <v>三、本期增减变动金额（减少以“-”号填列）</v>
          </cell>
          <cell r="H220">
            <v>0</v>
          </cell>
          <cell r="I220" t="str">
            <v>8b90</v>
          </cell>
          <cell r="J220">
            <v>0</v>
          </cell>
          <cell r="M220" t="str">
            <v>盈余公积_前期差错更正调整上年年末余额</v>
          </cell>
          <cell r="S220" t="str">
            <v>6101a</v>
          </cell>
          <cell r="T220" t="str">
            <v>公允价值变动收益明细项目</v>
          </cell>
          <cell r="U220" t="str">
            <v>产生公允价值变动收益的来源</v>
          </cell>
          <cell r="V220">
            <v>1</v>
          </cell>
          <cell r="W220">
            <v>6101</v>
          </cell>
          <cell r="X220">
            <v>1</v>
          </cell>
        </row>
        <row r="221">
          <cell r="B221" t="str">
            <v>8b40</v>
          </cell>
          <cell r="C221" t="str">
            <v>其他权益工具（优先股）_综合收益总额增加权益</v>
          </cell>
          <cell r="D221">
            <v>-1</v>
          </cell>
          <cell r="E221" t="str">
            <v>OEI</v>
          </cell>
          <cell r="F221">
            <v>0</v>
          </cell>
          <cell r="G221" t="str">
            <v>（一）综合收益总额</v>
          </cell>
          <cell r="H221">
            <v>0</v>
          </cell>
          <cell r="I221" t="str">
            <v>8b40</v>
          </cell>
          <cell r="J221" t="str">
            <v>J</v>
          </cell>
          <cell r="M221" t="str">
            <v>盈余公积_同一控制下企业合并调整上年年末余额</v>
          </cell>
          <cell r="S221" t="str">
            <v>6111a</v>
          </cell>
          <cell r="T221" t="str">
            <v>投资收益按来源列示</v>
          </cell>
          <cell r="U221" t="str">
            <v>项       目</v>
          </cell>
          <cell r="V221">
            <v>1</v>
          </cell>
          <cell r="W221">
            <v>6111</v>
          </cell>
          <cell r="X221">
            <v>1</v>
          </cell>
        </row>
        <row r="222">
          <cell r="B222" t="str">
            <v>8b50</v>
          </cell>
          <cell r="C222" t="str">
            <v>其他权益工具（优先股）_所有者投入和减少资本影响权益</v>
          </cell>
          <cell r="D222">
            <v>0</v>
          </cell>
          <cell r="E222" t="str">
            <v>OEI＝</v>
          </cell>
          <cell r="F222">
            <v>0</v>
          </cell>
          <cell r="G222" t="str">
            <v>（二）所有者投入和减少资本</v>
          </cell>
          <cell r="H222">
            <v>0</v>
          </cell>
          <cell r="I222" t="str">
            <v>8b50</v>
          </cell>
          <cell r="J222">
            <v>0</v>
          </cell>
          <cell r="M222" t="str">
            <v>盈余公积_其他原因调整上年年末余额</v>
          </cell>
          <cell r="S222" t="str">
            <v>6710a</v>
          </cell>
          <cell r="T222" t="str">
            <v>营业外收入明细项目</v>
          </cell>
          <cell r="U222" t="str">
            <v>项       目</v>
          </cell>
          <cell r="V222">
            <v>1</v>
          </cell>
          <cell r="W222">
            <v>6710</v>
          </cell>
          <cell r="X222">
            <v>1</v>
          </cell>
        </row>
        <row r="223">
          <cell r="B223" t="str">
            <v>8b51</v>
          </cell>
          <cell r="C223" t="str">
            <v>其他权益工具（优先股）_所有者投入资本</v>
          </cell>
          <cell r="D223">
            <v>-1</v>
          </cell>
          <cell r="E223" t="str">
            <v>OEI</v>
          </cell>
          <cell r="F223">
            <v>0</v>
          </cell>
          <cell r="G223" t="str">
            <v>所有者投入资本</v>
          </cell>
          <cell r="H223">
            <v>0</v>
          </cell>
          <cell r="I223" t="str">
            <v>8b51</v>
          </cell>
          <cell r="J223" t="str">
            <v>J</v>
          </cell>
          <cell r="M223" t="str">
            <v>盈余公积_净利润增加权益</v>
          </cell>
          <cell r="S223" t="str">
            <v>6710b</v>
          </cell>
          <cell r="T223" t="str">
            <v>政府补助明细列示</v>
          </cell>
          <cell r="U223" t="str">
            <v>项       目</v>
          </cell>
          <cell r="V223">
            <v>1</v>
          </cell>
          <cell r="W223">
            <v>6710</v>
          </cell>
          <cell r="X223">
            <v>2</v>
          </cell>
        </row>
        <row r="224">
          <cell r="B224" t="str">
            <v>8b52</v>
          </cell>
          <cell r="C224" t="str">
            <v>其他权益工具（优先股）_股份支付</v>
          </cell>
          <cell r="D224">
            <v>-1</v>
          </cell>
          <cell r="E224" t="str">
            <v>OEI</v>
          </cell>
          <cell r="F224">
            <v>0</v>
          </cell>
          <cell r="G224" t="str">
            <v>股份支付计入所有者权益的金额</v>
          </cell>
          <cell r="H224">
            <v>0</v>
          </cell>
          <cell r="I224" t="str">
            <v>8b52</v>
          </cell>
          <cell r="J224" t="str">
            <v>J</v>
          </cell>
          <cell r="M224" t="str">
            <v>盈余公积_其他综合收益增加权益</v>
          </cell>
          <cell r="S224" t="str">
            <v>6711a</v>
          </cell>
          <cell r="T224" t="str">
            <v>营业外支出明细项目</v>
          </cell>
          <cell r="U224" t="str">
            <v>项       目</v>
          </cell>
          <cell r="V224">
            <v>1</v>
          </cell>
          <cell r="W224">
            <v>6711</v>
          </cell>
          <cell r="X224">
            <v>1</v>
          </cell>
        </row>
        <row r="225">
          <cell r="B225" t="str">
            <v>8b53</v>
          </cell>
          <cell r="C225" t="str">
            <v>其他权益工具（优先股）_其他权益工具持有者投入资本</v>
          </cell>
          <cell r="D225">
            <v>-1</v>
          </cell>
          <cell r="E225" t="str">
            <v>OEI</v>
          </cell>
          <cell r="F225">
            <v>0</v>
          </cell>
          <cell r="G225" t="str">
            <v>其他权益工具持有者投入资本</v>
          </cell>
          <cell r="H225">
            <v>0</v>
          </cell>
          <cell r="I225" t="str">
            <v>8b53</v>
          </cell>
          <cell r="J225" t="str">
            <v>J</v>
          </cell>
          <cell r="M225" t="str">
            <v>盈余公积_综合收益总额增加权益</v>
          </cell>
          <cell r="S225" t="str">
            <v>6791a</v>
          </cell>
          <cell r="T225" t="str">
            <v>所得税费用明细</v>
          </cell>
          <cell r="U225" t="str">
            <v>项       目</v>
          </cell>
          <cell r="V225">
            <v>1</v>
          </cell>
          <cell r="W225">
            <v>6791</v>
          </cell>
          <cell r="X225">
            <v>1</v>
          </cell>
        </row>
        <row r="226">
          <cell r="B226" t="str">
            <v>8b56</v>
          </cell>
          <cell r="C226" t="str">
            <v>其他权益工具（优先股）_所有者其他投入和减少资本</v>
          </cell>
          <cell r="D226">
            <v>-1</v>
          </cell>
          <cell r="E226" t="str">
            <v>OEI</v>
          </cell>
          <cell r="F226">
            <v>0</v>
          </cell>
          <cell r="G226" t="str">
            <v>其他</v>
          </cell>
          <cell r="H226">
            <v>0</v>
          </cell>
          <cell r="I226" t="str">
            <v>8b56</v>
          </cell>
          <cell r="J226" t="str">
            <v>J</v>
          </cell>
          <cell r="M226" t="str">
            <v>盈余公积_所有者投入资本增加权益</v>
          </cell>
          <cell r="S226" t="str">
            <v>6791b</v>
          </cell>
          <cell r="T226" t="str">
            <v>所得税费用与利润总额的关系</v>
          </cell>
          <cell r="U226" t="str">
            <v>项       目</v>
          </cell>
          <cell r="V226">
            <v>1</v>
          </cell>
          <cell r="W226">
            <v>6791</v>
          </cell>
          <cell r="X226">
            <v>2</v>
          </cell>
        </row>
        <row r="227">
          <cell r="B227" t="str">
            <v>8b60</v>
          </cell>
          <cell r="C227" t="str">
            <v>其他权益工具（优先股）_利润分配影响权益</v>
          </cell>
          <cell r="D227">
            <v>0</v>
          </cell>
          <cell r="E227" t="str">
            <v>OEI＝</v>
          </cell>
          <cell r="F227">
            <v>0</v>
          </cell>
          <cell r="G227" t="str">
            <v>（三）利润分配</v>
          </cell>
          <cell r="H227">
            <v>0</v>
          </cell>
          <cell r="I227" t="str">
            <v>8b60</v>
          </cell>
          <cell r="J227">
            <v>0</v>
          </cell>
          <cell r="M227" t="str">
            <v>盈余公积_股份支付计入所有者权益的金额</v>
          </cell>
          <cell r="S227" t="str">
            <v>7046a</v>
          </cell>
          <cell r="T227" t="str">
            <v>收到的其他与经营活动有关的现金</v>
          </cell>
          <cell r="U227" t="str">
            <v>项       目</v>
          </cell>
          <cell r="V227">
            <v>1</v>
          </cell>
          <cell r="W227">
            <v>7046</v>
          </cell>
          <cell r="X227">
            <v>1</v>
          </cell>
        </row>
        <row r="228">
          <cell r="B228" t="str">
            <v>8b61</v>
          </cell>
          <cell r="C228" t="str">
            <v>其他权益工具（优先股）_提取盈余公积</v>
          </cell>
          <cell r="D228">
            <v>-1</v>
          </cell>
          <cell r="E228" t="str">
            <v>OEI</v>
          </cell>
          <cell r="F228">
            <v>0</v>
          </cell>
          <cell r="G228" t="str">
            <v>提取盈余公积</v>
          </cell>
          <cell r="H228">
            <v>0</v>
          </cell>
          <cell r="I228" t="str">
            <v>8b61</v>
          </cell>
          <cell r="J228" t="str">
            <v>J</v>
          </cell>
          <cell r="M228" t="str">
            <v>盈余公积_其他权益工具持有者投入资本</v>
          </cell>
          <cell r="S228" t="str">
            <v>7096a</v>
          </cell>
          <cell r="T228" t="str">
            <v>支付的其他与经营活动有关的现金</v>
          </cell>
          <cell r="U228" t="str">
            <v>项       目</v>
          </cell>
          <cell r="V228">
            <v>1</v>
          </cell>
          <cell r="W228">
            <v>7096</v>
          </cell>
          <cell r="X228">
            <v>1</v>
          </cell>
        </row>
        <row r="229">
          <cell r="B229" t="str">
            <v>8b62</v>
          </cell>
          <cell r="C229" t="str">
            <v>其他权益工具（优先股）_提取一般风险准备</v>
          </cell>
          <cell r="D229">
            <v>-1</v>
          </cell>
          <cell r="E229" t="str">
            <v>OEI</v>
          </cell>
          <cell r="F229">
            <v>0</v>
          </cell>
          <cell r="G229" t="str">
            <v>提取一般风险准备</v>
          </cell>
          <cell r="H229">
            <v>0</v>
          </cell>
          <cell r="I229" t="str">
            <v>8b62</v>
          </cell>
          <cell r="J229" t="str">
            <v>J</v>
          </cell>
          <cell r="M229" t="str">
            <v>盈余公积_所有者其他投入和减少资本</v>
          </cell>
          <cell r="S229" t="str">
            <v>7146a</v>
          </cell>
          <cell r="T229" t="str">
            <v>收到的其他与投资活动有关的现金</v>
          </cell>
          <cell r="U229" t="str">
            <v>项       目</v>
          </cell>
          <cell r="V229">
            <v>1</v>
          </cell>
          <cell r="W229">
            <v>7146</v>
          </cell>
          <cell r="X229">
            <v>1</v>
          </cell>
        </row>
        <row r="230">
          <cell r="B230" t="str">
            <v>8b63</v>
          </cell>
          <cell r="C230" t="str">
            <v>其他权益工具（优先股）_对所有者的分配</v>
          </cell>
          <cell r="D230">
            <v>-1</v>
          </cell>
          <cell r="E230" t="str">
            <v>OEI</v>
          </cell>
          <cell r="F230">
            <v>0</v>
          </cell>
          <cell r="G230" t="str">
            <v>对所有者（或股东）的分配</v>
          </cell>
          <cell r="H230">
            <v>0</v>
          </cell>
          <cell r="I230" t="str">
            <v>8b63</v>
          </cell>
          <cell r="J230" t="str">
            <v>J</v>
          </cell>
          <cell r="M230" t="str">
            <v>盈余公积_提取</v>
          </cell>
          <cell r="S230" t="str">
            <v>7196a</v>
          </cell>
          <cell r="T230" t="str">
            <v>支付的其他与投资活动有关的现金</v>
          </cell>
          <cell r="U230" t="str">
            <v>项       目</v>
          </cell>
          <cell r="V230">
            <v>1</v>
          </cell>
          <cell r="W230">
            <v>7196</v>
          </cell>
          <cell r="X230">
            <v>1</v>
          </cell>
        </row>
        <row r="231">
          <cell r="B231" t="str">
            <v>8b66</v>
          </cell>
          <cell r="C231" t="str">
            <v>其他权益工具（优先股）_其他利润分配</v>
          </cell>
          <cell r="D231">
            <v>-1</v>
          </cell>
          <cell r="E231" t="str">
            <v>OEI</v>
          </cell>
          <cell r="F231">
            <v>0</v>
          </cell>
          <cell r="G231" t="str">
            <v>其他</v>
          </cell>
          <cell r="H231">
            <v>0</v>
          </cell>
          <cell r="I231" t="str">
            <v>8b66</v>
          </cell>
          <cell r="J231" t="str">
            <v>J</v>
          </cell>
          <cell r="M231" t="str">
            <v>盈余公积_提取一般风险准备影响权益</v>
          </cell>
          <cell r="S231" t="str">
            <v>7246a</v>
          </cell>
          <cell r="T231" t="str">
            <v>收到的其他与筹资活动有关的现金</v>
          </cell>
          <cell r="U231" t="str">
            <v>项       目</v>
          </cell>
          <cell r="V231">
            <v>1</v>
          </cell>
          <cell r="W231">
            <v>7246</v>
          </cell>
          <cell r="X231">
            <v>1</v>
          </cell>
        </row>
        <row r="232">
          <cell r="B232" t="str">
            <v>8b70</v>
          </cell>
          <cell r="C232" t="str">
            <v>其他权益工具（优先股）_所有者权益内部结转</v>
          </cell>
          <cell r="D232">
            <v>0</v>
          </cell>
          <cell r="E232" t="str">
            <v>OEI＝</v>
          </cell>
          <cell r="F232">
            <v>0</v>
          </cell>
          <cell r="G232" t="str">
            <v>（四）所有者权益内部结转</v>
          </cell>
          <cell r="H232">
            <v>0</v>
          </cell>
          <cell r="I232" t="str">
            <v>8b70</v>
          </cell>
          <cell r="J232">
            <v>0</v>
          </cell>
          <cell r="M232" t="str">
            <v>盈余公积_对所有者的分配</v>
          </cell>
          <cell r="S232" t="str">
            <v>7296a</v>
          </cell>
          <cell r="T232" t="str">
            <v>支付的其他与筹资活动有关的现金</v>
          </cell>
          <cell r="U232" t="str">
            <v>项       目</v>
          </cell>
          <cell r="V232">
            <v>1</v>
          </cell>
          <cell r="W232">
            <v>7296</v>
          </cell>
          <cell r="X232">
            <v>1</v>
          </cell>
        </row>
        <row r="233">
          <cell r="B233" t="str">
            <v>8b71</v>
          </cell>
          <cell r="C233" t="str">
            <v>其他权益工具（优先股）_资本公积转增资本</v>
          </cell>
          <cell r="D233">
            <v>-1</v>
          </cell>
          <cell r="E233" t="str">
            <v>OEI</v>
          </cell>
          <cell r="F233">
            <v>0</v>
          </cell>
          <cell r="G233" t="str">
            <v>资本公积转增资本（或股本）</v>
          </cell>
          <cell r="H233">
            <v>0</v>
          </cell>
          <cell r="I233" t="str">
            <v>8b71</v>
          </cell>
          <cell r="J233" t="str">
            <v>J</v>
          </cell>
          <cell r="M233" t="str">
            <v>盈余公积_其他利润分配</v>
          </cell>
          <cell r="S233" t="str">
            <v>7500a</v>
          </cell>
          <cell r="T233" t="str">
            <v>将净利润调节为经营活动现金流量</v>
          </cell>
          <cell r="U233" t="str">
            <v>补充资料</v>
          </cell>
          <cell r="V233">
            <v>-2</v>
          </cell>
          <cell r="W233">
            <v>0</v>
          </cell>
          <cell r="X233">
            <v>2</v>
          </cell>
        </row>
        <row r="234">
          <cell r="B234" t="str">
            <v>8b72</v>
          </cell>
          <cell r="C234" t="str">
            <v>其他权益工具（优先股）_盈余公积转增资本</v>
          </cell>
          <cell r="D234">
            <v>-1</v>
          </cell>
          <cell r="E234" t="str">
            <v>OEI</v>
          </cell>
          <cell r="F234">
            <v>0</v>
          </cell>
          <cell r="G234" t="str">
            <v>盈余公积转增资本（或股本）</v>
          </cell>
          <cell r="H234">
            <v>0</v>
          </cell>
          <cell r="I234" t="str">
            <v>8b72</v>
          </cell>
          <cell r="J234" t="str">
            <v>J</v>
          </cell>
          <cell r="M234" t="str">
            <v>盈余公积_资本公积转增资本影响权益</v>
          </cell>
          <cell r="S234" t="str">
            <v>7500b</v>
          </cell>
          <cell r="T234" t="str">
            <v>不涉及现金收支的重大投资和筹资活动</v>
          </cell>
          <cell r="U234" t="str">
            <v>补充资料</v>
          </cell>
          <cell r="V234">
            <v>-2</v>
          </cell>
          <cell r="W234">
            <v>0</v>
          </cell>
          <cell r="X234">
            <v>2</v>
          </cell>
        </row>
        <row r="235">
          <cell r="B235" t="str">
            <v>8b73</v>
          </cell>
          <cell r="C235" t="str">
            <v>其他权益工具（优先股）_盈余公积弥补亏损</v>
          </cell>
          <cell r="D235">
            <v>-1</v>
          </cell>
          <cell r="E235" t="str">
            <v>OEI</v>
          </cell>
          <cell r="F235">
            <v>0</v>
          </cell>
          <cell r="G235" t="str">
            <v>盈余公积弥补亏损</v>
          </cell>
          <cell r="H235">
            <v>0</v>
          </cell>
          <cell r="I235" t="str">
            <v>8b73</v>
          </cell>
          <cell r="J235" t="str">
            <v>J</v>
          </cell>
          <cell r="M235" t="str">
            <v>盈余公积_转增资本</v>
          </cell>
          <cell r="S235" t="str">
            <v>7500c</v>
          </cell>
          <cell r="T235" t="str">
            <v>现金及现金等价物净变动情况</v>
          </cell>
          <cell r="U235" t="str">
            <v>补充资料</v>
          </cell>
          <cell r="V235">
            <v>-2</v>
          </cell>
          <cell r="W235">
            <v>0</v>
          </cell>
          <cell r="X235">
            <v>2</v>
          </cell>
        </row>
        <row r="236">
          <cell r="B236" t="str">
            <v>8b75</v>
          </cell>
          <cell r="C236" t="str">
            <v>其他权益工具（优先股）_结转重新计量设定受益计划净负债或净资产所产生的变动</v>
          </cell>
          <cell r="D236">
            <v>-1</v>
          </cell>
          <cell r="E236" t="str">
            <v>OEI</v>
          </cell>
          <cell r="F236">
            <v>0</v>
          </cell>
          <cell r="G236" t="str">
            <v>结转重新计量设定受益计划净负债或净资产所产生的变动</v>
          </cell>
          <cell r="H236">
            <v>0</v>
          </cell>
          <cell r="I236" t="str">
            <v>8b75</v>
          </cell>
          <cell r="J236" t="str">
            <v>J</v>
          </cell>
          <cell r="M236" t="str">
            <v>盈余公积_弥补亏损</v>
          </cell>
          <cell r="S236" t="str">
            <v>7500g</v>
          </cell>
          <cell r="T236" t="str">
            <v xml:space="preserve">本期支付的取得子公司的现金净额 </v>
          </cell>
          <cell r="U236" t="str">
            <v>项       目</v>
          </cell>
          <cell r="V236">
            <v>-2</v>
          </cell>
          <cell r="W236">
            <v>0</v>
          </cell>
          <cell r="X236">
            <v>2</v>
          </cell>
        </row>
        <row r="237">
          <cell r="B237" t="str">
            <v>8b76</v>
          </cell>
          <cell r="C237" t="str">
            <v>其他权益工具（优先股）_所有者权益其他内部结转</v>
          </cell>
          <cell r="D237">
            <v>-1</v>
          </cell>
          <cell r="E237" t="str">
            <v>OEI</v>
          </cell>
          <cell r="F237">
            <v>0</v>
          </cell>
          <cell r="G237" t="str">
            <v>其他</v>
          </cell>
          <cell r="H237">
            <v>0</v>
          </cell>
          <cell r="I237" t="str">
            <v>8b76</v>
          </cell>
          <cell r="J237" t="str">
            <v>J</v>
          </cell>
          <cell r="M237" t="str">
            <v>盈余公积_结转重新计量设定受益计划净负债或净资产所产生的变动</v>
          </cell>
          <cell r="S237" t="str">
            <v>7500h</v>
          </cell>
          <cell r="T237" t="str">
            <v xml:space="preserve">本期收到的处置子公司的现金净额 </v>
          </cell>
          <cell r="U237" t="str">
            <v>项       目</v>
          </cell>
          <cell r="V237">
            <v>-2</v>
          </cell>
          <cell r="W237">
            <v>0</v>
          </cell>
          <cell r="X237">
            <v>2</v>
          </cell>
        </row>
        <row r="238">
          <cell r="B238" t="str">
            <v>8b80</v>
          </cell>
          <cell r="C238" t="str">
            <v>其他权益工具（优先股）_专项储备影响权益</v>
          </cell>
          <cell r="D238">
            <v>0</v>
          </cell>
          <cell r="E238" t="str">
            <v>OEI＝</v>
          </cell>
          <cell r="F238">
            <v>0</v>
          </cell>
          <cell r="G238" t="str">
            <v>（五）专项储备</v>
          </cell>
          <cell r="H238">
            <v>0</v>
          </cell>
          <cell r="I238" t="str">
            <v>8b80</v>
          </cell>
          <cell r="J238">
            <v>0</v>
          </cell>
          <cell r="M238" t="str">
            <v>盈余公积_所有者权益其他内部结转</v>
          </cell>
          <cell r="S238" t="str">
            <v>7500e</v>
          </cell>
          <cell r="T238" t="str">
            <v>现金及现金等价物的构成</v>
          </cell>
          <cell r="U238" t="str">
            <v>项       目</v>
          </cell>
          <cell r="V238">
            <v>-2</v>
          </cell>
          <cell r="W238">
            <v>0</v>
          </cell>
          <cell r="X238">
            <v>2</v>
          </cell>
        </row>
        <row r="239">
          <cell r="B239" t="str">
            <v>8b81</v>
          </cell>
          <cell r="C239" t="str">
            <v>其他权益工具（优先股）_专项储备本期提取</v>
          </cell>
          <cell r="D239">
            <v>-1</v>
          </cell>
          <cell r="E239" t="str">
            <v>OEI</v>
          </cell>
          <cell r="F239">
            <v>0</v>
          </cell>
          <cell r="G239" t="str">
            <v>本期提取</v>
          </cell>
          <cell r="H239">
            <v>0</v>
          </cell>
          <cell r="I239" t="str">
            <v>8b81</v>
          </cell>
          <cell r="J239" t="str">
            <v>J</v>
          </cell>
          <cell r="M239" t="str">
            <v>盈余公积_专项储备本期提取</v>
          </cell>
          <cell r="S239" t="str">
            <v>7500f</v>
          </cell>
          <cell r="T239" t="str">
            <v>货币资金与现金及现金等价物的调节</v>
          </cell>
          <cell r="U239" t="str">
            <v>项       目</v>
          </cell>
          <cell r="V239">
            <v>-2</v>
          </cell>
          <cell r="W239">
            <v>0</v>
          </cell>
          <cell r="X239">
            <v>2</v>
          </cell>
        </row>
        <row r="240">
          <cell r="B240" t="str">
            <v>8b82</v>
          </cell>
          <cell r="C240" t="str">
            <v>其他权益工具（优先股）_专项储备本期使用</v>
          </cell>
          <cell r="D240">
            <v>-1</v>
          </cell>
          <cell r="E240" t="str">
            <v>OEI</v>
          </cell>
          <cell r="F240">
            <v>0</v>
          </cell>
          <cell r="G240" t="str">
            <v>本期使用</v>
          </cell>
          <cell r="H240">
            <v>0</v>
          </cell>
          <cell r="I240" t="str">
            <v>8b82</v>
          </cell>
          <cell r="J240" t="str">
            <v>J</v>
          </cell>
          <cell r="M240" t="str">
            <v>盈余公积_专项储备本期使用</v>
          </cell>
          <cell r="S240" t="str">
            <v>7500d</v>
          </cell>
          <cell r="T240" t="str">
            <v>本期取得或处置子公司及其他营业单位的有关信息</v>
          </cell>
          <cell r="U240" t="str">
            <v>项       目</v>
          </cell>
          <cell r="V240">
            <v>-2</v>
          </cell>
          <cell r="W240">
            <v>0</v>
          </cell>
          <cell r="X240">
            <v>2</v>
          </cell>
        </row>
        <row r="241">
          <cell r="B241" t="str">
            <v>8b96</v>
          </cell>
          <cell r="C241" t="str">
            <v>其他权益工具（优先股）_本期其他增减变动</v>
          </cell>
          <cell r="D241">
            <v>-1</v>
          </cell>
          <cell r="E241" t="str">
            <v>OEI</v>
          </cell>
          <cell r="F241">
            <v>0</v>
          </cell>
          <cell r="G241" t="str">
            <v>（七）其他</v>
          </cell>
          <cell r="H241">
            <v>0</v>
          </cell>
          <cell r="I241" t="str">
            <v>8b96</v>
          </cell>
          <cell r="J241" t="str">
            <v>J</v>
          </cell>
          <cell r="M241" t="str">
            <v>盈余公积_本期其他增减变动</v>
          </cell>
          <cell r="S241" t="str">
            <v>9314a</v>
          </cell>
          <cell r="T241" t="str">
            <v>所有者权益变动表项目注释</v>
          </cell>
          <cell r="U241" t="str">
            <v>项       目</v>
          </cell>
          <cell r="V241">
            <v>-2</v>
          </cell>
          <cell r="W241">
            <v>0</v>
          </cell>
          <cell r="X241">
            <v>2</v>
          </cell>
        </row>
        <row r="242">
          <cell r="B242" t="str">
            <v>8b99</v>
          </cell>
          <cell r="C242" t="str">
            <v>其他权益工具（优先股）_本期期末余额</v>
          </cell>
          <cell r="D242">
            <v>0</v>
          </cell>
          <cell r="E242" t="str">
            <v>OEI＝</v>
          </cell>
          <cell r="F242">
            <v>0</v>
          </cell>
          <cell r="G242" t="str">
            <v>四、本期期末余额</v>
          </cell>
          <cell r="H242">
            <v>0</v>
          </cell>
          <cell r="I242" t="str">
            <v>8b99</v>
          </cell>
          <cell r="J242">
            <v>0</v>
          </cell>
          <cell r="M242" t="str">
            <v>一般风险准备_上年年末余额</v>
          </cell>
          <cell r="S242" t="str">
            <v>1997a</v>
          </cell>
          <cell r="T242" t="str">
            <v>所有权或使用权受到限制的资产</v>
          </cell>
          <cell r="U242" t="str">
            <v>所有权受到限制的资产类别</v>
          </cell>
          <cell r="V242">
            <v>-2</v>
          </cell>
          <cell r="W242">
            <v>0</v>
          </cell>
          <cell r="X242">
            <v>2</v>
          </cell>
        </row>
        <row r="243">
          <cell r="B243" t="str">
            <v>8c00</v>
          </cell>
          <cell r="C243" t="str">
            <v>其他权益工具（永续债）增减变动</v>
          </cell>
          <cell r="D243">
            <v>0</v>
          </cell>
          <cell r="E243" t="str">
            <v>：OEI</v>
          </cell>
          <cell r="F243">
            <v>0</v>
          </cell>
          <cell r="G243" t="str">
            <v>其他权益工具（永续债）增减变动</v>
          </cell>
          <cell r="H243">
            <v>0</v>
          </cell>
          <cell r="I243" t="str">
            <v>8c00</v>
          </cell>
          <cell r="J243">
            <v>0</v>
          </cell>
          <cell r="M243" t="str">
            <v>一般风险准备_会计政策变更调整上年年末余额</v>
          </cell>
          <cell r="S243" t="str">
            <v>1704a</v>
          </cell>
          <cell r="T243" t="str">
            <v>外币货币性项目</v>
          </cell>
          <cell r="U243" t="str">
            <v>项       目</v>
          </cell>
          <cell r="V243">
            <v>-2</v>
          </cell>
          <cell r="W243">
            <v>0</v>
          </cell>
          <cell r="X243">
            <v>2</v>
          </cell>
        </row>
        <row r="244">
          <cell r="B244" t="str">
            <v>8c01</v>
          </cell>
          <cell r="C244" t="str">
            <v>其他权益工具（永续债）_上年年末余额</v>
          </cell>
          <cell r="D244">
            <v>-1</v>
          </cell>
          <cell r="E244" t="str">
            <v>OEI</v>
          </cell>
          <cell r="F244">
            <v>0</v>
          </cell>
          <cell r="G244" t="str">
            <v>一、上年年末余额</v>
          </cell>
          <cell r="H244">
            <v>0</v>
          </cell>
          <cell r="I244" t="str">
            <v>8c01</v>
          </cell>
          <cell r="J244" t="str">
            <v>J</v>
          </cell>
          <cell r="M244" t="str">
            <v>一般风险准备_前期差错更正调整上年年末余额</v>
          </cell>
          <cell r="S244" t="str">
            <v>9331a</v>
          </cell>
          <cell r="T244" t="str">
            <v>以公允价值计量的项目和金额</v>
          </cell>
          <cell r="U244" t="str">
            <v>项       目</v>
          </cell>
          <cell r="V244">
            <v>-2</v>
          </cell>
          <cell r="W244">
            <v>0</v>
          </cell>
          <cell r="X244">
            <v>2</v>
          </cell>
        </row>
        <row r="245">
          <cell r="B245" t="str">
            <v>8c02</v>
          </cell>
          <cell r="C245" t="str">
            <v>其他权益工具（永续债）_会计政策变更调整上年年末余额</v>
          </cell>
          <cell r="D245">
            <v>-1</v>
          </cell>
          <cell r="E245" t="str">
            <v>OEI</v>
          </cell>
          <cell r="F245">
            <v>0</v>
          </cell>
          <cell r="G245" t="str">
            <v>加：会计政策变更</v>
          </cell>
          <cell r="H245">
            <v>0</v>
          </cell>
          <cell r="I245" t="str">
            <v>8c02</v>
          </cell>
          <cell r="J245" t="str">
            <v>J</v>
          </cell>
          <cell r="M245" t="str">
            <v>一般风险准备_同一控制下企业合并调整上年年末余额</v>
          </cell>
          <cell r="S245" t="str">
            <v>9331b</v>
          </cell>
          <cell r="T245" t="str">
            <v>不以公允价值计量但披露其公允价值的项目和金额（期末）</v>
          </cell>
          <cell r="U245" t="str">
            <v>项       目</v>
          </cell>
          <cell r="V245">
            <v>-2</v>
          </cell>
          <cell r="W245">
            <v>0</v>
          </cell>
          <cell r="X245">
            <v>2</v>
          </cell>
        </row>
        <row r="246">
          <cell r="B246" t="str">
            <v>8c03</v>
          </cell>
          <cell r="C246" t="str">
            <v>其他权益工具（永续债）_前期差错更正调整上年年末余额</v>
          </cell>
          <cell r="D246">
            <v>-1</v>
          </cell>
          <cell r="E246" t="str">
            <v>OEI</v>
          </cell>
          <cell r="F246">
            <v>0</v>
          </cell>
          <cell r="G246" t="str">
            <v>前期差错更正</v>
          </cell>
          <cell r="H246">
            <v>0</v>
          </cell>
          <cell r="I246" t="str">
            <v>8c03</v>
          </cell>
          <cell r="J246" t="str">
            <v>J</v>
          </cell>
          <cell r="M246" t="str">
            <v>一般风险准备_其他原因调整上年年末余额</v>
          </cell>
          <cell r="S246" t="str">
            <v>9331c</v>
          </cell>
          <cell r="T246" t="str">
            <v>不以公允价值计量但披露其公允价值的项目和金额（期初）</v>
          </cell>
          <cell r="U246" t="str">
            <v>项       目</v>
          </cell>
          <cell r="V246">
            <v>-2</v>
          </cell>
          <cell r="W246">
            <v>0</v>
          </cell>
          <cell r="X246">
            <v>2</v>
          </cell>
        </row>
        <row r="247">
          <cell r="B247" t="str">
            <v>8c04</v>
          </cell>
          <cell r="C247" t="str">
            <v>其他权益工具（永续债）_同一控制下企业合并调整上年年末余额</v>
          </cell>
          <cell r="D247">
            <v>-1</v>
          </cell>
          <cell r="E247" t="str">
            <v>※OEI</v>
          </cell>
          <cell r="F247">
            <v>0</v>
          </cell>
          <cell r="G247" t="str">
            <v>同一控制下企业合并</v>
          </cell>
          <cell r="H247">
            <v>0</v>
          </cell>
          <cell r="I247" t="str">
            <v>8c04</v>
          </cell>
          <cell r="J247" t="str">
            <v>J</v>
          </cell>
          <cell r="M247" t="str">
            <v>一般风险准备_净利润增加权益</v>
          </cell>
          <cell r="S247" t="str">
            <v>9331d</v>
          </cell>
          <cell r="T247" t="str">
            <v>第三层次公允价值计量中使用的重要的不可观察输入值的量化信息</v>
          </cell>
          <cell r="U247" t="str">
            <v>项       目</v>
          </cell>
          <cell r="V247">
            <v>-2</v>
          </cell>
          <cell r="W247">
            <v>0</v>
          </cell>
          <cell r="X247">
            <v>2</v>
          </cell>
        </row>
        <row r="248">
          <cell r="B248" t="str">
            <v>8c09</v>
          </cell>
          <cell r="C248" t="str">
            <v>其他权益工具（永续债）_其他原因调整上年年末余额</v>
          </cell>
          <cell r="D248">
            <v>-1</v>
          </cell>
          <cell r="E248" t="str">
            <v>OEI</v>
          </cell>
          <cell r="F248">
            <v>0</v>
          </cell>
          <cell r="G248" t="str">
            <v>其他</v>
          </cell>
          <cell r="H248">
            <v>0</v>
          </cell>
          <cell r="I248" t="str">
            <v>8c09</v>
          </cell>
          <cell r="J248" t="str">
            <v>J</v>
          </cell>
          <cell r="M248" t="str">
            <v>一般风险准备_其他综合收益增加权益</v>
          </cell>
          <cell r="S248" t="str">
            <v>9331e</v>
          </cell>
          <cell r="T248" t="str">
            <v>归入公允价值层级第三层次的公允价值计量的调节表（本期）</v>
          </cell>
          <cell r="U248" t="str">
            <v>项       目</v>
          </cell>
          <cell r="V248">
            <v>-2</v>
          </cell>
          <cell r="W248">
            <v>0</v>
          </cell>
          <cell r="X248">
            <v>2</v>
          </cell>
        </row>
        <row r="249">
          <cell r="B249" t="str">
            <v>8c10</v>
          </cell>
          <cell r="C249" t="str">
            <v>其他权益工具（永续债）_本年年初余额</v>
          </cell>
          <cell r="D249">
            <v>0</v>
          </cell>
          <cell r="E249" t="str">
            <v>OEI＝</v>
          </cell>
          <cell r="F249">
            <v>0</v>
          </cell>
          <cell r="G249" t="str">
            <v>二、本年年初余额</v>
          </cell>
          <cell r="H249">
            <v>0</v>
          </cell>
          <cell r="I249" t="str">
            <v>8c10</v>
          </cell>
          <cell r="J249">
            <v>0</v>
          </cell>
          <cell r="M249" t="str">
            <v>一般风险准备_综合收益总额增加权益</v>
          </cell>
          <cell r="S249" t="str">
            <v>9331f</v>
          </cell>
          <cell r="T249" t="str">
            <v>计入当前损益的利得和损失中与金融资产和非金融资产有关的损益信息（本期）</v>
          </cell>
          <cell r="U249" t="str">
            <v>项       目</v>
          </cell>
          <cell r="V249">
            <v>-2</v>
          </cell>
          <cell r="W249">
            <v>0</v>
          </cell>
          <cell r="X249">
            <v>2</v>
          </cell>
        </row>
        <row r="250">
          <cell r="B250" t="str">
            <v>8c90</v>
          </cell>
          <cell r="C250" t="str">
            <v>其他权益工具（永续债）_本期增减变动金额</v>
          </cell>
          <cell r="D250">
            <v>0</v>
          </cell>
          <cell r="E250" t="str">
            <v>OEI＝</v>
          </cell>
          <cell r="F250">
            <v>0</v>
          </cell>
          <cell r="G250" t="str">
            <v>三、本期增减变动金额（减少以“-”号填列）</v>
          </cell>
          <cell r="H250">
            <v>0</v>
          </cell>
          <cell r="I250" t="str">
            <v>8c90</v>
          </cell>
          <cell r="J250">
            <v>0</v>
          </cell>
          <cell r="M250" t="str">
            <v>一般风险准备_所有者投入资本增加权益</v>
          </cell>
          <cell r="S250" t="str">
            <v>9331g</v>
          </cell>
          <cell r="T250" t="str">
            <v>归入公允价值层级第三层次的公允价值计量的调节表（上期）</v>
          </cell>
          <cell r="U250" t="str">
            <v>项       目</v>
          </cell>
          <cell r="V250">
            <v>-2</v>
          </cell>
          <cell r="W250">
            <v>0</v>
          </cell>
          <cell r="X250">
            <v>2</v>
          </cell>
        </row>
        <row r="251">
          <cell r="B251" t="str">
            <v>8c40</v>
          </cell>
          <cell r="C251" t="str">
            <v>其他权益工具（永续债）_综合收益总额增加权益</v>
          </cell>
          <cell r="D251">
            <v>-1</v>
          </cell>
          <cell r="E251" t="str">
            <v>OEI</v>
          </cell>
          <cell r="F251">
            <v>0</v>
          </cell>
          <cell r="G251" t="str">
            <v>（一）综合收益总额</v>
          </cell>
          <cell r="H251">
            <v>0</v>
          </cell>
          <cell r="I251" t="str">
            <v>8c40</v>
          </cell>
          <cell r="J251" t="str">
            <v>J</v>
          </cell>
          <cell r="M251" t="str">
            <v>一般风险准备_股份支付计入所有者权益的金额</v>
          </cell>
          <cell r="S251" t="str">
            <v>9331h</v>
          </cell>
          <cell r="T251" t="str">
            <v>计入当前损益的利得和损失中与金融资产和非金融资产有关的损益信息（上期）</v>
          </cell>
          <cell r="U251" t="str">
            <v>项       目</v>
          </cell>
          <cell r="V251">
            <v>-2</v>
          </cell>
          <cell r="W251">
            <v>0</v>
          </cell>
          <cell r="X251">
            <v>2</v>
          </cell>
        </row>
        <row r="252">
          <cell r="B252" t="str">
            <v>8c50</v>
          </cell>
          <cell r="C252" t="str">
            <v>其他权益工具（永续债）_所有者投入和减少资本影响权益</v>
          </cell>
          <cell r="D252">
            <v>0</v>
          </cell>
          <cell r="E252" t="str">
            <v>OEI＝</v>
          </cell>
          <cell r="F252">
            <v>0</v>
          </cell>
          <cell r="G252" t="str">
            <v>（二）所有者投入和减少资本</v>
          </cell>
          <cell r="H252">
            <v>0</v>
          </cell>
          <cell r="I252" t="str">
            <v>8c50</v>
          </cell>
          <cell r="J252">
            <v>0</v>
          </cell>
          <cell r="M252" t="str">
            <v>一般风险准备_其他权益工具持有者投入资本</v>
          </cell>
          <cell r="S252" t="str">
            <v>9601a</v>
          </cell>
          <cell r="T252" t="str">
            <v>当期非经常性损益明细表</v>
          </cell>
          <cell r="U252" t="str">
            <v>项       目</v>
          </cell>
          <cell r="V252">
            <v>-2</v>
          </cell>
          <cell r="W252">
            <v>0</v>
          </cell>
          <cell r="X252">
            <v>2</v>
          </cell>
        </row>
        <row r="253">
          <cell r="B253" t="str">
            <v>8c51</v>
          </cell>
          <cell r="C253" t="str">
            <v>其他权益工具（永续债）_所有者投入资本</v>
          </cell>
          <cell r="D253">
            <v>-1</v>
          </cell>
          <cell r="E253" t="str">
            <v>OEI</v>
          </cell>
          <cell r="F253">
            <v>0</v>
          </cell>
          <cell r="G253" t="str">
            <v>所有者投入资本</v>
          </cell>
          <cell r="H253">
            <v>0</v>
          </cell>
          <cell r="I253" t="str">
            <v>8c51</v>
          </cell>
          <cell r="J253" t="str">
            <v>J</v>
          </cell>
          <cell r="M253" t="str">
            <v>一般风险准备_所有者其他投入和减少资本</v>
          </cell>
          <cell r="S253" t="str">
            <v>9601c</v>
          </cell>
          <cell r="T253" t="str">
            <v>将证监会公告列举的非经常性损益项目界定为经常性项目的说明</v>
          </cell>
          <cell r="U253" t="str">
            <v>项       目</v>
          </cell>
          <cell r="V253">
            <v>-2</v>
          </cell>
          <cell r="W253">
            <v>0</v>
          </cell>
          <cell r="X253">
            <v>2</v>
          </cell>
        </row>
        <row r="254">
          <cell r="B254" t="str">
            <v>8c52</v>
          </cell>
          <cell r="C254" t="str">
            <v>其他权益工具（永续债）_股份支付</v>
          </cell>
          <cell r="D254">
            <v>-1</v>
          </cell>
          <cell r="E254" t="str">
            <v>OEI</v>
          </cell>
          <cell r="F254">
            <v>0</v>
          </cell>
          <cell r="G254" t="str">
            <v>股份支付计入所有者权益的金额</v>
          </cell>
          <cell r="H254">
            <v>0</v>
          </cell>
          <cell r="I254" t="str">
            <v>8c52</v>
          </cell>
          <cell r="J254" t="str">
            <v>J</v>
          </cell>
          <cell r="M254" t="str">
            <v>一般风险准备_提取盈余公积影响权益</v>
          </cell>
          <cell r="S254" t="str">
            <v>9601b</v>
          </cell>
          <cell r="T254" t="str">
            <v>其他符合非经常性损益定义的损益项目</v>
          </cell>
          <cell r="U254" t="str">
            <v>项       目</v>
          </cell>
          <cell r="V254">
            <v>-2</v>
          </cell>
          <cell r="W254">
            <v>0</v>
          </cell>
          <cell r="X254">
            <v>2</v>
          </cell>
        </row>
        <row r="255">
          <cell r="B255" t="str">
            <v>8c53</v>
          </cell>
          <cell r="C255" t="str">
            <v>其他权益工具（永续债）_其他权益工具持有者投入资本</v>
          </cell>
          <cell r="D255">
            <v>-1</v>
          </cell>
          <cell r="E255" t="str">
            <v>OEI</v>
          </cell>
          <cell r="F255">
            <v>0</v>
          </cell>
          <cell r="G255" t="str">
            <v>其他权益工具持有者投入资本</v>
          </cell>
          <cell r="H255">
            <v>0</v>
          </cell>
          <cell r="I255" t="str">
            <v>8c53</v>
          </cell>
          <cell r="J255" t="str">
            <v>J</v>
          </cell>
          <cell r="M255" t="str">
            <v>一般风险准备_提取</v>
          </cell>
          <cell r="S255" t="str">
            <v>9601d</v>
          </cell>
          <cell r="T255" t="str">
            <v>报告年度不再作为非经常性损益列报的项目</v>
          </cell>
          <cell r="U255" t="str">
            <v>项       目</v>
          </cell>
          <cell r="V255">
            <v>-2</v>
          </cell>
          <cell r="W255">
            <v>0</v>
          </cell>
          <cell r="X255">
            <v>2</v>
          </cell>
        </row>
        <row r="256">
          <cell r="B256" t="str">
            <v>8c56</v>
          </cell>
          <cell r="C256" t="str">
            <v>其他权益工具（永续债）_所有者其他投入和减少资本</v>
          </cell>
          <cell r="D256">
            <v>-1</v>
          </cell>
          <cell r="E256" t="str">
            <v>OEI</v>
          </cell>
          <cell r="F256">
            <v>0</v>
          </cell>
          <cell r="G256" t="str">
            <v>其他</v>
          </cell>
          <cell r="H256">
            <v>0</v>
          </cell>
          <cell r="I256" t="str">
            <v>8c56</v>
          </cell>
          <cell r="J256" t="str">
            <v>J</v>
          </cell>
          <cell r="M256" t="str">
            <v>一般风险准备_对所有者的分配影响权益</v>
          </cell>
          <cell r="S256" t="str">
            <v>7503a</v>
          </cell>
          <cell r="T256" t="str">
            <v>将净利润调节为经营活动现金流量：资产减值准备金额</v>
          </cell>
          <cell r="U256" t="str">
            <v>项       目</v>
          </cell>
          <cell r="V256">
            <v>1</v>
          </cell>
          <cell r="W256">
            <v>0</v>
          </cell>
          <cell r="X256">
            <v>9</v>
          </cell>
        </row>
        <row r="257">
          <cell r="B257" t="str">
            <v>8c60</v>
          </cell>
          <cell r="C257" t="str">
            <v>其他权益工具（永续债）_利润分配影响权益</v>
          </cell>
          <cell r="D257">
            <v>0</v>
          </cell>
          <cell r="E257" t="str">
            <v>OEI＝</v>
          </cell>
          <cell r="F257">
            <v>0</v>
          </cell>
          <cell r="G257" t="str">
            <v>（三）利润分配</v>
          </cell>
          <cell r="H257">
            <v>0</v>
          </cell>
          <cell r="I257" t="str">
            <v>8c60</v>
          </cell>
          <cell r="J257">
            <v>0</v>
          </cell>
          <cell r="M257" t="str">
            <v>一般风险准备_其他利润分配</v>
          </cell>
          <cell r="S257" t="str">
            <v>7505a</v>
          </cell>
          <cell r="T257" t="str">
            <v>将净利润调节为经营活动现金流量：固定资产折旧、油气资产折耗、生产性生物资产折旧</v>
          </cell>
          <cell r="U257" t="str">
            <v>项       目</v>
          </cell>
          <cell r="V257">
            <v>1</v>
          </cell>
          <cell r="W257">
            <v>0</v>
          </cell>
          <cell r="X257">
            <v>9</v>
          </cell>
        </row>
        <row r="258">
          <cell r="B258" t="str">
            <v>8c61</v>
          </cell>
          <cell r="C258" t="str">
            <v>其他权益工具（永续债）_提取盈余公积</v>
          </cell>
          <cell r="D258">
            <v>-1</v>
          </cell>
          <cell r="E258" t="str">
            <v>OEI</v>
          </cell>
          <cell r="F258">
            <v>0</v>
          </cell>
          <cell r="G258" t="str">
            <v>提取盈余公积</v>
          </cell>
          <cell r="H258">
            <v>0</v>
          </cell>
          <cell r="I258" t="str">
            <v>8c61</v>
          </cell>
          <cell r="J258" t="str">
            <v>J</v>
          </cell>
          <cell r="M258" t="str">
            <v>一般风险准备_资本公积转增资本影响权益</v>
          </cell>
          <cell r="S258" t="str">
            <v>7506a</v>
          </cell>
          <cell r="T258" t="str">
            <v>将净利润调节为经营活动现金流量：无形资产摊销</v>
          </cell>
          <cell r="U258" t="str">
            <v>项       目</v>
          </cell>
          <cell r="V258">
            <v>1</v>
          </cell>
          <cell r="W258">
            <v>0</v>
          </cell>
          <cell r="X258">
            <v>9</v>
          </cell>
        </row>
        <row r="259">
          <cell r="B259" t="str">
            <v>8c62</v>
          </cell>
          <cell r="C259" t="str">
            <v>其他权益工具（永续债）_提取一般风险准备</v>
          </cell>
          <cell r="D259">
            <v>-1</v>
          </cell>
          <cell r="E259" t="str">
            <v>OEI</v>
          </cell>
          <cell r="F259">
            <v>0</v>
          </cell>
          <cell r="G259" t="str">
            <v>提取一般风险准备</v>
          </cell>
          <cell r="H259">
            <v>0</v>
          </cell>
          <cell r="I259" t="str">
            <v>8c62</v>
          </cell>
          <cell r="J259" t="str">
            <v>J</v>
          </cell>
          <cell r="M259" t="str">
            <v>一般风险准备_盈余公积转增资本影响权益</v>
          </cell>
          <cell r="S259" t="str">
            <v>7507a</v>
          </cell>
          <cell r="T259" t="str">
            <v>将净利润调节为经营活动现金流量：长期待摊费用摊销</v>
          </cell>
          <cell r="U259" t="str">
            <v>项       目</v>
          </cell>
          <cell r="V259">
            <v>1</v>
          </cell>
          <cell r="W259">
            <v>0</v>
          </cell>
          <cell r="X259">
            <v>9</v>
          </cell>
        </row>
        <row r="260">
          <cell r="B260" t="str">
            <v>8c63</v>
          </cell>
          <cell r="C260" t="str">
            <v>其他权益工具（永续债）_对所有者的分配</v>
          </cell>
          <cell r="D260">
            <v>-1</v>
          </cell>
          <cell r="E260" t="str">
            <v>OEI</v>
          </cell>
          <cell r="F260">
            <v>0</v>
          </cell>
          <cell r="G260" t="str">
            <v>对所有者（或股东）的分配</v>
          </cell>
          <cell r="H260">
            <v>0</v>
          </cell>
          <cell r="I260" t="str">
            <v>8c63</v>
          </cell>
          <cell r="J260" t="str">
            <v>J</v>
          </cell>
          <cell r="M260" t="str">
            <v>一般风险准备_盈余公积弥补亏损影响权益</v>
          </cell>
          <cell r="S260" t="str">
            <v>7508a</v>
          </cell>
          <cell r="T260" t="str">
            <v>将净利润调节为经营活动现金流量：处置固定资产、无形资产和其他长期资产的损失</v>
          </cell>
          <cell r="U260" t="str">
            <v>项       目</v>
          </cell>
          <cell r="V260">
            <v>1</v>
          </cell>
          <cell r="W260">
            <v>0</v>
          </cell>
          <cell r="X260">
            <v>9</v>
          </cell>
        </row>
        <row r="261">
          <cell r="B261" t="str">
            <v>8c66</v>
          </cell>
          <cell r="C261" t="str">
            <v>其他权益工具（永续债）_其他利润分配</v>
          </cell>
          <cell r="D261">
            <v>-1</v>
          </cell>
          <cell r="E261" t="str">
            <v>OEI</v>
          </cell>
          <cell r="F261">
            <v>0</v>
          </cell>
          <cell r="G261" t="str">
            <v>其他</v>
          </cell>
          <cell r="H261">
            <v>0</v>
          </cell>
          <cell r="I261" t="str">
            <v>8c66</v>
          </cell>
          <cell r="J261" t="str">
            <v>J</v>
          </cell>
          <cell r="M261" t="str">
            <v>一般风险准备_结转重新计量设定受益计划净负债或净资产所产生的变动</v>
          </cell>
          <cell r="S261" t="str">
            <v>7509a</v>
          </cell>
          <cell r="T261" t="str">
            <v>将净利润调节为经营活动现金流量：固定资产报废损失</v>
          </cell>
          <cell r="U261" t="str">
            <v>项       目</v>
          </cell>
          <cell r="V261">
            <v>1</v>
          </cell>
          <cell r="W261">
            <v>0</v>
          </cell>
          <cell r="X261">
            <v>9</v>
          </cell>
        </row>
        <row r="262">
          <cell r="B262" t="str">
            <v>8c70</v>
          </cell>
          <cell r="C262" t="str">
            <v>其他权益工具（永续债）_所有者权益内部结转</v>
          </cell>
          <cell r="D262">
            <v>0</v>
          </cell>
          <cell r="E262" t="str">
            <v>OEI＝</v>
          </cell>
          <cell r="F262">
            <v>0</v>
          </cell>
          <cell r="G262" t="str">
            <v>（四）所有者权益内部结转</v>
          </cell>
          <cell r="H262">
            <v>0</v>
          </cell>
          <cell r="I262" t="str">
            <v>8c70</v>
          </cell>
          <cell r="J262">
            <v>0</v>
          </cell>
          <cell r="M262" t="str">
            <v>一般风险准备_所有者权益其他内部结转</v>
          </cell>
          <cell r="S262" t="str">
            <v>7510a</v>
          </cell>
          <cell r="T262" t="str">
            <v>将净利润调节为经营活动现金流量：公允价值变动损失</v>
          </cell>
          <cell r="U262" t="str">
            <v>项       目</v>
          </cell>
          <cell r="V262">
            <v>1</v>
          </cell>
          <cell r="W262">
            <v>0</v>
          </cell>
          <cell r="X262">
            <v>9</v>
          </cell>
        </row>
        <row r="263">
          <cell r="B263" t="str">
            <v>8c71</v>
          </cell>
          <cell r="C263" t="str">
            <v>其他权益工具（永续债）_资本公积转增资本</v>
          </cell>
          <cell r="D263">
            <v>-1</v>
          </cell>
          <cell r="E263" t="str">
            <v>OEI</v>
          </cell>
          <cell r="F263">
            <v>0</v>
          </cell>
          <cell r="G263" t="str">
            <v>资本公积转增资本（或股本）</v>
          </cell>
          <cell r="H263">
            <v>0</v>
          </cell>
          <cell r="I263" t="str">
            <v>8c71</v>
          </cell>
          <cell r="J263" t="str">
            <v>J</v>
          </cell>
          <cell r="M263" t="str">
            <v>一般风险准备_专项储备本期提取</v>
          </cell>
          <cell r="S263" t="str">
            <v>7511a</v>
          </cell>
          <cell r="T263" t="str">
            <v>将净利润调节为经营活动现金流量：财务费用金额</v>
          </cell>
          <cell r="U263" t="str">
            <v>项       目</v>
          </cell>
          <cell r="V263">
            <v>1</v>
          </cell>
          <cell r="W263">
            <v>0</v>
          </cell>
          <cell r="X263">
            <v>9</v>
          </cell>
        </row>
        <row r="264">
          <cell r="B264" t="str">
            <v>8c72</v>
          </cell>
          <cell r="C264" t="str">
            <v>其他权益工具（永续债）_盈余公积转增资本</v>
          </cell>
          <cell r="D264">
            <v>-1</v>
          </cell>
          <cell r="E264" t="str">
            <v>OEI</v>
          </cell>
          <cell r="F264">
            <v>0</v>
          </cell>
          <cell r="G264" t="str">
            <v>盈余公积转增资本（或股本）</v>
          </cell>
          <cell r="H264">
            <v>0</v>
          </cell>
          <cell r="I264" t="str">
            <v>8c72</v>
          </cell>
          <cell r="J264" t="str">
            <v>J</v>
          </cell>
          <cell r="M264" t="str">
            <v>一般风险准备_专项储备本期使用</v>
          </cell>
          <cell r="S264" t="str">
            <v>7512a</v>
          </cell>
          <cell r="T264" t="str">
            <v>将净利润调节为经营活动现金流量：投资损失</v>
          </cell>
          <cell r="U264" t="str">
            <v>项       目</v>
          </cell>
          <cell r="V264">
            <v>1</v>
          </cell>
          <cell r="W264">
            <v>0</v>
          </cell>
          <cell r="X264">
            <v>9</v>
          </cell>
        </row>
        <row r="265">
          <cell r="B265" t="str">
            <v>8c73</v>
          </cell>
          <cell r="C265" t="str">
            <v>其他权益工具（永续债）_盈余公积弥补亏损</v>
          </cell>
          <cell r="D265">
            <v>-1</v>
          </cell>
          <cell r="E265" t="str">
            <v>OEI</v>
          </cell>
          <cell r="F265">
            <v>0</v>
          </cell>
          <cell r="G265" t="str">
            <v>盈余公积弥补亏损</v>
          </cell>
          <cell r="H265">
            <v>0</v>
          </cell>
          <cell r="I265" t="str">
            <v>8c73</v>
          </cell>
          <cell r="J265" t="str">
            <v>J</v>
          </cell>
          <cell r="M265" t="str">
            <v>一般风险准备_本期其他增减变动</v>
          </cell>
          <cell r="S265" t="str">
            <v>7515a</v>
          </cell>
          <cell r="T265" t="str">
            <v>将净利润调节为经营活动现金流量：递延所得税资产减少</v>
          </cell>
          <cell r="U265" t="str">
            <v>项       目</v>
          </cell>
          <cell r="V265">
            <v>1</v>
          </cell>
          <cell r="W265">
            <v>0</v>
          </cell>
          <cell r="X265">
            <v>9</v>
          </cell>
        </row>
        <row r="266">
          <cell r="B266" t="str">
            <v>8c75</v>
          </cell>
          <cell r="C266" t="str">
            <v>其他权益工具（永续债）_结转重新计量设定受益计划净负债或净资产所产生的变动</v>
          </cell>
          <cell r="D266">
            <v>-1</v>
          </cell>
          <cell r="E266" t="str">
            <v>OEI</v>
          </cell>
          <cell r="F266">
            <v>0</v>
          </cell>
          <cell r="G266" t="str">
            <v>结转重新计量设定受益计划净负债或净资产所产生的变动</v>
          </cell>
          <cell r="H266">
            <v>0</v>
          </cell>
          <cell r="I266" t="str">
            <v>8c75</v>
          </cell>
          <cell r="J266" t="str">
            <v>J</v>
          </cell>
          <cell r="M266" t="str">
            <v>未分配利润_上年年末余额</v>
          </cell>
          <cell r="S266" t="str">
            <v>7516a</v>
          </cell>
          <cell r="T266" t="str">
            <v>将净利润调节为经营活动现金流量：递延所得税负债增加</v>
          </cell>
          <cell r="U266" t="str">
            <v>项       目</v>
          </cell>
          <cell r="V266">
            <v>1</v>
          </cell>
          <cell r="W266">
            <v>0</v>
          </cell>
          <cell r="X266">
            <v>9</v>
          </cell>
        </row>
        <row r="267">
          <cell r="B267" t="str">
            <v>8c76</v>
          </cell>
          <cell r="C267" t="str">
            <v>其他权益工具（永续债）_所有者权益其他内部结转</v>
          </cell>
          <cell r="D267">
            <v>-1</v>
          </cell>
          <cell r="E267" t="str">
            <v>OEI</v>
          </cell>
          <cell r="F267">
            <v>0</v>
          </cell>
          <cell r="G267" t="str">
            <v>其他</v>
          </cell>
          <cell r="H267">
            <v>0</v>
          </cell>
          <cell r="I267" t="str">
            <v>8c76</v>
          </cell>
          <cell r="J267" t="str">
            <v>J</v>
          </cell>
          <cell r="M267" t="str">
            <v>未分配利润_会计政策变更调整上年年末余额</v>
          </cell>
          <cell r="S267" t="str">
            <v>7517a</v>
          </cell>
          <cell r="T267" t="str">
            <v>将净利润调节为经营活动现金流量：存货的减少</v>
          </cell>
          <cell r="U267" t="str">
            <v>项       目</v>
          </cell>
          <cell r="V267">
            <v>1</v>
          </cell>
          <cell r="W267">
            <v>0</v>
          </cell>
          <cell r="X267">
            <v>9</v>
          </cell>
        </row>
        <row r="268">
          <cell r="B268" t="str">
            <v>8c80</v>
          </cell>
          <cell r="C268" t="str">
            <v>其他权益工具（永续债）_专项储备影响权益</v>
          </cell>
          <cell r="D268">
            <v>0</v>
          </cell>
          <cell r="E268" t="str">
            <v>OEI＝</v>
          </cell>
          <cell r="F268">
            <v>0</v>
          </cell>
          <cell r="G268" t="str">
            <v>（五）专项储备</v>
          </cell>
          <cell r="H268">
            <v>0</v>
          </cell>
          <cell r="I268" t="str">
            <v>8c80</v>
          </cell>
          <cell r="J268">
            <v>0</v>
          </cell>
          <cell r="M268" t="str">
            <v>未分配利润_前期差错更正调整上年年末余额</v>
          </cell>
          <cell r="S268" t="str">
            <v>7518a</v>
          </cell>
          <cell r="T268" t="str">
            <v>将净利润调节为经营活动现金流量：经营性应收项目的减少</v>
          </cell>
          <cell r="U268" t="str">
            <v>项       目</v>
          </cell>
          <cell r="V268">
            <v>1</v>
          </cell>
          <cell r="W268">
            <v>0</v>
          </cell>
          <cell r="X268">
            <v>9</v>
          </cell>
        </row>
        <row r="269">
          <cell r="B269" t="str">
            <v>8c81</v>
          </cell>
          <cell r="C269" t="str">
            <v>其他权益工具（永续债）_专项储备本期提取</v>
          </cell>
          <cell r="D269">
            <v>-1</v>
          </cell>
          <cell r="E269" t="str">
            <v>OEI</v>
          </cell>
          <cell r="F269">
            <v>0</v>
          </cell>
          <cell r="G269" t="str">
            <v>本期提取</v>
          </cell>
          <cell r="H269">
            <v>0</v>
          </cell>
          <cell r="I269" t="str">
            <v>8c81</v>
          </cell>
          <cell r="J269" t="str">
            <v>J</v>
          </cell>
          <cell r="M269" t="str">
            <v>未分配利润_同一控制下企业合并调整上年年末余额</v>
          </cell>
          <cell r="S269" t="str">
            <v>7519a</v>
          </cell>
          <cell r="T269" t="str">
            <v>将净利润调节为经营活动现金流量：经营性应付项目的增加</v>
          </cell>
          <cell r="U269" t="str">
            <v>项       目</v>
          </cell>
          <cell r="V269">
            <v>1</v>
          </cell>
          <cell r="W269">
            <v>0</v>
          </cell>
          <cell r="X269">
            <v>9</v>
          </cell>
        </row>
        <row r="270">
          <cell r="B270" t="str">
            <v>8c82</v>
          </cell>
          <cell r="C270" t="str">
            <v>其他权益工具（永续债）_专项储备本期使用</v>
          </cell>
          <cell r="D270">
            <v>-1</v>
          </cell>
          <cell r="E270" t="str">
            <v>OEI</v>
          </cell>
          <cell r="F270">
            <v>0</v>
          </cell>
          <cell r="G270" t="str">
            <v>本期使用</v>
          </cell>
          <cell r="H270">
            <v>0</v>
          </cell>
          <cell r="I270" t="str">
            <v>8c82</v>
          </cell>
          <cell r="J270" t="str">
            <v>J</v>
          </cell>
          <cell r="M270" t="str">
            <v>未分配利润_其他原因调整上年年末余额</v>
          </cell>
          <cell r="S270" t="str">
            <v>7523a</v>
          </cell>
          <cell r="T270" t="str">
            <v>将净利润调节为经营活动现金流量：其他项目</v>
          </cell>
          <cell r="U270" t="str">
            <v>项       目</v>
          </cell>
          <cell r="V270">
            <v>1</v>
          </cell>
          <cell r="W270">
            <v>0</v>
          </cell>
          <cell r="X270">
            <v>9</v>
          </cell>
        </row>
        <row r="271">
          <cell r="B271" t="str">
            <v>8c96</v>
          </cell>
          <cell r="C271" t="str">
            <v>其他权益工具（永续债）_本期其他增减变动</v>
          </cell>
          <cell r="D271">
            <v>-1</v>
          </cell>
          <cell r="E271" t="str">
            <v>OEI</v>
          </cell>
          <cell r="F271">
            <v>0</v>
          </cell>
          <cell r="G271" t="str">
            <v>（七）其他</v>
          </cell>
          <cell r="H271">
            <v>0</v>
          </cell>
          <cell r="I271" t="str">
            <v>8c96</v>
          </cell>
          <cell r="J271" t="str">
            <v>J</v>
          </cell>
          <cell r="M271" t="str">
            <v>未分配利润_所有者投入资本增加权益</v>
          </cell>
          <cell r="S271" t="str">
            <v>1122x</v>
          </cell>
          <cell r="T271" t="str">
            <v>应收账款补充资料</v>
          </cell>
          <cell r="U271" t="str">
            <v>项       目</v>
          </cell>
          <cell r="V271">
            <v>1</v>
          </cell>
          <cell r="W271">
            <v>1122</v>
          </cell>
          <cell r="X271">
            <v>2</v>
          </cell>
        </row>
        <row r="272">
          <cell r="B272" t="str">
            <v>8c99</v>
          </cell>
          <cell r="C272" t="str">
            <v>其他权益工具（永续债）_本期期末余额</v>
          </cell>
          <cell r="D272">
            <v>0</v>
          </cell>
          <cell r="E272" t="str">
            <v>OEI＝</v>
          </cell>
          <cell r="F272">
            <v>0</v>
          </cell>
          <cell r="G272" t="str">
            <v>四、本期期末余额</v>
          </cell>
          <cell r="H272">
            <v>0</v>
          </cell>
          <cell r="I272" t="str">
            <v>8c99</v>
          </cell>
          <cell r="J272">
            <v>0</v>
          </cell>
          <cell r="M272" t="str">
            <v>未分配利润_股份支付计入所有者权益的金额</v>
          </cell>
          <cell r="S272" t="str">
            <v>1125x</v>
          </cell>
          <cell r="T272" t="str">
            <v>预付款项补充资料</v>
          </cell>
          <cell r="U272" t="str">
            <v>项       目</v>
          </cell>
          <cell r="V272">
            <v>1</v>
          </cell>
          <cell r="W272">
            <v>1125</v>
          </cell>
          <cell r="X272">
            <v>2</v>
          </cell>
        </row>
        <row r="273">
          <cell r="B273" t="str">
            <v>8d00</v>
          </cell>
          <cell r="C273" t="str">
            <v>其他权益工具（其他）增减变动</v>
          </cell>
          <cell r="D273">
            <v>0</v>
          </cell>
          <cell r="E273" t="str">
            <v>：OEI</v>
          </cell>
          <cell r="F273">
            <v>0</v>
          </cell>
          <cell r="G273" t="str">
            <v>其他权益工具（其他）增减变动</v>
          </cell>
          <cell r="H273">
            <v>0</v>
          </cell>
          <cell r="I273" t="str">
            <v>8d00</v>
          </cell>
          <cell r="J273">
            <v>0</v>
          </cell>
          <cell r="M273" t="str">
            <v>未分配利润_其他权益工具持有者投入资本</v>
          </cell>
          <cell r="S273" t="str">
            <v>1221x</v>
          </cell>
          <cell r="T273" t="str">
            <v>其他应收款补充资料</v>
          </cell>
          <cell r="U273" t="str">
            <v>项       目</v>
          </cell>
          <cell r="V273">
            <v>1</v>
          </cell>
          <cell r="W273">
            <v>1221</v>
          </cell>
          <cell r="X273">
            <v>2</v>
          </cell>
        </row>
        <row r="274">
          <cell r="B274" t="str">
            <v>8d01</v>
          </cell>
          <cell r="C274" t="str">
            <v>其他权益工具（其他）_上年年末余额</v>
          </cell>
          <cell r="D274">
            <v>-1</v>
          </cell>
          <cell r="E274" t="str">
            <v>OEI</v>
          </cell>
          <cell r="F274">
            <v>0</v>
          </cell>
          <cell r="G274" t="str">
            <v>一、上年年末余额</v>
          </cell>
          <cell r="H274">
            <v>0</v>
          </cell>
          <cell r="I274" t="str">
            <v>8d01</v>
          </cell>
          <cell r="J274" t="str">
            <v>J</v>
          </cell>
          <cell r="M274" t="str">
            <v>未分配利润_所有者其他投入和减少资本</v>
          </cell>
          <cell r="S274" t="str">
            <v>2001d</v>
          </cell>
          <cell r="T274" t="str">
            <v>短期借款中的质押借款明细列示</v>
          </cell>
          <cell r="U274" t="str">
            <v>项       目</v>
          </cell>
          <cell r="V274">
            <v>1</v>
          </cell>
          <cell r="W274">
            <v>2001</v>
          </cell>
          <cell r="X274">
            <v>2</v>
          </cell>
        </row>
        <row r="275">
          <cell r="B275" t="str">
            <v>8d02</v>
          </cell>
          <cell r="C275" t="str">
            <v>其他权益工具（其他）_会计政策变更调整上年年末余额</v>
          </cell>
          <cell r="D275">
            <v>-1</v>
          </cell>
          <cell r="E275" t="str">
            <v>OEI</v>
          </cell>
          <cell r="F275">
            <v>0</v>
          </cell>
          <cell r="G275" t="str">
            <v>加：会计政策变更</v>
          </cell>
          <cell r="H275">
            <v>0</v>
          </cell>
          <cell r="I275" t="str">
            <v>8d02</v>
          </cell>
          <cell r="J275" t="str">
            <v>J</v>
          </cell>
          <cell r="M275" t="str">
            <v>未分配利润_提取盈余公积</v>
          </cell>
          <cell r="S275" t="str">
            <v>2001e</v>
          </cell>
          <cell r="T275" t="str">
            <v>短期借款中的抵押借款明细列示</v>
          </cell>
          <cell r="U275" t="str">
            <v>项       目</v>
          </cell>
          <cell r="V275">
            <v>1</v>
          </cell>
          <cell r="W275">
            <v>2001</v>
          </cell>
          <cell r="X275">
            <v>2</v>
          </cell>
        </row>
        <row r="276">
          <cell r="B276" t="str">
            <v>8d03</v>
          </cell>
          <cell r="C276" t="str">
            <v>其他权益工具（其他）_前期差错更正调整上年年末余额</v>
          </cell>
          <cell r="D276">
            <v>-1</v>
          </cell>
          <cell r="E276" t="str">
            <v>OEI</v>
          </cell>
          <cell r="F276">
            <v>0</v>
          </cell>
          <cell r="G276" t="str">
            <v>前期差错更正</v>
          </cell>
          <cell r="H276">
            <v>0</v>
          </cell>
          <cell r="I276" t="str">
            <v>8d03</v>
          </cell>
          <cell r="J276" t="str">
            <v>J</v>
          </cell>
          <cell r="M276" t="str">
            <v>未分配利润_提取一般风险准备</v>
          </cell>
          <cell r="S276" t="str">
            <v>2001f</v>
          </cell>
          <cell r="T276" t="str">
            <v>短期借款中的保证借款明细列示</v>
          </cell>
          <cell r="U276" t="str">
            <v>项       目</v>
          </cell>
          <cell r="V276">
            <v>1</v>
          </cell>
          <cell r="W276">
            <v>2001</v>
          </cell>
          <cell r="X276">
            <v>2</v>
          </cell>
        </row>
        <row r="277">
          <cell r="B277" t="str">
            <v>8d04</v>
          </cell>
          <cell r="C277" t="str">
            <v>其他权益工具（其他）_同一控制下企业合并调整上年年末余额</v>
          </cell>
          <cell r="D277">
            <v>-1</v>
          </cell>
          <cell r="E277" t="str">
            <v>※OEI</v>
          </cell>
          <cell r="F277">
            <v>0</v>
          </cell>
          <cell r="G277" t="str">
            <v>同一控制下企业合并</v>
          </cell>
          <cell r="H277">
            <v>0</v>
          </cell>
          <cell r="I277" t="str">
            <v>8d04</v>
          </cell>
          <cell r="J277" t="str">
            <v>J</v>
          </cell>
          <cell r="M277" t="str">
            <v>未分配利润_对所有者的分配</v>
          </cell>
          <cell r="S277" t="str">
            <v>2202f</v>
          </cell>
          <cell r="T277" t="str">
            <v>应付账款按账龄列示</v>
          </cell>
          <cell r="U277" t="str">
            <v>账       龄</v>
          </cell>
          <cell r="V277">
            <v>1</v>
          </cell>
          <cell r="W277">
            <v>2202</v>
          </cell>
          <cell r="X277">
            <v>2</v>
          </cell>
        </row>
        <row r="278">
          <cell r="B278" t="str">
            <v>8d09</v>
          </cell>
          <cell r="C278" t="str">
            <v>其他权益工具（其他）_其他原因调整上年年末余额</v>
          </cell>
          <cell r="D278">
            <v>-1</v>
          </cell>
          <cell r="E278" t="str">
            <v>OEI</v>
          </cell>
          <cell r="F278">
            <v>0</v>
          </cell>
          <cell r="G278" t="str">
            <v>其他</v>
          </cell>
          <cell r="H278">
            <v>0</v>
          </cell>
          <cell r="I278" t="str">
            <v>8d09</v>
          </cell>
          <cell r="J278" t="str">
            <v>J</v>
          </cell>
          <cell r="M278" t="str">
            <v>未分配利润_其他利润分配</v>
          </cell>
          <cell r="S278" t="str">
            <v>2202x</v>
          </cell>
          <cell r="T278" t="str">
            <v>应付账款补充资料</v>
          </cell>
          <cell r="U278" t="str">
            <v>项       目</v>
          </cell>
          <cell r="V278">
            <v>1</v>
          </cell>
          <cell r="W278">
            <v>2202</v>
          </cell>
          <cell r="X278">
            <v>2</v>
          </cell>
        </row>
        <row r="279">
          <cell r="B279" t="str">
            <v>8d10</v>
          </cell>
          <cell r="C279" t="str">
            <v>其他权益工具（其他）_本年年初余额</v>
          </cell>
          <cell r="D279">
            <v>0</v>
          </cell>
          <cell r="E279" t="str">
            <v>OEI＝</v>
          </cell>
          <cell r="F279">
            <v>0</v>
          </cell>
          <cell r="G279" t="str">
            <v>二、本年年初余额</v>
          </cell>
          <cell r="H279">
            <v>0</v>
          </cell>
          <cell r="I279" t="str">
            <v>8d10</v>
          </cell>
          <cell r="J279">
            <v>0</v>
          </cell>
          <cell r="M279" t="str">
            <v>未分配利润_资本公积转增资本影响权益</v>
          </cell>
          <cell r="S279" t="str">
            <v>2205g</v>
          </cell>
          <cell r="T279" t="str">
            <v>预收账款按账龄列示</v>
          </cell>
          <cell r="U279" t="str">
            <v>账       龄</v>
          </cell>
          <cell r="V279">
            <v>1</v>
          </cell>
          <cell r="W279">
            <v>2205</v>
          </cell>
          <cell r="X279">
            <v>2</v>
          </cell>
        </row>
        <row r="280">
          <cell r="B280" t="str">
            <v>8d90</v>
          </cell>
          <cell r="C280" t="str">
            <v>其他权益工具（其他）_本期增减变动金额</v>
          </cell>
          <cell r="D280">
            <v>0</v>
          </cell>
          <cell r="E280" t="str">
            <v>OEI＝</v>
          </cell>
          <cell r="F280">
            <v>0</v>
          </cell>
          <cell r="G280" t="str">
            <v>三、本期增减变动金额（减少以“-”号填列）</v>
          </cell>
          <cell r="H280">
            <v>0</v>
          </cell>
          <cell r="I280" t="str">
            <v>8d90</v>
          </cell>
          <cell r="J280">
            <v>0</v>
          </cell>
          <cell r="M280" t="str">
            <v>未分配利润_盈余公积转增资本影响权益</v>
          </cell>
          <cell r="S280" t="str">
            <v>2205x</v>
          </cell>
          <cell r="T280" t="str">
            <v>预收款项补充资料</v>
          </cell>
          <cell r="U280" t="str">
            <v>项       目</v>
          </cell>
          <cell r="V280">
            <v>1</v>
          </cell>
          <cell r="W280">
            <v>2205</v>
          </cell>
          <cell r="X280">
            <v>2</v>
          </cell>
        </row>
        <row r="281">
          <cell r="B281" t="str">
            <v>8d40</v>
          </cell>
          <cell r="C281" t="str">
            <v>其他权益工具（其他）_综合收益总额增加权益</v>
          </cell>
          <cell r="D281">
            <v>-1</v>
          </cell>
          <cell r="E281" t="str">
            <v>OEI</v>
          </cell>
          <cell r="F281">
            <v>0</v>
          </cell>
          <cell r="G281" t="str">
            <v>（一）综合收益总额</v>
          </cell>
          <cell r="H281">
            <v>0</v>
          </cell>
          <cell r="I281" t="str">
            <v>8d40</v>
          </cell>
          <cell r="J281" t="str">
            <v>J</v>
          </cell>
          <cell r="M281" t="str">
            <v>未分配利润_盈余公积弥补亏损</v>
          </cell>
          <cell r="S281" t="str">
            <v>2241f</v>
          </cell>
          <cell r="T281" t="str">
            <v>其他应付款按账龄列示</v>
          </cell>
          <cell r="U281" t="str">
            <v>项       目</v>
          </cell>
          <cell r="V281">
            <v>1</v>
          </cell>
          <cell r="W281">
            <v>2241</v>
          </cell>
          <cell r="X281">
            <v>2</v>
          </cell>
        </row>
        <row r="282">
          <cell r="B282" t="str">
            <v>8d50</v>
          </cell>
          <cell r="C282" t="str">
            <v>其他权益工具（其他）_所有者投入和减少资本影响权益</v>
          </cell>
          <cell r="D282">
            <v>0</v>
          </cell>
          <cell r="E282" t="str">
            <v>OEI＝</v>
          </cell>
          <cell r="F282">
            <v>0</v>
          </cell>
          <cell r="G282" t="str">
            <v>（二）所有者投入和减少资本</v>
          </cell>
          <cell r="H282">
            <v>0</v>
          </cell>
          <cell r="I282" t="str">
            <v>8d50</v>
          </cell>
          <cell r="J282">
            <v>0</v>
          </cell>
          <cell r="M282" t="str">
            <v>未分配利润_结转重新计量设定受益计划净负债或净资产所产生的变动</v>
          </cell>
          <cell r="S282" t="str">
            <v>2241x</v>
          </cell>
          <cell r="T282" t="str">
            <v>其他应付款补充资料</v>
          </cell>
          <cell r="U282" t="str">
            <v>项       目</v>
          </cell>
          <cell r="V282">
            <v>1</v>
          </cell>
          <cell r="W282">
            <v>2241</v>
          </cell>
          <cell r="X282">
            <v>2</v>
          </cell>
        </row>
        <row r="283">
          <cell r="B283" t="str">
            <v>8d51</v>
          </cell>
          <cell r="C283" t="str">
            <v>其他权益工具（其他）_所有者投入资本</v>
          </cell>
          <cell r="D283">
            <v>-1</v>
          </cell>
          <cell r="E283" t="str">
            <v>OEI</v>
          </cell>
          <cell r="F283">
            <v>0</v>
          </cell>
          <cell r="G283" t="str">
            <v>所有者投入资本</v>
          </cell>
          <cell r="H283">
            <v>0</v>
          </cell>
          <cell r="I283" t="str">
            <v>8d51</v>
          </cell>
          <cell r="J283" t="str">
            <v>J</v>
          </cell>
          <cell r="M283" t="str">
            <v>未分配利润_所有者权益其他内部结转</v>
          </cell>
          <cell r="S283" t="str">
            <v>2501d</v>
          </cell>
          <cell r="T283" t="str">
            <v>长期借款中的质押借款明细列示</v>
          </cell>
          <cell r="U283" t="str">
            <v>项       目</v>
          </cell>
          <cell r="V283">
            <v>1</v>
          </cell>
          <cell r="W283">
            <v>2501</v>
          </cell>
          <cell r="X283">
            <v>2</v>
          </cell>
        </row>
        <row r="284">
          <cell r="B284" t="str">
            <v>8d52</v>
          </cell>
          <cell r="C284" t="str">
            <v>其他权益工具（其他）_股份支付</v>
          </cell>
          <cell r="D284">
            <v>-1</v>
          </cell>
          <cell r="E284" t="str">
            <v>OEI</v>
          </cell>
          <cell r="F284">
            <v>0</v>
          </cell>
          <cell r="G284" t="str">
            <v>股份支付计入所有者权益的金额</v>
          </cell>
          <cell r="H284">
            <v>0</v>
          </cell>
          <cell r="I284" t="str">
            <v>8d52</v>
          </cell>
          <cell r="J284" t="str">
            <v>J</v>
          </cell>
          <cell r="M284" t="str">
            <v>未分配利润_专项储备本期提取</v>
          </cell>
          <cell r="S284" t="str">
            <v>2501f</v>
          </cell>
          <cell r="T284" t="str">
            <v>长期借款中的保证借款明细列示</v>
          </cell>
          <cell r="U284" t="str">
            <v>项       目</v>
          </cell>
          <cell r="V284">
            <v>1</v>
          </cell>
          <cell r="W284">
            <v>2501</v>
          </cell>
          <cell r="X284">
            <v>2</v>
          </cell>
        </row>
        <row r="285">
          <cell r="B285" t="str">
            <v>8d53</v>
          </cell>
          <cell r="C285" t="str">
            <v>其他权益工具（其他）_其他权益工具持有者投入资本</v>
          </cell>
          <cell r="D285">
            <v>-1</v>
          </cell>
          <cell r="E285" t="str">
            <v>OEI</v>
          </cell>
          <cell r="F285">
            <v>0</v>
          </cell>
          <cell r="G285" t="str">
            <v>其他权益工具持有者投入资本</v>
          </cell>
          <cell r="H285">
            <v>0</v>
          </cell>
          <cell r="I285" t="str">
            <v>8d53</v>
          </cell>
          <cell r="J285" t="str">
            <v>J</v>
          </cell>
          <cell r="M285" t="str">
            <v>未分配利润_专项储备本期使用</v>
          </cell>
          <cell r="S285" t="str">
            <v>6064f</v>
          </cell>
          <cell r="T285" t="str">
            <v>本期销售前十名情况</v>
          </cell>
          <cell r="U285" t="str">
            <v>客户名称</v>
          </cell>
          <cell r="V285">
            <v>-1</v>
          </cell>
          <cell r="W285">
            <v>6001</v>
          </cell>
          <cell r="X285">
            <v>2</v>
          </cell>
        </row>
        <row r="286">
          <cell r="B286" t="str">
            <v>8d56</v>
          </cell>
          <cell r="C286" t="str">
            <v>其他权益工具（其他）_所有者其他投入和减少资本</v>
          </cell>
          <cell r="D286">
            <v>-1</v>
          </cell>
          <cell r="E286" t="str">
            <v>OEI</v>
          </cell>
          <cell r="F286">
            <v>0</v>
          </cell>
          <cell r="G286" t="str">
            <v>其他</v>
          </cell>
          <cell r="H286">
            <v>0</v>
          </cell>
          <cell r="I286" t="str">
            <v>8d56</v>
          </cell>
          <cell r="J286" t="str">
            <v>J</v>
          </cell>
          <cell r="M286" t="str">
            <v>未分配利润_本期其他增减变动</v>
          </cell>
          <cell r="S286" t="str">
            <v>6064g</v>
          </cell>
          <cell r="T286" t="str">
            <v>本期采购前十名情况</v>
          </cell>
          <cell r="U286" t="str">
            <v>供应商名称</v>
          </cell>
          <cell r="V286">
            <v>-1</v>
          </cell>
          <cell r="W286">
            <v>6401</v>
          </cell>
          <cell r="X286">
            <v>2</v>
          </cell>
        </row>
        <row r="287">
          <cell r="B287" t="str">
            <v>8d60</v>
          </cell>
          <cell r="C287" t="str">
            <v>其他权益工具（其他）_利润分配影响权益</v>
          </cell>
          <cell r="D287">
            <v>0</v>
          </cell>
          <cell r="E287" t="str">
            <v>OEI＝</v>
          </cell>
          <cell r="F287">
            <v>0</v>
          </cell>
          <cell r="G287" t="str">
            <v>（三）利润分配</v>
          </cell>
          <cell r="H287">
            <v>0</v>
          </cell>
          <cell r="I287" t="str">
            <v>8d60</v>
          </cell>
          <cell r="J287">
            <v>0</v>
          </cell>
          <cell r="M287" t="str">
            <v>少数股东权益_上年年末余额</v>
          </cell>
          <cell r="S287" t="str">
            <v>9120c</v>
          </cell>
          <cell r="T287" t="str">
            <v>关联托管、承包情况——公司受托管理、承包</v>
          </cell>
          <cell r="U287" t="str">
            <v>项       目</v>
          </cell>
          <cell r="V287">
            <v>-2</v>
          </cell>
          <cell r="W287">
            <v>0</v>
          </cell>
          <cell r="X287">
            <v>2</v>
          </cell>
        </row>
        <row r="288">
          <cell r="B288" t="str">
            <v>8d61</v>
          </cell>
          <cell r="C288" t="str">
            <v>其他权益工具（其他）_提取盈余公积</v>
          </cell>
          <cell r="D288">
            <v>-1</v>
          </cell>
          <cell r="E288" t="str">
            <v>OEI</v>
          </cell>
          <cell r="F288">
            <v>0</v>
          </cell>
          <cell r="G288" t="str">
            <v>提取盈余公积</v>
          </cell>
          <cell r="H288">
            <v>0</v>
          </cell>
          <cell r="I288" t="str">
            <v>8d61</v>
          </cell>
          <cell r="J288" t="str">
            <v>J</v>
          </cell>
          <cell r="M288" t="str">
            <v>少数股东权益_会计政策变更调整上年年末余额</v>
          </cell>
          <cell r="S288" t="str">
            <v>9120d</v>
          </cell>
          <cell r="T288" t="str">
            <v>关联托管、承包情况——公司委托管理、出包</v>
          </cell>
          <cell r="U288" t="str">
            <v>项       目</v>
          </cell>
          <cell r="V288">
            <v>-2</v>
          </cell>
          <cell r="W288">
            <v>0</v>
          </cell>
          <cell r="X288">
            <v>2</v>
          </cell>
        </row>
        <row r="289">
          <cell r="B289" t="str">
            <v>8d62</v>
          </cell>
          <cell r="C289" t="str">
            <v>其他权益工具（其他）_提取一般风险准备</v>
          </cell>
          <cell r="D289">
            <v>-1</v>
          </cell>
          <cell r="E289" t="str">
            <v>OEI</v>
          </cell>
          <cell r="F289">
            <v>0</v>
          </cell>
          <cell r="G289" t="str">
            <v>提取一般风险准备</v>
          </cell>
          <cell r="H289">
            <v>0</v>
          </cell>
          <cell r="I289" t="str">
            <v>8d62</v>
          </cell>
          <cell r="J289" t="str">
            <v>J</v>
          </cell>
          <cell r="M289" t="str">
            <v>少数股东权益_前期差错更正调整上年年末余额</v>
          </cell>
          <cell r="S289" t="str">
            <v>9120e</v>
          </cell>
          <cell r="T289" t="str">
            <v>关联租赁情况——公司出租</v>
          </cell>
          <cell r="U289" t="str">
            <v>项       目</v>
          </cell>
          <cell r="V289">
            <v>-2</v>
          </cell>
          <cell r="W289">
            <v>0</v>
          </cell>
          <cell r="X289">
            <v>2</v>
          </cell>
        </row>
        <row r="290">
          <cell r="B290" t="str">
            <v>8d63</v>
          </cell>
          <cell r="C290" t="str">
            <v>其他权益工具（其他）_对所有者的分配</v>
          </cell>
          <cell r="D290">
            <v>-1</v>
          </cell>
          <cell r="E290" t="str">
            <v>OEI</v>
          </cell>
          <cell r="F290">
            <v>0</v>
          </cell>
          <cell r="G290" t="str">
            <v>对所有者（或股东）的分配</v>
          </cell>
          <cell r="H290">
            <v>0</v>
          </cell>
          <cell r="I290" t="str">
            <v>8d63</v>
          </cell>
          <cell r="J290" t="str">
            <v>J</v>
          </cell>
          <cell r="M290" t="str">
            <v>少数股东权益_同一控制下企业合并调整上年年末余额</v>
          </cell>
          <cell r="S290" t="str">
            <v>9120f</v>
          </cell>
          <cell r="T290" t="str">
            <v>关联租赁情况——公司承租</v>
          </cell>
          <cell r="U290" t="str">
            <v>项       目</v>
          </cell>
          <cell r="V290">
            <v>-2</v>
          </cell>
          <cell r="W290">
            <v>0</v>
          </cell>
          <cell r="X290">
            <v>2</v>
          </cell>
        </row>
        <row r="291">
          <cell r="B291" t="str">
            <v>8d66</v>
          </cell>
          <cell r="C291" t="str">
            <v>其他权益工具（其他）_其他利润分配</v>
          </cell>
          <cell r="D291">
            <v>-1</v>
          </cell>
          <cell r="E291" t="str">
            <v>OEI</v>
          </cell>
          <cell r="F291">
            <v>0</v>
          </cell>
          <cell r="G291" t="str">
            <v>其他</v>
          </cell>
          <cell r="H291">
            <v>0</v>
          </cell>
          <cell r="I291" t="str">
            <v>8d66</v>
          </cell>
          <cell r="J291" t="str">
            <v>J</v>
          </cell>
          <cell r="M291" t="str">
            <v>少数股东权益_其他原因调整上年年末余额</v>
          </cell>
          <cell r="S291" t="str">
            <v>9120g</v>
          </cell>
          <cell r="T291" t="str">
            <v>关联担保情况——本集团作为担保方</v>
          </cell>
          <cell r="U291" t="str">
            <v>项       目</v>
          </cell>
          <cell r="V291">
            <v>-2</v>
          </cell>
          <cell r="W291">
            <v>0</v>
          </cell>
          <cell r="X291">
            <v>2</v>
          </cell>
        </row>
        <row r="292">
          <cell r="B292" t="str">
            <v>8d70</v>
          </cell>
          <cell r="C292" t="str">
            <v>其他权益工具（其他）_所有者权益内部结转</v>
          </cell>
          <cell r="D292">
            <v>0</v>
          </cell>
          <cell r="E292" t="str">
            <v>OEI＝</v>
          </cell>
          <cell r="F292">
            <v>0</v>
          </cell>
          <cell r="G292" t="str">
            <v>（四）所有者权益内部结转</v>
          </cell>
          <cell r="H292">
            <v>0</v>
          </cell>
          <cell r="I292" t="str">
            <v>8d70</v>
          </cell>
          <cell r="J292">
            <v>0</v>
          </cell>
          <cell r="M292" t="str">
            <v>少数股东权益_净利润</v>
          </cell>
          <cell r="S292" t="str">
            <v>9120h</v>
          </cell>
          <cell r="T292" t="str">
            <v>关联担保情况——本集团作为被担保方</v>
          </cell>
          <cell r="U292" t="str">
            <v>项       目</v>
          </cell>
          <cell r="V292">
            <v>-2</v>
          </cell>
          <cell r="W292">
            <v>0</v>
          </cell>
          <cell r="X292">
            <v>2</v>
          </cell>
        </row>
        <row r="293">
          <cell r="B293" t="str">
            <v>8d71</v>
          </cell>
          <cell r="C293" t="str">
            <v>其他权益工具（其他）_资本公积转增资本</v>
          </cell>
          <cell r="D293">
            <v>-1</v>
          </cell>
          <cell r="E293" t="str">
            <v>OEI</v>
          </cell>
          <cell r="F293">
            <v>0</v>
          </cell>
          <cell r="G293" t="str">
            <v>资本公积转增资本（或股本）</v>
          </cell>
          <cell r="H293">
            <v>0</v>
          </cell>
          <cell r="I293" t="str">
            <v>8d71</v>
          </cell>
          <cell r="J293" t="str">
            <v>J</v>
          </cell>
          <cell r="M293" t="str">
            <v>少数股东权益_其他综合收益</v>
          </cell>
          <cell r="S293" t="str">
            <v>9120i</v>
          </cell>
          <cell r="T293" t="str">
            <v>关联方资金拆借情况——拆入</v>
          </cell>
          <cell r="U293" t="str">
            <v>项       目</v>
          </cell>
          <cell r="V293">
            <v>-2</v>
          </cell>
          <cell r="W293">
            <v>0</v>
          </cell>
          <cell r="X293">
            <v>2</v>
          </cell>
        </row>
        <row r="294">
          <cell r="B294" t="str">
            <v>8d72</v>
          </cell>
          <cell r="C294" t="str">
            <v>其他权益工具（其他）_盈余公积转增资本</v>
          </cell>
          <cell r="D294">
            <v>-1</v>
          </cell>
          <cell r="E294" t="str">
            <v>OEI</v>
          </cell>
          <cell r="F294">
            <v>0</v>
          </cell>
          <cell r="G294" t="str">
            <v>盈余公积转增资本（或股本）</v>
          </cell>
          <cell r="H294">
            <v>0</v>
          </cell>
          <cell r="I294" t="str">
            <v>8d72</v>
          </cell>
          <cell r="J294" t="str">
            <v>J</v>
          </cell>
          <cell r="M294" t="str">
            <v>少数股东权益_综合收益总额增加权益</v>
          </cell>
          <cell r="S294" t="str">
            <v>9120j</v>
          </cell>
          <cell r="T294" t="str">
            <v>关联方资金拆借情况——拆出</v>
          </cell>
          <cell r="U294" t="str">
            <v>项       目</v>
          </cell>
          <cell r="V294">
            <v>-2</v>
          </cell>
          <cell r="W294">
            <v>0</v>
          </cell>
          <cell r="X294">
            <v>2</v>
          </cell>
        </row>
        <row r="295">
          <cell r="B295" t="str">
            <v>8d73</v>
          </cell>
          <cell r="C295" t="str">
            <v>其他权益工具（其他）_盈余公积弥补亏损</v>
          </cell>
          <cell r="D295">
            <v>-1</v>
          </cell>
          <cell r="E295" t="str">
            <v>OEI</v>
          </cell>
          <cell r="F295">
            <v>0</v>
          </cell>
          <cell r="G295" t="str">
            <v>盈余公积弥补亏损</v>
          </cell>
          <cell r="H295">
            <v>0</v>
          </cell>
          <cell r="I295" t="str">
            <v>8d73</v>
          </cell>
          <cell r="J295" t="str">
            <v>J</v>
          </cell>
          <cell r="M295" t="str">
            <v>少数股东权益_所有者投入资本</v>
          </cell>
          <cell r="S295" t="str">
            <v>9120k</v>
          </cell>
          <cell r="T295" t="str">
            <v>关联方资产转让、债务重组情况</v>
          </cell>
          <cell r="U295" t="str">
            <v>项       目</v>
          </cell>
          <cell r="V295">
            <v>-2</v>
          </cell>
          <cell r="W295">
            <v>0</v>
          </cell>
          <cell r="X295">
            <v>2</v>
          </cell>
        </row>
        <row r="296">
          <cell r="B296" t="str">
            <v>8d75</v>
          </cell>
          <cell r="C296" t="str">
            <v>其他权益工具（其他）_结转重新计量设定受益计划净负债或净资产所产生的变动</v>
          </cell>
          <cell r="D296">
            <v>-1</v>
          </cell>
          <cell r="E296" t="str">
            <v>OEI</v>
          </cell>
          <cell r="F296">
            <v>0</v>
          </cell>
          <cell r="G296" t="str">
            <v>结转重新计量设定受益计划净负债或净资产所产生的变动</v>
          </cell>
          <cell r="H296">
            <v>0</v>
          </cell>
          <cell r="I296" t="str">
            <v>8d75</v>
          </cell>
          <cell r="J296" t="str">
            <v>J</v>
          </cell>
          <cell r="M296" t="str">
            <v>少数股东权益_股份支付</v>
          </cell>
          <cell r="S296" t="str">
            <v>9120l</v>
          </cell>
          <cell r="T296" t="str">
            <v>关键管理人员薪酬情况</v>
          </cell>
          <cell r="U296" t="str">
            <v>项       目</v>
          </cell>
          <cell r="V296">
            <v>-2</v>
          </cell>
          <cell r="W296">
            <v>0</v>
          </cell>
          <cell r="X296">
            <v>2</v>
          </cell>
        </row>
        <row r="297">
          <cell r="B297" t="str">
            <v>8d76</v>
          </cell>
          <cell r="C297" t="str">
            <v>其他权益工具（其他）_所有者权益其他内部结转</v>
          </cell>
          <cell r="D297">
            <v>-1</v>
          </cell>
          <cell r="E297" t="str">
            <v>OEI</v>
          </cell>
          <cell r="F297">
            <v>0</v>
          </cell>
          <cell r="G297" t="str">
            <v>其他</v>
          </cell>
          <cell r="H297">
            <v>0</v>
          </cell>
          <cell r="I297" t="str">
            <v>8d76</v>
          </cell>
          <cell r="J297" t="str">
            <v>J</v>
          </cell>
          <cell r="M297" t="str">
            <v>少数股东权益_其他权益工具持有者投入资本</v>
          </cell>
          <cell r="S297" t="str">
            <v>9325a</v>
          </cell>
          <cell r="T297" t="str">
            <v>本集团持有的计息金融工具</v>
          </cell>
          <cell r="U297" t="str">
            <v>项       目</v>
          </cell>
          <cell r="V297">
            <v>-2</v>
          </cell>
          <cell r="W297">
            <v>0</v>
          </cell>
          <cell r="X297">
            <v>2</v>
          </cell>
        </row>
        <row r="298">
          <cell r="B298" t="str">
            <v>8d80</v>
          </cell>
          <cell r="C298" t="str">
            <v>其他权益工具（其他）_专项储备影响权益</v>
          </cell>
          <cell r="D298">
            <v>0</v>
          </cell>
          <cell r="E298" t="str">
            <v>OEI＝</v>
          </cell>
          <cell r="F298">
            <v>0</v>
          </cell>
          <cell r="G298" t="str">
            <v>（五）专项储备</v>
          </cell>
          <cell r="H298">
            <v>0</v>
          </cell>
          <cell r="I298" t="str">
            <v>8d80</v>
          </cell>
          <cell r="J298">
            <v>0</v>
          </cell>
          <cell r="M298" t="str">
            <v>少数股东权益_所有者其他投入和减少资本</v>
          </cell>
          <cell r="S298" t="str">
            <v>9325e</v>
          </cell>
          <cell r="T298" t="str">
            <v>期末本集团持有的金融资产和金融负债按未折现剩余合同现金流量的到期期限分析</v>
          </cell>
          <cell r="U298" t="str">
            <v>项       目</v>
          </cell>
          <cell r="V298">
            <v>-2</v>
          </cell>
          <cell r="W298">
            <v>0</v>
          </cell>
          <cell r="X298">
            <v>2</v>
          </cell>
        </row>
        <row r="299">
          <cell r="B299" t="str">
            <v>8d81</v>
          </cell>
          <cell r="C299" t="str">
            <v>其他权益工具（其他）_专项储备本期提取</v>
          </cell>
          <cell r="D299">
            <v>-1</v>
          </cell>
          <cell r="E299" t="str">
            <v>OEI</v>
          </cell>
          <cell r="F299">
            <v>0</v>
          </cell>
          <cell r="G299" t="str">
            <v>本期提取</v>
          </cell>
          <cell r="H299">
            <v>0</v>
          </cell>
          <cell r="I299" t="str">
            <v>8d81</v>
          </cell>
          <cell r="J299" t="str">
            <v>J</v>
          </cell>
          <cell r="M299" t="str">
            <v>少数股东权益_提取盈余公积影响权益</v>
          </cell>
          <cell r="S299" t="str">
            <v>9325f</v>
          </cell>
          <cell r="T299" t="str">
            <v>期初本集团持有的金融资产和金融负债按未折现剩余合同现金流量的到期期限分析</v>
          </cell>
          <cell r="U299" t="str">
            <v>项       目</v>
          </cell>
          <cell r="V299">
            <v>-2</v>
          </cell>
          <cell r="W299">
            <v>0</v>
          </cell>
          <cell r="X299">
            <v>2</v>
          </cell>
        </row>
        <row r="300">
          <cell r="B300" t="str">
            <v>8d82</v>
          </cell>
          <cell r="C300" t="str">
            <v>其他权益工具（其他）_专项储备本期使用</v>
          </cell>
          <cell r="D300">
            <v>-1</v>
          </cell>
          <cell r="E300" t="str">
            <v>OEI</v>
          </cell>
          <cell r="F300">
            <v>0</v>
          </cell>
          <cell r="G300" t="str">
            <v>本期使用</v>
          </cell>
          <cell r="H300">
            <v>0</v>
          </cell>
          <cell r="I300" t="str">
            <v>8d82</v>
          </cell>
          <cell r="J300" t="str">
            <v>J</v>
          </cell>
          <cell r="M300" t="str">
            <v>少数股东权益_提取一般风险准备影响权益</v>
          </cell>
          <cell r="S300" t="str">
            <v>7001x</v>
          </cell>
          <cell r="T300" t="str">
            <v>销售商品提供劳务收到的现金计算表</v>
          </cell>
          <cell r="U300" t="str">
            <v>项       目</v>
          </cell>
          <cell r="V300">
            <v>1</v>
          </cell>
          <cell r="W300">
            <v>7001</v>
          </cell>
          <cell r="X300">
            <v>2</v>
          </cell>
        </row>
        <row r="301">
          <cell r="B301" t="str">
            <v>8d96</v>
          </cell>
          <cell r="C301" t="str">
            <v>其他权益工具（其他）_本期其他增减变动</v>
          </cell>
          <cell r="D301">
            <v>-1</v>
          </cell>
          <cell r="E301" t="str">
            <v>OEI</v>
          </cell>
          <cell r="F301">
            <v>0</v>
          </cell>
          <cell r="G301" t="str">
            <v>（七）其他</v>
          </cell>
          <cell r="H301">
            <v>0</v>
          </cell>
          <cell r="I301" t="str">
            <v>8d96</v>
          </cell>
          <cell r="J301" t="str">
            <v>J</v>
          </cell>
          <cell r="M301" t="str">
            <v>少数股东权益_对所有者的分配</v>
          </cell>
          <cell r="S301" t="str">
            <v>7046x</v>
          </cell>
          <cell r="T301" t="str">
            <v>收到其他与经营活动有关的现金计算表</v>
          </cell>
          <cell r="U301" t="str">
            <v>项       目</v>
          </cell>
          <cell r="V301">
            <v>1</v>
          </cell>
          <cell r="W301">
            <v>7046</v>
          </cell>
          <cell r="X301">
            <v>2</v>
          </cell>
        </row>
        <row r="302">
          <cell r="B302" t="str">
            <v>8d99</v>
          </cell>
          <cell r="C302" t="str">
            <v>其他权益工具（其他）_本期期末余额</v>
          </cell>
          <cell r="D302">
            <v>0</v>
          </cell>
          <cell r="E302" t="str">
            <v>OEI＝</v>
          </cell>
          <cell r="F302">
            <v>0</v>
          </cell>
          <cell r="G302" t="str">
            <v>四、本期期末余额</v>
          </cell>
          <cell r="H302">
            <v>0</v>
          </cell>
          <cell r="I302" t="str">
            <v>8d99</v>
          </cell>
          <cell r="J302">
            <v>0</v>
          </cell>
          <cell r="M302" t="str">
            <v>少数股东权益_其他利润分配</v>
          </cell>
          <cell r="S302" t="str">
            <v>7051x</v>
          </cell>
          <cell r="T302" t="str">
            <v>购买商品接受劳务支付的现金计算表</v>
          </cell>
          <cell r="U302" t="str">
            <v>项       目</v>
          </cell>
          <cell r="V302">
            <v>1</v>
          </cell>
          <cell r="W302">
            <v>7051</v>
          </cell>
          <cell r="X302">
            <v>2</v>
          </cell>
        </row>
        <row r="303">
          <cell r="B303" t="str">
            <v>8g00</v>
          </cell>
          <cell r="C303" t="str">
            <v>其他综合收益增减变动</v>
          </cell>
          <cell r="D303">
            <v>0</v>
          </cell>
          <cell r="E303" t="str">
            <v>：</v>
          </cell>
          <cell r="F303">
            <v>0</v>
          </cell>
          <cell r="G303" t="str">
            <v>其他综合收益增减变动</v>
          </cell>
          <cell r="H303">
            <v>0</v>
          </cell>
          <cell r="I303" t="str">
            <v>8g00</v>
          </cell>
          <cell r="J303">
            <v>0</v>
          </cell>
          <cell r="M303" t="str">
            <v>少数股东权益_资本公积转增资本影响权益</v>
          </cell>
          <cell r="S303" t="str">
            <v>7061x</v>
          </cell>
          <cell r="T303" t="str">
            <v>支付给职工以及为职工支付的现金计算表</v>
          </cell>
          <cell r="U303" t="str">
            <v>项       目</v>
          </cell>
          <cell r="V303">
            <v>1</v>
          </cell>
          <cell r="W303">
            <v>7061</v>
          </cell>
          <cell r="X303">
            <v>2</v>
          </cell>
        </row>
        <row r="304">
          <cell r="B304" t="str">
            <v>8g01</v>
          </cell>
          <cell r="C304" t="str">
            <v>其他综合收益_上年年末余额</v>
          </cell>
          <cell r="D304">
            <v>-1</v>
          </cell>
          <cell r="E304">
            <v>0</v>
          </cell>
          <cell r="F304">
            <v>0</v>
          </cell>
          <cell r="G304" t="str">
            <v>一、上年年末余额</v>
          </cell>
          <cell r="H304">
            <v>0</v>
          </cell>
          <cell r="I304" t="str">
            <v>8g01</v>
          </cell>
          <cell r="J304" t="str">
            <v>J</v>
          </cell>
          <cell r="M304" t="str">
            <v>少数股东权益_盈余公积转增资本影响权益</v>
          </cell>
          <cell r="S304" t="str">
            <v>7071x</v>
          </cell>
          <cell r="T304" t="str">
            <v>支付的各项税费计算表</v>
          </cell>
          <cell r="U304" t="str">
            <v>项       目</v>
          </cell>
          <cell r="V304">
            <v>1</v>
          </cell>
          <cell r="W304">
            <v>7071</v>
          </cell>
          <cell r="X304">
            <v>2</v>
          </cell>
        </row>
        <row r="305">
          <cell r="B305" t="str">
            <v>8g02</v>
          </cell>
          <cell r="C305" t="str">
            <v>其他综合收益_会计政策变更调整上年年末余额</v>
          </cell>
          <cell r="D305">
            <v>-1</v>
          </cell>
          <cell r="E305">
            <v>0</v>
          </cell>
          <cell r="F305">
            <v>0</v>
          </cell>
          <cell r="G305" t="str">
            <v>加：会计政策变更</v>
          </cell>
          <cell r="H305">
            <v>0</v>
          </cell>
          <cell r="I305" t="str">
            <v>8g02</v>
          </cell>
          <cell r="J305" t="str">
            <v>J</v>
          </cell>
          <cell r="M305" t="str">
            <v>少数股东权益_盈余公积弥补亏损影响权益</v>
          </cell>
          <cell r="S305" t="str">
            <v>7096x</v>
          </cell>
          <cell r="T305" t="str">
            <v>支付其他与经营活动有关的现金计算表</v>
          </cell>
          <cell r="U305" t="str">
            <v>项       目</v>
          </cell>
          <cell r="V305">
            <v>1</v>
          </cell>
          <cell r="W305">
            <v>7096</v>
          </cell>
          <cell r="X305">
            <v>2</v>
          </cell>
        </row>
        <row r="306">
          <cell r="B306" t="str">
            <v>8g03</v>
          </cell>
          <cell r="C306" t="str">
            <v>其他综合收益_前期差错更正调整上年年末余额</v>
          </cell>
          <cell r="D306">
            <v>-1</v>
          </cell>
          <cell r="E306">
            <v>0</v>
          </cell>
          <cell r="F306">
            <v>0</v>
          </cell>
          <cell r="G306" t="str">
            <v>前期差错更正</v>
          </cell>
          <cell r="H306">
            <v>0</v>
          </cell>
          <cell r="I306" t="str">
            <v>8g03</v>
          </cell>
          <cell r="J306" t="str">
            <v>J</v>
          </cell>
          <cell r="M306" t="str">
            <v>少数股东权益_结转重新计量设定受益计划净负债或净资产所产生的变动</v>
          </cell>
          <cell r="S306" t="str">
            <v>7101x</v>
          </cell>
          <cell r="T306" t="str">
            <v>收回投资收到的现金计算表</v>
          </cell>
          <cell r="U306" t="str">
            <v>项       目</v>
          </cell>
          <cell r="V306">
            <v>1</v>
          </cell>
          <cell r="W306">
            <v>7101</v>
          </cell>
          <cell r="X306">
            <v>2</v>
          </cell>
        </row>
        <row r="307">
          <cell r="B307" t="str">
            <v>8g04</v>
          </cell>
          <cell r="C307" t="str">
            <v>其他综合收益_同一控制下企业合并调整上年年末余额</v>
          </cell>
          <cell r="D307">
            <v>-1</v>
          </cell>
          <cell r="E307" t="str">
            <v>※</v>
          </cell>
          <cell r="F307">
            <v>0</v>
          </cell>
          <cell r="G307" t="str">
            <v>同一控制下企业合并</v>
          </cell>
          <cell r="H307">
            <v>0</v>
          </cell>
          <cell r="I307" t="str">
            <v>8g04</v>
          </cell>
          <cell r="J307" t="str">
            <v>J</v>
          </cell>
          <cell r="M307" t="str">
            <v>少数股东权益_所有者权益其他内部结转</v>
          </cell>
          <cell r="S307" t="str">
            <v>7111x</v>
          </cell>
          <cell r="T307" t="str">
            <v>处置固定资产无形资产长期资产收回的现金计算表</v>
          </cell>
          <cell r="U307" t="str">
            <v>项       目</v>
          </cell>
          <cell r="V307">
            <v>1</v>
          </cell>
          <cell r="W307">
            <v>7111</v>
          </cell>
          <cell r="X307">
            <v>2</v>
          </cell>
        </row>
        <row r="308">
          <cell r="B308" t="str">
            <v>8g09</v>
          </cell>
          <cell r="C308" t="str">
            <v>其他综合收益_其他原因调整上年年末余额</v>
          </cell>
          <cell r="D308">
            <v>-1</v>
          </cell>
          <cell r="E308">
            <v>0</v>
          </cell>
          <cell r="F308">
            <v>0</v>
          </cell>
          <cell r="G308" t="str">
            <v>其他</v>
          </cell>
          <cell r="H308">
            <v>0</v>
          </cell>
          <cell r="I308" t="str">
            <v>8g09</v>
          </cell>
          <cell r="J308" t="str">
            <v>J</v>
          </cell>
          <cell r="M308" t="str">
            <v>少数股东权益_专项储备本期提取</v>
          </cell>
          <cell r="S308" t="str">
            <v>7161x</v>
          </cell>
          <cell r="T308" t="str">
            <v>投资支付的现金计算表</v>
          </cell>
          <cell r="U308" t="str">
            <v>项       目</v>
          </cell>
          <cell r="V308">
            <v>1</v>
          </cell>
          <cell r="W308">
            <v>7161</v>
          </cell>
          <cell r="X308">
            <v>2</v>
          </cell>
        </row>
        <row r="309">
          <cell r="B309" t="str">
            <v>8g10</v>
          </cell>
          <cell r="C309" t="str">
            <v>其他综合收益_本年年初余额</v>
          </cell>
          <cell r="D309">
            <v>0</v>
          </cell>
          <cell r="E309" t="str">
            <v>＝</v>
          </cell>
          <cell r="F309">
            <v>0</v>
          </cell>
          <cell r="G309" t="str">
            <v>二、本年年初余额</v>
          </cell>
          <cell r="H309">
            <v>0</v>
          </cell>
          <cell r="I309" t="str">
            <v>8g10</v>
          </cell>
          <cell r="J309">
            <v>0</v>
          </cell>
          <cell r="M309" t="str">
            <v>少数股东权益_专项储备本期使用</v>
          </cell>
          <cell r="S309" t="str">
            <v>7151x</v>
          </cell>
          <cell r="T309" t="str">
            <v>购置固定资产无形资产长期资产支付的现金计算表</v>
          </cell>
          <cell r="U309" t="str">
            <v>项       目</v>
          </cell>
          <cell r="V309">
            <v>1</v>
          </cell>
          <cell r="W309">
            <v>7151</v>
          </cell>
          <cell r="X309">
            <v>2</v>
          </cell>
        </row>
        <row r="310">
          <cell r="B310" t="str">
            <v>8g90</v>
          </cell>
          <cell r="C310" t="str">
            <v>其他综合收益_本期增减变动金额</v>
          </cell>
          <cell r="D310">
            <v>0</v>
          </cell>
          <cell r="E310" t="str">
            <v>＝</v>
          </cell>
          <cell r="F310">
            <v>0</v>
          </cell>
          <cell r="G310" t="str">
            <v>三、本期增减变动金额（减少以“-”号填列）</v>
          </cell>
          <cell r="H310">
            <v>0</v>
          </cell>
          <cell r="I310" t="str">
            <v>8g90</v>
          </cell>
          <cell r="J310">
            <v>0</v>
          </cell>
          <cell r="M310" t="str">
            <v>少数股东权益_本期其他增减变动</v>
          </cell>
          <cell r="S310" t="str">
            <v>7211x</v>
          </cell>
          <cell r="T310" t="str">
            <v>取得借款收到的现金计算表</v>
          </cell>
          <cell r="U310" t="str">
            <v>项       目</v>
          </cell>
          <cell r="V310">
            <v>1</v>
          </cell>
          <cell r="W310">
            <v>7211</v>
          </cell>
          <cell r="X310">
            <v>2</v>
          </cell>
        </row>
        <row r="311">
          <cell r="B311" t="str">
            <v>8g40</v>
          </cell>
          <cell r="C311" t="str">
            <v>其他综合收益_综合收益总额增加权益</v>
          </cell>
          <cell r="D311">
            <v>-1</v>
          </cell>
          <cell r="E311">
            <v>0</v>
          </cell>
          <cell r="F311">
            <v>0</v>
          </cell>
          <cell r="G311" t="str">
            <v>（一）综合收益总额</v>
          </cell>
          <cell r="H311">
            <v>0</v>
          </cell>
          <cell r="I311" t="str">
            <v>8g40</v>
          </cell>
          <cell r="J311">
            <v>0</v>
          </cell>
          <cell r="M311" t="str">
            <v>其他权益工具（优先股）_上年年末余额</v>
          </cell>
          <cell r="S311" t="str">
            <v>7251x</v>
          </cell>
          <cell r="T311" t="str">
            <v>偿还债务支付的现金计算表</v>
          </cell>
          <cell r="U311" t="str">
            <v>项       目</v>
          </cell>
          <cell r="V311">
            <v>1</v>
          </cell>
          <cell r="W311">
            <v>7251</v>
          </cell>
          <cell r="X311">
            <v>2</v>
          </cell>
        </row>
        <row r="312">
          <cell r="B312" t="str">
            <v>8g50</v>
          </cell>
          <cell r="C312" t="str">
            <v>其他综合收益_所有者投入和减少资本影响权益</v>
          </cell>
          <cell r="D312">
            <v>0</v>
          </cell>
          <cell r="E312" t="str">
            <v>＝</v>
          </cell>
          <cell r="F312">
            <v>0</v>
          </cell>
          <cell r="G312" t="str">
            <v>（二）所有者投入和减少资本</v>
          </cell>
          <cell r="H312">
            <v>0</v>
          </cell>
          <cell r="I312" t="str">
            <v>8g50</v>
          </cell>
          <cell r="J312">
            <v>0</v>
          </cell>
          <cell r="M312" t="str">
            <v>其他权益工具（优先股）_会计政策变更调整上年年末余额</v>
          </cell>
          <cell r="S312" t="str">
            <v>7261x</v>
          </cell>
          <cell r="T312" t="str">
            <v>分配利润偿付利息支付的现金计算表</v>
          </cell>
          <cell r="U312" t="str">
            <v>项       目</v>
          </cell>
          <cell r="V312">
            <v>1</v>
          </cell>
          <cell r="W312">
            <v>7261</v>
          </cell>
          <cell r="X312">
            <v>2</v>
          </cell>
        </row>
        <row r="313">
          <cell r="B313" t="str">
            <v>8g51</v>
          </cell>
          <cell r="C313" t="str">
            <v>其他综合收益_所有者投入资本</v>
          </cell>
          <cell r="D313">
            <v>-1</v>
          </cell>
          <cell r="E313">
            <v>0</v>
          </cell>
          <cell r="F313">
            <v>0</v>
          </cell>
          <cell r="G313" t="str">
            <v>所有者投入资本</v>
          </cell>
          <cell r="H313">
            <v>0</v>
          </cell>
          <cell r="I313" t="str">
            <v>8g51</v>
          </cell>
          <cell r="J313" t="str">
            <v>J</v>
          </cell>
          <cell r="M313" t="str">
            <v>其他权益工具（优先股）_前期差错更正调整上年年末余额</v>
          </cell>
          <cell r="S313" t="str">
            <v>7105x</v>
          </cell>
          <cell r="T313" t="str">
            <v>取得投资收益收到的现金计算表</v>
          </cell>
          <cell r="U313" t="str">
            <v>项       目</v>
          </cell>
          <cell r="V313">
            <v>1</v>
          </cell>
          <cell r="W313">
            <v>7105</v>
          </cell>
          <cell r="X313">
            <v>2</v>
          </cell>
        </row>
        <row r="314">
          <cell r="B314" t="str">
            <v>8g52</v>
          </cell>
          <cell r="C314" t="str">
            <v>其他综合收益_股份支付</v>
          </cell>
          <cell r="D314">
            <v>-1</v>
          </cell>
          <cell r="E314">
            <v>0</v>
          </cell>
          <cell r="F314">
            <v>0</v>
          </cell>
          <cell r="G314" t="str">
            <v>股份支付计入所有者权益的金额</v>
          </cell>
          <cell r="H314">
            <v>0</v>
          </cell>
          <cell r="I314" t="str">
            <v>8g52</v>
          </cell>
          <cell r="J314" t="str">
            <v>J</v>
          </cell>
          <cell r="M314" t="str">
            <v>其他权益工具（优先股）_同一控制下企业合并调整上年年末余额</v>
          </cell>
          <cell r="S314" t="str">
            <v>2501e</v>
          </cell>
          <cell r="T314" t="str">
            <v>长期借款中的抵押借款明细列示</v>
          </cell>
          <cell r="U314" t="str">
            <v>项       目</v>
          </cell>
          <cell r="V314">
            <v>1</v>
          </cell>
          <cell r="W314">
            <v>2501</v>
          </cell>
          <cell r="X314">
            <v>2</v>
          </cell>
        </row>
        <row r="315">
          <cell r="B315" t="str">
            <v>8g53</v>
          </cell>
          <cell r="C315" t="str">
            <v>其他综合收益_其他权益工具持有者投入资本</v>
          </cell>
          <cell r="D315">
            <v>-1</v>
          </cell>
          <cell r="E315" t="str">
            <v>OEI</v>
          </cell>
          <cell r="F315">
            <v>0</v>
          </cell>
          <cell r="G315" t="str">
            <v>其他权益工具持有者投入资本</v>
          </cell>
          <cell r="H315">
            <v>0</v>
          </cell>
          <cell r="I315" t="str">
            <v>8g53</v>
          </cell>
          <cell r="J315" t="str">
            <v>J</v>
          </cell>
          <cell r="M315" t="str">
            <v>其他权益工具（优先股）_其他原因调整上年年末余额</v>
          </cell>
          <cell r="S315" t="str">
            <v>2221x</v>
          </cell>
          <cell r="T315" t="str">
            <v>应交税费补充资料</v>
          </cell>
          <cell r="U315" t="str">
            <v>项       目</v>
          </cell>
          <cell r="V315">
            <v>1</v>
          </cell>
          <cell r="W315">
            <v>2221</v>
          </cell>
          <cell r="X315">
            <v>2</v>
          </cell>
        </row>
        <row r="316">
          <cell r="B316" t="str">
            <v>8g56</v>
          </cell>
          <cell r="C316" t="str">
            <v>其他综合收益_所有者其他投入和减少资本</v>
          </cell>
          <cell r="D316">
            <v>-1</v>
          </cell>
          <cell r="E316">
            <v>0</v>
          </cell>
          <cell r="F316">
            <v>0</v>
          </cell>
          <cell r="G316" t="str">
            <v>其他</v>
          </cell>
          <cell r="H316">
            <v>0</v>
          </cell>
          <cell r="I316" t="str">
            <v>8g56</v>
          </cell>
          <cell r="J316" t="str">
            <v>J</v>
          </cell>
          <cell r="M316" t="str">
            <v>其他权益工具（优先股）_综合收益总额增加权益</v>
          </cell>
          <cell r="S316" t="str">
            <v>2241b</v>
          </cell>
          <cell r="T316" t="str">
            <v>单项金额较大的其他应付款</v>
          </cell>
          <cell r="U316" t="str">
            <v>项       目</v>
          </cell>
          <cell r="V316">
            <v>1</v>
          </cell>
          <cell r="W316">
            <v>2241</v>
          </cell>
          <cell r="X316">
            <v>2</v>
          </cell>
        </row>
        <row r="317">
          <cell r="B317" t="str">
            <v>8g60</v>
          </cell>
          <cell r="C317" t="str">
            <v>其他综合收益_利润分配影响权益</v>
          </cell>
          <cell r="D317">
            <v>0</v>
          </cell>
          <cell r="E317" t="str">
            <v>＝</v>
          </cell>
          <cell r="F317">
            <v>0</v>
          </cell>
          <cell r="G317" t="str">
            <v>（三）利润分配</v>
          </cell>
          <cell r="H317">
            <v>0</v>
          </cell>
          <cell r="I317" t="str">
            <v>8g60</v>
          </cell>
          <cell r="J317">
            <v>0</v>
          </cell>
          <cell r="M317" t="str">
            <v>其他权益工具（优先股）_所有者投入资本</v>
          </cell>
          <cell r="S317" t="str">
            <v>2202g</v>
          </cell>
          <cell r="T317" t="str">
            <v>单项金额较大的应付账款</v>
          </cell>
          <cell r="U317" t="str">
            <v>项       目</v>
          </cell>
          <cell r="V317">
            <v>1</v>
          </cell>
          <cell r="W317">
            <v>2202</v>
          </cell>
          <cell r="X317">
            <v>2</v>
          </cell>
        </row>
        <row r="318">
          <cell r="B318" t="str">
            <v>8g61</v>
          </cell>
          <cell r="C318" t="str">
            <v>其他综合收益_提取盈余公积</v>
          </cell>
          <cell r="D318">
            <v>-1</v>
          </cell>
          <cell r="E318">
            <v>0</v>
          </cell>
          <cell r="F318">
            <v>0</v>
          </cell>
          <cell r="G318" t="str">
            <v>提取盈余公积</v>
          </cell>
          <cell r="H318">
            <v>0</v>
          </cell>
          <cell r="I318" t="str">
            <v>8g61</v>
          </cell>
          <cell r="J318" t="str">
            <v>J</v>
          </cell>
          <cell r="M318" t="str">
            <v>其他权益工具（优先股）_股份支付</v>
          </cell>
          <cell r="S318" t="str">
            <v>2211d</v>
          </cell>
          <cell r="T318" t="str">
            <v>应付职工薪酬分类列示</v>
          </cell>
          <cell r="U318" t="str">
            <v>项       目</v>
          </cell>
          <cell r="V318">
            <v>1</v>
          </cell>
          <cell r="W318">
            <v>2211</v>
          </cell>
          <cell r="X318">
            <v>2</v>
          </cell>
        </row>
        <row r="319">
          <cell r="B319" t="str">
            <v>8g62</v>
          </cell>
          <cell r="C319" t="str">
            <v>其他综合收益_提取一般风险准备</v>
          </cell>
          <cell r="D319">
            <v>-1</v>
          </cell>
          <cell r="E319">
            <v>0</v>
          </cell>
          <cell r="F319">
            <v>0</v>
          </cell>
          <cell r="G319" t="str">
            <v>提取一般风险准备</v>
          </cell>
          <cell r="H319">
            <v>0</v>
          </cell>
          <cell r="I319" t="str">
            <v>8g62</v>
          </cell>
          <cell r="J319" t="str">
            <v>J</v>
          </cell>
          <cell r="M319" t="str">
            <v>其他权益工具（优先股）_其他权益工具持有者投入资本</v>
          </cell>
          <cell r="S319" t="str">
            <v>2211x</v>
          </cell>
          <cell r="T319" t="str">
            <v>应付职工薪酬补充资料</v>
          </cell>
          <cell r="U319" t="str">
            <v>项       目</v>
          </cell>
          <cell r="V319">
            <v>1</v>
          </cell>
          <cell r="W319">
            <v>2211</v>
          </cell>
          <cell r="X319">
            <v>2</v>
          </cell>
        </row>
        <row r="320">
          <cell r="B320" t="str">
            <v>8g63</v>
          </cell>
          <cell r="C320" t="str">
            <v>其他综合收益_对所有者的分配</v>
          </cell>
          <cell r="D320">
            <v>-1</v>
          </cell>
          <cell r="E320">
            <v>0</v>
          </cell>
          <cell r="F320">
            <v>0</v>
          </cell>
          <cell r="G320" t="str">
            <v>对所有者（或股东）的分配</v>
          </cell>
          <cell r="H320">
            <v>0</v>
          </cell>
          <cell r="I320" t="str">
            <v>8g63</v>
          </cell>
          <cell r="J320" t="str">
            <v>J</v>
          </cell>
          <cell r="M320" t="str">
            <v>其他权益工具（优先股）_所有者其他投入和减少资本</v>
          </cell>
          <cell r="S320" t="str">
            <v>1125f</v>
          </cell>
          <cell r="T320" t="str">
            <v>预付款项按项目列示</v>
          </cell>
          <cell r="U320" t="str">
            <v>项       目</v>
          </cell>
          <cell r="V320">
            <v>1</v>
          </cell>
          <cell r="W320">
            <v>1125</v>
          </cell>
          <cell r="X320">
            <v>2</v>
          </cell>
        </row>
        <row r="321">
          <cell r="B321" t="str">
            <v>8g66</v>
          </cell>
          <cell r="C321" t="str">
            <v>其他综合收益_其他利润分配</v>
          </cell>
          <cell r="D321">
            <v>-1</v>
          </cell>
          <cell r="E321">
            <v>0</v>
          </cell>
          <cell r="F321">
            <v>0</v>
          </cell>
          <cell r="G321" t="str">
            <v>其他</v>
          </cell>
          <cell r="H321">
            <v>0</v>
          </cell>
          <cell r="I321" t="str">
            <v>8g66</v>
          </cell>
          <cell r="J321" t="str">
            <v>J</v>
          </cell>
          <cell r="M321" t="str">
            <v>其他权益工具（优先股）_提取盈余公积</v>
          </cell>
          <cell r="S321" t="str">
            <v>1400x</v>
          </cell>
          <cell r="T321" t="str">
            <v>存货补充资料</v>
          </cell>
          <cell r="U321" t="str">
            <v>项       目</v>
          </cell>
          <cell r="V321">
            <v>1</v>
          </cell>
          <cell r="W321">
            <v>1400</v>
          </cell>
          <cell r="X321">
            <v>2</v>
          </cell>
        </row>
        <row r="322">
          <cell r="B322" t="str">
            <v>8g70</v>
          </cell>
          <cell r="C322" t="str">
            <v>其他综合收益_所有者权益内部结转</v>
          </cell>
          <cell r="D322">
            <v>0</v>
          </cell>
          <cell r="E322" t="str">
            <v>＝</v>
          </cell>
          <cell r="F322">
            <v>0</v>
          </cell>
          <cell r="G322" t="str">
            <v>（四）所有者权益内部结转</v>
          </cell>
          <cell r="H322">
            <v>0</v>
          </cell>
          <cell r="I322" t="str">
            <v>8g70</v>
          </cell>
          <cell r="J322">
            <v>0</v>
          </cell>
          <cell r="M322" t="str">
            <v>其他权益工具（优先股）_提取一般风险准备</v>
          </cell>
          <cell r="S322" t="str">
            <v>1601x</v>
          </cell>
          <cell r="T322" t="str">
            <v>固定资产累计折旧补充资料</v>
          </cell>
          <cell r="U322" t="str">
            <v>项       目</v>
          </cell>
          <cell r="V322">
            <v>1</v>
          </cell>
          <cell r="W322">
            <v>1601</v>
          </cell>
          <cell r="X322">
            <v>2</v>
          </cell>
        </row>
        <row r="323">
          <cell r="B323" t="str">
            <v>8g71</v>
          </cell>
          <cell r="C323" t="str">
            <v>其他综合收益_资本公积转增资本</v>
          </cell>
          <cell r="D323">
            <v>-1</v>
          </cell>
          <cell r="E323">
            <v>0</v>
          </cell>
          <cell r="F323">
            <v>0</v>
          </cell>
          <cell r="G323" t="str">
            <v>资本公积转增资本（或股本）</v>
          </cell>
          <cell r="H323">
            <v>0</v>
          </cell>
          <cell r="I323" t="str">
            <v>8g71</v>
          </cell>
          <cell r="J323" t="str">
            <v>J</v>
          </cell>
          <cell r="M323" t="str">
            <v>其他权益工具（优先股）_对所有者的分配</v>
          </cell>
          <cell r="S323" t="str">
            <v>1701x</v>
          </cell>
          <cell r="T323" t="str">
            <v>无形资产累计摊销补充资料</v>
          </cell>
          <cell r="U323" t="str">
            <v>项       目</v>
          </cell>
          <cell r="V323">
            <v>1</v>
          </cell>
          <cell r="W323">
            <v>1701</v>
          </cell>
          <cell r="X323">
            <v>2</v>
          </cell>
        </row>
        <row r="324">
          <cell r="B324" t="str">
            <v>8g72</v>
          </cell>
          <cell r="C324" t="str">
            <v>其他综合收益_盈余公积转增资本</v>
          </cell>
          <cell r="D324">
            <v>-1</v>
          </cell>
          <cell r="E324">
            <v>0</v>
          </cell>
          <cell r="F324">
            <v>0</v>
          </cell>
          <cell r="G324" t="str">
            <v>盈余公积转增资本（或股本）</v>
          </cell>
          <cell r="H324">
            <v>0</v>
          </cell>
          <cell r="I324" t="str">
            <v>8g72</v>
          </cell>
          <cell r="J324" t="str">
            <v>J</v>
          </cell>
          <cell r="M324" t="str">
            <v>其他权益工具（优先股）_其他利润分配</v>
          </cell>
          <cell r="S324" t="str">
            <v>1801x</v>
          </cell>
          <cell r="T324" t="str">
            <v>长期待摊费用补充资料</v>
          </cell>
          <cell r="U324" t="str">
            <v>项       目</v>
          </cell>
          <cell r="V324">
            <v>1</v>
          </cell>
          <cell r="W324">
            <v>1801</v>
          </cell>
          <cell r="X324">
            <v>2</v>
          </cell>
        </row>
        <row r="325">
          <cell r="B325" t="str">
            <v>8g73</v>
          </cell>
          <cell r="C325" t="str">
            <v>其他综合收益_盈余公积弥补亏损</v>
          </cell>
          <cell r="D325">
            <v>-1</v>
          </cell>
          <cell r="E325">
            <v>0</v>
          </cell>
          <cell r="F325">
            <v>0</v>
          </cell>
          <cell r="G325" t="str">
            <v>盈余公积弥补亏损</v>
          </cell>
          <cell r="H325">
            <v>0</v>
          </cell>
          <cell r="I325" t="str">
            <v>8g73</v>
          </cell>
          <cell r="J325" t="str">
            <v>J</v>
          </cell>
          <cell r="M325" t="str">
            <v>其他权益工具（优先股）_资本公积转增资本</v>
          </cell>
          <cell r="S325" t="str">
            <v>6001x</v>
          </cell>
          <cell r="T325" t="str">
            <v>营业收入补充资料</v>
          </cell>
          <cell r="U325" t="str">
            <v>项       目</v>
          </cell>
          <cell r="V325">
            <v>-1</v>
          </cell>
          <cell r="W325">
            <v>6001</v>
          </cell>
          <cell r="X325">
            <v>2</v>
          </cell>
        </row>
        <row r="326">
          <cell r="B326" t="str">
            <v>8g75</v>
          </cell>
          <cell r="C326" t="str">
            <v>其他综合收益_结转重新计量设定受益计划净负债或净资产所产生的变动</v>
          </cell>
          <cell r="D326">
            <v>-1</v>
          </cell>
          <cell r="E326" t="str">
            <v>OEI</v>
          </cell>
          <cell r="F326">
            <v>0</v>
          </cell>
          <cell r="G326" t="str">
            <v>结转重新计量设定受益计划净负债或净资产所产生的变动</v>
          </cell>
          <cell r="H326">
            <v>0</v>
          </cell>
          <cell r="I326" t="str">
            <v>8g75</v>
          </cell>
          <cell r="J326" t="str">
            <v>J</v>
          </cell>
          <cell r="M326" t="str">
            <v>其他权益工具（优先股）_盈余公积转增资本</v>
          </cell>
          <cell r="S326" t="str">
            <v>6401x</v>
          </cell>
          <cell r="T326" t="str">
            <v>营业成本补充资料</v>
          </cell>
          <cell r="U326" t="str">
            <v>项       目</v>
          </cell>
          <cell r="V326">
            <v>-1</v>
          </cell>
          <cell r="W326">
            <v>6401</v>
          </cell>
          <cell r="X326">
            <v>2</v>
          </cell>
        </row>
        <row r="327">
          <cell r="B327" t="str">
            <v>8g76</v>
          </cell>
          <cell r="C327" t="str">
            <v>其他综合收益_所有者权益其他内部结转</v>
          </cell>
          <cell r="D327">
            <v>-1</v>
          </cell>
          <cell r="E327">
            <v>0</v>
          </cell>
          <cell r="F327">
            <v>0</v>
          </cell>
          <cell r="G327" t="str">
            <v>其他</v>
          </cell>
          <cell r="H327">
            <v>0</v>
          </cell>
          <cell r="I327" t="str">
            <v>8g76</v>
          </cell>
          <cell r="J327" t="str">
            <v>J</v>
          </cell>
          <cell r="M327" t="str">
            <v>其他权益工具（优先股）_盈余公积弥补亏损</v>
          </cell>
          <cell r="S327" t="str">
            <v>6600x</v>
          </cell>
          <cell r="T327" t="str">
            <v>营业税金及附加补充资料</v>
          </cell>
          <cell r="U327" t="str">
            <v>项       目</v>
          </cell>
          <cell r="V327">
            <v>1</v>
          </cell>
          <cell r="W327">
            <v>6600</v>
          </cell>
          <cell r="X327">
            <v>2</v>
          </cell>
        </row>
        <row r="328">
          <cell r="B328" t="str">
            <v>8g80</v>
          </cell>
          <cell r="C328" t="str">
            <v>其他综合收益_专项储备影响权益</v>
          </cell>
          <cell r="D328">
            <v>0</v>
          </cell>
          <cell r="E328" t="str">
            <v>＝</v>
          </cell>
          <cell r="F328">
            <v>0</v>
          </cell>
          <cell r="G328" t="str">
            <v>（五）专项储备</v>
          </cell>
          <cell r="H328">
            <v>0</v>
          </cell>
          <cell r="I328" t="str">
            <v>8g80</v>
          </cell>
          <cell r="J328">
            <v>0</v>
          </cell>
          <cell r="M328" t="str">
            <v>其他权益工具（优先股）_结转重新计量设定受益计划净负债或净资产所产生的变动</v>
          </cell>
          <cell r="S328" t="str">
            <v>6601x</v>
          </cell>
          <cell r="T328" t="str">
            <v>销售费用补充资料</v>
          </cell>
          <cell r="U328" t="str">
            <v>项       目</v>
          </cell>
          <cell r="V328">
            <v>1</v>
          </cell>
          <cell r="W328">
            <v>6601</v>
          </cell>
          <cell r="X328">
            <v>2</v>
          </cell>
        </row>
        <row r="329">
          <cell r="B329" t="str">
            <v>8g81</v>
          </cell>
          <cell r="C329" t="str">
            <v>其他综合收益_专项储备本期提取</v>
          </cell>
          <cell r="D329">
            <v>-1</v>
          </cell>
          <cell r="E329">
            <v>0</v>
          </cell>
          <cell r="F329">
            <v>0</v>
          </cell>
          <cell r="G329" t="str">
            <v>本期提取</v>
          </cell>
          <cell r="H329">
            <v>0</v>
          </cell>
          <cell r="I329" t="str">
            <v>8g81</v>
          </cell>
          <cell r="J329" t="str">
            <v>J</v>
          </cell>
          <cell r="M329" t="str">
            <v>其他权益工具（优先股）_所有者权益其他内部结转</v>
          </cell>
          <cell r="S329" t="str">
            <v>6602x</v>
          </cell>
          <cell r="T329" t="str">
            <v>管理费用补充资料</v>
          </cell>
          <cell r="U329" t="str">
            <v>项       目</v>
          </cell>
          <cell r="V329">
            <v>1</v>
          </cell>
          <cell r="W329">
            <v>6602</v>
          </cell>
          <cell r="X329">
            <v>2</v>
          </cell>
        </row>
        <row r="330">
          <cell r="B330" t="str">
            <v>8g82</v>
          </cell>
          <cell r="C330" t="str">
            <v>其他综合收益_专项储备本期使用</v>
          </cell>
          <cell r="D330">
            <v>-1</v>
          </cell>
          <cell r="E330">
            <v>0</v>
          </cell>
          <cell r="F330">
            <v>0</v>
          </cell>
          <cell r="G330" t="str">
            <v>本期使用</v>
          </cell>
          <cell r="H330">
            <v>0</v>
          </cell>
          <cell r="I330" t="str">
            <v>8g82</v>
          </cell>
          <cell r="J330" t="str">
            <v>J</v>
          </cell>
          <cell r="M330" t="str">
            <v>其他权益工具（优先股）_专项储备本期提取</v>
          </cell>
          <cell r="S330" t="str">
            <v>6603x</v>
          </cell>
          <cell r="T330" t="str">
            <v>财务费用补充资料</v>
          </cell>
          <cell r="U330" t="str">
            <v>项       目</v>
          </cell>
          <cell r="V330">
            <v>1</v>
          </cell>
          <cell r="W330">
            <v>6603</v>
          </cell>
          <cell r="X330">
            <v>2</v>
          </cell>
        </row>
        <row r="331">
          <cell r="B331" t="str">
            <v>8g96</v>
          </cell>
          <cell r="C331" t="str">
            <v>其他综合收益_本期其他增减变动</v>
          </cell>
          <cell r="D331">
            <v>-1</v>
          </cell>
          <cell r="E331">
            <v>0</v>
          </cell>
          <cell r="F331">
            <v>0</v>
          </cell>
          <cell r="G331" t="str">
            <v>（七）其他</v>
          </cell>
          <cell r="H331">
            <v>0</v>
          </cell>
          <cell r="I331" t="str">
            <v>8g96</v>
          </cell>
          <cell r="J331" t="str">
            <v>J</v>
          </cell>
          <cell r="M331" t="str">
            <v>其他权益工具（优先股）_专项储备本期使用</v>
          </cell>
          <cell r="S331" t="str">
            <v>9690a</v>
          </cell>
          <cell r="T331" t="str">
            <v>费用按性质分类的补充资料</v>
          </cell>
          <cell r="U331" t="str">
            <v>项       目</v>
          </cell>
          <cell r="V331">
            <v>-2</v>
          </cell>
          <cell r="W331">
            <v>0</v>
          </cell>
          <cell r="X331">
            <v>2</v>
          </cell>
        </row>
        <row r="332">
          <cell r="B332" t="str">
            <v>8g99</v>
          </cell>
          <cell r="C332" t="str">
            <v>其他综合收益_本期期末余额</v>
          </cell>
          <cell r="D332">
            <v>0</v>
          </cell>
          <cell r="E332" t="str">
            <v>＝</v>
          </cell>
          <cell r="F332">
            <v>0</v>
          </cell>
          <cell r="G332" t="str">
            <v>四、本期期末余额</v>
          </cell>
          <cell r="H332">
            <v>0</v>
          </cell>
          <cell r="I332" t="str">
            <v>8g99</v>
          </cell>
          <cell r="J332">
            <v>0</v>
          </cell>
          <cell r="M332" t="str">
            <v>其他权益工具（优先股）_本期其他增减变动</v>
          </cell>
          <cell r="S332" t="str">
            <v>9690b</v>
          </cell>
          <cell r="T332" t="str">
            <v>补充资料（一）</v>
          </cell>
          <cell r="U332" t="str">
            <v>项       目</v>
          </cell>
          <cell r="V332">
            <v>-2</v>
          </cell>
          <cell r="W332">
            <v>0</v>
          </cell>
          <cell r="X332">
            <v>2</v>
          </cell>
        </row>
        <row r="333">
          <cell r="B333">
            <v>8200</v>
          </cell>
          <cell r="C333" t="str">
            <v>资本公积增减变动</v>
          </cell>
          <cell r="D333">
            <v>0</v>
          </cell>
          <cell r="E333" t="str">
            <v>：</v>
          </cell>
          <cell r="F333">
            <v>0</v>
          </cell>
          <cell r="G333" t="str">
            <v>资本公积增减变动</v>
          </cell>
          <cell r="H333">
            <v>0</v>
          </cell>
          <cell r="I333">
            <v>8200</v>
          </cell>
          <cell r="J333">
            <v>0</v>
          </cell>
          <cell r="M333" t="str">
            <v>其他权益工具（永续债）_上年年末余额</v>
          </cell>
          <cell r="S333" t="str">
            <v>9690c</v>
          </cell>
          <cell r="T333" t="str">
            <v>补充资料（二）</v>
          </cell>
          <cell r="U333" t="str">
            <v>项       目</v>
          </cell>
          <cell r="V333">
            <v>-2</v>
          </cell>
          <cell r="W333">
            <v>0</v>
          </cell>
          <cell r="X333">
            <v>2</v>
          </cell>
        </row>
        <row r="334">
          <cell r="B334">
            <v>8201</v>
          </cell>
          <cell r="C334" t="str">
            <v>资本公积_上年年末余额</v>
          </cell>
          <cell r="D334">
            <v>-1</v>
          </cell>
          <cell r="E334">
            <v>0</v>
          </cell>
          <cell r="F334">
            <v>5210</v>
          </cell>
          <cell r="G334" t="str">
            <v>一、上年年末余额</v>
          </cell>
          <cell r="H334">
            <v>0</v>
          </cell>
          <cell r="I334">
            <v>8201</v>
          </cell>
          <cell r="J334" t="str">
            <v>J</v>
          </cell>
          <cell r="M334" t="str">
            <v>其他权益工具（永续债）_会计政策变更调整上年年末余额</v>
          </cell>
        </row>
        <row r="335">
          <cell r="B335">
            <v>8202</v>
          </cell>
          <cell r="C335" t="str">
            <v>资本公积_会计政策变更调整上年年末余额</v>
          </cell>
          <cell r="D335">
            <v>-1</v>
          </cell>
          <cell r="E335">
            <v>0</v>
          </cell>
          <cell r="F335">
            <v>5210</v>
          </cell>
          <cell r="G335" t="str">
            <v>加：会计政策变更</v>
          </cell>
          <cell r="H335">
            <v>0</v>
          </cell>
          <cell r="I335">
            <v>8202</v>
          </cell>
          <cell r="J335" t="str">
            <v>J</v>
          </cell>
          <cell r="M335" t="str">
            <v>其他权益工具（永续债）_前期差错更正调整上年年末余额</v>
          </cell>
        </row>
        <row r="336">
          <cell r="B336">
            <v>8203</v>
          </cell>
          <cell r="C336" t="str">
            <v>资本公积_前期差错更正调整上年年末余额</v>
          </cell>
          <cell r="D336">
            <v>-1</v>
          </cell>
          <cell r="E336">
            <v>0</v>
          </cell>
          <cell r="F336">
            <v>5210</v>
          </cell>
          <cell r="G336" t="str">
            <v>前期差错更正</v>
          </cell>
          <cell r="H336">
            <v>0</v>
          </cell>
          <cell r="I336">
            <v>8203</v>
          </cell>
          <cell r="J336" t="str">
            <v>J</v>
          </cell>
          <cell r="M336" t="str">
            <v>其他权益工具（永续债）_同一控制下企业合并调整上年年末余额</v>
          </cell>
        </row>
        <row r="337">
          <cell r="B337">
            <v>8204</v>
          </cell>
          <cell r="C337" t="str">
            <v>资本公积_同一控制下企业合并调整上年年末余额</v>
          </cell>
          <cell r="D337">
            <v>-1</v>
          </cell>
          <cell r="E337" t="str">
            <v>※</v>
          </cell>
          <cell r="F337">
            <v>5210</v>
          </cell>
          <cell r="G337" t="str">
            <v>同一控制下企业合并</v>
          </cell>
          <cell r="H337">
            <v>0</v>
          </cell>
          <cell r="I337">
            <v>8204</v>
          </cell>
          <cell r="J337" t="str">
            <v>J</v>
          </cell>
          <cell r="M337" t="str">
            <v>其他权益工具（永续债）_其他原因调整上年年末余额</v>
          </cell>
        </row>
        <row r="338">
          <cell r="B338">
            <v>8209</v>
          </cell>
          <cell r="C338" t="str">
            <v>资本公积_其他原因调整上年年末余额</v>
          </cell>
          <cell r="D338">
            <v>-1</v>
          </cell>
          <cell r="E338">
            <v>0</v>
          </cell>
          <cell r="F338">
            <v>5210</v>
          </cell>
          <cell r="G338" t="str">
            <v>其他</v>
          </cell>
          <cell r="H338">
            <v>0</v>
          </cell>
          <cell r="I338">
            <v>8209</v>
          </cell>
          <cell r="J338" t="str">
            <v>J</v>
          </cell>
          <cell r="M338" t="str">
            <v>其他权益工具（永续债）_综合收益总额增加权益</v>
          </cell>
        </row>
        <row r="339">
          <cell r="B339">
            <v>8210</v>
          </cell>
          <cell r="C339" t="str">
            <v>资本公积_本年年初余额</v>
          </cell>
          <cell r="D339">
            <v>0</v>
          </cell>
          <cell r="E339" t="str">
            <v>＝</v>
          </cell>
          <cell r="F339">
            <v>0</v>
          </cell>
          <cell r="G339" t="str">
            <v>二、本年年初余额</v>
          </cell>
          <cell r="H339">
            <v>0</v>
          </cell>
          <cell r="I339">
            <v>8210</v>
          </cell>
          <cell r="J339">
            <v>0</v>
          </cell>
          <cell r="M339" t="str">
            <v>其他权益工具（永续债）_所有者投入资本</v>
          </cell>
        </row>
        <row r="340">
          <cell r="B340">
            <v>8290</v>
          </cell>
          <cell r="C340" t="str">
            <v>资本公积_本期增减变动金额</v>
          </cell>
          <cell r="D340">
            <v>0</v>
          </cell>
          <cell r="E340" t="str">
            <v>＝</v>
          </cell>
          <cell r="F340">
            <v>0</v>
          </cell>
          <cell r="G340" t="str">
            <v>三、本期增减变动金额（减少以“-”号填列）</v>
          </cell>
          <cell r="H340">
            <v>0</v>
          </cell>
          <cell r="I340">
            <v>8290</v>
          </cell>
          <cell r="J340">
            <v>0</v>
          </cell>
          <cell r="M340" t="str">
            <v>其他权益工具（永续债）_股份支付</v>
          </cell>
        </row>
        <row r="341">
          <cell r="B341">
            <v>8230</v>
          </cell>
          <cell r="C341" t="str">
            <v>资本公积_其他综合收益</v>
          </cell>
          <cell r="D341">
            <v>-1</v>
          </cell>
          <cell r="E341">
            <v>0</v>
          </cell>
          <cell r="F341">
            <v>5210</v>
          </cell>
          <cell r="G341" t="str">
            <v>（二）其他综合收益</v>
          </cell>
          <cell r="H341">
            <v>0</v>
          </cell>
          <cell r="I341">
            <v>8230</v>
          </cell>
          <cell r="J341" t="str">
            <v>J</v>
          </cell>
          <cell r="M341" t="str">
            <v>其他权益工具（永续债）_其他权益工具持有者投入资本</v>
          </cell>
        </row>
        <row r="342">
          <cell r="B342">
            <v>8240</v>
          </cell>
          <cell r="C342" t="str">
            <v>资本公积_综合收益总额增加权益</v>
          </cell>
          <cell r="D342">
            <v>-1</v>
          </cell>
          <cell r="E342">
            <v>0</v>
          </cell>
          <cell r="F342">
            <v>0</v>
          </cell>
          <cell r="G342" t="str">
            <v>（一）综合收益总额</v>
          </cell>
          <cell r="H342">
            <v>0</v>
          </cell>
          <cell r="I342">
            <v>8240</v>
          </cell>
          <cell r="J342" t="str">
            <v>J</v>
          </cell>
          <cell r="M342" t="str">
            <v>其他权益工具（永续债）_所有者其他投入和减少资本</v>
          </cell>
        </row>
        <row r="343">
          <cell r="B343">
            <v>8250</v>
          </cell>
          <cell r="C343" t="str">
            <v>资本公积_所有者投入和减少资本影响权益</v>
          </cell>
          <cell r="D343">
            <v>0</v>
          </cell>
          <cell r="E343" t="str">
            <v>＝</v>
          </cell>
          <cell r="F343">
            <v>0</v>
          </cell>
          <cell r="G343" t="str">
            <v>（二）所有者投入和减少资本</v>
          </cell>
          <cell r="H343">
            <v>0</v>
          </cell>
          <cell r="I343">
            <v>8250</v>
          </cell>
          <cell r="J343">
            <v>0</v>
          </cell>
          <cell r="M343" t="str">
            <v>其他权益工具（永续债）_提取盈余公积</v>
          </cell>
        </row>
        <row r="344">
          <cell r="B344">
            <v>8251</v>
          </cell>
          <cell r="C344" t="str">
            <v>资本公积_所有者投入资本</v>
          </cell>
          <cell r="D344">
            <v>-1</v>
          </cell>
          <cell r="E344">
            <v>0</v>
          </cell>
          <cell r="F344">
            <v>5210</v>
          </cell>
          <cell r="G344" t="str">
            <v>所有者投入资本</v>
          </cell>
          <cell r="H344">
            <v>0</v>
          </cell>
          <cell r="I344">
            <v>8251</v>
          </cell>
          <cell r="J344" t="str">
            <v>J</v>
          </cell>
          <cell r="M344" t="str">
            <v>其他权益工具（永续债）_提取一般风险准备</v>
          </cell>
        </row>
        <row r="345">
          <cell r="B345">
            <v>8252</v>
          </cell>
          <cell r="C345" t="str">
            <v>资本公积_股份支付</v>
          </cell>
          <cell r="D345">
            <v>-1</v>
          </cell>
          <cell r="E345">
            <v>0</v>
          </cell>
          <cell r="F345">
            <v>5210</v>
          </cell>
          <cell r="G345" t="str">
            <v>股份支付计入所有者权益的金额</v>
          </cell>
          <cell r="H345">
            <v>0</v>
          </cell>
          <cell r="I345">
            <v>8252</v>
          </cell>
          <cell r="J345" t="str">
            <v>J</v>
          </cell>
          <cell r="M345" t="str">
            <v>其他权益工具（永续债）_对所有者的分配</v>
          </cell>
        </row>
        <row r="346">
          <cell r="B346">
            <v>8253</v>
          </cell>
          <cell r="C346" t="str">
            <v>资本公积_其他权益工具持有者投入资本</v>
          </cell>
          <cell r="D346">
            <v>-1</v>
          </cell>
          <cell r="E346" t="str">
            <v>OEI</v>
          </cell>
          <cell r="F346">
            <v>5210</v>
          </cell>
          <cell r="G346" t="str">
            <v>其他权益工具持有者投入资本</v>
          </cell>
          <cell r="H346">
            <v>0</v>
          </cell>
          <cell r="I346">
            <v>8253</v>
          </cell>
          <cell r="J346" t="str">
            <v>J</v>
          </cell>
          <cell r="M346" t="str">
            <v>其他权益工具（永续债）_其他利润分配</v>
          </cell>
        </row>
        <row r="347">
          <cell r="B347">
            <v>8256</v>
          </cell>
          <cell r="C347" t="str">
            <v>资本公积_所有者其他投入和减少资本</v>
          </cell>
          <cell r="D347">
            <v>-1</v>
          </cell>
          <cell r="E347">
            <v>0</v>
          </cell>
          <cell r="F347">
            <v>5210</v>
          </cell>
          <cell r="G347" t="str">
            <v>其他</v>
          </cell>
          <cell r="H347">
            <v>0</v>
          </cell>
          <cell r="I347">
            <v>8256</v>
          </cell>
          <cell r="J347" t="str">
            <v>J</v>
          </cell>
          <cell r="M347" t="str">
            <v>其他权益工具（永续债）_资本公积转增资本</v>
          </cell>
        </row>
        <row r="348">
          <cell r="B348">
            <v>8260</v>
          </cell>
          <cell r="C348" t="str">
            <v>资本公积_利润分配影响权益</v>
          </cell>
          <cell r="D348">
            <v>0</v>
          </cell>
          <cell r="E348" t="str">
            <v>＝</v>
          </cell>
          <cell r="F348">
            <v>0</v>
          </cell>
          <cell r="G348" t="str">
            <v>（三）利润分配</v>
          </cell>
          <cell r="H348">
            <v>0</v>
          </cell>
          <cell r="I348">
            <v>8260</v>
          </cell>
          <cell r="J348">
            <v>0</v>
          </cell>
          <cell r="M348" t="str">
            <v>其他权益工具（永续债）_盈余公积转增资本</v>
          </cell>
        </row>
        <row r="349">
          <cell r="B349">
            <v>8266</v>
          </cell>
          <cell r="C349" t="str">
            <v>资本公积_其他利润分配</v>
          </cell>
          <cell r="D349">
            <v>-1</v>
          </cell>
          <cell r="E349">
            <v>0</v>
          </cell>
          <cell r="F349">
            <v>5210</v>
          </cell>
          <cell r="G349" t="str">
            <v>其他</v>
          </cell>
          <cell r="H349">
            <v>0</v>
          </cell>
          <cell r="I349">
            <v>8266</v>
          </cell>
          <cell r="J349" t="str">
            <v>J</v>
          </cell>
          <cell r="M349" t="str">
            <v>其他权益工具（永续债）_盈余公积弥补亏损</v>
          </cell>
        </row>
        <row r="350">
          <cell r="B350">
            <v>8270</v>
          </cell>
          <cell r="C350" t="str">
            <v>资本公积_所有者权益内部结转</v>
          </cell>
          <cell r="D350">
            <v>0</v>
          </cell>
          <cell r="E350" t="str">
            <v>＝</v>
          </cell>
          <cell r="F350">
            <v>0</v>
          </cell>
          <cell r="G350" t="str">
            <v>（四）所有者权益内部结转</v>
          </cell>
          <cell r="H350">
            <v>0</v>
          </cell>
          <cell r="I350">
            <v>8270</v>
          </cell>
          <cell r="J350">
            <v>0</v>
          </cell>
          <cell r="M350" t="str">
            <v>其他权益工具（永续债）_结转重新计量设定受益计划净负债或净资产所产生的变动</v>
          </cell>
        </row>
        <row r="351">
          <cell r="B351">
            <v>8271</v>
          </cell>
          <cell r="C351" t="str">
            <v>资本公积_转增资本</v>
          </cell>
          <cell r="D351">
            <v>-1</v>
          </cell>
          <cell r="E351">
            <v>0</v>
          </cell>
          <cell r="F351">
            <v>5210</v>
          </cell>
          <cell r="G351" t="str">
            <v>资本公积转增资本（或股本）</v>
          </cell>
          <cell r="H351">
            <v>0</v>
          </cell>
          <cell r="I351">
            <v>8271</v>
          </cell>
          <cell r="J351" t="str">
            <v>J</v>
          </cell>
          <cell r="M351" t="str">
            <v>其他权益工具（永续债）_所有者权益其他内部结转</v>
          </cell>
        </row>
        <row r="352">
          <cell r="B352">
            <v>8275</v>
          </cell>
          <cell r="C352" t="str">
            <v>资本公积_结转重新计量设定受益计划净负债或净资产所产生的变动</v>
          </cell>
          <cell r="D352">
            <v>-1</v>
          </cell>
          <cell r="E352" t="str">
            <v>OEI</v>
          </cell>
          <cell r="F352">
            <v>5210</v>
          </cell>
          <cell r="G352" t="str">
            <v>结转重新计量设定受益计划净负债或净资产所产生的变动</v>
          </cell>
          <cell r="H352">
            <v>0</v>
          </cell>
          <cell r="I352">
            <v>8275</v>
          </cell>
          <cell r="J352" t="str">
            <v>J</v>
          </cell>
          <cell r="M352" t="str">
            <v>其他权益工具（永续债）_专项储备本期提取</v>
          </cell>
        </row>
        <row r="353">
          <cell r="B353">
            <v>8276</v>
          </cell>
          <cell r="C353" t="str">
            <v>资本公积_所有者权益其他内部结转</v>
          </cell>
          <cell r="D353">
            <v>-1</v>
          </cell>
          <cell r="E353" t="str">
            <v>LOW</v>
          </cell>
          <cell r="F353">
            <v>5210</v>
          </cell>
          <cell r="G353" t="str">
            <v>其他</v>
          </cell>
          <cell r="H353">
            <v>0</v>
          </cell>
          <cell r="I353">
            <v>8276</v>
          </cell>
          <cell r="J353" t="str">
            <v>J</v>
          </cell>
          <cell r="M353" t="str">
            <v>其他权益工具（永续债）_专项储备本期使用</v>
          </cell>
        </row>
        <row r="354">
          <cell r="B354">
            <v>8296</v>
          </cell>
          <cell r="C354" t="str">
            <v>资本公积_本期其他增减变动</v>
          </cell>
          <cell r="D354">
            <v>-1</v>
          </cell>
          <cell r="E354">
            <v>0</v>
          </cell>
          <cell r="F354">
            <v>5210</v>
          </cell>
          <cell r="G354" t="str">
            <v>（七）其他</v>
          </cell>
          <cell r="H354">
            <v>0</v>
          </cell>
          <cell r="I354">
            <v>8296</v>
          </cell>
          <cell r="J354" t="str">
            <v>J</v>
          </cell>
          <cell r="M354" t="str">
            <v>其他权益工具（永续债）_本期其他增减变动</v>
          </cell>
        </row>
        <row r="355">
          <cell r="B355">
            <v>8299</v>
          </cell>
          <cell r="C355" t="str">
            <v>资本公积_本期期末余额</v>
          </cell>
          <cell r="D355">
            <v>0</v>
          </cell>
          <cell r="E355" t="str">
            <v>＝</v>
          </cell>
          <cell r="F355">
            <v>0</v>
          </cell>
          <cell r="G355" t="str">
            <v>四、本期期末余额</v>
          </cell>
          <cell r="H355">
            <v>0</v>
          </cell>
          <cell r="I355">
            <v>8299</v>
          </cell>
          <cell r="J355">
            <v>0</v>
          </cell>
          <cell r="M355" t="str">
            <v>其他权益工具（其他）_上年年末余额</v>
          </cell>
        </row>
        <row r="356">
          <cell r="B356">
            <v>8300</v>
          </cell>
          <cell r="C356" t="str">
            <v>库存股增减变动</v>
          </cell>
          <cell r="D356">
            <v>0</v>
          </cell>
          <cell r="E356" t="str">
            <v>：</v>
          </cell>
          <cell r="F356">
            <v>0</v>
          </cell>
          <cell r="G356" t="str">
            <v>减：库存股增减变动</v>
          </cell>
          <cell r="H356">
            <v>0</v>
          </cell>
          <cell r="I356">
            <v>8300</v>
          </cell>
          <cell r="J356">
            <v>0</v>
          </cell>
          <cell r="M356" t="str">
            <v>其他权益工具（其他）_会计政策变更调整上年年末余额</v>
          </cell>
        </row>
        <row r="357">
          <cell r="B357">
            <v>8301</v>
          </cell>
          <cell r="C357" t="str">
            <v>库存股_上年年末余额</v>
          </cell>
          <cell r="D357">
            <v>1</v>
          </cell>
          <cell r="E357">
            <v>0</v>
          </cell>
          <cell r="F357">
            <v>5310</v>
          </cell>
          <cell r="G357" t="str">
            <v>一、上年年末余额</v>
          </cell>
          <cell r="H357">
            <v>0</v>
          </cell>
          <cell r="I357">
            <v>8301</v>
          </cell>
          <cell r="J357" t="str">
            <v>J</v>
          </cell>
          <cell r="M357" t="str">
            <v>其他权益工具（其他）_前期差错更正调整上年年末余额</v>
          </cell>
        </row>
        <row r="358">
          <cell r="B358">
            <v>8302</v>
          </cell>
          <cell r="C358" t="str">
            <v>库存股_会计政策变更调整上年年末余额</v>
          </cell>
          <cell r="D358">
            <v>1</v>
          </cell>
          <cell r="E358">
            <v>0</v>
          </cell>
          <cell r="F358">
            <v>5310</v>
          </cell>
          <cell r="G358" t="str">
            <v>加：会计政策变更</v>
          </cell>
          <cell r="H358">
            <v>0</v>
          </cell>
          <cell r="I358">
            <v>8302</v>
          </cell>
          <cell r="J358" t="str">
            <v>J</v>
          </cell>
          <cell r="M358" t="str">
            <v>其他权益工具（其他）_同一控制下企业合并调整上年年末余额</v>
          </cell>
        </row>
        <row r="359">
          <cell r="B359">
            <v>8303</v>
          </cell>
          <cell r="C359" t="str">
            <v>库存股_前期差错更正调整上年年末余额</v>
          </cell>
          <cell r="D359">
            <v>1</v>
          </cell>
          <cell r="E359">
            <v>0</v>
          </cell>
          <cell r="F359">
            <v>5310</v>
          </cell>
          <cell r="G359" t="str">
            <v>前期差错更正</v>
          </cell>
          <cell r="H359">
            <v>0</v>
          </cell>
          <cell r="I359">
            <v>8303</v>
          </cell>
          <cell r="J359" t="str">
            <v>J</v>
          </cell>
          <cell r="M359" t="str">
            <v>其他权益工具（其他）_其他原因调整上年年末余额</v>
          </cell>
        </row>
        <row r="360">
          <cell r="B360">
            <v>8304</v>
          </cell>
          <cell r="C360" t="str">
            <v>库存股_同一控制下企业合并调整上年年末余额</v>
          </cell>
          <cell r="D360">
            <v>1</v>
          </cell>
          <cell r="E360" t="str">
            <v>※</v>
          </cell>
          <cell r="F360">
            <v>5310</v>
          </cell>
          <cell r="G360" t="str">
            <v>同一控制下企业合并</v>
          </cell>
          <cell r="H360">
            <v>0</v>
          </cell>
          <cell r="I360">
            <v>8304</v>
          </cell>
          <cell r="J360" t="str">
            <v>J</v>
          </cell>
          <cell r="M360" t="str">
            <v>其他权益工具（其他）_综合收益总额增加权益</v>
          </cell>
        </row>
        <row r="361">
          <cell r="B361">
            <v>8309</v>
          </cell>
          <cell r="C361" t="str">
            <v>库存股_其他原因调整上年年末余额</v>
          </cell>
          <cell r="D361">
            <v>1</v>
          </cell>
          <cell r="E361" t="str">
            <v>LOW</v>
          </cell>
          <cell r="F361">
            <v>5310</v>
          </cell>
          <cell r="G361" t="str">
            <v>其他</v>
          </cell>
          <cell r="H361">
            <v>0</v>
          </cell>
          <cell r="I361">
            <v>8309</v>
          </cell>
          <cell r="J361" t="str">
            <v>J</v>
          </cell>
          <cell r="M361" t="str">
            <v>其他权益工具（其他）_所有者投入资本</v>
          </cell>
        </row>
        <row r="362">
          <cell r="B362">
            <v>8310</v>
          </cell>
          <cell r="C362" t="str">
            <v>库存股_本年年初余额</v>
          </cell>
          <cell r="D362">
            <v>0</v>
          </cell>
          <cell r="E362" t="str">
            <v>＝</v>
          </cell>
          <cell r="F362">
            <v>0</v>
          </cell>
          <cell r="G362" t="str">
            <v>二、本年年初余额</v>
          </cell>
          <cell r="H362">
            <v>0</v>
          </cell>
          <cell r="I362">
            <v>8310</v>
          </cell>
          <cell r="J362">
            <v>0</v>
          </cell>
          <cell r="M362" t="str">
            <v>其他权益工具（其他）_股份支付</v>
          </cell>
        </row>
        <row r="363">
          <cell r="B363">
            <v>8390</v>
          </cell>
          <cell r="C363" t="str">
            <v>库存股_本期增减变动金额</v>
          </cell>
          <cell r="D363">
            <v>0</v>
          </cell>
          <cell r="E363" t="str">
            <v>＝</v>
          </cell>
          <cell r="F363">
            <v>0</v>
          </cell>
          <cell r="G363" t="str">
            <v>三、本期增减变动金额（减少以“-”号填列）</v>
          </cell>
          <cell r="H363">
            <v>0</v>
          </cell>
          <cell r="I363">
            <v>8390</v>
          </cell>
          <cell r="J363">
            <v>0</v>
          </cell>
          <cell r="M363" t="str">
            <v>其他权益工具（其他）_其他权益工具持有者投入资本</v>
          </cell>
        </row>
        <row r="364">
          <cell r="B364">
            <v>8350</v>
          </cell>
          <cell r="C364" t="str">
            <v>库存股_所有者投入和减少资本影响权益</v>
          </cell>
          <cell r="D364">
            <v>0</v>
          </cell>
          <cell r="E364" t="str">
            <v>＝</v>
          </cell>
          <cell r="F364">
            <v>0</v>
          </cell>
          <cell r="G364" t="str">
            <v>（二）所有者投入和减少资本</v>
          </cell>
          <cell r="H364">
            <v>0</v>
          </cell>
          <cell r="I364">
            <v>8350</v>
          </cell>
          <cell r="J364">
            <v>0</v>
          </cell>
          <cell r="M364" t="str">
            <v>其他权益工具（其他）_所有者其他投入和减少资本</v>
          </cell>
        </row>
        <row r="365">
          <cell r="B365">
            <v>8351</v>
          </cell>
          <cell r="C365" t="str">
            <v>库存股_所有者投入资本</v>
          </cell>
          <cell r="D365">
            <v>1</v>
          </cell>
          <cell r="E365">
            <v>0</v>
          </cell>
          <cell r="F365">
            <v>5310</v>
          </cell>
          <cell r="G365" t="str">
            <v>所有者投入资本</v>
          </cell>
          <cell r="H365">
            <v>0</v>
          </cell>
          <cell r="I365">
            <v>8351</v>
          </cell>
          <cell r="J365" t="str">
            <v>J</v>
          </cell>
          <cell r="M365" t="str">
            <v>其他权益工具（其他）_提取盈余公积</v>
          </cell>
        </row>
        <row r="366">
          <cell r="B366">
            <v>8352</v>
          </cell>
          <cell r="C366" t="str">
            <v>库存股_股份支付</v>
          </cell>
          <cell r="D366">
            <v>1</v>
          </cell>
          <cell r="E366" t="str">
            <v>LOW</v>
          </cell>
          <cell r="F366">
            <v>5310</v>
          </cell>
          <cell r="G366" t="str">
            <v>股份支付计入所有者权益的金额</v>
          </cell>
          <cell r="H366">
            <v>0</v>
          </cell>
          <cell r="I366">
            <v>8352</v>
          </cell>
          <cell r="J366" t="str">
            <v>J</v>
          </cell>
          <cell r="M366" t="str">
            <v>其他权益工具（其他）_提取一般风险准备</v>
          </cell>
        </row>
        <row r="367">
          <cell r="B367">
            <v>8353</v>
          </cell>
          <cell r="C367" t="str">
            <v>库存股_其他权益工具持有者投入资本</v>
          </cell>
          <cell r="D367">
            <v>1</v>
          </cell>
          <cell r="E367" t="str">
            <v>OEI</v>
          </cell>
          <cell r="F367">
            <v>5310</v>
          </cell>
          <cell r="G367" t="str">
            <v>其他权益工具持有者投入资本</v>
          </cell>
          <cell r="H367">
            <v>0</v>
          </cell>
          <cell r="I367">
            <v>8353</v>
          </cell>
          <cell r="J367" t="str">
            <v>J</v>
          </cell>
          <cell r="M367" t="str">
            <v>其他权益工具（其他）_对所有者的分配</v>
          </cell>
        </row>
        <row r="368">
          <cell r="B368">
            <v>8356</v>
          </cell>
          <cell r="C368" t="str">
            <v>库存股_所有者其他投入和减少资本</v>
          </cell>
          <cell r="D368">
            <v>1</v>
          </cell>
          <cell r="E368" t="str">
            <v>LOW</v>
          </cell>
          <cell r="F368">
            <v>5310</v>
          </cell>
          <cell r="G368" t="str">
            <v>其他</v>
          </cell>
          <cell r="H368">
            <v>0</v>
          </cell>
          <cell r="I368">
            <v>8356</v>
          </cell>
          <cell r="J368" t="str">
            <v>J</v>
          </cell>
          <cell r="M368" t="str">
            <v>其他权益工具（其他）_其他利润分配</v>
          </cell>
        </row>
        <row r="369">
          <cell r="B369">
            <v>8360</v>
          </cell>
          <cell r="C369" t="str">
            <v>库存股_利润分配影响权益</v>
          </cell>
          <cell r="D369">
            <v>0</v>
          </cell>
          <cell r="E369" t="str">
            <v>＝</v>
          </cell>
          <cell r="F369">
            <v>0</v>
          </cell>
          <cell r="G369" t="str">
            <v>（三）利润分配</v>
          </cell>
          <cell r="H369">
            <v>0</v>
          </cell>
          <cell r="I369">
            <v>8360</v>
          </cell>
          <cell r="J369">
            <v>0</v>
          </cell>
          <cell r="M369" t="str">
            <v>其他权益工具（其他）_资本公积转增资本</v>
          </cell>
        </row>
        <row r="370">
          <cell r="B370">
            <v>8363</v>
          </cell>
          <cell r="C370" t="str">
            <v>库存股_对所有者的分配</v>
          </cell>
          <cell r="D370">
            <v>1</v>
          </cell>
          <cell r="E370" t="str">
            <v>LOW</v>
          </cell>
          <cell r="F370">
            <v>5310</v>
          </cell>
          <cell r="G370" t="str">
            <v>对所有者（或股东）的分配</v>
          </cell>
          <cell r="H370">
            <v>0</v>
          </cell>
          <cell r="I370">
            <v>8363</v>
          </cell>
          <cell r="J370" t="str">
            <v>J</v>
          </cell>
          <cell r="M370" t="str">
            <v>其他权益工具（其他）_盈余公积转增资本</v>
          </cell>
        </row>
        <row r="371">
          <cell r="B371">
            <v>8366</v>
          </cell>
          <cell r="C371" t="str">
            <v>库存股_其他利润分配</v>
          </cell>
          <cell r="D371">
            <v>1</v>
          </cell>
          <cell r="E371" t="str">
            <v>LOW</v>
          </cell>
          <cell r="F371">
            <v>5310</v>
          </cell>
          <cell r="G371" t="str">
            <v>其他</v>
          </cell>
          <cell r="H371">
            <v>0</v>
          </cell>
          <cell r="I371">
            <v>8366</v>
          </cell>
          <cell r="J371" t="str">
            <v>J</v>
          </cell>
          <cell r="M371" t="str">
            <v>其他权益工具（其他）_盈余公积弥补亏损</v>
          </cell>
        </row>
        <row r="372">
          <cell r="B372">
            <v>8370</v>
          </cell>
          <cell r="C372" t="str">
            <v>库存股_所有者权益内部结转</v>
          </cell>
          <cell r="D372">
            <v>0</v>
          </cell>
          <cell r="E372" t="str">
            <v>＝</v>
          </cell>
          <cell r="F372">
            <v>0</v>
          </cell>
          <cell r="G372" t="str">
            <v>（四）所有者权益内部结转</v>
          </cell>
          <cell r="H372">
            <v>0</v>
          </cell>
          <cell r="I372">
            <v>8370</v>
          </cell>
          <cell r="J372">
            <v>0</v>
          </cell>
          <cell r="M372" t="str">
            <v>其他权益工具（其他）_结转重新计量设定受益计划净负债或净资产所产生的变动</v>
          </cell>
        </row>
        <row r="373">
          <cell r="B373">
            <v>8375</v>
          </cell>
          <cell r="C373" t="str">
            <v>库存股_结转重新计量设定受益计划净负债或净资产所产生的变动</v>
          </cell>
          <cell r="D373">
            <v>1</v>
          </cell>
          <cell r="E373" t="str">
            <v>OEI</v>
          </cell>
          <cell r="F373">
            <v>5310</v>
          </cell>
          <cell r="G373" t="str">
            <v>结转重新计量设定受益计划净负债或净资产所产生的变动</v>
          </cell>
          <cell r="H373">
            <v>0</v>
          </cell>
          <cell r="I373">
            <v>8375</v>
          </cell>
          <cell r="J373" t="str">
            <v>J</v>
          </cell>
          <cell r="M373" t="str">
            <v>其他权益工具（其他）_所有者权益其他内部结转</v>
          </cell>
        </row>
        <row r="374">
          <cell r="B374">
            <v>8376</v>
          </cell>
          <cell r="C374" t="str">
            <v>库存股_所有者权益其他内部结转</v>
          </cell>
          <cell r="D374">
            <v>1</v>
          </cell>
          <cell r="E374">
            <v>0</v>
          </cell>
          <cell r="F374">
            <v>5310</v>
          </cell>
          <cell r="G374" t="str">
            <v>其他</v>
          </cell>
          <cell r="H374">
            <v>0</v>
          </cell>
          <cell r="I374">
            <v>8376</v>
          </cell>
          <cell r="J374" t="str">
            <v>J</v>
          </cell>
          <cell r="M374" t="str">
            <v>其他权益工具（其他）_专项储备本期提取</v>
          </cell>
        </row>
        <row r="375">
          <cell r="B375">
            <v>8396</v>
          </cell>
          <cell r="C375" t="str">
            <v>库存股_本期其他增减变动</v>
          </cell>
          <cell r="D375">
            <v>1</v>
          </cell>
          <cell r="E375" t="str">
            <v>LOW</v>
          </cell>
          <cell r="F375">
            <v>5310</v>
          </cell>
          <cell r="G375" t="str">
            <v>（七）其他</v>
          </cell>
          <cell r="H375">
            <v>0</v>
          </cell>
          <cell r="I375">
            <v>8396</v>
          </cell>
          <cell r="J375" t="str">
            <v>J</v>
          </cell>
          <cell r="M375" t="str">
            <v>其他权益工具（其他）_专项储备本期使用</v>
          </cell>
        </row>
        <row r="376">
          <cell r="B376">
            <v>8399</v>
          </cell>
          <cell r="C376" t="str">
            <v>库存股_本期期末余额</v>
          </cell>
          <cell r="D376">
            <v>0</v>
          </cell>
          <cell r="E376" t="str">
            <v>＝</v>
          </cell>
          <cell r="F376">
            <v>0</v>
          </cell>
          <cell r="G376" t="str">
            <v>四、本期期末余额</v>
          </cell>
          <cell r="H376">
            <v>0</v>
          </cell>
          <cell r="I376">
            <v>8399</v>
          </cell>
          <cell r="J376">
            <v>0</v>
          </cell>
          <cell r="M376" t="str">
            <v>其他权益工具（其他）_本期其他增减变动</v>
          </cell>
        </row>
        <row r="377">
          <cell r="B377">
            <v>8400</v>
          </cell>
          <cell r="C377" t="str">
            <v>专项储备增减变动</v>
          </cell>
          <cell r="D377">
            <v>0</v>
          </cell>
          <cell r="E377" t="str">
            <v>：</v>
          </cell>
          <cell r="F377">
            <v>0</v>
          </cell>
          <cell r="G377" t="str">
            <v>专项储备增减变动</v>
          </cell>
          <cell r="H377">
            <v>0</v>
          </cell>
          <cell r="I377">
            <v>8400</v>
          </cell>
          <cell r="J377">
            <v>0</v>
          </cell>
          <cell r="M377" t="str">
            <v>其他综合收益_上年年末余额</v>
          </cell>
        </row>
        <row r="378">
          <cell r="B378">
            <v>8401</v>
          </cell>
          <cell r="C378" t="str">
            <v>专项储备_上年年末余额</v>
          </cell>
          <cell r="D378">
            <v>-1</v>
          </cell>
          <cell r="E378">
            <v>0</v>
          </cell>
          <cell r="F378">
            <v>5510</v>
          </cell>
          <cell r="G378" t="str">
            <v>一、上年年末余额</v>
          </cell>
          <cell r="H378">
            <v>0</v>
          </cell>
          <cell r="I378">
            <v>8401</v>
          </cell>
          <cell r="J378" t="str">
            <v>J</v>
          </cell>
          <cell r="M378" t="str">
            <v>其他综合收益_会计政策变更调整上年年末余额</v>
          </cell>
        </row>
        <row r="379">
          <cell r="B379">
            <v>8402</v>
          </cell>
          <cell r="C379" t="str">
            <v>专项储备_会计政策变更调整上年年末余额</v>
          </cell>
          <cell r="D379">
            <v>-1</v>
          </cell>
          <cell r="E379">
            <v>0</v>
          </cell>
          <cell r="F379">
            <v>5510</v>
          </cell>
          <cell r="G379" t="str">
            <v>加：会计政策变更</v>
          </cell>
          <cell r="H379">
            <v>0</v>
          </cell>
          <cell r="I379">
            <v>8402</v>
          </cell>
          <cell r="J379" t="str">
            <v>J</v>
          </cell>
          <cell r="M379" t="str">
            <v>其他综合收益_前期差错更正调整上年年末余额</v>
          </cell>
        </row>
        <row r="380">
          <cell r="B380">
            <v>8403</v>
          </cell>
          <cell r="C380" t="str">
            <v>专项储备_前期差错更正调整上年年末余额</v>
          </cell>
          <cell r="D380">
            <v>-1</v>
          </cell>
          <cell r="E380">
            <v>0</v>
          </cell>
          <cell r="F380">
            <v>5510</v>
          </cell>
          <cell r="G380" t="str">
            <v>前期差错更正</v>
          </cell>
          <cell r="H380">
            <v>0</v>
          </cell>
          <cell r="I380">
            <v>8403</v>
          </cell>
          <cell r="J380" t="str">
            <v>J</v>
          </cell>
          <cell r="M380" t="str">
            <v>其他综合收益_同一控制下企业合并调整上年年末余额</v>
          </cell>
        </row>
        <row r="381">
          <cell r="B381">
            <v>8404</v>
          </cell>
          <cell r="C381" t="str">
            <v>专项储备_同一控制下企业合并调整上年年末余额</v>
          </cell>
          <cell r="D381">
            <v>-1</v>
          </cell>
          <cell r="E381" t="str">
            <v>※</v>
          </cell>
          <cell r="F381">
            <v>5510</v>
          </cell>
          <cell r="G381" t="str">
            <v>同一控制下企业合并</v>
          </cell>
          <cell r="H381">
            <v>0</v>
          </cell>
          <cell r="I381">
            <v>8404</v>
          </cell>
          <cell r="J381" t="str">
            <v>J</v>
          </cell>
          <cell r="M381" t="str">
            <v>其他综合收益_其他原因调整上年年末余额</v>
          </cell>
        </row>
        <row r="382">
          <cell r="B382">
            <v>8409</v>
          </cell>
          <cell r="C382" t="str">
            <v>专项储备_其他原因调整上年年末余额</v>
          </cell>
          <cell r="D382">
            <v>-1</v>
          </cell>
          <cell r="E382" t="str">
            <v>LOW</v>
          </cell>
          <cell r="F382">
            <v>5510</v>
          </cell>
          <cell r="G382" t="str">
            <v>其他</v>
          </cell>
          <cell r="H382">
            <v>0</v>
          </cell>
          <cell r="I382">
            <v>8409</v>
          </cell>
          <cell r="J382" t="str">
            <v>J</v>
          </cell>
          <cell r="M382" t="str">
            <v>其他综合收益_所有者投入资本</v>
          </cell>
        </row>
        <row r="383">
          <cell r="B383">
            <v>8410</v>
          </cell>
          <cell r="C383" t="str">
            <v>专项储备_本年年初余额</v>
          </cell>
          <cell r="D383">
            <v>0</v>
          </cell>
          <cell r="E383" t="str">
            <v>＝</v>
          </cell>
          <cell r="F383">
            <v>0</v>
          </cell>
          <cell r="G383" t="str">
            <v>二、本年年初余额</v>
          </cell>
          <cell r="H383">
            <v>0</v>
          </cell>
          <cell r="I383">
            <v>8410</v>
          </cell>
          <cell r="J383">
            <v>0</v>
          </cell>
          <cell r="M383" t="str">
            <v>其他综合收益_股份支付</v>
          </cell>
        </row>
        <row r="384">
          <cell r="B384">
            <v>8453</v>
          </cell>
          <cell r="C384" t="str">
            <v>专项储备_其他权益工具持有者投入资本</v>
          </cell>
          <cell r="D384">
            <v>-1</v>
          </cell>
          <cell r="E384" t="str">
            <v>OEI</v>
          </cell>
          <cell r="F384">
            <v>5510</v>
          </cell>
          <cell r="G384" t="str">
            <v>其他权益工具持有者投入资本</v>
          </cell>
          <cell r="H384">
            <v>0</v>
          </cell>
          <cell r="I384">
            <v>8453</v>
          </cell>
          <cell r="J384" t="str">
            <v>J</v>
          </cell>
          <cell r="M384" t="str">
            <v>其他综合收益_其他权益工具持有者投入资本</v>
          </cell>
        </row>
        <row r="385">
          <cell r="B385">
            <v>8490</v>
          </cell>
          <cell r="C385" t="str">
            <v>专项储备_本期增减变动金额</v>
          </cell>
          <cell r="D385">
            <v>0</v>
          </cell>
          <cell r="E385" t="str">
            <v>＝</v>
          </cell>
          <cell r="F385">
            <v>0</v>
          </cell>
          <cell r="G385" t="str">
            <v>三、本期增减变动金额（减少以“-”号填列）</v>
          </cell>
          <cell r="H385">
            <v>0</v>
          </cell>
          <cell r="I385">
            <v>8490</v>
          </cell>
          <cell r="J385">
            <v>0</v>
          </cell>
          <cell r="M385" t="str">
            <v>其他综合收益_所有者其他投入和减少资本</v>
          </cell>
        </row>
        <row r="386">
          <cell r="B386">
            <v>8470</v>
          </cell>
          <cell r="C386" t="str">
            <v>专项储备_所有者权益内部结转</v>
          </cell>
          <cell r="D386">
            <v>0</v>
          </cell>
          <cell r="E386" t="str">
            <v>＝</v>
          </cell>
          <cell r="F386">
            <v>0</v>
          </cell>
          <cell r="G386" t="str">
            <v>（四）所有者权益内部结转</v>
          </cell>
          <cell r="H386">
            <v>0</v>
          </cell>
          <cell r="I386">
            <v>8470</v>
          </cell>
          <cell r="J386">
            <v>0</v>
          </cell>
          <cell r="M386" t="str">
            <v>其他综合收益_提取盈余公积</v>
          </cell>
        </row>
        <row r="387">
          <cell r="B387">
            <v>8475</v>
          </cell>
          <cell r="C387" t="str">
            <v>专项储备_结转重新计量设定受益计划净负债或净资产所产生的变动</v>
          </cell>
          <cell r="D387">
            <v>-1</v>
          </cell>
          <cell r="E387" t="str">
            <v>OEI</v>
          </cell>
          <cell r="F387">
            <v>5510</v>
          </cell>
          <cell r="G387" t="str">
            <v>结转重新计量设定受益计划净负债或净资产所产生的变动</v>
          </cell>
          <cell r="H387">
            <v>0</v>
          </cell>
          <cell r="I387">
            <v>8475</v>
          </cell>
          <cell r="J387" t="str">
            <v>J</v>
          </cell>
          <cell r="M387" t="str">
            <v>其他综合收益_提取一般风险准备</v>
          </cell>
        </row>
        <row r="388">
          <cell r="B388">
            <v>8476</v>
          </cell>
          <cell r="C388" t="str">
            <v>专项储备_所有者权益其他内部结转</v>
          </cell>
          <cell r="D388">
            <v>-1</v>
          </cell>
          <cell r="E388" t="str">
            <v>LOW</v>
          </cell>
          <cell r="F388">
            <v>5510</v>
          </cell>
          <cell r="G388" t="str">
            <v>其他</v>
          </cell>
          <cell r="H388">
            <v>0</v>
          </cell>
          <cell r="I388">
            <v>8476</v>
          </cell>
          <cell r="J388" t="str">
            <v>J</v>
          </cell>
          <cell r="M388" t="str">
            <v>其他综合收益_对所有者的分配</v>
          </cell>
        </row>
        <row r="389">
          <cell r="B389">
            <v>8480</v>
          </cell>
          <cell r="C389" t="str">
            <v>专项储备_专项储备影响权益</v>
          </cell>
          <cell r="D389">
            <v>0</v>
          </cell>
          <cell r="E389" t="str">
            <v>＝</v>
          </cell>
          <cell r="F389">
            <v>0</v>
          </cell>
          <cell r="G389" t="str">
            <v>（五）专项储备</v>
          </cell>
          <cell r="H389">
            <v>0</v>
          </cell>
          <cell r="I389">
            <v>8480</v>
          </cell>
          <cell r="J389">
            <v>0</v>
          </cell>
          <cell r="M389" t="str">
            <v>其他综合收益_其他利润分配</v>
          </cell>
        </row>
        <row r="390">
          <cell r="B390">
            <v>8481</v>
          </cell>
          <cell r="C390" t="str">
            <v>专项储备_本期提取</v>
          </cell>
          <cell r="D390">
            <v>-1</v>
          </cell>
          <cell r="E390">
            <v>0</v>
          </cell>
          <cell r="F390">
            <v>5510</v>
          </cell>
          <cell r="G390" t="str">
            <v>本期提取</v>
          </cell>
          <cell r="H390">
            <v>0</v>
          </cell>
          <cell r="I390">
            <v>8481</v>
          </cell>
          <cell r="J390" t="str">
            <v>J</v>
          </cell>
          <cell r="M390" t="str">
            <v>其他综合收益_资本公积转增资本</v>
          </cell>
        </row>
        <row r="391">
          <cell r="B391">
            <v>8482</v>
          </cell>
          <cell r="C391" t="str">
            <v>专项储备_本期使用</v>
          </cell>
          <cell r="D391">
            <v>-1</v>
          </cell>
          <cell r="E391">
            <v>0</v>
          </cell>
          <cell r="F391">
            <v>5510</v>
          </cell>
          <cell r="G391" t="str">
            <v>本期使用</v>
          </cell>
          <cell r="H391">
            <v>0</v>
          </cell>
          <cell r="I391">
            <v>8482</v>
          </cell>
          <cell r="J391" t="str">
            <v>J</v>
          </cell>
          <cell r="M391" t="str">
            <v>其他综合收益_盈余公积转增资本</v>
          </cell>
        </row>
        <row r="392">
          <cell r="B392">
            <v>8496</v>
          </cell>
          <cell r="C392" t="str">
            <v>专项储备_本期其他增减变动</v>
          </cell>
          <cell r="D392">
            <v>-1</v>
          </cell>
          <cell r="E392" t="str">
            <v>LOW</v>
          </cell>
          <cell r="F392">
            <v>5510</v>
          </cell>
          <cell r="G392" t="str">
            <v>（七）其他</v>
          </cell>
          <cell r="H392">
            <v>0</v>
          </cell>
          <cell r="I392">
            <v>8496</v>
          </cell>
          <cell r="J392" t="str">
            <v>J</v>
          </cell>
          <cell r="M392" t="str">
            <v>其他综合收益_盈余公积弥补亏损</v>
          </cell>
        </row>
        <row r="393">
          <cell r="B393">
            <v>8499</v>
          </cell>
          <cell r="C393" t="str">
            <v>专项储备_本期期末余额</v>
          </cell>
          <cell r="D393">
            <v>0</v>
          </cell>
          <cell r="E393" t="str">
            <v>＝</v>
          </cell>
          <cell r="F393">
            <v>0</v>
          </cell>
          <cell r="G393" t="str">
            <v>四、本期期末余额</v>
          </cell>
          <cell r="H393">
            <v>0</v>
          </cell>
          <cell r="I393">
            <v>8499</v>
          </cell>
          <cell r="J393">
            <v>0</v>
          </cell>
          <cell r="M393" t="str">
            <v>其他综合收益_结转重新计量设定受益计划净负债或净资产所产生的变动</v>
          </cell>
        </row>
        <row r="394">
          <cell r="B394">
            <v>8500</v>
          </cell>
          <cell r="C394" t="str">
            <v>盈余公积增减变动</v>
          </cell>
          <cell r="D394">
            <v>0</v>
          </cell>
          <cell r="E394" t="str">
            <v>：</v>
          </cell>
          <cell r="F394">
            <v>0</v>
          </cell>
          <cell r="G394" t="str">
            <v>盈余公积增减变动</v>
          </cell>
          <cell r="H394">
            <v>0</v>
          </cell>
          <cell r="I394">
            <v>8500</v>
          </cell>
          <cell r="J394">
            <v>0</v>
          </cell>
          <cell r="M394" t="str">
            <v>其他综合收益_所有者权益其他内部结转</v>
          </cell>
        </row>
        <row r="395">
          <cell r="B395">
            <v>8501</v>
          </cell>
          <cell r="C395" t="str">
            <v>盈余公积_上年年末余额</v>
          </cell>
          <cell r="D395">
            <v>-1</v>
          </cell>
          <cell r="E395">
            <v>0</v>
          </cell>
          <cell r="F395">
            <v>5410</v>
          </cell>
          <cell r="G395" t="str">
            <v>一、上年年末余额</v>
          </cell>
          <cell r="H395">
            <v>0</v>
          </cell>
          <cell r="I395">
            <v>8501</v>
          </cell>
          <cell r="J395" t="str">
            <v>J</v>
          </cell>
          <cell r="M395" t="str">
            <v>其他综合收益_专项储备本期提取</v>
          </cell>
        </row>
        <row r="396">
          <cell r="B396">
            <v>8502</v>
          </cell>
          <cell r="C396" t="str">
            <v>盈余公积_会计政策变更调整上年年末余额</v>
          </cell>
          <cell r="D396">
            <v>-1</v>
          </cell>
          <cell r="E396">
            <v>0</v>
          </cell>
          <cell r="F396">
            <v>5410</v>
          </cell>
          <cell r="G396" t="str">
            <v>加：会计政策变更</v>
          </cell>
          <cell r="H396">
            <v>0</v>
          </cell>
          <cell r="I396">
            <v>8502</v>
          </cell>
          <cell r="J396" t="str">
            <v>J</v>
          </cell>
          <cell r="M396" t="str">
            <v>其他综合收益_专项储备本期使用</v>
          </cell>
        </row>
        <row r="397">
          <cell r="B397">
            <v>8503</v>
          </cell>
          <cell r="C397" t="str">
            <v>盈余公积_前期差错更正调整上年年末余额</v>
          </cell>
          <cell r="D397">
            <v>-1</v>
          </cell>
          <cell r="E397">
            <v>0</v>
          </cell>
          <cell r="F397">
            <v>5410</v>
          </cell>
          <cell r="G397" t="str">
            <v>前期差错更正</v>
          </cell>
          <cell r="H397">
            <v>0</v>
          </cell>
          <cell r="I397">
            <v>8503</v>
          </cell>
          <cell r="J397" t="str">
            <v>J</v>
          </cell>
          <cell r="M397" t="str">
            <v>其他综合收益_本期其他增减变动</v>
          </cell>
        </row>
        <row r="398">
          <cell r="B398">
            <v>8504</v>
          </cell>
          <cell r="C398" t="str">
            <v>盈余公积_同一控制下企业合并调整上年年末余额</v>
          </cell>
          <cell r="D398">
            <v>-1</v>
          </cell>
          <cell r="E398" t="str">
            <v>※</v>
          </cell>
          <cell r="F398">
            <v>5410</v>
          </cell>
          <cell r="G398" t="str">
            <v>同一控制下企业合并</v>
          </cell>
          <cell r="H398">
            <v>0</v>
          </cell>
          <cell r="I398">
            <v>8504</v>
          </cell>
          <cell r="J398" t="str">
            <v>J</v>
          </cell>
        </row>
        <row r="399">
          <cell r="B399">
            <v>8509</v>
          </cell>
          <cell r="C399" t="str">
            <v>盈余公积_其他原因调整上年年末余额</v>
          </cell>
          <cell r="D399">
            <v>-1</v>
          </cell>
          <cell r="E399">
            <v>0</v>
          </cell>
          <cell r="F399">
            <v>5410</v>
          </cell>
          <cell r="G399" t="str">
            <v>其他</v>
          </cell>
          <cell r="H399">
            <v>0</v>
          </cell>
          <cell r="I399">
            <v>8509</v>
          </cell>
          <cell r="J399" t="str">
            <v>J</v>
          </cell>
        </row>
        <row r="400">
          <cell r="B400">
            <v>8510</v>
          </cell>
          <cell r="C400" t="str">
            <v>盈余公积_本年年初余额</v>
          </cell>
          <cell r="D400">
            <v>0</v>
          </cell>
          <cell r="E400" t="str">
            <v>＝</v>
          </cell>
          <cell r="F400">
            <v>0</v>
          </cell>
          <cell r="G400" t="str">
            <v>二、本年年初余额</v>
          </cell>
          <cell r="H400">
            <v>0</v>
          </cell>
          <cell r="I400">
            <v>8510</v>
          </cell>
          <cell r="J400">
            <v>0</v>
          </cell>
        </row>
        <row r="401">
          <cell r="B401">
            <v>8590</v>
          </cell>
          <cell r="C401" t="str">
            <v>盈余公积_本期增减变动金额</v>
          </cell>
          <cell r="D401">
            <v>0</v>
          </cell>
          <cell r="E401" t="str">
            <v>＝</v>
          </cell>
          <cell r="F401">
            <v>0</v>
          </cell>
          <cell r="G401" t="str">
            <v>三、本期增减变动金额（减少以“-”号填列）</v>
          </cell>
          <cell r="H401">
            <v>0</v>
          </cell>
          <cell r="I401">
            <v>8590</v>
          </cell>
          <cell r="J401">
            <v>0</v>
          </cell>
        </row>
        <row r="402">
          <cell r="B402">
            <v>8550</v>
          </cell>
          <cell r="C402" t="str">
            <v>盈余公积_所有者投入和减少资本影响权益</v>
          </cell>
          <cell r="D402">
            <v>0</v>
          </cell>
          <cell r="E402" t="str">
            <v>＝</v>
          </cell>
          <cell r="F402">
            <v>0</v>
          </cell>
          <cell r="G402" t="str">
            <v>（二）所有者投入和减少资本</v>
          </cell>
          <cell r="H402">
            <v>0</v>
          </cell>
          <cell r="I402">
            <v>8550</v>
          </cell>
          <cell r="J402">
            <v>0</v>
          </cell>
        </row>
        <row r="403">
          <cell r="B403">
            <v>8553</v>
          </cell>
          <cell r="C403" t="str">
            <v>盈余公积_其他权益工具持有者投入资本</v>
          </cell>
          <cell r="D403">
            <v>-1</v>
          </cell>
          <cell r="E403" t="str">
            <v>OEI</v>
          </cell>
          <cell r="F403">
            <v>5410</v>
          </cell>
          <cell r="G403" t="str">
            <v>其他权益工具持有者投入资本</v>
          </cell>
          <cell r="H403">
            <v>0</v>
          </cell>
          <cell r="I403">
            <v>8553</v>
          </cell>
          <cell r="J403" t="str">
            <v>J</v>
          </cell>
        </row>
        <row r="404">
          <cell r="B404">
            <v>8556</v>
          </cell>
          <cell r="C404" t="str">
            <v>盈余公积_所有者其他投入和减少资本</v>
          </cell>
          <cell r="D404">
            <v>-1</v>
          </cell>
          <cell r="E404" t="str">
            <v>LOW</v>
          </cell>
          <cell r="F404">
            <v>5410</v>
          </cell>
          <cell r="G404" t="str">
            <v>其他</v>
          </cell>
          <cell r="H404">
            <v>0</v>
          </cell>
          <cell r="I404">
            <v>8556</v>
          </cell>
          <cell r="J404" t="str">
            <v>J</v>
          </cell>
        </row>
        <row r="405">
          <cell r="B405">
            <v>8560</v>
          </cell>
          <cell r="C405" t="str">
            <v>盈余公积_利润分配影响权益</v>
          </cell>
          <cell r="D405">
            <v>0</v>
          </cell>
          <cell r="E405" t="str">
            <v>＝</v>
          </cell>
          <cell r="F405">
            <v>0</v>
          </cell>
          <cell r="G405" t="str">
            <v>（三）利润分配</v>
          </cell>
          <cell r="H405">
            <v>0</v>
          </cell>
          <cell r="I405">
            <v>8560</v>
          </cell>
          <cell r="J405">
            <v>0</v>
          </cell>
        </row>
        <row r="406">
          <cell r="B406">
            <v>8561</v>
          </cell>
          <cell r="C406" t="str">
            <v>盈余公积_提取</v>
          </cell>
          <cell r="D406">
            <v>-1</v>
          </cell>
          <cell r="E406">
            <v>0</v>
          </cell>
          <cell r="F406">
            <v>5410</v>
          </cell>
          <cell r="G406" t="str">
            <v>提取盈余公积</v>
          </cell>
          <cell r="H406">
            <v>0</v>
          </cell>
          <cell r="I406">
            <v>8561</v>
          </cell>
          <cell r="J406" t="str">
            <v>J</v>
          </cell>
        </row>
        <row r="407">
          <cell r="B407">
            <v>8563</v>
          </cell>
          <cell r="C407" t="str">
            <v>盈余公积_对所有者的分配</v>
          </cell>
          <cell r="D407">
            <v>-1</v>
          </cell>
          <cell r="E407">
            <v>0</v>
          </cell>
          <cell r="F407">
            <v>5410</v>
          </cell>
          <cell r="G407" t="str">
            <v>对所有者（或股东）的分配</v>
          </cell>
          <cell r="H407">
            <v>0</v>
          </cell>
          <cell r="I407">
            <v>8563</v>
          </cell>
          <cell r="J407" t="str">
            <v>J</v>
          </cell>
        </row>
        <row r="408">
          <cell r="B408">
            <v>8566</v>
          </cell>
          <cell r="C408" t="str">
            <v>盈余公积_其他利润分配</v>
          </cell>
          <cell r="D408">
            <v>-1</v>
          </cell>
          <cell r="E408">
            <v>0</v>
          </cell>
          <cell r="F408">
            <v>5410</v>
          </cell>
          <cell r="G408" t="str">
            <v>其他</v>
          </cell>
          <cell r="H408">
            <v>0</v>
          </cell>
          <cell r="I408">
            <v>8566</v>
          </cell>
          <cell r="J408" t="str">
            <v>J</v>
          </cell>
        </row>
        <row r="409">
          <cell r="B409">
            <v>8570</v>
          </cell>
          <cell r="C409" t="str">
            <v>盈余公积_所有者权益内部结转</v>
          </cell>
          <cell r="D409">
            <v>0</v>
          </cell>
          <cell r="E409" t="str">
            <v>＝</v>
          </cell>
          <cell r="F409">
            <v>0</v>
          </cell>
          <cell r="G409" t="str">
            <v>（四）所有者权益内部结转</v>
          </cell>
          <cell r="H409">
            <v>0</v>
          </cell>
          <cell r="I409">
            <v>8570</v>
          </cell>
          <cell r="J409">
            <v>0</v>
          </cell>
        </row>
        <row r="410">
          <cell r="B410">
            <v>8572</v>
          </cell>
          <cell r="C410" t="str">
            <v>盈余公积_转增资本</v>
          </cell>
          <cell r="D410">
            <v>-1</v>
          </cell>
          <cell r="E410">
            <v>0</v>
          </cell>
          <cell r="F410">
            <v>5410</v>
          </cell>
          <cell r="G410" t="str">
            <v>盈余公积转增资本（或股本）</v>
          </cell>
          <cell r="H410">
            <v>0</v>
          </cell>
          <cell r="I410">
            <v>8572</v>
          </cell>
          <cell r="J410" t="str">
            <v>J</v>
          </cell>
        </row>
        <row r="411">
          <cell r="B411">
            <v>8573</v>
          </cell>
          <cell r="C411" t="str">
            <v>盈余公积_弥补亏损</v>
          </cell>
          <cell r="D411">
            <v>-1</v>
          </cell>
          <cell r="E411">
            <v>0</v>
          </cell>
          <cell r="F411">
            <v>5410</v>
          </cell>
          <cell r="G411" t="str">
            <v>盈余公积弥补亏损</v>
          </cell>
          <cell r="H411">
            <v>0</v>
          </cell>
          <cell r="I411">
            <v>8573</v>
          </cell>
          <cell r="J411" t="str">
            <v>J</v>
          </cell>
        </row>
        <row r="412">
          <cell r="B412">
            <v>8575</v>
          </cell>
          <cell r="C412" t="str">
            <v>盈余公积_结转重新计量设定受益计划净负债或净资产所产生的变动</v>
          </cell>
          <cell r="D412">
            <v>-1</v>
          </cell>
          <cell r="E412" t="str">
            <v>OEI</v>
          </cell>
          <cell r="F412">
            <v>5410</v>
          </cell>
          <cell r="G412" t="str">
            <v>结转重新计量设定受益计划净负债或净资产所产生的变动</v>
          </cell>
          <cell r="H412">
            <v>0</v>
          </cell>
          <cell r="I412">
            <v>8575</v>
          </cell>
          <cell r="J412" t="str">
            <v>J</v>
          </cell>
        </row>
        <row r="413">
          <cell r="B413">
            <v>8576</v>
          </cell>
          <cell r="C413" t="str">
            <v>盈余公积_所有者权益其他内部结转</v>
          </cell>
          <cell r="D413">
            <v>-1</v>
          </cell>
          <cell r="E413" t="str">
            <v>LOW</v>
          </cell>
          <cell r="F413">
            <v>5410</v>
          </cell>
          <cell r="G413" t="str">
            <v>其他</v>
          </cell>
          <cell r="H413">
            <v>0</v>
          </cell>
          <cell r="I413">
            <v>8576</v>
          </cell>
          <cell r="J413" t="str">
            <v>J</v>
          </cell>
        </row>
        <row r="414">
          <cell r="B414">
            <v>8596</v>
          </cell>
          <cell r="C414" t="str">
            <v>盈余公积_本期其他增减变动</v>
          </cell>
          <cell r="D414">
            <v>-1</v>
          </cell>
          <cell r="E414" t="str">
            <v>LOW</v>
          </cell>
          <cell r="F414">
            <v>5410</v>
          </cell>
          <cell r="G414" t="str">
            <v>（七）其他</v>
          </cell>
          <cell r="H414">
            <v>0</v>
          </cell>
          <cell r="I414">
            <v>8596</v>
          </cell>
          <cell r="J414" t="str">
            <v>J</v>
          </cell>
        </row>
        <row r="415">
          <cell r="B415">
            <v>8599</v>
          </cell>
          <cell r="C415" t="str">
            <v>盈余公积_本期期末余额</v>
          </cell>
          <cell r="D415">
            <v>0</v>
          </cell>
          <cell r="E415" t="str">
            <v>＝</v>
          </cell>
          <cell r="F415">
            <v>0</v>
          </cell>
          <cell r="G415" t="str">
            <v>四、本期期末余额</v>
          </cell>
          <cell r="H415">
            <v>0</v>
          </cell>
          <cell r="I415">
            <v>8599</v>
          </cell>
          <cell r="J415">
            <v>0</v>
          </cell>
        </row>
        <row r="416">
          <cell r="B416">
            <v>8600</v>
          </cell>
          <cell r="C416" t="str">
            <v>一般风险准备增减变动</v>
          </cell>
          <cell r="D416">
            <v>0</v>
          </cell>
          <cell r="E416" t="str">
            <v>：</v>
          </cell>
          <cell r="F416">
            <v>0</v>
          </cell>
          <cell r="G416" t="str">
            <v>一般风险准备增减变动</v>
          </cell>
          <cell r="H416">
            <v>0</v>
          </cell>
          <cell r="I416">
            <v>8600</v>
          </cell>
          <cell r="J416">
            <v>0</v>
          </cell>
        </row>
        <row r="417">
          <cell r="B417">
            <v>8601</v>
          </cell>
          <cell r="C417" t="str">
            <v>一般风险准备_上年年末余额</v>
          </cell>
          <cell r="D417">
            <v>-1</v>
          </cell>
          <cell r="E417">
            <v>0</v>
          </cell>
          <cell r="F417">
            <v>0</v>
          </cell>
          <cell r="G417" t="str">
            <v>一、上年年末余额</v>
          </cell>
          <cell r="H417">
            <v>0</v>
          </cell>
          <cell r="I417">
            <v>8601</v>
          </cell>
          <cell r="J417" t="str">
            <v>J</v>
          </cell>
        </row>
        <row r="418">
          <cell r="B418">
            <v>8602</v>
          </cell>
          <cell r="C418" t="str">
            <v>一般风险准备_会计政策变更调整上年年末余额</v>
          </cell>
          <cell r="D418">
            <v>-1</v>
          </cell>
          <cell r="E418">
            <v>0</v>
          </cell>
          <cell r="F418">
            <v>0</v>
          </cell>
          <cell r="G418" t="str">
            <v>加：会计政策变更</v>
          </cell>
          <cell r="H418">
            <v>0</v>
          </cell>
          <cell r="I418">
            <v>8602</v>
          </cell>
          <cell r="J418" t="str">
            <v>J</v>
          </cell>
        </row>
        <row r="419">
          <cell r="B419">
            <v>8603</v>
          </cell>
          <cell r="C419" t="str">
            <v>一般风险准备_前期差错更正调整上年年末余额</v>
          </cell>
          <cell r="D419">
            <v>-1</v>
          </cell>
          <cell r="E419">
            <v>0</v>
          </cell>
          <cell r="F419">
            <v>0</v>
          </cell>
          <cell r="G419" t="str">
            <v>前期差错更正</v>
          </cell>
          <cell r="H419">
            <v>0</v>
          </cell>
          <cell r="I419">
            <v>8603</v>
          </cell>
          <cell r="J419" t="str">
            <v>J</v>
          </cell>
        </row>
        <row r="420">
          <cell r="B420">
            <v>8604</v>
          </cell>
          <cell r="C420" t="str">
            <v>一般风险准备_同一控制下企业合并调整上年年末余额</v>
          </cell>
          <cell r="D420">
            <v>-1</v>
          </cell>
          <cell r="E420" t="str">
            <v>※</v>
          </cell>
          <cell r="F420">
            <v>0</v>
          </cell>
          <cell r="G420" t="str">
            <v>同一控制下企业合并</v>
          </cell>
          <cell r="H420">
            <v>0</v>
          </cell>
          <cell r="I420">
            <v>8604</v>
          </cell>
          <cell r="J420" t="str">
            <v>J</v>
          </cell>
        </row>
        <row r="421">
          <cell r="B421">
            <v>8609</v>
          </cell>
          <cell r="C421" t="str">
            <v>一般风险准备_其他原因调整上年年末余额</v>
          </cell>
          <cell r="D421">
            <v>-1</v>
          </cell>
          <cell r="E421" t="str">
            <v>LOW</v>
          </cell>
          <cell r="F421">
            <v>0</v>
          </cell>
          <cell r="G421" t="str">
            <v>其他</v>
          </cell>
          <cell r="H421">
            <v>0</v>
          </cell>
          <cell r="I421">
            <v>8609</v>
          </cell>
          <cell r="J421" t="str">
            <v>J</v>
          </cell>
        </row>
        <row r="422">
          <cell r="B422">
            <v>8610</v>
          </cell>
          <cell r="C422" t="str">
            <v>一般风险准备_本年年初余额</v>
          </cell>
          <cell r="D422">
            <v>0</v>
          </cell>
          <cell r="E422" t="str">
            <v>＝</v>
          </cell>
          <cell r="F422">
            <v>0</v>
          </cell>
          <cell r="G422" t="str">
            <v>二、本年年初余额</v>
          </cell>
          <cell r="H422">
            <v>0</v>
          </cell>
          <cell r="I422">
            <v>8610</v>
          </cell>
          <cell r="J422">
            <v>0</v>
          </cell>
        </row>
        <row r="423">
          <cell r="B423">
            <v>8690</v>
          </cell>
          <cell r="C423" t="str">
            <v>一般风险准备_本期增减变动金额</v>
          </cell>
          <cell r="D423">
            <v>0</v>
          </cell>
          <cell r="E423" t="str">
            <v>＝</v>
          </cell>
          <cell r="F423">
            <v>0</v>
          </cell>
          <cell r="G423" t="str">
            <v>三、本期增减变动金额（减少以“-”号填列）</v>
          </cell>
          <cell r="H423">
            <v>0</v>
          </cell>
          <cell r="I423">
            <v>8690</v>
          </cell>
          <cell r="J423">
            <v>0</v>
          </cell>
        </row>
        <row r="424">
          <cell r="B424">
            <v>8650</v>
          </cell>
          <cell r="C424" t="str">
            <v>一般风险准备_所有者投入和减少资本影响权益</v>
          </cell>
          <cell r="D424">
            <v>0</v>
          </cell>
          <cell r="E424" t="str">
            <v>＝</v>
          </cell>
          <cell r="F424">
            <v>0</v>
          </cell>
          <cell r="G424" t="str">
            <v>（二）所有者投入和减少资本</v>
          </cell>
          <cell r="H424">
            <v>0</v>
          </cell>
          <cell r="I424">
            <v>8650</v>
          </cell>
          <cell r="J424">
            <v>0</v>
          </cell>
        </row>
        <row r="425">
          <cell r="B425">
            <v>8653</v>
          </cell>
          <cell r="C425" t="str">
            <v>一般风险准备_其他权益工具持有者投入资本</v>
          </cell>
          <cell r="D425">
            <v>-1</v>
          </cell>
          <cell r="E425" t="str">
            <v>OEI</v>
          </cell>
          <cell r="F425">
            <v>0</v>
          </cell>
          <cell r="G425" t="str">
            <v>其他权益工具持有者投入资本</v>
          </cell>
          <cell r="H425">
            <v>0</v>
          </cell>
          <cell r="I425">
            <v>8653</v>
          </cell>
          <cell r="J425" t="str">
            <v>J</v>
          </cell>
        </row>
        <row r="426">
          <cell r="B426">
            <v>8656</v>
          </cell>
          <cell r="C426" t="str">
            <v>一般风险准备_所有者其他投入和减少资本</v>
          </cell>
          <cell r="D426">
            <v>-1</v>
          </cell>
          <cell r="E426" t="str">
            <v>LOW</v>
          </cell>
          <cell r="F426">
            <v>0</v>
          </cell>
          <cell r="G426" t="str">
            <v>其他</v>
          </cell>
          <cell r="H426">
            <v>0</v>
          </cell>
          <cell r="I426">
            <v>8656</v>
          </cell>
          <cell r="J426" t="str">
            <v>J</v>
          </cell>
        </row>
        <row r="427">
          <cell r="B427">
            <v>8660</v>
          </cell>
          <cell r="C427" t="str">
            <v>一般风险准备_利润分配影响权益</v>
          </cell>
          <cell r="D427">
            <v>0</v>
          </cell>
          <cell r="E427" t="str">
            <v>＝</v>
          </cell>
          <cell r="F427">
            <v>0</v>
          </cell>
          <cell r="G427" t="str">
            <v>（三）利润分配</v>
          </cell>
          <cell r="H427">
            <v>0</v>
          </cell>
          <cell r="I427">
            <v>8660</v>
          </cell>
          <cell r="J427">
            <v>0</v>
          </cell>
        </row>
        <row r="428">
          <cell r="B428">
            <v>8662</v>
          </cell>
          <cell r="C428" t="str">
            <v>一般风险准备_提取</v>
          </cell>
          <cell r="D428">
            <v>-1</v>
          </cell>
          <cell r="E428">
            <v>0</v>
          </cell>
          <cell r="F428">
            <v>0</v>
          </cell>
          <cell r="G428" t="str">
            <v>提取一般风险准备</v>
          </cell>
          <cell r="H428">
            <v>0</v>
          </cell>
          <cell r="I428">
            <v>8662</v>
          </cell>
          <cell r="J428" t="str">
            <v>J</v>
          </cell>
        </row>
        <row r="429">
          <cell r="B429">
            <v>8666</v>
          </cell>
          <cell r="C429" t="str">
            <v>一般风险准备_其他利润分配</v>
          </cell>
          <cell r="D429">
            <v>-1</v>
          </cell>
          <cell r="E429" t="str">
            <v>LOW</v>
          </cell>
          <cell r="F429">
            <v>0</v>
          </cell>
          <cell r="G429" t="str">
            <v>其他</v>
          </cell>
          <cell r="H429">
            <v>0</v>
          </cell>
          <cell r="I429">
            <v>8666</v>
          </cell>
          <cell r="J429" t="str">
            <v>J</v>
          </cell>
        </row>
        <row r="430">
          <cell r="B430">
            <v>8670</v>
          </cell>
          <cell r="C430" t="str">
            <v>一般风险准备_所有者权益内部结转</v>
          </cell>
          <cell r="D430">
            <v>0</v>
          </cell>
          <cell r="E430" t="str">
            <v>＝</v>
          </cell>
          <cell r="F430">
            <v>0</v>
          </cell>
          <cell r="G430" t="str">
            <v>（四）所有者权益内部结转</v>
          </cell>
          <cell r="H430">
            <v>0</v>
          </cell>
          <cell r="I430">
            <v>8670</v>
          </cell>
          <cell r="J430">
            <v>0</v>
          </cell>
        </row>
        <row r="431">
          <cell r="B431">
            <v>8675</v>
          </cell>
          <cell r="C431" t="str">
            <v>一般风险准备_结转重新计量设定受益计划净负债或净资产所产生的变动</v>
          </cell>
          <cell r="D431">
            <v>-1</v>
          </cell>
          <cell r="E431" t="str">
            <v>OEI</v>
          </cell>
          <cell r="F431">
            <v>0</v>
          </cell>
          <cell r="G431" t="str">
            <v>结转重新计量设定受益计划净负债或净资产所产生的变动</v>
          </cell>
          <cell r="H431">
            <v>0</v>
          </cell>
          <cell r="I431">
            <v>8675</v>
          </cell>
          <cell r="J431" t="str">
            <v>J</v>
          </cell>
        </row>
        <row r="432">
          <cell r="B432">
            <v>8676</v>
          </cell>
          <cell r="C432" t="str">
            <v>一般风险准备_所有者权益其他内部结转</v>
          </cell>
          <cell r="D432">
            <v>-1</v>
          </cell>
          <cell r="E432">
            <v>0</v>
          </cell>
          <cell r="F432">
            <v>0</v>
          </cell>
          <cell r="G432" t="str">
            <v>其他</v>
          </cell>
          <cell r="H432">
            <v>0</v>
          </cell>
          <cell r="I432">
            <v>8676</v>
          </cell>
          <cell r="J432" t="str">
            <v>J</v>
          </cell>
        </row>
        <row r="433">
          <cell r="B433">
            <v>8696</v>
          </cell>
          <cell r="C433" t="str">
            <v>一般风险准备_本期其他增减变动</v>
          </cell>
          <cell r="D433">
            <v>-1</v>
          </cell>
          <cell r="E433" t="str">
            <v>LOW</v>
          </cell>
          <cell r="F433">
            <v>0</v>
          </cell>
          <cell r="G433" t="str">
            <v>（七）其他</v>
          </cell>
          <cell r="H433">
            <v>0</v>
          </cell>
          <cell r="I433">
            <v>8696</v>
          </cell>
          <cell r="J433" t="str">
            <v>J</v>
          </cell>
        </row>
        <row r="434">
          <cell r="B434">
            <v>8699</v>
          </cell>
          <cell r="C434" t="str">
            <v>一般风险准备_本期期末余额</v>
          </cell>
          <cell r="D434">
            <v>0</v>
          </cell>
          <cell r="E434" t="str">
            <v>＝</v>
          </cell>
          <cell r="F434">
            <v>0</v>
          </cell>
          <cell r="G434" t="str">
            <v>四、本期期末余额</v>
          </cell>
          <cell r="H434">
            <v>0</v>
          </cell>
          <cell r="I434">
            <v>8699</v>
          </cell>
          <cell r="J434">
            <v>0</v>
          </cell>
        </row>
        <row r="435">
          <cell r="B435">
            <v>8700</v>
          </cell>
          <cell r="C435" t="str">
            <v>未分配利润增减变动</v>
          </cell>
          <cell r="D435">
            <v>0</v>
          </cell>
          <cell r="E435" t="str">
            <v>：</v>
          </cell>
          <cell r="F435">
            <v>0</v>
          </cell>
          <cell r="G435" t="str">
            <v>未分配利润增减变动</v>
          </cell>
          <cell r="H435">
            <v>0</v>
          </cell>
          <cell r="I435">
            <v>8700</v>
          </cell>
          <cell r="J435">
            <v>0</v>
          </cell>
        </row>
        <row r="436">
          <cell r="B436">
            <v>8701</v>
          </cell>
          <cell r="C436" t="str">
            <v>未分配利润_上年年末余额</v>
          </cell>
          <cell r="D436">
            <v>-1</v>
          </cell>
          <cell r="E436">
            <v>0</v>
          </cell>
          <cell r="F436">
            <v>5610</v>
          </cell>
          <cell r="G436" t="str">
            <v>一、上年年末余额</v>
          </cell>
          <cell r="H436">
            <v>0</v>
          </cell>
          <cell r="I436">
            <v>8701</v>
          </cell>
          <cell r="J436" t="str">
            <v>J</v>
          </cell>
        </row>
        <row r="437">
          <cell r="B437">
            <v>8702</v>
          </cell>
          <cell r="C437" t="str">
            <v>未分配利润_会计政策变更调整上年年末余额</v>
          </cell>
          <cell r="D437">
            <v>-1</v>
          </cell>
          <cell r="E437">
            <v>0</v>
          </cell>
          <cell r="F437">
            <v>5610</v>
          </cell>
          <cell r="G437" t="str">
            <v>加：会计政策变更</v>
          </cell>
          <cell r="H437">
            <v>0</v>
          </cell>
          <cell r="I437">
            <v>8702</v>
          </cell>
          <cell r="J437" t="str">
            <v>J</v>
          </cell>
        </row>
        <row r="438">
          <cell r="B438">
            <v>8703</v>
          </cell>
          <cell r="C438" t="str">
            <v>未分配利润_前期差错更正调整上年年末余额</v>
          </cell>
          <cell r="D438">
            <v>-1</v>
          </cell>
          <cell r="E438">
            <v>0</v>
          </cell>
          <cell r="F438">
            <v>5610</v>
          </cell>
          <cell r="G438" t="str">
            <v>前期差错更正</v>
          </cell>
          <cell r="H438">
            <v>0</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H439">
            <v>0</v>
          </cell>
          <cell r="I439">
            <v>8704</v>
          </cell>
          <cell r="J439" t="str">
            <v>J</v>
          </cell>
        </row>
        <row r="440">
          <cell r="B440">
            <v>8709</v>
          </cell>
          <cell r="C440" t="str">
            <v>未分配利润_其他原因调整上年年末余额</v>
          </cell>
          <cell r="D440">
            <v>-1</v>
          </cell>
          <cell r="E440">
            <v>0</v>
          </cell>
          <cell r="F440">
            <v>5610</v>
          </cell>
          <cell r="G440" t="str">
            <v>其他</v>
          </cell>
          <cell r="H440">
            <v>0</v>
          </cell>
          <cell r="I440">
            <v>8709</v>
          </cell>
          <cell r="J440" t="str">
            <v>J</v>
          </cell>
        </row>
        <row r="441">
          <cell r="B441">
            <v>8710</v>
          </cell>
          <cell r="C441" t="str">
            <v>未分配利润_本年年初余额</v>
          </cell>
          <cell r="D441">
            <v>0</v>
          </cell>
          <cell r="E441" t="str">
            <v>＝</v>
          </cell>
          <cell r="F441">
            <v>0</v>
          </cell>
          <cell r="G441" t="str">
            <v>二、本年年初余额</v>
          </cell>
          <cell r="H441">
            <v>0</v>
          </cell>
          <cell r="I441">
            <v>8710</v>
          </cell>
          <cell r="J441">
            <v>0</v>
          </cell>
        </row>
        <row r="442">
          <cell r="B442">
            <v>8753</v>
          </cell>
          <cell r="C442" t="str">
            <v>未分配利润_其他权益工具持有者投入资本</v>
          </cell>
          <cell r="D442">
            <v>-1</v>
          </cell>
          <cell r="E442" t="str">
            <v>OEI</v>
          </cell>
          <cell r="F442">
            <v>5610</v>
          </cell>
          <cell r="G442" t="str">
            <v>其他权益工具持有者投入资本</v>
          </cell>
          <cell r="H442">
            <v>0</v>
          </cell>
          <cell r="I442">
            <v>8753</v>
          </cell>
          <cell r="J442" t="str">
            <v>J</v>
          </cell>
        </row>
        <row r="443">
          <cell r="B443">
            <v>8790</v>
          </cell>
          <cell r="C443" t="str">
            <v>未分配利润_本期增减变动金额</v>
          </cell>
          <cell r="D443">
            <v>0</v>
          </cell>
          <cell r="E443" t="str">
            <v>＝</v>
          </cell>
          <cell r="F443">
            <v>0</v>
          </cell>
          <cell r="G443" t="str">
            <v>三、本期增减变动金额（减少以“-”号填列）</v>
          </cell>
          <cell r="H443">
            <v>0</v>
          </cell>
          <cell r="I443">
            <v>8790</v>
          </cell>
          <cell r="J443">
            <v>0</v>
          </cell>
        </row>
        <row r="444">
          <cell r="B444">
            <v>8721</v>
          </cell>
          <cell r="C444" t="str">
            <v>未分配利润_净利润增加权益</v>
          </cell>
          <cell r="D444">
            <v>-1</v>
          </cell>
          <cell r="E444">
            <v>0</v>
          </cell>
          <cell r="F444">
            <v>0</v>
          </cell>
          <cell r="G444" t="str">
            <v>（一）净利润</v>
          </cell>
          <cell r="H444">
            <v>0</v>
          </cell>
          <cell r="I444">
            <v>8721</v>
          </cell>
          <cell r="J444">
            <v>0</v>
          </cell>
        </row>
        <row r="445">
          <cell r="B445">
            <v>8740</v>
          </cell>
          <cell r="C445" t="str">
            <v>未分配利润_综合收益总额增加权益</v>
          </cell>
          <cell r="D445">
            <v>-1</v>
          </cell>
          <cell r="E445">
            <v>0</v>
          </cell>
          <cell r="F445">
            <v>0</v>
          </cell>
          <cell r="G445" t="str">
            <v>（一）综合收益总额</v>
          </cell>
          <cell r="H445">
            <v>0</v>
          </cell>
          <cell r="I445">
            <v>8740</v>
          </cell>
          <cell r="J445">
            <v>0</v>
          </cell>
        </row>
        <row r="446">
          <cell r="B446">
            <v>8750</v>
          </cell>
          <cell r="C446" t="str">
            <v>未分配利润_所有者投入和减少资本影响权益</v>
          </cell>
          <cell r="D446">
            <v>0</v>
          </cell>
          <cell r="E446" t="str">
            <v>＝</v>
          </cell>
          <cell r="F446">
            <v>0</v>
          </cell>
          <cell r="G446" t="str">
            <v>（二）所有者投入和减少资本</v>
          </cell>
          <cell r="H446">
            <v>0</v>
          </cell>
          <cell r="I446">
            <v>8750</v>
          </cell>
          <cell r="J446">
            <v>0</v>
          </cell>
        </row>
        <row r="447">
          <cell r="B447">
            <v>8756</v>
          </cell>
          <cell r="C447" t="str">
            <v>未分配利润_所有者其他投入和减少资本</v>
          </cell>
          <cell r="D447">
            <v>-1</v>
          </cell>
          <cell r="E447">
            <v>0</v>
          </cell>
          <cell r="F447">
            <v>5610</v>
          </cell>
          <cell r="G447" t="str">
            <v>其他</v>
          </cell>
          <cell r="H447">
            <v>0</v>
          </cell>
          <cell r="I447">
            <v>8756</v>
          </cell>
          <cell r="J447" t="str">
            <v>J</v>
          </cell>
        </row>
        <row r="448">
          <cell r="B448">
            <v>8760</v>
          </cell>
          <cell r="C448" t="str">
            <v>未分配利润_利润分配影响权益</v>
          </cell>
          <cell r="D448">
            <v>0</v>
          </cell>
          <cell r="E448" t="str">
            <v>＝</v>
          </cell>
          <cell r="F448">
            <v>0</v>
          </cell>
          <cell r="G448" t="str">
            <v>（三）利润分配</v>
          </cell>
          <cell r="H448">
            <v>0</v>
          </cell>
          <cell r="I448">
            <v>8760</v>
          </cell>
          <cell r="J448">
            <v>0</v>
          </cell>
        </row>
        <row r="449">
          <cell r="B449">
            <v>8761</v>
          </cell>
          <cell r="C449" t="str">
            <v>未分配利润_提取盈余公积</v>
          </cell>
          <cell r="D449">
            <v>-1</v>
          </cell>
          <cell r="E449">
            <v>0</v>
          </cell>
          <cell r="F449">
            <v>5610</v>
          </cell>
          <cell r="G449" t="str">
            <v>提取盈余公积</v>
          </cell>
          <cell r="H449">
            <v>0</v>
          </cell>
          <cell r="I449">
            <v>8761</v>
          </cell>
          <cell r="J449" t="str">
            <v>J</v>
          </cell>
        </row>
        <row r="450">
          <cell r="B450">
            <v>8762</v>
          </cell>
          <cell r="C450" t="str">
            <v>未分配利润_提取一般风险准备</v>
          </cell>
          <cell r="D450">
            <v>-1</v>
          </cell>
          <cell r="E450">
            <v>0</v>
          </cell>
          <cell r="F450">
            <v>5610</v>
          </cell>
          <cell r="G450" t="str">
            <v>提取一般风险准备</v>
          </cell>
          <cell r="H450">
            <v>0</v>
          </cell>
          <cell r="I450">
            <v>8762</v>
          </cell>
          <cell r="J450" t="str">
            <v>J</v>
          </cell>
        </row>
        <row r="451">
          <cell r="B451">
            <v>8763</v>
          </cell>
          <cell r="C451" t="str">
            <v>未分配利润_对所有者的分配</v>
          </cell>
          <cell r="D451">
            <v>-1</v>
          </cell>
          <cell r="E451">
            <v>0</v>
          </cell>
          <cell r="F451">
            <v>5610</v>
          </cell>
          <cell r="G451" t="str">
            <v>对所有者（或股东）的分配</v>
          </cell>
          <cell r="H451">
            <v>0</v>
          </cell>
          <cell r="I451">
            <v>8763</v>
          </cell>
          <cell r="J451" t="str">
            <v>J</v>
          </cell>
        </row>
        <row r="452">
          <cell r="B452">
            <v>8766</v>
          </cell>
          <cell r="C452" t="str">
            <v>未分配利润_其他利润分配</v>
          </cell>
          <cell r="D452">
            <v>-1</v>
          </cell>
          <cell r="E452">
            <v>0</v>
          </cell>
          <cell r="F452">
            <v>5610</v>
          </cell>
          <cell r="G452" t="str">
            <v>其他</v>
          </cell>
          <cell r="H452">
            <v>0</v>
          </cell>
          <cell r="I452">
            <v>8766</v>
          </cell>
          <cell r="J452" t="str">
            <v>J</v>
          </cell>
        </row>
        <row r="453">
          <cell r="B453">
            <v>8770</v>
          </cell>
          <cell r="C453" t="str">
            <v>未分配利润_所有者权益内部结转</v>
          </cell>
          <cell r="D453">
            <v>0</v>
          </cell>
          <cell r="E453" t="str">
            <v>＝</v>
          </cell>
          <cell r="F453">
            <v>0</v>
          </cell>
          <cell r="G453" t="str">
            <v>（四）所有者权益内部结转</v>
          </cell>
          <cell r="H453">
            <v>0</v>
          </cell>
          <cell r="I453">
            <v>8770</v>
          </cell>
          <cell r="J453">
            <v>0</v>
          </cell>
        </row>
        <row r="454">
          <cell r="B454">
            <v>8773</v>
          </cell>
          <cell r="C454" t="str">
            <v>未分配利润_盈余公积弥补亏损</v>
          </cell>
          <cell r="D454">
            <v>-1</v>
          </cell>
          <cell r="E454">
            <v>0</v>
          </cell>
          <cell r="F454">
            <v>5610</v>
          </cell>
          <cell r="G454" t="str">
            <v>盈余公积弥补亏损</v>
          </cell>
          <cell r="H454">
            <v>0</v>
          </cell>
          <cell r="I454">
            <v>8773</v>
          </cell>
          <cell r="J454" t="str">
            <v>J</v>
          </cell>
        </row>
        <row r="455">
          <cell r="B455">
            <v>8775</v>
          </cell>
          <cell r="C455" t="str">
            <v>未分配利润_结转重新计量设定受益计划净负债或净资产所产生的变动</v>
          </cell>
          <cell r="D455">
            <v>-1</v>
          </cell>
          <cell r="E455" t="str">
            <v>OEI</v>
          </cell>
          <cell r="F455">
            <v>5610</v>
          </cell>
          <cell r="G455" t="str">
            <v>结转重新计量设定受益计划净负债或净资产所产生的变动</v>
          </cell>
          <cell r="H455">
            <v>0</v>
          </cell>
          <cell r="I455">
            <v>8775</v>
          </cell>
          <cell r="J455" t="str">
            <v>J</v>
          </cell>
        </row>
        <row r="456">
          <cell r="B456">
            <v>8776</v>
          </cell>
          <cell r="C456" t="str">
            <v>未分配利润_所有者权益其他内部结转</v>
          </cell>
          <cell r="D456">
            <v>-1</v>
          </cell>
          <cell r="E456">
            <v>0</v>
          </cell>
          <cell r="F456">
            <v>5610</v>
          </cell>
          <cell r="G456" t="str">
            <v>其他</v>
          </cell>
          <cell r="H456">
            <v>0</v>
          </cell>
          <cell r="I456">
            <v>8776</v>
          </cell>
          <cell r="J456" t="str">
            <v>J</v>
          </cell>
        </row>
        <row r="457">
          <cell r="B457">
            <v>8780</v>
          </cell>
          <cell r="C457" t="str">
            <v>未分配利润_专项储备影响权益</v>
          </cell>
          <cell r="D457">
            <v>0</v>
          </cell>
          <cell r="E457" t="str">
            <v>＝</v>
          </cell>
          <cell r="F457">
            <v>0</v>
          </cell>
          <cell r="G457" t="str">
            <v>（五）专项储备</v>
          </cell>
          <cell r="H457">
            <v>0</v>
          </cell>
          <cell r="I457">
            <v>8780</v>
          </cell>
          <cell r="J457">
            <v>0</v>
          </cell>
        </row>
        <row r="458">
          <cell r="B458">
            <v>8781</v>
          </cell>
          <cell r="C458" t="str">
            <v>未分配利润_专项储备本期提取</v>
          </cell>
          <cell r="D458">
            <v>-1</v>
          </cell>
          <cell r="E458" t="str">
            <v>LOW</v>
          </cell>
          <cell r="F458">
            <v>5610</v>
          </cell>
          <cell r="G458" t="str">
            <v>本期提取</v>
          </cell>
          <cell r="H458">
            <v>0</v>
          </cell>
          <cell r="I458">
            <v>8781</v>
          </cell>
          <cell r="J458" t="str">
            <v>J</v>
          </cell>
        </row>
        <row r="459">
          <cell r="B459">
            <v>8782</v>
          </cell>
          <cell r="C459" t="str">
            <v>未分配利润_专项储备本期使用</v>
          </cell>
          <cell r="D459">
            <v>-1</v>
          </cell>
          <cell r="E459" t="str">
            <v>LOW</v>
          </cell>
          <cell r="F459">
            <v>5610</v>
          </cell>
          <cell r="G459" t="str">
            <v>本期使用</v>
          </cell>
          <cell r="H459">
            <v>0</v>
          </cell>
          <cell r="I459">
            <v>8782</v>
          </cell>
          <cell r="J459" t="str">
            <v>J</v>
          </cell>
        </row>
        <row r="460">
          <cell r="B460">
            <v>8796</v>
          </cell>
          <cell r="C460" t="str">
            <v>未分配利润_本期其他增减变动</v>
          </cell>
          <cell r="D460">
            <v>-1</v>
          </cell>
          <cell r="E460" t="str">
            <v>LOW</v>
          </cell>
          <cell r="F460">
            <v>5610</v>
          </cell>
          <cell r="G460" t="str">
            <v>（七）其他</v>
          </cell>
          <cell r="H460">
            <v>0</v>
          </cell>
          <cell r="I460">
            <v>8796</v>
          </cell>
          <cell r="J460" t="str">
            <v>J</v>
          </cell>
        </row>
        <row r="461">
          <cell r="B461">
            <v>8799</v>
          </cell>
          <cell r="C461" t="str">
            <v>未分配利润_本期期末余额</v>
          </cell>
          <cell r="D461">
            <v>0</v>
          </cell>
          <cell r="E461" t="str">
            <v>＝</v>
          </cell>
          <cell r="F461">
            <v>0</v>
          </cell>
          <cell r="G461" t="str">
            <v>四、本期期末余额</v>
          </cell>
          <cell r="H461">
            <v>0</v>
          </cell>
          <cell r="I461">
            <v>8799</v>
          </cell>
          <cell r="J461">
            <v>0</v>
          </cell>
        </row>
        <row r="462">
          <cell r="B462">
            <v>8800</v>
          </cell>
          <cell r="C462" t="str">
            <v>其他归属于母公司所有者权益增减变动</v>
          </cell>
          <cell r="D462">
            <v>0</v>
          </cell>
          <cell r="E462" t="str">
            <v>※</v>
          </cell>
          <cell r="F462">
            <v>0</v>
          </cell>
          <cell r="G462" t="str">
            <v>其他归属于母公司所有者权益增减变动</v>
          </cell>
          <cell r="H462">
            <v>0</v>
          </cell>
          <cell r="I462">
            <v>8800</v>
          </cell>
          <cell r="J462">
            <v>0</v>
          </cell>
        </row>
        <row r="463">
          <cell r="B463">
            <v>8801</v>
          </cell>
          <cell r="C463" t="str">
            <v>其他归属于母公司所有者权益_上年年末余额</v>
          </cell>
          <cell r="D463">
            <v>-1</v>
          </cell>
          <cell r="E463" t="str">
            <v>※</v>
          </cell>
          <cell r="F463">
            <v>0</v>
          </cell>
          <cell r="G463" t="str">
            <v>一、上年年末余额</v>
          </cell>
          <cell r="H463">
            <v>0</v>
          </cell>
          <cell r="I463">
            <v>8801</v>
          </cell>
          <cell r="J463">
            <v>0</v>
          </cell>
        </row>
        <row r="464">
          <cell r="B464">
            <v>8802</v>
          </cell>
          <cell r="C464" t="str">
            <v>其他归属于母公司所有者权益_会计政策变更调整上年年末余额</v>
          </cell>
          <cell r="D464">
            <v>-1</v>
          </cell>
          <cell r="E464" t="str">
            <v>※LOW</v>
          </cell>
          <cell r="F464">
            <v>0</v>
          </cell>
          <cell r="G464" t="str">
            <v>加：会计政策变更</v>
          </cell>
          <cell r="H464">
            <v>0</v>
          </cell>
          <cell r="I464">
            <v>8802</v>
          </cell>
          <cell r="J464">
            <v>0</v>
          </cell>
        </row>
        <row r="465">
          <cell r="B465">
            <v>8803</v>
          </cell>
          <cell r="C465" t="str">
            <v>其他归属于母公司所有者权益_前期差错更正调整上年年末余额</v>
          </cell>
          <cell r="D465">
            <v>-1</v>
          </cell>
          <cell r="E465" t="str">
            <v>※LOW</v>
          </cell>
          <cell r="F465">
            <v>0</v>
          </cell>
          <cell r="G465" t="str">
            <v>前期差错更正</v>
          </cell>
          <cell r="H465">
            <v>0</v>
          </cell>
          <cell r="I465">
            <v>8803</v>
          </cell>
          <cell r="J465">
            <v>0</v>
          </cell>
        </row>
        <row r="466">
          <cell r="B466">
            <v>8804</v>
          </cell>
          <cell r="C466" t="str">
            <v>其他归属于母公司所有者权益_同一控制下企业合并调整上年年末余额</v>
          </cell>
          <cell r="D466">
            <v>-1</v>
          </cell>
          <cell r="E466" t="str">
            <v>※</v>
          </cell>
          <cell r="F466">
            <v>0</v>
          </cell>
          <cell r="G466" t="str">
            <v>同一控制下企业合并</v>
          </cell>
          <cell r="H466">
            <v>0</v>
          </cell>
          <cell r="I466">
            <v>8804</v>
          </cell>
          <cell r="J466">
            <v>0</v>
          </cell>
        </row>
        <row r="467">
          <cell r="B467">
            <v>8809</v>
          </cell>
          <cell r="C467" t="str">
            <v>其他归属于母公司所有者权益_其他原因调整上年年末余额</v>
          </cell>
          <cell r="D467">
            <v>-1</v>
          </cell>
          <cell r="E467" t="str">
            <v>※LOW</v>
          </cell>
          <cell r="F467">
            <v>0</v>
          </cell>
          <cell r="G467" t="str">
            <v>其他</v>
          </cell>
          <cell r="H467">
            <v>0</v>
          </cell>
          <cell r="I467">
            <v>8809</v>
          </cell>
          <cell r="J467">
            <v>0</v>
          </cell>
        </row>
        <row r="468">
          <cell r="B468">
            <v>8810</v>
          </cell>
          <cell r="C468" t="str">
            <v>其他归属于母公司所有者权益_本年年初余额</v>
          </cell>
          <cell r="D468">
            <v>0</v>
          </cell>
          <cell r="E468" t="str">
            <v>※＝</v>
          </cell>
          <cell r="F468">
            <v>0</v>
          </cell>
          <cell r="G468" t="str">
            <v>二、本年年初余额</v>
          </cell>
          <cell r="H468">
            <v>0</v>
          </cell>
          <cell r="I468">
            <v>8810</v>
          </cell>
          <cell r="J468">
            <v>0</v>
          </cell>
        </row>
        <row r="469">
          <cell r="B469">
            <v>8890</v>
          </cell>
          <cell r="C469" t="str">
            <v>其他归属于母公司所有者权益_本期增减变动金额</v>
          </cell>
          <cell r="D469">
            <v>0</v>
          </cell>
          <cell r="E469" t="str">
            <v>※＝</v>
          </cell>
          <cell r="F469">
            <v>0</v>
          </cell>
          <cell r="G469" t="str">
            <v>三、本期增减变动金额（减少以“-”号填列）</v>
          </cell>
          <cell r="H469">
            <v>0</v>
          </cell>
          <cell r="I469">
            <v>8890</v>
          </cell>
          <cell r="J469">
            <v>0</v>
          </cell>
        </row>
        <row r="470">
          <cell r="B470">
            <v>8821</v>
          </cell>
          <cell r="C470" t="str">
            <v>其他归属于母公司所有者权益_净利润增加权益</v>
          </cell>
          <cell r="D470">
            <v>-1</v>
          </cell>
          <cell r="E470" t="str">
            <v>※LOW</v>
          </cell>
          <cell r="F470">
            <v>0</v>
          </cell>
          <cell r="G470" t="str">
            <v>（一）净利润</v>
          </cell>
          <cell r="H470">
            <v>0</v>
          </cell>
          <cell r="I470">
            <v>8821</v>
          </cell>
          <cell r="J470">
            <v>0</v>
          </cell>
        </row>
        <row r="471">
          <cell r="B471">
            <v>8830</v>
          </cell>
          <cell r="C471" t="str">
            <v>其他归属于母公司所有者权益_其他综合收益</v>
          </cell>
          <cell r="D471">
            <v>-1</v>
          </cell>
          <cell r="E471" t="str">
            <v>※LOW</v>
          </cell>
          <cell r="F471">
            <v>0</v>
          </cell>
          <cell r="G471" t="str">
            <v>（二）其他综合收益</v>
          </cell>
          <cell r="H471">
            <v>0</v>
          </cell>
          <cell r="I471">
            <v>8830</v>
          </cell>
          <cell r="J471">
            <v>0</v>
          </cell>
        </row>
        <row r="472">
          <cell r="B472">
            <v>8840</v>
          </cell>
          <cell r="C472" t="str">
            <v>其他归属于母公司所有者权益_综合收益总额增加权益</v>
          </cell>
          <cell r="D472">
            <v>-1</v>
          </cell>
          <cell r="E472" t="str">
            <v>※</v>
          </cell>
          <cell r="F472">
            <v>0</v>
          </cell>
          <cell r="G472" t="str">
            <v>（一）综合收益总额</v>
          </cell>
          <cell r="H472">
            <v>0</v>
          </cell>
          <cell r="I472">
            <v>8840</v>
          </cell>
          <cell r="J472">
            <v>0</v>
          </cell>
        </row>
        <row r="473">
          <cell r="B473">
            <v>8850</v>
          </cell>
          <cell r="C473" t="str">
            <v>其他归属于母公司所有者权益_所有者投入和减少资本影响权益</v>
          </cell>
          <cell r="D473">
            <v>0</v>
          </cell>
          <cell r="E473" t="str">
            <v>※＝</v>
          </cell>
          <cell r="F473">
            <v>0</v>
          </cell>
          <cell r="G473" t="str">
            <v>（二）所有者投入和减少资本</v>
          </cell>
          <cell r="H473">
            <v>0</v>
          </cell>
          <cell r="I473">
            <v>8850</v>
          </cell>
          <cell r="J473">
            <v>0</v>
          </cell>
        </row>
        <row r="474">
          <cell r="B474">
            <v>8851</v>
          </cell>
          <cell r="C474" t="str">
            <v>其他归属于母公司所有者权益_所有者投入资本</v>
          </cell>
          <cell r="D474">
            <v>-1</v>
          </cell>
          <cell r="E474" t="str">
            <v>※LOW</v>
          </cell>
          <cell r="F474">
            <v>0</v>
          </cell>
          <cell r="G474" t="str">
            <v>所有者投入资本</v>
          </cell>
          <cell r="H474">
            <v>0</v>
          </cell>
          <cell r="I474">
            <v>8851</v>
          </cell>
          <cell r="J474">
            <v>0</v>
          </cell>
        </row>
        <row r="475">
          <cell r="B475">
            <v>8852</v>
          </cell>
          <cell r="C475" t="str">
            <v>其他归属于母公司所有者权益_股份支付</v>
          </cell>
          <cell r="D475">
            <v>-1</v>
          </cell>
          <cell r="E475" t="str">
            <v>※LOW</v>
          </cell>
          <cell r="F475">
            <v>0</v>
          </cell>
          <cell r="G475" t="str">
            <v>股份支付计入所有者权益的金额</v>
          </cell>
          <cell r="H475">
            <v>0</v>
          </cell>
          <cell r="I475">
            <v>8852</v>
          </cell>
          <cell r="J475">
            <v>0</v>
          </cell>
        </row>
        <row r="476">
          <cell r="B476">
            <v>8853</v>
          </cell>
          <cell r="C476" t="str">
            <v>其他归属于母公司所有者权益_其他权益工具持有者投入资本</v>
          </cell>
          <cell r="D476">
            <v>-1</v>
          </cell>
          <cell r="E476" t="str">
            <v>※OEI</v>
          </cell>
          <cell r="F476">
            <v>0</v>
          </cell>
          <cell r="G476" t="str">
            <v>其他权益工具持有者投入资本</v>
          </cell>
          <cell r="H476">
            <v>0</v>
          </cell>
          <cell r="I476">
            <v>8853</v>
          </cell>
          <cell r="J476">
            <v>0</v>
          </cell>
        </row>
        <row r="477">
          <cell r="B477">
            <v>8856</v>
          </cell>
          <cell r="C477" t="str">
            <v>其他归属于母公司所有者权益_所有者其他投入和减少资本</v>
          </cell>
          <cell r="D477">
            <v>-1</v>
          </cell>
          <cell r="E477" t="str">
            <v>※LOW</v>
          </cell>
          <cell r="F477">
            <v>0</v>
          </cell>
          <cell r="G477" t="str">
            <v>其他</v>
          </cell>
          <cell r="H477">
            <v>0</v>
          </cell>
          <cell r="I477">
            <v>8856</v>
          </cell>
          <cell r="J477">
            <v>0</v>
          </cell>
        </row>
        <row r="478">
          <cell r="B478">
            <v>8860</v>
          </cell>
          <cell r="C478" t="str">
            <v>其他归属于母公司所有者权益_利润分配影响权益</v>
          </cell>
          <cell r="D478">
            <v>0</v>
          </cell>
          <cell r="E478" t="str">
            <v>※＝</v>
          </cell>
          <cell r="F478">
            <v>0</v>
          </cell>
          <cell r="G478" t="str">
            <v>（三）利润分配</v>
          </cell>
          <cell r="H478">
            <v>0</v>
          </cell>
          <cell r="I478">
            <v>8860</v>
          </cell>
          <cell r="J478">
            <v>0</v>
          </cell>
        </row>
        <row r="479">
          <cell r="B479">
            <v>8861</v>
          </cell>
          <cell r="C479" t="str">
            <v>其他归属于母公司所有者权益_提取盈余公积</v>
          </cell>
          <cell r="D479">
            <v>-1</v>
          </cell>
          <cell r="E479" t="str">
            <v>※LOW</v>
          </cell>
          <cell r="F479">
            <v>0</v>
          </cell>
          <cell r="G479" t="str">
            <v>提取盈余公积</v>
          </cell>
          <cell r="H479">
            <v>0</v>
          </cell>
          <cell r="I479">
            <v>8861</v>
          </cell>
          <cell r="J479">
            <v>0</v>
          </cell>
        </row>
        <row r="480">
          <cell r="B480">
            <v>8862</v>
          </cell>
          <cell r="C480" t="str">
            <v>其他归属于母公司所有者权益_提取一般风险准备</v>
          </cell>
          <cell r="D480">
            <v>-1</v>
          </cell>
          <cell r="E480" t="str">
            <v>※LOW</v>
          </cell>
          <cell r="F480">
            <v>0</v>
          </cell>
          <cell r="G480" t="str">
            <v>提取一般风险准备</v>
          </cell>
          <cell r="H480">
            <v>0</v>
          </cell>
          <cell r="I480">
            <v>8862</v>
          </cell>
          <cell r="J480">
            <v>0</v>
          </cell>
        </row>
        <row r="481">
          <cell r="B481">
            <v>8863</v>
          </cell>
          <cell r="C481" t="str">
            <v>其他归属于母公司所有者权益_对所有者的分配</v>
          </cell>
          <cell r="D481">
            <v>-1</v>
          </cell>
          <cell r="E481" t="str">
            <v>※LOW</v>
          </cell>
          <cell r="F481">
            <v>0</v>
          </cell>
          <cell r="G481" t="str">
            <v>对所有者（或股东）的分配</v>
          </cell>
          <cell r="H481">
            <v>0</v>
          </cell>
          <cell r="I481">
            <v>8863</v>
          </cell>
          <cell r="J481">
            <v>0</v>
          </cell>
        </row>
        <row r="482">
          <cell r="B482">
            <v>8866</v>
          </cell>
          <cell r="C482" t="str">
            <v>其他归属于母公司所有者权益_其他利润分配</v>
          </cell>
          <cell r="D482">
            <v>-1</v>
          </cell>
          <cell r="E482" t="str">
            <v>※LOW</v>
          </cell>
          <cell r="F482">
            <v>0</v>
          </cell>
          <cell r="G482" t="str">
            <v>其他</v>
          </cell>
          <cell r="H482">
            <v>0</v>
          </cell>
          <cell r="I482">
            <v>8866</v>
          </cell>
          <cell r="J482">
            <v>0</v>
          </cell>
        </row>
        <row r="483">
          <cell r="B483">
            <v>8870</v>
          </cell>
          <cell r="C483" t="str">
            <v>其他归属于母公司所有者权益_所有者权益内部结转</v>
          </cell>
          <cell r="D483">
            <v>0</v>
          </cell>
          <cell r="E483" t="str">
            <v>※＝</v>
          </cell>
          <cell r="F483">
            <v>0</v>
          </cell>
          <cell r="G483" t="str">
            <v>（四）所有者权益内部结转</v>
          </cell>
          <cell r="H483">
            <v>0</v>
          </cell>
          <cell r="I483">
            <v>8870</v>
          </cell>
          <cell r="J483">
            <v>0</v>
          </cell>
        </row>
        <row r="484">
          <cell r="B484">
            <v>8871</v>
          </cell>
          <cell r="C484" t="str">
            <v>其他归属于母公司所有者权益_资本公积转增资本</v>
          </cell>
          <cell r="D484">
            <v>-1</v>
          </cell>
          <cell r="E484" t="str">
            <v>※LOW</v>
          </cell>
          <cell r="F484">
            <v>0</v>
          </cell>
          <cell r="G484" t="str">
            <v>资本公积转增资本（或股本）</v>
          </cell>
          <cell r="H484">
            <v>0</v>
          </cell>
          <cell r="I484">
            <v>8871</v>
          </cell>
          <cell r="J484">
            <v>0</v>
          </cell>
        </row>
        <row r="485">
          <cell r="B485">
            <v>8872</v>
          </cell>
          <cell r="C485" t="str">
            <v>其他归属于母公司所有者权益_盈余公积转增资本</v>
          </cell>
          <cell r="D485">
            <v>-1</v>
          </cell>
          <cell r="E485" t="str">
            <v>※LOW</v>
          </cell>
          <cell r="F485">
            <v>0</v>
          </cell>
          <cell r="G485" t="str">
            <v>盈余公积转增资本（或股本）</v>
          </cell>
          <cell r="H485">
            <v>0</v>
          </cell>
          <cell r="I485">
            <v>8872</v>
          </cell>
          <cell r="J485">
            <v>0</v>
          </cell>
        </row>
        <row r="486">
          <cell r="B486">
            <v>8873</v>
          </cell>
          <cell r="C486" t="str">
            <v>其他归属于母公司所有者权益_盈余公积弥补亏损</v>
          </cell>
          <cell r="D486">
            <v>-1</v>
          </cell>
          <cell r="E486" t="str">
            <v>※LOW</v>
          </cell>
          <cell r="F486">
            <v>0</v>
          </cell>
          <cell r="G486" t="str">
            <v>盈余公积弥补亏损</v>
          </cell>
          <cell r="H486">
            <v>0</v>
          </cell>
          <cell r="I486">
            <v>8873</v>
          </cell>
          <cell r="J486">
            <v>0</v>
          </cell>
        </row>
        <row r="487">
          <cell r="B487">
            <v>8875</v>
          </cell>
          <cell r="C487" t="str">
            <v>其他归属于母公司所有者权益_结转重新计量设定受益计划净负债或净资产所产生的变动</v>
          </cell>
          <cell r="D487">
            <v>-1</v>
          </cell>
          <cell r="E487" t="str">
            <v>※OEI</v>
          </cell>
          <cell r="F487">
            <v>0</v>
          </cell>
          <cell r="G487" t="str">
            <v>结转重新计量设定受益计划净负债或净资产所产生的变动</v>
          </cell>
          <cell r="H487">
            <v>0</v>
          </cell>
          <cell r="I487">
            <v>8875</v>
          </cell>
          <cell r="J487">
            <v>0</v>
          </cell>
        </row>
        <row r="488">
          <cell r="B488">
            <v>8876</v>
          </cell>
          <cell r="C488" t="str">
            <v>其他归属于母公司所有者权益_所有者权益其他内部结转</v>
          </cell>
          <cell r="D488">
            <v>-1</v>
          </cell>
          <cell r="E488" t="str">
            <v>※LOW</v>
          </cell>
          <cell r="F488">
            <v>0</v>
          </cell>
          <cell r="G488" t="str">
            <v>其他</v>
          </cell>
          <cell r="H488">
            <v>0</v>
          </cell>
          <cell r="I488">
            <v>8876</v>
          </cell>
          <cell r="J488">
            <v>0</v>
          </cell>
        </row>
        <row r="489">
          <cell r="B489">
            <v>8880</v>
          </cell>
          <cell r="C489" t="str">
            <v>其他归属于母公司所有者权益_专项储备影响权益</v>
          </cell>
          <cell r="D489">
            <v>0</v>
          </cell>
          <cell r="E489" t="str">
            <v>※＝</v>
          </cell>
          <cell r="F489">
            <v>0</v>
          </cell>
          <cell r="G489" t="str">
            <v>（五）专项储备</v>
          </cell>
          <cell r="H489">
            <v>0</v>
          </cell>
          <cell r="I489">
            <v>8880</v>
          </cell>
          <cell r="J489">
            <v>0</v>
          </cell>
        </row>
        <row r="490">
          <cell r="B490">
            <v>8881</v>
          </cell>
          <cell r="C490" t="str">
            <v>其他归属于母公司所有者权益_专项储备本期提取</v>
          </cell>
          <cell r="D490">
            <v>-1</v>
          </cell>
          <cell r="E490" t="str">
            <v>※LOW</v>
          </cell>
          <cell r="F490">
            <v>0</v>
          </cell>
          <cell r="G490" t="str">
            <v>本期提取</v>
          </cell>
          <cell r="H490">
            <v>0</v>
          </cell>
          <cell r="I490">
            <v>8881</v>
          </cell>
          <cell r="J490">
            <v>0</v>
          </cell>
        </row>
        <row r="491">
          <cell r="B491">
            <v>8882</v>
          </cell>
          <cell r="C491" t="str">
            <v>其他归属于母公司所有者权益_专项储备本期使用</v>
          </cell>
          <cell r="D491">
            <v>-1</v>
          </cell>
          <cell r="E491" t="str">
            <v>※LOW</v>
          </cell>
          <cell r="F491">
            <v>0</v>
          </cell>
          <cell r="G491" t="str">
            <v>本期使用</v>
          </cell>
          <cell r="H491">
            <v>0</v>
          </cell>
          <cell r="I491">
            <v>8882</v>
          </cell>
          <cell r="J491">
            <v>0</v>
          </cell>
        </row>
        <row r="492">
          <cell r="B492">
            <v>8896</v>
          </cell>
          <cell r="C492" t="str">
            <v>其他归属于母公司所有者权益_本期其他增减变动</v>
          </cell>
          <cell r="D492">
            <v>-1</v>
          </cell>
          <cell r="E492" t="str">
            <v>※LOW</v>
          </cell>
          <cell r="F492">
            <v>0</v>
          </cell>
          <cell r="G492" t="str">
            <v>（七）其他</v>
          </cell>
          <cell r="H492">
            <v>0</v>
          </cell>
          <cell r="I492">
            <v>8896</v>
          </cell>
          <cell r="J492">
            <v>0</v>
          </cell>
        </row>
        <row r="493">
          <cell r="B493">
            <v>8899</v>
          </cell>
          <cell r="C493" t="str">
            <v>其他归属于母公司所有者权益_本期期末余额</v>
          </cell>
          <cell r="D493">
            <v>0</v>
          </cell>
          <cell r="E493" t="str">
            <v>※＝</v>
          </cell>
          <cell r="F493">
            <v>0</v>
          </cell>
          <cell r="G493" t="str">
            <v>四、本期期末余额</v>
          </cell>
          <cell r="H493">
            <v>0</v>
          </cell>
          <cell r="I493">
            <v>8899</v>
          </cell>
          <cell r="J493">
            <v>0</v>
          </cell>
        </row>
        <row r="494">
          <cell r="B494">
            <v>8900</v>
          </cell>
          <cell r="C494" t="str">
            <v>少数股东权益增减变动</v>
          </cell>
          <cell r="D494">
            <v>0</v>
          </cell>
          <cell r="E494" t="str">
            <v>※</v>
          </cell>
          <cell r="F494">
            <v>0</v>
          </cell>
          <cell r="G494" t="str">
            <v>少数股东权益增减变动</v>
          </cell>
          <cell r="H494">
            <v>0</v>
          </cell>
          <cell r="I494">
            <v>8900</v>
          </cell>
          <cell r="J494">
            <v>0</v>
          </cell>
        </row>
        <row r="495">
          <cell r="B495">
            <v>8901</v>
          </cell>
          <cell r="C495" t="str">
            <v>少数股东权益_上年年末余额</v>
          </cell>
          <cell r="D495">
            <v>-1</v>
          </cell>
          <cell r="E495" t="str">
            <v>※</v>
          </cell>
          <cell r="F495">
            <v>0</v>
          </cell>
          <cell r="G495" t="str">
            <v>一、上年年末余额</v>
          </cell>
          <cell r="H495">
            <v>0</v>
          </cell>
          <cell r="I495">
            <v>8901</v>
          </cell>
          <cell r="J495" t="str">
            <v>J</v>
          </cell>
        </row>
        <row r="496">
          <cell r="B496">
            <v>8902</v>
          </cell>
          <cell r="C496" t="str">
            <v>少数股东权益_会计政策变更调整上年年末余额</v>
          </cell>
          <cell r="D496">
            <v>-1</v>
          </cell>
          <cell r="E496" t="str">
            <v>※</v>
          </cell>
          <cell r="F496">
            <v>0</v>
          </cell>
          <cell r="G496" t="str">
            <v>加：会计政策变更</v>
          </cell>
          <cell r="H496">
            <v>0</v>
          </cell>
          <cell r="I496">
            <v>8902</v>
          </cell>
          <cell r="J496" t="str">
            <v>J</v>
          </cell>
        </row>
        <row r="497">
          <cell r="B497">
            <v>8903</v>
          </cell>
          <cell r="C497" t="str">
            <v>少数股东权益_前期差错更正调整上年年末余额</v>
          </cell>
          <cell r="D497">
            <v>-1</v>
          </cell>
          <cell r="E497" t="str">
            <v>※</v>
          </cell>
          <cell r="F497">
            <v>0</v>
          </cell>
          <cell r="G497" t="str">
            <v>前期差错更正</v>
          </cell>
          <cell r="H497">
            <v>0</v>
          </cell>
          <cell r="I497">
            <v>8903</v>
          </cell>
          <cell r="J497" t="str">
            <v>J</v>
          </cell>
        </row>
        <row r="498">
          <cell r="B498">
            <v>8904</v>
          </cell>
          <cell r="C498" t="str">
            <v>少数股东权益_同一控制下企业合并调整上年年末余额</v>
          </cell>
          <cell r="D498">
            <v>-1</v>
          </cell>
          <cell r="E498" t="str">
            <v>※</v>
          </cell>
          <cell r="F498">
            <v>0</v>
          </cell>
          <cell r="G498" t="str">
            <v>同一控制下企业合并</v>
          </cell>
          <cell r="H498">
            <v>0</v>
          </cell>
          <cell r="I498">
            <v>8904</v>
          </cell>
          <cell r="J498" t="str">
            <v>J</v>
          </cell>
        </row>
        <row r="499">
          <cell r="B499">
            <v>8909</v>
          </cell>
          <cell r="C499" t="str">
            <v>少数股东权益_其他原因调整上年年末余额</v>
          </cell>
          <cell r="D499">
            <v>-1</v>
          </cell>
          <cell r="E499" t="str">
            <v>※</v>
          </cell>
          <cell r="F499">
            <v>0</v>
          </cell>
          <cell r="G499" t="str">
            <v>其他</v>
          </cell>
          <cell r="H499">
            <v>0</v>
          </cell>
          <cell r="I499">
            <v>8909</v>
          </cell>
          <cell r="J499" t="str">
            <v>J</v>
          </cell>
        </row>
        <row r="500">
          <cell r="B500">
            <v>8910</v>
          </cell>
          <cell r="C500" t="str">
            <v>少数股东权益_本年年初余额</v>
          </cell>
          <cell r="D500">
            <v>0</v>
          </cell>
          <cell r="E500" t="str">
            <v>※＝</v>
          </cell>
          <cell r="F500">
            <v>0</v>
          </cell>
          <cell r="G500" t="str">
            <v>二、本年年初余额</v>
          </cell>
          <cell r="H500">
            <v>0</v>
          </cell>
          <cell r="I500">
            <v>8910</v>
          </cell>
          <cell r="J500">
            <v>0</v>
          </cell>
        </row>
        <row r="501">
          <cell r="B501">
            <v>8990</v>
          </cell>
          <cell r="C501" t="str">
            <v>少数股东权益_本期增减变动金额</v>
          </cell>
          <cell r="D501">
            <v>0</v>
          </cell>
          <cell r="E501" t="str">
            <v>※＝</v>
          </cell>
          <cell r="F501">
            <v>0</v>
          </cell>
          <cell r="G501" t="str">
            <v>三、本期增减变动金额（减少以“-”号填列）</v>
          </cell>
          <cell r="H501">
            <v>0</v>
          </cell>
          <cell r="I501">
            <v>8990</v>
          </cell>
          <cell r="J501">
            <v>0</v>
          </cell>
        </row>
        <row r="502">
          <cell r="B502">
            <v>8921</v>
          </cell>
          <cell r="C502" t="str">
            <v>少数股东权益_净利润</v>
          </cell>
          <cell r="D502">
            <v>-1</v>
          </cell>
          <cell r="E502" t="str">
            <v>※</v>
          </cell>
          <cell r="F502">
            <v>0</v>
          </cell>
          <cell r="G502" t="str">
            <v>（一）净利润</v>
          </cell>
          <cell r="H502">
            <v>0</v>
          </cell>
          <cell r="I502">
            <v>8921</v>
          </cell>
          <cell r="J502" t="str">
            <v>J</v>
          </cell>
        </row>
        <row r="503">
          <cell r="B503">
            <v>8930</v>
          </cell>
          <cell r="C503" t="str">
            <v>少数股东权益_其他综合收益</v>
          </cell>
          <cell r="D503">
            <v>-1</v>
          </cell>
          <cell r="E503" t="str">
            <v>※</v>
          </cell>
          <cell r="F503">
            <v>0</v>
          </cell>
          <cell r="G503" t="str">
            <v>（二）其他综合收益</v>
          </cell>
          <cell r="H503">
            <v>0</v>
          </cell>
          <cell r="I503">
            <v>8930</v>
          </cell>
          <cell r="J503" t="str">
            <v>J</v>
          </cell>
        </row>
        <row r="504">
          <cell r="B504">
            <v>8940</v>
          </cell>
          <cell r="C504" t="str">
            <v>少数股东权益_综合收益总额增加权益</v>
          </cell>
          <cell r="D504">
            <v>-1</v>
          </cell>
          <cell r="E504" t="str">
            <v>※</v>
          </cell>
          <cell r="F504">
            <v>0</v>
          </cell>
          <cell r="G504" t="str">
            <v>（一）综合收益总额</v>
          </cell>
          <cell r="H504">
            <v>0</v>
          </cell>
          <cell r="I504">
            <v>8940</v>
          </cell>
          <cell r="J504" t="str">
            <v>J</v>
          </cell>
        </row>
        <row r="505">
          <cell r="B505">
            <v>8950</v>
          </cell>
          <cell r="C505" t="str">
            <v>少数股东权益_所有者投入和减少资本影响权益</v>
          </cell>
          <cell r="D505">
            <v>0</v>
          </cell>
          <cell r="E505" t="str">
            <v>※＝</v>
          </cell>
          <cell r="F505">
            <v>0</v>
          </cell>
          <cell r="G505" t="str">
            <v>（二）所有者投入和减少资本</v>
          </cell>
          <cell r="H505">
            <v>0</v>
          </cell>
          <cell r="I505">
            <v>8950</v>
          </cell>
          <cell r="J505">
            <v>0</v>
          </cell>
        </row>
        <row r="506">
          <cell r="B506">
            <v>8951</v>
          </cell>
          <cell r="C506" t="str">
            <v>少数股东权益_所有者投入资本</v>
          </cell>
          <cell r="D506">
            <v>-1</v>
          </cell>
          <cell r="E506" t="str">
            <v>※</v>
          </cell>
          <cell r="F506">
            <v>0</v>
          </cell>
          <cell r="G506" t="str">
            <v>所有者投入资本</v>
          </cell>
          <cell r="H506">
            <v>0</v>
          </cell>
          <cell r="I506">
            <v>8951</v>
          </cell>
          <cell r="J506" t="str">
            <v>J</v>
          </cell>
        </row>
        <row r="507">
          <cell r="B507">
            <v>8952</v>
          </cell>
          <cell r="C507" t="str">
            <v>少数股东权益_股份支付</v>
          </cell>
          <cell r="D507">
            <v>-1</v>
          </cell>
          <cell r="E507" t="str">
            <v>※LOW</v>
          </cell>
          <cell r="F507">
            <v>0</v>
          </cell>
          <cell r="G507" t="str">
            <v>股份支付计入所有者权益的金额</v>
          </cell>
          <cell r="H507">
            <v>0</v>
          </cell>
          <cell r="I507">
            <v>8952</v>
          </cell>
          <cell r="J507" t="str">
            <v>J</v>
          </cell>
        </row>
        <row r="508">
          <cell r="B508">
            <v>8953</v>
          </cell>
          <cell r="C508" t="str">
            <v>少数股东权益_其他权益工具持有者投入资本</v>
          </cell>
          <cell r="D508">
            <v>-1</v>
          </cell>
          <cell r="E508" t="str">
            <v>※OEI</v>
          </cell>
          <cell r="F508">
            <v>0</v>
          </cell>
          <cell r="G508" t="str">
            <v>其他权益工具持有者投入资本</v>
          </cell>
          <cell r="H508">
            <v>0</v>
          </cell>
          <cell r="I508">
            <v>8953</v>
          </cell>
          <cell r="J508" t="str">
            <v>J</v>
          </cell>
        </row>
        <row r="509">
          <cell r="B509">
            <v>8956</v>
          </cell>
          <cell r="C509" t="str">
            <v>少数股东权益_所有者其他投入和减少资本</v>
          </cell>
          <cell r="D509">
            <v>-1</v>
          </cell>
          <cell r="E509" t="str">
            <v>※LOW</v>
          </cell>
          <cell r="F509">
            <v>0</v>
          </cell>
          <cell r="G509" t="str">
            <v>其他</v>
          </cell>
          <cell r="H509">
            <v>0</v>
          </cell>
          <cell r="I509">
            <v>8956</v>
          </cell>
          <cell r="J509" t="str">
            <v>J</v>
          </cell>
        </row>
        <row r="510">
          <cell r="B510">
            <v>8960</v>
          </cell>
          <cell r="C510" t="str">
            <v>少数股东权益_利润分配影响权益</v>
          </cell>
          <cell r="D510">
            <v>0</v>
          </cell>
          <cell r="E510" t="str">
            <v>※＝</v>
          </cell>
          <cell r="F510">
            <v>0</v>
          </cell>
          <cell r="G510" t="str">
            <v>（三）利润分配</v>
          </cell>
          <cell r="H510">
            <v>0</v>
          </cell>
          <cell r="I510">
            <v>8960</v>
          </cell>
          <cell r="J510">
            <v>0</v>
          </cell>
        </row>
        <row r="511">
          <cell r="B511">
            <v>8963</v>
          </cell>
          <cell r="C511" t="str">
            <v>少数股东权益_对所有者的分配</v>
          </cell>
          <cell r="D511">
            <v>-1</v>
          </cell>
          <cell r="E511" t="str">
            <v>※</v>
          </cell>
          <cell r="F511">
            <v>0</v>
          </cell>
          <cell r="G511" t="str">
            <v>对所有者（或股东）的分配</v>
          </cell>
          <cell r="H511">
            <v>0</v>
          </cell>
          <cell r="I511">
            <v>8963</v>
          </cell>
          <cell r="J511" t="str">
            <v>J</v>
          </cell>
        </row>
        <row r="512">
          <cell r="B512">
            <v>8966</v>
          </cell>
          <cell r="C512" t="str">
            <v>少数股东权益_其他利润分配</v>
          </cell>
          <cell r="D512">
            <v>-1</v>
          </cell>
          <cell r="E512" t="str">
            <v>※LOW</v>
          </cell>
          <cell r="F512">
            <v>0</v>
          </cell>
          <cell r="G512" t="str">
            <v>其他</v>
          </cell>
          <cell r="H512">
            <v>0</v>
          </cell>
          <cell r="I512">
            <v>8966</v>
          </cell>
          <cell r="J512" t="str">
            <v>J</v>
          </cell>
        </row>
        <row r="513">
          <cell r="B513">
            <v>8970</v>
          </cell>
          <cell r="C513" t="str">
            <v>少数股东权益_所有者权益内部结转</v>
          </cell>
          <cell r="D513">
            <v>0</v>
          </cell>
          <cell r="E513" t="str">
            <v>※＝</v>
          </cell>
          <cell r="F513">
            <v>0</v>
          </cell>
          <cell r="G513" t="str">
            <v>（四）所有者权益内部结转</v>
          </cell>
          <cell r="H513">
            <v>0</v>
          </cell>
          <cell r="I513">
            <v>8970</v>
          </cell>
          <cell r="J513">
            <v>0</v>
          </cell>
        </row>
        <row r="514">
          <cell r="B514">
            <v>8975</v>
          </cell>
          <cell r="C514" t="str">
            <v>少数股东权益_结转重新计量设定受益计划净负债或净资产所产生的变动</v>
          </cell>
          <cell r="D514">
            <v>-1</v>
          </cell>
          <cell r="E514" t="str">
            <v>※OEI</v>
          </cell>
          <cell r="F514">
            <v>0</v>
          </cell>
          <cell r="G514" t="str">
            <v>结转重新计量设定受益计划净负债或净资产所产生的变动</v>
          </cell>
          <cell r="H514">
            <v>0</v>
          </cell>
          <cell r="I514">
            <v>8975</v>
          </cell>
          <cell r="J514" t="str">
            <v>J</v>
          </cell>
        </row>
        <row r="515">
          <cell r="B515">
            <v>8976</v>
          </cell>
          <cell r="C515" t="str">
            <v>少数股东权益_所有者权益其他内部结转</v>
          </cell>
          <cell r="D515">
            <v>-1</v>
          </cell>
          <cell r="E515" t="str">
            <v>※LOW</v>
          </cell>
          <cell r="F515">
            <v>0</v>
          </cell>
          <cell r="G515" t="str">
            <v>其他</v>
          </cell>
          <cell r="H515">
            <v>0</v>
          </cell>
          <cell r="I515">
            <v>8976</v>
          </cell>
          <cell r="J515" t="str">
            <v>J</v>
          </cell>
        </row>
        <row r="516">
          <cell r="B516">
            <v>8980</v>
          </cell>
          <cell r="C516" t="str">
            <v>少数股东权益_专项储备影响权益</v>
          </cell>
          <cell r="D516">
            <v>0</v>
          </cell>
          <cell r="E516" t="str">
            <v>※＝</v>
          </cell>
          <cell r="F516">
            <v>0</v>
          </cell>
          <cell r="G516" t="str">
            <v>（五）专项储备</v>
          </cell>
          <cell r="H516">
            <v>0</v>
          </cell>
          <cell r="I516">
            <v>8980</v>
          </cell>
          <cell r="J516">
            <v>0</v>
          </cell>
        </row>
        <row r="517">
          <cell r="B517">
            <v>8981</v>
          </cell>
          <cell r="C517" t="str">
            <v>少数股东权益_专项储备本期提取</v>
          </cell>
          <cell r="D517">
            <v>-1</v>
          </cell>
          <cell r="E517" t="str">
            <v>※LOW</v>
          </cell>
          <cell r="F517">
            <v>0</v>
          </cell>
          <cell r="G517" t="str">
            <v>本期提取</v>
          </cell>
          <cell r="H517">
            <v>0</v>
          </cell>
          <cell r="I517">
            <v>8981</v>
          </cell>
          <cell r="J517" t="str">
            <v>J</v>
          </cell>
        </row>
        <row r="518">
          <cell r="B518">
            <v>8982</v>
          </cell>
          <cell r="C518" t="str">
            <v>少数股东权益_专项储备本期使用</v>
          </cell>
          <cell r="D518">
            <v>-1</v>
          </cell>
          <cell r="E518" t="str">
            <v>※LOW</v>
          </cell>
          <cell r="F518">
            <v>0</v>
          </cell>
          <cell r="G518" t="str">
            <v>本期使用</v>
          </cell>
          <cell r="H518">
            <v>0</v>
          </cell>
          <cell r="I518">
            <v>8982</v>
          </cell>
          <cell r="J518" t="str">
            <v>J</v>
          </cell>
        </row>
        <row r="519">
          <cell r="B519">
            <v>8996</v>
          </cell>
          <cell r="C519" t="str">
            <v>少数股东权益_本期其他增减变动</v>
          </cell>
          <cell r="D519">
            <v>-1</v>
          </cell>
          <cell r="E519" t="str">
            <v>※LOW</v>
          </cell>
          <cell r="F519">
            <v>0</v>
          </cell>
          <cell r="G519" t="str">
            <v>（七）其他</v>
          </cell>
          <cell r="H519">
            <v>0</v>
          </cell>
          <cell r="I519">
            <v>8996</v>
          </cell>
          <cell r="J519" t="str">
            <v>J</v>
          </cell>
        </row>
        <row r="520">
          <cell r="B520">
            <v>8999</v>
          </cell>
          <cell r="C520" t="str">
            <v>少数股东权益_本期期末余额</v>
          </cell>
          <cell r="D520">
            <v>0</v>
          </cell>
          <cell r="E520" t="str">
            <v>※＝</v>
          </cell>
          <cell r="F520">
            <v>0</v>
          </cell>
          <cell r="G520" t="str">
            <v>四、本期期末余额</v>
          </cell>
          <cell r="H520">
            <v>0</v>
          </cell>
          <cell r="I520">
            <v>8999</v>
          </cell>
          <cell r="J520">
            <v>0</v>
          </cell>
        </row>
        <row r="521">
          <cell r="B521">
            <v>7</v>
          </cell>
          <cell r="C521" t="str">
            <v>现金流量表</v>
          </cell>
          <cell r="D521">
            <v>0</v>
          </cell>
          <cell r="E521" t="str">
            <v>：</v>
          </cell>
          <cell r="F521">
            <v>0</v>
          </cell>
          <cell r="G521" t="str">
            <v>现金流量表</v>
          </cell>
          <cell r="H521">
            <v>0</v>
          </cell>
          <cell r="I521">
            <v>7</v>
          </cell>
          <cell r="J521">
            <v>0</v>
          </cell>
        </row>
        <row r="522">
          <cell r="B522">
            <v>7000</v>
          </cell>
          <cell r="C522" t="str">
            <v>经营活动现金流量项目</v>
          </cell>
          <cell r="D522">
            <v>0</v>
          </cell>
          <cell r="E522" t="str">
            <v>：</v>
          </cell>
          <cell r="F522">
            <v>0</v>
          </cell>
          <cell r="G522" t="str">
            <v>一、经营活动产生的现金流量：</v>
          </cell>
          <cell r="H522">
            <v>0</v>
          </cell>
          <cell r="I522">
            <v>7000</v>
          </cell>
          <cell r="J522">
            <v>0</v>
          </cell>
        </row>
        <row r="523">
          <cell r="B523">
            <v>7001</v>
          </cell>
          <cell r="C523" t="str">
            <v>销售商品提供劳务收到的现金</v>
          </cell>
          <cell r="D523">
            <v>1</v>
          </cell>
          <cell r="E523">
            <v>0</v>
          </cell>
          <cell r="F523">
            <v>0</v>
          </cell>
          <cell r="G523" t="str">
            <v>销售商品、提供劳务收到的现金</v>
          </cell>
          <cell r="H523">
            <v>0</v>
          </cell>
          <cell r="I523">
            <v>7001</v>
          </cell>
          <cell r="J523" t="str">
            <v>J</v>
          </cell>
        </row>
        <row r="524">
          <cell r="B524">
            <v>7011</v>
          </cell>
          <cell r="C524" t="str">
            <v>客户存款和同业存放款项净增加额</v>
          </cell>
          <cell r="D524">
            <v>1</v>
          </cell>
          <cell r="E524" t="str">
            <v>△</v>
          </cell>
          <cell r="F524">
            <v>0</v>
          </cell>
          <cell r="G524" t="str">
            <v>客户存款和同业存放款项净增加额</v>
          </cell>
          <cell r="H524">
            <v>0</v>
          </cell>
          <cell r="I524">
            <v>7011</v>
          </cell>
          <cell r="J524" t="str">
            <v>J</v>
          </cell>
        </row>
        <row r="525">
          <cell r="B525">
            <v>7012</v>
          </cell>
          <cell r="C525" t="str">
            <v>向中央银行借款净增加额</v>
          </cell>
          <cell r="D525">
            <v>1</v>
          </cell>
          <cell r="E525" t="str">
            <v>△</v>
          </cell>
          <cell r="F525">
            <v>0</v>
          </cell>
          <cell r="G525" t="str">
            <v>向中央银行借款净增加额</v>
          </cell>
          <cell r="H525">
            <v>0</v>
          </cell>
          <cell r="I525">
            <v>7012</v>
          </cell>
          <cell r="J525" t="str">
            <v>J</v>
          </cell>
        </row>
        <row r="526">
          <cell r="B526">
            <v>7013</v>
          </cell>
          <cell r="C526" t="str">
            <v>向其他金融机构拆入资金净增加额</v>
          </cell>
          <cell r="D526">
            <v>1</v>
          </cell>
          <cell r="E526" t="str">
            <v>△</v>
          </cell>
          <cell r="F526">
            <v>0</v>
          </cell>
          <cell r="G526" t="str">
            <v>向其他金融机构拆入资金净增加额</v>
          </cell>
          <cell r="H526">
            <v>0</v>
          </cell>
          <cell r="I526">
            <v>7013</v>
          </cell>
          <cell r="J526" t="str">
            <v>J</v>
          </cell>
        </row>
        <row r="527">
          <cell r="B527">
            <v>7014</v>
          </cell>
          <cell r="C527" t="str">
            <v>收到原保险合同保费取得的现金</v>
          </cell>
          <cell r="D527">
            <v>1</v>
          </cell>
          <cell r="E527" t="str">
            <v>△</v>
          </cell>
          <cell r="F527">
            <v>0</v>
          </cell>
          <cell r="G527" t="str">
            <v>收到原保险合同保费取得的现金</v>
          </cell>
          <cell r="H527">
            <v>0</v>
          </cell>
          <cell r="I527">
            <v>7014</v>
          </cell>
          <cell r="J527" t="str">
            <v>J</v>
          </cell>
        </row>
        <row r="528">
          <cell r="B528">
            <v>7015</v>
          </cell>
          <cell r="C528" t="str">
            <v>收到再保险业务现金净额</v>
          </cell>
          <cell r="D528">
            <v>1</v>
          </cell>
          <cell r="E528" t="str">
            <v>△</v>
          </cell>
          <cell r="F528">
            <v>0</v>
          </cell>
          <cell r="G528" t="str">
            <v>收到再保险业务现金净额</v>
          </cell>
          <cell r="H528">
            <v>0</v>
          </cell>
          <cell r="I528">
            <v>7015</v>
          </cell>
          <cell r="J528" t="str">
            <v>J</v>
          </cell>
        </row>
        <row r="529">
          <cell r="B529">
            <v>7016</v>
          </cell>
          <cell r="C529" t="str">
            <v>保户储金及投资款净增加额</v>
          </cell>
          <cell r="D529">
            <v>1</v>
          </cell>
          <cell r="E529" t="str">
            <v>△</v>
          </cell>
          <cell r="F529">
            <v>0</v>
          </cell>
          <cell r="G529" t="str">
            <v>保户储金及投资款净增加额</v>
          </cell>
          <cell r="H529">
            <v>0</v>
          </cell>
          <cell r="I529">
            <v>7016</v>
          </cell>
          <cell r="J529" t="str">
            <v>J</v>
          </cell>
        </row>
        <row r="530">
          <cell r="B530">
            <v>7021</v>
          </cell>
          <cell r="C530" t="str">
            <v>处置交易性金融资产净增加额</v>
          </cell>
          <cell r="D530">
            <v>1</v>
          </cell>
          <cell r="E530" t="str">
            <v>△</v>
          </cell>
          <cell r="F530">
            <v>0</v>
          </cell>
          <cell r="G530" t="str">
            <v>处置交易性金融资产净增加额</v>
          </cell>
          <cell r="H530">
            <v>0</v>
          </cell>
          <cell r="I530">
            <v>7021</v>
          </cell>
          <cell r="J530" t="str">
            <v>J</v>
          </cell>
        </row>
        <row r="531">
          <cell r="B531">
            <v>7023</v>
          </cell>
          <cell r="C531" t="str">
            <v>收取利息手续费及佣金的现金</v>
          </cell>
          <cell r="D531">
            <v>1</v>
          </cell>
          <cell r="E531" t="str">
            <v>△</v>
          </cell>
          <cell r="F531">
            <v>0</v>
          </cell>
          <cell r="G531" t="str">
            <v>收取利息、手续费及佣金的现金</v>
          </cell>
          <cell r="H531">
            <v>0</v>
          </cell>
          <cell r="I531">
            <v>7023</v>
          </cell>
          <cell r="J531" t="str">
            <v>J</v>
          </cell>
        </row>
        <row r="532">
          <cell r="B532">
            <v>7025</v>
          </cell>
          <cell r="C532" t="str">
            <v>拆入资金净增加额</v>
          </cell>
          <cell r="D532">
            <v>1</v>
          </cell>
          <cell r="E532" t="str">
            <v>△</v>
          </cell>
          <cell r="F532">
            <v>0</v>
          </cell>
          <cell r="G532" t="str">
            <v>拆入资金净增加额</v>
          </cell>
          <cell r="H532">
            <v>0</v>
          </cell>
          <cell r="I532">
            <v>7025</v>
          </cell>
          <cell r="J532" t="str">
            <v>J</v>
          </cell>
        </row>
        <row r="533">
          <cell r="B533">
            <v>7026</v>
          </cell>
          <cell r="C533" t="str">
            <v>回购业务资金净增加额</v>
          </cell>
          <cell r="D533">
            <v>1</v>
          </cell>
          <cell r="E533" t="str">
            <v>△</v>
          </cell>
          <cell r="F533">
            <v>0</v>
          </cell>
          <cell r="G533" t="str">
            <v>回购业务资金净增加额</v>
          </cell>
          <cell r="H533">
            <v>0</v>
          </cell>
          <cell r="I533">
            <v>7026</v>
          </cell>
          <cell r="J533" t="str">
            <v>J</v>
          </cell>
        </row>
        <row r="534">
          <cell r="B534">
            <v>7031</v>
          </cell>
          <cell r="C534" t="str">
            <v>收到的税费返还</v>
          </cell>
          <cell r="D534">
            <v>1</v>
          </cell>
          <cell r="E534">
            <v>0</v>
          </cell>
          <cell r="F534">
            <v>0</v>
          </cell>
          <cell r="G534" t="str">
            <v>收到的税费返还</v>
          </cell>
          <cell r="H534">
            <v>0</v>
          </cell>
          <cell r="I534">
            <v>7031</v>
          </cell>
          <cell r="J534" t="str">
            <v>J</v>
          </cell>
        </row>
        <row r="535">
          <cell r="B535">
            <v>7046</v>
          </cell>
          <cell r="C535" t="str">
            <v>收到其他与经营活动有关的现金</v>
          </cell>
          <cell r="D535">
            <v>1</v>
          </cell>
          <cell r="E535">
            <v>0</v>
          </cell>
          <cell r="F535">
            <v>0</v>
          </cell>
          <cell r="G535" t="str">
            <v>收到其他与经营活动有关的现金</v>
          </cell>
          <cell r="H535">
            <v>0</v>
          </cell>
          <cell r="I535">
            <v>7046</v>
          </cell>
          <cell r="J535" t="str">
            <v>J</v>
          </cell>
        </row>
        <row r="536">
          <cell r="B536">
            <v>7048</v>
          </cell>
          <cell r="C536" t="str">
            <v>经营活动现金流入</v>
          </cell>
          <cell r="D536">
            <v>0</v>
          </cell>
          <cell r="E536" t="str">
            <v>＝</v>
          </cell>
          <cell r="F536">
            <v>0</v>
          </cell>
          <cell r="G536" t="str">
            <v>经营活动现金流入小计</v>
          </cell>
          <cell r="H536">
            <v>0</v>
          </cell>
          <cell r="I536">
            <v>7048</v>
          </cell>
          <cell r="J536">
            <v>0</v>
          </cell>
        </row>
        <row r="537">
          <cell r="B537">
            <v>7051</v>
          </cell>
          <cell r="C537" t="str">
            <v>购买商品接受劳务支付的现金</v>
          </cell>
          <cell r="D537">
            <v>-1</v>
          </cell>
          <cell r="E537">
            <v>0</v>
          </cell>
          <cell r="F537">
            <v>0</v>
          </cell>
          <cell r="G537" t="str">
            <v>购买商品、接受劳务支付的现金</v>
          </cell>
          <cell r="H537">
            <v>0</v>
          </cell>
          <cell r="I537">
            <v>7051</v>
          </cell>
          <cell r="J537" t="str">
            <v>J</v>
          </cell>
        </row>
        <row r="538">
          <cell r="B538">
            <v>7053</v>
          </cell>
          <cell r="C538" t="str">
            <v>客户贷款及垫款净增加额</v>
          </cell>
          <cell r="D538">
            <v>-1</v>
          </cell>
          <cell r="E538" t="str">
            <v>△</v>
          </cell>
          <cell r="F538">
            <v>0</v>
          </cell>
          <cell r="G538" t="str">
            <v>客户贷款及垫款净增加额</v>
          </cell>
          <cell r="H538">
            <v>0</v>
          </cell>
          <cell r="I538">
            <v>7053</v>
          </cell>
          <cell r="J538" t="str">
            <v>J</v>
          </cell>
        </row>
        <row r="539">
          <cell r="B539">
            <v>7054</v>
          </cell>
          <cell r="C539" t="str">
            <v>存放中央银行和同业款项净增加额</v>
          </cell>
          <cell r="D539">
            <v>-1</v>
          </cell>
          <cell r="E539" t="str">
            <v>△</v>
          </cell>
          <cell r="F539">
            <v>0</v>
          </cell>
          <cell r="G539" t="str">
            <v>存放中央银行和同业款项净增加额</v>
          </cell>
          <cell r="H539">
            <v>0</v>
          </cell>
          <cell r="I539">
            <v>7054</v>
          </cell>
          <cell r="J539" t="str">
            <v>J</v>
          </cell>
        </row>
        <row r="540">
          <cell r="B540">
            <v>7055</v>
          </cell>
          <cell r="C540" t="str">
            <v>支付原保险合同赔付款项的现金</v>
          </cell>
          <cell r="D540">
            <v>-1</v>
          </cell>
          <cell r="E540" t="str">
            <v>△</v>
          </cell>
          <cell r="F540">
            <v>0</v>
          </cell>
          <cell r="G540" t="str">
            <v>支付原保险合同赔付款项的现金</v>
          </cell>
          <cell r="H540">
            <v>0</v>
          </cell>
          <cell r="I540">
            <v>7055</v>
          </cell>
          <cell r="J540" t="str">
            <v>J</v>
          </cell>
        </row>
        <row r="541">
          <cell r="B541">
            <v>7056</v>
          </cell>
          <cell r="C541" t="str">
            <v>支付利息手续费及佣金的现金</v>
          </cell>
          <cell r="D541">
            <v>-1</v>
          </cell>
          <cell r="E541" t="str">
            <v>△</v>
          </cell>
          <cell r="F541">
            <v>0</v>
          </cell>
          <cell r="G541" t="str">
            <v>支付利息、手续费及佣金的现金</v>
          </cell>
          <cell r="H541">
            <v>0</v>
          </cell>
          <cell r="I541">
            <v>7056</v>
          </cell>
          <cell r="J541" t="str">
            <v>J</v>
          </cell>
        </row>
        <row r="542">
          <cell r="B542">
            <v>7057</v>
          </cell>
          <cell r="C542" t="str">
            <v>支付保单红利的现金</v>
          </cell>
          <cell r="D542">
            <v>-1</v>
          </cell>
          <cell r="E542" t="str">
            <v>△</v>
          </cell>
          <cell r="F542">
            <v>0</v>
          </cell>
          <cell r="G542" t="str">
            <v>支付保单红利的现金</v>
          </cell>
          <cell r="H542">
            <v>0</v>
          </cell>
          <cell r="I542">
            <v>7057</v>
          </cell>
          <cell r="J542" t="str">
            <v>J</v>
          </cell>
        </row>
        <row r="543">
          <cell r="B543">
            <v>7061</v>
          </cell>
          <cell r="C543" t="str">
            <v>支付给职工以及为职工支付的现金</v>
          </cell>
          <cell r="D543">
            <v>-1</v>
          </cell>
          <cell r="E543">
            <v>0</v>
          </cell>
          <cell r="F543">
            <v>0</v>
          </cell>
          <cell r="G543" t="str">
            <v>支付给职工以及为职工支付的现金</v>
          </cell>
          <cell r="H543">
            <v>0</v>
          </cell>
          <cell r="I543">
            <v>7061</v>
          </cell>
          <cell r="J543" t="str">
            <v>J</v>
          </cell>
        </row>
        <row r="544">
          <cell r="B544">
            <v>7071</v>
          </cell>
          <cell r="C544" t="str">
            <v>支付的各项税费</v>
          </cell>
          <cell r="D544">
            <v>-1</v>
          </cell>
          <cell r="E544">
            <v>0</v>
          </cell>
          <cell r="F544">
            <v>0</v>
          </cell>
          <cell r="G544" t="str">
            <v>支付的各项税费</v>
          </cell>
          <cell r="H544">
            <v>0</v>
          </cell>
          <cell r="I544">
            <v>7071</v>
          </cell>
          <cell r="J544" t="str">
            <v>J</v>
          </cell>
        </row>
        <row r="545">
          <cell r="B545">
            <v>7096</v>
          </cell>
          <cell r="C545" t="str">
            <v>支付其他与经营活动有关的现金</v>
          </cell>
          <cell r="D545">
            <v>-1</v>
          </cell>
          <cell r="E545">
            <v>0</v>
          </cell>
          <cell r="F545">
            <v>0</v>
          </cell>
          <cell r="G545" t="str">
            <v>支付其他与经营活动有关的现金</v>
          </cell>
          <cell r="H545">
            <v>0</v>
          </cell>
          <cell r="I545">
            <v>7096</v>
          </cell>
          <cell r="J545" t="str">
            <v>J</v>
          </cell>
        </row>
        <row r="546">
          <cell r="B546">
            <v>7098</v>
          </cell>
          <cell r="C546" t="str">
            <v>经营活动现金流出</v>
          </cell>
          <cell r="D546">
            <v>0</v>
          </cell>
          <cell r="E546" t="str">
            <v>＝</v>
          </cell>
          <cell r="F546">
            <v>0</v>
          </cell>
          <cell r="G546" t="str">
            <v>经营活动现金流出小计</v>
          </cell>
          <cell r="H546">
            <v>0</v>
          </cell>
          <cell r="I546">
            <v>7098</v>
          </cell>
          <cell r="J546">
            <v>0</v>
          </cell>
        </row>
        <row r="547">
          <cell r="B547">
            <v>7099</v>
          </cell>
          <cell r="C547" t="str">
            <v>经营活动产生的现金流量净额</v>
          </cell>
          <cell r="D547">
            <v>0</v>
          </cell>
          <cell r="E547" t="str">
            <v>＝</v>
          </cell>
          <cell r="F547">
            <v>0</v>
          </cell>
          <cell r="G547" t="str">
            <v>经营活动产生的现金流量净额</v>
          </cell>
          <cell r="H547">
            <v>0</v>
          </cell>
          <cell r="I547">
            <v>7099</v>
          </cell>
          <cell r="J547">
            <v>0</v>
          </cell>
        </row>
        <row r="548">
          <cell r="B548">
            <v>7100</v>
          </cell>
          <cell r="C548" t="str">
            <v>投资活动现金流量项目</v>
          </cell>
          <cell r="D548">
            <v>0</v>
          </cell>
          <cell r="E548" t="str">
            <v>：</v>
          </cell>
          <cell r="F548">
            <v>0</v>
          </cell>
          <cell r="G548" t="str">
            <v>二、投资活动产生的现金流量：</v>
          </cell>
          <cell r="H548">
            <v>0</v>
          </cell>
          <cell r="I548">
            <v>7100</v>
          </cell>
          <cell r="J548">
            <v>0</v>
          </cell>
        </row>
        <row r="549">
          <cell r="B549">
            <v>7101</v>
          </cell>
          <cell r="C549" t="str">
            <v>收回投资收到的现金</v>
          </cell>
          <cell r="D549">
            <v>1</v>
          </cell>
          <cell r="E549">
            <v>0</v>
          </cell>
          <cell r="F549">
            <v>0</v>
          </cell>
          <cell r="G549" t="str">
            <v>收回投资收到的现金</v>
          </cell>
          <cell r="H549">
            <v>0</v>
          </cell>
          <cell r="I549">
            <v>7101</v>
          </cell>
          <cell r="J549" t="str">
            <v>J</v>
          </cell>
        </row>
        <row r="550">
          <cell r="B550">
            <v>7105</v>
          </cell>
          <cell r="C550" t="str">
            <v>取得投资收益收到的现金</v>
          </cell>
          <cell r="D550">
            <v>1</v>
          </cell>
          <cell r="E550">
            <v>0</v>
          </cell>
          <cell r="F550">
            <v>0</v>
          </cell>
          <cell r="G550" t="str">
            <v>取得投资收益收到的现金</v>
          </cell>
          <cell r="H550">
            <v>0</v>
          </cell>
          <cell r="I550">
            <v>7105</v>
          </cell>
          <cell r="J550" t="str">
            <v>J</v>
          </cell>
        </row>
        <row r="551">
          <cell r="B551">
            <v>7111</v>
          </cell>
          <cell r="C551" t="str">
            <v>处置固定资产无形资产长期资产收回的现金</v>
          </cell>
          <cell r="D551">
            <v>1</v>
          </cell>
          <cell r="E551">
            <v>0</v>
          </cell>
          <cell r="F551">
            <v>0</v>
          </cell>
          <cell r="G551" t="str">
            <v>处置固定资产、无形资产和其他长期资产收回的现金净额</v>
          </cell>
          <cell r="H551">
            <v>0</v>
          </cell>
          <cell r="I551">
            <v>7111</v>
          </cell>
          <cell r="J551" t="str">
            <v>J</v>
          </cell>
        </row>
        <row r="552">
          <cell r="B552">
            <v>7121</v>
          </cell>
          <cell r="C552" t="str">
            <v>处置子公司及其他营业单位收到的现金净额</v>
          </cell>
          <cell r="D552">
            <v>1</v>
          </cell>
          <cell r="E552">
            <v>0</v>
          </cell>
          <cell r="F552">
            <v>0</v>
          </cell>
          <cell r="G552" t="str">
            <v>处置子公司及其他营业单位收到的现金净额</v>
          </cell>
          <cell r="H552">
            <v>0</v>
          </cell>
          <cell r="I552">
            <v>7121</v>
          </cell>
          <cell r="J552" t="str">
            <v>J</v>
          </cell>
        </row>
        <row r="553">
          <cell r="B553">
            <v>7146</v>
          </cell>
          <cell r="C553" t="str">
            <v>收到其他与投资活动有关的现金</v>
          </cell>
          <cell r="D553">
            <v>1</v>
          </cell>
          <cell r="E553">
            <v>0</v>
          </cell>
          <cell r="F553">
            <v>0</v>
          </cell>
          <cell r="G553" t="str">
            <v>收到其他与投资活动有关的现金</v>
          </cell>
          <cell r="H553">
            <v>0</v>
          </cell>
          <cell r="I553">
            <v>7146</v>
          </cell>
          <cell r="J553" t="str">
            <v>J</v>
          </cell>
        </row>
        <row r="554">
          <cell r="B554">
            <v>7148</v>
          </cell>
          <cell r="C554" t="str">
            <v>投资活动现金流入</v>
          </cell>
          <cell r="D554">
            <v>0</v>
          </cell>
          <cell r="E554" t="str">
            <v>＝</v>
          </cell>
          <cell r="F554">
            <v>0</v>
          </cell>
          <cell r="G554" t="str">
            <v>投资活动现金流入小计</v>
          </cell>
          <cell r="H554">
            <v>0</v>
          </cell>
          <cell r="I554">
            <v>7148</v>
          </cell>
          <cell r="J554">
            <v>0</v>
          </cell>
        </row>
        <row r="555">
          <cell r="B555">
            <v>7151</v>
          </cell>
          <cell r="C555" t="str">
            <v>购置固定资产无形资产长期资产支付的现金</v>
          </cell>
          <cell r="D555">
            <v>-1</v>
          </cell>
          <cell r="E555">
            <v>0</v>
          </cell>
          <cell r="F555">
            <v>0</v>
          </cell>
          <cell r="G555" t="str">
            <v>购置固定资产、无形资产和其他长期资产支付的现金</v>
          </cell>
          <cell r="H555">
            <v>0</v>
          </cell>
          <cell r="I555">
            <v>7151</v>
          </cell>
          <cell r="J555" t="str">
            <v>J</v>
          </cell>
        </row>
        <row r="556">
          <cell r="B556">
            <v>7161</v>
          </cell>
          <cell r="C556" t="str">
            <v>投资支付的现金</v>
          </cell>
          <cell r="D556">
            <v>-1</v>
          </cell>
          <cell r="E556">
            <v>0</v>
          </cell>
          <cell r="F556">
            <v>0</v>
          </cell>
          <cell r="G556" t="str">
            <v>投资支付的现金</v>
          </cell>
          <cell r="H556">
            <v>0</v>
          </cell>
          <cell r="I556">
            <v>7161</v>
          </cell>
          <cell r="J556" t="str">
            <v>J</v>
          </cell>
        </row>
        <row r="557">
          <cell r="B557">
            <v>7165</v>
          </cell>
          <cell r="C557" t="str">
            <v>质押贷款净增加额</v>
          </cell>
          <cell r="D557">
            <v>-1</v>
          </cell>
          <cell r="E557" t="str">
            <v>△</v>
          </cell>
          <cell r="F557">
            <v>0</v>
          </cell>
          <cell r="G557" t="str">
            <v>质押贷款净增加额</v>
          </cell>
          <cell r="H557">
            <v>0</v>
          </cell>
          <cell r="I557">
            <v>7165</v>
          </cell>
          <cell r="J557" t="str">
            <v>J</v>
          </cell>
        </row>
        <row r="558">
          <cell r="B558">
            <v>7171</v>
          </cell>
          <cell r="C558" t="str">
            <v>取得子公司及其他营业单位支付的现金净额</v>
          </cell>
          <cell r="D558">
            <v>-1</v>
          </cell>
          <cell r="E558">
            <v>0</v>
          </cell>
          <cell r="F558">
            <v>0</v>
          </cell>
          <cell r="G558" t="str">
            <v>取得子公司及其他营业单位支付的现金净额</v>
          </cell>
          <cell r="H558">
            <v>0</v>
          </cell>
          <cell r="I558">
            <v>7171</v>
          </cell>
          <cell r="J558" t="str">
            <v>J</v>
          </cell>
        </row>
        <row r="559">
          <cell r="B559">
            <v>7196</v>
          </cell>
          <cell r="C559" t="str">
            <v>支付其他与投资活动有关的现金</v>
          </cell>
          <cell r="D559">
            <v>-1</v>
          </cell>
          <cell r="E559">
            <v>0</v>
          </cell>
          <cell r="F559">
            <v>0</v>
          </cell>
          <cell r="G559" t="str">
            <v>支付其他与投资活动有关的现金</v>
          </cell>
          <cell r="H559">
            <v>0</v>
          </cell>
          <cell r="I559">
            <v>7196</v>
          </cell>
          <cell r="J559" t="str">
            <v>J</v>
          </cell>
        </row>
        <row r="560">
          <cell r="B560">
            <v>7198</v>
          </cell>
          <cell r="C560" t="str">
            <v>投资活动现金流出</v>
          </cell>
          <cell r="D560">
            <v>0</v>
          </cell>
          <cell r="E560" t="str">
            <v>＝</v>
          </cell>
          <cell r="F560">
            <v>0</v>
          </cell>
          <cell r="G560" t="str">
            <v>投资活动现金流出小计</v>
          </cell>
          <cell r="H560">
            <v>0</v>
          </cell>
          <cell r="I560">
            <v>7198</v>
          </cell>
          <cell r="J560">
            <v>0</v>
          </cell>
        </row>
        <row r="561">
          <cell r="B561">
            <v>7199</v>
          </cell>
          <cell r="C561" t="str">
            <v>投资活动产生的现金流量净额</v>
          </cell>
          <cell r="D561">
            <v>0</v>
          </cell>
          <cell r="E561" t="str">
            <v>＝</v>
          </cell>
          <cell r="F561">
            <v>0</v>
          </cell>
          <cell r="G561" t="str">
            <v>投资活动产生的现金流量净额</v>
          </cell>
          <cell r="H561">
            <v>0</v>
          </cell>
          <cell r="I561">
            <v>7199</v>
          </cell>
          <cell r="J561">
            <v>0</v>
          </cell>
        </row>
        <row r="562">
          <cell r="B562">
            <v>7200</v>
          </cell>
          <cell r="C562" t="str">
            <v>筹资活动现金流量项目</v>
          </cell>
          <cell r="D562">
            <v>0</v>
          </cell>
          <cell r="E562" t="str">
            <v>：</v>
          </cell>
          <cell r="F562">
            <v>0</v>
          </cell>
          <cell r="G562" t="str">
            <v>三、筹资活动产生的现金流量：</v>
          </cell>
          <cell r="H562">
            <v>0</v>
          </cell>
          <cell r="I562">
            <v>7200</v>
          </cell>
          <cell r="J562">
            <v>0</v>
          </cell>
        </row>
        <row r="563">
          <cell r="B563">
            <v>7201</v>
          </cell>
          <cell r="C563" t="str">
            <v>吸收投资收到的现金</v>
          </cell>
          <cell r="D563">
            <v>1</v>
          </cell>
          <cell r="E563">
            <v>0</v>
          </cell>
          <cell r="F563">
            <v>0</v>
          </cell>
          <cell r="G563" t="str">
            <v>吸收投资收到的现金</v>
          </cell>
          <cell r="H563">
            <v>0</v>
          </cell>
          <cell r="I563">
            <v>7201</v>
          </cell>
          <cell r="J563" t="str">
            <v>J</v>
          </cell>
        </row>
        <row r="564">
          <cell r="B564">
            <v>7201.01</v>
          </cell>
          <cell r="C564" t="str">
            <v>子公司吸收少数股东投资收到的现金</v>
          </cell>
          <cell r="D564">
            <v>1</v>
          </cell>
          <cell r="E564" t="str">
            <v>※</v>
          </cell>
          <cell r="F564">
            <v>0</v>
          </cell>
          <cell r="G564" t="str">
            <v>其中：子公司吸收少数股东权益性投资收到的现金</v>
          </cell>
          <cell r="H564">
            <v>0</v>
          </cell>
          <cell r="I564">
            <v>7201.01</v>
          </cell>
          <cell r="J564" t="str">
            <v>J</v>
          </cell>
        </row>
        <row r="565">
          <cell r="B565">
            <v>7211</v>
          </cell>
          <cell r="C565" t="str">
            <v>取得借款收到的现金</v>
          </cell>
          <cell r="D565">
            <v>1</v>
          </cell>
          <cell r="E565">
            <v>0</v>
          </cell>
          <cell r="F565">
            <v>0</v>
          </cell>
          <cell r="G565" t="str">
            <v>取得借款收到的现金</v>
          </cell>
          <cell r="H565">
            <v>0</v>
          </cell>
          <cell r="I565">
            <v>7211</v>
          </cell>
          <cell r="J565" t="str">
            <v>J</v>
          </cell>
        </row>
        <row r="566">
          <cell r="B566">
            <v>7221</v>
          </cell>
          <cell r="C566" t="str">
            <v>发行债券收到的现金</v>
          </cell>
          <cell r="D566">
            <v>1</v>
          </cell>
          <cell r="E566">
            <v>0</v>
          </cell>
          <cell r="F566">
            <v>0</v>
          </cell>
          <cell r="G566" t="str">
            <v>发行债券收到的现金</v>
          </cell>
          <cell r="H566">
            <v>0</v>
          </cell>
          <cell r="I566">
            <v>7221</v>
          </cell>
          <cell r="J566" t="str">
            <v>J</v>
          </cell>
        </row>
        <row r="567">
          <cell r="B567">
            <v>7246</v>
          </cell>
          <cell r="C567" t="str">
            <v>收到其他与筹资活动有关的现金</v>
          </cell>
          <cell r="D567">
            <v>1</v>
          </cell>
          <cell r="E567">
            <v>0</v>
          </cell>
          <cell r="F567">
            <v>0</v>
          </cell>
          <cell r="G567" t="str">
            <v>收到其他与筹资活动有关的现金</v>
          </cell>
          <cell r="H567">
            <v>0</v>
          </cell>
          <cell r="I567">
            <v>7246</v>
          </cell>
          <cell r="J567" t="str">
            <v>J</v>
          </cell>
        </row>
        <row r="568">
          <cell r="B568">
            <v>7248</v>
          </cell>
          <cell r="C568" t="str">
            <v>筹资活动现金流入</v>
          </cell>
          <cell r="D568">
            <v>0</v>
          </cell>
          <cell r="E568" t="str">
            <v>＝</v>
          </cell>
          <cell r="F568">
            <v>0</v>
          </cell>
          <cell r="G568" t="str">
            <v>筹资活动现金流入小计</v>
          </cell>
          <cell r="H568">
            <v>0</v>
          </cell>
          <cell r="I568">
            <v>7248</v>
          </cell>
          <cell r="J568">
            <v>0</v>
          </cell>
        </row>
        <row r="569">
          <cell r="B569">
            <v>7251</v>
          </cell>
          <cell r="C569" t="str">
            <v>偿还债务支付的现金</v>
          </cell>
          <cell r="D569">
            <v>-1</v>
          </cell>
          <cell r="E569">
            <v>0</v>
          </cell>
          <cell r="F569">
            <v>0</v>
          </cell>
          <cell r="G569" t="str">
            <v>偿还债务支付的现金</v>
          </cell>
          <cell r="H569">
            <v>0</v>
          </cell>
          <cell r="I569">
            <v>7251</v>
          </cell>
          <cell r="J569" t="str">
            <v>J</v>
          </cell>
        </row>
        <row r="570">
          <cell r="B570">
            <v>7261</v>
          </cell>
          <cell r="C570" t="str">
            <v>分配利润偿付利息支付的现金</v>
          </cell>
          <cell r="D570">
            <v>-1</v>
          </cell>
          <cell r="E570">
            <v>0</v>
          </cell>
          <cell r="F570">
            <v>0</v>
          </cell>
          <cell r="G570" t="str">
            <v>分配股利、利润或偿付利息支付的现金</v>
          </cell>
          <cell r="H570">
            <v>0</v>
          </cell>
          <cell r="I570">
            <v>7261</v>
          </cell>
          <cell r="J570" t="str">
            <v>J</v>
          </cell>
        </row>
        <row r="571">
          <cell r="B571">
            <v>7261.01</v>
          </cell>
          <cell r="C571" t="str">
            <v>子公司支付少数股东的现金股利</v>
          </cell>
          <cell r="D571">
            <v>-1</v>
          </cell>
          <cell r="E571" t="str">
            <v>※</v>
          </cell>
          <cell r="F571">
            <v>0</v>
          </cell>
          <cell r="G571" t="str">
            <v>其中：子公司支付少数股东的现金股利</v>
          </cell>
          <cell r="H571">
            <v>0</v>
          </cell>
          <cell r="I571">
            <v>7261.01</v>
          </cell>
          <cell r="J571" t="str">
            <v>J</v>
          </cell>
        </row>
        <row r="572">
          <cell r="B572">
            <v>7296</v>
          </cell>
          <cell r="C572" t="str">
            <v>支付其他与筹资活动有关的现金</v>
          </cell>
          <cell r="D572">
            <v>-1</v>
          </cell>
          <cell r="E572">
            <v>0</v>
          </cell>
          <cell r="F572">
            <v>0</v>
          </cell>
          <cell r="G572" t="str">
            <v>支付其他与筹资活动有关的现金</v>
          </cell>
          <cell r="H572">
            <v>0</v>
          </cell>
          <cell r="I572">
            <v>7296</v>
          </cell>
          <cell r="J572" t="str">
            <v>J</v>
          </cell>
        </row>
        <row r="573">
          <cell r="B573">
            <v>7296.11</v>
          </cell>
          <cell r="C573" t="str">
            <v>子公司减资支付给少数股东的现金</v>
          </cell>
          <cell r="D573">
            <v>-1</v>
          </cell>
          <cell r="E573" t="str">
            <v>※</v>
          </cell>
          <cell r="F573">
            <v>0</v>
          </cell>
          <cell r="G573" t="str">
            <v>其中：子公司减资支付给少数股东的现金</v>
          </cell>
          <cell r="H573">
            <v>0</v>
          </cell>
          <cell r="I573">
            <v>7296.11</v>
          </cell>
          <cell r="J573" t="str">
            <v>J</v>
          </cell>
        </row>
        <row r="574">
          <cell r="B574">
            <v>7298</v>
          </cell>
          <cell r="C574" t="str">
            <v>筹资活动现金流出</v>
          </cell>
          <cell r="D574">
            <v>0</v>
          </cell>
          <cell r="E574" t="str">
            <v>＝</v>
          </cell>
          <cell r="F574">
            <v>0</v>
          </cell>
          <cell r="G574" t="str">
            <v>筹资活动现金流出小计</v>
          </cell>
          <cell r="H574">
            <v>0</v>
          </cell>
          <cell r="I574">
            <v>7298</v>
          </cell>
          <cell r="J574">
            <v>0</v>
          </cell>
        </row>
        <row r="575">
          <cell r="B575">
            <v>7299</v>
          </cell>
          <cell r="C575" t="str">
            <v>筹资活动产生的现金流量净额</v>
          </cell>
          <cell r="D575">
            <v>0</v>
          </cell>
          <cell r="E575" t="str">
            <v>＝</v>
          </cell>
          <cell r="F575">
            <v>0</v>
          </cell>
          <cell r="G575" t="str">
            <v>筹资活动产生的现金流量净额</v>
          </cell>
          <cell r="H575">
            <v>0</v>
          </cell>
          <cell r="I575">
            <v>7299</v>
          </cell>
          <cell r="J575">
            <v>0</v>
          </cell>
        </row>
        <row r="576">
          <cell r="B576">
            <v>7309</v>
          </cell>
          <cell r="C576" t="str">
            <v>汇率变动对现金及现金等价物的影响</v>
          </cell>
          <cell r="D576">
            <v>1</v>
          </cell>
          <cell r="E576">
            <v>0</v>
          </cell>
          <cell r="F576">
            <v>0</v>
          </cell>
          <cell r="G576" t="str">
            <v>四、汇率变动对现金及现金等价物的影响</v>
          </cell>
          <cell r="H576">
            <v>0</v>
          </cell>
          <cell r="I576">
            <v>7309</v>
          </cell>
          <cell r="J576" t="str">
            <v>J</v>
          </cell>
        </row>
        <row r="577">
          <cell r="B577">
            <v>7348</v>
          </cell>
          <cell r="C577" t="str">
            <v>现金及现金等价物净增加额</v>
          </cell>
          <cell r="D577">
            <v>0</v>
          </cell>
          <cell r="E577" t="str">
            <v>＝</v>
          </cell>
          <cell r="F577">
            <v>0</v>
          </cell>
          <cell r="G577" t="str">
            <v>五、现金及现金等价物净增加额</v>
          </cell>
          <cell r="H577">
            <v>0</v>
          </cell>
          <cell r="I577">
            <v>7348</v>
          </cell>
          <cell r="J577">
            <v>0</v>
          </cell>
        </row>
        <row r="578">
          <cell r="B578">
            <v>7349</v>
          </cell>
          <cell r="C578" t="str">
            <v>期初现金及现金等价物余额</v>
          </cell>
          <cell r="D578">
            <v>1</v>
          </cell>
          <cell r="E578">
            <v>0</v>
          </cell>
          <cell r="F578">
            <v>0</v>
          </cell>
          <cell r="G578" t="str">
            <v>加：期初现金及现金等价物余额</v>
          </cell>
          <cell r="H578">
            <v>0</v>
          </cell>
          <cell r="I578">
            <v>7349</v>
          </cell>
          <cell r="J578" t="str">
            <v>J</v>
          </cell>
        </row>
        <row r="579">
          <cell r="B579">
            <v>7399</v>
          </cell>
          <cell r="C579" t="str">
            <v>期末现金及现金等价物余额</v>
          </cell>
          <cell r="D579">
            <v>0</v>
          </cell>
          <cell r="E579" t="str">
            <v>＝</v>
          </cell>
          <cell r="F579">
            <v>0</v>
          </cell>
          <cell r="G579" t="str">
            <v>六、期末现金及现金等价物余额</v>
          </cell>
          <cell r="H579">
            <v>0</v>
          </cell>
          <cell r="I579">
            <v>7399</v>
          </cell>
          <cell r="J579">
            <v>0</v>
          </cell>
        </row>
        <row r="580">
          <cell r="B580">
            <v>7500</v>
          </cell>
          <cell r="C580" t="str">
            <v>现金流量表补充资料</v>
          </cell>
          <cell r="D580">
            <v>0</v>
          </cell>
          <cell r="E580" t="str">
            <v>：</v>
          </cell>
          <cell r="F580">
            <v>0</v>
          </cell>
          <cell r="G580" t="str">
            <v>现金流量表补充资料</v>
          </cell>
          <cell r="H580">
            <v>0</v>
          </cell>
          <cell r="I580">
            <v>7500</v>
          </cell>
          <cell r="J580">
            <v>0</v>
          </cell>
        </row>
        <row r="581">
          <cell r="B581">
            <v>7501</v>
          </cell>
          <cell r="C581" t="str">
            <v>将净利润调节为经营活动现金流量</v>
          </cell>
          <cell r="D581">
            <v>0</v>
          </cell>
          <cell r="E581" t="str">
            <v>：</v>
          </cell>
          <cell r="F581">
            <v>0</v>
          </cell>
          <cell r="G581" t="str">
            <v>1.将净利润调节为经营活动现金流量：</v>
          </cell>
          <cell r="H581">
            <v>0</v>
          </cell>
          <cell r="I581">
            <v>7501</v>
          </cell>
          <cell r="J581">
            <v>0</v>
          </cell>
        </row>
        <row r="582">
          <cell r="B582">
            <v>7502</v>
          </cell>
          <cell r="C582" t="str">
            <v>净利润金额</v>
          </cell>
          <cell r="D582">
            <v>1</v>
          </cell>
          <cell r="E582">
            <v>0</v>
          </cell>
          <cell r="F582">
            <v>0</v>
          </cell>
          <cell r="G582" t="str">
            <v>净利润</v>
          </cell>
          <cell r="H582">
            <v>0</v>
          </cell>
          <cell r="I582">
            <v>7502</v>
          </cell>
          <cell r="J582">
            <v>0</v>
          </cell>
        </row>
        <row r="583">
          <cell r="B583">
            <v>7503</v>
          </cell>
          <cell r="C583" t="str">
            <v>资产减值准备金额</v>
          </cell>
          <cell r="D583">
            <v>1</v>
          </cell>
          <cell r="E583">
            <v>0</v>
          </cell>
          <cell r="F583">
            <v>0</v>
          </cell>
          <cell r="G583" t="str">
            <v>加：资产减值准备</v>
          </cell>
          <cell r="H583">
            <v>0</v>
          </cell>
          <cell r="I583">
            <v>7503</v>
          </cell>
          <cell r="J583">
            <v>0</v>
          </cell>
        </row>
        <row r="584">
          <cell r="B584">
            <v>7505</v>
          </cell>
          <cell r="C584" t="str">
            <v>固定资产折旧、油气资产折耗、生产性生物资产折旧</v>
          </cell>
          <cell r="D584">
            <v>1</v>
          </cell>
          <cell r="E584">
            <v>0</v>
          </cell>
          <cell r="F584">
            <v>0</v>
          </cell>
          <cell r="G584" t="str">
            <v>固定资产折旧、油气资产折耗、生产性生物资产折旧</v>
          </cell>
          <cell r="H584">
            <v>0</v>
          </cell>
          <cell r="I584">
            <v>7505</v>
          </cell>
          <cell r="J584">
            <v>0</v>
          </cell>
        </row>
        <row r="585">
          <cell r="B585">
            <v>7506</v>
          </cell>
          <cell r="C585" t="str">
            <v>无形资产摊销</v>
          </cell>
          <cell r="D585">
            <v>1</v>
          </cell>
          <cell r="E585">
            <v>0</v>
          </cell>
          <cell r="F585">
            <v>0</v>
          </cell>
          <cell r="G585" t="str">
            <v>无形资产摊销</v>
          </cell>
          <cell r="H585">
            <v>0</v>
          </cell>
          <cell r="I585">
            <v>7506</v>
          </cell>
          <cell r="J585">
            <v>0</v>
          </cell>
        </row>
        <row r="586">
          <cell r="B586">
            <v>7507</v>
          </cell>
          <cell r="C586" t="str">
            <v>长期待摊费用摊销</v>
          </cell>
          <cell r="D586">
            <v>1</v>
          </cell>
          <cell r="E586">
            <v>0</v>
          </cell>
          <cell r="F586">
            <v>0</v>
          </cell>
          <cell r="G586" t="str">
            <v>长期待摊费用摊销</v>
          </cell>
          <cell r="H586">
            <v>0</v>
          </cell>
          <cell r="I586">
            <v>7507</v>
          </cell>
          <cell r="J586">
            <v>0</v>
          </cell>
        </row>
        <row r="587">
          <cell r="B587">
            <v>7508</v>
          </cell>
          <cell r="C587" t="str">
            <v>处置固定资产、无形资产和其他长期资产的损失</v>
          </cell>
          <cell r="D587">
            <v>1</v>
          </cell>
          <cell r="E587">
            <v>0</v>
          </cell>
          <cell r="F587">
            <v>0</v>
          </cell>
          <cell r="G587" t="str">
            <v>处置固定资产、无形资产和其他长期资产的损失（收益以“－”号填列）</v>
          </cell>
          <cell r="H587">
            <v>0</v>
          </cell>
          <cell r="I587">
            <v>7508</v>
          </cell>
          <cell r="J587">
            <v>0</v>
          </cell>
        </row>
        <row r="588">
          <cell r="B588">
            <v>7509</v>
          </cell>
          <cell r="C588" t="str">
            <v>固定资产报废损失</v>
          </cell>
          <cell r="D588">
            <v>1</v>
          </cell>
          <cell r="E588">
            <v>0</v>
          </cell>
          <cell r="F588">
            <v>0</v>
          </cell>
          <cell r="G588" t="str">
            <v>固定资产报废损失（收益以“－”号填列）</v>
          </cell>
          <cell r="H588">
            <v>0</v>
          </cell>
          <cell r="I588">
            <v>7509</v>
          </cell>
          <cell r="J588">
            <v>0</v>
          </cell>
        </row>
        <row r="589">
          <cell r="B589">
            <v>7510</v>
          </cell>
          <cell r="C589" t="str">
            <v>公允价值变动损失</v>
          </cell>
          <cell r="D589">
            <v>1</v>
          </cell>
          <cell r="E589">
            <v>0</v>
          </cell>
          <cell r="F589">
            <v>0</v>
          </cell>
          <cell r="G589" t="str">
            <v>公允价值变动损失（收益以“－”号填列）</v>
          </cell>
          <cell r="H589">
            <v>0</v>
          </cell>
          <cell r="I589">
            <v>7510</v>
          </cell>
          <cell r="J589">
            <v>0</v>
          </cell>
        </row>
        <row r="590">
          <cell r="B590">
            <v>7511</v>
          </cell>
          <cell r="C590" t="str">
            <v>财务费用金额</v>
          </cell>
          <cell r="D590">
            <v>1</v>
          </cell>
          <cell r="E590">
            <v>0</v>
          </cell>
          <cell r="F590">
            <v>0</v>
          </cell>
          <cell r="G590" t="str">
            <v>财务费用（收益以“－”号填列）</v>
          </cell>
          <cell r="H590">
            <v>0</v>
          </cell>
          <cell r="I590">
            <v>7511</v>
          </cell>
          <cell r="J590">
            <v>0</v>
          </cell>
        </row>
        <row r="591">
          <cell r="B591">
            <v>7512</v>
          </cell>
          <cell r="C591" t="str">
            <v>投资损失</v>
          </cell>
          <cell r="D591">
            <v>1</v>
          </cell>
          <cell r="E591">
            <v>0</v>
          </cell>
          <cell r="F591">
            <v>0</v>
          </cell>
          <cell r="G591" t="str">
            <v>投资损失（收益以“－”号填列）</v>
          </cell>
          <cell r="H591">
            <v>0</v>
          </cell>
          <cell r="I591">
            <v>7512</v>
          </cell>
          <cell r="J591">
            <v>0</v>
          </cell>
        </row>
        <row r="592">
          <cell r="B592">
            <v>7515</v>
          </cell>
          <cell r="C592" t="str">
            <v>递延所得税资产减少</v>
          </cell>
          <cell r="D592">
            <v>1</v>
          </cell>
          <cell r="E592">
            <v>0</v>
          </cell>
          <cell r="F592">
            <v>0</v>
          </cell>
          <cell r="G592" t="str">
            <v>递延所得税资产减少（增加以“－”号填列）</v>
          </cell>
          <cell r="H592">
            <v>0</v>
          </cell>
          <cell r="I592">
            <v>7515</v>
          </cell>
          <cell r="J592">
            <v>0</v>
          </cell>
        </row>
        <row r="593">
          <cell r="B593">
            <v>7516</v>
          </cell>
          <cell r="C593" t="str">
            <v>递延所得税负债增加</v>
          </cell>
          <cell r="D593">
            <v>1</v>
          </cell>
          <cell r="E593">
            <v>0</v>
          </cell>
          <cell r="F593">
            <v>0</v>
          </cell>
          <cell r="G593" t="str">
            <v>递延所得税负债增加（减少以“－”号填列）</v>
          </cell>
          <cell r="H593">
            <v>0</v>
          </cell>
          <cell r="I593">
            <v>7516</v>
          </cell>
          <cell r="J593">
            <v>0</v>
          </cell>
        </row>
        <row r="594">
          <cell r="B594">
            <v>7517</v>
          </cell>
          <cell r="C594" t="str">
            <v>存货的减少</v>
          </cell>
          <cell r="D594">
            <v>1</v>
          </cell>
          <cell r="E594">
            <v>0</v>
          </cell>
          <cell r="F594">
            <v>0</v>
          </cell>
          <cell r="G594" t="str">
            <v>存货的减少（增加以“－”号填列）</v>
          </cell>
          <cell r="H594">
            <v>0</v>
          </cell>
          <cell r="I594">
            <v>7517</v>
          </cell>
          <cell r="J594">
            <v>0</v>
          </cell>
        </row>
        <row r="595">
          <cell r="B595">
            <v>7518</v>
          </cell>
          <cell r="C595" t="str">
            <v>经营性应收项目的减少</v>
          </cell>
          <cell r="D595">
            <v>1</v>
          </cell>
          <cell r="E595">
            <v>0</v>
          </cell>
          <cell r="F595">
            <v>0</v>
          </cell>
          <cell r="G595" t="str">
            <v>经营性应收项目的减少（增加以“－”号填列）</v>
          </cell>
          <cell r="H595">
            <v>0</v>
          </cell>
          <cell r="I595">
            <v>7518</v>
          </cell>
          <cell r="J595">
            <v>0</v>
          </cell>
        </row>
        <row r="596">
          <cell r="B596">
            <v>7519</v>
          </cell>
          <cell r="C596" t="str">
            <v>经营性应付项目的增加</v>
          </cell>
          <cell r="D596">
            <v>1</v>
          </cell>
          <cell r="E596">
            <v>0</v>
          </cell>
          <cell r="F596">
            <v>0</v>
          </cell>
          <cell r="G596" t="str">
            <v>经营性应付项目的增加（减少以“－”号填列）</v>
          </cell>
          <cell r="H596">
            <v>0</v>
          </cell>
          <cell r="I596">
            <v>7519</v>
          </cell>
          <cell r="J596">
            <v>0</v>
          </cell>
        </row>
        <row r="597">
          <cell r="B597">
            <v>7523</v>
          </cell>
          <cell r="C597" t="str">
            <v>其他将净利润调节为经营活动现金流量项目</v>
          </cell>
          <cell r="D597">
            <v>1</v>
          </cell>
          <cell r="E597">
            <v>0</v>
          </cell>
          <cell r="F597">
            <v>0</v>
          </cell>
          <cell r="G597" t="str">
            <v>其他</v>
          </cell>
          <cell r="H597">
            <v>0</v>
          </cell>
          <cell r="I597">
            <v>7523</v>
          </cell>
          <cell r="J597">
            <v>0</v>
          </cell>
        </row>
        <row r="598">
          <cell r="B598">
            <v>7525</v>
          </cell>
          <cell r="C598" t="str">
            <v>经营活动产生的现金流量净额</v>
          </cell>
          <cell r="D598">
            <v>0</v>
          </cell>
          <cell r="E598" t="str">
            <v>＝</v>
          </cell>
          <cell r="F598">
            <v>0</v>
          </cell>
          <cell r="G598" t="str">
            <v>经营活动产生的现金流量净额</v>
          </cell>
          <cell r="H598">
            <v>0</v>
          </cell>
          <cell r="I598">
            <v>7525</v>
          </cell>
          <cell r="J598">
            <v>0</v>
          </cell>
        </row>
        <row r="599">
          <cell r="B599">
            <v>7526</v>
          </cell>
          <cell r="C599" t="str">
            <v>不涉及现金收支的重大投资和筹资活动</v>
          </cell>
          <cell r="D599">
            <v>0</v>
          </cell>
          <cell r="E599" t="str">
            <v>：</v>
          </cell>
          <cell r="F599">
            <v>0</v>
          </cell>
          <cell r="G599" t="str">
            <v>2.不涉及现金收支的重大投资和筹资活动：</v>
          </cell>
          <cell r="H599">
            <v>0</v>
          </cell>
          <cell r="I599">
            <v>7526</v>
          </cell>
          <cell r="J599">
            <v>0</v>
          </cell>
        </row>
        <row r="600">
          <cell r="B600">
            <v>7527</v>
          </cell>
          <cell r="C600" t="str">
            <v>债务转为资本</v>
          </cell>
          <cell r="D600">
            <v>0</v>
          </cell>
          <cell r="E600">
            <v>0</v>
          </cell>
          <cell r="F600">
            <v>0</v>
          </cell>
          <cell r="G600" t="str">
            <v>债务转为资本</v>
          </cell>
          <cell r="H600">
            <v>0</v>
          </cell>
          <cell r="I600">
            <v>7527</v>
          </cell>
          <cell r="J600">
            <v>0</v>
          </cell>
        </row>
        <row r="601">
          <cell r="B601">
            <v>7528</v>
          </cell>
          <cell r="C601" t="str">
            <v>一年内到期的可转换公司债券</v>
          </cell>
          <cell r="D601">
            <v>0</v>
          </cell>
          <cell r="E601">
            <v>0</v>
          </cell>
          <cell r="F601">
            <v>0</v>
          </cell>
          <cell r="G601" t="str">
            <v>一年内到期的可转换公司债券</v>
          </cell>
          <cell r="H601">
            <v>0</v>
          </cell>
          <cell r="I601">
            <v>7528</v>
          </cell>
          <cell r="J601">
            <v>0</v>
          </cell>
        </row>
        <row r="602">
          <cell r="B602">
            <v>7529</v>
          </cell>
          <cell r="C602" t="str">
            <v>融资租入固定资产</v>
          </cell>
          <cell r="D602">
            <v>0</v>
          </cell>
          <cell r="E602">
            <v>0</v>
          </cell>
          <cell r="F602">
            <v>0</v>
          </cell>
          <cell r="G602" t="str">
            <v>融资租入固定资产</v>
          </cell>
          <cell r="H602">
            <v>0</v>
          </cell>
          <cell r="I602">
            <v>7529</v>
          </cell>
          <cell r="J602">
            <v>0</v>
          </cell>
        </row>
        <row r="603">
          <cell r="B603">
            <v>7533</v>
          </cell>
          <cell r="C603" t="str">
            <v>现金及现金等价物净变动情况</v>
          </cell>
          <cell r="D603">
            <v>0</v>
          </cell>
          <cell r="E603" t="str">
            <v>：</v>
          </cell>
          <cell r="F603">
            <v>0</v>
          </cell>
          <cell r="G603" t="str">
            <v>3.现金及现金等价物净变动情况：</v>
          </cell>
          <cell r="H603">
            <v>0</v>
          </cell>
          <cell r="I603">
            <v>7533</v>
          </cell>
          <cell r="J603">
            <v>0</v>
          </cell>
        </row>
        <row r="604">
          <cell r="B604">
            <v>7535</v>
          </cell>
          <cell r="C604" t="str">
            <v>现金的期末余额</v>
          </cell>
          <cell r="D604">
            <v>1</v>
          </cell>
          <cell r="E604">
            <v>0</v>
          </cell>
          <cell r="F604">
            <v>0</v>
          </cell>
          <cell r="G604" t="str">
            <v>现金的期末余额</v>
          </cell>
          <cell r="H604">
            <v>0</v>
          </cell>
          <cell r="I604">
            <v>7535</v>
          </cell>
          <cell r="J604">
            <v>0</v>
          </cell>
        </row>
        <row r="605">
          <cell r="B605">
            <v>7536</v>
          </cell>
          <cell r="C605" t="str">
            <v>减：现金的年初余额</v>
          </cell>
          <cell r="D605">
            <v>1</v>
          </cell>
          <cell r="E605">
            <v>0</v>
          </cell>
          <cell r="F605">
            <v>0</v>
          </cell>
          <cell r="G605" t="str">
            <v>减：现金的年初余额</v>
          </cell>
          <cell r="H605">
            <v>0</v>
          </cell>
          <cell r="I605">
            <v>7536</v>
          </cell>
          <cell r="J605">
            <v>0</v>
          </cell>
        </row>
        <row r="606">
          <cell r="B606">
            <v>7537</v>
          </cell>
          <cell r="C606" t="str">
            <v>加：现金等价物的期末余额</v>
          </cell>
          <cell r="D606">
            <v>1</v>
          </cell>
          <cell r="E606">
            <v>0</v>
          </cell>
          <cell r="F606">
            <v>0</v>
          </cell>
          <cell r="G606" t="str">
            <v>加：现金等价物的期末余额</v>
          </cell>
          <cell r="H606">
            <v>0</v>
          </cell>
          <cell r="I606">
            <v>7537</v>
          </cell>
          <cell r="J606">
            <v>0</v>
          </cell>
        </row>
        <row r="607">
          <cell r="B607">
            <v>7538</v>
          </cell>
          <cell r="C607" t="str">
            <v>减：现金等价物的年初余额</v>
          </cell>
          <cell r="D607">
            <v>1</v>
          </cell>
          <cell r="E607">
            <v>0</v>
          </cell>
          <cell r="F607">
            <v>0</v>
          </cell>
          <cell r="G607" t="str">
            <v>减：现金等价物的年初余额</v>
          </cell>
          <cell r="H607">
            <v>0</v>
          </cell>
          <cell r="I607">
            <v>7538</v>
          </cell>
          <cell r="J607">
            <v>0</v>
          </cell>
        </row>
        <row r="608">
          <cell r="B608">
            <v>7539</v>
          </cell>
          <cell r="C608" t="str">
            <v>现金及现金等价物净增加额</v>
          </cell>
          <cell r="D608">
            <v>1</v>
          </cell>
          <cell r="E608" t="str">
            <v>＝</v>
          </cell>
          <cell r="F608">
            <v>0</v>
          </cell>
          <cell r="G608" t="str">
            <v>现金及现金等价物净增加额</v>
          </cell>
          <cell r="H608">
            <v>0</v>
          </cell>
          <cell r="I608">
            <v>7539</v>
          </cell>
          <cell r="J608">
            <v>0</v>
          </cell>
        </row>
        <row r="609">
          <cell r="B609">
            <v>19</v>
          </cell>
          <cell r="C609" t="str">
            <v>资产负债表补充资料：资产减值准备</v>
          </cell>
          <cell r="D609">
            <v>0</v>
          </cell>
          <cell r="E609" t="str">
            <v>：</v>
          </cell>
          <cell r="F609">
            <v>0</v>
          </cell>
          <cell r="G609">
            <v>0</v>
          </cell>
          <cell r="H609">
            <v>0</v>
          </cell>
          <cell r="I609">
            <v>19</v>
          </cell>
          <cell r="J609">
            <v>0</v>
          </cell>
        </row>
        <row r="610">
          <cell r="B610">
            <v>1122.1231</v>
          </cell>
          <cell r="C610" t="str">
            <v>应收账款坏账准备</v>
          </cell>
          <cell r="D610">
            <v>-1</v>
          </cell>
          <cell r="E610">
            <v>0</v>
          </cell>
          <cell r="F610">
            <v>0</v>
          </cell>
          <cell r="G610" t="str">
            <v>应收账款坏账准备</v>
          </cell>
          <cell r="H610">
            <v>0</v>
          </cell>
          <cell r="I610">
            <v>1122.1231</v>
          </cell>
          <cell r="J610" t="str">
            <v>J</v>
          </cell>
        </row>
        <row r="611">
          <cell r="B611">
            <v>1125.1231</v>
          </cell>
          <cell r="C611" t="str">
            <v>预付款项坏账准备</v>
          </cell>
          <cell r="D611">
            <v>-1</v>
          </cell>
          <cell r="E611">
            <v>0</v>
          </cell>
          <cell r="F611">
            <v>0</v>
          </cell>
          <cell r="G611" t="str">
            <v>预付款项坏账准备</v>
          </cell>
          <cell r="H611">
            <v>0</v>
          </cell>
          <cell r="I611">
            <v>1125.1231</v>
          </cell>
          <cell r="J611" t="str">
            <v>J</v>
          </cell>
        </row>
        <row r="612">
          <cell r="B612">
            <v>1221.1231</v>
          </cell>
          <cell r="C612" t="str">
            <v>其他应收款坏账准备</v>
          </cell>
          <cell r="D612">
            <v>-1</v>
          </cell>
          <cell r="E612">
            <v>0</v>
          </cell>
          <cell r="F612">
            <v>0</v>
          </cell>
          <cell r="G612" t="str">
            <v>其他应收款坏账准备</v>
          </cell>
          <cell r="H612">
            <v>0</v>
          </cell>
          <cell r="I612">
            <v>1221.1231</v>
          </cell>
          <cell r="J612" t="str">
            <v>J</v>
          </cell>
        </row>
        <row r="613">
          <cell r="B613">
            <v>1400.1470999999999</v>
          </cell>
          <cell r="C613" t="str">
            <v>存货跌价准备</v>
          </cell>
          <cell r="D613">
            <v>-1</v>
          </cell>
          <cell r="E613">
            <v>0</v>
          </cell>
          <cell r="F613">
            <v>0</v>
          </cell>
          <cell r="G613" t="str">
            <v>存货跌价准备</v>
          </cell>
          <cell r="H613">
            <v>0</v>
          </cell>
          <cell r="I613">
            <v>1400.1470999999999</v>
          </cell>
          <cell r="J613" t="str">
            <v>J</v>
          </cell>
        </row>
        <row r="614">
          <cell r="B614">
            <v>1503.1504</v>
          </cell>
          <cell r="C614" t="str">
            <v>可供出售金融资产减值准备</v>
          </cell>
          <cell r="D614">
            <v>-1</v>
          </cell>
          <cell r="E614">
            <v>0</v>
          </cell>
          <cell r="F614">
            <v>0</v>
          </cell>
          <cell r="G614" t="str">
            <v>可供出售金融资产减值准备</v>
          </cell>
          <cell r="H614">
            <v>0</v>
          </cell>
          <cell r="I614">
            <v>1503.1504</v>
          </cell>
          <cell r="J614" t="str">
            <v>J</v>
          </cell>
        </row>
        <row r="615">
          <cell r="B615">
            <v>1501.1502</v>
          </cell>
          <cell r="C615" t="str">
            <v>持有至到期投资减值准备</v>
          </cell>
          <cell r="D615">
            <v>-1</v>
          </cell>
          <cell r="E615">
            <v>0</v>
          </cell>
          <cell r="F615">
            <v>0</v>
          </cell>
          <cell r="G615" t="str">
            <v>持有至到期投资减值准备</v>
          </cell>
          <cell r="H615">
            <v>0</v>
          </cell>
          <cell r="I615">
            <v>1501.1502</v>
          </cell>
          <cell r="J615" t="str">
            <v>J</v>
          </cell>
        </row>
        <row r="616">
          <cell r="B616">
            <v>1511.1512</v>
          </cell>
          <cell r="C616" t="str">
            <v>长期股权投资减值准备</v>
          </cell>
          <cell r="D616">
            <v>-1</v>
          </cell>
          <cell r="E616">
            <v>0</v>
          </cell>
          <cell r="F616">
            <v>0</v>
          </cell>
          <cell r="G616" t="str">
            <v>长期股权投资减值准备</v>
          </cell>
          <cell r="H616">
            <v>0</v>
          </cell>
          <cell r="I616">
            <v>1511.1512</v>
          </cell>
          <cell r="J616" t="str">
            <v>J</v>
          </cell>
        </row>
        <row r="617">
          <cell r="B617">
            <v>1521.1522</v>
          </cell>
          <cell r="C617" t="str">
            <v>投资性房地产减值准备</v>
          </cell>
          <cell r="D617">
            <v>-1</v>
          </cell>
          <cell r="E617">
            <v>0</v>
          </cell>
          <cell r="F617">
            <v>0</v>
          </cell>
          <cell r="G617" t="str">
            <v>投资性房地产减值准备</v>
          </cell>
          <cell r="H617">
            <v>0</v>
          </cell>
          <cell r="I617">
            <v>1521.1522</v>
          </cell>
          <cell r="J617" t="str">
            <v>J</v>
          </cell>
        </row>
        <row r="618">
          <cell r="B618">
            <v>1601.1603</v>
          </cell>
          <cell r="C618" t="str">
            <v>固定资产减值准备</v>
          </cell>
          <cell r="D618">
            <v>-1</v>
          </cell>
          <cell r="E618">
            <v>0</v>
          </cell>
          <cell r="F618">
            <v>0</v>
          </cell>
          <cell r="G618" t="str">
            <v>固定资产减值准备</v>
          </cell>
          <cell r="H618">
            <v>0</v>
          </cell>
          <cell r="I618">
            <v>1601.1603</v>
          </cell>
          <cell r="J618" t="str">
            <v>J</v>
          </cell>
        </row>
        <row r="619">
          <cell r="B619">
            <v>1605.1608000000001</v>
          </cell>
          <cell r="C619" t="str">
            <v>工程物资减值准备</v>
          </cell>
          <cell r="D619">
            <v>-1</v>
          </cell>
          <cell r="E619">
            <v>0</v>
          </cell>
          <cell r="F619">
            <v>0</v>
          </cell>
          <cell r="G619" t="str">
            <v>工程物资减值准备</v>
          </cell>
          <cell r="H619">
            <v>0</v>
          </cell>
          <cell r="I619">
            <v>1605.1608000000001</v>
          </cell>
          <cell r="J619" t="str">
            <v>J</v>
          </cell>
        </row>
        <row r="620">
          <cell r="B620">
            <v>1604.1606999999999</v>
          </cell>
          <cell r="C620" t="str">
            <v>在建工程减值准备</v>
          </cell>
          <cell r="D620">
            <v>-1</v>
          </cell>
          <cell r="E620">
            <v>0</v>
          </cell>
          <cell r="F620">
            <v>0</v>
          </cell>
          <cell r="G620" t="str">
            <v>在建工程减值准备</v>
          </cell>
          <cell r="H620">
            <v>0</v>
          </cell>
          <cell r="I620">
            <v>1604.1606999999999</v>
          </cell>
          <cell r="J620" t="str">
            <v>J</v>
          </cell>
        </row>
        <row r="621">
          <cell r="B621">
            <v>1621.1623999999999</v>
          </cell>
          <cell r="C621" t="str">
            <v>生产性生物资产减值准备</v>
          </cell>
          <cell r="D621">
            <v>-1</v>
          </cell>
          <cell r="E621">
            <v>0</v>
          </cell>
          <cell r="F621">
            <v>0</v>
          </cell>
          <cell r="G621" t="str">
            <v>生产性生物资产减值准备</v>
          </cell>
          <cell r="H621">
            <v>0</v>
          </cell>
          <cell r="I621">
            <v>1621.1623999999999</v>
          </cell>
          <cell r="J621" t="str">
            <v>J</v>
          </cell>
        </row>
        <row r="622">
          <cell r="B622">
            <v>1631.1632999999999</v>
          </cell>
          <cell r="C622" t="str">
            <v>油气资产减值准备</v>
          </cell>
          <cell r="D622">
            <v>-1</v>
          </cell>
          <cell r="E622">
            <v>0</v>
          </cell>
          <cell r="F622">
            <v>0</v>
          </cell>
          <cell r="G622" t="str">
            <v>油气资产减值准备</v>
          </cell>
          <cell r="H622">
            <v>0</v>
          </cell>
          <cell r="I622">
            <v>1631.1632999999999</v>
          </cell>
          <cell r="J622" t="str">
            <v>J</v>
          </cell>
        </row>
        <row r="623">
          <cell r="B623">
            <v>1701.1703</v>
          </cell>
          <cell r="C623" t="str">
            <v>无形资产减值准备</v>
          </cell>
          <cell r="D623">
            <v>-1</v>
          </cell>
          <cell r="E623">
            <v>0</v>
          </cell>
          <cell r="F623">
            <v>0</v>
          </cell>
          <cell r="G623" t="str">
            <v>无形资产减值准备</v>
          </cell>
          <cell r="H623">
            <v>0</v>
          </cell>
          <cell r="I623">
            <v>1701.1703</v>
          </cell>
          <cell r="J623" t="str">
            <v>J</v>
          </cell>
        </row>
        <row r="624">
          <cell r="B624">
            <v>1711.1712</v>
          </cell>
          <cell r="C624" t="str">
            <v>商誉减值准备</v>
          </cell>
          <cell r="D624">
            <v>-1</v>
          </cell>
          <cell r="E624">
            <v>0</v>
          </cell>
          <cell r="F624">
            <v>0</v>
          </cell>
          <cell r="G624" t="str">
            <v>商誉减值准备</v>
          </cell>
          <cell r="H624">
            <v>0</v>
          </cell>
          <cell r="I624">
            <v>1711.1712</v>
          </cell>
          <cell r="J624" t="str">
            <v>J</v>
          </cell>
        </row>
        <row r="625">
          <cell r="B625">
            <v>1991.1992</v>
          </cell>
          <cell r="C625" t="str">
            <v>其他减值准备</v>
          </cell>
          <cell r="D625">
            <v>-1</v>
          </cell>
          <cell r="E625">
            <v>0</v>
          </cell>
          <cell r="F625">
            <v>0</v>
          </cell>
          <cell r="G625" t="str">
            <v>其他</v>
          </cell>
          <cell r="H625">
            <v>0</v>
          </cell>
          <cell r="I625">
            <v>1991.1992</v>
          </cell>
          <cell r="J625">
            <v>0</v>
          </cell>
        </row>
        <row r="626">
          <cell r="B626">
            <v>1015.1001</v>
          </cell>
          <cell r="C626" t="str">
            <v>库存现金</v>
          </cell>
          <cell r="D626">
            <v>1</v>
          </cell>
          <cell r="E626">
            <v>0</v>
          </cell>
          <cell r="F626">
            <v>0</v>
          </cell>
          <cell r="G626">
            <v>0</v>
          </cell>
          <cell r="H626">
            <v>0</v>
          </cell>
          <cell r="I626">
            <v>1015.1001</v>
          </cell>
          <cell r="J626" t="str">
            <v>J</v>
          </cell>
        </row>
        <row r="627">
          <cell r="B627">
            <v>1015.1002</v>
          </cell>
          <cell r="C627" t="str">
            <v>银行存款</v>
          </cell>
          <cell r="D627">
            <v>1</v>
          </cell>
          <cell r="E627">
            <v>0</v>
          </cell>
          <cell r="F627">
            <v>0</v>
          </cell>
          <cell r="G627">
            <v>0</v>
          </cell>
          <cell r="H627">
            <v>0</v>
          </cell>
          <cell r="I627">
            <v>1015.1002</v>
          </cell>
          <cell r="J627" t="str">
            <v>J</v>
          </cell>
        </row>
        <row r="628">
          <cell r="B628">
            <v>1015.1011999999999</v>
          </cell>
          <cell r="C628" t="str">
            <v>其他货币资金</v>
          </cell>
          <cell r="D628">
            <v>1</v>
          </cell>
          <cell r="E628">
            <v>0</v>
          </cell>
          <cell r="F628">
            <v>0</v>
          </cell>
          <cell r="G628">
            <v>0</v>
          </cell>
          <cell r="H628">
            <v>0</v>
          </cell>
          <cell r="I628">
            <v>1015.1011999999999</v>
          </cell>
          <cell r="J628" t="str">
            <v>J</v>
          </cell>
        </row>
        <row r="629">
          <cell r="B629">
            <v>1400.1401000000001</v>
          </cell>
          <cell r="C629" t="str">
            <v>材料采购</v>
          </cell>
          <cell r="D629">
            <v>1</v>
          </cell>
          <cell r="E629">
            <v>0</v>
          </cell>
          <cell r="F629">
            <v>0</v>
          </cell>
          <cell r="G629">
            <v>0</v>
          </cell>
          <cell r="H629">
            <v>0</v>
          </cell>
          <cell r="I629">
            <v>1400.1401000000001</v>
          </cell>
          <cell r="J629" t="str">
            <v>J</v>
          </cell>
        </row>
        <row r="630">
          <cell r="B630">
            <v>1400.1402</v>
          </cell>
          <cell r="C630" t="str">
            <v>在途物资</v>
          </cell>
          <cell r="D630">
            <v>1</v>
          </cell>
          <cell r="E630">
            <v>0</v>
          </cell>
          <cell r="F630">
            <v>0</v>
          </cell>
          <cell r="G630">
            <v>0</v>
          </cell>
          <cell r="H630">
            <v>0</v>
          </cell>
          <cell r="I630">
            <v>1400.1402</v>
          </cell>
          <cell r="J630" t="str">
            <v>J</v>
          </cell>
        </row>
        <row r="631">
          <cell r="B631">
            <v>1400.1403</v>
          </cell>
          <cell r="C631" t="str">
            <v>原材料</v>
          </cell>
          <cell r="D631">
            <v>1</v>
          </cell>
          <cell r="E631">
            <v>0</v>
          </cell>
          <cell r="F631">
            <v>0</v>
          </cell>
          <cell r="G631">
            <v>0</v>
          </cell>
          <cell r="H631">
            <v>0</v>
          </cell>
          <cell r="I631">
            <v>1400.1403</v>
          </cell>
          <cell r="J631" t="str">
            <v>J</v>
          </cell>
        </row>
        <row r="632">
          <cell r="B632">
            <v>1400.1404</v>
          </cell>
          <cell r="C632" t="str">
            <v>材料成本差异</v>
          </cell>
          <cell r="D632">
            <v>-1</v>
          </cell>
          <cell r="E632">
            <v>0</v>
          </cell>
          <cell r="F632">
            <v>0</v>
          </cell>
          <cell r="G632">
            <v>0</v>
          </cell>
          <cell r="H632">
            <v>0</v>
          </cell>
          <cell r="I632">
            <v>1400.1404</v>
          </cell>
          <cell r="J632" t="str">
            <v>J</v>
          </cell>
        </row>
        <row r="633">
          <cell r="B633">
            <v>1400.1405</v>
          </cell>
          <cell r="C633" t="str">
            <v>库存商品</v>
          </cell>
          <cell r="D633">
            <v>1</v>
          </cell>
          <cell r="E633">
            <v>0</v>
          </cell>
          <cell r="F633">
            <v>0</v>
          </cell>
          <cell r="G633">
            <v>0</v>
          </cell>
          <cell r="H633">
            <v>0</v>
          </cell>
          <cell r="I633">
            <v>1400.1405</v>
          </cell>
          <cell r="J633" t="str">
            <v>J</v>
          </cell>
        </row>
        <row r="634">
          <cell r="B634">
            <v>1400.1405999999999</v>
          </cell>
          <cell r="C634" t="str">
            <v>发出商品</v>
          </cell>
          <cell r="D634">
            <v>1</v>
          </cell>
          <cell r="E634">
            <v>0</v>
          </cell>
          <cell r="F634">
            <v>0</v>
          </cell>
          <cell r="G634">
            <v>0</v>
          </cell>
          <cell r="H634">
            <v>0</v>
          </cell>
          <cell r="I634">
            <v>1400.1405999999999</v>
          </cell>
          <cell r="J634" t="str">
            <v>J</v>
          </cell>
        </row>
        <row r="635">
          <cell r="B635">
            <v>1400.1406999999999</v>
          </cell>
          <cell r="C635" t="str">
            <v>商品进销差价</v>
          </cell>
          <cell r="D635">
            <v>-1</v>
          </cell>
          <cell r="E635">
            <v>0</v>
          </cell>
          <cell r="F635">
            <v>0</v>
          </cell>
          <cell r="G635">
            <v>0</v>
          </cell>
          <cell r="H635">
            <v>0</v>
          </cell>
          <cell r="I635">
            <v>1400.1406999999999</v>
          </cell>
          <cell r="J635" t="str">
            <v>J</v>
          </cell>
        </row>
        <row r="636">
          <cell r="B636">
            <v>1400.1407999999999</v>
          </cell>
          <cell r="C636" t="str">
            <v>委托加工物资</v>
          </cell>
          <cell r="D636">
            <v>1</v>
          </cell>
          <cell r="E636">
            <v>0</v>
          </cell>
          <cell r="F636">
            <v>0</v>
          </cell>
          <cell r="G636">
            <v>0</v>
          </cell>
          <cell r="H636">
            <v>0</v>
          </cell>
          <cell r="I636">
            <v>1400.1407999999999</v>
          </cell>
          <cell r="J636" t="str">
            <v>J</v>
          </cell>
        </row>
        <row r="637">
          <cell r="B637">
            <v>1400.1411000000001</v>
          </cell>
          <cell r="C637" t="str">
            <v>周转材料</v>
          </cell>
          <cell r="D637">
            <v>1</v>
          </cell>
          <cell r="E637">
            <v>0</v>
          </cell>
          <cell r="F637">
            <v>0</v>
          </cell>
          <cell r="G637">
            <v>0</v>
          </cell>
          <cell r="H637">
            <v>0</v>
          </cell>
          <cell r="I637">
            <v>1400.1411000000001</v>
          </cell>
          <cell r="J637" t="str">
            <v>J</v>
          </cell>
        </row>
        <row r="638">
          <cell r="B638">
            <v>1400.5001</v>
          </cell>
          <cell r="C638" t="str">
            <v>生产成本</v>
          </cell>
          <cell r="D638">
            <v>1</v>
          </cell>
          <cell r="E638">
            <v>0</v>
          </cell>
          <cell r="F638">
            <v>0</v>
          </cell>
          <cell r="G638">
            <v>0</v>
          </cell>
          <cell r="H638">
            <v>0</v>
          </cell>
          <cell r="I638">
            <v>1400.5001</v>
          </cell>
          <cell r="J638" t="str">
            <v>J</v>
          </cell>
        </row>
        <row r="639">
          <cell r="B639">
            <v>1400.5101</v>
          </cell>
          <cell r="C639" t="str">
            <v>制造费用</v>
          </cell>
          <cell r="D639">
            <v>1</v>
          </cell>
          <cell r="E639">
            <v>0</v>
          </cell>
          <cell r="F639">
            <v>0</v>
          </cell>
          <cell r="G639">
            <v>0</v>
          </cell>
          <cell r="H639">
            <v>0</v>
          </cell>
          <cell r="I639">
            <v>1400.5101</v>
          </cell>
          <cell r="J639" t="str">
            <v>J</v>
          </cell>
        </row>
        <row r="640">
          <cell r="B640">
            <v>1400.5400999999999</v>
          </cell>
          <cell r="C640" t="str">
            <v>工程施工</v>
          </cell>
          <cell r="D640">
            <v>1</v>
          </cell>
          <cell r="E640">
            <v>0</v>
          </cell>
          <cell r="F640">
            <v>0</v>
          </cell>
          <cell r="G640">
            <v>0</v>
          </cell>
          <cell r="H640">
            <v>0</v>
          </cell>
          <cell r="I640">
            <v>1400.5400999999999</v>
          </cell>
          <cell r="J640" t="str">
            <v>J</v>
          </cell>
        </row>
        <row r="641">
          <cell r="B641">
            <v>1400.1421</v>
          </cell>
          <cell r="C641" t="str">
            <v>消耗性生物资产</v>
          </cell>
          <cell r="D641">
            <v>1</v>
          </cell>
          <cell r="E641">
            <v>0</v>
          </cell>
          <cell r="F641">
            <v>0</v>
          </cell>
          <cell r="G641">
            <v>0</v>
          </cell>
          <cell r="H641">
            <v>0</v>
          </cell>
          <cell r="I641">
            <v>1400.1421</v>
          </cell>
          <cell r="J641" t="str">
            <v>J</v>
          </cell>
        </row>
        <row r="642">
          <cell r="B642">
            <v>1621.1622</v>
          </cell>
          <cell r="C642" t="str">
            <v>生产性生物资产累计折旧</v>
          </cell>
          <cell r="D642">
            <v>-1</v>
          </cell>
          <cell r="E642">
            <v>0</v>
          </cell>
          <cell r="F642">
            <v>0</v>
          </cell>
          <cell r="G642">
            <v>0</v>
          </cell>
          <cell r="H642">
            <v>0</v>
          </cell>
          <cell r="I642">
            <v>1621.1622</v>
          </cell>
          <cell r="J642" t="str">
            <v>J</v>
          </cell>
        </row>
        <row r="643">
          <cell r="B643">
            <v>1601.1602</v>
          </cell>
          <cell r="C643" t="str">
            <v>累计折旧</v>
          </cell>
          <cell r="D643">
            <v>-1</v>
          </cell>
          <cell r="E643">
            <v>0</v>
          </cell>
          <cell r="F643">
            <v>0</v>
          </cell>
          <cell r="G643">
            <v>0</v>
          </cell>
          <cell r="H643">
            <v>0</v>
          </cell>
          <cell r="I643">
            <v>1601.1602</v>
          </cell>
          <cell r="J643" t="str">
            <v>J</v>
          </cell>
        </row>
        <row r="644">
          <cell r="B644">
            <v>1701.1702</v>
          </cell>
          <cell r="C644" t="str">
            <v>累计摊销</v>
          </cell>
          <cell r="D644">
            <v>-1</v>
          </cell>
          <cell r="E644">
            <v>0</v>
          </cell>
          <cell r="F644">
            <v>0</v>
          </cell>
          <cell r="G644">
            <v>0</v>
          </cell>
          <cell r="H644">
            <v>0</v>
          </cell>
          <cell r="I644">
            <v>1701.1702</v>
          </cell>
          <cell r="J644" t="str">
            <v>J</v>
          </cell>
        </row>
        <row r="645">
          <cell r="B645">
            <v>1996.1623</v>
          </cell>
          <cell r="C645" t="str">
            <v>公益性生物资产</v>
          </cell>
          <cell r="D645">
            <v>1</v>
          </cell>
          <cell r="E645">
            <v>0</v>
          </cell>
          <cell r="F645">
            <v>0</v>
          </cell>
          <cell r="G645">
            <v>0</v>
          </cell>
          <cell r="H645">
            <v>0</v>
          </cell>
          <cell r="I645">
            <v>1996.1623</v>
          </cell>
          <cell r="J645" t="str">
            <v>J</v>
          </cell>
        </row>
        <row r="646">
          <cell r="B646">
            <v>1631.1632</v>
          </cell>
          <cell r="C646" t="str">
            <v>累计折耗</v>
          </cell>
          <cell r="D646">
            <v>-1</v>
          </cell>
          <cell r="E646">
            <v>0</v>
          </cell>
          <cell r="F646">
            <v>0</v>
          </cell>
          <cell r="G646">
            <v>0</v>
          </cell>
          <cell r="H646">
            <v>0</v>
          </cell>
          <cell r="I646">
            <v>1631.1632</v>
          </cell>
          <cell r="J646" t="str">
            <v>J</v>
          </cell>
        </row>
        <row r="647">
          <cell r="B647">
            <v>1535</v>
          </cell>
          <cell r="C647" t="str">
            <v>对合营企业投资和对联营企业投资</v>
          </cell>
          <cell r="D647">
            <v>0</v>
          </cell>
          <cell r="E647">
            <v>0</v>
          </cell>
          <cell r="F647">
            <v>0</v>
          </cell>
          <cell r="G647">
            <v>0</v>
          </cell>
          <cell r="H647">
            <v>0</v>
          </cell>
          <cell r="I647">
            <v>1535</v>
          </cell>
          <cell r="J647">
            <v>0</v>
          </cell>
        </row>
        <row r="648">
          <cell r="B648">
            <v>1705</v>
          </cell>
          <cell r="C648" t="str">
            <v>无形资产与开发支出</v>
          </cell>
          <cell r="D648">
            <v>0</v>
          </cell>
          <cell r="E648">
            <v>0</v>
          </cell>
          <cell r="F648">
            <v>0</v>
          </cell>
          <cell r="G648">
            <v>0</v>
          </cell>
          <cell r="H648">
            <v>0</v>
          </cell>
          <cell r="I648">
            <v>1705</v>
          </cell>
          <cell r="J648">
            <v>0</v>
          </cell>
        </row>
        <row r="649">
          <cell r="B649">
            <v>1829</v>
          </cell>
          <cell r="C649" t="str">
            <v>递延所得税资产与递延所得税负债</v>
          </cell>
          <cell r="D649">
            <v>0</v>
          </cell>
          <cell r="E649">
            <v>0</v>
          </cell>
          <cell r="F649">
            <v>0</v>
          </cell>
          <cell r="G649">
            <v>0</v>
          </cell>
          <cell r="H649">
            <v>0</v>
          </cell>
          <cell r="I649">
            <v>1829</v>
          </cell>
          <cell r="J649">
            <v>0</v>
          </cell>
        </row>
        <row r="650">
          <cell r="B650">
            <v>1991</v>
          </cell>
          <cell r="C650" t="str">
            <v>资产减值准备</v>
          </cell>
          <cell r="D650">
            <v>0</v>
          </cell>
          <cell r="E650">
            <v>0</v>
          </cell>
          <cell r="F650">
            <v>0</v>
          </cell>
          <cell r="G650" t="str">
            <v>资产减值准备小计</v>
          </cell>
          <cell r="H650">
            <v>0</v>
          </cell>
          <cell r="I650">
            <v>1991</v>
          </cell>
          <cell r="J650">
            <v>0</v>
          </cell>
        </row>
        <row r="651">
          <cell r="B651">
            <v>1997</v>
          </cell>
          <cell r="C651" t="str">
            <v xml:space="preserve">所有权或使用权受到限制的资产 </v>
          </cell>
          <cell r="D651">
            <v>0</v>
          </cell>
          <cell r="E651">
            <v>0</v>
          </cell>
          <cell r="F651">
            <v>0</v>
          </cell>
          <cell r="G651">
            <v>0</v>
          </cell>
          <cell r="H651">
            <v>0</v>
          </cell>
          <cell r="I651">
            <v>1997</v>
          </cell>
          <cell r="J651">
            <v>0</v>
          </cell>
        </row>
        <row r="652">
          <cell r="B652">
            <v>1314</v>
          </cell>
          <cell r="C652" t="str">
            <v>划分为持有待售的资产和负债</v>
          </cell>
          <cell r="D652">
            <v>0</v>
          </cell>
          <cell r="E652">
            <v>0</v>
          </cell>
          <cell r="F652">
            <v>0</v>
          </cell>
          <cell r="G652">
            <v>0</v>
          </cell>
          <cell r="H652">
            <v>0</v>
          </cell>
          <cell r="I652">
            <v>1314</v>
          </cell>
          <cell r="J652">
            <v>0</v>
          </cell>
        </row>
        <row r="653">
          <cell r="B653">
            <v>1704</v>
          </cell>
          <cell r="C653" t="str">
            <v>外币货币性项目</v>
          </cell>
          <cell r="D653">
            <v>0</v>
          </cell>
          <cell r="E653">
            <v>0</v>
          </cell>
          <cell r="F653">
            <v>0</v>
          </cell>
          <cell r="G653">
            <v>0</v>
          </cell>
          <cell r="H653">
            <v>0</v>
          </cell>
          <cell r="I653">
            <v>1704</v>
          </cell>
          <cell r="J653">
            <v>0</v>
          </cell>
        </row>
        <row r="654">
          <cell r="B654">
            <v>9314</v>
          </cell>
          <cell r="C654" t="str">
            <v>所有者权益变动表项目注释</v>
          </cell>
          <cell r="D654">
            <v>0</v>
          </cell>
          <cell r="E654">
            <v>0</v>
          </cell>
          <cell r="F654">
            <v>0</v>
          </cell>
          <cell r="G654">
            <v>0</v>
          </cell>
          <cell r="H654">
            <v>0</v>
          </cell>
          <cell r="I654">
            <v>9314</v>
          </cell>
          <cell r="J654">
            <v>0</v>
          </cell>
        </row>
        <row r="655">
          <cell r="B655">
            <v>6064</v>
          </cell>
          <cell r="C655" t="str">
            <v>营业收入、营业成本</v>
          </cell>
          <cell r="D655">
            <v>0</v>
          </cell>
          <cell r="E655">
            <v>0</v>
          </cell>
          <cell r="F655">
            <v>0</v>
          </cell>
          <cell r="G655">
            <v>0</v>
          </cell>
          <cell r="H655">
            <v>0</v>
          </cell>
          <cell r="I655">
            <v>6064</v>
          </cell>
          <cell r="J655">
            <v>0</v>
          </cell>
        </row>
        <row r="656">
          <cell r="B656">
            <v>6095</v>
          </cell>
          <cell r="C656" t="str">
            <v>合同项目收入</v>
          </cell>
          <cell r="D656">
            <v>0</v>
          </cell>
          <cell r="E656">
            <v>0</v>
          </cell>
          <cell r="F656">
            <v>0</v>
          </cell>
          <cell r="G656">
            <v>0</v>
          </cell>
          <cell r="H656">
            <v>0</v>
          </cell>
          <cell r="I656">
            <v>6095</v>
          </cell>
          <cell r="J656">
            <v>0</v>
          </cell>
        </row>
        <row r="657">
          <cell r="B657">
            <v>6820</v>
          </cell>
          <cell r="C657" t="str">
            <v>基本每股收益和稀释每股收益</v>
          </cell>
          <cell r="D657">
            <v>0</v>
          </cell>
          <cell r="E657" t="str">
            <v>：</v>
          </cell>
          <cell r="F657">
            <v>0</v>
          </cell>
          <cell r="G657">
            <v>0</v>
          </cell>
          <cell r="H657">
            <v>0</v>
          </cell>
          <cell r="I657">
            <v>6820</v>
          </cell>
          <cell r="J657">
            <v>0</v>
          </cell>
        </row>
        <row r="658">
          <cell r="B658">
            <v>7400</v>
          </cell>
          <cell r="C658" t="str">
            <v>现金流量表项目注释</v>
          </cell>
          <cell r="D658">
            <v>0</v>
          </cell>
          <cell r="E658">
            <v>0</v>
          </cell>
          <cell r="F658">
            <v>0</v>
          </cell>
          <cell r="G658">
            <v>0</v>
          </cell>
          <cell r="H658">
            <v>0</v>
          </cell>
          <cell r="I658">
            <v>7400</v>
          </cell>
          <cell r="J658">
            <v>0</v>
          </cell>
        </row>
        <row r="659">
          <cell r="B659">
            <v>7500</v>
          </cell>
          <cell r="C659" t="str">
            <v>现金流量表补充资料</v>
          </cell>
          <cell r="D659">
            <v>0</v>
          </cell>
          <cell r="E659" t="str">
            <v>：</v>
          </cell>
          <cell r="F659">
            <v>0</v>
          </cell>
          <cell r="G659">
            <v>0</v>
          </cell>
          <cell r="H659">
            <v>0</v>
          </cell>
          <cell r="I659">
            <v>7500</v>
          </cell>
          <cell r="J659">
            <v>0</v>
          </cell>
        </row>
        <row r="660">
          <cell r="B660">
            <v>9010</v>
          </cell>
          <cell r="C660" t="str">
            <v>分部报告</v>
          </cell>
          <cell r="D660">
            <v>0</v>
          </cell>
          <cell r="E660">
            <v>0</v>
          </cell>
          <cell r="F660">
            <v>0</v>
          </cell>
          <cell r="G660">
            <v>0</v>
          </cell>
          <cell r="H660">
            <v>0</v>
          </cell>
          <cell r="I660">
            <v>9010</v>
          </cell>
          <cell r="J660">
            <v>0</v>
          </cell>
        </row>
        <row r="661">
          <cell r="B661">
            <v>9020</v>
          </cell>
          <cell r="C661" t="str">
            <v>资产证券化业务的会计处理</v>
          </cell>
          <cell r="D661">
            <v>0</v>
          </cell>
          <cell r="E661">
            <v>0</v>
          </cell>
          <cell r="F661">
            <v>0</v>
          </cell>
          <cell r="G661">
            <v>0</v>
          </cell>
          <cell r="H661">
            <v>0</v>
          </cell>
          <cell r="I661">
            <v>9020</v>
          </cell>
          <cell r="J661">
            <v>0</v>
          </cell>
        </row>
        <row r="662">
          <cell r="B662">
            <v>9100</v>
          </cell>
          <cell r="C662" t="str">
            <v>关联方关系及其交易</v>
          </cell>
          <cell r="D662">
            <v>0</v>
          </cell>
          <cell r="E662">
            <v>0</v>
          </cell>
          <cell r="F662">
            <v>0</v>
          </cell>
          <cell r="G662">
            <v>0</v>
          </cell>
          <cell r="H662">
            <v>0</v>
          </cell>
          <cell r="I662">
            <v>9100</v>
          </cell>
          <cell r="J662">
            <v>0</v>
          </cell>
        </row>
        <row r="663">
          <cell r="B663">
            <v>9101</v>
          </cell>
          <cell r="C663" t="str">
            <v>关联方关系</v>
          </cell>
          <cell r="D663">
            <v>0</v>
          </cell>
          <cell r="E663">
            <v>0</v>
          </cell>
          <cell r="F663">
            <v>0</v>
          </cell>
          <cell r="G663">
            <v>0</v>
          </cell>
          <cell r="H663">
            <v>0</v>
          </cell>
          <cell r="I663">
            <v>9101</v>
          </cell>
          <cell r="J663">
            <v>0</v>
          </cell>
        </row>
        <row r="664">
          <cell r="B664">
            <v>9120</v>
          </cell>
          <cell r="C664" t="str">
            <v>关联方交易</v>
          </cell>
          <cell r="D664">
            <v>0</v>
          </cell>
          <cell r="E664">
            <v>0</v>
          </cell>
          <cell r="F664">
            <v>0</v>
          </cell>
          <cell r="G664">
            <v>0</v>
          </cell>
          <cell r="H664">
            <v>0</v>
          </cell>
          <cell r="I664">
            <v>9120</v>
          </cell>
          <cell r="J664">
            <v>0</v>
          </cell>
        </row>
        <row r="665">
          <cell r="B665">
            <v>9130</v>
          </cell>
          <cell r="C665" t="str">
            <v>关联方往来款项余额</v>
          </cell>
          <cell r="D665">
            <v>0</v>
          </cell>
          <cell r="E665">
            <v>0</v>
          </cell>
          <cell r="F665">
            <v>0</v>
          </cell>
          <cell r="G665">
            <v>0</v>
          </cell>
          <cell r="H665">
            <v>0</v>
          </cell>
          <cell r="I665">
            <v>9130</v>
          </cell>
          <cell r="J665">
            <v>0</v>
          </cell>
        </row>
        <row r="666">
          <cell r="B666">
            <v>9210</v>
          </cell>
          <cell r="C666" t="str">
            <v>股份支付</v>
          </cell>
          <cell r="D666">
            <v>0</v>
          </cell>
          <cell r="E666">
            <v>0</v>
          </cell>
          <cell r="F666">
            <v>0</v>
          </cell>
          <cell r="G666">
            <v>0</v>
          </cell>
          <cell r="H666">
            <v>0</v>
          </cell>
          <cell r="I666">
            <v>9210</v>
          </cell>
          <cell r="J666">
            <v>0</v>
          </cell>
        </row>
        <row r="667">
          <cell r="B667">
            <v>9220</v>
          </cell>
          <cell r="C667" t="str">
            <v>或有事项</v>
          </cell>
          <cell r="D667">
            <v>0</v>
          </cell>
          <cell r="E667">
            <v>0</v>
          </cell>
          <cell r="F667">
            <v>0</v>
          </cell>
          <cell r="G667">
            <v>0</v>
          </cell>
          <cell r="H667">
            <v>0</v>
          </cell>
          <cell r="I667">
            <v>9220</v>
          </cell>
          <cell r="J667">
            <v>0</v>
          </cell>
        </row>
        <row r="668">
          <cell r="B668">
            <v>9250</v>
          </cell>
          <cell r="C668" t="str">
            <v>重大承诺事项</v>
          </cell>
          <cell r="D668">
            <v>0</v>
          </cell>
          <cell r="E668">
            <v>0</v>
          </cell>
          <cell r="F668">
            <v>0</v>
          </cell>
          <cell r="G668">
            <v>0</v>
          </cell>
          <cell r="H668">
            <v>0</v>
          </cell>
          <cell r="I668">
            <v>9250</v>
          </cell>
          <cell r="J668">
            <v>0</v>
          </cell>
        </row>
        <row r="669">
          <cell r="B669">
            <v>9260</v>
          </cell>
          <cell r="C669" t="str">
            <v>资产负债表日后事项</v>
          </cell>
          <cell r="D669">
            <v>0</v>
          </cell>
          <cell r="E669">
            <v>0</v>
          </cell>
          <cell r="F669">
            <v>0</v>
          </cell>
          <cell r="G669">
            <v>0</v>
          </cell>
          <cell r="H669">
            <v>0</v>
          </cell>
          <cell r="I669">
            <v>9260</v>
          </cell>
          <cell r="J669">
            <v>0</v>
          </cell>
        </row>
        <row r="670">
          <cell r="B670">
            <v>9300</v>
          </cell>
          <cell r="C670" t="str">
            <v>其他重要事项</v>
          </cell>
          <cell r="D670">
            <v>0</v>
          </cell>
          <cell r="E670">
            <v>0</v>
          </cell>
          <cell r="F670">
            <v>0</v>
          </cell>
          <cell r="G670">
            <v>0</v>
          </cell>
          <cell r="H670">
            <v>0</v>
          </cell>
          <cell r="I670">
            <v>9300</v>
          </cell>
          <cell r="J670">
            <v>0</v>
          </cell>
        </row>
        <row r="671">
          <cell r="B671">
            <v>9301</v>
          </cell>
          <cell r="C671" t="str">
            <v>非货币性资产交换</v>
          </cell>
          <cell r="D671">
            <v>0</v>
          </cell>
          <cell r="E671">
            <v>0</v>
          </cell>
          <cell r="F671">
            <v>0</v>
          </cell>
          <cell r="G671">
            <v>0</v>
          </cell>
          <cell r="H671">
            <v>0</v>
          </cell>
          <cell r="I671">
            <v>9301</v>
          </cell>
          <cell r="J671">
            <v>0</v>
          </cell>
        </row>
        <row r="672">
          <cell r="B672">
            <v>9302</v>
          </cell>
          <cell r="C672" t="str">
            <v>债务重组</v>
          </cell>
          <cell r="D672">
            <v>0</v>
          </cell>
          <cell r="E672">
            <v>0</v>
          </cell>
          <cell r="F672">
            <v>0</v>
          </cell>
          <cell r="G672">
            <v>0</v>
          </cell>
          <cell r="H672">
            <v>0</v>
          </cell>
          <cell r="I672">
            <v>9302</v>
          </cell>
          <cell r="J672">
            <v>0</v>
          </cell>
        </row>
        <row r="673">
          <cell r="B673">
            <v>9303</v>
          </cell>
          <cell r="C673" t="str">
            <v>企业合并</v>
          </cell>
          <cell r="D673">
            <v>0</v>
          </cell>
          <cell r="E673">
            <v>0</v>
          </cell>
          <cell r="F673">
            <v>0</v>
          </cell>
          <cell r="G673">
            <v>0</v>
          </cell>
          <cell r="H673">
            <v>0</v>
          </cell>
          <cell r="I673">
            <v>9303</v>
          </cell>
          <cell r="J673">
            <v>0</v>
          </cell>
        </row>
        <row r="674">
          <cell r="B674">
            <v>9305</v>
          </cell>
          <cell r="C674" t="str">
            <v>其他资产置换、转让及出售</v>
          </cell>
          <cell r="D674">
            <v>0</v>
          </cell>
          <cell r="E674">
            <v>0</v>
          </cell>
          <cell r="F674">
            <v>0</v>
          </cell>
          <cell r="G674">
            <v>0</v>
          </cell>
          <cell r="H674">
            <v>0</v>
          </cell>
          <cell r="I674">
            <v>9305</v>
          </cell>
          <cell r="J674">
            <v>0</v>
          </cell>
        </row>
        <row r="675">
          <cell r="B675">
            <v>9310</v>
          </cell>
          <cell r="C675" t="str">
            <v>租赁</v>
          </cell>
          <cell r="D675">
            <v>0</v>
          </cell>
          <cell r="E675">
            <v>0</v>
          </cell>
          <cell r="F675">
            <v>0</v>
          </cell>
          <cell r="G675">
            <v>0</v>
          </cell>
          <cell r="H675">
            <v>0</v>
          </cell>
          <cell r="I675">
            <v>9310</v>
          </cell>
          <cell r="J675">
            <v>0</v>
          </cell>
        </row>
        <row r="676">
          <cell r="B676">
            <v>9321</v>
          </cell>
          <cell r="C676" t="str">
            <v>期末发行在外的、可转换为股份的金融工具</v>
          </cell>
          <cell r="D676">
            <v>0</v>
          </cell>
          <cell r="E676">
            <v>0</v>
          </cell>
          <cell r="F676">
            <v>0</v>
          </cell>
          <cell r="G676">
            <v>0</v>
          </cell>
          <cell r="H676">
            <v>0</v>
          </cell>
          <cell r="I676">
            <v>9321</v>
          </cell>
          <cell r="J676">
            <v>0</v>
          </cell>
        </row>
        <row r="677">
          <cell r="B677">
            <v>9331</v>
          </cell>
          <cell r="C677" t="str">
            <v>公允价值</v>
          </cell>
          <cell r="D677">
            <v>0</v>
          </cell>
          <cell r="E677">
            <v>0</v>
          </cell>
          <cell r="F677">
            <v>0</v>
          </cell>
          <cell r="G677">
            <v>0</v>
          </cell>
          <cell r="H677">
            <v>0</v>
          </cell>
          <cell r="I677">
            <v>9331</v>
          </cell>
          <cell r="J677">
            <v>0</v>
          </cell>
        </row>
        <row r="678">
          <cell r="B678">
            <v>9336</v>
          </cell>
          <cell r="C678" t="str">
            <v>外币金融资产和外币金融负债</v>
          </cell>
          <cell r="D678">
            <v>0</v>
          </cell>
          <cell r="E678">
            <v>0</v>
          </cell>
          <cell r="F678">
            <v>0</v>
          </cell>
          <cell r="G678">
            <v>0</v>
          </cell>
          <cell r="H678">
            <v>0</v>
          </cell>
          <cell r="I678">
            <v>9336</v>
          </cell>
          <cell r="J678">
            <v>0</v>
          </cell>
        </row>
        <row r="679">
          <cell r="B679">
            <v>9351</v>
          </cell>
          <cell r="C679" t="str">
            <v>年金计划的主要内容及重大变化</v>
          </cell>
          <cell r="D679">
            <v>0</v>
          </cell>
          <cell r="E679">
            <v>0</v>
          </cell>
          <cell r="F679">
            <v>0</v>
          </cell>
          <cell r="G679">
            <v>0</v>
          </cell>
          <cell r="H679">
            <v>0</v>
          </cell>
          <cell r="I679">
            <v>9351</v>
          </cell>
          <cell r="J679">
            <v>0</v>
          </cell>
        </row>
        <row r="680">
          <cell r="B680">
            <v>9361</v>
          </cell>
          <cell r="C680" t="str">
            <v>借款费用</v>
          </cell>
          <cell r="D680">
            <v>0</v>
          </cell>
          <cell r="E680">
            <v>0</v>
          </cell>
          <cell r="F680">
            <v>0</v>
          </cell>
          <cell r="G680">
            <v>0</v>
          </cell>
          <cell r="H680">
            <v>0</v>
          </cell>
          <cell r="I680">
            <v>9361</v>
          </cell>
          <cell r="J680">
            <v>0</v>
          </cell>
        </row>
        <row r="681">
          <cell r="B681">
            <v>9363</v>
          </cell>
          <cell r="C681" t="str">
            <v>外币折算</v>
          </cell>
          <cell r="D681">
            <v>0</v>
          </cell>
          <cell r="E681">
            <v>0</v>
          </cell>
          <cell r="F681">
            <v>0</v>
          </cell>
          <cell r="G681">
            <v>0</v>
          </cell>
          <cell r="H681">
            <v>0</v>
          </cell>
          <cell r="I681">
            <v>9363</v>
          </cell>
          <cell r="J681">
            <v>0</v>
          </cell>
        </row>
        <row r="682">
          <cell r="B682">
            <v>9367</v>
          </cell>
          <cell r="C682" t="str">
            <v>终止经营</v>
          </cell>
          <cell r="D682">
            <v>0</v>
          </cell>
          <cell r="E682">
            <v>0</v>
          </cell>
          <cell r="F682">
            <v>0</v>
          </cell>
          <cell r="G682">
            <v>0</v>
          </cell>
          <cell r="H682">
            <v>0</v>
          </cell>
          <cell r="I682">
            <v>9367</v>
          </cell>
          <cell r="J682">
            <v>0</v>
          </cell>
        </row>
        <row r="683">
          <cell r="B683">
            <v>9390</v>
          </cell>
          <cell r="C683" t="str">
            <v>其他重要事项_其他</v>
          </cell>
          <cell r="D683">
            <v>0</v>
          </cell>
          <cell r="E683">
            <v>0</v>
          </cell>
          <cell r="F683">
            <v>0</v>
          </cell>
          <cell r="G683">
            <v>0</v>
          </cell>
          <cell r="H683">
            <v>0</v>
          </cell>
          <cell r="I683">
            <v>9390</v>
          </cell>
          <cell r="J683">
            <v>0</v>
          </cell>
        </row>
        <row r="684">
          <cell r="B684">
            <v>9509</v>
          </cell>
          <cell r="C684" t="str">
            <v>母公司反向购买下以公允价值入账的资产、负债情况</v>
          </cell>
          <cell r="D684">
            <v>0</v>
          </cell>
          <cell r="E684">
            <v>0</v>
          </cell>
          <cell r="F684">
            <v>0</v>
          </cell>
          <cell r="G684">
            <v>0</v>
          </cell>
          <cell r="H684">
            <v>0</v>
          </cell>
          <cell r="I684">
            <v>9509</v>
          </cell>
          <cell r="J684">
            <v>0</v>
          </cell>
        </row>
        <row r="685">
          <cell r="B685">
            <v>9601</v>
          </cell>
          <cell r="C685" t="str">
            <v>当期非经常性损益明细表</v>
          </cell>
          <cell r="D685">
            <v>0</v>
          </cell>
          <cell r="E685">
            <v>0</v>
          </cell>
          <cell r="F685">
            <v>0</v>
          </cell>
          <cell r="G685">
            <v>0</v>
          </cell>
          <cell r="H685">
            <v>0</v>
          </cell>
          <cell r="I685">
            <v>9601</v>
          </cell>
          <cell r="J685">
            <v>0</v>
          </cell>
        </row>
        <row r="686">
          <cell r="B686">
            <v>9611</v>
          </cell>
          <cell r="C686" t="str">
            <v>境内外会计准则下会计数据差异</v>
          </cell>
          <cell r="D686">
            <v>0</v>
          </cell>
          <cell r="E686">
            <v>0</v>
          </cell>
          <cell r="F686">
            <v>0</v>
          </cell>
          <cell r="G686">
            <v>0</v>
          </cell>
          <cell r="H686">
            <v>0</v>
          </cell>
          <cell r="I686">
            <v>9611</v>
          </cell>
          <cell r="J686">
            <v>0</v>
          </cell>
        </row>
        <row r="687">
          <cell r="B687">
            <v>9621</v>
          </cell>
          <cell r="C687" t="str">
            <v>净资产收益率和每股收益</v>
          </cell>
          <cell r="D687">
            <v>0</v>
          </cell>
          <cell r="E687">
            <v>0</v>
          </cell>
          <cell r="F687">
            <v>0</v>
          </cell>
          <cell r="G687">
            <v>0</v>
          </cell>
          <cell r="H687">
            <v>0</v>
          </cell>
          <cell r="I687">
            <v>9621</v>
          </cell>
          <cell r="J687">
            <v>0</v>
          </cell>
        </row>
        <row r="688">
          <cell r="B688">
            <v>8121</v>
          </cell>
          <cell r="C688" t="str">
            <v>实收资本_净利润增加权益</v>
          </cell>
          <cell r="D688">
            <v>-1</v>
          </cell>
          <cell r="E688" t="str">
            <v>N</v>
          </cell>
          <cell r="F688">
            <v>0</v>
          </cell>
          <cell r="G688" t="str">
            <v>（一）净利润</v>
          </cell>
          <cell r="H688">
            <v>0</v>
          </cell>
          <cell r="I688">
            <v>8121</v>
          </cell>
          <cell r="J688" t="str">
            <v>J</v>
          </cell>
        </row>
        <row r="689">
          <cell r="B689">
            <v>8130</v>
          </cell>
          <cell r="C689" t="str">
            <v>实收资本_其他综合收益增加权益</v>
          </cell>
          <cell r="D689">
            <v>-1</v>
          </cell>
          <cell r="E689" t="str">
            <v>N</v>
          </cell>
          <cell r="F689">
            <v>0</v>
          </cell>
          <cell r="G689" t="str">
            <v>（二）其他综合收益</v>
          </cell>
          <cell r="H689">
            <v>0</v>
          </cell>
          <cell r="I689">
            <v>8130</v>
          </cell>
          <cell r="J689" t="str">
            <v>J</v>
          </cell>
        </row>
        <row r="690">
          <cell r="B690">
            <v>8152</v>
          </cell>
          <cell r="C690" t="str">
            <v>实收资本_股份支付计入所有者权益的金额</v>
          </cell>
          <cell r="D690">
            <v>-1</v>
          </cell>
          <cell r="E690" t="str">
            <v>N</v>
          </cell>
          <cell r="F690">
            <v>0</v>
          </cell>
          <cell r="G690" t="str">
            <v>股份支付计入所有者权益的金额</v>
          </cell>
          <cell r="H690">
            <v>0</v>
          </cell>
          <cell r="I690">
            <v>8152</v>
          </cell>
          <cell r="J690" t="str">
            <v>J</v>
          </cell>
        </row>
        <row r="691">
          <cell r="B691">
            <v>8161</v>
          </cell>
          <cell r="C691" t="str">
            <v>实收资本_提取盈余公积影响权益</v>
          </cell>
          <cell r="D691">
            <v>-1</v>
          </cell>
          <cell r="E691" t="str">
            <v>N</v>
          </cell>
          <cell r="F691">
            <v>0</v>
          </cell>
          <cell r="G691" t="str">
            <v>提取盈余公积</v>
          </cell>
          <cell r="H691">
            <v>0</v>
          </cell>
          <cell r="I691">
            <v>8161</v>
          </cell>
          <cell r="J691" t="str">
            <v>J</v>
          </cell>
        </row>
        <row r="692">
          <cell r="B692">
            <v>8162</v>
          </cell>
          <cell r="C692" t="str">
            <v>实收资本_提取一般风险准备影响权益</v>
          </cell>
          <cell r="D692">
            <v>-1</v>
          </cell>
          <cell r="E692" t="str">
            <v>N</v>
          </cell>
          <cell r="F692">
            <v>0</v>
          </cell>
          <cell r="G692" t="str">
            <v>提取一般风险准备</v>
          </cell>
          <cell r="H692">
            <v>0</v>
          </cell>
          <cell r="I692">
            <v>8162</v>
          </cell>
          <cell r="J692" t="str">
            <v>J</v>
          </cell>
        </row>
        <row r="693">
          <cell r="B693">
            <v>8163</v>
          </cell>
          <cell r="C693" t="str">
            <v>实收资本_对所有者的分配影响权益</v>
          </cell>
          <cell r="D693">
            <v>-1</v>
          </cell>
          <cell r="E693" t="str">
            <v>N</v>
          </cell>
          <cell r="F693">
            <v>0</v>
          </cell>
          <cell r="G693" t="str">
            <v>对所有者（或股东）的分配</v>
          </cell>
          <cell r="H693">
            <v>0</v>
          </cell>
          <cell r="I693">
            <v>8163</v>
          </cell>
          <cell r="J693" t="str">
            <v>J</v>
          </cell>
        </row>
        <row r="694">
          <cell r="B694">
            <v>8166</v>
          </cell>
          <cell r="C694" t="str">
            <v>实收资本_其他利润分配影响权益</v>
          </cell>
          <cell r="D694">
            <v>-1</v>
          </cell>
          <cell r="E694" t="str">
            <v>N</v>
          </cell>
          <cell r="F694">
            <v>0</v>
          </cell>
          <cell r="G694" t="str">
            <v>其他</v>
          </cell>
          <cell r="H694">
            <v>0</v>
          </cell>
          <cell r="I694">
            <v>8166</v>
          </cell>
          <cell r="J694" t="str">
            <v>J</v>
          </cell>
        </row>
        <row r="695">
          <cell r="B695">
            <v>8173</v>
          </cell>
          <cell r="C695" t="str">
            <v>实收资本_盈余公积弥补亏损影响权益</v>
          </cell>
          <cell r="D695">
            <v>-1</v>
          </cell>
          <cell r="E695" t="str">
            <v>N</v>
          </cell>
          <cell r="F695">
            <v>0</v>
          </cell>
          <cell r="G695" t="str">
            <v>盈余公积弥补亏损</v>
          </cell>
          <cell r="H695">
            <v>0</v>
          </cell>
          <cell r="I695">
            <v>8173</v>
          </cell>
          <cell r="J695" t="str">
            <v>J</v>
          </cell>
        </row>
        <row r="696">
          <cell r="B696">
            <v>8181</v>
          </cell>
          <cell r="C696" t="str">
            <v>实收资本_专项储备本期提取</v>
          </cell>
          <cell r="D696">
            <v>-1</v>
          </cell>
          <cell r="E696" t="str">
            <v>N</v>
          </cell>
          <cell r="F696">
            <v>0</v>
          </cell>
          <cell r="G696" t="str">
            <v>本期提取</v>
          </cell>
          <cell r="H696">
            <v>0</v>
          </cell>
          <cell r="I696">
            <v>8181</v>
          </cell>
          <cell r="J696" t="str">
            <v>J</v>
          </cell>
        </row>
        <row r="697">
          <cell r="B697">
            <v>8182</v>
          </cell>
          <cell r="C697" t="str">
            <v>实收资本_专项储备本期使用</v>
          </cell>
          <cell r="D697">
            <v>-1</v>
          </cell>
          <cell r="E697" t="str">
            <v>N</v>
          </cell>
          <cell r="F697">
            <v>0</v>
          </cell>
          <cell r="G697" t="str">
            <v>本期使用</v>
          </cell>
          <cell r="H697">
            <v>0</v>
          </cell>
          <cell r="I697">
            <v>8182</v>
          </cell>
          <cell r="J697" t="str">
            <v>J</v>
          </cell>
        </row>
        <row r="698">
          <cell r="B698">
            <v>8221</v>
          </cell>
          <cell r="C698" t="str">
            <v>资本公积_净利润增加权益</v>
          </cell>
          <cell r="D698">
            <v>-1</v>
          </cell>
          <cell r="E698" t="str">
            <v>N</v>
          </cell>
          <cell r="F698">
            <v>0</v>
          </cell>
          <cell r="G698" t="str">
            <v>（一）净利润</v>
          </cell>
          <cell r="H698">
            <v>0</v>
          </cell>
          <cell r="I698">
            <v>8221</v>
          </cell>
          <cell r="J698" t="str">
            <v>J</v>
          </cell>
        </row>
        <row r="699">
          <cell r="B699">
            <v>8261</v>
          </cell>
          <cell r="C699" t="str">
            <v>资本公积_提取盈余公积影响权益</v>
          </cell>
          <cell r="D699">
            <v>-1</v>
          </cell>
          <cell r="E699" t="str">
            <v>N</v>
          </cell>
          <cell r="F699">
            <v>0</v>
          </cell>
          <cell r="G699" t="str">
            <v>提取盈余公积</v>
          </cell>
          <cell r="H699">
            <v>0</v>
          </cell>
          <cell r="I699">
            <v>8261</v>
          </cell>
          <cell r="J699" t="str">
            <v>J</v>
          </cell>
        </row>
        <row r="700">
          <cell r="B700">
            <v>8262</v>
          </cell>
          <cell r="C700" t="str">
            <v>资本公积_提取一般风险准备影响权益</v>
          </cell>
          <cell r="D700">
            <v>-1</v>
          </cell>
          <cell r="E700" t="str">
            <v>N</v>
          </cell>
          <cell r="F700">
            <v>0</v>
          </cell>
          <cell r="G700" t="str">
            <v>提取一般风险准备</v>
          </cell>
          <cell r="H700">
            <v>0</v>
          </cell>
          <cell r="I700">
            <v>8262</v>
          </cell>
          <cell r="J700" t="str">
            <v>J</v>
          </cell>
        </row>
        <row r="701">
          <cell r="B701">
            <v>8263</v>
          </cell>
          <cell r="C701" t="str">
            <v>资本公积_对所有者的分配影响权益</v>
          </cell>
          <cell r="D701">
            <v>-1</v>
          </cell>
          <cell r="E701" t="str">
            <v>N</v>
          </cell>
          <cell r="F701">
            <v>0</v>
          </cell>
          <cell r="G701" t="str">
            <v>对所有者（或股东）的分配</v>
          </cell>
          <cell r="H701">
            <v>0</v>
          </cell>
          <cell r="I701">
            <v>8263</v>
          </cell>
          <cell r="J701" t="str">
            <v>J</v>
          </cell>
        </row>
        <row r="702">
          <cell r="B702">
            <v>8272</v>
          </cell>
          <cell r="C702" t="str">
            <v>资本公积_盈余公积转增资本影响权益</v>
          </cell>
          <cell r="D702">
            <v>-1</v>
          </cell>
          <cell r="E702" t="str">
            <v>N</v>
          </cell>
          <cell r="F702">
            <v>0</v>
          </cell>
          <cell r="G702" t="str">
            <v>盈余公积转增资本（或股本）</v>
          </cell>
          <cell r="H702">
            <v>0</v>
          </cell>
          <cell r="I702">
            <v>8272</v>
          </cell>
          <cell r="J702" t="str">
            <v>J</v>
          </cell>
        </row>
        <row r="703">
          <cell r="B703">
            <v>8273</v>
          </cell>
          <cell r="C703" t="str">
            <v>资本公积_盈余公积弥补亏损影响权益</v>
          </cell>
          <cell r="D703">
            <v>-1</v>
          </cell>
          <cell r="E703" t="str">
            <v>N</v>
          </cell>
          <cell r="F703">
            <v>0</v>
          </cell>
          <cell r="G703" t="str">
            <v>盈余公积弥补亏损</v>
          </cell>
          <cell r="H703">
            <v>0</v>
          </cell>
          <cell r="I703">
            <v>8273</v>
          </cell>
          <cell r="J703" t="str">
            <v>J</v>
          </cell>
        </row>
        <row r="704">
          <cell r="B704">
            <v>8281</v>
          </cell>
          <cell r="C704" t="str">
            <v>资本公积_专项储备本期提取</v>
          </cell>
          <cell r="D704">
            <v>-1</v>
          </cell>
          <cell r="E704" t="str">
            <v>N</v>
          </cell>
          <cell r="F704">
            <v>0</v>
          </cell>
          <cell r="G704" t="str">
            <v>本期提取</v>
          </cell>
          <cell r="H704">
            <v>0</v>
          </cell>
          <cell r="I704">
            <v>8281</v>
          </cell>
          <cell r="J704" t="str">
            <v>J</v>
          </cell>
        </row>
        <row r="705">
          <cell r="B705">
            <v>8282</v>
          </cell>
          <cell r="C705" t="str">
            <v>资本公积_专项储备本期使用</v>
          </cell>
          <cell r="D705">
            <v>-1</v>
          </cell>
          <cell r="E705" t="str">
            <v>N</v>
          </cell>
          <cell r="F705">
            <v>0</v>
          </cell>
          <cell r="G705" t="str">
            <v>本期使用</v>
          </cell>
          <cell r="H705">
            <v>0</v>
          </cell>
          <cell r="I705">
            <v>8282</v>
          </cell>
          <cell r="J705" t="str">
            <v>J</v>
          </cell>
        </row>
        <row r="706">
          <cell r="B706">
            <v>8321</v>
          </cell>
          <cell r="C706" t="str">
            <v>库存股_净利润增加权益</v>
          </cell>
          <cell r="D706">
            <v>1</v>
          </cell>
          <cell r="E706" t="str">
            <v>N</v>
          </cell>
          <cell r="F706">
            <v>0</v>
          </cell>
          <cell r="G706" t="str">
            <v>（一）净利润</v>
          </cell>
          <cell r="H706">
            <v>0</v>
          </cell>
          <cell r="I706">
            <v>8321</v>
          </cell>
          <cell r="J706" t="str">
            <v>J</v>
          </cell>
        </row>
        <row r="707">
          <cell r="B707">
            <v>8330</v>
          </cell>
          <cell r="C707" t="str">
            <v>库存股_其他综合收益增加权益</v>
          </cell>
          <cell r="D707">
            <v>1</v>
          </cell>
          <cell r="E707" t="str">
            <v>N</v>
          </cell>
          <cell r="F707">
            <v>0</v>
          </cell>
          <cell r="G707" t="str">
            <v>（二）其他综合收益</v>
          </cell>
          <cell r="H707">
            <v>0</v>
          </cell>
          <cell r="I707">
            <v>8330</v>
          </cell>
          <cell r="J707" t="str">
            <v>J</v>
          </cell>
        </row>
        <row r="708">
          <cell r="B708">
            <v>8361</v>
          </cell>
          <cell r="C708" t="str">
            <v>库存股_提取盈余公积影响权益</v>
          </cell>
          <cell r="D708">
            <v>1</v>
          </cell>
          <cell r="E708" t="str">
            <v>N</v>
          </cell>
          <cell r="F708">
            <v>0</v>
          </cell>
          <cell r="G708" t="str">
            <v>提取盈余公积</v>
          </cell>
          <cell r="H708">
            <v>0</v>
          </cell>
          <cell r="I708">
            <v>8361</v>
          </cell>
          <cell r="J708" t="str">
            <v>J</v>
          </cell>
        </row>
        <row r="709">
          <cell r="B709">
            <v>8362</v>
          </cell>
          <cell r="C709" t="str">
            <v>库存股_提取一般风险准备影响权益</v>
          </cell>
          <cell r="D709">
            <v>1</v>
          </cell>
          <cell r="E709" t="str">
            <v>N</v>
          </cell>
          <cell r="F709">
            <v>0</v>
          </cell>
          <cell r="G709" t="str">
            <v>提取一般风险准备</v>
          </cell>
          <cell r="H709">
            <v>0</v>
          </cell>
          <cell r="I709">
            <v>8362</v>
          </cell>
          <cell r="J709" t="str">
            <v>J</v>
          </cell>
        </row>
        <row r="710">
          <cell r="B710">
            <v>8371</v>
          </cell>
          <cell r="C710" t="str">
            <v>库存股_资本公积转增资本影响权益</v>
          </cell>
          <cell r="D710">
            <v>1</v>
          </cell>
          <cell r="E710" t="str">
            <v>N</v>
          </cell>
          <cell r="F710">
            <v>0</v>
          </cell>
          <cell r="G710" t="str">
            <v>资本公积转增资本（或股本）</v>
          </cell>
          <cell r="H710">
            <v>0</v>
          </cell>
          <cell r="I710">
            <v>8371</v>
          </cell>
          <cell r="J710" t="str">
            <v>J</v>
          </cell>
        </row>
        <row r="711">
          <cell r="B711">
            <v>8372</v>
          </cell>
          <cell r="C711" t="str">
            <v>库存股_盈余公积转增资本影响权益</v>
          </cell>
          <cell r="D711">
            <v>1</v>
          </cell>
          <cell r="E711" t="str">
            <v>N</v>
          </cell>
          <cell r="F711">
            <v>0</v>
          </cell>
          <cell r="G711" t="str">
            <v>盈余公积转增资本（或股本）</v>
          </cell>
          <cell r="H711">
            <v>0</v>
          </cell>
          <cell r="I711">
            <v>8372</v>
          </cell>
          <cell r="J711" t="str">
            <v>J</v>
          </cell>
        </row>
        <row r="712">
          <cell r="B712">
            <v>8373</v>
          </cell>
          <cell r="C712" t="str">
            <v>库存股_盈余公积弥补亏损影响权益</v>
          </cell>
          <cell r="D712">
            <v>1</v>
          </cell>
          <cell r="E712" t="str">
            <v>N</v>
          </cell>
          <cell r="F712">
            <v>0</v>
          </cell>
          <cell r="G712" t="str">
            <v>盈余公积弥补亏损</v>
          </cell>
          <cell r="H712">
            <v>0</v>
          </cell>
          <cell r="I712">
            <v>8373</v>
          </cell>
          <cell r="J712" t="str">
            <v>J</v>
          </cell>
        </row>
        <row r="713">
          <cell r="B713">
            <v>8381</v>
          </cell>
          <cell r="C713" t="str">
            <v>库存股_专项储备本期提取</v>
          </cell>
          <cell r="D713">
            <v>1</v>
          </cell>
          <cell r="E713" t="str">
            <v>N</v>
          </cell>
          <cell r="F713">
            <v>0</v>
          </cell>
          <cell r="G713" t="str">
            <v>本期提取</v>
          </cell>
          <cell r="H713">
            <v>0</v>
          </cell>
          <cell r="I713">
            <v>8381</v>
          </cell>
          <cell r="J713" t="str">
            <v>J</v>
          </cell>
        </row>
        <row r="714">
          <cell r="B714">
            <v>8382</v>
          </cell>
          <cell r="C714" t="str">
            <v>库存股_专项储备本期使用</v>
          </cell>
          <cell r="D714">
            <v>1</v>
          </cell>
          <cell r="E714" t="str">
            <v>N</v>
          </cell>
          <cell r="F714">
            <v>0</v>
          </cell>
          <cell r="G714" t="str">
            <v>本期使用</v>
          </cell>
          <cell r="H714">
            <v>0</v>
          </cell>
          <cell r="I714">
            <v>8382</v>
          </cell>
          <cell r="J714" t="str">
            <v>J</v>
          </cell>
        </row>
        <row r="715">
          <cell r="B715">
            <v>8421</v>
          </cell>
          <cell r="C715" t="str">
            <v>专项储备_净利润增加权益</v>
          </cell>
          <cell r="D715">
            <v>-1</v>
          </cell>
          <cell r="E715" t="str">
            <v>N</v>
          </cell>
          <cell r="F715">
            <v>0</v>
          </cell>
          <cell r="G715" t="str">
            <v>（一）净利润</v>
          </cell>
          <cell r="H715">
            <v>0</v>
          </cell>
          <cell r="I715">
            <v>8421</v>
          </cell>
          <cell r="J715" t="str">
            <v>J</v>
          </cell>
        </row>
        <row r="716">
          <cell r="B716">
            <v>8430</v>
          </cell>
          <cell r="C716" t="str">
            <v>专项储备_其他综合收益增加权益</v>
          </cell>
          <cell r="D716">
            <v>-1</v>
          </cell>
          <cell r="E716" t="str">
            <v>N</v>
          </cell>
          <cell r="F716">
            <v>0</v>
          </cell>
          <cell r="G716" t="str">
            <v>（二）其他综合收益</v>
          </cell>
          <cell r="H716">
            <v>0</v>
          </cell>
          <cell r="I716">
            <v>8430</v>
          </cell>
          <cell r="J716" t="str">
            <v>J</v>
          </cell>
        </row>
        <row r="717">
          <cell r="B717">
            <v>8451</v>
          </cell>
          <cell r="C717" t="str">
            <v>专项储备_所有者投入资本增加权益</v>
          </cell>
          <cell r="D717">
            <v>-1</v>
          </cell>
          <cell r="E717" t="str">
            <v>N</v>
          </cell>
          <cell r="F717">
            <v>0</v>
          </cell>
          <cell r="G717" t="str">
            <v>所有者投入资本</v>
          </cell>
          <cell r="H717">
            <v>0</v>
          </cell>
          <cell r="I717">
            <v>8451</v>
          </cell>
          <cell r="J717" t="str">
            <v>J</v>
          </cell>
        </row>
        <row r="718">
          <cell r="B718">
            <v>8452</v>
          </cell>
          <cell r="C718" t="str">
            <v>专项储备_股份支付计入所有者权益的金额</v>
          </cell>
          <cell r="D718">
            <v>-1</v>
          </cell>
          <cell r="E718" t="str">
            <v>N</v>
          </cell>
          <cell r="F718">
            <v>0</v>
          </cell>
          <cell r="G718" t="str">
            <v>股份支付计入所有者权益的金额</v>
          </cell>
          <cell r="H718">
            <v>0</v>
          </cell>
          <cell r="I718">
            <v>8452</v>
          </cell>
          <cell r="J718" t="str">
            <v>J</v>
          </cell>
        </row>
        <row r="719">
          <cell r="B719">
            <v>8456</v>
          </cell>
          <cell r="C719" t="str">
            <v>专项储备_所有者其他投入和减少资本</v>
          </cell>
          <cell r="D719">
            <v>-1</v>
          </cell>
          <cell r="E719" t="str">
            <v>N</v>
          </cell>
          <cell r="F719">
            <v>0</v>
          </cell>
          <cell r="G719" t="str">
            <v>其他</v>
          </cell>
          <cell r="H719">
            <v>0</v>
          </cell>
          <cell r="I719">
            <v>8456</v>
          </cell>
          <cell r="J719" t="str">
            <v>J</v>
          </cell>
        </row>
        <row r="720">
          <cell r="B720">
            <v>8461</v>
          </cell>
          <cell r="C720" t="str">
            <v>专项储备_提取盈余公积影响权益</v>
          </cell>
          <cell r="D720">
            <v>-1</v>
          </cell>
          <cell r="E720" t="str">
            <v>N</v>
          </cell>
          <cell r="F720">
            <v>0</v>
          </cell>
          <cell r="G720" t="str">
            <v>提取盈余公积</v>
          </cell>
          <cell r="H720">
            <v>0</v>
          </cell>
          <cell r="I720">
            <v>8461</v>
          </cell>
          <cell r="J720" t="str">
            <v>J</v>
          </cell>
        </row>
        <row r="721">
          <cell r="B721">
            <v>8462</v>
          </cell>
          <cell r="C721" t="str">
            <v>专项储备_提取一般风险准备影响权益</v>
          </cell>
          <cell r="D721">
            <v>-1</v>
          </cell>
          <cell r="E721" t="str">
            <v>N</v>
          </cell>
          <cell r="F721">
            <v>0</v>
          </cell>
          <cell r="G721" t="str">
            <v>提取一般风险准备</v>
          </cell>
          <cell r="H721">
            <v>0</v>
          </cell>
          <cell r="I721">
            <v>8462</v>
          </cell>
          <cell r="J721" t="str">
            <v>J</v>
          </cell>
        </row>
        <row r="722">
          <cell r="B722">
            <v>8463</v>
          </cell>
          <cell r="C722" t="str">
            <v>专项储备_对所有者的分配影响权益</v>
          </cell>
          <cell r="D722">
            <v>-1</v>
          </cell>
          <cell r="E722" t="str">
            <v>N</v>
          </cell>
          <cell r="F722">
            <v>0</v>
          </cell>
          <cell r="G722" t="str">
            <v>对所有者（或股东）的分配</v>
          </cell>
          <cell r="H722">
            <v>0</v>
          </cell>
          <cell r="I722">
            <v>8463</v>
          </cell>
          <cell r="J722" t="str">
            <v>J</v>
          </cell>
        </row>
        <row r="723">
          <cell r="B723">
            <v>8466</v>
          </cell>
          <cell r="C723" t="str">
            <v>专项储备_其他利润分配影响权益</v>
          </cell>
          <cell r="D723">
            <v>-1</v>
          </cell>
          <cell r="E723" t="str">
            <v>N</v>
          </cell>
          <cell r="F723">
            <v>0</v>
          </cell>
          <cell r="G723" t="str">
            <v>其他</v>
          </cell>
          <cell r="H723">
            <v>0</v>
          </cell>
          <cell r="I723">
            <v>8466</v>
          </cell>
          <cell r="J723" t="str">
            <v>J</v>
          </cell>
        </row>
        <row r="724">
          <cell r="B724">
            <v>8471</v>
          </cell>
          <cell r="C724" t="str">
            <v>专项储备_资本公积转增资本影响权益</v>
          </cell>
          <cell r="D724">
            <v>-1</v>
          </cell>
          <cell r="E724" t="str">
            <v>N</v>
          </cell>
          <cell r="F724">
            <v>0</v>
          </cell>
          <cell r="G724" t="str">
            <v>资本公积转增资本（或股本）</v>
          </cell>
          <cell r="H724">
            <v>0</v>
          </cell>
          <cell r="I724">
            <v>8471</v>
          </cell>
          <cell r="J724" t="str">
            <v>J</v>
          </cell>
        </row>
        <row r="725">
          <cell r="B725">
            <v>8472</v>
          </cell>
          <cell r="C725" t="str">
            <v>专项储备_盈余公积转增资本影响权益</v>
          </cell>
          <cell r="D725">
            <v>-1</v>
          </cell>
          <cell r="E725" t="str">
            <v>N</v>
          </cell>
          <cell r="F725">
            <v>0</v>
          </cell>
          <cell r="G725" t="str">
            <v>盈余公积转增资本（或股本）</v>
          </cell>
          <cell r="H725">
            <v>0</v>
          </cell>
          <cell r="I725">
            <v>8472</v>
          </cell>
          <cell r="J725" t="str">
            <v>J</v>
          </cell>
        </row>
        <row r="726">
          <cell r="B726">
            <v>8473</v>
          </cell>
          <cell r="C726" t="str">
            <v>专项储备_盈余公积弥补亏损影响权益</v>
          </cell>
          <cell r="D726">
            <v>-1</v>
          </cell>
          <cell r="E726" t="str">
            <v>N</v>
          </cell>
          <cell r="F726">
            <v>0</v>
          </cell>
          <cell r="G726" t="str">
            <v>盈余公积弥补亏损</v>
          </cell>
          <cell r="H726">
            <v>0</v>
          </cell>
          <cell r="I726">
            <v>8473</v>
          </cell>
          <cell r="J726" t="str">
            <v>J</v>
          </cell>
        </row>
        <row r="727">
          <cell r="B727">
            <v>8521</v>
          </cell>
          <cell r="C727" t="str">
            <v>盈余公积_净利润增加权益</v>
          </cell>
          <cell r="D727">
            <v>-1</v>
          </cell>
          <cell r="E727" t="str">
            <v>N</v>
          </cell>
          <cell r="F727">
            <v>0</v>
          </cell>
          <cell r="G727" t="str">
            <v>（一）净利润</v>
          </cell>
          <cell r="H727">
            <v>0</v>
          </cell>
          <cell r="I727">
            <v>8521</v>
          </cell>
          <cell r="J727" t="str">
            <v>J</v>
          </cell>
        </row>
        <row r="728">
          <cell r="B728">
            <v>8530</v>
          </cell>
          <cell r="C728" t="str">
            <v>盈余公积_其他综合收益增加权益</v>
          </cell>
          <cell r="D728">
            <v>-1</v>
          </cell>
          <cell r="E728" t="str">
            <v>N</v>
          </cell>
          <cell r="F728">
            <v>0</v>
          </cell>
          <cell r="G728" t="str">
            <v>（二）其他综合收益</v>
          </cell>
          <cell r="H728">
            <v>0</v>
          </cell>
          <cell r="I728">
            <v>8530</v>
          </cell>
          <cell r="J728" t="str">
            <v>J</v>
          </cell>
        </row>
        <row r="729">
          <cell r="B729">
            <v>8551</v>
          </cell>
          <cell r="C729" t="str">
            <v>盈余公积_所有者投入资本增加权益</v>
          </cell>
          <cell r="D729">
            <v>-1</v>
          </cell>
          <cell r="E729" t="str">
            <v>N</v>
          </cell>
          <cell r="F729">
            <v>0</v>
          </cell>
          <cell r="G729" t="str">
            <v>所有者投入资本</v>
          </cell>
          <cell r="H729">
            <v>0</v>
          </cell>
          <cell r="I729">
            <v>8551</v>
          </cell>
          <cell r="J729" t="str">
            <v>J</v>
          </cell>
        </row>
        <row r="730">
          <cell r="B730">
            <v>8552</v>
          </cell>
          <cell r="C730" t="str">
            <v>盈余公积_股份支付计入所有者权益的金额</v>
          </cell>
          <cell r="D730">
            <v>-1</v>
          </cell>
          <cell r="E730" t="str">
            <v>N</v>
          </cell>
          <cell r="F730">
            <v>0</v>
          </cell>
          <cell r="G730" t="str">
            <v>股份支付计入所有者权益的金额</v>
          </cell>
          <cell r="H730">
            <v>0</v>
          </cell>
          <cell r="I730">
            <v>8552</v>
          </cell>
          <cell r="J730" t="str">
            <v>J</v>
          </cell>
        </row>
        <row r="731">
          <cell r="B731">
            <v>8562</v>
          </cell>
          <cell r="C731" t="str">
            <v>盈余公积_提取一般风险准备影响权益</v>
          </cell>
          <cell r="D731">
            <v>-1</v>
          </cell>
          <cell r="E731" t="str">
            <v>N</v>
          </cell>
          <cell r="F731">
            <v>0</v>
          </cell>
          <cell r="G731" t="str">
            <v>提取一般风险准备</v>
          </cell>
          <cell r="H731">
            <v>0</v>
          </cell>
          <cell r="I731">
            <v>8562</v>
          </cell>
          <cell r="J731" t="str">
            <v>J</v>
          </cell>
        </row>
        <row r="732">
          <cell r="B732">
            <v>8571</v>
          </cell>
          <cell r="C732" t="str">
            <v>盈余公积_资本公积转增资本影响权益</v>
          </cell>
          <cell r="D732">
            <v>-1</v>
          </cell>
          <cell r="E732" t="str">
            <v>N</v>
          </cell>
          <cell r="F732">
            <v>0</v>
          </cell>
          <cell r="G732" t="str">
            <v>资本公积转增资本（或股本）</v>
          </cell>
          <cell r="H732">
            <v>0</v>
          </cell>
          <cell r="I732">
            <v>8571</v>
          </cell>
          <cell r="J732" t="str">
            <v>J</v>
          </cell>
        </row>
        <row r="733">
          <cell r="B733">
            <v>8581</v>
          </cell>
          <cell r="C733" t="str">
            <v>盈余公积_专项储备本期提取</v>
          </cell>
          <cell r="D733">
            <v>-1</v>
          </cell>
          <cell r="E733" t="str">
            <v>N</v>
          </cell>
          <cell r="F733">
            <v>0</v>
          </cell>
          <cell r="G733" t="str">
            <v>本期提取</v>
          </cell>
          <cell r="H733">
            <v>0</v>
          </cell>
          <cell r="I733">
            <v>8581</v>
          </cell>
          <cell r="J733" t="str">
            <v>J</v>
          </cell>
        </row>
        <row r="734">
          <cell r="B734">
            <v>8582</v>
          </cell>
          <cell r="C734" t="str">
            <v>盈余公积_专项储备本期使用</v>
          </cell>
          <cell r="D734">
            <v>-1</v>
          </cell>
          <cell r="E734" t="str">
            <v>N</v>
          </cell>
          <cell r="F734">
            <v>0</v>
          </cell>
          <cell r="G734" t="str">
            <v>本期使用</v>
          </cell>
          <cell r="H734">
            <v>0</v>
          </cell>
          <cell r="I734">
            <v>8582</v>
          </cell>
          <cell r="J734" t="str">
            <v>J</v>
          </cell>
        </row>
        <row r="735">
          <cell r="B735">
            <v>8621</v>
          </cell>
          <cell r="C735" t="str">
            <v>一般风险准备_净利润增加权益</v>
          </cell>
          <cell r="D735">
            <v>-1</v>
          </cell>
          <cell r="E735" t="str">
            <v>N</v>
          </cell>
          <cell r="F735">
            <v>0</v>
          </cell>
          <cell r="G735" t="str">
            <v>（一）净利润</v>
          </cell>
          <cell r="H735">
            <v>0</v>
          </cell>
          <cell r="I735">
            <v>8621</v>
          </cell>
          <cell r="J735" t="str">
            <v>J</v>
          </cell>
        </row>
        <row r="736">
          <cell r="B736">
            <v>8630</v>
          </cell>
          <cell r="C736" t="str">
            <v>一般风险准备_其他综合收益增加权益</v>
          </cell>
          <cell r="D736">
            <v>-1</v>
          </cell>
          <cell r="E736" t="str">
            <v>N</v>
          </cell>
          <cell r="F736">
            <v>0</v>
          </cell>
          <cell r="G736" t="str">
            <v>（二）其他综合收益</v>
          </cell>
          <cell r="H736">
            <v>0</v>
          </cell>
          <cell r="I736">
            <v>8630</v>
          </cell>
          <cell r="J736" t="str">
            <v>J</v>
          </cell>
        </row>
        <row r="737">
          <cell r="B737">
            <v>8651</v>
          </cell>
          <cell r="C737" t="str">
            <v>一般风险准备_所有者投入资本增加权益</v>
          </cell>
          <cell r="D737">
            <v>-1</v>
          </cell>
          <cell r="E737" t="str">
            <v>N</v>
          </cell>
          <cell r="F737">
            <v>0</v>
          </cell>
          <cell r="G737" t="str">
            <v>所有者投入资本</v>
          </cell>
          <cell r="H737">
            <v>0</v>
          </cell>
          <cell r="I737">
            <v>8651</v>
          </cell>
          <cell r="J737" t="str">
            <v>J</v>
          </cell>
        </row>
        <row r="738">
          <cell r="B738">
            <v>8652</v>
          </cell>
          <cell r="C738" t="str">
            <v>一般风险准备_股份支付计入所有者权益的金额</v>
          </cell>
          <cell r="D738">
            <v>-1</v>
          </cell>
          <cell r="E738" t="str">
            <v>N</v>
          </cell>
          <cell r="F738">
            <v>0</v>
          </cell>
          <cell r="G738" t="str">
            <v>股份支付计入所有者权益的金额</v>
          </cell>
          <cell r="H738">
            <v>0</v>
          </cell>
          <cell r="I738">
            <v>8652</v>
          </cell>
          <cell r="J738" t="str">
            <v>J</v>
          </cell>
        </row>
        <row r="739">
          <cell r="B739">
            <v>8661</v>
          </cell>
          <cell r="C739" t="str">
            <v>一般风险准备_提取盈余公积影响权益</v>
          </cell>
          <cell r="D739">
            <v>-1</v>
          </cell>
          <cell r="E739" t="str">
            <v>N</v>
          </cell>
          <cell r="F739">
            <v>0</v>
          </cell>
          <cell r="G739" t="str">
            <v>提取盈余公积</v>
          </cell>
          <cell r="H739">
            <v>0</v>
          </cell>
          <cell r="I739">
            <v>8661</v>
          </cell>
          <cell r="J739" t="str">
            <v>J</v>
          </cell>
        </row>
        <row r="740">
          <cell r="B740">
            <v>8663</v>
          </cell>
          <cell r="C740" t="str">
            <v>一般风险准备_对所有者的分配影响权益</v>
          </cell>
          <cell r="D740">
            <v>-1</v>
          </cell>
          <cell r="E740" t="str">
            <v>N</v>
          </cell>
          <cell r="F740">
            <v>0</v>
          </cell>
          <cell r="G740" t="str">
            <v>对所有者（或股东）的分配</v>
          </cell>
          <cell r="H740">
            <v>0</v>
          </cell>
          <cell r="I740">
            <v>8663</v>
          </cell>
          <cell r="J740" t="str">
            <v>J</v>
          </cell>
        </row>
        <row r="741">
          <cell r="B741">
            <v>8671</v>
          </cell>
          <cell r="C741" t="str">
            <v>一般风险准备_资本公积转增资本影响权益</v>
          </cell>
          <cell r="D741">
            <v>-1</v>
          </cell>
          <cell r="E741" t="str">
            <v>N</v>
          </cell>
          <cell r="F741">
            <v>0</v>
          </cell>
          <cell r="G741" t="str">
            <v>资本公积转增资本（或股本）</v>
          </cell>
          <cell r="H741">
            <v>0</v>
          </cell>
          <cell r="I741">
            <v>8671</v>
          </cell>
          <cell r="J741" t="str">
            <v>J</v>
          </cell>
        </row>
        <row r="742">
          <cell r="B742">
            <v>8672</v>
          </cell>
          <cell r="C742" t="str">
            <v>一般风险准备_盈余公积转增资本影响权益</v>
          </cell>
          <cell r="D742">
            <v>-1</v>
          </cell>
          <cell r="E742" t="str">
            <v>N</v>
          </cell>
          <cell r="F742">
            <v>0</v>
          </cell>
          <cell r="G742" t="str">
            <v>盈余公积转增资本（或股本）</v>
          </cell>
          <cell r="H742">
            <v>0</v>
          </cell>
          <cell r="I742">
            <v>8672</v>
          </cell>
          <cell r="J742" t="str">
            <v>J</v>
          </cell>
        </row>
        <row r="743">
          <cell r="B743">
            <v>8673</v>
          </cell>
          <cell r="C743" t="str">
            <v>一般风险准备_盈余公积弥补亏损影响权益</v>
          </cell>
          <cell r="D743">
            <v>-1</v>
          </cell>
          <cell r="E743" t="str">
            <v>N</v>
          </cell>
          <cell r="F743">
            <v>0</v>
          </cell>
          <cell r="G743" t="str">
            <v>盈余公积弥补亏损</v>
          </cell>
          <cell r="H743">
            <v>0</v>
          </cell>
          <cell r="I743">
            <v>8673</v>
          </cell>
          <cell r="J743" t="str">
            <v>J</v>
          </cell>
        </row>
        <row r="744">
          <cell r="B744">
            <v>8681</v>
          </cell>
          <cell r="C744" t="str">
            <v>一般风险准备_专项储备本期提取</v>
          </cell>
          <cell r="D744">
            <v>-1</v>
          </cell>
          <cell r="E744" t="str">
            <v>N</v>
          </cell>
          <cell r="F744">
            <v>0</v>
          </cell>
          <cell r="G744" t="str">
            <v>本期提取</v>
          </cell>
          <cell r="H744">
            <v>0</v>
          </cell>
          <cell r="I744">
            <v>8681</v>
          </cell>
          <cell r="J744" t="str">
            <v>J</v>
          </cell>
        </row>
        <row r="745">
          <cell r="B745">
            <v>8682</v>
          </cell>
          <cell r="C745" t="str">
            <v>一般风险准备_专项储备本期使用</v>
          </cell>
          <cell r="D745">
            <v>-1</v>
          </cell>
          <cell r="E745" t="str">
            <v>N</v>
          </cell>
          <cell r="F745">
            <v>0</v>
          </cell>
          <cell r="G745" t="str">
            <v>本期使用</v>
          </cell>
          <cell r="H745">
            <v>0</v>
          </cell>
          <cell r="I745">
            <v>8682</v>
          </cell>
          <cell r="J745" t="str">
            <v>J</v>
          </cell>
        </row>
        <row r="746">
          <cell r="B746">
            <v>8730</v>
          </cell>
          <cell r="C746" t="str">
            <v>未分配利润_其他综合收益增加权益</v>
          </cell>
          <cell r="D746">
            <v>-1</v>
          </cell>
          <cell r="E746" t="str">
            <v>N</v>
          </cell>
          <cell r="F746">
            <v>0</v>
          </cell>
          <cell r="G746" t="str">
            <v>（二）其他综合收益</v>
          </cell>
          <cell r="H746">
            <v>0</v>
          </cell>
          <cell r="I746">
            <v>8730</v>
          </cell>
          <cell r="J746">
            <v>0</v>
          </cell>
        </row>
        <row r="747">
          <cell r="B747">
            <v>8751</v>
          </cell>
          <cell r="C747" t="str">
            <v>未分配利润_所有者投入资本增加权益</v>
          </cell>
          <cell r="D747">
            <v>-1</v>
          </cell>
          <cell r="E747" t="str">
            <v>N</v>
          </cell>
          <cell r="F747">
            <v>0</v>
          </cell>
          <cell r="G747" t="str">
            <v>所有者投入资本</v>
          </cell>
          <cell r="H747">
            <v>0</v>
          </cell>
          <cell r="I747">
            <v>8751</v>
          </cell>
          <cell r="J747" t="str">
            <v>J</v>
          </cell>
        </row>
        <row r="748">
          <cell r="B748">
            <v>8752</v>
          </cell>
          <cell r="C748" t="str">
            <v>未分配利润_股份支付计入所有者权益的金额</v>
          </cell>
          <cell r="D748">
            <v>-1</v>
          </cell>
          <cell r="E748" t="str">
            <v>N</v>
          </cell>
          <cell r="F748">
            <v>0</v>
          </cell>
          <cell r="G748" t="str">
            <v>股份支付计入所有者权益的金额</v>
          </cell>
          <cell r="H748">
            <v>0</v>
          </cell>
          <cell r="I748">
            <v>8752</v>
          </cell>
          <cell r="J748" t="str">
            <v>J</v>
          </cell>
        </row>
        <row r="749">
          <cell r="B749">
            <v>8771</v>
          </cell>
          <cell r="C749" t="str">
            <v>未分配利润_资本公积转增资本影响权益</v>
          </cell>
          <cell r="D749">
            <v>-1</v>
          </cell>
          <cell r="E749" t="str">
            <v>N</v>
          </cell>
          <cell r="F749">
            <v>0</v>
          </cell>
          <cell r="G749" t="str">
            <v>资本公积转增资本（或股本）</v>
          </cell>
          <cell r="H749">
            <v>0</v>
          </cell>
          <cell r="I749">
            <v>8771</v>
          </cell>
          <cell r="J749" t="str">
            <v>J</v>
          </cell>
        </row>
        <row r="750">
          <cell r="B750">
            <v>8772</v>
          </cell>
          <cell r="C750" t="str">
            <v>未分配利润_盈余公积转增资本影响权益</v>
          </cell>
          <cell r="D750">
            <v>-1</v>
          </cell>
          <cell r="E750" t="str">
            <v>N</v>
          </cell>
          <cell r="F750">
            <v>0</v>
          </cell>
          <cell r="G750" t="str">
            <v>盈余公积转增资本（或股本）</v>
          </cell>
          <cell r="H750">
            <v>0</v>
          </cell>
          <cell r="I750">
            <v>8772</v>
          </cell>
          <cell r="J750" t="str">
            <v>J</v>
          </cell>
        </row>
        <row r="751">
          <cell r="B751">
            <v>8961</v>
          </cell>
          <cell r="C751" t="str">
            <v>少数股东权益_提取盈余公积影响权益</v>
          </cell>
          <cell r="D751">
            <v>-1</v>
          </cell>
          <cell r="E751" t="str">
            <v>※N</v>
          </cell>
          <cell r="F751">
            <v>0</v>
          </cell>
          <cell r="G751" t="str">
            <v>提取盈余公积</v>
          </cell>
          <cell r="H751">
            <v>0</v>
          </cell>
          <cell r="I751">
            <v>8961</v>
          </cell>
          <cell r="J751" t="str">
            <v>J</v>
          </cell>
        </row>
        <row r="752">
          <cell r="B752">
            <v>8962</v>
          </cell>
          <cell r="C752" t="str">
            <v>少数股东权益_提取一般风险准备影响权益</v>
          </cell>
          <cell r="D752">
            <v>-1</v>
          </cell>
          <cell r="E752" t="str">
            <v>※N</v>
          </cell>
          <cell r="F752">
            <v>0</v>
          </cell>
          <cell r="G752" t="str">
            <v>提取一般风险准备</v>
          </cell>
          <cell r="H752">
            <v>0</v>
          </cell>
          <cell r="I752">
            <v>8962</v>
          </cell>
          <cell r="J752" t="str">
            <v>J</v>
          </cell>
        </row>
        <row r="753">
          <cell r="B753">
            <v>8971</v>
          </cell>
          <cell r="C753" t="str">
            <v>少数股东权益_资本公积转增资本影响权益</v>
          </cell>
          <cell r="D753">
            <v>-1</v>
          </cell>
          <cell r="E753" t="str">
            <v>※N</v>
          </cell>
          <cell r="F753">
            <v>0</v>
          </cell>
          <cell r="G753" t="str">
            <v>资本公积转增资本（或股本）</v>
          </cell>
          <cell r="H753">
            <v>0</v>
          </cell>
          <cell r="I753">
            <v>8971</v>
          </cell>
          <cell r="J753" t="str">
            <v>J</v>
          </cell>
        </row>
        <row r="754">
          <cell r="B754">
            <v>8972</v>
          </cell>
          <cell r="C754" t="str">
            <v>少数股东权益_盈余公积转增资本影响权益</v>
          </cell>
          <cell r="D754">
            <v>-1</v>
          </cell>
          <cell r="E754" t="str">
            <v>※N</v>
          </cell>
          <cell r="F754">
            <v>0</v>
          </cell>
          <cell r="G754" t="str">
            <v>盈余公积转增资本（或股本）</v>
          </cell>
          <cell r="H754">
            <v>0</v>
          </cell>
          <cell r="I754">
            <v>8972</v>
          </cell>
          <cell r="J754" t="str">
            <v>J</v>
          </cell>
        </row>
        <row r="755">
          <cell r="B755">
            <v>8973</v>
          </cell>
          <cell r="C755" t="str">
            <v>少数股东权益_盈余公积弥补亏损影响权益</v>
          </cell>
          <cell r="D755">
            <v>-1</v>
          </cell>
          <cell r="E755" t="str">
            <v>※N</v>
          </cell>
          <cell r="F755">
            <v>0</v>
          </cell>
          <cell r="G755" t="str">
            <v>盈余公积弥补亏损</v>
          </cell>
          <cell r="H755">
            <v>0</v>
          </cell>
          <cell r="I755">
            <v>8973</v>
          </cell>
          <cell r="J755" t="str">
            <v>J</v>
          </cell>
        </row>
        <row r="756">
          <cell r="B756">
            <v>8140</v>
          </cell>
          <cell r="C756" t="str">
            <v>实收资本_综合收益总额增加权益</v>
          </cell>
          <cell r="D756">
            <v>-1</v>
          </cell>
          <cell r="E756">
            <v>0</v>
          </cell>
          <cell r="F756">
            <v>0</v>
          </cell>
          <cell r="G756" t="str">
            <v>（一）综合收益总额</v>
          </cell>
          <cell r="H756">
            <v>0</v>
          </cell>
          <cell r="I756">
            <v>8140</v>
          </cell>
          <cell r="J756" t="str">
            <v>J</v>
          </cell>
        </row>
        <row r="757">
          <cell r="B757">
            <v>8160</v>
          </cell>
          <cell r="C757" t="str">
            <v>实收资本_利润分配影响权益</v>
          </cell>
          <cell r="D757">
            <v>0</v>
          </cell>
          <cell r="E757" t="str">
            <v>＝</v>
          </cell>
          <cell r="F757">
            <v>0</v>
          </cell>
          <cell r="G757" t="str">
            <v>（三）利润分配</v>
          </cell>
          <cell r="H757">
            <v>0</v>
          </cell>
          <cell r="I757">
            <v>8160</v>
          </cell>
          <cell r="J757">
            <v>0</v>
          </cell>
        </row>
        <row r="758">
          <cell r="B758">
            <v>8180</v>
          </cell>
          <cell r="C758" t="str">
            <v>实收资本_专项储备影响权益</v>
          </cell>
          <cell r="D758">
            <v>0</v>
          </cell>
          <cell r="E758" t="str">
            <v>＝</v>
          </cell>
          <cell r="F758">
            <v>0</v>
          </cell>
          <cell r="G758" t="str">
            <v>（五）专项储备</v>
          </cell>
          <cell r="H758">
            <v>0</v>
          </cell>
          <cell r="I758">
            <v>8180</v>
          </cell>
          <cell r="J758">
            <v>0</v>
          </cell>
        </row>
        <row r="759">
          <cell r="B759">
            <v>8280</v>
          </cell>
          <cell r="C759" t="str">
            <v>资本公积_专项储备影响权益</v>
          </cell>
          <cell r="D759">
            <v>0</v>
          </cell>
          <cell r="E759" t="str">
            <v>＝</v>
          </cell>
          <cell r="F759">
            <v>0</v>
          </cell>
          <cell r="G759" t="str">
            <v>（五）专项储备</v>
          </cell>
          <cell r="H759">
            <v>0</v>
          </cell>
          <cell r="I759">
            <v>8280</v>
          </cell>
          <cell r="J759">
            <v>0</v>
          </cell>
        </row>
        <row r="760">
          <cell r="B760">
            <v>8340</v>
          </cell>
          <cell r="C760" t="str">
            <v>库存股_综合收益总额增加权益</v>
          </cell>
          <cell r="D760">
            <v>1</v>
          </cell>
          <cell r="E760">
            <v>0</v>
          </cell>
          <cell r="F760">
            <v>0</v>
          </cell>
          <cell r="G760" t="str">
            <v>（一）综合收益总额</v>
          </cell>
          <cell r="H760">
            <v>0</v>
          </cell>
          <cell r="I760">
            <v>8340</v>
          </cell>
          <cell r="J760" t="str">
            <v>J</v>
          </cell>
        </row>
        <row r="761">
          <cell r="B761">
            <v>8380</v>
          </cell>
          <cell r="C761" t="str">
            <v>库存股_专项储备影响权益</v>
          </cell>
          <cell r="D761">
            <v>0</v>
          </cell>
          <cell r="E761" t="str">
            <v>＝</v>
          </cell>
          <cell r="F761">
            <v>0</v>
          </cell>
          <cell r="G761" t="str">
            <v>（五）专项储备</v>
          </cell>
          <cell r="H761">
            <v>0</v>
          </cell>
          <cell r="I761">
            <v>8380</v>
          </cell>
          <cell r="J761">
            <v>0</v>
          </cell>
        </row>
        <row r="762">
          <cell r="B762">
            <v>8440</v>
          </cell>
          <cell r="C762" t="str">
            <v>专项储备_综合收益总额增加权益</v>
          </cell>
          <cell r="D762">
            <v>-1</v>
          </cell>
          <cell r="E762">
            <v>0</v>
          </cell>
          <cell r="F762">
            <v>0</v>
          </cell>
          <cell r="G762" t="str">
            <v>（一）综合收益总额</v>
          </cell>
          <cell r="H762">
            <v>0</v>
          </cell>
          <cell r="I762">
            <v>8440</v>
          </cell>
          <cell r="J762" t="str">
            <v>J</v>
          </cell>
        </row>
        <row r="763">
          <cell r="B763">
            <v>8450</v>
          </cell>
          <cell r="C763" t="str">
            <v>专项储备_所有者投入和减少资本影响权益</v>
          </cell>
          <cell r="D763">
            <v>0</v>
          </cell>
          <cell r="E763" t="str">
            <v>＝</v>
          </cell>
          <cell r="F763">
            <v>0</v>
          </cell>
          <cell r="G763" t="str">
            <v>（二）所有者投入和减少资本</v>
          </cell>
          <cell r="H763">
            <v>0</v>
          </cell>
          <cell r="I763">
            <v>8450</v>
          </cell>
          <cell r="J763">
            <v>0</v>
          </cell>
        </row>
        <row r="764">
          <cell r="B764">
            <v>8460</v>
          </cell>
          <cell r="C764" t="str">
            <v>专项储备_利润分配影响权益</v>
          </cell>
          <cell r="D764">
            <v>0</v>
          </cell>
          <cell r="E764" t="str">
            <v>＝</v>
          </cell>
          <cell r="F764">
            <v>0</v>
          </cell>
          <cell r="G764" t="str">
            <v>（三）利润分配</v>
          </cell>
          <cell r="H764">
            <v>0</v>
          </cell>
          <cell r="I764">
            <v>8460</v>
          </cell>
          <cell r="J764">
            <v>0</v>
          </cell>
        </row>
        <row r="765">
          <cell r="B765">
            <v>8540</v>
          </cell>
          <cell r="C765" t="str">
            <v>盈余公积_综合收益总额增加权益</v>
          </cell>
          <cell r="D765">
            <v>-1</v>
          </cell>
          <cell r="E765">
            <v>0</v>
          </cell>
          <cell r="F765">
            <v>0</v>
          </cell>
          <cell r="G765" t="str">
            <v>（一）综合收益总额</v>
          </cell>
          <cell r="H765">
            <v>0</v>
          </cell>
          <cell r="I765">
            <v>8540</v>
          </cell>
          <cell r="J765" t="str">
            <v>J</v>
          </cell>
        </row>
        <row r="766">
          <cell r="B766">
            <v>8580</v>
          </cell>
          <cell r="C766" t="str">
            <v>盈余公积_专项储备影响权益</v>
          </cell>
          <cell r="D766">
            <v>0</v>
          </cell>
          <cell r="E766" t="str">
            <v>＝</v>
          </cell>
          <cell r="F766">
            <v>0</v>
          </cell>
          <cell r="G766" t="str">
            <v>（五）专项储备</v>
          </cell>
          <cell r="H766">
            <v>0</v>
          </cell>
          <cell r="I766">
            <v>8580</v>
          </cell>
          <cell r="J766">
            <v>0</v>
          </cell>
        </row>
        <row r="767">
          <cell r="B767">
            <v>8640</v>
          </cell>
          <cell r="C767" t="str">
            <v>一般风险准备_综合收益总额增加权益</v>
          </cell>
          <cell r="D767">
            <v>-1</v>
          </cell>
          <cell r="E767">
            <v>0</v>
          </cell>
          <cell r="F767">
            <v>0</v>
          </cell>
          <cell r="G767" t="str">
            <v>（一）综合收益总额</v>
          </cell>
          <cell r="H767">
            <v>0</v>
          </cell>
          <cell r="I767">
            <v>8640</v>
          </cell>
          <cell r="J767" t="str">
            <v>J</v>
          </cell>
        </row>
        <row r="768">
          <cell r="B768">
            <v>8680</v>
          </cell>
          <cell r="C768" t="str">
            <v>一般风险准备_专项储备影响权益</v>
          </cell>
          <cell r="D768">
            <v>0</v>
          </cell>
          <cell r="E768" t="str">
            <v>＝</v>
          </cell>
          <cell r="F768">
            <v>0</v>
          </cell>
          <cell r="G768" t="str">
            <v>（五）专项储备</v>
          </cell>
          <cell r="H768">
            <v>0</v>
          </cell>
          <cell r="I768">
            <v>8680</v>
          </cell>
          <cell r="J768">
            <v>0</v>
          </cell>
        </row>
        <row r="769">
          <cell r="B769" t="str">
            <v>8a00</v>
          </cell>
          <cell r="C769" t="str">
            <v>其他权益工具增减变动</v>
          </cell>
          <cell r="D769">
            <v>0</v>
          </cell>
          <cell r="E769" t="str">
            <v>：OEI</v>
          </cell>
          <cell r="F769">
            <v>0</v>
          </cell>
          <cell r="G769" t="str">
            <v>其他权益工具增减变动</v>
          </cell>
          <cell r="H769">
            <v>0</v>
          </cell>
          <cell r="I769" t="str">
            <v>8a00</v>
          </cell>
          <cell r="J769">
            <v>0</v>
          </cell>
        </row>
        <row r="770">
          <cell r="B770" t="str">
            <v>8a01</v>
          </cell>
          <cell r="C770" t="str">
            <v>其他权益工具_上年年末余额</v>
          </cell>
          <cell r="D770">
            <v>-1</v>
          </cell>
          <cell r="E770" t="str">
            <v>OEI</v>
          </cell>
          <cell r="F770">
            <v>0</v>
          </cell>
          <cell r="G770" t="str">
            <v>一、上年年末余额</v>
          </cell>
          <cell r="H770">
            <v>0</v>
          </cell>
          <cell r="I770" t="str">
            <v>8a01</v>
          </cell>
          <cell r="J770">
            <v>0</v>
          </cell>
        </row>
        <row r="771">
          <cell r="B771" t="str">
            <v>8a02</v>
          </cell>
          <cell r="C771" t="str">
            <v>其他权益工具_会计政策变更调整上年年末余额</v>
          </cell>
          <cell r="D771">
            <v>-1</v>
          </cell>
          <cell r="E771" t="str">
            <v>OEI</v>
          </cell>
          <cell r="F771">
            <v>0</v>
          </cell>
          <cell r="G771" t="str">
            <v>加：会计政策变更</v>
          </cell>
          <cell r="H771">
            <v>0</v>
          </cell>
          <cell r="I771" t="str">
            <v>8a02</v>
          </cell>
          <cell r="J771">
            <v>0</v>
          </cell>
        </row>
        <row r="772">
          <cell r="B772" t="str">
            <v>8a03</v>
          </cell>
          <cell r="C772" t="str">
            <v>其他权益工具_前期差错更正调整上年年末余额</v>
          </cell>
          <cell r="D772">
            <v>-1</v>
          </cell>
          <cell r="E772" t="str">
            <v>OEI</v>
          </cell>
          <cell r="F772">
            <v>0</v>
          </cell>
          <cell r="G772" t="str">
            <v>前期差错更正</v>
          </cell>
          <cell r="H772">
            <v>0</v>
          </cell>
          <cell r="I772" t="str">
            <v>8a03</v>
          </cell>
          <cell r="J772">
            <v>0</v>
          </cell>
        </row>
        <row r="773">
          <cell r="B773" t="str">
            <v>8a04</v>
          </cell>
          <cell r="C773" t="str">
            <v>其他权益工具_同一控制下企业合并调整上年年末余额</v>
          </cell>
          <cell r="D773">
            <v>-1</v>
          </cell>
          <cell r="E773" t="str">
            <v>※OEI</v>
          </cell>
          <cell r="F773">
            <v>0</v>
          </cell>
          <cell r="G773" t="str">
            <v>同一控制下企业合并</v>
          </cell>
          <cell r="H773">
            <v>0</v>
          </cell>
          <cell r="I773" t="str">
            <v>8a04</v>
          </cell>
          <cell r="J773">
            <v>0</v>
          </cell>
        </row>
        <row r="774">
          <cell r="B774" t="str">
            <v>8a09</v>
          </cell>
          <cell r="C774" t="str">
            <v>其他权益工具_其他原因调整上年年末余额</v>
          </cell>
          <cell r="D774">
            <v>-1</v>
          </cell>
          <cell r="E774" t="str">
            <v>OEI</v>
          </cell>
          <cell r="F774">
            <v>0</v>
          </cell>
          <cell r="G774" t="str">
            <v>其他</v>
          </cell>
          <cell r="H774">
            <v>0</v>
          </cell>
          <cell r="I774" t="str">
            <v>8a09</v>
          </cell>
          <cell r="J774">
            <v>0</v>
          </cell>
        </row>
        <row r="775">
          <cell r="B775" t="str">
            <v>8a10</v>
          </cell>
          <cell r="C775" t="str">
            <v>其他权益工具_本年年初余额</v>
          </cell>
          <cell r="D775">
            <v>0</v>
          </cell>
          <cell r="E775" t="str">
            <v>OEI＝</v>
          </cell>
          <cell r="F775">
            <v>0</v>
          </cell>
          <cell r="G775" t="str">
            <v>二、本年年初余额</v>
          </cell>
          <cell r="H775">
            <v>0</v>
          </cell>
          <cell r="I775" t="str">
            <v>8a10</v>
          </cell>
          <cell r="J775">
            <v>0</v>
          </cell>
        </row>
        <row r="776">
          <cell r="B776" t="str">
            <v>8a90</v>
          </cell>
          <cell r="C776" t="str">
            <v>其他权益工具_本期增减变动金额</v>
          </cell>
          <cell r="D776">
            <v>0</v>
          </cell>
          <cell r="E776" t="str">
            <v>OEI＝</v>
          </cell>
          <cell r="F776">
            <v>0</v>
          </cell>
          <cell r="G776" t="str">
            <v>三、本期增减变动金额（减少以“-”号填列）</v>
          </cell>
          <cell r="H776">
            <v>0</v>
          </cell>
          <cell r="I776" t="str">
            <v>8a90</v>
          </cell>
          <cell r="J776">
            <v>0</v>
          </cell>
        </row>
        <row r="777">
          <cell r="B777" t="str">
            <v>8a40</v>
          </cell>
          <cell r="C777" t="str">
            <v>其他权益工具_综合收益总额增加权益</v>
          </cell>
          <cell r="D777">
            <v>0</v>
          </cell>
          <cell r="E777" t="str">
            <v>OEI</v>
          </cell>
          <cell r="F777">
            <v>0</v>
          </cell>
          <cell r="G777" t="str">
            <v>（一）综合收益总额</v>
          </cell>
          <cell r="H777">
            <v>0</v>
          </cell>
          <cell r="I777" t="str">
            <v>8a40</v>
          </cell>
          <cell r="J777">
            <v>0</v>
          </cell>
        </row>
        <row r="778">
          <cell r="B778" t="str">
            <v>8a50</v>
          </cell>
          <cell r="C778" t="str">
            <v>其他权益工具_所有者投入和减少资本影响权益</v>
          </cell>
          <cell r="D778">
            <v>0</v>
          </cell>
          <cell r="E778" t="str">
            <v>OEI＝</v>
          </cell>
          <cell r="F778">
            <v>0</v>
          </cell>
          <cell r="G778" t="str">
            <v>（二）所有者投入和减少资本</v>
          </cell>
          <cell r="H778">
            <v>0</v>
          </cell>
          <cell r="I778" t="str">
            <v>8a50</v>
          </cell>
          <cell r="J778">
            <v>0</v>
          </cell>
        </row>
        <row r="779">
          <cell r="B779" t="str">
            <v>8a51</v>
          </cell>
          <cell r="C779" t="str">
            <v>其他权益工具_所有者投入资本</v>
          </cell>
          <cell r="D779">
            <v>-1</v>
          </cell>
          <cell r="E779" t="str">
            <v>OEI</v>
          </cell>
          <cell r="F779">
            <v>0</v>
          </cell>
          <cell r="G779" t="str">
            <v>所有者投入资本</v>
          </cell>
          <cell r="H779">
            <v>0</v>
          </cell>
          <cell r="I779" t="str">
            <v>8a51</v>
          </cell>
          <cell r="J779">
            <v>0</v>
          </cell>
        </row>
        <row r="780">
          <cell r="B780" t="str">
            <v>8a52</v>
          </cell>
          <cell r="C780" t="str">
            <v>其他权益工具_股份支付</v>
          </cell>
          <cell r="D780">
            <v>-1</v>
          </cell>
          <cell r="E780" t="str">
            <v>OEI</v>
          </cell>
          <cell r="F780">
            <v>0</v>
          </cell>
          <cell r="G780" t="str">
            <v>股份支付计入所有者权益的金额</v>
          </cell>
          <cell r="H780">
            <v>0</v>
          </cell>
          <cell r="I780" t="str">
            <v>8a52</v>
          </cell>
          <cell r="J780">
            <v>0</v>
          </cell>
        </row>
        <row r="781">
          <cell r="B781" t="str">
            <v>8a53</v>
          </cell>
          <cell r="C781" t="str">
            <v>其他权益工具_其他权益工具持有者投入资本</v>
          </cell>
          <cell r="D781">
            <v>-1</v>
          </cell>
          <cell r="E781" t="str">
            <v>OEI</v>
          </cell>
          <cell r="F781">
            <v>0</v>
          </cell>
          <cell r="G781" t="str">
            <v>其他权益工具持有者投入资本</v>
          </cell>
          <cell r="H781">
            <v>0</v>
          </cell>
          <cell r="I781" t="str">
            <v>8a53</v>
          </cell>
          <cell r="J781">
            <v>0</v>
          </cell>
        </row>
        <row r="782">
          <cell r="B782" t="str">
            <v>8a56</v>
          </cell>
          <cell r="C782" t="str">
            <v>其他权益工具_所有者其他投入和减少资本</v>
          </cell>
          <cell r="D782">
            <v>-1</v>
          </cell>
          <cell r="E782" t="str">
            <v>OEI</v>
          </cell>
          <cell r="F782">
            <v>0</v>
          </cell>
          <cell r="G782" t="str">
            <v>其他</v>
          </cell>
          <cell r="H782">
            <v>0</v>
          </cell>
          <cell r="I782" t="str">
            <v>8a56</v>
          </cell>
          <cell r="J782">
            <v>0</v>
          </cell>
        </row>
        <row r="783">
          <cell r="B783" t="str">
            <v>8a60</v>
          </cell>
          <cell r="C783" t="str">
            <v>其他权益工具_利润分配影响权益</v>
          </cell>
          <cell r="D783">
            <v>0</v>
          </cell>
          <cell r="E783" t="str">
            <v>OEI＝</v>
          </cell>
          <cell r="F783">
            <v>0</v>
          </cell>
          <cell r="G783" t="str">
            <v>（三）利润分配</v>
          </cell>
          <cell r="H783">
            <v>0</v>
          </cell>
          <cell r="I783" t="str">
            <v>8a60</v>
          </cell>
          <cell r="J783">
            <v>0</v>
          </cell>
        </row>
        <row r="784">
          <cell r="B784" t="str">
            <v>8a61</v>
          </cell>
          <cell r="C784" t="str">
            <v>其他权益工具_提取盈余公积</v>
          </cell>
          <cell r="D784">
            <v>-1</v>
          </cell>
          <cell r="E784" t="str">
            <v>OEI</v>
          </cell>
          <cell r="F784">
            <v>0</v>
          </cell>
          <cell r="G784" t="str">
            <v>提取盈余公积</v>
          </cell>
          <cell r="H784">
            <v>0</v>
          </cell>
          <cell r="I784" t="str">
            <v>8a61</v>
          </cell>
          <cell r="J784">
            <v>0</v>
          </cell>
        </row>
        <row r="785">
          <cell r="B785" t="str">
            <v>8a62</v>
          </cell>
          <cell r="C785" t="str">
            <v>其他权益工具_提取一般风险准备</v>
          </cell>
          <cell r="D785">
            <v>-1</v>
          </cell>
          <cell r="E785" t="str">
            <v>OEI</v>
          </cell>
          <cell r="F785">
            <v>0</v>
          </cell>
          <cell r="G785" t="str">
            <v>提取一般风险准备</v>
          </cell>
          <cell r="H785">
            <v>0</v>
          </cell>
          <cell r="I785" t="str">
            <v>8a62</v>
          </cell>
          <cell r="J785">
            <v>0</v>
          </cell>
        </row>
        <row r="786">
          <cell r="B786" t="str">
            <v>8a63</v>
          </cell>
          <cell r="C786" t="str">
            <v>其他权益工具_对所有者的分配</v>
          </cell>
          <cell r="D786">
            <v>-1</v>
          </cell>
          <cell r="E786" t="str">
            <v>OEI</v>
          </cell>
          <cell r="F786">
            <v>0</v>
          </cell>
          <cell r="G786" t="str">
            <v>对所有者（或股东）的分配</v>
          </cell>
          <cell r="H786">
            <v>0</v>
          </cell>
          <cell r="I786" t="str">
            <v>8a63</v>
          </cell>
          <cell r="J786">
            <v>0</v>
          </cell>
        </row>
        <row r="787">
          <cell r="B787" t="str">
            <v>8a66</v>
          </cell>
          <cell r="C787" t="str">
            <v>其他权益工具_其他利润分配</v>
          </cell>
          <cell r="D787">
            <v>-1</v>
          </cell>
          <cell r="E787" t="str">
            <v>OEI</v>
          </cell>
          <cell r="F787">
            <v>0</v>
          </cell>
          <cell r="G787" t="str">
            <v>其他</v>
          </cell>
          <cell r="H787">
            <v>0</v>
          </cell>
          <cell r="I787" t="str">
            <v>8a66</v>
          </cell>
          <cell r="J787">
            <v>0</v>
          </cell>
        </row>
        <row r="788">
          <cell r="B788" t="str">
            <v>8a70</v>
          </cell>
          <cell r="C788" t="str">
            <v>其他权益工具_所有者权益内部结转</v>
          </cell>
          <cell r="D788">
            <v>0</v>
          </cell>
          <cell r="E788" t="str">
            <v>OEI＝</v>
          </cell>
          <cell r="F788">
            <v>0</v>
          </cell>
          <cell r="G788" t="str">
            <v>（四）所有者权益内部结转</v>
          </cell>
          <cell r="H788">
            <v>0</v>
          </cell>
          <cell r="I788" t="str">
            <v>8a70</v>
          </cell>
          <cell r="J788">
            <v>0</v>
          </cell>
        </row>
        <row r="789">
          <cell r="B789" t="str">
            <v>8a71</v>
          </cell>
          <cell r="C789" t="str">
            <v>其他权益工具_资本公积转增资本</v>
          </cell>
          <cell r="D789">
            <v>-1</v>
          </cell>
          <cell r="E789" t="str">
            <v>OEI</v>
          </cell>
          <cell r="F789">
            <v>0</v>
          </cell>
          <cell r="G789" t="str">
            <v>资本公积转增资本（或股本）</v>
          </cell>
          <cell r="H789">
            <v>0</v>
          </cell>
          <cell r="I789" t="str">
            <v>8a71</v>
          </cell>
          <cell r="J789">
            <v>0</v>
          </cell>
        </row>
        <row r="790">
          <cell r="B790" t="str">
            <v>8a72</v>
          </cell>
          <cell r="C790" t="str">
            <v>其他权益工具_盈余公积转增资本</v>
          </cell>
          <cell r="D790">
            <v>-1</v>
          </cell>
          <cell r="E790" t="str">
            <v>OEI</v>
          </cell>
          <cell r="F790">
            <v>0</v>
          </cell>
          <cell r="G790" t="str">
            <v>盈余公积转增资本（或股本）</v>
          </cell>
          <cell r="H790">
            <v>0</v>
          </cell>
          <cell r="I790" t="str">
            <v>8a72</v>
          </cell>
          <cell r="J790">
            <v>0</v>
          </cell>
        </row>
        <row r="791">
          <cell r="B791" t="str">
            <v>8a73</v>
          </cell>
          <cell r="C791" t="str">
            <v>其他权益工具_盈余公积弥补亏损</v>
          </cell>
          <cell r="D791">
            <v>-1</v>
          </cell>
          <cell r="E791" t="str">
            <v>OEI</v>
          </cell>
          <cell r="F791">
            <v>0</v>
          </cell>
          <cell r="G791" t="str">
            <v>盈余公积弥补亏损</v>
          </cell>
          <cell r="H791">
            <v>0</v>
          </cell>
          <cell r="I791" t="str">
            <v>8a73</v>
          </cell>
          <cell r="J791">
            <v>0</v>
          </cell>
        </row>
        <row r="792">
          <cell r="B792" t="str">
            <v>8a75</v>
          </cell>
          <cell r="C792" t="str">
            <v>其他权益工具_结转重新计量设定受益计划净负债或净资产所产生的变动</v>
          </cell>
          <cell r="D792">
            <v>-1</v>
          </cell>
          <cell r="E792" t="str">
            <v>OEI</v>
          </cell>
          <cell r="F792">
            <v>0</v>
          </cell>
          <cell r="G792" t="str">
            <v>结转重新计量设定受益计划净负债或净资产所产生的变动</v>
          </cell>
          <cell r="H792">
            <v>0</v>
          </cell>
          <cell r="I792" t="str">
            <v>8a75</v>
          </cell>
          <cell r="J792">
            <v>0</v>
          </cell>
        </row>
        <row r="793">
          <cell r="B793" t="str">
            <v>8a76</v>
          </cell>
          <cell r="C793" t="str">
            <v>其他权益工具_所有者权益其他内部结转</v>
          </cell>
          <cell r="D793">
            <v>-1</v>
          </cell>
          <cell r="E793" t="str">
            <v>OEI</v>
          </cell>
          <cell r="F793">
            <v>0</v>
          </cell>
          <cell r="G793" t="str">
            <v>其他</v>
          </cell>
          <cell r="H793">
            <v>0</v>
          </cell>
          <cell r="I793" t="str">
            <v>8a76</v>
          </cell>
          <cell r="J793">
            <v>0</v>
          </cell>
        </row>
        <row r="794">
          <cell r="B794" t="str">
            <v>8a80</v>
          </cell>
          <cell r="C794" t="str">
            <v>其他权益工具_专项储备影响权益</v>
          </cell>
          <cell r="D794">
            <v>0</v>
          </cell>
          <cell r="E794" t="str">
            <v>OEI＝</v>
          </cell>
          <cell r="F794">
            <v>0</v>
          </cell>
          <cell r="G794" t="str">
            <v>（五）专项储备</v>
          </cell>
          <cell r="H794">
            <v>0</v>
          </cell>
          <cell r="I794" t="str">
            <v>8a80</v>
          </cell>
          <cell r="J794">
            <v>0</v>
          </cell>
        </row>
        <row r="795">
          <cell r="B795" t="str">
            <v>8a81</v>
          </cell>
          <cell r="C795" t="str">
            <v>其他权益工具_专项储备本期提取</v>
          </cell>
          <cell r="D795">
            <v>-1</v>
          </cell>
          <cell r="E795" t="str">
            <v>OEI</v>
          </cell>
          <cell r="F795">
            <v>0</v>
          </cell>
          <cell r="G795" t="str">
            <v>本期提取</v>
          </cell>
          <cell r="H795">
            <v>0</v>
          </cell>
          <cell r="I795" t="str">
            <v>8a81</v>
          </cell>
          <cell r="J795">
            <v>0</v>
          </cell>
        </row>
        <row r="796">
          <cell r="B796" t="str">
            <v>8a82</v>
          </cell>
          <cell r="C796" t="str">
            <v>其他权益工具_专项储备本期使用</v>
          </cell>
          <cell r="D796">
            <v>-1</v>
          </cell>
          <cell r="E796" t="str">
            <v>OEI</v>
          </cell>
          <cell r="F796">
            <v>0</v>
          </cell>
          <cell r="G796" t="str">
            <v>本期使用</v>
          </cell>
          <cell r="H796">
            <v>0</v>
          </cell>
          <cell r="I796" t="str">
            <v>8a82</v>
          </cell>
          <cell r="J796">
            <v>0</v>
          </cell>
        </row>
        <row r="797">
          <cell r="B797" t="str">
            <v>8a96</v>
          </cell>
          <cell r="C797" t="str">
            <v>其他权益工具_本期其他增减变动</v>
          </cell>
          <cell r="D797">
            <v>-1</v>
          </cell>
          <cell r="E797" t="str">
            <v>OEI</v>
          </cell>
          <cell r="F797">
            <v>0</v>
          </cell>
          <cell r="G797" t="str">
            <v>（七）其他</v>
          </cell>
          <cell r="H797">
            <v>0</v>
          </cell>
          <cell r="I797" t="str">
            <v>8a96</v>
          </cell>
          <cell r="J797">
            <v>0</v>
          </cell>
        </row>
        <row r="798">
          <cell r="B798" t="str">
            <v>8a99</v>
          </cell>
          <cell r="C798" t="str">
            <v>其他权益工具_本期期末余额</v>
          </cell>
          <cell r="D798">
            <v>0</v>
          </cell>
          <cell r="E798" t="str">
            <v>OEI＝</v>
          </cell>
          <cell r="F798">
            <v>0</v>
          </cell>
          <cell r="G798" t="str">
            <v>四、本期期末余额</v>
          </cell>
          <cell r="H798">
            <v>0</v>
          </cell>
          <cell r="I798" t="str">
            <v>8a99</v>
          </cell>
          <cell r="J798">
            <v>0</v>
          </cell>
        </row>
        <row r="799">
          <cell r="B799">
            <v>7400</v>
          </cell>
          <cell r="C799" t="str">
            <v>现金流量调整</v>
          </cell>
          <cell r="D799">
            <v>1</v>
          </cell>
          <cell r="E799">
            <v>0</v>
          </cell>
          <cell r="F799">
            <v>0</v>
          </cell>
          <cell r="G799" t="str">
            <v>现金流量调整</v>
          </cell>
          <cell r="H799">
            <v>0</v>
          </cell>
          <cell r="I799">
            <v>7400</v>
          </cell>
          <cell r="J799">
            <v>0</v>
          </cell>
        </row>
        <row r="800">
          <cell r="B800">
            <v>9325</v>
          </cell>
          <cell r="C800" t="str">
            <v>金融工具及风险管理</v>
          </cell>
          <cell r="D800">
            <v>0</v>
          </cell>
          <cell r="E800">
            <v>0</v>
          </cell>
          <cell r="F800">
            <v>0</v>
          </cell>
          <cell r="G800">
            <v>0</v>
          </cell>
          <cell r="H800">
            <v>0</v>
          </cell>
          <cell r="I800">
            <v>9325</v>
          </cell>
          <cell r="J800">
            <v>0</v>
          </cell>
        </row>
        <row r="801">
          <cell r="B801">
            <v>9690</v>
          </cell>
          <cell r="C801" t="str">
            <v>补充资料</v>
          </cell>
          <cell r="D801">
            <v>0</v>
          </cell>
          <cell r="E801">
            <v>0</v>
          </cell>
          <cell r="F801">
            <v>0</v>
          </cell>
          <cell r="G801">
            <v>0</v>
          </cell>
          <cell r="H801">
            <v>0</v>
          </cell>
          <cell r="I801">
            <v>9690</v>
          </cell>
          <cell r="J801">
            <v>0</v>
          </cell>
        </row>
        <row r="802">
          <cell r="B802">
            <v>1521.1523</v>
          </cell>
          <cell r="C802" t="str">
            <v>投资性房地产累计折旧</v>
          </cell>
          <cell r="D802">
            <v>-1</v>
          </cell>
          <cell r="I802">
            <v>1521.1523</v>
          </cell>
          <cell r="J802" t="str">
            <v>J</v>
          </cell>
        </row>
      </sheetData>
      <sheetData sheetId="1" refreshError="1"/>
      <sheetData sheetId="2"/>
      <sheetData sheetId="3">
        <row r="5">
          <cell r="F5">
            <v>42369</v>
          </cell>
        </row>
        <row r="6">
          <cell r="F6">
            <v>42004</v>
          </cell>
        </row>
        <row r="7">
          <cell r="F7" t="str">
            <v xml:space="preserve">2015年度 </v>
          </cell>
        </row>
        <row r="8">
          <cell r="F8" t="str">
            <v xml:space="preserve">2014年度 </v>
          </cell>
        </row>
      </sheetData>
      <sheetData sheetId="4" refreshError="1"/>
      <sheetData sheetId="5" refreshError="1"/>
      <sheetData sheetId="6">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E9">
            <v>0</v>
          </cell>
          <cell r="F9">
            <v>0</v>
          </cell>
          <cell r="G9">
            <v>0</v>
          </cell>
          <cell r="H9">
            <v>2000</v>
          </cell>
          <cell r="I9" t="str">
            <v>流动负债：</v>
          </cell>
          <cell r="J9">
            <v>0</v>
          </cell>
          <cell r="K9">
            <v>0</v>
          </cell>
          <cell r="L9">
            <v>0</v>
          </cell>
        </row>
        <row r="10">
          <cell r="C10">
            <v>1015</v>
          </cell>
          <cell r="D10" t="str">
            <v>货币资金</v>
          </cell>
          <cell r="E10">
            <v>0</v>
          </cell>
          <cell r="F10">
            <v>1716020.45</v>
          </cell>
          <cell r="G10">
            <v>1652930.79</v>
          </cell>
          <cell r="H10">
            <v>2001</v>
          </cell>
          <cell r="I10" t="str">
            <v>短期借款</v>
          </cell>
          <cell r="J10">
            <v>0</v>
          </cell>
          <cell r="K10">
            <v>5009000</v>
          </cell>
          <cell r="L10">
            <v>0</v>
          </cell>
        </row>
        <row r="11">
          <cell r="C11">
            <v>1021</v>
          </cell>
          <cell r="D11" t="str">
            <v>结算备付金</v>
          </cell>
          <cell r="E11">
            <v>0</v>
          </cell>
          <cell r="F11">
            <v>0</v>
          </cell>
          <cell r="G11">
            <v>0</v>
          </cell>
          <cell r="H11">
            <v>2004</v>
          </cell>
          <cell r="I11" t="str">
            <v>向中央银行借款</v>
          </cell>
          <cell r="J11">
            <v>0</v>
          </cell>
          <cell r="K11">
            <v>0</v>
          </cell>
          <cell r="L11">
            <v>0</v>
          </cell>
        </row>
        <row r="12">
          <cell r="C12">
            <v>1302</v>
          </cell>
          <cell r="D12" t="str">
            <v>拆出资金</v>
          </cell>
          <cell r="E12">
            <v>0</v>
          </cell>
          <cell r="F12">
            <v>0</v>
          </cell>
          <cell r="G12">
            <v>0</v>
          </cell>
          <cell r="H12">
            <v>2010</v>
          </cell>
          <cell r="I12" t="str">
            <v>吸收存款及同业存放</v>
          </cell>
          <cell r="J12">
            <v>0</v>
          </cell>
          <cell r="K12">
            <v>0</v>
          </cell>
          <cell r="L12">
            <v>0</v>
          </cell>
        </row>
        <row r="13">
          <cell r="C13">
            <v>0</v>
          </cell>
          <cell r="D13">
            <v>0</v>
          </cell>
          <cell r="E13">
            <v>0</v>
          </cell>
          <cell r="F13">
            <v>0</v>
          </cell>
          <cell r="G13">
            <v>0</v>
          </cell>
          <cell r="H13">
            <v>2003</v>
          </cell>
          <cell r="I13" t="str">
            <v>拆入资金</v>
          </cell>
          <cell r="J13">
            <v>0</v>
          </cell>
          <cell r="K13">
            <v>0</v>
          </cell>
          <cell r="L13">
            <v>0</v>
          </cell>
        </row>
        <row r="14">
          <cell r="C14">
            <v>1101</v>
          </cell>
          <cell r="D14" t="str">
            <v>以公允价值计量且其变动计入当期损益的金融资产</v>
          </cell>
          <cell r="E14">
            <v>0</v>
          </cell>
          <cell r="F14">
            <v>0</v>
          </cell>
          <cell r="G14">
            <v>0</v>
          </cell>
          <cell r="H14">
            <v>2101</v>
          </cell>
          <cell r="I14" t="str">
            <v>以公允价值计量且其变动计入当期损益的金融负债</v>
          </cell>
          <cell r="J14">
            <v>0</v>
          </cell>
          <cell r="K14">
            <v>0</v>
          </cell>
          <cell r="L14">
            <v>0</v>
          </cell>
        </row>
        <row r="15">
          <cell r="C15">
            <v>1115</v>
          </cell>
          <cell r="D15" t="str">
            <v>衍生金融资产</v>
          </cell>
          <cell r="E15">
            <v>0</v>
          </cell>
          <cell r="F15">
            <v>0</v>
          </cell>
          <cell r="G15">
            <v>0</v>
          </cell>
          <cell r="H15">
            <v>2115</v>
          </cell>
          <cell r="I15" t="str">
            <v>衍生金融负债</v>
          </cell>
          <cell r="J15">
            <v>0</v>
          </cell>
          <cell r="K15">
            <v>0</v>
          </cell>
          <cell r="L15">
            <v>0</v>
          </cell>
        </row>
        <row r="16">
          <cell r="C16">
            <v>1121</v>
          </cell>
          <cell r="D16" t="str">
            <v>应收票据</v>
          </cell>
          <cell r="E16">
            <v>0</v>
          </cell>
          <cell r="F16">
            <v>0</v>
          </cell>
          <cell r="G16">
            <v>0</v>
          </cell>
          <cell r="H16">
            <v>2201</v>
          </cell>
          <cell r="I16" t="str">
            <v>应付票据</v>
          </cell>
          <cell r="J16">
            <v>0</v>
          </cell>
          <cell r="K16">
            <v>0</v>
          </cell>
          <cell r="L16">
            <v>0</v>
          </cell>
        </row>
        <row r="17">
          <cell r="C17">
            <v>1122</v>
          </cell>
          <cell r="D17" t="str">
            <v>应收账款</v>
          </cell>
          <cell r="E17">
            <v>0</v>
          </cell>
          <cell r="F17">
            <v>0</v>
          </cell>
          <cell r="G17">
            <v>106129.25</v>
          </cell>
          <cell r="H17">
            <v>2202</v>
          </cell>
          <cell r="I17" t="str">
            <v>应付账款</v>
          </cell>
          <cell r="J17">
            <v>0</v>
          </cell>
          <cell r="K17">
            <v>97596</v>
          </cell>
          <cell r="L17">
            <v>30596</v>
          </cell>
        </row>
        <row r="18">
          <cell r="C18">
            <v>1125</v>
          </cell>
          <cell r="D18" t="str">
            <v>预付款项</v>
          </cell>
          <cell r="E18">
            <v>0</v>
          </cell>
          <cell r="F18">
            <v>569860</v>
          </cell>
          <cell r="G18">
            <v>0</v>
          </cell>
          <cell r="H18">
            <v>2205</v>
          </cell>
          <cell r="I18" t="str">
            <v>预收款项</v>
          </cell>
          <cell r="J18">
            <v>0</v>
          </cell>
          <cell r="K18">
            <v>899140</v>
          </cell>
          <cell r="L18">
            <v>0</v>
          </cell>
        </row>
        <row r="19">
          <cell r="C19">
            <v>1127</v>
          </cell>
          <cell r="D19" t="str">
            <v>应收保费</v>
          </cell>
          <cell r="E19">
            <v>0</v>
          </cell>
          <cell r="F19">
            <v>0</v>
          </cell>
          <cell r="G19">
            <v>0</v>
          </cell>
          <cell r="H19">
            <v>2111</v>
          </cell>
          <cell r="I19" t="str">
            <v>卖出回购金融资产款</v>
          </cell>
          <cell r="J19">
            <v>0</v>
          </cell>
          <cell r="K19">
            <v>0</v>
          </cell>
          <cell r="L19">
            <v>0</v>
          </cell>
        </row>
        <row r="20">
          <cell r="C20">
            <v>1211</v>
          </cell>
          <cell r="D20" t="str">
            <v>应收分保账款</v>
          </cell>
          <cell r="E20">
            <v>0</v>
          </cell>
          <cell r="F20">
            <v>0</v>
          </cell>
          <cell r="G20">
            <v>0</v>
          </cell>
          <cell r="H20">
            <v>2240</v>
          </cell>
          <cell r="I20" t="str">
            <v>应付手续费及佣金</v>
          </cell>
          <cell r="J20">
            <v>0</v>
          </cell>
          <cell r="K20">
            <v>0</v>
          </cell>
          <cell r="L20">
            <v>0</v>
          </cell>
        </row>
        <row r="21">
          <cell r="C21">
            <v>1212</v>
          </cell>
          <cell r="D21" t="str">
            <v>应收分保合同准备金</v>
          </cell>
          <cell r="E21">
            <v>0</v>
          </cell>
          <cell r="F21">
            <v>0</v>
          </cell>
          <cell r="G21">
            <v>0</v>
          </cell>
          <cell r="H21">
            <v>0</v>
          </cell>
          <cell r="I21">
            <v>0</v>
          </cell>
          <cell r="J21">
            <v>0</v>
          </cell>
          <cell r="K21">
            <v>0</v>
          </cell>
          <cell r="L21">
            <v>0</v>
          </cell>
        </row>
        <row r="22">
          <cell r="C22">
            <v>1132</v>
          </cell>
          <cell r="D22" t="str">
            <v>应收利息</v>
          </cell>
          <cell r="E22">
            <v>0</v>
          </cell>
          <cell r="F22">
            <v>0</v>
          </cell>
          <cell r="G22">
            <v>0</v>
          </cell>
          <cell r="H22">
            <v>2211</v>
          </cell>
          <cell r="I22" t="str">
            <v>应付职工薪酬</v>
          </cell>
          <cell r="J22">
            <v>0</v>
          </cell>
          <cell r="K22">
            <v>0</v>
          </cell>
          <cell r="L22">
            <v>218550.55</v>
          </cell>
        </row>
        <row r="23">
          <cell r="C23">
            <v>1131</v>
          </cell>
          <cell r="D23" t="str">
            <v>应收股利</v>
          </cell>
          <cell r="E23">
            <v>0</v>
          </cell>
          <cell r="F23">
            <v>0</v>
          </cell>
          <cell r="G23">
            <v>0</v>
          </cell>
          <cell r="H23">
            <v>2221</v>
          </cell>
          <cell r="I23" t="str">
            <v>应交税费</v>
          </cell>
          <cell r="J23">
            <v>0</v>
          </cell>
          <cell r="K23">
            <v>10503.72</v>
          </cell>
          <cell r="L23">
            <v>0</v>
          </cell>
        </row>
        <row r="24">
          <cell r="C24">
            <v>1221</v>
          </cell>
          <cell r="D24" t="str">
            <v>其他应收款</v>
          </cell>
          <cell r="E24">
            <v>0</v>
          </cell>
          <cell r="F24">
            <v>29666685</v>
          </cell>
          <cell r="G24">
            <v>20896435.120000001</v>
          </cell>
          <cell r="H24">
            <v>2231</v>
          </cell>
          <cell r="I24" t="str">
            <v>应付利息</v>
          </cell>
          <cell r="J24">
            <v>0</v>
          </cell>
          <cell r="K24">
            <v>0</v>
          </cell>
          <cell r="L24">
            <v>0</v>
          </cell>
        </row>
        <row r="25">
          <cell r="C25">
            <v>1111</v>
          </cell>
          <cell r="D25" t="str">
            <v>买入返售金融资产</v>
          </cell>
          <cell r="E25">
            <v>0</v>
          </cell>
          <cell r="F25">
            <v>0</v>
          </cell>
          <cell r="G25">
            <v>0</v>
          </cell>
          <cell r="H25">
            <v>0</v>
          </cell>
          <cell r="I25">
            <v>0</v>
          </cell>
          <cell r="J25">
            <v>0</v>
          </cell>
          <cell r="K25">
            <v>0</v>
          </cell>
          <cell r="L25">
            <v>0</v>
          </cell>
        </row>
        <row r="26">
          <cell r="C26">
            <v>1400</v>
          </cell>
          <cell r="D26" t="str">
            <v>存货</v>
          </cell>
          <cell r="E26">
            <v>0</v>
          </cell>
          <cell r="F26">
            <v>0</v>
          </cell>
          <cell r="G26">
            <v>0</v>
          </cell>
          <cell r="H26">
            <v>2232</v>
          </cell>
          <cell r="I26" t="str">
            <v>应付股利</v>
          </cell>
          <cell r="J26">
            <v>0</v>
          </cell>
          <cell r="K26">
            <v>0</v>
          </cell>
          <cell r="L26">
            <v>0</v>
          </cell>
        </row>
        <row r="27">
          <cell r="C27">
            <v>0</v>
          </cell>
          <cell r="D27">
            <v>0</v>
          </cell>
          <cell r="E27">
            <v>0</v>
          </cell>
          <cell r="F27">
            <v>0</v>
          </cell>
          <cell r="G27">
            <v>0</v>
          </cell>
          <cell r="H27">
            <v>2241</v>
          </cell>
          <cell r="I27" t="str">
            <v>其他应付款</v>
          </cell>
          <cell r="J27">
            <v>0</v>
          </cell>
          <cell r="K27">
            <v>20673071.260000002</v>
          </cell>
          <cell r="L27">
            <v>4773811</v>
          </cell>
        </row>
        <row r="28">
          <cell r="C28">
            <v>0</v>
          </cell>
          <cell r="D28">
            <v>0</v>
          </cell>
          <cell r="E28">
            <v>0</v>
          </cell>
          <cell r="F28">
            <v>0</v>
          </cell>
          <cell r="G28">
            <v>0</v>
          </cell>
          <cell r="H28">
            <v>2261</v>
          </cell>
          <cell r="I28" t="str">
            <v>应付分保账款</v>
          </cell>
          <cell r="J28">
            <v>0</v>
          </cell>
          <cell r="K28">
            <v>0</v>
          </cell>
          <cell r="L28">
            <v>0</v>
          </cell>
        </row>
        <row r="29">
          <cell r="C29">
            <v>0</v>
          </cell>
          <cell r="D29">
            <v>0</v>
          </cell>
          <cell r="E29">
            <v>0</v>
          </cell>
          <cell r="F29">
            <v>0</v>
          </cell>
          <cell r="G29">
            <v>0</v>
          </cell>
          <cell r="H29">
            <v>2310</v>
          </cell>
          <cell r="I29" t="str">
            <v>保险合同准备金</v>
          </cell>
          <cell r="J29">
            <v>0</v>
          </cell>
          <cell r="K29">
            <v>0</v>
          </cell>
          <cell r="L29">
            <v>0</v>
          </cell>
        </row>
        <row r="30">
          <cell r="C30">
            <v>0</v>
          </cell>
          <cell r="D30">
            <v>0</v>
          </cell>
          <cell r="E30">
            <v>0</v>
          </cell>
          <cell r="F30">
            <v>0</v>
          </cell>
          <cell r="G30">
            <v>0</v>
          </cell>
          <cell r="H30">
            <v>2311</v>
          </cell>
          <cell r="I30" t="str">
            <v>代理买卖证券款</v>
          </cell>
          <cell r="J30">
            <v>0</v>
          </cell>
          <cell r="K30">
            <v>0</v>
          </cell>
          <cell r="L30">
            <v>0</v>
          </cell>
        </row>
        <row r="31">
          <cell r="C31">
            <v>0</v>
          </cell>
          <cell r="D31">
            <v>0</v>
          </cell>
          <cell r="E31">
            <v>0</v>
          </cell>
          <cell r="F31">
            <v>0</v>
          </cell>
          <cell r="G31">
            <v>0</v>
          </cell>
          <cell r="H31">
            <v>2312</v>
          </cell>
          <cell r="I31" t="str">
            <v>代理承销证券款</v>
          </cell>
          <cell r="J31">
            <v>0</v>
          </cell>
          <cell r="K31">
            <v>0</v>
          </cell>
          <cell r="L31">
            <v>0</v>
          </cell>
        </row>
        <row r="32">
          <cell r="C32">
            <v>1315</v>
          </cell>
          <cell r="D32" t="str">
            <v>划分为持有待售的资产</v>
          </cell>
          <cell r="E32">
            <v>0</v>
          </cell>
          <cell r="F32">
            <v>0</v>
          </cell>
          <cell r="G32">
            <v>0</v>
          </cell>
          <cell r="H32">
            <v>2315</v>
          </cell>
          <cell r="I32" t="str">
            <v>划分为持有待售的负债</v>
          </cell>
          <cell r="J32">
            <v>0</v>
          </cell>
          <cell r="K32">
            <v>0</v>
          </cell>
          <cell r="L32">
            <v>0</v>
          </cell>
        </row>
        <row r="33">
          <cell r="C33">
            <v>1495</v>
          </cell>
          <cell r="D33" t="str">
            <v>一年内到期的非流动资产</v>
          </cell>
          <cell r="E33">
            <v>0</v>
          </cell>
          <cell r="F33">
            <v>0</v>
          </cell>
          <cell r="G33">
            <v>0</v>
          </cell>
          <cell r="H33">
            <v>2395</v>
          </cell>
          <cell r="I33" t="str">
            <v>一年内到期的非流动负债</v>
          </cell>
          <cell r="J33">
            <v>0</v>
          </cell>
          <cell r="K33">
            <v>0</v>
          </cell>
          <cell r="L33">
            <v>0</v>
          </cell>
        </row>
        <row r="34">
          <cell r="C34">
            <v>1496</v>
          </cell>
          <cell r="D34" t="str">
            <v>其他流动资产</v>
          </cell>
          <cell r="E34">
            <v>0</v>
          </cell>
          <cell r="F34">
            <v>0</v>
          </cell>
          <cell r="G34">
            <v>0</v>
          </cell>
          <cell r="H34">
            <v>2396</v>
          </cell>
          <cell r="I34" t="str">
            <v>其他流动负债</v>
          </cell>
          <cell r="J34">
            <v>0</v>
          </cell>
          <cell r="K34">
            <v>0</v>
          </cell>
          <cell r="L34">
            <v>0</v>
          </cell>
        </row>
        <row r="35">
          <cell r="C35">
            <v>1498</v>
          </cell>
          <cell r="D35" t="str">
            <v>流动资产合计</v>
          </cell>
          <cell r="E35">
            <v>0</v>
          </cell>
          <cell r="F35">
            <v>31952565.449999999</v>
          </cell>
          <cell r="G35">
            <v>22655495.16</v>
          </cell>
          <cell r="H35">
            <v>2498</v>
          </cell>
          <cell r="I35" t="str">
            <v>流动负债合计</v>
          </cell>
          <cell r="J35">
            <v>0</v>
          </cell>
          <cell r="K35">
            <v>26689310.98</v>
          </cell>
          <cell r="L35">
            <v>5022957.55</v>
          </cell>
        </row>
        <row r="36">
          <cell r="C36">
            <v>1500</v>
          </cell>
          <cell r="D36" t="str">
            <v>非流动资产：</v>
          </cell>
          <cell r="E36">
            <v>0</v>
          </cell>
          <cell r="F36">
            <v>0</v>
          </cell>
          <cell r="G36">
            <v>0</v>
          </cell>
          <cell r="H36">
            <v>2500</v>
          </cell>
          <cell r="I36" t="str">
            <v>非流动负债：</v>
          </cell>
          <cell r="J36">
            <v>0</v>
          </cell>
          <cell r="K36">
            <v>0</v>
          </cell>
          <cell r="L36">
            <v>0</v>
          </cell>
        </row>
        <row r="37">
          <cell r="C37">
            <v>1600</v>
          </cell>
          <cell r="D37" t="str">
            <v>发放委托贷款及垫款</v>
          </cell>
          <cell r="E37">
            <v>0</v>
          </cell>
          <cell r="F37">
            <v>0</v>
          </cell>
          <cell r="G37">
            <v>0</v>
          </cell>
          <cell r="H37">
            <v>0</v>
          </cell>
          <cell r="I37">
            <v>0</v>
          </cell>
          <cell r="J37">
            <v>0</v>
          </cell>
          <cell r="K37">
            <v>0</v>
          </cell>
          <cell r="L37">
            <v>0</v>
          </cell>
        </row>
        <row r="38">
          <cell r="C38">
            <v>1503</v>
          </cell>
          <cell r="D38" t="str">
            <v>可供出售金融资产</v>
          </cell>
          <cell r="E38">
            <v>0</v>
          </cell>
          <cell r="F38">
            <v>0</v>
          </cell>
          <cell r="G38">
            <v>0</v>
          </cell>
          <cell r="H38">
            <v>2501</v>
          </cell>
          <cell r="I38" t="str">
            <v>长期借款</v>
          </cell>
          <cell r="J38">
            <v>0</v>
          </cell>
          <cell r="K38">
            <v>0</v>
          </cell>
          <cell r="L38">
            <v>0</v>
          </cell>
        </row>
        <row r="39">
          <cell r="C39">
            <v>1501</v>
          </cell>
          <cell r="D39" t="str">
            <v>持有至到期投资</v>
          </cell>
          <cell r="E39">
            <v>0</v>
          </cell>
          <cell r="F39">
            <v>0</v>
          </cell>
          <cell r="G39">
            <v>0</v>
          </cell>
          <cell r="H39">
            <v>0</v>
          </cell>
          <cell r="I39">
            <v>0</v>
          </cell>
          <cell r="J39">
            <v>0</v>
          </cell>
          <cell r="K39">
            <v>0</v>
          </cell>
          <cell r="L39">
            <v>0</v>
          </cell>
        </row>
        <row r="40">
          <cell r="C40">
            <v>1531</v>
          </cell>
          <cell r="D40" t="str">
            <v>长期应收款</v>
          </cell>
          <cell r="E40">
            <v>0</v>
          </cell>
          <cell r="F40">
            <v>0</v>
          </cell>
          <cell r="G40">
            <v>0</v>
          </cell>
          <cell r="H40">
            <v>2502</v>
          </cell>
          <cell r="I40" t="str">
            <v>应付债券</v>
          </cell>
          <cell r="J40">
            <v>0</v>
          </cell>
          <cell r="K40">
            <v>0</v>
          </cell>
          <cell r="L40">
            <v>0</v>
          </cell>
        </row>
        <row r="41">
          <cell r="C41">
            <v>1515</v>
          </cell>
          <cell r="D41" t="str">
            <v>设定受益计划净资产</v>
          </cell>
          <cell r="E41">
            <v>0</v>
          </cell>
          <cell r="F41">
            <v>0</v>
          </cell>
          <cell r="G41">
            <v>0</v>
          </cell>
          <cell r="H41">
            <v>2502.11</v>
          </cell>
          <cell r="I41" t="str">
            <v>其中：优先股</v>
          </cell>
          <cell r="J41">
            <v>0</v>
          </cell>
          <cell r="K41">
            <v>0</v>
          </cell>
          <cell r="L41">
            <v>0</v>
          </cell>
        </row>
        <row r="42">
          <cell r="C42">
            <v>0</v>
          </cell>
          <cell r="D42">
            <v>0</v>
          </cell>
          <cell r="E42">
            <v>0</v>
          </cell>
          <cell r="F42">
            <v>0</v>
          </cell>
          <cell r="G42">
            <v>0</v>
          </cell>
          <cell r="H42">
            <v>2502.31</v>
          </cell>
          <cell r="I42" t="str">
            <v xml:space="preserve">      永续债</v>
          </cell>
          <cell r="J42">
            <v>0</v>
          </cell>
          <cell r="K42">
            <v>0</v>
          </cell>
          <cell r="L42">
            <v>0</v>
          </cell>
        </row>
        <row r="43">
          <cell r="C43">
            <v>1511</v>
          </cell>
          <cell r="D43" t="str">
            <v>长期股权投资</v>
          </cell>
          <cell r="E43">
            <v>0</v>
          </cell>
          <cell r="F43">
            <v>2600000</v>
          </cell>
          <cell r="G43">
            <v>0</v>
          </cell>
          <cell r="H43">
            <v>2701</v>
          </cell>
          <cell r="I43" t="str">
            <v>长期应付款</v>
          </cell>
          <cell r="J43">
            <v>0</v>
          </cell>
          <cell r="K43">
            <v>0</v>
          </cell>
          <cell r="L43">
            <v>0</v>
          </cell>
        </row>
        <row r="44">
          <cell r="C44">
            <v>1521</v>
          </cell>
          <cell r="D44" t="str">
            <v>投资性房地产</v>
          </cell>
          <cell r="E44">
            <v>0</v>
          </cell>
          <cell r="F44">
            <v>0</v>
          </cell>
          <cell r="G44">
            <v>0</v>
          </cell>
          <cell r="H44">
            <v>2715</v>
          </cell>
          <cell r="I44" t="str">
            <v>长期应付职工薪酬</v>
          </cell>
          <cell r="J44">
            <v>0</v>
          </cell>
          <cell r="K44">
            <v>0</v>
          </cell>
          <cell r="L44">
            <v>0</v>
          </cell>
        </row>
        <row r="45">
          <cell r="C45">
            <v>1601</v>
          </cell>
          <cell r="D45" t="str">
            <v>固定资产</v>
          </cell>
          <cell r="E45">
            <v>0</v>
          </cell>
          <cell r="F45">
            <v>165505.34</v>
          </cell>
          <cell r="G45">
            <v>51934.04</v>
          </cell>
          <cell r="H45">
            <v>2711</v>
          </cell>
          <cell r="I45" t="str">
            <v>专项应付款</v>
          </cell>
          <cell r="J45">
            <v>0</v>
          </cell>
          <cell r="K45">
            <v>0</v>
          </cell>
          <cell r="L45">
            <v>0</v>
          </cell>
        </row>
        <row r="46">
          <cell r="C46">
            <v>1604</v>
          </cell>
          <cell r="D46" t="str">
            <v>在建工程</v>
          </cell>
          <cell r="E46">
            <v>0</v>
          </cell>
          <cell r="F46">
            <v>0</v>
          </cell>
          <cell r="G46">
            <v>0</v>
          </cell>
          <cell r="H46">
            <v>2801</v>
          </cell>
          <cell r="I46" t="str">
            <v>预计负债</v>
          </cell>
          <cell r="J46">
            <v>0</v>
          </cell>
          <cell r="K46">
            <v>0</v>
          </cell>
          <cell r="L46">
            <v>0</v>
          </cell>
        </row>
        <row r="47">
          <cell r="C47">
            <v>1605</v>
          </cell>
          <cell r="D47" t="str">
            <v>工程物资</v>
          </cell>
          <cell r="E47">
            <v>0</v>
          </cell>
          <cell r="F47">
            <v>0</v>
          </cell>
          <cell r="G47">
            <v>0</v>
          </cell>
          <cell r="H47">
            <v>2401</v>
          </cell>
          <cell r="I47" t="str">
            <v>递延收益</v>
          </cell>
          <cell r="J47">
            <v>0</v>
          </cell>
          <cell r="K47">
            <v>0</v>
          </cell>
          <cell r="L47">
            <v>0</v>
          </cell>
        </row>
        <row r="48">
          <cell r="C48">
            <v>1606</v>
          </cell>
          <cell r="D48" t="str">
            <v>固定资产清理</v>
          </cell>
          <cell r="E48">
            <v>0</v>
          </cell>
          <cell r="F48">
            <v>0</v>
          </cell>
          <cell r="G48">
            <v>0</v>
          </cell>
          <cell r="H48">
            <v>2901</v>
          </cell>
          <cell r="I48" t="str">
            <v>递延所得税负债</v>
          </cell>
          <cell r="J48">
            <v>0</v>
          </cell>
          <cell r="K48">
            <v>0</v>
          </cell>
          <cell r="L48">
            <v>0</v>
          </cell>
        </row>
        <row r="49">
          <cell r="C49">
            <v>1621</v>
          </cell>
          <cell r="D49" t="str">
            <v>生产性生物资产</v>
          </cell>
          <cell r="E49">
            <v>0</v>
          </cell>
          <cell r="F49">
            <v>0</v>
          </cell>
          <cell r="G49">
            <v>0</v>
          </cell>
          <cell r="H49">
            <v>2996</v>
          </cell>
          <cell r="I49" t="str">
            <v>其他非流动负债</v>
          </cell>
          <cell r="J49">
            <v>0</v>
          </cell>
          <cell r="K49">
            <v>0</v>
          </cell>
          <cell r="L49">
            <v>0</v>
          </cell>
        </row>
        <row r="50">
          <cell r="C50">
            <v>1631</v>
          </cell>
          <cell r="D50" t="str">
            <v>油气资产</v>
          </cell>
          <cell r="E50">
            <v>0</v>
          </cell>
          <cell r="F50">
            <v>0</v>
          </cell>
          <cell r="G50">
            <v>0</v>
          </cell>
          <cell r="H50">
            <v>2998</v>
          </cell>
          <cell r="I50" t="str">
            <v>非流动负债合计</v>
          </cell>
          <cell r="J50">
            <v>0</v>
          </cell>
          <cell r="K50">
            <v>0</v>
          </cell>
          <cell r="L50">
            <v>0</v>
          </cell>
        </row>
        <row r="51">
          <cell r="C51">
            <v>1701</v>
          </cell>
          <cell r="D51" t="str">
            <v>无形资产</v>
          </cell>
          <cell r="E51">
            <v>0</v>
          </cell>
          <cell r="F51">
            <v>1905500</v>
          </cell>
          <cell r="G51">
            <v>0</v>
          </cell>
          <cell r="H51">
            <v>2999</v>
          </cell>
          <cell r="I51" t="str">
            <v>负债合计</v>
          </cell>
          <cell r="J51">
            <v>0</v>
          </cell>
          <cell r="K51">
            <v>26689310.98</v>
          </cell>
          <cell r="L51">
            <v>5022957.55</v>
          </cell>
        </row>
        <row r="52">
          <cell r="C52">
            <v>1700</v>
          </cell>
          <cell r="D52" t="str">
            <v>开发支出</v>
          </cell>
          <cell r="E52">
            <v>0</v>
          </cell>
          <cell r="F52">
            <v>0</v>
          </cell>
          <cell r="G52">
            <v>0</v>
          </cell>
          <cell r="H52">
            <v>4000</v>
          </cell>
          <cell r="I52" t="str">
            <v>所有者权益(或股东权益)：</v>
          </cell>
          <cell r="J52">
            <v>0</v>
          </cell>
          <cell r="K52">
            <v>0</v>
          </cell>
          <cell r="L52">
            <v>0</v>
          </cell>
        </row>
        <row r="53">
          <cell r="C53">
            <v>1711</v>
          </cell>
          <cell r="D53" t="str">
            <v>商誉</v>
          </cell>
          <cell r="E53">
            <v>0</v>
          </cell>
          <cell r="F53">
            <v>0</v>
          </cell>
          <cell r="G53">
            <v>0</v>
          </cell>
          <cell r="H53">
            <v>4001</v>
          </cell>
          <cell r="I53" t="str">
            <v>实收资本（或股本）</v>
          </cell>
          <cell r="J53">
            <v>0</v>
          </cell>
          <cell r="K53">
            <v>20000000</v>
          </cell>
          <cell r="L53">
            <v>20000000</v>
          </cell>
        </row>
        <row r="54">
          <cell r="C54">
            <v>0</v>
          </cell>
          <cell r="D54">
            <v>0</v>
          </cell>
          <cell r="E54">
            <v>0</v>
          </cell>
          <cell r="F54">
            <v>0</v>
          </cell>
          <cell r="G54">
            <v>0</v>
          </cell>
          <cell r="H54">
            <v>4015</v>
          </cell>
          <cell r="I54" t="str">
            <v>其他权益工具</v>
          </cell>
          <cell r="J54">
            <v>0</v>
          </cell>
          <cell r="K54">
            <v>0</v>
          </cell>
          <cell r="L54">
            <v>0</v>
          </cell>
        </row>
        <row r="55">
          <cell r="C55">
            <v>0</v>
          </cell>
          <cell r="D55">
            <v>0</v>
          </cell>
          <cell r="E55">
            <v>0</v>
          </cell>
          <cell r="F55">
            <v>0</v>
          </cell>
          <cell r="G55">
            <v>0</v>
          </cell>
          <cell r="H55">
            <v>4015.11</v>
          </cell>
          <cell r="I55" t="str">
            <v>其中：优先股</v>
          </cell>
          <cell r="J55">
            <v>0</v>
          </cell>
          <cell r="K55">
            <v>0</v>
          </cell>
          <cell r="L55">
            <v>0</v>
          </cell>
        </row>
        <row r="56">
          <cell r="C56">
            <v>0</v>
          </cell>
          <cell r="D56">
            <v>0</v>
          </cell>
          <cell r="E56">
            <v>0</v>
          </cell>
          <cell r="F56">
            <v>0</v>
          </cell>
          <cell r="G56">
            <v>0</v>
          </cell>
          <cell r="H56">
            <v>4015.31</v>
          </cell>
          <cell r="I56" t="str">
            <v xml:space="preserve">      永续债</v>
          </cell>
          <cell r="J56">
            <v>0</v>
          </cell>
          <cell r="K56">
            <v>0</v>
          </cell>
          <cell r="L56">
            <v>0</v>
          </cell>
        </row>
        <row r="57">
          <cell r="C57">
            <v>1801</v>
          </cell>
          <cell r="D57" t="str">
            <v>长期待摊费用</v>
          </cell>
          <cell r="E57">
            <v>0</v>
          </cell>
          <cell r="F57">
            <v>0</v>
          </cell>
          <cell r="G57">
            <v>0</v>
          </cell>
          <cell r="H57">
            <v>4002</v>
          </cell>
          <cell r="I57" t="str">
            <v>资本公积</v>
          </cell>
          <cell r="J57">
            <v>0</v>
          </cell>
          <cell r="K57">
            <v>0</v>
          </cell>
          <cell r="L57">
            <v>0</v>
          </cell>
        </row>
        <row r="58">
          <cell r="C58">
            <v>1811</v>
          </cell>
          <cell r="D58" t="str">
            <v>递延所得税资产</v>
          </cell>
          <cell r="E58">
            <v>0</v>
          </cell>
          <cell r="F58">
            <v>0</v>
          </cell>
          <cell r="G58">
            <v>0</v>
          </cell>
          <cell r="H58">
            <v>4201</v>
          </cell>
          <cell r="I58" t="str">
            <v>减：库存股</v>
          </cell>
          <cell r="J58">
            <v>0</v>
          </cell>
          <cell r="K58">
            <v>0</v>
          </cell>
          <cell r="L58">
            <v>0</v>
          </cell>
        </row>
        <row r="59">
          <cell r="C59">
            <v>1996</v>
          </cell>
          <cell r="D59" t="str">
            <v>其他非流动资产</v>
          </cell>
          <cell r="E59">
            <v>0</v>
          </cell>
          <cell r="F59">
            <v>0</v>
          </cell>
          <cell r="G59">
            <v>0</v>
          </cell>
          <cell r="H59">
            <v>4215</v>
          </cell>
          <cell r="I59" t="str">
            <v>其他综合收益</v>
          </cell>
          <cell r="J59">
            <v>0</v>
          </cell>
          <cell r="K59">
            <v>0</v>
          </cell>
          <cell r="L59">
            <v>0</v>
          </cell>
        </row>
        <row r="60">
          <cell r="C60">
            <v>0</v>
          </cell>
          <cell r="D60">
            <v>0</v>
          </cell>
          <cell r="E60">
            <v>0</v>
          </cell>
          <cell r="F60">
            <v>0</v>
          </cell>
          <cell r="G60">
            <v>0</v>
          </cell>
          <cell r="H60">
            <v>4301</v>
          </cell>
          <cell r="I60" t="str">
            <v>专项储备</v>
          </cell>
          <cell r="J60">
            <v>0</v>
          </cell>
          <cell r="K60">
            <v>0</v>
          </cell>
          <cell r="L60">
            <v>0</v>
          </cell>
        </row>
        <row r="61">
          <cell r="C61">
            <v>0</v>
          </cell>
          <cell r="D61">
            <v>0</v>
          </cell>
          <cell r="E61">
            <v>0</v>
          </cell>
          <cell r="F61">
            <v>0</v>
          </cell>
          <cell r="G61">
            <v>0</v>
          </cell>
          <cell r="H61">
            <v>4101</v>
          </cell>
          <cell r="I61" t="str">
            <v>盈余公积</v>
          </cell>
          <cell r="J61">
            <v>0</v>
          </cell>
          <cell r="K61">
            <v>0</v>
          </cell>
          <cell r="L61">
            <v>0</v>
          </cell>
        </row>
        <row r="62">
          <cell r="C62">
            <v>0</v>
          </cell>
          <cell r="D62">
            <v>0</v>
          </cell>
          <cell r="E62">
            <v>0</v>
          </cell>
          <cell r="F62">
            <v>0</v>
          </cell>
          <cell r="G62">
            <v>0</v>
          </cell>
          <cell r="H62">
            <v>4102</v>
          </cell>
          <cell r="I62" t="str">
            <v>一般风险准备</v>
          </cell>
          <cell r="J62">
            <v>0</v>
          </cell>
          <cell r="K62">
            <v>0</v>
          </cell>
          <cell r="L62">
            <v>0</v>
          </cell>
        </row>
        <row r="63">
          <cell r="C63">
            <v>0</v>
          </cell>
          <cell r="D63">
            <v>0</v>
          </cell>
          <cell r="E63">
            <v>0</v>
          </cell>
          <cell r="F63">
            <v>0</v>
          </cell>
          <cell r="G63">
            <v>0</v>
          </cell>
          <cell r="H63">
            <v>4200</v>
          </cell>
          <cell r="I63" t="str">
            <v>未分配利润</v>
          </cell>
          <cell r="J63">
            <v>0</v>
          </cell>
          <cell r="K63">
            <v>-10065740.189999999</v>
          </cell>
          <cell r="L63">
            <v>-2315528.35</v>
          </cell>
        </row>
        <row r="64">
          <cell r="C64">
            <v>0</v>
          </cell>
          <cell r="D64">
            <v>0</v>
          </cell>
          <cell r="E64">
            <v>0</v>
          </cell>
          <cell r="F64">
            <v>0</v>
          </cell>
          <cell r="G64">
            <v>0</v>
          </cell>
          <cell r="H64">
            <v>4298</v>
          </cell>
          <cell r="I64" t="str">
            <v>归属于母公司所有者权益合计</v>
          </cell>
          <cell r="J64">
            <v>0</v>
          </cell>
          <cell r="K64">
            <v>9934259.8100000005</v>
          </cell>
          <cell r="L64">
            <v>17684471.649999999</v>
          </cell>
        </row>
        <row r="65">
          <cell r="C65">
            <v>0</v>
          </cell>
          <cell r="D65">
            <v>0</v>
          </cell>
          <cell r="E65">
            <v>0</v>
          </cell>
          <cell r="F65">
            <v>0</v>
          </cell>
          <cell r="G65">
            <v>0</v>
          </cell>
          <cell r="H65">
            <v>4398</v>
          </cell>
          <cell r="I65" t="str">
            <v>少数股东权益</v>
          </cell>
          <cell r="J65">
            <v>0</v>
          </cell>
          <cell r="K65">
            <v>0</v>
          </cell>
          <cell r="L65">
            <v>0</v>
          </cell>
        </row>
        <row r="66">
          <cell r="C66">
            <v>1998</v>
          </cell>
          <cell r="D66" t="str">
            <v>非流动资产合计</v>
          </cell>
          <cell r="E66">
            <v>0</v>
          </cell>
          <cell r="F66">
            <v>4671005.34</v>
          </cell>
          <cell r="G66">
            <v>51934.04</v>
          </cell>
          <cell r="H66">
            <v>4999</v>
          </cell>
          <cell r="I66" t="str">
            <v>所有者权益合计</v>
          </cell>
          <cell r="J66">
            <v>0</v>
          </cell>
          <cell r="K66">
            <v>9934259.8100000005</v>
          </cell>
          <cell r="L66">
            <v>17684471.649999999</v>
          </cell>
        </row>
        <row r="67">
          <cell r="C67">
            <v>1999</v>
          </cell>
          <cell r="D67" t="str">
            <v>资产总计</v>
          </cell>
          <cell r="E67">
            <v>0</v>
          </cell>
          <cell r="F67">
            <v>36623570.789999999</v>
          </cell>
          <cell r="G67">
            <v>22707429.199999999</v>
          </cell>
          <cell r="H67">
            <v>5000</v>
          </cell>
          <cell r="I67" t="str">
            <v>负债和所有者权益总计</v>
          </cell>
          <cell r="J67">
            <v>0</v>
          </cell>
          <cell r="K67">
            <v>36623570.789999999</v>
          </cell>
          <cell r="L67">
            <v>22707429.199999999</v>
          </cell>
        </row>
        <row r="70">
          <cell r="C70" t="str">
            <v>ItemId3</v>
          </cell>
          <cell r="D70" t="str">
            <v>补充资料：资产减值准备</v>
          </cell>
          <cell r="E70">
            <v>0</v>
          </cell>
          <cell r="F70" t="str">
            <v>期末余额</v>
          </cell>
          <cell r="G70" t="str">
            <v>年初余额</v>
          </cell>
        </row>
        <row r="71">
          <cell r="C71">
            <v>1122.1231</v>
          </cell>
          <cell r="D71" t="str">
            <v>应收账款坏账准备</v>
          </cell>
          <cell r="E71">
            <v>0</v>
          </cell>
          <cell r="F71">
            <v>0</v>
          </cell>
          <cell r="G71">
            <v>0</v>
          </cell>
        </row>
        <row r="72">
          <cell r="C72">
            <v>1125.1231</v>
          </cell>
          <cell r="D72" t="str">
            <v>预付款项坏账准备</v>
          </cell>
          <cell r="E72">
            <v>0</v>
          </cell>
          <cell r="F72">
            <v>0</v>
          </cell>
          <cell r="G72">
            <v>0</v>
          </cell>
        </row>
        <row r="73">
          <cell r="C73">
            <v>1221.1231</v>
          </cell>
          <cell r="D73" t="str">
            <v>其他应收款坏账准备</v>
          </cell>
          <cell r="E73">
            <v>0</v>
          </cell>
          <cell r="F73">
            <v>0</v>
          </cell>
          <cell r="G73">
            <v>0</v>
          </cell>
        </row>
        <row r="74">
          <cell r="C74">
            <v>1400.1470999999999</v>
          </cell>
          <cell r="D74" t="str">
            <v>存货跌价准备</v>
          </cell>
          <cell r="E74">
            <v>0</v>
          </cell>
          <cell r="F74">
            <v>0</v>
          </cell>
          <cell r="G74">
            <v>0</v>
          </cell>
        </row>
        <row r="75">
          <cell r="C75">
            <v>1503.1504</v>
          </cell>
          <cell r="D75" t="str">
            <v>可供出售金融资产减值准备</v>
          </cell>
          <cell r="E75">
            <v>0</v>
          </cell>
          <cell r="F75">
            <v>0</v>
          </cell>
          <cell r="G75">
            <v>0</v>
          </cell>
        </row>
        <row r="76">
          <cell r="C76">
            <v>1501.1502</v>
          </cell>
          <cell r="D76" t="str">
            <v>持有至到期投资减值准备</v>
          </cell>
          <cell r="E76">
            <v>0</v>
          </cell>
          <cell r="F76">
            <v>0</v>
          </cell>
          <cell r="G76">
            <v>0</v>
          </cell>
        </row>
        <row r="77">
          <cell r="C77">
            <v>1511.1512</v>
          </cell>
          <cell r="D77" t="str">
            <v>长期股权投资减值准备</v>
          </cell>
          <cell r="E77">
            <v>0</v>
          </cell>
          <cell r="F77">
            <v>0</v>
          </cell>
          <cell r="G77">
            <v>0</v>
          </cell>
        </row>
        <row r="78">
          <cell r="C78">
            <v>1521.1522</v>
          </cell>
          <cell r="D78" t="str">
            <v>投资性房地产减值准备</v>
          </cell>
          <cell r="E78">
            <v>0</v>
          </cell>
          <cell r="F78">
            <v>0</v>
          </cell>
          <cell r="G78">
            <v>0</v>
          </cell>
        </row>
        <row r="79">
          <cell r="C79">
            <v>1601.1603</v>
          </cell>
          <cell r="D79" t="str">
            <v>固定资产减值准备</v>
          </cell>
          <cell r="E79">
            <v>0</v>
          </cell>
          <cell r="F79">
            <v>0</v>
          </cell>
          <cell r="G79">
            <v>0</v>
          </cell>
        </row>
        <row r="80">
          <cell r="C80">
            <v>1605.1608000000001</v>
          </cell>
          <cell r="D80" t="str">
            <v>工程物资减值准备</v>
          </cell>
          <cell r="E80">
            <v>0</v>
          </cell>
          <cell r="F80">
            <v>0</v>
          </cell>
          <cell r="G80">
            <v>0</v>
          </cell>
        </row>
        <row r="81">
          <cell r="C81">
            <v>1604.1606999999999</v>
          </cell>
          <cell r="D81" t="str">
            <v>在建工程减值准备</v>
          </cell>
          <cell r="E81">
            <v>0</v>
          </cell>
          <cell r="F81">
            <v>0</v>
          </cell>
          <cell r="G81">
            <v>0</v>
          </cell>
        </row>
        <row r="82">
          <cell r="C82">
            <v>1621.1623999999999</v>
          </cell>
          <cell r="D82" t="str">
            <v>生产性生物资产减值准备</v>
          </cell>
          <cell r="E82">
            <v>0</v>
          </cell>
          <cell r="F82">
            <v>0</v>
          </cell>
          <cell r="G82">
            <v>0</v>
          </cell>
        </row>
        <row r="83">
          <cell r="C83">
            <v>1631.1632999999999</v>
          </cell>
          <cell r="D83" t="str">
            <v>油气资产减值准备</v>
          </cell>
          <cell r="E83">
            <v>0</v>
          </cell>
          <cell r="F83">
            <v>0</v>
          </cell>
          <cell r="G83">
            <v>0</v>
          </cell>
        </row>
        <row r="84">
          <cell r="C84">
            <v>1701.1703</v>
          </cell>
          <cell r="D84" t="str">
            <v>无形资产减值准备</v>
          </cell>
          <cell r="E84">
            <v>0</v>
          </cell>
          <cell r="F84">
            <v>0</v>
          </cell>
          <cell r="G84">
            <v>0</v>
          </cell>
        </row>
        <row r="85">
          <cell r="C85">
            <v>1711.1712</v>
          </cell>
          <cell r="D85" t="str">
            <v>商誉减值准备</v>
          </cell>
          <cell r="E85">
            <v>0</v>
          </cell>
          <cell r="F85">
            <v>0</v>
          </cell>
          <cell r="G85">
            <v>0</v>
          </cell>
        </row>
        <row r="86">
          <cell r="C86">
            <v>1991.1992</v>
          </cell>
          <cell r="D86" t="str">
            <v>其他</v>
          </cell>
          <cell r="E86">
            <v>0</v>
          </cell>
          <cell r="F86">
            <v>0</v>
          </cell>
          <cell r="G86">
            <v>0</v>
          </cell>
        </row>
        <row r="87">
          <cell r="C87">
            <v>1991</v>
          </cell>
          <cell r="D87" t="str">
            <v>资产减值准备小计</v>
          </cell>
          <cell r="E87">
            <v>0</v>
          </cell>
          <cell r="F87">
            <v>0</v>
          </cell>
          <cell r="G87">
            <v>0</v>
          </cell>
        </row>
      </sheetData>
      <sheetData sheetId="7">
        <row r="8">
          <cell r="B8" t="str">
            <v>项目编号</v>
          </cell>
          <cell r="C8" t="str">
            <v>项       目</v>
          </cell>
          <cell r="D8" t="str">
            <v>附注</v>
          </cell>
          <cell r="E8" t="str">
            <v>本期金额</v>
          </cell>
          <cell r="F8" t="str">
            <v>上期金额</v>
          </cell>
        </row>
        <row r="9">
          <cell r="B9">
            <v>6098</v>
          </cell>
          <cell r="C9" t="str">
            <v>一、营业总收入</v>
          </cell>
          <cell r="D9">
            <v>0</v>
          </cell>
          <cell r="E9">
            <v>259052.9</v>
          </cell>
          <cell r="F9">
            <v>238890.6</v>
          </cell>
        </row>
        <row r="10">
          <cell r="B10">
            <v>6001</v>
          </cell>
          <cell r="C10" t="str">
            <v>一、营业收入</v>
          </cell>
          <cell r="D10">
            <v>0</v>
          </cell>
          <cell r="E10">
            <v>259052.9</v>
          </cell>
          <cell r="F10">
            <v>238890.6</v>
          </cell>
        </row>
        <row r="11">
          <cell r="B11">
            <v>6011</v>
          </cell>
          <cell r="C11" t="str">
            <v>利息收入</v>
          </cell>
          <cell r="D11">
            <v>0</v>
          </cell>
          <cell r="E11">
            <v>0</v>
          </cell>
          <cell r="F11">
            <v>0</v>
          </cell>
        </row>
        <row r="12">
          <cell r="B12">
            <v>6030</v>
          </cell>
          <cell r="C12" t="str">
            <v>已赚保费</v>
          </cell>
          <cell r="D12">
            <v>0</v>
          </cell>
          <cell r="E12">
            <v>0</v>
          </cell>
          <cell r="F12">
            <v>0</v>
          </cell>
        </row>
        <row r="13">
          <cell r="B13">
            <v>6021</v>
          </cell>
          <cell r="C13" t="str">
            <v>手续费及佣金收入</v>
          </cell>
          <cell r="D13">
            <v>0</v>
          </cell>
          <cell r="E13">
            <v>0</v>
          </cell>
          <cell r="F13">
            <v>0</v>
          </cell>
        </row>
        <row r="14">
          <cell r="B14">
            <v>6598</v>
          </cell>
          <cell r="C14" t="str">
            <v>二、营业总成本</v>
          </cell>
          <cell r="D14">
            <v>0</v>
          </cell>
          <cell r="E14">
            <v>8210851.4900000002</v>
          </cell>
          <cell r="F14">
            <v>2554419.3199999998</v>
          </cell>
        </row>
        <row r="15">
          <cell r="B15">
            <v>6401</v>
          </cell>
          <cell r="C15" t="str">
            <v>减：营业成本</v>
          </cell>
          <cell r="D15">
            <v>0</v>
          </cell>
          <cell r="E15">
            <v>93797.92</v>
          </cell>
          <cell r="F15">
            <v>54783.42</v>
          </cell>
        </row>
        <row r="16">
          <cell r="B16">
            <v>6411</v>
          </cell>
          <cell r="C16" t="str">
            <v>利息支出</v>
          </cell>
          <cell r="D16">
            <v>0</v>
          </cell>
          <cell r="E16">
            <v>0</v>
          </cell>
          <cell r="F16">
            <v>0</v>
          </cell>
        </row>
        <row r="17">
          <cell r="B17">
            <v>6421</v>
          </cell>
          <cell r="C17" t="str">
            <v>手续费及佣金支出</v>
          </cell>
          <cell r="D17">
            <v>0</v>
          </cell>
          <cell r="E17">
            <v>0</v>
          </cell>
          <cell r="F17">
            <v>0</v>
          </cell>
        </row>
        <row r="18">
          <cell r="B18">
            <v>6531</v>
          </cell>
          <cell r="C18" t="str">
            <v>退保金</v>
          </cell>
          <cell r="D18">
            <v>0</v>
          </cell>
          <cell r="E18">
            <v>0</v>
          </cell>
          <cell r="F18">
            <v>0</v>
          </cell>
        </row>
        <row r="19">
          <cell r="B19">
            <v>6510</v>
          </cell>
          <cell r="C19" t="str">
            <v>赔付支出净额</v>
          </cell>
          <cell r="D19">
            <v>0</v>
          </cell>
          <cell r="E19">
            <v>0</v>
          </cell>
          <cell r="F19">
            <v>0</v>
          </cell>
        </row>
        <row r="20">
          <cell r="B20">
            <v>6505</v>
          </cell>
          <cell r="C20" t="str">
            <v>提取保险合同准备金净额</v>
          </cell>
          <cell r="D20">
            <v>0</v>
          </cell>
          <cell r="E20">
            <v>0</v>
          </cell>
          <cell r="F20">
            <v>0</v>
          </cell>
        </row>
        <row r="21">
          <cell r="B21">
            <v>6521</v>
          </cell>
          <cell r="C21" t="str">
            <v>保单红利支出</v>
          </cell>
          <cell r="D21">
            <v>0</v>
          </cell>
          <cell r="E21">
            <v>0</v>
          </cell>
          <cell r="F21">
            <v>0</v>
          </cell>
        </row>
        <row r="22">
          <cell r="B22">
            <v>6542</v>
          </cell>
          <cell r="C22" t="str">
            <v>分保费用</v>
          </cell>
          <cell r="D22">
            <v>0</v>
          </cell>
          <cell r="E22">
            <v>0</v>
          </cell>
          <cell r="F22">
            <v>0</v>
          </cell>
        </row>
        <row r="23">
          <cell r="B23">
            <v>6600</v>
          </cell>
          <cell r="C23" t="str">
            <v>营业税金及附加</v>
          </cell>
          <cell r="D23">
            <v>0</v>
          </cell>
          <cell r="E23">
            <v>23307.41</v>
          </cell>
          <cell r="F23">
            <v>0</v>
          </cell>
        </row>
        <row r="24">
          <cell r="B24">
            <v>6601</v>
          </cell>
          <cell r="C24" t="str">
            <v>销售费用</v>
          </cell>
          <cell r="D24">
            <v>0</v>
          </cell>
          <cell r="E24">
            <v>2568537.9700000002</v>
          </cell>
          <cell r="F24">
            <v>1129405.8600000001</v>
          </cell>
        </row>
        <row r="25">
          <cell r="B25">
            <v>6602</v>
          </cell>
          <cell r="C25" t="str">
            <v>管理费用</v>
          </cell>
          <cell r="D25">
            <v>0</v>
          </cell>
          <cell r="E25">
            <v>5322383.05</v>
          </cell>
          <cell r="F25">
            <v>1287000.8700000001</v>
          </cell>
        </row>
        <row r="26">
          <cell r="B26">
            <v>6603</v>
          </cell>
          <cell r="C26" t="str">
            <v>财务费用</v>
          </cell>
          <cell r="D26">
            <v>0</v>
          </cell>
          <cell r="E26">
            <v>202825.14</v>
          </cell>
          <cell r="F26">
            <v>1643.42</v>
          </cell>
        </row>
        <row r="27">
          <cell r="B27">
            <v>6671</v>
          </cell>
          <cell r="C27" t="str">
            <v>资产减值损失</v>
          </cell>
          <cell r="D27">
            <v>0</v>
          </cell>
          <cell r="E27">
            <v>0</v>
          </cell>
          <cell r="F27">
            <v>81585.75</v>
          </cell>
        </row>
        <row r="28">
          <cell r="B28">
            <v>6101</v>
          </cell>
          <cell r="C28" t="str">
            <v>加：公允价值变动收益（损失以“-”号填列）</v>
          </cell>
          <cell r="D28">
            <v>0</v>
          </cell>
          <cell r="E28">
            <v>0</v>
          </cell>
          <cell r="F28">
            <v>0</v>
          </cell>
        </row>
        <row r="29">
          <cell r="B29">
            <v>6111</v>
          </cell>
          <cell r="C29" t="str">
            <v>投资收益（损失以“-”号填列）</v>
          </cell>
          <cell r="D29">
            <v>0</v>
          </cell>
          <cell r="E29">
            <v>0</v>
          </cell>
          <cell r="F29">
            <v>0</v>
          </cell>
        </row>
        <row r="30">
          <cell r="B30">
            <v>6111.01</v>
          </cell>
          <cell r="C30" t="str">
            <v>其中：对联营企业和合营企业的投资收益</v>
          </cell>
          <cell r="D30">
            <v>0</v>
          </cell>
          <cell r="E30">
            <v>0</v>
          </cell>
          <cell r="F30">
            <v>0</v>
          </cell>
        </row>
        <row r="31">
          <cell r="B31">
            <v>6161</v>
          </cell>
          <cell r="C31" t="str">
            <v>汇兑收益（损失以“-”号填列）</v>
          </cell>
          <cell r="D31">
            <v>0</v>
          </cell>
          <cell r="E31">
            <v>0</v>
          </cell>
          <cell r="F31">
            <v>0</v>
          </cell>
        </row>
        <row r="32">
          <cell r="B32">
            <v>6689</v>
          </cell>
          <cell r="C32" t="str">
            <v>二、营业利润（亏损以“-”号填列）</v>
          </cell>
          <cell r="D32">
            <v>0</v>
          </cell>
          <cell r="E32">
            <v>-7951798.5899999999</v>
          </cell>
          <cell r="F32">
            <v>-2315528.7200000002</v>
          </cell>
        </row>
        <row r="33">
          <cell r="B33">
            <v>6710</v>
          </cell>
          <cell r="C33" t="str">
            <v>加：营业外收入</v>
          </cell>
          <cell r="D33">
            <v>0</v>
          </cell>
          <cell r="E33">
            <v>120001.01</v>
          </cell>
          <cell r="F33">
            <v>0.37</v>
          </cell>
        </row>
        <row r="34">
          <cell r="B34">
            <v>6710.11</v>
          </cell>
          <cell r="C34" t="str">
            <v>其中：非流动资产处置利得</v>
          </cell>
          <cell r="D34">
            <v>0</v>
          </cell>
          <cell r="E34">
            <v>0</v>
          </cell>
          <cell r="F34">
            <v>0</v>
          </cell>
        </row>
        <row r="35">
          <cell r="B35">
            <v>6711</v>
          </cell>
          <cell r="C35" t="str">
            <v>减：营业外支出</v>
          </cell>
          <cell r="D35">
            <v>0</v>
          </cell>
          <cell r="E35">
            <v>0.01</v>
          </cell>
          <cell r="F35">
            <v>0</v>
          </cell>
        </row>
        <row r="36">
          <cell r="B36">
            <v>6711.01</v>
          </cell>
          <cell r="C36" t="str">
            <v>其中：非流动资产处置损失</v>
          </cell>
          <cell r="D36">
            <v>0</v>
          </cell>
          <cell r="E36">
            <v>0</v>
          </cell>
          <cell r="F36">
            <v>0</v>
          </cell>
        </row>
        <row r="37">
          <cell r="B37">
            <v>6788</v>
          </cell>
          <cell r="C37" t="str">
            <v>三、利润总额（亏损总额以“-”号填列）</v>
          </cell>
          <cell r="D37">
            <v>0</v>
          </cell>
          <cell r="E37">
            <v>-7831797.5899999999</v>
          </cell>
          <cell r="F37">
            <v>-2315528.35</v>
          </cell>
        </row>
        <row r="38">
          <cell r="B38">
            <v>6791</v>
          </cell>
          <cell r="C38" t="str">
            <v>减：所得税费用</v>
          </cell>
          <cell r="D38">
            <v>0</v>
          </cell>
          <cell r="E38">
            <v>0</v>
          </cell>
          <cell r="F38">
            <v>0</v>
          </cell>
        </row>
        <row r="39">
          <cell r="B39">
            <v>6799</v>
          </cell>
          <cell r="C39" t="str">
            <v>四、净利润（净亏损以“-”号填列）</v>
          </cell>
          <cell r="D39">
            <v>0</v>
          </cell>
          <cell r="E39">
            <v>-7831797.5899999999</v>
          </cell>
          <cell r="F39">
            <v>-2315528.35</v>
          </cell>
        </row>
        <row r="40">
          <cell r="B40">
            <v>6805</v>
          </cell>
          <cell r="C40" t="str">
            <v>其中：同一控制下企业合并的被合并方在合并前实现的净利润</v>
          </cell>
          <cell r="D40">
            <v>0</v>
          </cell>
          <cell r="E40">
            <v>0</v>
          </cell>
          <cell r="F40">
            <v>0</v>
          </cell>
        </row>
        <row r="41">
          <cell r="B41">
            <v>6811</v>
          </cell>
          <cell r="C41" t="str">
            <v>归属于母公司股东的净利润</v>
          </cell>
          <cell r="D41">
            <v>0</v>
          </cell>
          <cell r="E41">
            <v>-7831797.5899999999</v>
          </cell>
          <cell r="F41">
            <v>-2315528.35</v>
          </cell>
        </row>
        <row r="42">
          <cell r="B42">
            <v>6812</v>
          </cell>
          <cell r="C42" t="str">
            <v>少数股东损益</v>
          </cell>
          <cell r="D42">
            <v>0</v>
          </cell>
          <cell r="E42">
            <v>0</v>
          </cell>
          <cell r="F42">
            <v>0</v>
          </cell>
        </row>
        <row r="43">
          <cell r="B43">
            <v>6829</v>
          </cell>
          <cell r="C43" t="str">
            <v>五、其他综合收益的税后净额</v>
          </cell>
          <cell r="D43">
            <v>0</v>
          </cell>
          <cell r="E43">
            <v>0</v>
          </cell>
          <cell r="F43">
            <v>0</v>
          </cell>
        </row>
        <row r="44">
          <cell r="B44">
            <v>6829.2</v>
          </cell>
          <cell r="C44" t="str">
            <v>归属于母公司股东的其他综合收益的税后净额</v>
          </cell>
          <cell r="D44">
            <v>0</v>
          </cell>
          <cell r="E44">
            <v>0</v>
          </cell>
          <cell r="F44">
            <v>0</v>
          </cell>
        </row>
        <row r="45">
          <cell r="B45">
            <v>6829.21</v>
          </cell>
          <cell r="C45" t="str">
            <v>（一）以后不能重分类进损益的其他综合收益</v>
          </cell>
          <cell r="D45">
            <v>0</v>
          </cell>
          <cell r="E45">
            <v>0</v>
          </cell>
          <cell r="F45">
            <v>0</v>
          </cell>
        </row>
        <row r="46">
          <cell r="B46">
            <v>6829.2110000000002</v>
          </cell>
          <cell r="C46" t="str">
            <v>1、重新计量设定受益计划净负债或净资产的变动</v>
          </cell>
          <cell r="D46">
            <v>0</v>
          </cell>
          <cell r="E46">
            <v>0</v>
          </cell>
          <cell r="F46">
            <v>0</v>
          </cell>
        </row>
        <row r="47">
          <cell r="B47">
            <v>6829.2120000000004</v>
          </cell>
          <cell r="C47" t="str">
            <v>2、权益法下在被投资单位不能重分类进损益的其他综合收益中享有的份额</v>
          </cell>
          <cell r="D47">
            <v>0</v>
          </cell>
          <cell r="E47">
            <v>0</v>
          </cell>
          <cell r="F47">
            <v>0</v>
          </cell>
        </row>
        <row r="48">
          <cell r="B48">
            <v>6829.2190000000001</v>
          </cell>
          <cell r="C48" t="str">
            <v>3、其他</v>
          </cell>
          <cell r="D48">
            <v>0</v>
          </cell>
          <cell r="E48">
            <v>0</v>
          </cell>
          <cell r="F48">
            <v>0</v>
          </cell>
        </row>
        <row r="49">
          <cell r="B49">
            <v>6829.23</v>
          </cell>
          <cell r="C49" t="str">
            <v>（二）以后将重分类进损益的其他综合收益</v>
          </cell>
          <cell r="D49">
            <v>0</v>
          </cell>
          <cell r="E49">
            <v>0</v>
          </cell>
          <cell r="F49">
            <v>0</v>
          </cell>
        </row>
        <row r="50">
          <cell r="B50">
            <v>6829.2309999999998</v>
          </cell>
          <cell r="C50" t="str">
            <v>1、权益法下在被投资单位以后将重分类进损益的其他综合收益中享有的份额</v>
          </cell>
          <cell r="D50">
            <v>0</v>
          </cell>
          <cell r="E50">
            <v>0</v>
          </cell>
          <cell r="F50">
            <v>0</v>
          </cell>
        </row>
        <row r="51">
          <cell r="B51">
            <v>6829.232</v>
          </cell>
          <cell r="C51" t="str">
            <v>2、可供出售金融资产公允价值变动损益</v>
          </cell>
          <cell r="D51">
            <v>0</v>
          </cell>
          <cell r="E51">
            <v>0</v>
          </cell>
          <cell r="F51">
            <v>0</v>
          </cell>
        </row>
        <row r="52">
          <cell r="B52">
            <v>6829.2330000000002</v>
          </cell>
          <cell r="C52" t="str">
            <v>3、持有至到期投资重分类为可供出售金融资产损益</v>
          </cell>
          <cell r="D52">
            <v>0</v>
          </cell>
          <cell r="E52">
            <v>0</v>
          </cell>
          <cell r="F52">
            <v>0</v>
          </cell>
        </row>
        <row r="53">
          <cell r="B53">
            <v>6829.2340000000004</v>
          </cell>
          <cell r="C53" t="str">
            <v>4、现金流量套期损益的有效部分</v>
          </cell>
          <cell r="D53">
            <v>0</v>
          </cell>
          <cell r="E53">
            <v>0</v>
          </cell>
          <cell r="F53">
            <v>0</v>
          </cell>
        </row>
        <row r="54">
          <cell r="B54">
            <v>6829.2349999999997</v>
          </cell>
          <cell r="C54" t="str">
            <v>5、外币财务报表折算差额</v>
          </cell>
          <cell r="D54">
            <v>0</v>
          </cell>
          <cell r="E54">
            <v>0</v>
          </cell>
          <cell r="F54">
            <v>0</v>
          </cell>
        </row>
        <row r="55">
          <cell r="B55">
            <v>6829.2359999999999</v>
          </cell>
          <cell r="C55" t="str">
            <v>6、自用房地产或作为存货的房地产转换为以公允价值计量的投资性房地产在转换日公允价值大于账面价值部分</v>
          </cell>
          <cell r="D55">
            <v>0</v>
          </cell>
          <cell r="E55">
            <v>0</v>
          </cell>
          <cell r="F55">
            <v>0</v>
          </cell>
        </row>
        <row r="56">
          <cell r="B56">
            <v>6829.2370000000001</v>
          </cell>
          <cell r="C56" t="str">
            <v>7、多次交易分步处置子公司股权构成一揽子交易的，丧失控制权之前各次交易处置价款与对应净资产账面价值份额的差额</v>
          </cell>
          <cell r="D56">
            <v>0</v>
          </cell>
          <cell r="E56">
            <v>0</v>
          </cell>
          <cell r="F56">
            <v>0</v>
          </cell>
        </row>
        <row r="57">
          <cell r="B57">
            <v>6829.2389999999996</v>
          </cell>
          <cell r="C57" t="str">
            <v>8、其他</v>
          </cell>
          <cell r="D57">
            <v>0</v>
          </cell>
          <cell r="E57">
            <v>0</v>
          </cell>
          <cell r="F57">
            <v>0</v>
          </cell>
        </row>
        <row r="58">
          <cell r="B58">
            <v>6829.5</v>
          </cell>
          <cell r="C58" t="str">
            <v>归属于少数股东的其他综合收益的税后净额</v>
          </cell>
          <cell r="D58">
            <v>0</v>
          </cell>
          <cell r="E58">
            <v>0</v>
          </cell>
          <cell r="F58">
            <v>0</v>
          </cell>
        </row>
        <row r="59">
          <cell r="B59">
            <v>6839</v>
          </cell>
          <cell r="C59" t="str">
            <v>六、综合收益总额</v>
          </cell>
          <cell r="D59">
            <v>0</v>
          </cell>
          <cell r="E59">
            <v>-7831797.5899999999</v>
          </cell>
          <cell r="F59">
            <v>-2315528.35</v>
          </cell>
        </row>
        <row r="60">
          <cell r="B60">
            <v>6841</v>
          </cell>
          <cell r="C60" t="str">
            <v>归属于母公司股东的综合收益总额</v>
          </cell>
          <cell r="D60">
            <v>0</v>
          </cell>
          <cell r="E60">
            <v>-7831797.5899999999</v>
          </cell>
          <cell r="F60">
            <v>-2315528.35</v>
          </cell>
        </row>
        <row r="61">
          <cell r="B61">
            <v>6842</v>
          </cell>
          <cell r="C61" t="str">
            <v>归属于少数股东的综合收益总额</v>
          </cell>
          <cell r="D61">
            <v>0</v>
          </cell>
          <cell r="E61">
            <v>0</v>
          </cell>
          <cell r="F61">
            <v>0</v>
          </cell>
        </row>
        <row r="62">
          <cell r="B62">
            <v>6820</v>
          </cell>
          <cell r="C62" t="str">
            <v>七、每股收益：</v>
          </cell>
          <cell r="D62">
            <v>0</v>
          </cell>
          <cell r="E62">
            <v>0</v>
          </cell>
          <cell r="F62">
            <v>0</v>
          </cell>
        </row>
        <row r="63">
          <cell r="B63">
            <v>6821</v>
          </cell>
          <cell r="C63" t="str">
            <v>（一）基本每股收益</v>
          </cell>
          <cell r="D63">
            <v>0</v>
          </cell>
          <cell r="E63">
            <v>0</v>
          </cell>
          <cell r="F63">
            <v>0</v>
          </cell>
        </row>
        <row r="64">
          <cell r="B64">
            <v>6822</v>
          </cell>
          <cell r="C64" t="str">
            <v>（二）稀释每股收益</v>
          </cell>
          <cell r="D64">
            <v>0</v>
          </cell>
          <cell r="E64">
            <v>0</v>
          </cell>
          <cell r="F64">
            <v>0</v>
          </cell>
        </row>
      </sheetData>
      <sheetData sheetId="8">
        <row r="8">
          <cell r="B8" t="str">
            <v>项目编号</v>
          </cell>
          <cell r="C8" t="str">
            <v>项       目</v>
          </cell>
          <cell r="D8" t="str">
            <v>附注</v>
          </cell>
          <cell r="E8" t="str">
            <v>本期金额</v>
          </cell>
          <cell r="F8" t="str">
            <v>上期金额</v>
          </cell>
        </row>
        <row r="9">
          <cell r="B9">
            <v>7000</v>
          </cell>
          <cell r="C9" t="str">
            <v>一、经营活动产生的现金流量：</v>
          </cell>
          <cell r="D9">
            <v>0</v>
          </cell>
          <cell r="E9">
            <v>0</v>
          </cell>
          <cell r="F9">
            <v>0</v>
          </cell>
        </row>
        <row r="10">
          <cell r="B10">
            <v>7001</v>
          </cell>
          <cell r="C10" t="str">
            <v>销售商品、提供劳务收到的现金</v>
          </cell>
          <cell r="D10">
            <v>0</v>
          </cell>
          <cell r="E10">
            <v>4963241.1100000003</v>
          </cell>
          <cell r="F10">
            <v>3743578.45</v>
          </cell>
        </row>
        <row r="11">
          <cell r="B11">
            <v>7011</v>
          </cell>
          <cell r="C11" t="str">
            <v>客户存款和同业存放款项净增加额</v>
          </cell>
          <cell r="D11">
            <v>0</v>
          </cell>
          <cell r="E11">
            <v>0</v>
          </cell>
          <cell r="F11">
            <v>0</v>
          </cell>
        </row>
        <row r="12">
          <cell r="B12">
            <v>7012</v>
          </cell>
          <cell r="C12" t="str">
            <v>向中央银行借款净增加额</v>
          </cell>
          <cell r="D12">
            <v>0</v>
          </cell>
          <cell r="E12">
            <v>0</v>
          </cell>
          <cell r="F12">
            <v>0</v>
          </cell>
        </row>
        <row r="13">
          <cell r="B13">
            <v>7013</v>
          </cell>
          <cell r="C13" t="str">
            <v>向其他金融机构拆入资金净增加额</v>
          </cell>
          <cell r="D13">
            <v>0</v>
          </cell>
          <cell r="E13">
            <v>0</v>
          </cell>
          <cell r="F13">
            <v>0</v>
          </cell>
        </row>
        <row r="14">
          <cell r="B14">
            <v>7014</v>
          </cell>
          <cell r="C14" t="str">
            <v>收到原保险合同保费取得的现金</v>
          </cell>
          <cell r="D14">
            <v>0</v>
          </cell>
          <cell r="E14">
            <v>0</v>
          </cell>
          <cell r="F14">
            <v>0</v>
          </cell>
        </row>
        <row r="15">
          <cell r="B15">
            <v>7015</v>
          </cell>
          <cell r="C15" t="str">
            <v>收到再保险业务现金净额</v>
          </cell>
          <cell r="D15">
            <v>0</v>
          </cell>
          <cell r="E15">
            <v>0</v>
          </cell>
          <cell r="F15">
            <v>0</v>
          </cell>
        </row>
        <row r="16">
          <cell r="B16">
            <v>7016</v>
          </cell>
          <cell r="C16" t="str">
            <v>保户储金及投资款净增加额</v>
          </cell>
          <cell r="D16">
            <v>0</v>
          </cell>
          <cell r="E16">
            <v>0</v>
          </cell>
          <cell r="F16">
            <v>0</v>
          </cell>
        </row>
        <row r="17">
          <cell r="B17">
            <v>7021</v>
          </cell>
          <cell r="C17" t="str">
            <v>处置交易性金融资产净增加额</v>
          </cell>
          <cell r="D17">
            <v>0</v>
          </cell>
          <cell r="E17">
            <v>0</v>
          </cell>
          <cell r="F17">
            <v>0</v>
          </cell>
        </row>
        <row r="18">
          <cell r="B18">
            <v>7023</v>
          </cell>
          <cell r="C18" t="str">
            <v>收取利息、手续费及佣金的现金</v>
          </cell>
          <cell r="D18">
            <v>0</v>
          </cell>
          <cell r="E18">
            <v>0</v>
          </cell>
          <cell r="F18">
            <v>0</v>
          </cell>
        </row>
        <row r="19">
          <cell r="B19">
            <v>7025</v>
          </cell>
          <cell r="C19" t="str">
            <v>拆入资金净增加额</v>
          </cell>
          <cell r="D19">
            <v>0</v>
          </cell>
          <cell r="E19">
            <v>0</v>
          </cell>
          <cell r="F19">
            <v>0</v>
          </cell>
        </row>
        <row r="20">
          <cell r="B20">
            <v>7026</v>
          </cell>
          <cell r="C20" t="str">
            <v>回购业务资金净增加额</v>
          </cell>
          <cell r="D20">
            <v>0</v>
          </cell>
          <cell r="E20">
            <v>0</v>
          </cell>
          <cell r="F20">
            <v>0</v>
          </cell>
        </row>
        <row r="21">
          <cell r="B21">
            <v>7031</v>
          </cell>
          <cell r="C21" t="str">
            <v>收到的税费返还</v>
          </cell>
          <cell r="D21">
            <v>0</v>
          </cell>
          <cell r="E21">
            <v>0</v>
          </cell>
          <cell r="F21">
            <v>0</v>
          </cell>
        </row>
        <row r="22">
          <cell r="B22">
            <v>7046</v>
          </cell>
          <cell r="C22" t="str">
            <v>收到其他与经营活动有关的现金</v>
          </cell>
          <cell r="D22">
            <v>0</v>
          </cell>
          <cell r="E22">
            <v>1349995.17</v>
          </cell>
          <cell r="F22">
            <v>980</v>
          </cell>
        </row>
        <row r="23">
          <cell r="B23">
            <v>7048</v>
          </cell>
          <cell r="C23" t="str">
            <v>经营活动现金流入小计</v>
          </cell>
          <cell r="D23">
            <v>0</v>
          </cell>
          <cell r="E23">
            <v>6313236.2800000003</v>
          </cell>
          <cell r="F23">
            <v>3744558.45</v>
          </cell>
        </row>
        <row r="24">
          <cell r="B24">
            <v>7051</v>
          </cell>
          <cell r="C24" t="str">
            <v>购买商品、接受劳务支付的现金</v>
          </cell>
          <cell r="D24">
            <v>0</v>
          </cell>
          <cell r="E24">
            <v>0</v>
          </cell>
          <cell r="F24">
            <v>200</v>
          </cell>
        </row>
        <row r="25">
          <cell r="B25">
            <v>7053</v>
          </cell>
          <cell r="C25" t="str">
            <v>客户贷款及垫款净增加额</v>
          </cell>
          <cell r="D25">
            <v>0</v>
          </cell>
          <cell r="E25">
            <v>0</v>
          </cell>
          <cell r="F25">
            <v>0</v>
          </cell>
        </row>
        <row r="26">
          <cell r="B26">
            <v>7054</v>
          </cell>
          <cell r="C26" t="str">
            <v>存放中央银行和同业款项净增加额</v>
          </cell>
          <cell r="D26">
            <v>0</v>
          </cell>
          <cell r="E26">
            <v>0</v>
          </cell>
          <cell r="F26">
            <v>0</v>
          </cell>
        </row>
        <row r="27">
          <cell r="B27">
            <v>7055</v>
          </cell>
          <cell r="C27" t="str">
            <v>支付原保险合同赔付款项的现金</v>
          </cell>
          <cell r="D27">
            <v>0</v>
          </cell>
          <cell r="E27">
            <v>0</v>
          </cell>
          <cell r="F27">
            <v>0</v>
          </cell>
        </row>
        <row r="28">
          <cell r="B28">
            <v>7056</v>
          </cell>
          <cell r="C28" t="str">
            <v>支付利息、手续费及佣金的现金</v>
          </cell>
          <cell r="D28">
            <v>0</v>
          </cell>
          <cell r="E28">
            <v>0</v>
          </cell>
          <cell r="F28">
            <v>0</v>
          </cell>
        </row>
        <row r="29">
          <cell r="B29">
            <v>7057</v>
          </cell>
          <cell r="C29" t="str">
            <v>支付保单红利的现金</v>
          </cell>
          <cell r="D29">
            <v>0</v>
          </cell>
          <cell r="E29">
            <v>0</v>
          </cell>
          <cell r="F29">
            <v>0</v>
          </cell>
        </row>
        <row r="30">
          <cell r="B30">
            <v>7061</v>
          </cell>
          <cell r="C30" t="str">
            <v>支付给职工以及为职工支付的现金</v>
          </cell>
          <cell r="D30">
            <v>0</v>
          </cell>
          <cell r="E30">
            <v>2902082.21</v>
          </cell>
          <cell r="F30">
            <v>877701.47</v>
          </cell>
        </row>
        <row r="31">
          <cell r="B31">
            <v>7071</v>
          </cell>
          <cell r="C31" t="str">
            <v>支付的各项税费</v>
          </cell>
          <cell r="D31">
            <v>0</v>
          </cell>
          <cell r="E31">
            <v>62149.24</v>
          </cell>
          <cell r="F31">
            <v>16460.89</v>
          </cell>
        </row>
        <row r="32">
          <cell r="B32">
            <v>7096</v>
          </cell>
          <cell r="C32" t="str">
            <v>支付其他与经营活动有关的现金</v>
          </cell>
          <cell r="D32">
            <v>0</v>
          </cell>
          <cell r="E32">
            <v>5694259.1699999999</v>
          </cell>
          <cell r="F32">
            <v>1397703.2</v>
          </cell>
        </row>
        <row r="33">
          <cell r="B33">
            <v>7098</v>
          </cell>
          <cell r="C33" t="str">
            <v>经营活动现金流出小计</v>
          </cell>
          <cell r="D33">
            <v>0</v>
          </cell>
          <cell r="E33">
            <v>8658490.6199999992</v>
          </cell>
          <cell r="F33">
            <v>2292065.56</v>
          </cell>
        </row>
        <row r="34">
          <cell r="B34">
            <v>7099</v>
          </cell>
          <cell r="C34" t="str">
            <v>经营活动产生的现金流量净额</v>
          </cell>
          <cell r="D34">
            <v>0</v>
          </cell>
          <cell r="E34">
            <v>-2345254.34</v>
          </cell>
          <cell r="F34">
            <v>1452492.89</v>
          </cell>
        </row>
        <row r="35">
          <cell r="B35">
            <v>7100</v>
          </cell>
          <cell r="C35" t="str">
            <v>二、投资活动产生的现金流量：</v>
          </cell>
          <cell r="D35">
            <v>0</v>
          </cell>
          <cell r="E35">
            <v>0</v>
          </cell>
          <cell r="F35">
            <v>0</v>
          </cell>
        </row>
        <row r="36">
          <cell r="B36">
            <v>7101</v>
          </cell>
          <cell r="C36" t="str">
            <v>收回投资收到的现金</v>
          </cell>
          <cell r="D36">
            <v>0</v>
          </cell>
          <cell r="E36">
            <v>0</v>
          </cell>
          <cell r="F36">
            <v>0</v>
          </cell>
        </row>
        <row r="37">
          <cell r="B37">
            <v>7105</v>
          </cell>
          <cell r="C37" t="str">
            <v>取得投资收益收到的现金</v>
          </cell>
          <cell r="D37">
            <v>0</v>
          </cell>
          <cell r="E37">
            <v>0</v>
          </cell>
          <cell r="F37">
            <v>0</v>
          </cell>
        </row>
        <row r="38">
          <cell r="B38">
            <v>7111</v>
          </cell>
          <cell r="C38" t="str">
            <v>处置固定资产、无形资产和其他长期资产收回的现金净额</v>
          </cell>
          <cell r="D38">
            <v>0</v>
          </cell>
          <cell r="E38">
            <v>0</v>
          </cell>
          <cell r="F38">
            <v>0</v>
          </cell>
        </row>
        <row r="39">
          <cell r="B39">
            <v>7121</v>
          </cell>
          <cell r="C39" t="str">
            <v>处置子公司及其他营业单位收到的现金净额</v>
          </cell>
          <cell r="D39">
            <v>0</v>
          </cell>
          <cell r="E39">
            <v>0</v>
          </cell>
          <cell r="F39">
            <v>0</v>
          </cell>
        </row>
        <row r="40">
          <cell r="B40">
            <v>7146</v>
          </cell>
          <cell r="C40" t="str">
            <v>收到其他与投资活动有关的现金</v>
          </cell>
          <cell r="D40">
            <v>0</v>
          </cell>
          <cell r="E40">
            <v>0</v>
          </cell>
          <cell r="F40">
            <v>0</v>
          </cell>
        </row>
        <row r="41">
          <cell r="B41">
            <v>7148</v>
          </cell>
          <cell r="C41" t="str">
            <v>投资活动现金流入小计</v>
          </cell>
          <cell r="D41">
            <v>0</v>
          </cell>
          <cell r="E41">
            <v>0</v>
          </cell>
          <cell r="F41">
            <v>0</v>
          </cell>
        </row>
        <row r="42">
          <cell r="B42">
            <v>7151</v>
          </cell>
          <cell r="C42" t="str">
            <v>购置固定资产、无形资产和其他长期资产支付的现金</v>
          </cell>
          <cell r="D42">
            <v>0</v>
          </cell>
          <cell r="E42">
            <v>2153156</v>
          </cell>
          <cell r="F42">
            <v>55999</v>
          </cell>
        </row>
        <row r="43">
          <cell r="B43">
            <v>7161</v>
          </cell>
          <cell r="C43" t="str">
            <v>投资支付的现金</v>
          </cell>
          <cell r="D43">
            <v>0</v>
          </cell>
          <cell r="E43">
            <v>2600000</v>
          </cell>
          <cell r="F43">
            <v>0</v>
          </cell>
        </row>
        <row r="44">
          <cell r="B44">
            <v>7165</v>
          </cell>
          <cell r="C44" t="str">
            <v>质押贷款净增加额</v>
          </cell>
          <cell r="D44">
            <v>0</v>
          </cell>
          <cell r="E44">
            <v>0</v>
          </cell>
          <cell r="F44">
            <v>0</v>
          </cell>
        </row>
        <row r="45">
          <cell r="B45">
            <v>7171</v>
          </cell>
          <cell r="C45" t="str">
            <v>取得子公司及其他营业单位支付的现金净额</v>
          </cell>
          <cell r="D45">
            <v>0</v>
          </cell>
          <cell r="E45">
            <v>0</v>
          </cell>
          <cell r="F45">
            <v>0</v>
          </cell>
        </row>
        <row r="46">
          <cell r="B46">
            <v>7196</v>
          </cell>
          <cell r="C46" t="str">
            <v>支付其他与投资活动有关的现金</v>
          </cell>
          <cell r="D46">
            <v>0</v>
          </cell>
          <cell r="E46">
            <v>0</v>
          </cell>
          <cell r="F46">
            <v>19743563.100000001</v>
          </cell>
        </row>
        <row r="47">
          <cell r="B47">
            <v>7198</v>
          </cell>
          <cell r="C47" t="str">
            <v>投资活动现金流出小计</v>
          </cell>
          <cell r="D47">
            <v>0</v>
          </cell>
          <cell r="E47">
            <v>4753156</v>
          </cell>
          <cell r="F47">
            <v>19799562.100000001</v>
          </cell>
        </row>
        <row r="48">
          <cell r="B48">
            <v>7199</v>
          </cell>
          <cell r="C48" t="str">
            <v>投资活动产生的现金流量净额</v>
          </cell>
          <cell r="D48">
            <v>0</v>
          </cell>
          <cell r="E48">
            <v>-4753156</v>
          </cell>
          <cell r="F48">
            <v>-19799562.100000001</v>
          </cell>
        </row>
        <row r="49">
          <cell r="B49">
            <v>7200</v>
          </cell>
          <cell r="C49" t="str">
            <v>三、筹资活动产生的现金流量：</v>
          </cell>
          <cell r="D49">
            <v>0</v>
          </cell>
          <cell r="E49">
            <v>0</v>
          </cell>
          <cell r="F49">
            <v>0</v>
          </cell>
        </row>
        <row r="50">
          <cell r="B50">
            <v>7201</v>
          </cell>
          <cell r="C50" t="str">
            <v>吸收投资收到的现金</v>
          </cell>
          <cell r="D50">
            <v>0</v>
          </cell>
          <cell r="E50">
            <v>0</v>
          </cell>
          <cell r="F50">
            <v>20000000</v>
          </cell>
        </row>
        <row r="51">
          <cell r="B51">
            <v>7201.01</v>
          </cell>
          <cell r="C51" t="str">
            <v>其中：子公司吸收少数股东权益性投资收到的现金</v>
          </cell>
          <cell r="D51">
            <v>0</v>
          </cell>
          <cell r="E51">
            <v>0</v>
          </cell>
          <cell r="F51">
            <v>0</v>
          </cell>
        </row>
        <row r="52">
          <cell r="B52">
            <v>7211</v>
          </cell>
          <cell r="C52" t="str">
            <v>取得借款收到的现金</v>
          </cell>
          <cell r="D52">
            <v>0</v>
          </cell>
          <cell r="E52">
            <v>5009000</v>
          </cell>
          <cell r="F52">
            <v>0</v>
          </cell>
        </row>
        <row r="53">
          <cell r="B53">
            <v>7221</v>
          </cell>
          <cell r="C53" t="str">
            <v>发行债券收到的现金</v>
          </cell>
          <cell r="D53">
            <v>0</v>
          </cell>
          <cell r="E53">
            <v>0</v>
          </cell>
          <cell r="F53">
            <v>0</v>
          </cell>
        </row>
        <row r="54">
          <cell r="B54">
            <v>7246</v>
          </cell>
          <cell r="C54" t="str">
            <v>收到其他与筹资活动有关的现金</v>
          </cell>
          <cell r="D54">
            <v>0</v>
          </cell>
          <cell r="E54">
            <v>18702500</v>
          </cell>
          <cell r="F54">
            <v>0</v>
          </cell>
        </row>
        <row r="55">
          <cell r="B55">
            <v>7248</v>
          </cell>
          <cell r="C55" t="str">
            <v>筹资活动现金流入小计</v>
          </cell>
          <cell r="D55">
            <v>0</v>
          </cell>
          <cell r="E55">
            <v>23711500</v>
          </cell>
          <cell r="F55">
            <v>20000000</v>
          </cell>
        </row>
        <row r="56">
          <cell r="B56">
            <v>7251</v>
          </cell>
          <cell r="C56" t="str">
            <v>偿还债务支付的现金</v>
          </cell>
          <cell r="D56">
            <v>0</v>
          </cell>
          <cell r="E56">
            <v>0</v>
          </cell>
          <cell r="F56">
            <v>0</v>
          </cell>
        </row>
        <row r="57">
          <cell r="B57">
            <v>7261</v>
          </cell>
          <cell r="C57" t="str">
            <v>分配股利、利润或偿付利息支付的现金</v>
          </cell>
          <cell r="D57">
            <v>0</v>
          </cell>
          <cell r="E57">
            <v>0</v>
          </cell>
          <cell r="F57">
            <v>0</v>
          </cell>
        </row>
        <row r="58">
          <cell r="B58">
            <v>7261.01</v>
          </cell>
          <cell r="C58" t="str">
            <v>其中：子公司支付少数股东的现金股利</v>
          </cell>
          <cell r="D58">
            <v>0</v>
          </cell>
          <cell r="E58">
            <v>0</v>
          </cell>
          <cell r="F58">
            <v>0</v>
          </cell>
        </row>
        <row r="59">
          <cell r="B59">
            <v>7296</v>
          </cell>
          <cell r="C59" t="str">
            <v>支付其他与筹资活动有关的现金</v>
          </cell>
          <cell r="D59">
            <v>0</v>
          </cell>
          <cell r="E59">
            <v>16550000</v>
          </cell>
          <cell r="F59">
            <v>0</v>
          </cell>
        </row>
        <row r="60">
          <cell r="B60">
            <v>7296.11</v>
          </cell>
          <cell r="C60" t="str">
            <v>其中：子公司减资支付给少数股东的现金</v>
          </cell>
          <cell r="D60">
            <v>0</v>
          </cell>
          <cell r="E60">
            <v>0</v>
          </cell>
          <cell r="F60">
            <v>0</v>
          </cell>
        </row>
        <row r="61">
          <cell r="B61">
            <v>7298</v>
          </cell>
          <cell r="C61" t="str">
            <v>筹资活动现金流出小计</v>
          </cell>
          <cell r="D61">
            <v>0</v>
          </cell>
          <cell r="E61">
            <v>16550000</v>
          </cell>
          <cell r="F61">
            <v>0</v>
          </cell>
        </row>
        <row r="62">
          <cell r="B62">
            <v>7299</v>
          </cell>
          <cell r="C62" t="str">
            <v>筹资活动产生的现金流量净额</v>
          </cell>
          <cell r="D62">
            <v>0</v>
          </cell>
          <cell r="E62">
            <v>7161500</v>
          </cell>
          <cell r="F62">
            <v>20000000</v>
          </cell>
        </row>
        <row r="63">
          <cell r="B63">
            <v>7309</v>
          </cell>
          <cell r="C63" t="str">
            <v>四、汇率变动对现金及现金等价物的影响</v>
          </cell>
          <cell r="D63">
            <v>0</v>
          </cell>
          <cell r="E63">
            <v>0</v>
          </cell>
          <cell r="F63">
            <v>0</v>
          </cell>
        </row>
        <row r="64">
          <cell r="B64">
            <v>7348</v>
          </cell>
          <cell r="C64" t="str">
            <v>五、现金及现金等价物净增加额</v>
          </cell>
          <cell r="D64">
            <v>0</v>
          </cell>
          <cell r="E64">
            <v>63089.66</v>
          </cell>
          <cell r="F64">
            <v>1652930.79</v>
          </cell>
        </row>
        <row r="65">
          <cell r="B65">
            <v>7349</v>
          </cell>
          <cell r="C65" t="str">
            <v>加：期初现金及现金等价物余额</v>
          </cell>
          <cell r="D65">
            <v>0</v>
          </cell>
          <cell r="E65">
            <v>1652930.79</v>
          </cell>
          <cell r="F65">
            <v>0</v>
          </cell>
        </row>
        <row r="66">
          <cell r="B66">
            <v>7399</v>
          </cell>
          <cell r="C66" t="str">
            <v>六、期末现金及现金等价物余额</v>
          </cell>
          <cell r="D66">
            <v>0</v>
          </cell>
          <cell r="E66">
            <v>1716020.45</v>
          </cell>
          <cell r="F66">
            <v>1652930.79</v>
          </cell>
        </row>
        <row r="70">
          <cell r="B70">
            <v>0</v>
          </cell>
          <cell r="C70" t="str">
            <v>补充资料</v>
          </cell>
          <cell r="D70">
            <v>0</v>
          </cell>
          <cell r="E70" t="str">
            <v>本年金额</v>
          </cell>
          <cell r="F70" t="str">
            <v>上年金额</v>
          </cell>
        </row>
        <row r="71">
          <cell r="B71">
            <v>7501</v>
          </cell>
          <cell r="C71" t="str">
            <v>1.将净利润调节为经营活动现金流量：</v>
          </cell>
          <cell r="D71">
            <v>0</v>
          </cell>
          <cell r="E71">
            <v>0</v>
          </cell>
          <cell r="F71">
            <v>0</v>
          </cell>
        </row>
        <row r="72">
          <cell r="B72">
            <v>7502</v>
          </cell>
          <cell r="C72" t="str">
            <v>净利润</v>
          </cell>
          <cell r="D72">
            <v>0</v>
          </cell>
          <cell r="E72">
            <v>-7831797.5899999999</v>
          </cell>
          <cell r="F72">
            <v>-2315528.35</v>
          </cell>
        </row>
        <row r="73">
          <cell r="B73">
            <v>7503</v>
          </cell>
          <cell r="C73" t="str">
            <v>加：资产减值准备</v>
          </cell>
          <cell r="D73">
            <v>0</v>
          </cell>
          <cell r="E73">
            <v>-63386.5</v>
          </cell>
          <cell r="F73">
            <v>0</v>
          </cell>
        </row>
        <row r="74">
          <cell r="B74">
            <v>7505</v>
          </cell>
          <cell r="C74" t="str">
            <v>固定资产折旧、油气资产折耗、生产性生物资产折旧</v>
          </cell>
          <cell r="D74">
            <v>0</v>
          </cell>
          <cell r="E74">
            <v>32306.7</v>
          </cell>
          <cell r="F74">
            <v>0</v>
          </cell>
        </row>
        <row r="75">
          <cell r="B75">
            <v>7506</v>
          </cell>
          <cell r="C75" t="str">
            <v>无形资产摊销</v>
          </cell>
          <cell r="D75">
            <v>0</v>
          </cell>
          <cell r="E75">
            <v>0</v>
          </cell>
          <cell r="F75">
            <v>0</v>
          </cell>
        </row>
        <row r="76">
          <cell r="B76">
            <v>7507</v>
          </cell>
          <cell r="C76" t="str">
            <v>长期待摊费用摊销</v>
          </cell>
          <cell r="D76">
            <v>0</v>
          </cell>
          <cell r="E76">
            <v>0</v>
          </cell>
          <cell r="F76">
            <v>0</v>
          </cell>
        </row>
        <row r="77">
          <cell r="B77">
            <v>7508</v>
          </cell>
          <cell r="C77" t="str">
            <v>处置固定资产、无形资产和其他长期资产的损失（收益以“－”号填列）</v>
          </cell>
          <cell r="D77">
            <v>0</v>
          </cell>
          <cell r="E77">
            <v>0</v>
          </cell>
          <cell r="F77">
            <v>0</v>
          </cell>
        </row>
        <row r="78">
          <cell r="B78">
            <v>7509</v>
          </cell>
          <cell r="C78" t="str">
            <v>固定资产报废损失（收益以“－”号填列）</v>
          </cell>
          <cell r="D78">
            <v>0</v>
          </cell>
          <cell r="E78">
            <v>0</v>
          </cell>
          <cell r="F78">
            <v>0</v>
          </cell>
        </row>
        <row r="79">
          <cell r="B79">
            <v>7510</v>
          </cell>
          <cell r="C79" t="str">
            <v>公允价值变动损失（收益以“－”号填列）</v>
          </cell>
          <cell r="D79">
            <v>0</v>
          </cell>
          <cell r="E79">
            <v>0</v>
          </cell>
          <cell r="F79">
            <v>0</v>
          </cell>
        </row>
        <row r="80">
          <cell r="B80">
            <v>7511</v>
          </cell>
          <cell r="C80" t="str">
            <v>财务费用（收益以“－”号填列）</v>
          </cell>
          <cell r="D80">
            <v>0</v>
          </cell>
          <cell r="E80">
            <v>195896.53</v>
          </cell>
          <cell r="F80">
            <v>0</v>
          </cell>
        </row>
        <row r="81">
          <cell r="B81">
            <v>7512</v>
          </cell>
          <cell r="C81" t="str">
            <v>投资损失（收益以“－”号填列）</v>
          </cell>
          <cell r="D81">
            <v>0</v>
          </cell>
          <cell r="E81">
            <v>-2263.2600000000002</v>
          </cell>
          <cell r="F81">
            <v>0</v>
          </cell>
        </row>
        <row r="82">
          <cell r="B82">
            <v>7515</v>
          </cell>
          <cell r="C82" t="str">
            <v>递延所得税资产减少（增加以“－”号填列）</v>
          </cell>
          <cell r="D82">
            <v>0</v>
          </cell>
          <cell r="E82">
            <v>0</v>
          </cell>
          <cell r="F82">
            <v>0</v>
          </cell>
        </row>
        <row r="83">
          <cell r="B83">
            <v>7516</v>
          </cell>
          <cell r="C83" t="str">
            <v>递延所得税负债增加（减少以“－”号填列）</v>
          </cell>
          <cell r="D83">
            <v>0</v>
          </cell>
          <cell r="E83">
            <v>0</v>
          </cell>
          <cell r="F83">
            <v>0</v>
          </cell>
        </row>
        <row r="84">
          <cell r="B84">
            <v>7517</v>
          </cell>
          <cell r="C84" t="str">
            <v>存货的减少（增加以“－”号填列）</v>
          </cell>
          <cell r="D84">
            <v>0</v>
          </cell>
          <cell r="E84">
            <v>0</v>
          </cell>
          <cell r="F84">
            <v>0</v>
          </cell>
        </row>
        <row r="85">
          <cell r="B85">
            <v>7518</v>
          </cell>
          <cell r="C85" t="str">
            <v>经营性应收项目的减少（增加以“－”号填列）</v>
          </cell>
          <cell r="D85">
            <v>0</v>
          </cell>
          <cell r="E85">
            <v>-11301879.83</v>
          </cell>
          <cell r="F85">
            <v>0</v>
          </cell>
        </row>
        <row r="86">
          <cell r="B86">
            <v>7519</v>
          </cell>
          <cell r="C86" t="str">
            <v>经营性应付项目的增加（减少以“－”号填列）</v>
          </cell>
          <cell r="D86">
            <v>0</v>
          </cell>
          <cell r="E86">
            <v>18714178.43</v>
          </cell>
          <cell r="F86">
            <v>0</v>
          </cell>
        </row>
        <row r="87">
          <cell r="B87">
            <v>7523</v>
          </cell>
          <cell r="C87" t="str">
            <v>其他</v>
          </cell>
          <cell r="D87">
            <v>0</v>
          </cell>
          <cell r="E87">
            <v>0</v>
          </cell>
          <cell r="F87">
            <v>0</v>
          </cell>
        </row>
        <row r="88">
          <cell r="B88">
            <v>7525</v>
          </cell>
          <cell r="C88" t="str">
            <v>经营活动产生的现金流量净额</v>
          </cell>
          <cell r="D88">
            <v>0</v>
          </cell>
          <cell r="E88">
            <v>-256945.52</v>
          </cell>
          <cell r="F88">
            <v>-2315528.35</v>
          </cell>
        </row>
        <row r="89">
          <cell r="B89">
            <v>7526</v>
          </cell>
          <cell r="C89" t="str">
            <v>2.不涉及现金收支的重大投资和筹资活动：</v>
          </cell>
          <cell r="D89">
            <v>0</v>
          </cell>
          <cell r="E89">
            <v>0</v>
          </cell>
          <cell r="F89">
            <v>0</v>
          </cell>
        </row>
        <row r="90">
          <cell r="B90">
            <v>7527</v>
          </cell>
          <cell r="C90" t="str">
            <v>债务转为资本</v>
          </cell>
          <cell r="D90">
            <v>0</v>
          </cell>
          <cell r="E90">
            <v>0</v>
          </cell>
          <cell r="F90">
            <v>0</v>
          </cell>
        </row>
        <row r="91">
          <cell r="B91">
            <v>7528</v>
          </cell>
          <cell r="C91" t="str">
            <v>一年内到期的可转换公司债券</v>
          </cell>
          <cell r="D91">
            <v>0</v>
          </cell>
          <cell r="E91">
            <v>0</v>
          </cell>
          <cell r="F91">
            <v>0</v>
          </cell>
        </row>
        <row r="92">
          <cell r="B92">
            <v>7529</v>
          </cell>
          <cell r="C92" t="str">
            <v>融资租入固定资产</v>
          </cell>
          <cell r="D92">
            <v>0</v>
          </cell>
          <cell r="E92">
            <v>0</v>
          </cell>
          <cell r="F92">
            <v>0</v>
          </cell>
        </row>
        <row r="93">
          <cell r="B93">
            <v>7533</v>
          </cell>
          <cell r="C93" t="str">
            <v>3.现金及现金等价物净变动情况：</v>
          </cell>
          <cell r="D93">
            <v>0</v>
          </cell>
          <cell r="E93">
            <v>0</v>
          </cell>
          <cell r="F93">
            <v>0</v>
          </cell>
        </row>
        <row r="94">
          <cell r="B94">
            <v>7535</v>
          </cell>
          <cell r="C94" t="str">
            <v>现金的期末余额</v>
          </cell>
          <cell r="D94">
            <v>0</v>
          </cell>
          <cell r="E94">
            <v>1716020.45</v>
          </cell>
          <cell r="F94">
            <v>1652930.79</v>
          </cell>
        </row>
        <row r="95">
          <cell r="B95">
            <v>7536</v>
          </cell>
          <cell r="C95" t="str">
            <v>减：现金的年初余额</v>
          </cell>
          <cell r="D95">
            <v>0</v>
          </cell>
          <cell r="E95">
            <v>1652930.79</v>
          </cell>
          <cell r="F95">
            <v>0</v>
          </cell>
        </row>
        <row r="96">
          <cell r="B96">
            <v>7537</v>
          </cell>
          <cell r="C96" t="str">
            <v>加：现金等价物的期末余额</v>
          </cell>
          <cell r="D96">
            <v>0</v>
          </cell>
          <cell r="E96">
            <v>0</v>
          </cell>
          <cell r="F96">
            <v>0</v>
          </cell>
        </row>
        <row r="97">
          <cell r="B97">
            <v>7538</v>
          </cell>
          <cell r="C97" t="str">
            <v>减：现金等价物的年初余额</v>
          </cell>
          <cell r="D97">
            <v>0</v>
          </cell>
          <cell r="E97">
            <v>0</v>
          </cell>
          <cell r="F97">
            <v>0</v>
          </cell>
        </row>
        <row r="98">
          <cell r="B98">
            <v>7539</v>
          </cell>
          <cell r="C98" t="str">
            <v>现金及现金等价物净增加额</v>
          </cell>
          <cell r="D98">
            <v>0</v>
          </cell>
          <cell r="E98">
            <v>63089.66</v>
          </cell>
          <cell r="F98">
            <v>1652930.79</v>
          </cell>
        </row>
      </sheetData>
      <sheetData sheetId="9">
        <row r="2">
          <cell r="B2">
            <v>0</v>
          </cell>
          <cell r="C2">
            <v>0</v>
          </cell>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row>
        <row r="4">
          <cell r="B4">
            <v>0</v>
          </cell>
          <cell r="C4" t="str">
            <v xml:space="preserve">2015年度 </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t="str">
            <v>会企04表</v>
          </cell>
        </row>
        <row r="5">
          <cell r="B5">
            <v>0</v>
          </cell>
          <cell r="C5" t="str">
            <v>编制单位：苏州启迪科技园发展有限公司</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t="str">
            <v>单位：元   币种：人民币</v>
          </cell>
          <cell r="AB5">
            <v>0</v>
          </cell>
          <cell r="AC5">
            <v>0</v>
          </cell>
          <cell r="AD5">
            <v>0</v>
          </cell>
          <cell r="AE5">
            <v>0</v>
          </cell>
        </row>
        <row r="6">
          <cell r="B6">
            <v>0</v>
          </cell>
          <cell r="C6">
            <v>0</v>
          </cell>
          <cell r="D6" t="str">
            <v>本期金额</v>
          </cell>
          <cell r="E6">
            <v>0</v>
          </cell>
          <cell r="F6">
            <v>0</v>
          </cell>
          <cell r="G6">
            <v>0</v>
          </cell>
          <cell r="H6">
            <v>0</v>
          </cell>
          <cell r="I6">
            <v>0</v>
          </cell>
          <cell r="J6">
            <v>0</v>
          </cell>
          <cell r="K6">
            <v>0</v>
          </cell>
          <cell r="L6">
            <v>0</v>
          </cell>
          <cell r="M6">
            <v>0</v>
          </cell>
          <cell r="N6">
            <v>0</v>
          </cell>
          <cell r="O6">
            <v>0</v>
          </cell>
          <cell r="P6">
            <v>0</v>
          </cell>
          <cell r="Q6">
            <v>0</v>
          </cell>
          <cell r="R6" t="str">
            <v>上年同期金额</v>
          </cell>
          <cell r="S6">
            <v>0</v>
          </cell>
          <cell r="T6">
            <v>0</v>
          </cell>
          <cell r="U6">
            <v>0</v>
          </cell>
          <cell r="V6">
            <v>0</v>
          </cell>
          <cell r="W6">
            <v>0</v>
          </cell>
          <cell r="X6">
            <v>0</v>
          </cell>
          <cell r="Y6">
            <v>0</v>
          </cell>
          <cell r="Z6">
            <v>0</v>
          </cell>
          <cell r="AA6">
            <v>0</v>
          </cell>
          <cell r="AB6">
            <v>0</v>
          </cell>
          <cell r="AC6">
            <v>0</v>
          </cell>
          <cell r="AD6">
            <v>0</v>
          </cell>
          <cell r="AE6">
            <v>0</v>
          </cell>
        </row>
        <row r="7">
          <cell r="B7">
            <v>0</v>
          </cell>
          <cell r="C7">
            <v>0</v>
          </cell>
          <cell r="D7" t="str">
            <v>归属于母公司所有者权益</v>
          </cell>
          <cell r="E7">
            <v>0</v>
          </cell>
          <cell r="F7">
            <v>0</v>
          </cell>
          <cell r="G7">
            <v>0</v>
          </cell>
          <cell r="H7">
            <v>0</v>
          </cell>
          <cell r="I7">
            <v>0</v>
          </cell>
          <cell r="J7">
            <v>0</v>
          </cell>
          <cell r="K7">
            <v>0</v>
          </cell>
          <cell r="L7">
            <v>0</v>
          </cell>
          <cell r="M7">
            <v>0</v>
          </cell>
          <cell r="N7">
            <v>0</v>
          </cell>
          <cell r="O7">
            <v>0</v>
          </cell>
          <cell r="P7">
            <v>0</v>
          </cell>
          <cell r="Q7">
            <v>0</v>
          </cell>
          <cell r="R7" t="str">
            <v>归属于母公司所有者权益</v>
          </cell>
          <cell r="S7">
            <v>0</v>
          </cell>
          <cell r="T7">
            <v>0</v>
          </cell>
          <cell r="U7">
            <v>0</v>
          </cell>
          <cell r="V7">
            <v>0</v>
          </cell>
          <cell r="W7">
            <v>0</v>
          </cell>
          <cell r="X7">
            <v>0</v>
          </cell>
          <cell r="Y7">
            <v>0</v>
          </cell>
          <cell r="Z7">
            <v>0</v>
          </cell>
          <cell r="AA7">
            <v>0</v>
          </cell>
          <cell r="AB7">
            <v>0</v>
          </cell>
          <cell r="AC7">
            <v>0</v>
          </cell>
          <cell r="AD7">
            <v>0</v>
          </cell>
          <cell r="AE7">
            <v>0</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20000000</v>
          </cell>
          <cell r="E9">
            <v>0</v>
          </cell>
          <cell r="F9">
            <v>0</v>
          </cell>
          <cell r="G9">
            <v>0</v>
          </cell>
          <cell r="H9">
            <v>0</v>
          </cell>
          <cell r="I9">
            <v>0</v>
          </cell>
          <cell r="J9">
            <v>0</v>
          </cell>
          <cell r="K9">
            <v>0</v>
          </cell>
          <cell r="L9">
            <v>0</v>
          </cell>
          <cell r="M9">
            <v>0</v>
          </cell>
          <cell r="N9">
            <v>-2233942.6</v>
          </cell>
          <cell r="O9">
            <v>0</v>
          </cell>
          <cell r="P9">
            <v>0</v>
          </cell>
          <cell r="Q9">
            <v>17766057.399999999</v>
          </cell>
          <cell r="R9">
            <v>0</v>
          </cell>
          <cell r="S9">
            <v>0</v>
          </cell>
          <cell r="T9">
            <v>0</v>
          </cell>
          <cell r="U9">
            <v>0</v>
          </cell>
          <cell r="V9">
            <v>0</v>
          </cell>
          <cell r="W9">
            <v>0</v>
          </cell>
          <cell r="X9">
            <v>0</v>
          </cell>
          <cell r="Y9">
            <v>0</v>
          </cell>
          <cell r="Z9">
            <v>0</v>
          </cell>
          <cell r="AA9">
            <v>0</v>
          </cell>
          <cell r="AB9">
            <v>0</v>
          </cell>
          <cell r="AC9">
            <v>0</v>
          </cell>
          <cell r="AD9">
            <v>0</v>
          </cell>
          <cell r="AE9">
            <v>0</v>
          </cell>
        </row>
        <row r="10">
          <cell r="B10" t="str">
            <v>02</v>
          </cell>
          <cell r="C10" t="str">
            <v>加：会计政策变更</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20000000</v>
          </cell>
          <cell r="E14">
            <v>0</v>
          </cell>
          <cell r="F14">
            <v>0</v>
          </cell>
          <cell r="G14">
            <v>0</v>
          </cell>
          <cell r="H14">
            <v>0</v>
          </cell>
          <cell r="I14">
            <v>0</v>
          </cell>
          <cell r="J14">
            <v>0</v>
          </cell>
          <cell r="K14">
            <v>0</v>
          </cell>
          <cell r="L14">
            <v>0</v>
          </cell>
          <cell r="M14">
            <v>0</v>
          </cell>
          <cell r="N14">
            <v>-2233942.6</v>
          </cell>
          <cell r="O14">
            <v>0</v>
          </cell>
          <cell r="P14">
            <v>0</v>
          </cell>
          <cell r="Q14">
            <v>17766057.399999999</v>
          </cell>
          <cell r="R14">
            <v>0</v>
          </cell>
          <cell r="S14">
            <v>0</v>
          </cell>
          <cell r="T14">
            <v>0</v>
          </cell>
          <cell r="U14">
            <v>0</v>
          </cell>
          <cell r="V14">
            <v>0</v>
          </cell>
          <cell r="W14">
            <v>0</v>
          </cell>
          <cell r="X14">
            <v>0</v>
          </cell>
          <cell r="Y14">
            <v>0</v>
          </cell>
          <cell r="Z14">
            <v>0</v>
          </cell>
          <cell r="AA14">
            <v>0</v>
          </cell>
          <cell r="AB14">
            <v>0</v>
          </cell>
          <cell r="AC14">
            <v>0</v>
          </cell>
          <cell r="AD14">
            <v>0</v>
          </cell>
          <cell r="AE14">
            <v>0</v>
          </cell>
        </row>
        <row r="15">
          <cell r="B15" t="str">
            <v>90</v>
          </cell>
          <cell r="C15" t="str">
            <v>三、本年增减变动金额（减少以“－”号填列）</v>
          </cell>
          <cell r="D15">
            <v>0</v>
          </cell>
          <cell r="E15">
            <v>0</v>
          </cell>
          <cell r="F15">
            <v>0</v>
          </cell>
          <cell r="G15">
            <v>0</v>
          </cell>
          <cell r="H15">
            <v>0</v>
          </cell>
          <cell r="I15">
            <v>0</v>
          </cell>
          <cell r="J15">
            <v>0</v>
          </cell>
          <cell r="K15">
            <v>0</v>
          </cell>
          <cell r="L15">
            <v>0</v>
          </cell>
          <cell r="M15">
            <v>0</v>
          </cell>
          <cell r="N15">
            <v>-7831797.5899999999</v>
          </cell>
          <cell r="O15">
            <v>0</v>
          </cell>
          <cell r="P15">
            <v>0</v>
          </cell>
          <cell r="Q15">
            <v>-7831797.5899999999</v>
          </cell>
          <cell r="R15">
            <v>20000000</v>
          </cell>
          <cell r="S15">
            <v>0</v>
          </cell>
          <cell r="T15">
            <v>0</v>
          </cell>
          <cell r="U15">
            <v>0</v>
          </cell>
          <cell r="V15">
            <v>0</v>
          </cell>
          <cell r="W15">
            <v>0</v>
          </cell>
          <cell r="X15">
            <v>0</v>
          </cell>
          <cell r="Y15">
            <v>0</v>
          </cell>
          <cell r="Z15">
            <v>0</v>
          </cell>
          <cell r="AA15">
            <v>0</v>
          </cell>
          <cell r="AB15">
            <v>-2315528.35</v>
          </cell>
          <cell r="AC15">
            <v>0</v>
          </cell>
          <cell r="AD15">
            <v>0</v>
          </cell>
          <cell r="AE15">
            <v>17684471.649999999</v>
          </cell>
        </row>
        <row r="16">
          <cell r="B16" t="str">
            <v>21</v>
          </cell>
          <cell r="C16" t="str">
            <v>（一）净利润</v>
          </cell>
          <cell r="D16">
            <v>0</v>
          </cell>
          <cell r="E16">
            <v>0</v>
          </cell>
          <cell r="F16">
            <v>0</v>
          </cell>
          <cell r="G16">
            <v>0</v>
          </cell>
          <cell r="H16">
            <v>0</v>
          </cell>
          <cell r="I16">
            <v>0</v>
          </cell>
          <cell r="J16">
            <v>0</v>
          </cell>
          <cell r="K16">
            <v>0</v>
          </cell>
          <cell r="L16">
            <v>0</v>
          </cell>
          <cell r="M16">
            <v>0</v>
          </cell>
          <cell r="N16">
            <v>-7831797.5899999999</v>
          </cell>
          <cell r="O16">
            <v>0</v>
          </cell>
          <cell r="P16">
            <v>0</v>
          </cell>
          <cell r="Q16">
            <v>-7831797.5899999999</v>
          </cell>
          <cell r="R16">
            <v>0</v>
          </cell>
          <cell r="S16">
            <v>0</v>
          </cell>
          <cell r="T16">
            <v>0</v>
          </cell>
          <cell r="U16">
            <v>0</v>
          </cell>
          <cell r="V16">
            <v>0</v>
          </cell>
          <cell r="W16">
            <v>0</v>
          </cell>
          <cell r="X16">
            <v>0</v>
          </cell>
          <cell r="Y16">
            <v>0</v>
          </cell>
          <cell r="Z16">
            <v>0</v>
          </cell>
          <cell r="AA16">
            <v>0</v>
          </cell>
          <cell r="AB16">
            <v>-2315528.35</v>
          </cell>
          <cell r="AC16">
            <v>0</v>
          </cell>
          <cell r="AD16">
            <v>0</v>
          </cell>
          <cell r="AE16">
            <v>-2315528.35</v>
          </cell>
        </row>
        <row r="17">
          <cell r="B17" t="str">
            <v>30</v>
          </cell>
          <cell r="C17" t="str">
            <v>（二）其他综合收益</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D18">
            <v>0</v>
          </cell>
          <cell r="E18">
            <v>0</v>
          </cell>
          <cell r="F18">
            <v>0</v>
          </cell>
          <cell r="G18">
            <v>0</v>
          </cell>
          <cell r="H18">
            <v>0</v>
          </cell>
          <cell r="I18">
            <v>0</v>
          </cell>
          <cell r="J18">
            <v>0</v>
          </cell>
          <cell r="K18">
            <v>0</v>
          </cell>
          <cell r="L18">
            <v>0</v>
          </cell>
          <cell r="M18">
            <v>0</v>
          </cell>
          <cell r="N18">
            <v>-7831797.5899999999</v>
          </cell>
          <cell r="O18">
            <v>0</v>
          </cell>
          <cell r="P18">
            <v>0</v>
          </cell>
          <cell r="Q18">
            <v>-7831797.5899999999</v>
          </cell>
          <cell r="R18">
            <v>0</v>
          </cell>
          <cell r="S18">
            <v>0</v>
          </cell>
          <cell r="T18">
            <v>0</v>
          </cell>
          <cell r="U18">
            <v>0</v>
          </cell>
          <cell r="V18">
            <v>0</v>
          </cell>
          <cell r="W18">
            <v>0</v>
          </cell>
          <cell r="X18">
            <v>0</v>
          </cell>
          <cell r="Y18">
            <v>0</v>
          </cell>
          <cell r="Z18">
            <v>0</v>
          </cell>
          <cell r="AA18">
            <v>0</v>
          </cell>
          <cell r="AB18">
            <v>-2315528.35</v>
          </cell>
          <cell r="AC18">
            <v>0</v>
          </cell>
          <cell r="AD18">
            <v>0</v>
          </cell>
          <cell r="AE18">
            <v>-2315528.35</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20000000</v>
          </cell>
          <cell r="S19">
            <v>0</v>
          </cell>
          <cell r="T19">
            <v>0</v>
          </cell>
          <cell r="U19">
            <v>0</v>
          </cell>
          <cell r="V19">
            <v>0</v>
          </cell>
          <cell r="W19">
            <v>0</v>
          </cell>
          <cell r="X19">
            <v>0</v>
          </cell>
          <cell r="Y19">
            <v>0</v>
          </cell>
          <cell r="Z19">
            <v>0</v>
          </cell>
          <cell r="AA19">
            <v>0</v>
          </cell>
          <cell r="AB19">
            <v>0</v>
          </cell>
          <cell r="AC19">
            <v>0</v>
          </cell>
          <cell r="AD19">
            <v>0</v>
          </cell>
          <cell r="AE19">
            <v>20000000</v>
          </cell>
        </row>
        <row r="20">
          <cell r="B20" t="str">
            <v>51</v>
          </cell>
          <cell r="C20" t="str">
            <v>1．股东投入的普通股</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20000000</v>
          </cell>
          <cell r="S20">
            <v>0</v>
          </cell>
          <cell r="T20">
            <v>0</v>
          </cell>
          <cell r="U20">
            <v>0</v>
          </cell>
          <cell r="V20">
            <v>0</v>
          </cell>
          <cell r="W20">
            <v>0</v>
          </cell>
          <cell r="X20">
            <v>0</v>
          </cell>
          <cell r="Y20">
            <v>0</v>
          </cell>
          <cell r="Z20">
            <v>0</v>
          </cell>
          <cell r="AA20">
            <v>0</v>
          </cell>
          <cell r="AB20">
            <v>0</v>
          </cell>
          <cell r="AC20">
            <v>0</v>
          </cell>
          <cell r="AD20">
            <v>0</v>
          </cell>
          <cell r="AE20">
            <v>20000000</v>
          </cell>
        </row>
        <row r="21">
          <cell r="B21" t="str">
            <v>53</v>
          </cell>
          <cell r="C21" t="str">
            <v>2．其他权益工具持有者投入资本</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row>
        <row r="23">
          <cell r="B23" t="str">
            <v>56</v>
          </cell>
          <cell r="C23" t="str">
            <v>4．其他</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row>
        <row r="25">
          <cell r="B25" t="str">
            <v>61</v>
          </cell>
          <cell r="C25" t="str">
            <v>1．提取盈余公积</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row>
        <row r="26">
          <cell r="B26" t="str">
            <v>62</v>
          </cell>
          <cell r="C26" t="str">
            <v>2．提取一般风险准备</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2．对股东（或所有者）的分配</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B28" t="str">
            <v>66</v>
          </cell>
          <cell r="C28" t="str">
            <v>3．其他</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4．结转重新计量设定受益计划净负债或净资产所产生的变动</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row>
        <row r="36">
          <cell r="B36" t="str">
            <v>81</v>
          </cell>
          <cell r="C36" t="str">
            <v>1．本期提取</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row>
        <row r="37">
          <cell r="B37" t="str">
            <v>82</v>
          </cell>
          <cell r="C37" t="str">
            <v>2．本期使用（以负号填列）</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20000000</v>
          </cell>
          <cell r="E39">
            <v>0</v>
          </cell>
          <cell r="F39">
            <v>0</v>
          </cell>
          <cell r="G39">
            <v>0</v>
          </cell>
          <cell r="H39">
            <v>0</v>
          </cell>
          <cell r="I39">
            <v>0</v>
          </cell>
          <cell r="J39">
            <v>0</v>
          </cell>
          <cell r="K39">
            <v>0</v>
          </cell>
          <cell r="L39">
            <v>0</v>
          </cell>
          <cell r="M39">
            <v>0</v>
          </cell>
          <cell r="N39">
            <v>-10065740.189999999</v>
          </cell>
          <cell r="O39">
            <v>0</v>
          </cell>
          <cell r="P39">
            <v>0</v>
          </cell>
          <cell r="Q39">
            <v>9934259.8100000005</v>
          </cell>
          <cell r="R39">
            <v>20000000</v>
          </cell>
          <cell r="S39">
            <v>0</v>
          </cell>
          <cell r="T39">
            <v>0</v>
          </cell>
          <cell r="U39">
            <v>0</v>
          </cell>
          <cell r="V39">
            <v>0</v>
          </cell>
          <cell r="W39">
            <v>0</v>
          </cell>
          <cell r="X39">
            <v>0</v>
          </cell>
          <cell r="Y39">
            <v>0</v>
          </cell>
          <cell r="Z39">
            <v>0</v>
          </cell>
          <cell r="AA39">
            <v>0</v>
          </cell>
          <cell r="AB39">
            <v>-2315528.35</v>
          </cell>
          <cell r="AC39">
            <v>0</v>
          </cell>
          <cell r="AD39">
            <v>0</v>
          </cell>
          <cell r="AE39">
            <v>17684471.649999999</v>
          </cell>
        </row>
      </sheetData>
      <sheetData sheetId="10">
        <row r="6">
          <cell r="D6">
            <v>0</v>
          </cell>
          <cell r="E6">
            <v>0</v>
          </cell>
          <cell r="F6" t="str">
            <v>本期</v>
          </cell>
          <cell r="G6" t="str">
            <v>本期</v>
          </cell>
          <cell r="H6" t="str">
            <v>本期</v>
          </cell>
          <cell r="I6" t="str">
            <v>本期</v>
          </cell>
          <cell r="J6" t="str">
            <v>上期</v>
          </cell>
          <cell r="K6" t="str">
            <v>上期</v>
          </cell>
          <cell r="L6" t="str">
            <v>上期</v>
          </cell>
          <cell r="M6" t="str">
            <v>上期</v>
          </cell>
          <cell r="T6">
            <v>0</v>
          </cell>
          <cell r="U6" t="str">
            <v>前1期</v>
          </cell>
        </row>
        <row r="7">
          <cell r="D7">
            <v>0</v>
          </cell>
          <cell r="E7">
            <v>0</v>
          </cell>
          <cell r="F7" t="str">
            <v>本期</v>
          </cell>
          <cell r="G7">
            <v>0</v>
          </cell>
          <cell r="H7">
            <v>0</v>
          </cell>
          <cell r="I7">
            <v>0</v>
          </cell>
          <cell r="J7" t="str">
            <v>上期</v>
          </cell>
          <cell r="K7">
            <v>0</v>
          </cell>
          <cell r="L7">
            <v>0</v>
          </cell>
          <cell r="M7">
            <v>0</v>
          </cell>
          <cell r="T7">
            <v>0</v>
          </cell>
          <cell r="U7">
            <v>0</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cell r="T8" t="str">
            <v>itemID</v>
          </cell>
          <cell r="U8" t="str">
            <v>调整后金额</v>
          </cell>
        </row>
        <row r="9">
          <cell r="D9">
            <v>1</v>
          </cell>
          <cell r="E9" t="str">
            <v>资产负债表</v>
          </cell>
          <cell r="F9">
            <v>0</v>
          </cell>
          <cell r="G9">
            <v>0</v>
          </cell>
          <cell r="H9">
            <v>0</v>
          </cell>
          <cell r="I9">
            <v>0</v>
          </cell>
          <cell r="J9">
            <v>0</v>
          </cell>
          <cell r="K9">
            <v>0</v>
          </cell>
          <cell r="L9">
            <v>0</v>
          </cell>
          <cell r="M9">
            <v>0</v>
          </cell>
          <cell r="T9">
            <v>1</v>
          </cell>
          <cell r="U9">
            <v>0</v>
          </cell>
        </row>
        <row r="10">
          <cell r="D10">
            <v>1000</v>
          </cell>
          <cell r="E10" t="str">
            <v>流动资产项目</v>
          </cell>
          <cell r="F10">
            <v>0</v>
          </cell>
          <cell r="G10">
            <v>0</v>
          </cell>
          <cell r="H10">
            <v>0</v>
          </cell>
          <cell r="I10">
            <v>0</v>
          </cell>
          <cell r="J10">
            <v>0</v>
          </cell>
          <cell r="K10">
            <v>0</v>
          </cell>
          <cell r="L10">
            <v>0</v>
          </cell>
          <cell r="M10">
            <v>0</v>
          </cell>
          <cell r="T10">
            <v>1000</v>
          </cell>
          <cell r="U10">
            <v>0</v>
          </cell>
        </row>
        <row r="11">
          <cell r="D11">
            <v>1015</v>
          </cell>
          <cell r="E11" t="str">
            <v>货币资金</v>
          </cell>
          <cell r="F11">
            <v>1716020.45</v>
          </cell>
          <cell r="G11">
            <v>0</v>
          </cell>
          <cell r="H11">
            <v>0</v>
          </cell>
          <cell r="I11">
            <v>1716020.45</v>
          </cell>
          <cell r="J11">
            <v>1652930.79</v>
          </cell>
          <cell r="K11">
            <v>0</v>
          </cell>
          <cell r="L11">
            <v>0</v>
          </cell>
          <cell r="M11">
            <v>1652930.79</v>
          </cell>
          <cell r="T11">
            <v>1015</v>
          </cell>
          <cell r="U11">
            <v>1652930.79</v>
          </cell>
        </row>
        <row r="12">
          <cell r="D12">
            <v>1021</v>
          </cell>
          <cell r="E12" t="str">
            <v>结算备付金</v>
          </cell>
          <cell r="F12">
            <v>0</v>
          </cell>
          <cell r="G12">
            <v>0</v>
          </cell>
          <cell r="H12">
            <v>0</v>
          </cell>
          <cell r="I12">
            <v>0</v>
          </cell>
          <cell r="J12">
            <v>0</v>
          </cell>
          <cell r="K12">
            <v>0</v>
          </cell>
          <cell r="L12">
            <v>0</v>
          </cell>
          <cell r="M12">
            <v>0</v>
          </cell>
          <cell r="T12">
            <v>1021</v>
          </cell>
          <cell r="U12">
            <v>0</v>
          </cell>
        </row>
        <row r="13">
          <cell r="D13">
            <v>1302</v>
          </cell>
          <cell r="E13" t="str">
            <v>拆出资金</v>
          </cell>
          <cell r="F13">
            <v>0</v>
          </cell>
          <cell r="G13">
            <v>0</v>
          </cell>
          <cell r="H13">
            <v>0</v>
          </cell>
          <cell r="I13">
            <v>0</v>
          </cell>
          <cell r="J13">
            <v>0</v>
          </cell>
          <cell r="K13">
            <v>0</v>
          </cell>
          <cell r="L13">
            <v>0</v>
          </cell>
          <cell r="M13">
            <v>0</v>
          </cell>
          <cell r="T13">
            <v>1302</v>
          </cell>
          <cell r="U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cell r="T14">
            <v>1101</v>
          </cell>
          <cell r="U14">
            <v>0</v>
          </cell>
        </row>
        <row r="15">
          <cell r="D15">
            <v>1115</v>
          </cell>
          <cell r="E15" t="str">
            <v>衍生金融资产</v>
          </cell>
          <cell r="F15">
            <v>0</v>
          </cell>
          <cell r="G15">
            <v>0</v>
          </cell>
          <cell r="H15">
            <v>0</v>
          </cell>
          <cell r="I15">
            <v>0</v>
          </cell>
          <cell r="J15">
            <v>0</v>
          </cell>
          <cell r="K15">
            <v>0</v>
          </cell>
          <cell r="L15">
            <v>0</v>
          </cell>
          <cell r="M15">
            <v>0</v>
          </cell>
          <cell r="T15">
            <v>1115</v>
          </cell>
          <cell r="U15">
            <v>0</v>
          </cell>
        </row>
        <row r="16">
          <cell r="D16">
            <v>1121</v>
          </cell>
          <cell r="E16" t="str">
            <v>应收票据</v>
          </cell>
          <cell r="F16">
            <v>0</v>
          </cell>
          <cell r="G16">
            <v>0</v>
          </cell>
          <cell r="H16">
            <v>0</v>
          </cell>
          <cell r="I16">
            <v>0</v>
          </cell>
          <cell r="J16">
            <v>0</v>
          </cell>
          <cell r="K16">
            <v>0</v>
          </cell>
          <cell r="L16">
            <v>0</v>
          </cell>
          <cell r="M16">
            <v>0</v>
          </cell>
          <cell r="T16">
            <v>1121</v>
          </cell>
          <cell r="U16">
            <v>0</v>
          </cell>
        </row>
        <row r="17">
          <cell r="D17">
            <v>1122</v>
          </cell>
          <cell r="E17" t="str">
            <v>应收账款</v>
          </cell>
          <cell r="F17">
            <v>0</v>
          </cell>
          <cell r="G17">
            <v>363984.95</v>
          </cell>
          <cell r="H17">
            <v>18199.25</v>
          </cell>
          <cell r="I17">
            <v>345785.7</v>
          </cell>
          <cell r="J17">
            <v>106129.25</v>
          </cell>
          <cell r="K17">
            <v>0</v>
          </cell>
          <cell r="L17">
            <v>0</v>
          </cell>
          <cell r="M17">
            <v>106129.25</v>
          </cell>
          <cell r="T17">
            <v>1122</v>
          </cell>
          <cell r="U17">
            <v>106129.25</v>
          </cell>
        </row>
        <row r="18">
          <cell r="D18">
            <v>1125</v>
          </cell>
          <cell r="E18" t="str">
            <v>预付款项</v>
          </cell>
          <cell r="F18">
            <v>569860</v>
          </cell>
          <cell r="G18">
            <v>2056825</v>
          </cell>
          <cell r="H18">
            <v>120000</v>
          </cell>
          <cell r="I18">
            <v>2506685</v>
          </cell>
          <cell r="J18">
            <v>0</v>
          </cell>
          <cell r="K18">
            <v>0</v>
          </cell>
          <cell r="L18">
            <v>0</v>
          </cell>
          <cell r="M18">
            <v>0</v>
          </cell>
          <cell r="T18">
            <v>1125</v>
          </cell>
          <cell r="U18">
            <v>0</v>
          </cell>
        </row>
        <row r="19">
          <cell r="D19">
            <v>1127</v>
          </cell>
          <cell r="E19" t="str">
            <v>应收保费</v>
          </cell>
          <cell r="F19">
            <v>0</v>
          </cell>
          <cell r="G19">
            <v>0</v>
          </cell>
          <cell r="H19">
            <v>0</v>
          </cell>
          <cell r="I19">
            <v>0</v>
          </cell>
          <cell r="J19">
            <v>0</v>
          </cell>
          <cell r="K19">
            <v>0</v>
          </cell>
          <cell r="L19">
            <v>0</v>
          </cell>
          <cell r="M19">
            <v>0</v>
          </cell>
          <cell r="T19">
            <v>1127</v>
          </cell>
          <cell r="U19">
            <v>0</v>
          </cell>
        </row>
        <row r="20">
          <cell r="D20">
            <v>1211</v>
          </cell>
          <cell r="E20" t="str">
            <v>应收分保账款</v>
          </cell>
          <cell r="F20">
            <v>0</v>
          </cell>
          <cell r="G20">
            <v>0</v>
          </cell>
          <cell r="H20">
            <v>0</v>
          </cell>
          <cell r="I20">
            <v>0</v>
          </cell>
          <cell r="J20">
            <v>0</v>
          </cell>
          <cell r="K20">
            <v>0</v>
          </cell>
          <cell r="L20">
            <v>0</v>
          </cell>
          <cell r="M20">
            <v>0</v>
          </cell>
          <cell r="T20">
            <v>1211</v>
          </cell>
          <cell r="U20">
            <v>0</v>
          </cell>
        </row>
        <row r="21">
          <cell r="D21">
            <v>1212</v>
          </cell>
          <cell r="E21" t="str">
            <v>应收分保合同准备金</v>
          </cell>
          <cell r="F21">
            <v>0</v>
          </cell>
          <cell r="G21">
            <v>0</v>
          </cell>
          <cell r="H21">
            <v>0</v>
          </cell>
          <cell r="I21">
            <v>0</v>
          </cell>
          <cell r="J21">
            <v>0</v>
          </cell>
          <cell r="K21">
            <v>0</v>
          </cell>
          <cell r="L21">
            <v>0</v>
          </cell>
          <cell r="M21">
            <v>0</v>
          </cell>
          <cell r="T21">
            <v>1212</v>
          </cell>
          <cell r="U21">
            <v>0</v>
          </cell>
        </row>
        <row r="22">
          <cell r="D22">
            <v>1132</v>
          </cell>
          <cell r="E22" t="str">
            <v>应收利息</v>
          </cell>
          <cell r="F22">
            <v>0</v>
          </cell>
          <cell r="G22">
            <v>0</v>
          </cell>
          <cell r="H22">
            <v>0</v>
          </cell>
          <cell r="I22">
            <v>0</v>
          </cell>
          <cell r="J22">
            <v>0</v>
          </cell>
          <cell r="K22">
            <v>0</v>
          </cell>
          <cell r="L22">
            <v>0</v>
          </cell>
          <cell r="M22">
            <v>0</v>
          </cell>
          <cell r="T22">
            <v>1132</v>
          </cell>
          <cell r="U22">
            <v>0</v>
          </cell>
        </row>
        <row r="23">
          <cell r="D23">
            <v>1131</v>
          </cell>
          <cell r="E23" t="str">
            <v>应收股利</v>
          </cell>
          <cell r="F23">
            <v>0</v>
          </cell>
          <cell r="G23">
            <v>0</v>
          </cell>
          <cell r="H23">
            <v>0</v>
          </cell>
          <cell r="I23">
            <v>0</v>
          </cell>
          <cell r="J23">
            <v>0</v>
          </cell>
          <cell r="K23">
            <v>0</v>
          </cell>
          <cell r="L23">
            <v>0</v>
          </cell>
          <cell r="M23">
            <v>0</v>
          </cell>
          <cell r="T23">
            <v>1131</v>
          </cell>
          <cell r="U23">
            <v>0</v>
          </cell>
        </row>
        <row r="24">
          <cell r="D24">
            <v>1221</v>
          </cell>
          <cell r="E24" t="str">
            <v>其他应收款</v>
          </cell>
          <cell r="F24">
            <v>29666685</v>
          </cell>
          <cell r="G24">
            <v>0</v>
          </cell>
          <cell r="H24">
            <v>151325</v>
          </cell>
          <cell r="I24">
            <v>29515360</v>
          </cell>
          <cell r="J24">
            <v>20896435.120000001</v>
          </cell>
          <cell r="K24">
            <v>0</v>
          </cell>
          <cell r="L24">
            <v>0</v>
          </cell>
          <cell r="M24">
            <v>20896435.120000001</v>
          </cell>
          <cell r="T24">
            <v>1221</v>
          </cell>
          <cell r="U24">
            <v>20896435.120000001</v>
          </cell>
        </row>
        <row r="25">
          <cell r="D25">
            <v>1111</v>
          </cell>
          <cell r="E25" t="str">
            <v>买入返售金融资产</v>
          </cell>
          <cell r="F25">
            <v>0</v>
          </cell>
          <cell r="G25">
            <v>0</v>
          </cell>
          <cell r="H25">
            <v>0</v>
          </cell>
          <cell r="I25">
            <v>0</v>
          </cell>
          <cell r="J25">
            <v>0</v>
          </cell>
          <cell r="K25">
            <v>0</v>
          </cell>
          <cell r="L25">
            <v>0</v>
          </cell>
          <cell r="M25">
            <v>0</v>
          </cell>
          <cell r="T25">
            <v>1111</v>
          </cell>
          <cell r="U25">
            <v>0</v>
          </cell>
        </row>
        <row r="26">
          <cell r="D26">
            <v>1400</v>
          </cell>
          <cell r="E26" t="str">
            <v>存货</v>
          </cell>
          <cell r="F26">
            <v>0</v>
          </cell>
          <cell r="G26">
            <v>0</v>
          </cell>
          <cell r="H26">
            <v>0</v>
          </cell>
          <cell r="I26">
            <v>0</v>
          </cell>
          <cell r="J26">
            <v>0</v>
          </cell>
          <cell r="K26">
            <v>0</v>
          </cell>
          <cell r="L26">
            <v>0</v>
          </cell>
          <cell r="M26">
            <v>0</v>
          </cell>
          <cell r="T26">
            <v>1400</v>
          </cell>
          <cell r="U26">
            <v>0</v>
          </cell>
        </row>
        <row r="27">
          <cell r="D27">
            <v>1315</v>
          </cell>
          <cell r="E27" t="str">
            <v>划分为持有待售的资产</v>
          </cell>
          <cell r="F27">
            <v>0</v>
          </cell>
          <cell r="G27">
            <v>0</v>
          </cell>
          <cell r="H27">
            <v>0</v>
          </cell>
          <cell r="I27">
            <v>0</v>
          </cell>
          <cell r="J27">
            <v>0</v>
          </cell>
          <cell r="K27">
            <v>0</v>
          </cell>
          <cell r="L27">
            <v>0</v>
          </cell>
          <cell r="M27">
            <v>0</v>
          </cell>
          <cell r="T27">
            <v>1315</v>
          </cell>
          <cell r="U27">
            <v>0</v>
          </cell>
        </row>
        <row r="28">
          <cell r="D28">
            <v>1495</v>
          </cell>
          <cell r="E28" t="str">
            <v>一年内到期的非流动资产</v>
          </cell>
          <cell r="F28">
            <v>0</v>
          </cell>
          <cell r="G28">
            <v>0</v>
          </cell>
          <cell r="H28">
            <v>0</v>
          </cell>
          <cell r="I28">
            <v>0</v>
          </cell>
          <cell r="J28">
            <v>0</v>
          </cell>
          <cell r="K28">
            <v>0</v>
          </cell>
          <cell r="L28">
            <v>0</v>
          </cell>
          <cell r="M28">
            <v>0</v>
          </cell>
          <cell r="T28">
            <v>1495</v>
          </cell>
          <cell r="U28">
            <v>0</v>
          </cell>
        </row>
        <row r="29">
          <cell r="D29">
            <v>1496</v>
          </cell>
          <cell r="E29" t="str">
            <v>其他流动资产</v>
          </cell>
          <cell r="F29">
            <v>0</v>
          </cell>
          <cell r="G29">
            <v>0</v>
          </cell>
          <cell r="H29">
            <v>0</v>
          </cell>
          <cell r="I29">
            <v>0</v>
          </cell>
          <cell r="J29">
            <v>0</v>
          </cell>
          <cell r="K29">
            <v>0</v>
          </cell>
          <cell r="L29">
            <v>0</v>
          </cell>
          <cell r="M29">
            <v>0</v>
          </cell>
          <cell r="T29">
            <v>1496</v>
          </cell>
          <cell r="U29">
            <v>0</v>
          </cell>
        </row>
        <row r="30">
          <cell r="D30">
            <v>1498</v>
          </cell>
          <cell r="E30" t="str">
            <v>流动资产</v>
          </cell>
          <cell r="F30">
            <v>31952565.449999999</v>
          </cell>
          <cell r="G30">
            <v>2420809.9500000002</v>
          </cell>
          <cell r="H30">
            <v>289524.25</v>
          </cell>
          <cell r="I30">
            <v>34083851.149999999</v>
          </cell>
          <cell r="J30">
            <v>22655495.16</v>
          </cell>
          <cell r="K30">
            <v>0</v>
          </cell>
          <cell r="L30">
            <v>0</v>
          </cell>
          <cell r="M30">
            <v>22655495.16</v>
          </cell>
          <cell r="T30">
            <v>1498</v>
          </cell>
          <cell r="U30">
            <v>22655495.16</v>
          </cell>
        </row>
        <row r="31">
          <cell r="D31">
            <v>1500</v>
          </cell>
          <cell r="E31" t="str">
            <v>非流动资产项目</v>
          </cell>
          <cell r="F31">
            <v>0</v>
          </cell>
          <cell r="G31">
            <v>0</v>
          </cell>
          <cell r="H31">
            <v>0</v>
          </cell>
          <cell r="I31">
            <v>0</v>
          </cell>
          <cell r="J31">
            <v>0</v>
          </cell>
          <cell r="K31">
            <v>0</v>
          </cell>
          <cell r="L31">
            <v>0</v>
          </cell>
          <cell r="M31">
            <v>0</v>
          </cell>
          <cell r="T31">
            <v>1500</v>
          </cell>
          <cell r="U31">
            <v>0</v>
          </cell>
        </row>
        <row r="32">
          <cell r="D32">
            <v>1600</v>
          </cell>
          <cell r="E32" t="str">
            <v>发放委托贷款及垫款</v>
          </cell>
          <cell r="F32">
            <v>0</v>
          </cell>
          <cell r="G32">
            <v>0</v>
          </cell>
          <cell r="H32">
            <v>0</v>
          </cell>
          <cell r="I32">
            <v>0</v>
          </cell>
          <cell r="J32">
            <v>0</v>
          </cell>
          <cell r="K32">
            <v>0</v>
          </cell>
          <cell r="L32">
            <v>0</v>
          </cell>
          <cell r="M32">
            <v>0</v>
          </cell>
          <cell r="T32">
            <v>1600</v>
          </cell>
          <cell r="U32">
            <v>0</v>
          </cell>
        </row>
        <row r="33">
          <cell r="D33">
            <v>1503</v>
          </cell>
          <cell r="E33" t="str">
            <v>可供出售金融资产</v>
          </cell>
          <cell r="F33">
            <v>0</v>
          </cell>
          <cell r="G33">
            <v>0</v>
          </cell>
          <cell r="H33">
            <v>0</v>
          </cell>
          <cell r="I33">
            <v>0</v>
          </cell>
          <cell r="J33">
            <v>0</v>
          </cell>
          <cell r="K33">
            <v>0</v>
          </cell>
          <cell r="L33">
            <v>0</v>
          </cell>
          <cell r="M33">
            <v>0</v>
          </cell>
          <cell r="T33">
            <v>1503</v>
          </cell>
          <cell r="U33">
            <v>0</v>
          </cell>
        </row>
        <row r="34">
          <cell r="D34">
            <v>1501</v>
          </cell>
          <cell r="E34" t="str">
            <v>持有至到期投资</v>
          </cell>
          <cell r="F34">
            <v>0</v>
          </cell>
          <cell r="G34">
            <v>0</v>
          </cell>
          <cell r="H34">
            <v>0</v>
          </cell>
          <cell r="I34">
            <v>0</v>
          </cell>
          <cell r="J34">
            <v>0</v>
          </cell>
          <cell r="K34">
            <v>0</v>
          </cell>
          <cell r="L34">
            <v>0</v>
          </cell>
          <cell r="M34">
            <v>0</v>
          </cell>
          <cell r="T34">
            <v>1501</v>
          </cell>
          <cell r="U34">
            <v>0</v>
          </cell>
        </row>
        <row r="35">
          <cell r="D35">
            <v>1531</v>
          </cell>
          <cell r="E35" t="str">
            <v>长期应收款</v>
          </cell>
          <cell r="F35">
            <v>0</v>
          </cell>
          <cell r="G35">
            <v>0</v>
          </cell>
          <cell r="H35">
            <v>0</v>
          </cell>
          <cell r="I35">
            <v>0</v>
          </cell>
          <cell r="J35">
            <v>0</v>
          </cell>
          <cell r="K35">
            <v>0</v>
          </cell>
          <cell r="L35">
            <v>0</v>
          </cell>
          <cell r="M35">
            <v>0</v>
          </cell>
          <cell r="T35">
            <v>1531</v>
          </cell>
          <cell r="U35">
            <v>0</v>
          </cell>
        </row>
        <row r="36">
          <cell r="D36">
            <v>1515</v>
          </cell>
          <cell r="E36" t="str">
            <v>设定受益计划净资产</v>
          </cell>
          <cell r="F36">
            <v>0</v>
          </cell>
          <cell r="G36">
            <v>0</v>
          </cell>
          <cell r="H36">
            <v>0</v>
          </cell>
          <cell r="I36">
            <v>0</v>
          </cell>
          <cell r="J36">
            <v>0</v>
          </cell>
          <cell r="K36">
            <v>0</v>
          </cell>
          <cell r="L36">
            <v>0</v>
          </cell>
          <cell r="M36">
            <v>0</v>
          </cell>
          <cell r="T36">
            <v>1515</v>
          </cell>
          <cell r="U36">
            <v>0</v>
          </cell>
        </row>
        <row r="37">
          <cell r="D37">
            <v>1511</v>
          </cell>
          <cell r="E37" t="str">
            <v>长期股权投资</v>
          </cell>
          <cell r="F37">
            <v>2600000</v>
          </cell>
          <cell r="G37">
            <v>2263.2600000000002</v>
          </cell>
          <cell r="H37">
            <v>0</v>
          </cell>
          <cell r="I37">
            <v>2602263.2599999998</v>
          </cell>
          <cell r="J37">
            <v>0</v>
          </cell>
          <cell r="K37">
            <v>0</v>
          </cell>
          <cell r="L37">
            <v>0</v>
          </cell>
          <cell r="M37">
            <v>0</v>
          </cell>
          <cell r="T37">
            <v>1511</v>
          </cell>
          <cell r="U37">
            <v>0</v>
          </cell>
        </row>
        <row r="38">
          <cell r="D38">
            <v>1521</v>
          </cell>
          <cell r="E38" t="str">
            <v>投资性房地产</v>
          </cell>
          <cell r="F38">
            <v>0</v>
          </cell>
          <cell r="G38">
            <v>0</v>
          </cell>
          <cell r="H38">
            <v>0</v>
          </cell>
          <cell r="I38">
            <v>0</v>
          </cell>
          <cell r="J38">
            <v>0</v>
          </cell>
          <cell r="K38">
            <v>0</v>
          </cell>
          <cell r="L38">
            <v>0</v>
          </cell>
          <cell r="M38">
            <v>0</v>
          </cell>
          <cell r="T38">
            <v>1521</v>
          </cell>
          <cell r="U38">
            <v>0</v>
          </cell>
        </row>
        <row r="39">
          <cell r="D39">
            <v>1601</v>
          </cell>
          <cell r="E39" t="str">
            <v>固定资产</v>
          </cell>
          <cell r="F39">
            <v>165505.34</v>
          </cell>
          <cell r="G39">
            <v>0</v>
          </cell>
          <cell r="H39">
            <v>0</v>
          </cell>
          <cell r="I39">
            <v>165505.34</v>
          </cell>
          <cell r="J39">
            <v>51934.04</v>
          </cell>
          <cell r="K39">
            <v>0</v>
          </cell>
          <cell r="L39">
            <v>0</v>
          </cell>
          <cell r="M39">
            <v>51934.04</v>
          </cell>
          <cell r="T39">
            <v>1601</v>
          </cell>
          <cell r="U39">
            <v>51934.04</v>
          </cell>
        </row>
        <row r="40">
          <cell r="D40">
            <v>1604</v>
          </cell>
          <cell r="E40" t="str">
            <v>在建工程</v>
          </cell>
          <cell r="F40">
            <v>0</v>
          </cell>
          <cell r="G40">
            <v>0</v>
          </cell>
          <cell r="H40">
            <v>0</v>
          </cell>
          <cell r="I40">
            <v>0</v>
          </cell>
          <cell r="J40">
            <v>0</v>
          </cell>
          <cell r="K40">
            <v>0</v>
          </cell>
          <cell r="L40">
            <v>0</v>
          </cell>
          <cell r="M40">
            <v>0</v>
          </cell>
          <cell r="T40">
            <v>1604</v>
          </cell>
          <cell r="U40">
            <v>0</v>
          </cell>
        </row>
        <row r="41">
          <cell r="D41">
            <v>1605</v>
          </cell>
          <cell r="E41" t="str">
            <v>工程物资</v>
          </cell>
          <cell r="F41">
            <v>0</v>
          </cell>
          <cell r="G41">
            <v>0</v>
          </cell>
          <cell r="H41">
            <v>0</v>
          </cell>
          <cell r="I41">
            <v>0</v>
          </cell>
          <cell r="J41">
            <v>0</v>
          </cell>
          <cell r="K41">
            <v>0</v>
          </cell>
          <cell r="L41">
            <v>0</v>
          </cell>
          <cell r="M41">
            <v>0</v>
          </cell>
          <cell r="T41">
            <v>1605</v>
          </cell>
          <cell r="U41">
            <v>0</v>
          </cell>
        </row>
        <row r="42">
          <cell r="D42">
            <v>1606</v>
          </cell>
          <cell r="E42" t="str">
            <v>固定资产清理</v>
          </cell>
          <cell r="F42">
            <v>0</v>
          </cell>
          <cell r="G42">
            <v>0</v>
          </cell>
          <cell r="H42">
            <v>0</v>
          </cell>
          <cell r="I42">
            <v>0</v>
          </cell>
          <cell r="J42">
            <v>0</v>
          </cell>
          <cell r="K42">
            <v>0</v>
          </cell>
          <cell r="L42">
            <v>0</v>
          </cell>
          <cell r="M42">
            <v>0</v>
          </cell>
          <cell r="T42">
            <v>1606</v>
          </cell>
          <cell r="U42">
            <v>0</v>
          </cell>
        </row>
        <row r="43">
          <cell r="D43">
            <v>1621</v>
          </cell>
          <cell r="E43" t="str">
            <v>生产性生物资产</v>
          </cell>
          <cell r="F43">
            <v>0</v>
          </cell>
          <cell r="G43">
            <v>0</v>
          </cell>
          <cell r="H43">
            <v>0</v>
          </cell>
          <cell r="I43">
            <v>0</v>
          </cell>
          <cell r="J43">
            <v>0</v>
          </cell>
          <cell r="K43">
            <v>0</v>
          </cell>
          <cell r="L43">
            <v>0</v>
          </cell>
          <cell r="M43">
            <v>0</v>
          </cell>
          <cell r="T43">
            <v>1621</v>
          </cell>
          <cell r="U43">
            <v>0</v>
          </cell>
        </row>
        <row r="44">
          <cell r="D44">
            <v>1631</v>
          </cell>
          <cell r="E44" t="str">
            <v>油气资产</v>
          </cell>
          <cell r="F44">
            <v>0</v>
          </cell>
          <cell r="G44">
            <v>0</v>
          </cell>
          <cell r="H44">
            <v>0</v>
          </cell>
          <cell r="I44">
            <v>0</v>
          </cell>
          <cell r="J44">
            <v>0</v>
          </cell>
          <cell r="K44">
            <v>0</v>
          </cell>
          <cell r="L44">
            <v>0</v>
          </cell>
          <cell r="M44">
            <v>0</v>
          </cell>
          <cell r="T44">
            <v>1631</v>
          </cell>
          <cell r="U44">
            <v>0</v>
          </cell>
        </row>
        <row r="45">
          <cell r="D45">
            <v>1701</v>
          </cell>
          <cell r="E45" t="str">
            <v>无形资产</v>
          </cell>
          <cell r="F45">
            <v>1905500</v>
          </cell>
          <cell r="G45">
            <v>0</v>
          </cell>
          <cell r="H45">
            <v>1905500</v>
          </cell>
          <cell r="I45">
            <v>0</v>
          </cell>
          <cell r="J45">
            <v>0</v>
          </cell>
          <cell r="K45">
            <v>0</v>
          </cell>
          <cell r="L45">
            <v>0</v>
          </cell>
          <cell r="M45">
            <v>0</v>
          </cell>
          <cell r="T45">
            <v>1701</v>
          </cell>
          <cell r="U45">
            <v>0</v>
          </cell>
        </row>
        <row r="46">
          <cell r="D46">
            <v>1700</v>
          </cell>
          <cell r="E46" t="str">
            <v>开发支出</v>
          </cell>
          <cell r="F46">
            <v>0</v>
          </cell>
          <cell r="G46">
            <v>0</v>
          </cell>
          <cell r="H46">
            <v>0</v>
          </cell>
          <cell r="I46">
            <v>0</v>
          </cell>
          <cell r="J46">
            <v>0</v>
          </cell>
          <cell r="K46">
            <v>0</v>
          </cell>
          <cell r="L46">
            <v>0</v>
          </cell>
          <cell r="M46">
            <v>0</v>
          </cell>
          <cell r="T46">
            <v>1700</v>
          </cell>
          <cell r="U46">
            <v>0</v>
          </cell>
        </row>
        <row r="47">
          <cell r="D47">
            <v>1711</v>
          </cell>
          <cell r="E47" t="str">
            <v>商誉</v>
          </cell>
          <cell r="F47">
            <v>0</v>
          </cell>
          <cell r="G47">
            <v>0</v>
          </cell>
          <cell r="H47">
            <v>0</v>
          </cell>
          <cell r="I47">
            <v>0</v>
          </cell>
          <cell r="J47">
            <v>0</v>
          </cell>
          <cell r="K47">
            <v>0</v>
          </cell>
          <cell r="L47">
            <v>0</v>
          </cell>
          <cell r="M47">
            <v>0</v>
          </cell>
          <cell r="T47">
            <v>1711</v>
          </cell>
          <cell r="U47">
            <v>0</v>
          </cell>
        </row>
        <row r="48">
          <cell r="D48">
            <v>1801</v>
          </cell>
          <cell r="E48" t="str">
            <v>长期待摊费用</v>
          </cell>
          <cell r="F48">
            <v>0</v>
          </cell>
          <cell r="G48">
            <v>0</v>
          </cell>
          <cell r="H48">
            <v>0</v>
          </cell>
          <cell r="I48">
            <v>0</v>
          </cell>
          <cell r="J48">
            <v>0</v>
          </cell>
          <cell r="K48">
            <v>0</v>
          </cell>
          <cell r="L48">
            <v>0</v>
          </cell>
          <cell r="M48">
            <v>0</v>
          </cell>
          <cell r="T48">
            <v>1801</v>
          </cell>
          <cell r="U48">
            <v>0</v>
          </cell>
        </row>
        <row r="49">
          <cell r="D49">
            <v>1811</v>
          </cell>
          <cell r="E49" t="str">
            <v>递延所得税资产</v>
          </cell>
          <cell r="F49">
            <v>0</v>
          </cell>
          <cell r="G49">
            <v>0</v>
          </cell>
          <cell r="H49">
            <v>0</v>
          </cell>
          <cell r="I49">
            <v>0</v>
          </cell>
          <cell r="J49">
            <v>0</v>
          </cell>
          <cell r="K49">
            <v>0</v>
          </cell>
          <cell r="L49">
            <v>0</v>
          </cell>
          <cell r="M49">
            <v>0</v>
          </cell>
          <cell r="T49">
            <v>1811</v>
          </cell>
          <cell r="U49">
            <v>0</v>
          </cell>
        </row>
        <row r="50">
          <cell r="D50">
            <v>1996</v>
          </cell>
          <cell r="E50" t="str">
            <v>其他非流动资产</v>
          </cell>
          <cell r="F50">
            <v>0</v>
          </cell>
          <cell r="G50">
            <v>0</v>
          </cell>
          <cell r="H50">
            <v>0</v>
          </cell>
          <cell r="I50">
            <v>0</v>
          </cell>
          <cell r="J50">
            <v>0</v>
          </cell>
          <cell r="K50">
            <v>0</v>
          </cell>
          <cell r="L50">
            <v>0</v>
          </cell>
          <cell r="M50">
            <v>0</v>
          </cell>
          <cell r="T50">
            <v>1996</v>
          </cell>
          <cell r="U50">
            <v>0</v>
          </cell>
        </row>
        <row r="51">
          <cell r="D51">
            <v>1998</v>
          </cell>
          <cell r="E51" t="str">
            <v>非流动资产</v>
          </cell>
          <cell r="F51">
            <v>4671005.34</v>
          </cell>
          <cell r="G51">
            <v>2263.2600000000002</v>
          </cell>
          <cell r="H51">
            <v>1905500</v>
          </cell>
          <cell r="I51">
            <v>2767768.6</v>
          </cell>
          <cell r="J51">
            <v>51934.04</v>
          </cell>
          <cell r="K51">
            <v>0</v>
          </cell>
          <cell r="L51">
            <v>0</v>
          </cell>
          <cell r="M51">
            <v>51934.04</v>
          </cell>
          <cell r="T51">
            <v>1998</v>
          </cell>
          <cell r="U51">
            <v>51934.04</v>
          </cell>
        </row>
        <row r="52">
          <cell r="D52">
            <v>1999</v>
          </cell>
          <cell r="E52" t="str">
            <v>资产</v>
          </cell>
          <cell r="F52">
            <v>36623570.789999999</v>
          </cell>
          <cell r="G52">
            <v>2423073.21</v>
          </cell>
          <cell r="H52">
            <v>2195024.25</v>
          </cell>
          <cell r="I52">
            <v>36851619.75</v>
          </cell>
          <cell r="J52">
            <v>22707429.199999999</v>
          </cell>
          <cell r="K52">
            <v>0</v>
          </cell>
          <cell r="L52">
            <v>0</v>
          </cell>
          <cell r="M52">
            <v>22707429.199999999</v>
          </cell>
          <cell r="T52">
            <v>1999</v>
          </cell>
          <cell r="U52">
            <v>22707429.199999999</v>
          </cell>
        </row>
        <row r="53">
          <cell r="D53">
            <v>2000</v>
          </cell>
          <cell r="E53" t="str">
            <v>流动负债项目</v>
          </cell>
          <cell r="F53">
            <v>0</v>
          </cell>
          <cell r="G53">
            <v>0</v>
          </cell>
          <cell r="H53">
            <v>0</v>
          </cell>
          <cell r="I53">
            <v>0</v>
          </cell>
          <cell r="J53">
            <v>0</v>
          </cell>
          <cell r="K53">
            <v>0</v>
          </cell>
          <cell r="L53">
            <v>0</v>
          </cell>
          <cell r="M53">
            <v>0</v>
          </cell>
          <cell r="T53">
            <v>2000</v>
          </cell>
          <cell r="U53">
            <v>0</v>
          </cell>
        </row>
        <row r="54">
          <cell r="D54">
            <v>2001</v>
          </cell>
          <cell r="E54" t="str">
            <v>短期借款</v>
          </cell>
          <cell r="F54">
            <v>5009000</v>
          </cell>
          <cell r="G54">
            <v>0</v>
          </cell>
          <cell r="H54">
            <v>0</v>
          </cell>
          <cell r="I54">
            <v>5009000</v>
          </cell>
          <cell r="J54">
            <v>0</v>
          </cell>
          <cell r="K54">
            <v>0</v>
          </cell>
          <cell r="L54">
            <v>0</v>
          </cell>
          <cell r="M54">
            <v>0</v>
          </cell>
          <cell r="T54">
            <v>2001</v>
          </cell>
          <cell r="U54">
            <v>0</v>
          </cell>
        </row>
        <row r="55">
          <cell r="D55">
            <v>2004</v>
          </cell>
          <cell r="E55" t="str">
            <v>向中央银行借款</v>
          </cell>
          <cell r="F55">
            <v>0</v>
          </cell>
          <cell r="G55">
            <v>0</v>
          </cell>
          <cell r="H55">
            <v>0</v>
          </cell>
          <cell r="I55">
            <v>0</v>
          </cell>
          <cell r="J55">
            <v>0</v>
          </cell>
          <cell r="K55">
            <v>0</v>
          </cell>
          <cell r="L55">
            <v>0</v>
          </cell>
          <cell r="M55">
            <v>0</v>
          </cell>
          <cell r="T55">
            <v>2004</v>
          </cell>
          <cell r="U55">
            <v>0</v>
          </cell>
        </row>
        <row r="56">
          <cell r="D56">
            <v>2010</v>
          </cell>
          <cell r="E56" t="str">
            <v>吸收存款及同业存放</v>
          </cell>
          <cell r="F56">
            <v>0</v>
          </cell>
          <cell r="G56">
            <v>0</v>
          </cell>
          <cell r="H56">
            <v>0</v>
          </cell>
          <cell r="I56">
            <v>0</v>
          </cell>
          <cell r="J56">
            <v>0</v>
          </cell>
          <cell r="K56">
            <v>0</v>
          </cell>
          <cell r="L56">
            <v>0</v>
          </cell>
          <cell r="M56">
            <v>0</v>
          </cell>
          <cell r="T56">
            <v>2010</v>
          </cell>
          <cell r="U56">
            <v>0</v>
          </cell>
        </row>
        <row r="57">
          <cell r="D57">
            <v>2003</v>
          </cell>
          <cell r="E57" t="str">
            <v>拆入资金</v>
          </cell>
          <cell r="F57">
            <v>0</v>
          </cell>
          <cell r="G57">
            <v>0</v>
          </cell>
          <cell r="H57">
            <v>0</v>
          </cell>
          <cell r="I57">
            <v>0</v>
          </cell>
          <cell r="J57">
            <v>0</v>
          </cell>
          <cell r="K57">
            <v>0</v>
          </cell>
          <cell r="L57">
            <v>0</v>
          </cell>
          <cell r="M57">
            <v>0</v>
          </cell>
          <cell r="T57">
            <v>2003</v>
          </cell>
          <cell r="U57">
            <v>0</v>
          </cell>
        </row>
        <row r="58">
          <cell r="D58">
            <v>2101</v>
          </cell>
          <cell r="E58" t="str">
            <v>以公允价值计量且其变动计入当期损益的金融负债</v>
          </cell>
          <cell r="F58">
            <v>0</v>
          </cell>
          <cell r="G58">
            <v>0</v>
          </cell>
          <cell r="H58">
            <v>0</v>
          </cell>
          <cell r="I58">
            <v>0</v>
          </cell>
          <cell r="J58">
            <v>0</v>
          </cell>
          <cell r="K58">
            <v>0</v>
          </cell>
          <cell r="L58">
            <v>0</v>
          </cell>
          <cell r="M58">
            <v>0</v>
          </cell>
          <cell r="T58">
            <v>2101</v>
          </cell>
          <cell r="U58">
            <v>0</v>
          </cell>
        </row>
        <row r="59">
          <cell r="D59">
            <v>2115</v>
          </cell>
          <cell r="E59" t="str">
            <v>衍生金融负债</v>
          </cell>
          <cell r="F59">
            <v>0</v>
          </cell>
          <cell r="G59">
            <v>0</v>
          </cell>
          <cell r="H59">
            <v>0</v>
          </cell>
          <cell r="I59">
            <v>0</v>
          </cell>
          <cell r="J59">
            <v>0</v>
          </cell>
          <cell r="K59">
            <v>0</v>
          </cell>
          <cell r="L59">
            <v>0</v>
          </cell>
          <cell r="M59">
            <v>0</v>
          </cell>
          <cell r="T59">
            <v>2115</v>
          </cell>
          <cell r="U59">
            <v>0</v>
          </cell>
        </row>
        <row r="60">
          <cell r="D60">
            <v>2201</v>
          </cell>
          <cell r="E60" t="str">
            <v>应付票据</v>
          </cell>
          <cell r="F60">
            <v>0</v>
          </cell>
          <cell r="G60">
            <v>0</v>
          </cell>
          <cell r="H60">
            <v>0</v>
          </cell>
          <cell r="I60">
            <v>0</v>
          </cell>
          <cell r="J60">
            <v>0</v>
          </cell>
          <cell r="K60">
            <v>0</v>
          </cell>
          <cell r="L60">
            <v>0</v>
          </cell>
          <cell r="M60">
            <v>0</v>
          </cell>
          <cell r="T60">
            <v>2201</v>
          </cell>
          <cell r="U60">
            <v>0</v>
          </cell>
        </row>
        <row r="61">
          <cell r="D61">
            <v>2202</v>
          </cell>
          <cell r="E61" t="str">
            <v>应付账款</v>
          </cell>
          <cell r="F61">
            <v>97596</v>
          </cell>
          <cell r="G61">
            <v>0</v>
          </cell>
          <cell r="H61">
            <v>0</v>
          </cell>
          <cell r="I61">
            <v>97596</v>
          </cell>
          <cell r="J61">
            <v>30596</v>
          </cell>
          <cell r="K61">
            <v>0</v>
          </cell>
          <cell r="L61">
            <v>0</v>
          </cell>
          <cell r="M61">
            <v>30596</v>
          </cell>
          <cell r="T61">
            <v>2202</v>
          </cell>
          <cell r="U61">
            <v>30596</v>
          </cell>
        </row>
        <row r="62">
          <cell r="D62">
            <v>2205</v>
          </cell>
          <cell r="E62" t="str">
            <v>预收款项</v>
          </cell>
          <cell r="F62">
            <v>899140</v>
          </cell>
          <cell r="G62">
            <v>0</v>
          </cell>
          <cell r="H62">
            <v>0</v>
          </cell>
          <cell r="I62">
            <v>899140</v>
          </cell>
          <cell r="J62">
            <v>0</v>
          </cell>
          <cell r="K62">
            <v>0</v>
          </cell>
          <cell r="L62">
            <v>0</v>
          </cell>
          <cell r="M62">
            <v>0</v>
          </cell>
          <cell r="T62">
            <v>2205</v>
          </cell>
          <cell r="U62">
            <v>0</v>
          </cell>
        </row>
        <row r="63">
          <cell r="D63">
            <v>2111</v>
          </cell>
          <cell r="E63" t="str">
            <v>卖出回购金融资产款</v>
          </cell>
          <cell r="F63">
            <v>0</v>
          </cell>
          <cell r="G63">
            <v>0</v>
          </cell>
          <cell r="H63">
            <v>0</v>
          </cell>
          <cell r="I63">
            <v>0</v>
          </cell>
          <cell r="J63">
            <v>0</v>
          </cell>
          <cell r="K63">
            <v>0</v>
          </cell>
          <cell r="L63">
            <v>0</v>
          </cell>
          <cell r="M63">
            <v>0</v>
          </cell>
          <cell r="T63">
            <v>2111</v>
          </cell>
          <cell r="U63">
            <v>0</v>
          </cell>
        </row>
        <row r="64">
          <cell r="D64">
            <v>2240</v>
          </cell>
          <cell r="E64" t="str">
            <v>应付手续费及佣金</v>
          </cell>
          <cell r="F64">
            <v>0</v>
          </cell>
          <cell r="G64">
            <v>0</v>
          </cell>
          <cell r="H64">
            <v>0</v>
          </cell>
          <cell r="I64">
            <v>0</v>
          </cell>
          <cell r="J64">
            <v>0</v>
          </cell>
          <cell r="K64">
            <v>0</v>
          </cell>
          <cell r="L64">
            <v>0</v>
          </cell>
          <cell r="M64">
            <v>0</v>
          </cell>
          <cell r="T64">
            <v>2240</v>
          </cell>
          <cell r="U64">
            <v>0</v>
          </cell>
        </row>
        <row r="65">
          <cell r="D65">
            <v>2211</v>
          </cell>
          <cell r="E65" t="str">
            <v>应付职工薪酬</v>
          </cell>
          <cell r="F65">
            <v>0</v>
          </cell>
          <cell r="G65">
            <v>0</v>
          </cell>
          <cell r="H65">
            <v>0</v>
          </cell>
          <cell r="I65">
            <v>0</v>
          </cell>
          <cell r="J65">
            <v>218550.55</v>
          </cell>
          <cell r="K65">
            <v>0</v>
          </cell>
          <cell r="L65">
            <v>0</v>
          </cell>
          <cell r="M65">
            <v>218550.55</v>
          </cell>
          <cell r="T65">
            <v>2211</v>
          </cell>
          <cell r="U65">
            <v>218550.55</v>
          </cell>
        </row>
        <row r="66">
          <cell r="D66">
            <v>2221</v>
          </cell>
          <cell r="E66" t="str">
            <v>应交税费</v>
          </cell>
          <cell r="F66">
            <v>10503.72</v>
          </cell>
          <cell r="G66">
            <v>0</v>
          </cell>
          <cell r="H66">
            <v>0</v>
          </cell>
          <cell r="I66">
            <v>10503.72</v>
          </cell>
          <cell r="J66">
            <v>0</v>
          </cell>
          <cell r="K66">
            <v>0</v>
          </cell>
          <cell r="L66">
            <v>0</v>
          </cell>
          <cell r="M66">
            <v>0</v>
          </cell>
          <cell r="T66">
            <v>2221</v>
          </cell>
          <cell r="U66">
            <v>0</v>
          </cell>
        </row>
        <row r="67">
          <cell r="D67">
            <v>2231</v>
          </cell>
          <cell r="E67" t="str">
            <v>应付利息</v>
          </cell>
          <cell r="F67">
            <v>0</v>
          </cell>
          <cell r="G67">
            <v>0</v>
          </cell>
          <cell r="H67">
            <v>0</v>
          </cell>
          <cell r="I67">
            <v>0</v>
          </cell>
          <cell r="J67">
            <v>0</v>
          </cell>
          <cell r="K67">
            <v>0</v>
          </cell>
          <cell r="L67">
            <v>0</v>
          </cell>
          <cell r="M67">
            <v>0</v>
          </cell>
          <cell r="T67">
            <v>2231</v>
          </cell>
          <cell r="U67">
            <v>0</v>
          </cell>
        </row>
        <row r="68">
          <cell r="D68">
            <v>2232</v>
          </cell>
          <cell r="E68" t="str">
            <v>应付股利</v>
          </cell>
          <cell r="F68">
            <v>0</v>
          </cell>
          <cell r="G68">
            <v>0</v>
          </cell>
          <cell r="H68">
            <v>0</v>
          </cell>
          <cell r="I68">
            <v>0</v>
          </cell>
          <cell r="J68">
            <v>0</v>
          </cell>
          <cell r="K68">
            <v>0</v>
          </cell>
          <cell r="L68">
            <v>0</v>
          </cell>
          <cell r="M68">
            <v>0</v>
          </cell>
          <cell r="T68">
            <v>2232</v>
          </cell>
          <cell r="U68">
            <v>0</v>
          </cell>
        </row>
        <row r="69">
          <cell r="D69">
            <v>2241</v>
          </cell>
          <cell r="E69" t="str">
            <v>其他应付款</v>
          </cell>
          <cell r="F69">
            <v>20673071.260000002</v>
          </cell>
          <cell r="G69">
            <v>0</v>
          </cell>
          <cell r="H69">
            <v>0</v>
          </cell>
          <cell r="I69">
            <v>20673071.260000002</v>
          </cell>
          <cell r="J69">
            <v>4773811</v>
          </cell>
          <cell r="K69">
            <v>0</v>
          </cell>
          <cell r="L69">
            <v>0</v>
          </cell>
          <cell r="M69">
            <v>4773811</v>
          </cell>
          <cell r="T69">
            <v>2241</v>
          </cell>
          <cell r="U69">
            <v>4773811</v>
          </cell>
        </row>
        <row r="70">
          <cell r="D70">
            <v>2261</v>
          </cell>
          <cell r="E70" t="str">
            <v>应付分保账款</v>
          </cell>
          <cell r="F70">
            <v>0</v>
          </cell>
          <cell r="G70">
            <v>0</v>
          </cell>
          <cell r="H70">
            <v>0</v>
          </cell>
          <cell r="I70">
            <v>0</v>
          </cell>
          <cell r="J70">
            <v>0</v>
          </cell>
          <cell r="K70">
            <v>0</v>
          </cell>
          <cell r="L70">
            <v>0</v>
          </cell>
          <cell r="M70">
            <v>0</v>
          </cell>
          <cell r="T70">
            <v>2261</v>
          </cell>
          <cell r="U70">
            <v>0</v>
          </cell>
        </row>
        <row r="71">
          <cell r="D71">
            <v>2310</v>
          </cell>
          <cell r="E71" t="str">
            <v>保险合同准备金</v>
          </cell>
          <cell r="F71">
            <v>0</v>
          </cell>
          <cell r="G71">
            <v>0</v>
          </cell>
          <cell r="H71">
            <v>0</v>
          </cell>
          <cell r="I71">
            <v>0</v>
          </cell>
          <cell r="J71">
            <v>0</v>
          </cell>
          <cell r="K71">
            <v>0</v>
          </cell>
          <cell r="L71">
            <v>0</v>
          </cell>
          <cell r="M71">
            <v>0</v>
          </cell>
          <cell r="T71">
            <v>2310</v>
          </cell>
          <cell r="U71">
            <v>0</v>
          </cell>
        </row>
        <row r="72">
          <cell r="D72">
            <v>2311</v>
          </cell>
          <cell r="E72" t="str">
            <v>代理买卖证券款</v>
          </cell>
          <cell r="F72">
            <v>0</v>
          </cell>
          <cell r="G72">
            <v>0</v>
          </cell>
          <cell r="H72">
            <v>0</v>
          </cell>
          <cell r="I72">
            <v>0</v>
          </cell>
          <cell r="J72">
            <v>0</v>
          </cell>
          <cell r="K72">
            <v>0</v>
          </cell>
          <cell r="L72">
            <v>0</v>
          </cell>
          <cell r="M72">
            <v>0</v>
          </cell>
          <cell r="T72">
            <v>2311</v>
          </cell>
          <cell r="U72">
            <v>0</v>
          </cell>
        </row>
        <row r="73">
          <cell r="D73">
            <v>2312</v>
          </cell>
          <cell r="E73" t="str">
            <v>代理承销证券款</v>
          </cell>
          <cell r="F73">
            <v>0</v>
          </cell>
          <cell r="G73">
            <v>0</v>
          </cell>
          <cell r="H73">
            <v>0</v>
          </cell>
          <cell r="I73">
            <v>0</v>
          </cell>
          <cell r="J73">
            <v>0</v>
          </cell>
          <cell r="K73">
            <v>0</v>
          </cell>
          <cell r="L73">
            <v>0</v>
          </cell>
          <cell r="M73">
            <v>0</v>
          </cell>
          <cell r="T73">
            <v>2312</v>
          </cell>
          <cell r="U73">
            <v>0</v>
          </cell>
        </row>
        <row r="74">
          <cell r="D74">
            <v>2315</v>
          </cell>
          <cell r="E74" t="str">
            <v>划分为持有待售的负债</v>
          </cell>
          <cell r="F74">
            <v>0</v>
          </cell>
          <cell r="G74">
            <v>0</v>
          </cell>
          <cell r="H74">
            <v>0</v>
          </cell>
          <cell r="I74">
            <v>0</v>
          </cell>
          <cell r="J74">
            <v>0</v>
          </cell>
          <cell r="K74">
            <v>0</v>
          </cell>
          <cell r="L74">
            <v>0</v>
          </cell>
          <cell r="M74">
            <v>0</v>
          </cell>
          <cell r="T74">
            <v>2315</v>
          </cell>
          <cell r="U74">
            <v>0</v>
          </cell>
        </row>
        <row r="75">
          <cell r="D75">
            <v>2395</v>
          </cell>
          <cell r="E75" t="str">
            <v>一年内到期的非流动负债</v>
          </cell>
          <cell r="F75">
            <v>0</v>
          </cell>
          <cell r="G75">
            <v>0</v>
          </cell>
          <cell r="H75">
            <v>0</v>
          </cell>
          <cell r="I75">
            <v>0</v>
          </cell>
          <cell r="J75">
            <v>0</v>
          </cell>
          <cell r="K75">
            <v>0</v>
          </cell>
          <cell r="L75">
            <v>0</v>
          </cell>
          <cell r="M75">
            <v>0</v>
          </cell>
          <cell r="T75">
            <v>2395</v>
          </cell>
          <cell r="U75">
            <v>0</v>
          </cell>
        </row>
        <row r="76">
          <cell r="D76">
            <v>2396</v>
          </cell>
          <cell r="E76" t="str">
            <v>其他流动负债</v>
          </cell>
          <cell r="F76">
            <v>0</v>
          </cell>
          <cell r="G76">
            <v>0</v>
          </cell>
          <cell r="H76">
            <v>0</v>
          </cell>
          <cell r="I76">
            <v>0</v>
          </cell>
          <cell r="J76">
            <v>0</v>
          </cell>
          <cell r="K76">
            <v>0</v>
          </cell>
          <cell r="L76">
            <v>0</v>
          </cell>
          <cell r="M76">
            <v>0</v>
          </cell>
          <cell r="T76">
            <v>2396</v>
          </cell>
          <cell r="U76">
            <v>0</v>
          </cell>
        </row>
        <row r="77">
          <cell r="D77">
            <v>2498</v>
          </cell>
          <cell r="E77" t="str">
            <v>流动负债</v>
          </cell>
          <cell r="F77">
            <v>26689310.98</v>
          </cell>
          <cell r="G77">
            <v>0</v>
          </cell>
          <cell r="H77">
            <v>0</v>
          </cell>
          <cell r="I77">
            <v>26689310.98</v>
          </cell>
          <cell r="J77">
            <v>5022957.55</v>
          </cell>
          <cell r="K77">
            <v>0</v>
          </cell>
          <cell r="L77">
            <v>0</v>
          </cell>
          <cell r="M77">
            <v>5022957.55</v>
          </cell>
          <cell r="T77">
            <v>2498</v>
          </cell>
          <cell r="U77">
            <v>5022957.55</v>
          </cell>
        </row>
        <row r="78">
          <cell r="D78">
            <v>2500</v>
          </cell>
          <cell r="E78" t="str">
            <v>非流动负债项目</v>
          </cell>
          <cell r="F78">
            <v>0</v>
          </cell>
          <cell r="G78">
            <v>0</v>
          </cell>
          <cell r="H78">
            <v>0</v>
          </cell>
          <cell r="I78">
            <v>0</v>
          </cell>
          <cell r="J78">
            <v>0</v>
          </cell>
          <cell r="K78">
            <v>0</v>
          </cell>
          <cell r="L78">
            <v>0</v>
          </cell>
          <cell r="M78">
            <v>0</v>
          </cell>
          <cell r="T78">
            <v>2500</v>
          </cell>
          <cell r="U78">
            <v>0</v>
          </cell>
        </row>
        <row r="79">
          <cell r="D79">
            <v>2501</v>
          </cell>
          <cell r="E79" t="str">
            <v>长期借款</v>
          </cell>
          <cell r="F79">
            <v>0</v>
          </cell>
          <cell r="G79">
            <v>0</v>
          </cell>
          <cell r="H79">
            <v>0</v>
          </cell>
          <cell r="I79">
            <v>0</v>
          </cell>
          <cell r="J79">
            <v>0</v>
          </cell>
          <cell r="K79">
            <v>0</v>
          </cell>
          <cell r="L79">
            <v>0</v>
          </cell>
          <cell r="M79">
            <v>0</v>
          </cell>
          <cell r="T79">
            <v>2501</v>
          </cell>
          <cell r="U79">
            <v>0</v>
          </cell>
        </row>
        <row r="80">
          <cell r="D80">
            <v>2502</v>
          </cell>
          <cell r="E80" t="str">
            <v>应付债券</v>
          </cell>
          <cell r="F80">
            <v>0</v>
          </cell>
          <cell r="G80">
            <v>0</v>
          </cell>
          <cell r="H80">
            <v>0</v>
          </cell>
          <cell r="I80">
            <v>0</v>
          </cell>
          <cell r="J80">
            <v>0</v>
          </cell>
          <cell r="K80">
            <v>0</v>
          </cell>
          <cell r="L80">
            <v>0</v>
          </cell>
          <cell r="M80">
            <v>0</v>
          </cell>
          <cell r="T80">
            <v>2502</v>
          </cell>
          <cell r="U80">
            <v>0</v>
          </cell>
        </row>
        <row r="81">
          <cell r="D81">
            <v>2502.11</v>
          </cell>
          <cell r="E81" t="str">
            <v>应付债券_优先股</v>
          </cell>
          <cell r="F81">
            <v>0</v>
          </cell>
          <cell r="G81">
            <v>0</v>
          </cell>
          <cell r="H81">
            <v>0</v>
          </cell>
          <cell r="I81">
            <v>0</v>
          </cell>
          <cell r="J81">
            <v>0</v>
          </cell>
          <cell r="K81">
            <v>0</v>
          </cell>
          <cell r="L81">
            <v>0</v>
          </cell>
          <cell r="M81">
            <v>0</v>
          </cell>
          <cell r="T81">
            <v>2502.11</v>
          </cell>
          <cell r="U81">
            <v>0</v>
          </cell>
        </row>
        <row r="82">
          <cell r="D82">
            <v>2502.31</v>
          </cell>
          <cell r="E82" t="str">
            <v>应付债券_永续债</v>
          </cell>
          <cell r="F82">
            <v>0</v>
          </cell>
          <cell r="G82">
            <v>0</v>
          </cell>
          <cell r="H82">
            <v>0</v>
          </cell>
          <cell r="I82">
            <v>0</v>
          </cell>
          <cell r="J82">
            <v>0</v>
          </cell>
          <cell r="K82">
            <v>0</v>
          </cell>
          <cell r="L82">
            <v>0</v>
          </cell>
          <cell r="M82">
            <v>0</v>
          </cell>
          <cell r="T82">
            <v>2502.31</v>
          </cell>
          <cell r="U82">
            <v>0</v>
          </cell>
        </row>
        <row r="83">
          <cell r="D83">
            <v>2701</v>
          </cell>
          <cell r="E83" t="str">
            <v>长期应付款</v>
          </cell>
          <cell r="F83">
            <v>0</v>
          </cell>
          <cell r="G83">
            <v>0</v>
          </cell>
          <cell r="H83">
            <v>0</v>
          </cell>
          <cell r="I83">
            <v>0</v>
          </cell>
          <cell r="J83">
            <v>0</v>
          </cell>
          <cell r="K83">
            <v>0</v>
          </cell>
          <cell r="L83">
            <v>0</v>
          </cell>
          <cell r="M83">
            <v>0</v>
          </cell>
          <cell r="T83">
            <v>2701</v>
          </cell>
          <cell r="U83">
            <v>0</v>
          </cell>
        </row>
        <row r="84">
          <cell r="D84">
            <v>2715</v>
          </cell>
          <cell r="E84" t="str">
            <v>长期应付职工薪酬</v>
          </cell>
          <cell r="F84">
            <v>0</v>
          </cell>
          <cell r="G84">
            <v>0</v>
          </cell>
          <cell r="H84">
            <v>0</v>
          </cell>
          <cell r="I84">
            <v>0</v>
          </cell>
          <cell r="J84">
            <v>0</v>
          </cell>
          <cell r="K84">
            <v>0</v>
          </cell>
          <cell r="L84">
            <v>0</v>
          </cell>
          <cell r="M84">
            <v>0</v>
          </cell>
          <cell r="T84">
            <v>2715</v>
          </cell>
          <cell r="U84">
            <v>0</v>
          </cell>
        </row>
        <row r="85">
          <cell r="D85">
            <v>2711</v>
          </cell>
          <cell r="E85" t="str">
            <v>专项应付款</v>
          </cell>
          <cell r="F85">
            <v>0</v>
          </cell>
          <cell r="G85">
            <v>0</v>
          </cell>
          <cell r="H85">
            <v>0</v>
          </cell>
          <cell r="I85">
            <v>0</v>
          </cell>
          <cell r="J85">
            <v>0</v>
          </cell>
          <cell r="K85">
            <v>0</v>
          </cell>
          <cell r="L85">
            <v>0</v>
          </cell>
          <cell r="M85">
            <v>0</v>
          </cell>
          <cell r="T85">
            <v>2711</v>
          </cell>
          <cell r="U85">
            <v>0</v>
          </cell>
        </row>
        <row r="86">
          <cell r="D86">
            <v>2801</v>
          </cell>
          <cell r="E86" t="str">
            <v>预计负债</v>
          </cell>
          <cell r="F86">
            <v>0</v>
          </cell>
          <cell r="G86">
            <v>0</v>
          </cell>
          <cell r="H86">
            <v>0</v>
          </cell>
          <cell r="I86">
            <v>0</v>
          </cell>
          <cell r="J86">
            <v>0</v>
          </cell>
          <cell r="K86">
            <v>0</v>
          </cell>
          <cell r="L86">
            <v>0</v>
          </cell>
          <cell r="M86">
            <v>0</v>
          </cell>
          <cell r="T86">
            <v>2801</v>
          </cell>
          <cell r="U86">
            <v>0</v>
          </cell>
        </row>
        <row r="87">
          <cell r="D87">
            <v>2401</v>
          </cell>
          <cell r="E87" t="str">
            <v>递延收益</v>
          </cell>
          <cell r="F87">
            <v>0</v>
          </cell>
          <cell r="G87">
            <v>0</v>
          </cell>
          <cell r="H87">
            <v>0</v>
          </cell>
          <cell r="I87">
            <v>0</v>
          </cell>
          <cell r="J87">
            <v>0</v>
          </cell>
          <cell r="K87">
            <v>0</v>
          </cell>
          <cell r="L87">
            <v>0</v>
          </cell>
          <cell r="M87">
            <v>0</v>
          </cell>
          <cell r="T87">
            <v>2401</v>
          </cell>
          <cell r="U87">
            <v>0</v>
          </cell>
        </row>
        <row r="88">
          <cell r="D88">
            <v>2901</v>
          </cell>
          <cell r="E88" t="str">
            <v>递延所得税负债</v>
          </cell>
          <cell r="F88">
            <v>0</v>
          </cell>
          <cell r="G88">
            <v>0</v>
          </cell>
          <cell r="H88">
            <v>0</v>
          </cell>
          <cell r="I88">
            <v>0</v>
          </cell>
          <cell r="J88">
            <v>0</v>
          </cell>
          <cell r="K88">
            <v>0</v>
          </cell>
          <cell r="L88">
            <v>0</v>
          </cell>
          <cell r="M88">
            <v>0</v>
          </cell>
          <cell r="T88">
            <v>2901</v>
          </cell>
          <cell r="U88">
            <v>0</v>
          </cell>
        </row>
        <row r="89">
          <cell r="D89">
            <v>2996</v>
          </cell>
          <cell r="E89" t="str">
            <v>其他非流动负债</v>
          </cell>
          <cell r="F89">
            <v>0</v>
          </cell>
          <cell r="G89">
            <v>0</v>
          </cell>
          <cell r="H89">
            <v>0</v>
          </cell>
          <cell r="I89">
            <v>0</v>
          </cell>
          <cell r="J89">
            <v>0</v>
          </cell>
          <cell r="K89">
            <v>0</v>
          </cell>
          <cell r="L89">
            <v>0</v>
          </cell>
          <cell r="M89">
            <v>0</v>
          </cell>
          <cell r="T89">
            <v>2996</v>
          </cell>
          <cell r="U89">
            <v>0</v>
          </cell>
        </row>
        <row r="90">
          <cell r="D90">
            <v>2998</v>
          </cell>
          <cell r="E90" t="str">
            <v>非流动负债</v>
          </cell>
          <cell r="F90">
            <v>0</v>
          </cell>
          <cell r="G90">
            <v>0</v>
          </cell>
          <cell r="H90">
            <v>0</v>
          </cell>
          <cell r="I90">
            <v>0</v>
          </cell>
          <cell r="J90">
            <v>0</v>
          </cell>
          <cell r="K90">
            <v>0</v>
          </cell>
          <cell r="L90">
            <v>0</v>
          </cell>
          <cell r="M90">
            <v>0</v>
          </cell>
          <cell r="T90">
            <v>2998</v>
          </cell>
          <cell r="U90">
            <v>0</v>
          </cell>
        </row>
        <row r="91">
          <cell r="D91">
            <v>2999</v>
          </cell>
          <cell r="E91" t="str">
            <v>负债</v>
          </cell>
          <cell r="F91">
            <v>26689310.98</v>
          </cell>
          <cell r="G91">
            <v>0</v>
          </cell>
          <cell r="H91">
            <v>0</v>
          </cell>
          <cell r="I91">
            <v>26689310.98</v>
          </cell>
          <cell r="J91">
            <v>5022957.55</v>
          </cell>
          <cell r="K91">
            <v>0</v>
          </cell>
          <cell r="L91">
            <v>0</v>
          </cell>
          <cell r="M91">
            <v>5022957.55</v>
          </cell>
          <cell r="T91">
            <v>2999</v>
          </cell>
          <cell r="U91">
            <v>5022957.55</v>
          </cell>
        </row>
        <row r="92">
          <cell r="D92">
            <v>4000</v>
          </cell>
          <cell r="E92" t="str">
            <v>所有者权益项目</v>
          </cell>
          <cell r="F92">
            <v>0</v>
          </cell>
          <cell r="G92">
            <v>0</v>
          </cell>
          <cell r="H92">
            <v>0</v>
          </cell>
          <cell r="I92">
            <v>0</v>
          </cell>
          <cell r="J92">
            <v>0</v>
          </cell>
          <cell r="K92">
            <v>0</v>
          </cell>
          <cell r="L92">
            <v>0</v>
          </cell>
          <cell r="M92">
            <v>0</v>
          </cell>
          <cell r="T92">
            <v>4000</v>
          </cell>
          <cell r="U92">
            <v>0</v>
          </cell>
        </row>
        <row r="93">
          <cell r="D93">
            <v>4001</v>
          </cell>
          <cell r="E93" t="str">
            <v>实收资本</v>
          </cell>
          <cell r="F93">
            <v>20000000</v>
          </cell>
          <cell r="G93">
            <v>0</v>
          </cell>
          <cell r="H93">
            <v>0</v>
          </cell>
          <cell r="I93">
            <v>20000000</v>
          </cell>
          <cell r="J93">
            <v>20000000</v>
          </cell>
          <cell r="K93">
            <v>0</v>
          </cell>
          <cell r="L93">
            <v>0</v>
          </cell>
          <cell r="M93">
            <v>20000000</v>
          </cell>
          <cell r="T93">
            <v>4001</v>
          </cell>
          <cell r="U93">
            <v>20000000</v>
          </cell>
        </row>
        <row r="94">
          <cell r="D94">
            <v>4015</v>
          </cell>
          <cell r="E94" t="str">
            <v>其他权益工具</v>
          </cell>
          <cell r="F94">
            <v>0</v>
          </cell>
          <cell r="G94">
            <v>0</v>
          </cell>
          <cell r="H94">
            <v>0</v>
          </cell>
          <cell r="I94">
            <v>0</v>
          </cell>
          <cell r="J94">
            <v>0</v>
          </cell>
          <cell r="K94">
            <v>0</v>
          </cell>
          <cell r="L94">
            <v>0</v>
          </cell>
          <cell r="M94">
            <v>0</v>
          </cell>
          <cell r="T94">
            <v>4015</v>
          </cell>
          <cell r="U94">
            <v>0</v>
          </cell>
        </row>
        <row r="95">
          <cell r="D95">
            <v>4015.11</v>
          </cell>
          <cell r="E95" t="str">
            <v>其他权益工具_优先股</v>
          </cell>
          <cell r="F95">
            <v>0</v>
          </cell>
          <cell r="G95">
            <v>0</v>
          </cell>
          <cell r="H95">
            <v>0</v>
          </cell>
          <cell r="I95">
            <v>0</v>
          </cell>
          <cell r="J95">
            <v>0</v>
          </cell>
          <cell r="K95">
            <v>0</v>
          </cell>
          <cell r="L95">
            <v>0</v>
          </cell>
          <cell r="M95">
            <v>0</v>
          </cell>
          <cell r="T95">
            <v>4015.11</v>
          </cell>
          <cell r="U95">
            <v>0</v>
          </cell>
        </row>
        <row r="96">
          <cell r="D96">
            <v>4015.31</v>
          </cell>
          <cell r="E96" t="str">
            <v>其他权益工具_永续债</v>
          </cell>
          <cell r="F96">
            <v>0</v>
          </cell>
          <cell r="G96">
            <v>0</v>
          </cell>
          <cell r="H96">
            <v>0</v>
          </cell>
          <cell r="I96">
            <v>0</v>
          </cell>
          <cell r="J96">
            <v>0</v>
          </cell>
          <cell r="K96">
            <v>0</v>
          </cell>
          <cell r="L96">
            <v>0</v>
          </cell>
          <cell r="M96">
            <v>0</v>
          </cell>
          <cell r="T96">
            <v>4015.31</v>
          </cell>
          <cell r="U96">
            <v>0</v>
          </cell>
        </row>
        <row r="97">
          <cell r="D97">
            <v>4002</v>
          </cell>
          <cell r="E97" t="str">
            <v>资本公积</v>
          </cell>
          <cell r="F97">
            <v>0</v>
          </cell>
          <cell r="G97">
            <v>0</v>
          </cell>
          <cell r="H97">
            <v>0</v>
          </cell>
          <cell r="I97">
            <v>0</v>
          </cell>
          <cell r="J97">
            <v>0</v>
          </cell>
          <cell r="K97">
            <v>0</v>
          </cell>
          <cell r="L97">
            <v>0</v>
          </cell>
          <cell r="M97">
            <v>0</v>
          </cell>
          <cell r="T97">
            <v>4002</v>
          </cell>
          <cell r="U97">
            <v>0</v>
          </cell>
        </row>
        <row r="98">
          <cell r="D98">
            <v>4201</v>
          </cell>
          <cell r="E98" t="str">
            <v>库存股</v>
          </cell>
          <cell r="F98">
            <v>0</v>
          </cell>
          <cell r="G98">
            <v>0</v>
          </cell>
          <cell r="H98">
            <v>0</v>
          </cell>
          <cell r="I98">
            <v>0</v>
          </cell>
          <cell r="J98">
            <v>0</v>
          </cell>
          <cell r="K98">
            <v>0</v>
          </cell>
          <cell r="L98">
            <v>0</v>
          </cell>
          <cell r="M98">
            <v>0</v>
          </cell>
          <cell r="T98">
            <v>4201</v>
          </cell>
          <cell r="U98">
            <v>0</v>
          </cell>
        </row>
        <row r="99">
          <cell r="D99">
            <v>4215</v>
          </cell>
          <cell r="E99" t="str">
            <v>其他综合收益</v>
          </cell>
          <cell r="F99">
            <v>0</v>
          </cell>
          <cell r="G99">
            <v>0</v>
          </cell>
          <cell r="H99">
            <v>0</v>
          </cell>
          <cell r="I99">
            <v>0</v>
          </cell>
          <cell r="J99">
            <v>0</v>
          </cell>
          <cell r="K99">
            <v>0</v>
          </cell>
          <cell r="L99">
            <v>0</v>
          </cell>
          <cell r="M99">
            <v>0</v>
          </cell>
          <cell r="T99">
            <v>4215</v>
          </cell>
          <cell r="U99">
            <v>0</v>
          </cell>
        </row>
        <row r="100">
          <cell r="D100">
            <v>4301</v>
          </cell>
          <cell r="E100" t="str">
            <v>专项储备</v>
          </cell>
          <cell r="F100">
            <v>0</v>
          </cell>
          <cell r="G100">
            <v>0</v>
          </cell>
          <cell r="H100">
            <v>0</v>
          </cell>
          <cell r="I100">
            <v>0</v>
          </cell>
          <cell r="J100">
            <v>0</v>
          </cell>
          <cell r="K100">
            <v>0</v>
          </cell>
          <cell r="L100">
            <v>0</v>
          </cell>
          <cell r="M100">
            <v>0</v>
          </cell>
          <cell r="T100">
            <v>4301</v>
          </cell>
          <cell r="U100">
            <v>0</v>
          </cell>
        </row>
        <row r="101">
          <cell r="D101">
            <v>4101</v>
          </cell>
          <cell r="E101" t="str">
            <v>盈余公积</v>
          </cell>
          <cell r="F101">
            <v>0</v>
          </cell>
          <cell r="G101">
            <v>0</v>
          </cell>
          <cell r="H101">
            <v>0</v>
          </cell>
          <cell r="I101">
            <v>0</v>
          </cell>
          <cell r="J101">
            <v>0</v>
          </cell>
          <cell r="K101">
            <v>0</v>
          </cell>
          <cell r="L101">
            <v>0</v>
          </cell>
          <cell r="M101">
            <v>0</v>
          </cell>
          <cell r="T101">
            <v>4101</v>
          </cell>
          <cell r="U101">
            <v>0</v>
          </cell>
        </row>
        <row r="102">
          <cell r="D102">
            <v>4102</v>
          </cell>
          <cell r="E102" t="str">
            <v>一般风险准备</v>
          </cell>
          <cell r="F102">
            <v>0</v>
          </cell>
          <cell r="G102">
            <v>0</v>
          </cell>
          <cell r="H102">
            <v>0</v>
          </cell>
          <cell r="I102">
            <v>0</v>
          </cell>
          <cell r="J102">
            <v>0</v>
          </cell>
          <cell r="K102">
            <v>0</v>
          </cell>
          <cell r="L102">
            <v>0</v>
          </cell>
          <cell r="M102">
            <v>0</v>
          </cell>
          <cell r="T102">
            <v>4102</v>
          </cell>
          <cell r="U102">
            <v>0</v>
          </cell>
        </row>
        <row r="103">
          <cell r="D103">
            <v>4200</v>
          </cell>
          <cell r="E103" t="str">
            <v>未分配利润</v>
          </cell>
          <cell r="F103">
            <v>-10065740.189999999</v>
          </cell>
          <cell r="G103">
            <v>138199.25</v>
          </cell>
          <cell r="H103">
            <v>366248.21</v>
          </cell>
          <cell r="I103">
            <v>-9837691.2300000004</v>
          </cell>
          <cell r="J103">
            <v>-2315528.35</v>
          </cell>
          <cell r="K103">
            <v>0</v>
          </cell>
          <cell r="L103">
            <v>0</v>
          </cell>
          <cell r="M103">
            <v>-2315528.35</v>
          </cell>
          <cell r="T103">
            <v>4200</v>
          </cell>
          <cell r="U103">
            <v>-2315528.35</v>
          </cell>
        </row>
        <row r="104">
          <cell r="D104">
            <v>4210</v>
          </cell>
          <cell r="E104" t="str">
            <v>外币报表折算差额</v>
          </cell>
          <cell r="F104">
            <v>0</v>
          </cell>
          <cell r="G104">
            <v>0</v>
          </cell>
          <cell r="H104">
            <v>0</v>
          </cell>
          <cell r="I104">
            <v>0</v>
          </cell>
          <cell r="J104">
            <v>0</v>
          </cell>
          <cell r="K104">
            <v>0</v>
          </cell>
          <cell r="L104">
            <v>0</v>
          </cell>
          <cell r="M104">
            <v>0</v>
          </cell>
          <cell r="T104">
            <v>4210</v>
          </cell>
          <cell r="U104">
            <v>0</v>
          </cell>
        </row>
        <row r="105">
          <cell r="D105">
            <v>4298</v>
          </cell>
          <cell r="E105" t="str">
            <v>归属于母公司所有者权益</v>
          </cell>
          <cell r="F105">
            <v>9934259.8100000005</v>
          </cell>
          <cell r="G105">
            <v>138199.25</v>
          </cell>
          <cell r="H105">
            <v>366248.21</v>
          </cell>
          <cell r="I105">
            <v>10162308.77</v>
          </cell>
          <cell r="J105">
            <v>17684471.649999999</v>
          </cell>
          <cell r="K105">
            <v>0</v>
          </cell>
          <cell r="L105">
            <v>0</v>
          </cell>
          <cell r="M105">
            <v>17684471.649999999</v>
          </cell>
          <cell r="T105">
            <v>4298</v>
          </cell>
          <cell r="U105">
            <v>17684471.649999999</v>
          </cell>
        </row>
        <row r="106">
          <cell r="D106">
            <v>4398</v>
          </cell>
          <cell r="E106" t="str">
            <v>少数股东权益</v>
          </cell>
          <cell r="F106">
            <v>0</v>
          </cell>
          <cell r="G106">
            <v>0</v>
          </cell>
          <cell r="H106">
            <v>0</v>
          </cell>
          <cell r="I106">
            <v>0</v>
          </cell>
          <cell r="J106">
            <v>0</v>
          </cell>
          <cell r="K106">
            <v>0</v>
          </cell>
          <cell r="L106">
            <v>0</v>
          </cell>
          <cell r="M106">
            <v>0</v>
          </cell>
          <cell r="T106">
            <v>4398</v>
          </cell>
          <cell r="U106">
            <v>0</v>
          </cell>
        </row>
        <row r="107">
          <cell r="D107">
            <v>4999</v>
          </cell>
          <cell r="E107" t="str">
            <v>所有者权益</v>
          </cell>
          <cell r="F107">
            <v>9934259.8100000005</v>
          </cell>
          <cell r="G107">
            <v>138199.25</v>
          </cell>
          <cell r="H107">
            <v>366248.21</v>
          </cell>
          <cell r="I107">
            <v>10162308.77</v>
          </cell>
          <cell r="J107">
            <v>17684471.649999999</v>
          </cell>
          <cell r="K107">
            <v>0</v>
          </cell>
          <cell r="L107">
            <v>0</v>
          </cell>
          <cell r="M107">
            <v>17684471.649999999</v>
          </cell>
          <cell r="T107">
            <v>4999</v>
          </cell>
          <cell r="U107">
            <v>17684471.649999999</v>
          </cell>
        </row>
        <row r="108">
          <cell r="D108">
            <v>5000</v>
          </cell>
          <cell r="E108" t="str">
            <v>负债和所有者权益</v>
          </cell>
          <cell r="F108">
            <v>36623570.789999999</v>
          </cell>
          <cell r="G108">
            <v>138199.25</v>
          </cell>
          <cell r="H108">
            <v>366248.21</v>
          </cell>
          <cell r="I108">
            <v>36851619.75</v>
          </cell>
          <cell r="J108">
            <v>22707429.199999999</v>
          </cell>
          <cell r="K108">
            <v>0</v>
          </cell>
          <cell r="L108">
            <v>0</v>
          </cell>
          <cell r="M108">
            <v>22707429.199999999</v>
          </cell>
          <cell r="T108">
            <v>5000</v>
          </cell>
          <cell r="U108">
            <v>22707429.199999999</v>
          </cell>
        </row>
        <row r="109">
          <cell r="D109">
            <v>6</v>
          </cell>
          <cell r="E109" t="str">
            <v>利润表</v>
          </cell>
          <cell r="F109">
            <v>0</v>
          </cell>
          <cell r="G109">
            <v>0</v>
          </cell>
          <cell r="H109">
            <v>0</v>
          </cell>
          <cell r="I109">
            <v>0</v>
          </cell>
          <cell r="J109">
            <v>0</v>
          </cell>
          <cell r="K109">
            <v>0</v>
          </cell>
          <cell r="L109">
            <v>0</v>
          </cell>
          <cell r="M109">
            <v>0</v>
          </cell>
          <cell r="T109">
            <v>6</v>
          </cell>
          <cell r="U109">
            <v>0</v>
          </cell>
        </row>
        <row r="110">
          <cell r="D110">
            <v>6098</v>
          </cell>
          <cell r="E110" t="str">
            <v>营业总收入</v>
          </cell>
          <cell r="F110">
            <v>259052.9</v>
          </cell>
          <cell r="G110">
            <v>0</v>
          </cell>
          <cell r="H110">
            <v>363984.95</v>
          </cell>
          <cell r="I110">
            <v>623037.85</v>
          </cell>
          <cell r="J110">
            <v>238890.6</v>
          </cell>
          <cell r="K110">
            <v>0</v>
          </cell>
          <cell r="L110">
            <v>0</v>
          </cell>
          <cell r="M110">
            <v>238890.6</v>
          </cell>
          <cell r="T110">
            <v>6098</v>
          </cell>
          <cell r="U110">
            <v>238890.6</v>
          </cell>
        </row>
        <row r="111">
          <cell r="D111">
            <v>6001</v>
          </cell>
          <cell r="E111" t="str">
            <v>营业收入</v>
          </cell>
          <cell r="F111">
            <v>259052.9</v>
          </cell>
          <cell r="G111">
            <v>0</v>
          </cell>
          <cell r="H111">
            <v>363984.95</v>
          </cell>
          <cell r="I111">
            <v>623037.85</v>
          </cell>
          <cell r="J111">
            <v>238890.6</v>
          </cell>
          <cell r="K111">
            <v>0</v>
          </cell>
          <cell r="L111">
            <v>0</v>
          </cell>
          <cell r="M111">
            <v>238890.6</v>
          </cell>
          <cell r="T111">
            <v>6001</v>
          </cell>
          <cell r="U111">
            <v>238890.6</v>
          </cell>
        </row>
        <row r="112">
          <cell r="D112">
            <v>6011</v>
          </cell>
          <cell r="E112" t="str">
            <v>利息收入</v>
          </cell>
          <cell r="F112">
            <v>0</v>
          </cell>
          <cell r="G112">
            <v>0</v>
          </cell>
          <cell r="H112">
            <v>0</v>
          </cell>
          <cell r="I112">
            <v>0</v>
          </cell>
          <cell r="J112">
            <v>0</v>
          </cell>
          <cell r="K112">
            <v>0</v>
          </cell>
          <cell r="L112">
            <v>0</v>
          </cell>
          <cell r="M112">
            <v>0</v>
          </cell>
          <cell r="T112">
            <v>6011</v>
          </cell>
          <cell r="U112">
            <v>0</v>
          </cell>
        </row>
        <row r="113">
          <cell r="D113">
            <v>6030</v>
          </cell>
          <cell r="E113" t="str">
            <v>已赚保费</v>
          </cell>
          <cell r="F113">
            <v>0</v>
          </cell>
          <cell r="G113">
            <v>0</v>
          </cell>
          <cell r="H113">
            <v>0</v>
          </cell>
          <cell r="I113">
            <v>0</v>
          </cell>
          <cell r="J113">
            <v>0</v>
          </cell>
          <cell r="K113">
            <v>0</v>
          </cell>
          <cell r="L113">
            <v>0</v>
          </cell>
          <cell r="M113">
            <v>0</v>
          </cell>
          <cell r="T113">
            <v>6030</v>
          </cell>
          <cell r="U113">
            <v>0</v>
          </cell>
        </row>
        <row r="114">
          <cell r="D114">
            <v>6021</v>
          </cell>
          <cell r="E114" t="str">
            <v>手续费及佣金收入</v>
          </cell>
          <cell r="F114">
            <v>0</v>
          </cell>
          <cell r="G114">
            <v>0</v>
          </cell>
          <cell r="H114">
            <v>0</v>
          </cell>
          <cell r="I114">
            <v>0</v>
          </cell>
          <cell r="J114">
            <v>0</v>
          </cell>
          <cell r="K114">
            <v>0</v>
          </cell>
          <cell r="L114">
            <v>0</v>
          </cell>
          <cell r="M114">
            <v>0</v>
          </cell>
          <cell r="T114">
            <v>6021</v>
          </cell>
          <cell r="U114">
            <v>0</v>
          </cell>
        </row>
        <row r="115">
          <cell r="D115">
            <v>6598</v>
          </cell>
          <cell r="E115" t="str">
            <v>营业总成本</v>
          </cell>
          <cell r="F115">
            <v>8210851.4900000002</v>
          </cell>
          <cell r="G115">
            <v>56613.5</v>
          </cell>
          <cell r="H115">
            <v>0</v>
          </cell>
          <cell r="I115">
            <v>8267464.9900000002</v>
          </cell>
          <cell r="J115">
            <v>2554419.3199999998</v>
          </cell>
          <cell r="K115">
            <v>0</v>
          </cell>
          <cell r="L115">
            <v>0</v>
          </cell>
          <cell r="M115">
            <v>2554419.3199999998</v>
          </cell>
          <cell r="T115">
            <v>6598</v>
          </cell>
          <cell r="U115">
            <v>2554419.3199999998</v>
          </cell>
        </row>
        <row r="116">
          <cell r="D116">
            <v>6401</v>
          </cell>
          <cell r="E116" t="str">
            <v>营业成本</v>
          </cell>
          <cell r="F116">
            <v>93797.92</v>
          </cell>
          <cell r="G116">
            <v>0</v>
          </cell>
          <cell r="H116">
            <v>0</v>
          </cell>
          <cell r="I116">
            <v>93797.92</v>
          </cell>
          <cell r="J116">
            <v>54783.42</v>
          </cell>
          <cell r="K116">
            <v>0</v>
          </cell>
          <cell r="L116">
            <v>0</v>
          </cell>
          <cell r="M116">
            <v>54783.42</v>
          </cell>
          <cell r="T116">
            <v>6401</v>
          </cell>
          <cell r="U116">
            <v>54783.42</v>
          </cell>
        </row>
        <row r="117">
          <cell r="D117">
            <v>6411</v>
          </cell>
          <cell r="E117" t="str">
            <v>利息支出</v>
          </cell>
          <cell r="F117">
            <v>0</v>
          </cell>
          <cell r="G117">
            <v>0</v>
          </cell>
          <cell r="H117">
            <v>0</v>
          </cell>
          <cell r="I117">
            <v>0</v>
          </cell>
          <cell r="J117">
            <v>0</v>
          </cell>
          <cell r="K117">
            <v>0</v>
          </cell>
          <cell r="L117">
            <v>0</v>
          </cell>
          <cell r="M117">
            <v>0</v>
          </cell>
          <cell r="T117">
            <v>6411</v>
          </cell>
          <cell r="U117">
            <v>0</v>
          </cell>
        </row>
        <row r="118">
          <cell r="D118">
            <v>6421</v>
          </cell>
          <cell r="E118" t="str">
            <v>手续费及佣金支出</v>
          </cell>
          <cell r="F118">
            <v>0</v>
          </cell>
          <cell r="G118">
            <v>0</v>
          </cell>
          <cell r="H118">
            <v>0</v>
          </cell>
          <cell r="I118">
            <v>0</v>
          </cell>
          <cell r="J118">
            <v>0</v>
          </cell>
          <cell r="K118">
            <v>0</v>
          </cell>
          <cell r="L118">
            <v>0</v>
          </cell>
          <cell r="M118">
            <v>0</v>
          </cell>
          <cell r="T118">
            <v>6421</v>
          </cell>
          <cell r="U118">
            <v>0</v>
          </cell>
        </row>
        <row r="119">
          <cell r="D119">
            <v>6531</v>
          </cell>
          <cell r="E119" t="str">
            <v>退保金</v>
          </cell>
          <cell r="F119">
            <v>0</v>
          </cell>
          <cell r="G119">
            <v>0</v>
          </cell>
          <cell r="H119">
            <v>0</v>
          </cell>
          <cell r="I119">
            <v>0</v>
          </cell>
          <cell r="J119">
            <v>0</v>
          </cell>
          <cell r="K119">
            <v>0</v>
          </cell>
          <cell r="L119">
            <v>0</v>
          </cell>
          <cell r="M119">
            <v>0</v>
          </cell>
          <cell r="T119">
            <v>6531</v>
          </cell>
          <cell r="U119">
            <v>0</v>
          </cell>
        </row>
        <row r="120">
          <cell r="D120">
            <v>6510</v>
          </cell>
          <cell r="E120" t="str">
            <v>赔付支出净额</v>
          </cell>
          <cell r="F120">
            <v>0</v>
          </cell>
          <cell r="G120">
            <v>0</v>
          </cell>
          <cell r="H120">
            <v>0</v>
          </cell>
          <cell r="I120">
            <v>0</v>
          </cell>
          <cell r="J120">
            <v>0</v>
          </cell>
          <cell r="K120">
            <v>0</v>
          </cell>
          <cell r="L120">
            <v>0</v>
          </cell>
          <cell r="M120">
            <v>0</v>
          </cell>
          <cell r="T120">
            <v>6510</v>
          </cell>
          <cell r="U120">
            <v>0</v>
          </cell>
        </row>
        <row r="121">
          <cell r="D121">
            <v>6505</v>
          </cell>
          <cell r="E121" t="str">
            <v>提取保险合同准备金净额</v>
          </cell>
          <cell r="F121">
            <v>0</v>
          </cell>
          <cell r="G121">
            <v>0</v>
          </cell>
          <cell r="H121">
            <v>0</v>
          </cell>
          <cell r="I121">
            <v>0</v>
          </cell>
          <cell r="J121">
            <v>0</v>
          </cell>
          <cell r="K121">
            <v>0</v>
          </cell>
          <cell r="L121">
            <v>0</v>
          </cell>
          <cell r="M121">
            <v>0</v>
          </cell>
          <cell r="T121">
            <v>6505</v>
          </cell>
          <cell r="U121">
            <v>0</v>
          </cell>
        </row>
        <row r="122">
          <cell r="D122">
            <v>6521</v>
          </cell>
          <cell r="E122" t="str">
            <v>保单红利支出</v>
          </cell>
          <cell r="F122">
            <v>0</v>
          </cell>
          <cell r="G122">
            <v>0</v>
          </cell>
          <cell r="H122">
            <v>0</v>
          </cell>
          <cell r="I122">
            <v>0</v>
          </cell>
          <cell r="J122">
            <v>0</v>
          </cell>
          <cell r="K122">
            <v>0</v>
          </cell>
          <cell r="L122">
            <v>0</v>
          </cell>
          <cell r="M122">
            <v>0</v>
          </cell>
          <cell r="T122">
            <v>6521</v>
          </cell>
          <cell r="U122">
            <v>0</v>
          </cell>
        </row>
        <row r="123">
          <cell r="D123">
            <v>6542</v>
          </cell>
          <cell r="E123" t="str">
            <v>分保费用</v>
          </cell>
          <cell r="F123">
            <v>0</v>
          </cell>
          <cell r="G123">
            <v>0</v>
          </cell>
          <cell r="H123">
            <v>0</v>
          </cell>
          <cell r="I123">
            <v>0</v>
          </cell>
          <cell r="J123">
            <v>0</v>
          </cell>
          <cell r="K123">
            <v>0</v>
          </cell>
          <cell r="L123">
            <v>0</v>
          </cell>
          <cell r="M123">
            <v>0</v>
          </cell>
          <cell r="T123">
            <v>6542</v>
          </cell>
          <cell r="U123">
            <v>0</v>
          </cell>
        </row>
        <row r="124">
          <cell r="D124">
            <v>6600</v>
          </cell>
          <cell r="E124" t="str">
            <v>营业税金及附加</v>
          </cell>
          <cell r="F124">
            <v>23307.41</v>
          </cell>
          <cell r="G124">
            <v>0</v>
          </cell>
          <cell r="H124">
            <v>0</v>
          </cell>
          <cell r="I124">
            <v>23307.41</v>
          </cell>
          <cell r="J124">
            <v>0</v>
          </cell>
          <cell r="K124">
            <v>0</v>
          </cell>
          <cell r="L124">
            <v>0</v>
          </cell>
          <cell r="M124">
            <v>0</v>
          </cell>
          <cell r="T124">
            <v>6600</v>
          </cell>
          <cell r="U124">
            <v>0</v>
          </cell>
        </row>
        <row r="125">
          <cell r="D125">
            <v>6601</v>
          </cell>
          <cell r="E125" t="str">
            <v>销售费用</v>
          </cell>
          <cell r="F125">
            <v>2568537.9700000002</v>
          </cell>
          <cell r="G125">
            <v>0</v>
          </cell>
          <cell r="H125">
            <v>0</v>
          </cell>
          <cell r="I125">
            <v>2568537.9700000002</v>
          </cell>
          <cell r="J125">
            <v>1129405.8600000001</v>
          </cell>
          <cell r="K125">
            <v>0</v>
          </cell>
          <cell r="L125">
            <v>0</v>
          </cell>
          <cell r="M125">
            <v>1129405.8600000001</v>
          </cell>
          <cell r="T125">
            <v>6601</v>
          </cell>
          <cell r="U125">
            <v>1129405.8600000001</v>
          </cell>
        </row>
        <row r="126">
          <cell r="D126">
            <v>6602</v>
          </cell>
          <cell r="E126" t="str">
            <v>管理费用</v>
          </cell>
          <cell r="F126">
            <v>5322383.05</v>
          </cell>
          <cell r="G126">
            <v>120000</v>
          </cell>
          <cell r="H126">
            <v>0</v>
          </cell>
          <cell r="I126">
            <v>5442383.0499999998</v>
          </cell>
          <cell r="J126">
            <v>1287000.8700000001</v>
          </cell>
          <cell r="K126">
            <v>0</v>
          </cell>
          <cell r="L126">
            <v>0</v>
          </cell>
          <cell r="M126">
            <v>1287000.8700000001</v>
          </cell>
          <cell r="T126">
            <v>6602</v>
          </cell>
          <cell r="U126">
            <v>1287000.8700000001</v>
          </cell>
        </row>
        <row r="127">
          <cell r="D127">
            <v>6603</v>
          </cell>
          <cell r="E127" t="str">
            <v>财务费用</v>
          </cell>
          <cell r="F127">
            <v>202825.14</v>
          </cell>
          <cell r="G127">
            <v>0</v>
          </cell>
          <cell r="H127">
            <v>0</v>
          </cell>
          <cell r="I127">
            <v>202825.14</v>
          </cell>
          <cell r="J127">
            <v>1643.42</v>
          </cell>
          <cell r="K127">
            <v>0</v>
          </cell>
          <cell r="L127">
            <v>0</v>
          </cell>
          <cell r="M127">
            <v>1643.42</v>
          </cell>
          <cell r="T127">
            <v>6603</v>
          </cell>
          <cell r="U127">
            <v>1643.42</v>
          </cell>
        </row>
        <row r="128">
          <cell r="D128">
            <v>6671</v>
          </cell>
          <cell r="E128" t="str">
            <v>资产减值损失</v>
          </cell>
          <cell r="F128">
            <v>0</v>
          </cell>
          <cell r="G128">
            <v>-63386.5</v>
          </cell>
          <cell r="H128">
            <v>0</v>
          </cell>
          <cell r="I128">
            <v>-63386.5</v>
          </cell>
          <cell r="J128">
            <v>81585.75</v>
          </cell>
          <cell r="K128">
            <v>0</v>
          </cell>
          <cell r="L128">
            <v>0</v>
          </cell>
          <cell r="M128">
            <v>81585.75</v>
          </cell>
          <cell r="T128">
            <v>6671</v>
          </cell>
          <cell r="U128">
            <v>81585.75</v>
          </cell>
        </row>
        <row r="129">
          <cell r="D129">
            <v>6101</v>
          </cell>
          <cell r="E129" t="str">
            <v>公允价值变动收益</v>
          </cell>
          <cell r="F129">
            <v>0</v>
          </cell>
          <cell r="G129">
            <v>0</v>
          </cell>
          <cell r="H129">
            <v>0</v>
          </cell>
          <cell r="I129">
            <v>0</v>
          </cell>
          <cell r="J129">
            <v>0</v>
          </cell>
          <cell r="K129">
            <v>0</v>
          </cell>
          <cell r="L129">
            <v>0</v>
          </cell>
          <cell r="M129">
            <v>0</v>
          </cell>
          <cell r="T129">
            <v>6101</v>
          </cell>
          <cell r="U129">
            <v>0</v>
          </cell>
        </row>
        <row r="130">
          <cell r="D130">
            <v>6111</v>
          </cell>
          <cell r="E130" t="str">
            <v>投资收益</v>
          </cell>
          <cell r="F130">
            <v>0</v>
          </cell>
          <cell r="G130">
            <v>0</v>
          </cell>
          <cell r="H130">
            <v>2263.2600000000002</v>
          </cell>
          <cell r="I130">
            <v>2263.2600000000002</v>
          </cell>
          <cell r="J130">
            <v>0</v>
          </cell>
          <cell r="K130">
            <v>0</v>
          </cell>
          <cell r="L130">
            <v>0</v>
          </cell>
          <cell r="M130">
            <v>0</v>
          </cell>
          <cell r="T130">
            <v>6111</v>
          </cell>
          <cell r="U130">
            <v>0</v>
          </cell>
        </row>
        <row r="131">
          <cell r="D131">
            <v>6111.01</v>
          </cell>
          <cell r="E131" t="str">
            <v>对联营企业和合营企业的投资收益</v>
          </cell>
          <cell r="F131">
            <v>0</v>
          </cell>
          <cell r="G131">
            <v>0</v>
          </cell>
          <cell r="H131">
            <v>0</v>
          </cell>
          <cell r="I131">
            <v>0</v>
          </cell>
          <cell r="J131">
            <v>0</v>
          </cell>
          <cell r="K131">
            <v>0</v>
          </cell>
          <cell r="L131">
            <v>0</v>
          </cell>
          <cell r="M131">
            <v>0</v>
          </cell>
          <cell r="T131">
            <v>6111.01</v>
          </cell>
          <cell r="U131">
            <v>0</v>
          </cell>
        </row>
        <row r="132">
          <cell r="D132">
            <v>6161</v>
          </cell>
          <cell r="E132" t="str">
            <v>汇兑收益</v>
          </cell>
          <cell r="F132">
            <v>0</v>
          </cell>
          <cell r="G132">
            <v>0</v>
          </cell>
          <cell r="H132">
            <v>0</v>
          </cell>
          <cell r="I132">
            <v>0</v>
          </cell>
          <cell r="J132">
            <v>0</v>
          </cell>
          <cell r="K132">
            <v>0</v>
          </cell>
          <cell r="L132">
            <v>0</v>
          </cell>
          <cell r="M132">
            <v>0</v>
          </cell>
          <cell r="T132">
            <v>6161</v>
          </cell>
          <cell r="U132">
            <v>0</v>
          </cell>
        </row>
        <row r="133">
          <cell r="D133">
            <v>6689</v>
          </cell>
          <cell r="E133" t="str">
            <v>营业利润</v>
          </cell>
          <cell r="F133">
            <v>-7951798.5899999999</v>
          </cell>
          <cell r="G133">
            <v>56613.5</v>
          </cell>
          <cell r="H133">
            <v>366248.21</v>
          </cell>
          <cell r="I133">
            <v>-7642163.8799999999</v>
          </cell>
          <cell r="J133">
            <v>-2315528.7200000002</v>
          </cell>
          <cell r="K133">
            <v>0</v>
          </cell>
          <cell r="L133">
            <v>0</v>
          </cell>
          <cell r="M133">
            <v>-2315528.7200000002</v>
          </cell>
          <cell r="T133">
            <v>6689</v>
          </cell>
          <cell r="U133">
            <v>-2315528.7200000002</v>
          </cell>
        </row>
        <row r="134">
          <cell r="D134">
            <v>6710</v>
          </cell>
          <cell r="E134" t="str">
            <v>营业外收入</v>
          </cell>
          <cell r="F134">
            <v>120001.01</v>
          </cell>
          <cell r="G134">
            <v>0</v>
          </cell>
          <cell r="H134">
            <v>0</v>
          </cell>
          <cell r="I134">
            <v>120001.01</v>
          </cell>
          <cell r="J134">
            <v>0.37</v>
          </cell>
          <cell r="K134">
            <v>0</v>
          </cell>
          <cell r="L134">
            <v>0</v>
          </cell>
          <cell r="M134">
            <v>0.37</v>
          </cell>
          <cell r="T134">
            <v>6710</v>
          </cell>
          <cell r="U134">
            <v>0.37</v>
          </cell>
        </row>
        <row r="135">
          <cell r="D135">
            <v>6710.11</v>
          </cell>
          <cell r="E135" t="str">
            <v>营业外收入_非流动资产处置利得</v>
          </cell>
          <cell r="F135">
            <v>0</v>
          </cell>
          <cell r="G135">
            <v>0</v>
          </cell>
          <cell r="H135">
            <v>0</v>
          </cell>
          <cell r="I135">
            <v>0</v>
          </cell>
          <cell r="J135">
            <v>0</v>
          </cell>
          <cell r="K135">
            <v>0</v>
          </cell>
          <cell r="L135">
            <v>0</v>
          </cell>
          <cell r="M135">
            <v>0</v>
          </cell>
          <cell r="T135">
            <v>6710.11</v>
          </cell>
          <cell r="U135">
            <v>0</v>
          </cell>
        </row>
        <row r="136">
          <cell r="D136">
            <v>6711</v>
          </cell>
          <cell r="E136" t="str">
            <v>营业外支出</v>
          </cell>
          <cell r="F136">
            <v>0.01</v>
          </cell>
          <cell r="G136">
            <v>0</v>
          </cell>
          <cell r="H136">
            <v>0</v>
          </cell>
          <cell r="I136">
            <v>0.01</v>
          </cell>
          <cell r="J136">
            <v>0</v>
          </cell>
          <cell r="K136">
            <v>0</v>
          </cell>
          <cell r="L136">
            <v>0</v>
          </cell>
          <cell r="M136">
            <v>0</v>
          </cell>
          <cell r="T136">
            <v>6711</v>
          </cell>
          <cell r="U136">
            <v>0</v>
          </cell>
        </row>
        <row r="137">
          <cell r="D137">
            <v>6711.01</v>
          </cell>
          <cell r="E137" t="str">
            <v>非流动资产处置损失</v>
          </cell>
          <cell r="F137">
            <v>0</v>
          </cell>
          <cell r="G137">
            <v>0</v>
          </cell>
          <cell r="H137">
            <v>0</v>
          </cell>
          <cell r="I137">
            <v>0</v>
          </cell>
          <cell r="J137">
            <v>0</v>
          </cell>
          <cell r="K137">
            <v>0</v>
          </cell>
          <cell r="L137">
            <v>0</v>
          </cell>
          <cell r="M137">
            <v>0</v>
          </cell>
          <cell r="T137">
            <v>6711.01</v>
          </cell>
          <cell r="U137">
            <v>0</v>
          </cell>
        </row>
        <row r="138">
          <cell r="D138">
            <v>6788</v>
          </cell>
          <cell r="E138" t="str">
            <v>利润总额</v>
          </cell>
          <cell r="F138">
            <v>-7831797.5899999999</v>
          </cell>
          <cell r="G138">
            <v>56613.5</v>
          </cell>
          <cell r="H138">
            <v>366248.21</v>
          </cell>
          <cell r="I138">
            <v>-7522162.8799999999</v>
          </cell>
          <cell r="J138">
            <v>-2315528.35</v>
          </cell>
          <cell r="K138">
            <v>0</v>
          </cell>
          <cell r="L138">
            <v>0</v>
          </cell>
          <cell r="M138">
            <v>-2315528.35</v>
          </cell>
          <cell r="T138">
            <v>6788</v>
          </cell>
          <cell r="U138">
            <v>-2315528.35</v>
          </cell>
        </row>
        <row r="139">
          <cell r="D139">
            <v>6791</v>
          </cell>
          <cell r="E139" t="str">
            <v>所得税费用</v>
          </cell>
          <cell r="F139">
            <v>0</v>
          </cell>
          <cell r="G139">
            <v>0</v>
          </cell>
          <cell r="H139">
            <v>0</v>
          </cell>
          <cell r="I139">
            <v>0</v>
          </cell>
          <cell r="J139">
            <v>0</v>
          </cell>
          <cell r="K139">
            <v>0</v>
          </cell>
          <cell r="L139">
            <v>0</v>
          </cell>
          <cell r="M139">
            <v>0</v>
          </cell>
          <cell r="T139">
            <v>6791</v>
          </cell>
          <cell r="U139">
            <v>0</v>
          </cell>
        </row>
        <row r="140">
          <cell r="D140">
            <v>6799</v>
          </cell>
          <cell r="E140" t="str">
            <v>净利润</v>
          </cell>
          <cell r="F140">
            <v>-7831797.5899999999</v>
          </cell>
          <cell r="G140">
            <v>56613.5</v>
          </cell>
          <cell r="H140">
            <v>366248.21</v>
          </cell>
          <cell r="I140">
            <v>-7522162.8799999999</v>
          </cell>
          <cell r="J140">
            <v>-2315528.35</v>
          </cell>
          <cell r="K140">
            <v>0</v>
          </cell>
          <cell r="L140">
            <v>0</v>
          </cell>
          <cell r="M140">
            <v>-2315528.35</v>
          </cell>
          <cell r="T140">
            <v>6799</v>
          </cell>
          <cell r="U140">
            <v>-2315528.35</v>
          </cell>
        </row>
        <row r="141">
          <cell r="D141">
            <v>6805</v>
          </cell>
          <cell r="E141" t="str">
            <v>同一控制下企业合并的被合并方在合并前实现的净利润</v>
          </cell>
          <cell r="F141">
            <v>0</v>
          </cell>
          <cell r="G141">
            <v>0</v>
          </cell>
          <cell r="H141">
            <v>0</v>
          </cell>
          <cell r="I141">
            <v>0</v>
          </cell>
          <cell r="J141">
            <v>0</v>
          </cell>
          <cell r="K141">
            <v>0</v>
          </cell>
          <cell r="L141">
            <v>0</v>
          </cell>
          <cell r="M141">
            <v>0</v>
          </cell>
          <cell r="T141">
            <v>6805</v>
          </cell>
          <cell r="U141">
            <v>0</v>
          </cell>
        </row>
        <row r="142">
          <cell r="D142">
            <v>6811</v>
          </cell>
          <cell r="E142" t="str">
            <v>归属于母公司所有者的净利润</v>
          </cell>
          <cell r="F142">
            <v>-7831797.5899999999</v>
          </cell>
          <cell r="G142">
            <v>56613.5</v>
          </cell>
          <cell r="H142">
            <v>366248.21</v>
          </cell>
          <cell r="I142">
            <v>-7522162.8799999999</v>
          </cell>
          <cell r="J142">
            <v>-2315528.35</v>
          </cell>
          <cell r="K142">
            <v>0</v>
          </cell>
          <cell r="L142">
            <v>0</v>
          </cell>
          <cell r="M142">
            <v>-2315528.35</v>
          </cell>
          <cell r="T142">
            <v>6811</v>
          </cell>
          <cell r="U142">
            <v>-2315528.35</v>
          </cell>
        </row>
        <row r="143">
          <cell r="D143">
            <v>6812</v>
          </cell>
          <cell r="E143" t="str">
            <v>少数股东损益</v>
          </cell>
          <cell r="F143">
            <v>0</v>
          </cell>
          <cell r="G143">
            <v>0</v>
          </cell>
          <cell r="H143">
            <v>0</v>
          </cell>
          <cell r="I143">
            <v>0</v>
          </cell>
          <cell r="J143">
            <v>0</v>
          </cell>
          <cell r="K143">
            <v>0</v>
          </cell>
          <cell r="L143">
            <v>0</v>
          </cell>
          <cell r="M143">
            <v>0</v>
          </cell>
          <cell r="T143">
            <v>6812</v>
          </cell>
          <cell r="U143">
            <v>0</v>
          </cell>
        </row>
        <row r="144">
          <cell r="D144">
            <v>6829</v>
          </cell>
          <cell r="E144" t="str">
            <v>其他综合收益的税后净额</v>
          </cell>
          <cell r="F144">
            <v>0</v>
          </cell>
          <cell r="G144">
            <v>0</v>
          </cell>
          <cell r="H144">
            <v>0</v>
          </cell>
          <cell r="I144">
            <v>0</v>
          </cell>
          <cell r="J144">
            <v>0</v>
          </cell>
          <cell r="K144">
            <v>0</v>
          </cell>
          <cell r="L144">
            <v>0</v>
          </cell>
          <cell r="M144">
            <v>0</v>
          </cell>
          <cell r="T144">
            <v>6829</v>
          </cell>
          <cell r="U144">
            <v>0</v>
          </cell>
        </row>
        <row r="145">
          <cell r="D145">
            <v>6829.2</v>
          </cell>
          <cell r="E145" t="str">
            <v>归属于母公司所有者的其他综合收益的税后净额</v>
          </cell>
          <cell r="F145">
            <v>0</v>
          </cell>
          <cell r="G145">
            <v>0</v>
          </cell>
          <cell r="H145">
            <v>0</v>
          </cell>
          <cell r="I145">
            <v>0</v>
          </cell>
          <cell r="J145">
            <v>0</v>
          </cell>
          <cell r="K145">
            <v>0</v>
          </cell>
          <cell r="L145">
            <v>0</v>
          </cell>
          <cell r="M145">
            <v>0</v>
          </cell>
          <cell r="T145">
            <v>6829.2</v>
          </cell>
          <cell r="U145">
            <v>0</v>
          </cell>
        </row>
        <row r="146">
          <cell r="D146">
            <v>6829.21</v>
          </cell>
          <cell r="E146" t="str">
            <v>以后不能重分类进损益的其他综合收益</v>
          </cell>
          <cell r="F146">
            <v>0</v>
          </cell>
          <cell r="G146">
            <v>0</v>
          </cell>
          <cell r="H146">
            <v>0</v>
          </cell>
          <cell r="I146">
            <v>0</v>
          </cell>
          <cell r="J146">
            <v>0</v>
          </cell>
          <cell r="K146">
            <v>0</v>
          </cell>
          <cell r="L146">
            <v>0</v>
          </cell>
          <cell r="M146">
            <v>0</v>
          </cell>
          <cell r="T146">
            <v>6829.21</v>
          </cell>
          <cell r="U146">
            <v>0</v>
          </cell>
        </row>
        <row r="147">
          <cell r="D147">
            <v>6829.2110000000002</v>
          </cell>
          <cell r="E147" t="str">
            <v>重新计量设定受益计划净负债或净资产的变动</v>
          </cell>
          <cell r="F147">
            <v>0</v>
          </cell>
          <cell r="G147">
            <v>0</v>
          </cell>
          <cell r="H147">
            <v>0</v>
          </cell>
          <cell r="I147">
            <v>0</v>
          </cell>
          <cell r="J147">
            <v>0</v>
          </cell>
          <cell r="K147">
            <v>0</v>
          </cell>
          <cell r="L147">
            <v>0</v>
          </cell>
          <cell r="M147">
            <v>0</v>
          </cell>
          <cell r="T147">
            <v>6829.2110000000002</v>
          </cell>
          <cell r="U147">
            <v>0</v>
          </cell>
        </row>
        <row r="148">
          <cell r="D148">
            <v>6829.2120000000004</v>
          </cell>
          <cell r="E148" t="str">
            <v>权益法下在被投资单位不能重分类进损益的其他综合收益中享有的份额</v>
          </cell>
          <cell r="F148">
            <v>0</v>
          </cell>
          <cell r="G148">
            <v>0</v>
          </cell>
          <cell r="H148">
            <v>0</v>
          </cell>
          <cell r="I148">
            <v>0</v>
          </cell>
          <cell r="J148">
            <v>0</v>
          </cell>
          <cell r="K148">
            <v>0</v>
          </cell>
          <cell r="L148">
            <v>0</v>
          </cell>
          <cell r="M148">
            <v>0</v>
          </cell>
          <cell r="T148">
            <v>6829.2120000000004</v>
          </cell>
          <cell r="U148">
            <v>0</v>
          </cell>
        </row>
        <row r="149">
          <cell r="D149">
            <v>6829.2190000000001</v>
          </cell>
          <cell r="E149" t="str">
            <v>其他以后不能重分类进损益的其他综合收益</v>
          </cell>
          <cell r="F149">
            <v>0</v>
          </cell>
          <cell r="G149">
            <v>0</v>
          </cell>
          <cell r="H149">
            <v>0</v>
          </cell>
          <cell r="I149">
            <v>0</v>
          </cell>
          <cell r="J149">
            <v>0</v>
          </cell>
          <cell r="K149">
            <v>0</v>
          </cell>
          <cell r="L149">
            <v>0</v>
          </cell>
          <cell r="M149">
            <v>0</v>
          </cell>
          <cell r="T149">
            <v>6829.2190000000001</v>
          </cell>
          <cell r="U149">
            <v>0</v>
          </cell>
        </row>
        <row r="150">
          <cell r="D150">
            <v>6829.23</v>
          </cell>
          <cell r="E150" t="str">
            <v>以后将重分类进损益的其他综合收益</v>
          </cell>
          <cell r="F150">
            <v>0</v>
          </cell>
          <cell r="G150">
            <v>0</v>
          </cell>
          <cell r="H150">
            <v>0</v>
          </cell>
          <cell r="I150">
            <v>0</v>
          </cell>
          <cell r="J150">
            <v>0</v>
          </cell>
          <cell r="K150">
            <v>0</v>
          </cell>
          <cell r="L150">
            <v>0</v>
          </cell>
          <cell r="M150">
            <v>0</v>
          </cell>
          <cell r="T150">
            <v>6829.23</v>
          </cell>
          <cell r="U150">
            <v>0</v>
          </cell>
        </row>
        <row r="151">
          <cell r="D151">
            <v>6829.2309999999998</v>
          </cell>
          <cell r="E151" t="str">
            <v>权益法下在被投资单位以后将重分类进损益的其他综合收益中享有的份额</v>
          </cell>
          <cell r="F151">
            <v>0</v>
          </cell>
          <cell r="G151">
            <v>0</v>
          </cell>
          <cell r="H151">
            <v>0</v>
          </cell>
          <cell r="I151">
            <v>0</v>
          </cell>
          <cell r="J151">
            <v>0</v>
          </cell>
          <cell r="K151">
            <v>0</v>
          </cell>
          <cell r="L151">
            <v>0</v>
          </cell>
          <cell r="M151">
            <v>0</v>
          </cell>
          <cell r="T151">
            <v>6829.2309999999998</v>
          </cell>
          <cell r="U151">
            <v>0</v>
          </cell>
        </row>
        <row r="152">
          <cell r="D152">
            <v>6829.232</v>
          </cell>
          <cell r="E152" t="str">
            <v>可供出售金融资产公允价值变动损益</v>
          </cell>
          <cell r="F152">
            <v>0</v>
          </cell>
          <cell r="G152">
            <v>0</v>
          </cell>
          <cell r="H152">
            <v>0</v>
          </cell>
          <cell r="I152">
            <v>0</v>
          </cell>
          <cell r="J152">
            <v>0</v>
          </cell>
          <cell r="K152">
            <v>0</v>
          </cell>
          <cell r="L152">
            <v>0</v>
          </cell>
          <cell r="M152">
            <v>0</v>
          </cell>
          <cell r="T152">
            <v>6829.232</v>
          </cell>
          <cell r="U152">
            <v>0</v>
          </cell>
        </row>
        <row r="153">
          <cell r="D153">
            <v>6829.2330000000002</v>
          </cell>
          <cell r="E153" t="str">
            <v>持有至到期投资重分类为可供出售金融资产损益</v>
          </cell>
          <cell r="F153">
            <v>0</v>
          </cell>
          <cell r="G153">
            <v>0</v>
          </cell>
          <cell r="H153">
            <v>0</v>
          </cell>
          <cell r="I153">
            <v>0</v>
          </cell>
          <cell r="J153">
            <v>0</v>
          </cell>
          <cell r="K153">
            <v>0</v>
          </cell>
          <cell r="L153">
            <v>0</v>
          </cell>
          <cell r="M153">
            <v>0</v>
          </cell>
          <cell r="T153">
            <v>6829.2330000000002</v>
          </cell>
          <cell r="U153">
            <v>0</v>
          </cell>
        </row>
        <row r="154">
          <cell r="D154">
            <v>6829.2340000000004</v>
          </cell>
          <cell r="E154" t="str">
            <v>现金流量套期损益的有效部分</v>
          </cell>
          <cell r="F154">
            <v>0</v>
          </cell>
          <cell r="G154">
            <v>0</v>
          </cell>
          <cell r="H154">
            <v>0</v>
          </cell>
          <cell r="I154">
            <v>0</v>
          </cell>
          <cell r="J154">
            <v>0</v>
          </cell>
          <cell r="K154">
            <v>0</v>
          </cell>
          <cell r="L154">
            <v>0</v>
          </cell>
          <cell r="M154">
            <v>0</v>
          </cell>
          <cell r="T154">
            <v>6829.2340000000004</v>
          </cell>
          <cell r="U154">
            <v>0</v>
          </cell>
        </row>
        <row r="155">
          <cell r="D155">
            <v>6829.2349999999997</v>
          </cell>
          <cell r="E155" t="str">
            <v>外币财务报表折算差额</v>
          </cell>
          <cell r="F155">
            <v>0</v>
          </cell>
          <cell r="G155">
            <v>0</v>
          </cell>
          <cell r="H155">
            <v>0</v>
          </cell>
          <cell r="I155">
            <v>0</v>
          </cell>
          <cell r="J155">
            <v>0</v>
          </cell>
          <cell r="K155">
            <v>0</v>
          </cell>
          <cell r="L155">
            <v>0</v>
          </cell>
          <cell r="M155">
            <v>0</v>
          </cell>
          <cell r="T155">
            <v>6829.2349999999997</v>
          </cell>
          <cell r="U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J156">
            <v>0</v>
          </cell>
          <cell r="K156">
            <v>0</v>
          </cell>
          <cell r="L156">
            <v>0</v>
          </cell>
          <cell r="M156">
            <v>0</v>
          </cell>
          <cell r="T156">
            <v>6829.2359999999999</v>
          </cell>
          <cell r="U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J157">
            <v>0</v>
          </cell>
          <cell r="K157">
            <v>0</v>
          </cell>
          <cell r="L157">
            <v>0</v>
          </cell>
          <cell r="M157">
            <v>0</v>
          </cell>
          <cell r="T157">
            <v>6829.2370000000001</v>
          </cell>
          <cell r="U157">
            <v>0</v>
          </cell>
        </row>
        <row r="158">
          <cell r="D158">
            <v>6829.2389999999996</v>
          </cell>
          <cell r="E158" t="str">
            <v>其他以后将重分类进损益的其他综合收益</v>
          </cell>
          <cell r="F158">
            <v>0</v>
          </cell>
          <cell r="G158">
            <v>0</v>
          </cell>
          <cell r="H158">
            <v>0</v>
          </cell>
          <cell r="I158">
            <v>0</v>
          </cell>
          <cell r="J158">
            <v>0</v>
          </cell>
          <cell r="K158">
            <v>0</v>
          </cell>
          <cell r="L158">
            <v>0</v>
          </cell>
          <cell r="M158">
            <v>0</v>
          </cell>
          <cell r="T158">
            <v>6829.2389999999996</v>
          </cell>
          <cell r="U158">
            <v>0</v>
          </cell>
        </row>
        <row r="159">
          <cell r="D159">
            <v>6829.5</v>
          </cell>
          <cell r="E159" t="str">
            <v>归属于少数股东的其他综合收益的税后净额</v>
          </cell>
          <cell r="F159">
            <v>0</v>
          </cell>
          <cell r="G159">
            <v>0</v>
          </cell>
          <cell r="H159">
            <v>0</v>
          </cell>
          <cell r="I159">
            <v>0</v>
          </cell>
          <cell r="J159">
            <v>0</v>
          </cell>
          <cell r="K159">
            <v>0</v>
          </cell>
          <cell r="L159">
            <v>0</v>
          </cell>
          <cell r="M159">
            <v>0</v>
          </cell>
          <cell r="T159">
            <v>6829.5</v>
          </cell>
          <cell r="U159">
            <v>0</v>
          </cell>
        </row>
        <row r="160">
          <cell r="D160">
            <v>6839</v>
          </cell>
          <cell r="E160" t="str">
            <v>综合收益总额</v>
          </cell>
          <cell r="F160">
            <v>-7831797.5899999999</v>
          </cell>
          <cell r="G160">
            <v>56613.5</v>
          </cell>
          <cell r="H160">
            <v>366248.21</v>
          </cell>
          <cell r="I160">
            <v>-7522162.8799999999</v>
          </cell>
          <cell r="J160">
            <v>-2315528.35</v>
          </cell>
          <cell r="K160">
            <v>0</v>
          </cell>
          <cell r="L160">
            <v>0</v>
          </cell>
          <cell r="M160">
            <v>-2315528.35</v>
          </cell>
          <cell r="T160">
            <v>6839</v>
          </cell>
          <cell r="U160">
            <v>-2315528.35</v>
          </cell>
        </row>
        <row r="161">
          <cell r="D161">
            <v>6841</v>
          </cell>
          <cell r="E161" t="str">
            <v>归属于母公司所有者的综合收益总额</v>
          </cell>
          <cell r="F161">
            <v>-7831797.5899999999</v>
          </cell>
          <cell r="G161">
            <v>56613.5</v>
          </cell>
          <cell r="H161">
            <v>366248.21</v>
          </cell>
          <cell r="I161">
            <v>-7522162.8799999999</v>
          </cell>
          <cell r="J161">
            <v>-2315528.35</v>
          </cell>
          <cell r="K161">
            <v>0</v>
          </cell>
          <cell r="L161">
            <v>0</v>
          </cell>
          <cell r="M161">
            <v>-2315528.35</v>
          </cell>
          <cell r="T161">
            <v>6841</v>
          </cell>
          <cell r="U161">
            <v>-2315528.35</v>
          </cell>
        </row>
        <row r="162">
          <cell r="D162">
            <v>6842</v>
          </cell>
          <cell r="E162" t="str">
            <v>归属于少数股东的综合收益总额</v>
          </cell>
          <cell r="F162">
            <v>0</v>
          </cell>
          <cell r="G162">
            <v>0</v>
          </cell>
          <cell r="H162">
            <v>0</v>
          </cell>
          <cell r="I162">
            <v>0</v>
          </cell>
          <cell r="J162">
            <v>0</v>
          </cell>
          <cell r="K162">
            <v>0</v>
          </cell>
          <cell r="L162">
            <v>0</v>
          </cell>
          <cell r="M162">
            <v>0</v>
          </cell>
          <cell r="T162">
            <v>6842</v>
          </cell>
          <cell r="U162">
            <v>0</v>
          </cell>
        </row>
        <row r="163">
          <cell r="D163">
            <v>6820</v>
          </cell>
          <cell r="E163" t="str">
            <v>每股收益</v>
          </cell>
          <cell r="F163">
            <v>0</v>
          </cell>
          <cell r="G163">
            <v>0</v>
          </cell>
          <cell r="H163">
            <v>0</v>
          </cell>
          <cell r="I163">
            <v>0</v>
          </cell>
          <cell r="J163">
            <v>0</v>
          </cell>
          <cell r="K163">
            <v>0</v>
          </cell>
          <cell r="L163">
            <v>0</v>
          </cell>
          <cell r="M163">
            <v>0</v>
          </cell>
          <cell r="T163">
            <v>6820</v>
          </cell>
          <cell r="U163">
            <v>0</v>
          </cell>
        </row>
        <row r="164">
          <cell r="D164">
            <v>6821</v>
          </cell>
          <cell r="E164" t="str">
            <v>基本每股收益</v>
          </cell>
          <cell r="F164">
            <v>0</v>
          </cell>
          <cell r="G164">
            <v>0</v>
          </cell>
          <cell r="H164">
            <v>0</v>
          </cell>
          <cell r="I164">
            <v>0</v>
          </cell>
          <cell r="J164">
            <v>0</v>
          </cell>
          <cell r="K164">
            <v>0</v>
          </cell>
          <cell r="L164">
            <v>0</v>
          </cell>
          <cell r="M164">
            <v>0</v>
          </cell>
          <cell r="T164">
            <v>6821</v>
          </cell>
          <cell r="U164">
            <v>0</v>
          </cell>
        </row>
        <row r="165">
          <cell r="D165">
            <v>6822</v>
          </cell>
          <cell r="E165" t="str">
            <v>稀释每股收益</v>
          </cell>
          <cell r="F165">
            <v>0</v>
          </cell>
          <cell r="G165">
            <v>0</v>
          </cell>
          <cell r="H165">
            <v>0</v>
          </cell>
          <cell r="I165">
            <v>0</v>
          </cell>
          <cell r="J165">
            <v>0</v>
          </cell>
          <cell r="K165">
            <v>0</v>
          </cell>
          <cell r="L165">
            <v>0</v>
          </cell>
          <cell r="M165">
            <v>0</v>
          </cell>
          <cell r="T165">
            <v>6822</v>
          </cell>
          <cell r="U165">
            <v>0</v>
          </cell>
        </row>
        <row r="166">
          <cell r="D166">
            <v>8</v>
          </cell>
          <cell r="E166" t="str">
            <v>所有者权益变动表</v>
          </cell>
          <cell r="F166">
            <v>0</v>
          </cell>
          <cell r="G166">
            <v>0</v>
          </cell>
          <cell r="H166">
            <v>0</v>
          </cell>
          <cell r="I166">
            <v>0</v>
          </cell>
          <cell r="J166">
            <v>0</v>
          </cell>
          <cell r="K166">
            <v>0</v>
          </cell>
          <cell r="L166">
            <v>0</v>
          </cell>
          <cell r="M166">
            <v>0</v>
          </cell>
          <cell r="T166">
            <v>8</v>
          </cell>
          <cell r="U166">
            <v>0</v>
          </cell>
        </row>
        <row r="167">
          <cell r="D167">
            <v>8000</v>
          </cell>
          <cell r="E167" t="str">
            <v>所有者权益增减变动</v>
          </cell>
          <cell r="F167">
            <v>0</v>
          </cell>
          <cell r="G167">
            <v>0</v>
          </cell>
          <cell r="H167">
            <v>0</v>
          </cell>
          <cell r="I167">
            <v>0</v>
          </cell>
          <cell r="J167">
            <v>0</v>
          </cell>
          <cell r="K167">
            <v>0</v>
          </cell>
          <cell r="L167">
            <v>0</v>
          </cell>
          <cell r="M167">
            <v>0</v>
          </cell>
          <cell r="T167">
            <v>8000</v>
          </cell>
          <cell r="U167">
            <v>0</v>
          </cell>
        </row>
        <row r="168">
          <cell r="D168">
            <v>8001</v>
          </cell>
          <cell r="E168" t="str">
            <v>所有者权益_上年年末余额</v>
          </cell>
          <cell r="F168">
            <v>17766057.399999999</v>
          </cell>
          <cell r="G168">
            <v>81585.75</v>
          </cell>
          <cell r="H168">
            <v>0</v>
          </cell>
          <cell r="I168">
            <v>17684471.649999999</v>
          </cell>
          <cell r="J168">
            <v>0</v>
          </cell>
          <cell r="K168">
            <v>0</v>
          </cell>
          <cell r="L168">
            <v>0</v>
          </cell>
          <cell r="M168">
            <v>0</v>
          </cell>
          <cell r="T168">
            <v>8001</v>
          </cell>
          <cell r="U168">
            <v>0</v>
          </cell>
        </row>
        <row r="169">
          <cell r="D169">
            <v>8002</v>
          </cell>
          <cell r="E169" t="str">
            <v>所有者权益_会计政策变更调整上年年末余额</v>
          </cell>
          <cell r="F169">
            <v>0</v>
          </cell>
          <cell r="G169">
            <v>0</v>
          </cell>
          <cell r="H169">
            <v>0</v>
          </cell>
          <cell r="I169">
            <v>0</v>
          </cell>
          <cell r="J169">
            <v>0</v>
          </cell>
          <cell r="K169">
            <v>0</v>
          </cell>
          <cell r="L169">
            <v>0</v>
          </cell>
          <cell r="M169">
            <v>0</v>
          </cell>
          <cell r="T169">
            <v>8002</v>
          </cell>
          <cell r="U169">
            <v>0</v>
          </cell>
        </row>
        <row r="170">
          <cell r="D170">
            <v>8003</v>
          </cell>
          <cell r="E170" t="str">
            <v>所有者权益_前期差错更正调整上年年末余额</v>
          </cell>
          <cell r="F170">
            <v>0</v>
          </cell>
          <cell r="G170">
            <v>0</v>
          </cell>
          <cell r="H170">
            <v>0</v>
          </cell>
          <cell r="I170">
            <v>0</v>
          </cell>
          <cell r="J170">
            <v>0</v>
          </cell>
          <cell r="K170">
            <v>0</v>
          </cell>
          <cell r="L170">
            <v>0</v>
          </cell>
          <cell r="M170">
            <v>0</v>
          </cell>
          <cell r="T170">
            <v>8003</v>
          </cell>
          <cell r="U170">
            <v>0</v>
          </cell>
        </row>
        <row r="171">
          <cell r="D171">
            <v>8004</v>
          </cell>
          <cell r="E171" t="str">
            <v>所有者权益_同一控制下企业合并调整上年年末余额</v>
          </cell>
          <cell r="F171">
            <v>0</v>
          </cell>
          <cell r="G171">
            <v>0</v>
          </cell>
          <cell r="H171">
            <v>0</v>
          </cell>
          <cell r="I171">
            <v>0</v>
          </cell>
          <cell r="J171">
            <v>0</v>
          </cell>
          <cell r="K171">
            <v>0</v>
          </cell>
          <cell r="L171">
            <v>0</v>
          </cell>
          <cell r="M171">
            <v>0</v>
          </cell>
          <cell r="T171">
            <v>8004</v>
          </cell>
          <cell r="U171">
            <v>0</v>
          </cell>
        </row>
        <row r="172">
          <cell r="D172">
            <v>8009</v>
          </cell>
          <cell r="E172" t="str">
            <v>所有者权益_其他原因调整上年年末余额</v>
          </cell>
          <cell r="F172">
            <v>0</v>
          </cell>
          <cell r="G172">
            <v>0</v>
          </cell>
          <cell r="H172">
            <v>0</v>
          </cell>
          <cell r="I172">
            <v>0</v>
          </cell>
          <cell r="J172">
            <v>0</v>
          </cell>
          <cell r="K172">
            <v>0</v>
          </cell>
          <cell r="L172">
            <v>0</v>
          </cell>
          <cell r="M172">
            <v>0</v>
          </cell>
          <cell r="T172">
            <v>8009</v>
          </cell>
          <cell r="U172">
            <v>0</v>
          </cell>
        </row>
        <row r="173">
          <cell r="D173">
            <v>8010</v>
          </cell>
          <cell r="E173" t="str">
            <v>所有者权益_本年年初余额</v>
          </cell>
          <cell r="F173">
            <v>17766057.399999999</v>
          </cell>
          <cell r="G173">
            <v>81585.75</v>
          </cell>
          <cell r="H173">
            <v>0</v>
          </cell>
          <cell r="I173">
            <v>17684471.649999999</v>
          </cell>
          <cell r="J173">
            <v>0</v>
          </cell>
          <cell r="K173">
            <v>0</v>
          </cell>
          <cell r="L173">
            <v>0</v>
          </cell>
          <cell r="M173">
            <v>0</v>
          </cell>
          <cell r="T173">
            <v>8010</v>
          </cell>
          <cell r="U173">
            <v>0</v>
          </cell>
        </row>
        <row r="174">
          <cell r="D174">
            <v>8090</v>
          </cell>
          <cell r="E174" t="str">
            <v>所有者权益_本期增减变动金额</v>
          </cell>
          <cell r="F174">
            <v>-7831797.5899999999</v>
          </cell>
          <cell r="G174">
            <v>56613.5</v>
          </cell>
          <cell r="H174">
            <v>366248.21</v>
          </cell>
          <cell r="I174">
            <v>-7522162.8799999999</v>
          </cell>
          <cell r="J174">
            <v>17684471.649999999</v>
          </cell>
          <cell r="K174">
            <v>0</v>
          </cell>
          <cell r="L174">
            <v>0</v>
          </cell>
          <cell r="M174">
            <v>17684471.649999999</v>
          </cell>
          <cell r="T174">
            <v>8090</v>
          </cell>
          <cell r="U174">
            <v>17684471.649999999</v>
          </cell>
        </row>
        <row r="175">
          <cell r="D175">
            <v>8021</v>
          </cell>
          <cell r="E175" t="str">
            <v>所有者权益_净利润增加权益</v>
          </cell>
          <cell r="F175">
            <v>-7831797.5899999999</v>
          </cell>
          <cell r="G175">
            <v>56613.5</v>
          </cell>
          <cell r="H175">
            <v>366248.21</v>
          </cell>
          <cell r="I175">
            <v>-7522162.8799999999</v>
          </cell>
          <cell r="J175">
            <v>-2315528.35</v>
          </cell>
          <cell r="K175">
            <v>0</v>
          </cell>
          <cell r="L175">
            <v>0</v>
          </cell>
          <cell r="M175">
            <v>-2315528.35</v>
          </cell>
          <cell r="T175">
            <v>8021</v>
          </cell>
          <cell r="U175">
            <v>-2315528.35</v>
          </cell>
        </row>
        <row r="176">
          <cell r="D176">
            <v>8030</v>
          </cell>
          <cell r="E176" t="str">
            <v>所有者权益_其他综合收益增加权益</v>
          </cell>
          <cell r="F176">
            <v>0</v>
          </cell>
          <cell r="G176">
            <v>0</v>
          </cell>
          <cell r="H176">
            <v>0</v>
          </cell>
          <cell r="I176">
            <v>0</v>
          </cell>
          <cell r="J176">
            <v>0</v>
          </cell>
          <cell r="K176">
            <v>0</v>
          </cell>
          <cell r="L176">
            <v>0</v>
          </cell>
          <cell r="M176">
            <v>0</v>
          </cell>
          <cell r="T176">
            <v>8030</v>
          </cell>
          <cell r="U176">
            <v>0</v>
          </cell>
        </row>
        <row r="177">
          <cell r="D177">
            <v>8040</v>
          </cell>
          <cell r="E177" t="str">
            <v>所有者权益_综合收益总额增加权益</v>
          </cell>
          <cell r="F177">
            <v>-7831797.5899999999</v>
          </cell>
          <cell r="G177">
            <v>56613.5</v>
          </cell>
          <cell r="H177">
            <v>366248.21</v>
          </cell>
          <cell r="I177">
            <v>-7522162.8799999999</v>
          </cell>
          <cell r="J177">
            <v>-2315528.35</v>
          </cell>
          <cell r="K177">
            <v>0</v>
          </cell>
          <cell r="L177">
            <v>0</v>
          </cell>
          <cell r="M177">
            <v>-2315528.35</v>
          </cell>
          <cell r="T177">
            <v>8040</v>
          </cell>
          <cell r="U177">
            <v>-2315528.35</v>
          </cell>
        </row>
        <row r="178">
          <cell r="D178">
            <v>8050</v>
          </cell>
          <cell r="E178" t="str">
            <v>所有者权益_所有者投入和减少资本影响权益</v>
          </cell>
          <cell r="F178">
            <v>0</v>
          </cell>
          <cell r="G178">
            <v>0</v>
          </cell>
          <cell r="H178">
            <v>0</v>
          </cell>
          <cell r="I178">
            <v>0</v>
          </cell>
          <cell r="J178">
            <v>20000000</v>
          </cell>
          <cell r="K178">
            <v>0</v>
          </cell>
          <cell r="L178">
            <v>0</v>
          </cell>
          <cell r="M178">
            <v>20000000</v>
          </cell>
          <cell r="T178">
            <v>8050</v>
          </cell>
          <cell r="U178">
            <v>20000000</v>
          </cell>
        </row>
        <row r="179">
          <cell r="D179">
            <v>8051</v>
          </cell>
          <cell r="E179" t="str">
            <v>所有者权益_所有者投入资本增加权益</v>
          </cell>
          <cell r="F179">
            <v>0</v>
          </cell>
          <cell r="G179">
            <v>0</v>
          </cell>
          <cell r="H179">
            <v>0</v>
          </cell>
          <cell r="I179">
            <v>0</v>
          </cell>
          <cell r="J179">
            <v>20000000</v>
          </cell>
          <cell r="K179">
            <v>0</v>
          </cell>
          <cell r="L179">
            <v>0</v>
          </cell>
          <cell r="M179">
            <v>20000000</v>
          </cell>
          <cell r="T179">
            <v>8051</v>
          </cell>
          <cell r="U179">
            <v>20000000</v>
          </cell>
        </row>
        <row r="180">
          <cell r="D180">
            <v>8053</v>
          </cell>
          <cell r="E180" t="str">
            <v>所有者权益_其他权益工具持有者投入资本</v>
          </cell>
          <cell r="F180">
            <v>0</v>
          </cell>
          <cell r="G180">
            <v>0</v>
          </cell>
          <cell r="H180">
            <v>0</v>
          </cell>
          <cell r="I180">
            <v>0</v>
          </cell>
          <cell r="J180">
            <v>0</v>
          </cell>
          <cell r="K180">
            <v>0</v>
          </cell>
          <cell r="L180">
            <v>0</v>
          </cell>
          <cell r="M180">
            <v>0</v>
          </cell>
          <cell r="T180">
            <v>8053</v>
          </cell>
          <cell r="U180">
            <v>0</v>
          </cell>
        </row>
        <row r="181">
          <cell r="D181">
            <v>8052</v>
          </cell>
          <cell r="E181" t="str">
            <v>所有者权益_股份支付计入所有者权益的金额</v>
          </cell>
          <cell r="F181">
            <v>0</v>
          </cell>
          <cell r="G181">
            <v>0</v>
          </cell>
          <cell r="H181">
            <v>0</v>
          </cell>
          <cell r="I181">
            <v>0</v>
          </cell>
          <cell r="J181">
            <v>0</v>
          </cell>
          <cell r="K181">
            <v>0</v>
          </cell>
          <cell r="L181">
            <v>0</v>
          </cell>
          <cell r="M181">
            <v>0</v>
          </cell>
          <cell r="T181">
            <v>8052</v>
          </cell>
          <cell r="U181">
            <v>0</v>
          </cell>
        </row>
        <row r="182">
          <cell r="D182">
            <v>8056</v>
          </cell>
          <cell r="E182" t="str">
            <v>所有者权益_所有者其他投入和减少资本</v>
          </cell>
          <cell r="F182">
            <v>0</v>
          </cell>
          <cell r="G182">
            <v>0</v>
          </cell>
          <cell r="H182">
            <v>0</v>
          </cell>
          <cell r="I182">
            <v>0</v>
          </cell>
          <cell r="J182">
            <v>0</v>
          </cell>
          <cell r="K182">
            <v>0</v>
          </cell>
          <cell r="L182">
            <v>0</v>
          </cell>
          <cell r="M182">
            <v>0</v>
          </cell>
          <cell r="T182">
            <v>8056</v>
          </cell>
          <cell r="U182">
            <v>0</v>
          </cell>
        </row>
        <row r="183">
          <cell r="D183">
            <v>8060</v>
          </cell>
          <cell r="E183" t="str">
            <v>所有者权益_利润分配影响权益</v>
          </cell>
          <cell r="F183">
            <v>0</v>
          </cell>
          <cell r="G183">
            <v>0</v>
          </cell>
          <cell r="H183">
            <v>0</v>
          </cell>
          <cell r="I183">
            <v>0</v>
          </cell>
          <cell r="J183">
            <v>0</v>
          </cell>
          <cell r="K183">
            <v>0</v>
          </cell>
          <cell r="L183">
            <v>0</v>
          </cell>
          <cell r="M183">
            <v>0</v>
          </cell>
          <cell r="T183">
            <v>8060</v>
          </cell>
          <cell r="U183">
            <v>0</v>
          </cell>
        </row>
        <row r="184">
          <cell r="D184">
            <v>8061</v>
          </cell>
          <cell r="E184" t="str">
            <v>所有者权益_提取盈余公积影响权益</v>
          </cell>
          <cell r="F184">
            <v>0</v>
          </cell>
          <cell r="G184">
            <v>0</v>
          </cell>
          <cell r="H184">
            <v>0</v>
          </cell>
          <cell r="I184">
            <v>0</v>
          </cell>
          <cell r="J184">
            <v>0</v>
          </cell>
          <cell r="K184">
            <v>0</v>
          </cell>
          <cell r="L184">
            <v>0</v>
          </cell>
          <cell r="M184">
            <v>0</v>
          </cell>
          <cell r="T184">
            <v>8061</v>
          </cell>
          <cell r="U184">
            <v>0</v>
          </cell>
        </row>
        <row r="185">
          <cell r="D185">
            <v>8062</v>
          </cell>
          <cell r="E185" t="str">
            <v>所有者权益_提取一般风险准备影响权益</v>
          </cell>
          <cell r="F185">
            <v>0</v>
          </cell>
          <cell r="G185">
            <v>0</v>
          </cell>
          <cell r="H185">
            <v>0</v>
          </cell>
          <cell r="I185">
            <v>0</v>
          </cell>
          <cell r="J185">
            <v>0</v>
          </cell>
          <cell r="K185">
            <v>0</v>
          </cell>
          <cell r="L185">
            <v>0</v>
          </cell>
          <cell r="M185">
            <v>0</v>
          </cell>
          <cell r="T185">
            <v>8062</v>
          </cell>
          <cell r="U185">
            <v>0</v>
          </cell>
        </row>
        <row r="186">
          <cell r="D186">
            <v>8063</v>
          </cell>
          <cell r="E186" t="str">
            <v>所有者权益_对所有者的分配影响权益</v>
          </cell>
          <cell r="F186">
            <v>0</v>
          </cell>
          <cell r="G186">
            <v>0</v>
          </cell>
          <cell r="H186">
            <v>0</v>
          </cell>
          <cell r="I186">
            <v>0</v>
          </cell>
          <cell r="J186">
            <v>0</v>
          </cell>
          <cell r="K186">
            <v>0</v>
          </cell>
          <cell r="L186">
            <v>0</v>
          </cell>
          <cell r="M186">
            <v>0</v>
          </cell>
          <cell r="T186">
            <v>8063</v>
          </cell>
          <cell r="U186">
            <v>0</v>
          </cell>
        </row>
        <row r="187">
          <cell r="D187">
            <v>8066</v>
          </cell>
          <cell r="E187" t="str">
            <v>所有者权益_其他利润分配影响权益</v>
          </cell>
          <cell r="F187">
            <v>0</v>
          </cell>
          <cell r="G187">
            <v>0</v>
          </cell>
          <cell r="H187">
            <v>0</v>
          </cell>
          <cell r="I187">
            <v>0</v>
          </cell>
          <cell r="J187">
            <v>0</v>
          </cell>
          <cell r="K187">
            <v>0</v>
          </cell>
          <cell r="L187">
            <v>0</v>
          </cell>
          <cell r="M187">
            <v>0</v>
          </cell>
          <cell r="T187">
            <v>8066</v>
          </cell>
          <cell r="U187">
            <v>0</v>
          </cell>
        </row>
        <row r="188">
          <cell r="D188">
            <v>8070</v>
          </cell>
          <cell r="E188" t="str">
            <v>所有者权益_所有者权益内部结转</v>
          </cell>
          <cell r="F188">
            <v>0</v>
          </cell>
          <cell r="G188">
            <v>0</v>
          </cell>
          <cell r="H188">
            <v>0</v>
          </cell>
          <cell r="I188">
            <v>0</v>
          </cell>
          <cell r="J188">
            <v>0</v>
          </cell>
          <cell r="K188">
            <v>0</v>
          </cell>
          <cell r="L188">
            <v>0</v>
          </cell>
          <cell r="M188">
            <v>0</v>
          </cell>
          <cell r="T188">
            <v>8070</v>
          </cell>
          <cell r="U188">
            <v>0</v>
          </cell>
        </row>
        <row r="189">
          <cell r="D189">
            <v>8071</v>
          </cell>
          <cell r="E189" t="str">
            <v>所有者权益_资本公积转增资本影响权益</v>
          </cell>
          <cell r="F189">
            <v>0</v>
          </cell>
          <cell r="G189">
            <v>0</v>
          </cell>
          <cell r="H189">
            <v>0</v>
          </cell>
          <cell r="I189">
            <v>0</v>
          </cell>
          <cell r="J189">
            <v>0</v>
          </cell>
          <cell r="K189">
            <v>0</v>
          </cell>
          <cell r="L189">
            <v>0</v>
          </cell>
          <cell r="M189">
            <v>0</v>
          </cell>
          <cell r="T189">
            <v>8071</v>
          </cell>
          <cell r="U189">
            <v>0</v>
          </cell>
        </row>
        <row r="190">
          <cell r="D190">
            <v>8072</v>
          </cell>
          <cell r="E190" t="str">
            <v>所有者权益_盈余公积转增资本影响权益</v>
          </cell>
          <cell r="F190">
            <v>0</v>
          </cell>
          <cell r="G190">
            <v>0</v>
          </cell>
          <cell r="H190">
            <v>0</v>
          </cell>
          <cell r="I190">
            <v>0</v>
          </cell>
          <cell r="J190">
            <v>0</v>
          </cell>
          <cell r="K190">
            <v>0</v>
          </cell>
          <cell r="L190">
            <v>0</v>
          </cell>
          <cell r="M190">
            <v>0</v>
          </cell>
          <cell r="T190">
            <v>8072</v>
          </cell>
          <cell r="U190">
            <v>0</v>
          </cell>
        </row>
        <row r="191">
          <cell r="D191">
            <v>8073</v>
          </cell>
          <cell r="E191" t="str">
            <v>所有者权益_盈余公积弥补亏损影响权益</v>
          </cell>
          <cell r="F191">
            <v>0</v>
          </cell>
          <cell r="G191">
            <v>0</v>
          </cell>
          <cell r="H191">
            <v>0</v>
          </cell>
          <cell r="I191">
            <v>0</v>
          </cell>
          <cell r="J191">
            <v>0</v>
          </cell>
          <cell r="K191">
            <v>0</v>
          </cell>
          <cell r="L191">
            <v>0</v>
          </cell>
          <cell r="M191">
            <v>0</v>
          </cell>
          <cell r="T191">
            <v>8073</v>
          </cell>
          <cell r="U191">
            <v>0</v>
          </cell>
        </row>
        <row r="192">
          <cell r="D192">
            <v>8075</v>
          </cell>
          <cell r="E192" t="str">
            <v>所有者权益_结转重新计量设定受益计划净负债或净资产所产生的变动</v>
          </cell>
          <cell r="F192">
            <v>0</v>
          </cell>
          <cell r="G192">
            <v>0</v>
          </cell>
          <cell r="H192">
            <v>0</v>
          </cell>
          <cell r="I192">
            <v>0</v>
          </cell>
          <cell r="J192">
            <v>0</v>
          </cell>
          <cell r="K192">
            <v>0</v>
          </cell>
          <cell r="L192">
            <v>0</v>
          </cell>
          <cell r="M192">
            <v>0</v>
          </cell>
          <cell r="T192">
            <v>8075</v>
          </cell>
          <cell r="U192">
            <v>0</v>
          </cell>
        </row>
        <row r="193">
          <cell r="D193">
            <v>8076</v>
          </cell>
          <cell r="E193" t="str">
            <v>所有者权益_所有者权益其他内部结转</v>
          </cell>
          <cell r="F193">
            <v>0</v>
          </cell>
          <cell r="G193">
            <v>0</v>
          </cell>
          <cell r="H193">
            <v>0</v>
          </cell>
          <cell r="I193">
            <v>0</v>
          </cell>
          <cell r="J193">
            <v>0</v>
          </cell>
          <cell r="K193">
            <v>0</v>
          </cell>
          <cell r="L193">
            <v>0</v>
          </cell>
          <cell r="M193">
            <v>0</v>
          </cell>
          <cell r="T193">
            <v>8076</v>
          </cell>
          <cell r="U193">
            <v>0</v>
          </cell>
        </row>
        <row r="194">
          <cell r="D194">
            <v>8080</v>
          </cell>
          <cell r="E194" t="str">
            <v>所有者权益_专项储备影响权益</v>
          </cell>
          <cell r="F194">
            <v>0</v>
          </cell>
          <cell r="G194">
            <v>0</v>
          </cell>
          <cell r="H194">
            <v>0</v>
          </cell>
          <cell r="I194">
            <v>0</v>
          </cell>
          <cell r="J194">
            <v>0</v>
          </cell>
          <cell r="K194">
            <v>0</v>
          </cell>
          <cell r="L194">
            <v>0</v>
          </cell>
          <cell r="M194">
            <v>0</v>
          </cell>
          <cell r="T194">
            <v>8080</v>
          </cell>
          <cell r="U194">
            <v>0</v>
          </cell>
        </row>
        <row r="195">
          <cell r="D195">
            <v>8081</v>
          </cell>
          <cell r="E195" t="str">
            <v>所有者权益_专项储备本期提取</v>
          </cell>
          <cell r="F195">
            <v>0</v>
          </cell>
          <cell r="G195">
            <v>0</v>
          </cell>
          <cell r="H195">
            <v>0</v>
          </cell>
          <cell r="I195">
            <v>0</v>
          </cell>
          <cell r="J195">
            <v>0</v>
          </cell>
          <cell r="K195">
            <v>0</v>
          </cell>
          <cell r="L195">
            <v>0</v>
          </cell>
          <cell r="M195">
            <v>0</v>
          </cell>
          <cell r="T195">
            <v>8081</v>
          </cell>
          <cell r="U195">
            <v>0</v>
          </cell>
        </row>
        <row r="196">
          <cell r="D196">
            <v>8082</v>
          </cell>
          <cell r="E196" t="str">
            <v>所有者权益_专项储备本期使用</v>
          </cell>
          <cell r="F196">
            <v>0</v>
          </cell>
          <cell r="G196">
            <v>0</v>
          </cell>
          <cell r="H196">
            <v>0</v>
          </cell>
          <cell r="I196">
            <v>0</v>
          </cell>
          <cell r="J196">
            <v>0</v>
          </cell>
          <cell r="K196">
            <v>0</v>
          </cell>
          <cell r="L196">
            <v>0</v>
          </cell>
          <cell r="M196">
            <v>0</v>
          </cell>
          <cell r="T196">
            <v>8082</v>
          </cell>
          <cell r="U196">
            <v>0</v>
          </cell>
        </row>
        <row r="197">
          <cell r="D197">
            <v>8096</v>
          </cell>
          <cell r="E197" t="str">
            <v>所有者权益_本期其他增减变动</v>
          </cell>
          <cell r="F197">
            <v>0</v>
          </cell>
          <cell r="G197">
            <v>0</v>
          </cell>
          <cell r="H197">
            <v>0</v>
          </cell>
          <cell r="I197">
            <v>0</v>
          </cell>
          <cell r="J197">
            <v>0</v>
          </cell>
          <cell r="K197">
            <v>0</v>
          </cell>
          <cell r="L197">
            <v>0</v>
          </cell>
          <cell r="M197">
            <v>0</v>
          </cell>
          <cell r="T197">
            <v>8096</v>
          </cell>
          <cell r="U197">
            <v>0</v>
          </cell>
        </row>
        <row r="198">
          <cell r="D198">
            <v>8099</v>
          </cell>
          <cell r="E198" t="str">
            <v>所有者权益_本期期末余额</v>
          </cell>
          <cell r="F198">
            <v>9934259.8100000005</v>
          </cell>
          <cell r="G198">
            <v>138199.25</v>
          </cell>
          <cell r="H198">
            <v>366248.21</v>
          </cell>
          <cell r="I198">
            <v>10162308.77</v>
          </cell>
          <cell r="J198">
            <v>17684471.649999999</v>
          </cell>
          <cell r="K198">
            <v>0</v>
          </cell>
          <cell r="L198">
            <v>0</v>
          </cell>
          <cell r="M198">
            <v>17684471.649999999</v>
          </cell>
          <cell r="T198">
            <v>8099</v>
          </cell>
          <cell r="U198">
            <v>17684471.649999999</v>
          </cell>
        </row>
        <row r="199">
          <cell r="D199">
            <v>8100</v>
          </cell>
          <cell r="E199" t="str">
            <v>实收资本增减变动</v>
          </cell>
          <cell r="F199">
            <v>0</v>
          </cell>
          <cell r="G199">
            <v>0</v>
          </cell>
          <cell r="H199">
            <v>0</v>
          </cell>
          <cell r="I199">
            <v>0</v>
          </cell>
          <cell r="J199">
            <v>0</v>
          </cell>
          <cell r="K199">
            <v>0</v>
          </cell>
          <cell r="L199">
            <v>0</v>
          </cell>
          <cell r="M199">
            <v>0</v>
          </cell>
          <cell r="T199">
            <v>8100</v>
          </cell>
          <cell r="U199">
            <v>0</v>
          </cell>
        </row>
        <row r="200">
          <cell r="D200">
            <v>8101</v>
          </cell>
          <cell r="E200" t="str">
            <v>实收资本_上年年末余额</v>
          </cell>
          <cell r="F200">
            <v>20000000</v>
          </cell>
          <cell r="G200">
            <v>0</v>
          </cell>
          <cell r="H200">
            <v>0</v>
          </cell>
          <cell r="I200">
            <v>20000000</v>
          </cell>
          <cell r="J200">
            <v>0</v>
          </cell>
          <cell r="K200">
            <v>0</v>
          </cell>
          <cell r="L200">
            <v>0</v>
          </cell>
          <cell r="M200">
            <v>0</v>
          </cell>
          <cell r="T200">
            <v>8101</v>
          </cell>
          <cell r="U200">
            <v>0</v>
          </cell>
        </row>
        <row r="201">
          <cell r="D201">
            <v>8102</v>
          </cell>
          <cell r="E201" t="str">
            <v>实收资本_会计政策变更调整上年年末余额</v>
          </cell>
          <cell r="F201">
            <v>0</v>
          </cell>
          <cell r="G201">
            <v>0</v>
          </cell>
          <cell r="H201">
            <v>0</v>
          </cell>
          <cell r="I201">
            <v>0</v>
          </cell>
          <cell r="J201">
            <v>0</v>
          </cell>
          <cell r="K201">
            <v>0</v>
          </cell>
          <cell r="L201">
            <v>0</v>
          </cell>
          <cell r="M201">
            <v>0</v>
          </cell>
          <cell r="T201">
            <v>8102</v>
          </cell>
          <cell r="U201">
            <v>0</v>
          </cell>
        </row>
        <row r="202">
          <cell r="D202">
            <v>8103</v>
          </cell>
          <cell r="E202" t="str">
            <v>实收资本_前期差错更正调整上年年末余额</v>
          </cell>
          <cell r="F202">
            <v>0</v>
          </cell>
          <cell r="G202">
            <v>0</v>
          </cell>
          <cell r="H202">
            <v>0</v>
          </cell>
          <cell r="I202">
            <v>0</v>
          </cell>
          <cell r="J202">
            <v>0</v>
          </cell>
          <cell r="K202">
            <v>0</v>
          </cell>
          <cell r="L202">
            <v>0</v>
          </cell>
          <cell r="M202">
            <v>0</v>
          </cell>
          <cell r="T202">
            <v>8103</v>
          </cell>
          <cell r="U202">
            <v>0</v>
          </cell>
        </row>
        <row r="203">
          <cell r="D203">
            <v>8104</v>
          </cell>
          <cell r="E203" t="str">
            <v>实收资本_同一控制下企业合并调整上年年末余额</v>
          </cell>
          <cell r="F203">
            <v>0</v>
          </cell>
          <cell r="G203">
            <v>0</v>
          </cell>
          <cell r="H203">
            <v>0</v>
          </cell>
          <cell r="I203">
            <v>0</v>
          </cell>
          <cell r="J203">
            <v>0</v>
          </cell>
          <cell r="K203">
            <v>0</v>
          </cell>
          <cell r="L203">
            <v>0</v>
          </cell>
          <cell r="M203">
            <v>0</v>
          </cell>
          <cell r="T203">
            <v>8104</v>
          </cell>
          <cell r="U203">
            <v>0</v>
          </cell>
        </row>
        <row r="204">
          <cell r="D204">
            <v>8109</v>
          </cell>
          <cell r="E204" t="str">
            <v>实收资本_其他原因调整上年年末余额</v>
          </cell>
          <cell r="F204">
            <v>0</v>
          </cell>
          <cell r="G204">
            <v>0</v>
          </cell>
          <cell r="H204">
            <v>0</v>
          </cell>
          <cell r="I204">
            <v>0</v>
          </cell>
          <cell r="J204">
            <v>0</v>
          </cell>
          <cell r="K204">
            <v>0</v>
          </cell>
          <cell r="L204">
            <v>0</v>
          </cell>
          <cell r="M204">
            <v>0</v>
          </cell>
          <cell r="T204">
            <v>8109</v>
          </cell>
          <cell r="U204">
            <v>0</v>
          </cell>
        </row>
        <row r="205">
          <cell r="D205">
            <v>8110</v>
          </cell>
          <cell r="E205" t="str">
            <v>实收资本_本年年初余额</v>
          </cell>
          <cell r="F205">
            <v>20000000</v>
          </cell>
          <cell r="G205">
            <v>0</v>
          </cell>
          <cell r="H205">
            <v>0</v>
          </cell>
          <cell r="I205">
            <v>20000000</v>
          </cell>
          <cell r="J205">
            <v>0</v>
          </cell>
          <cell r="K205">
            <v>0</v>
          </cell>
          <cell r="L205">
            <v>0</v>
          </cell>
          <cell r="M205">
            <v>0</v>
          </cell>
          <cell r="T205">
            <v>8110</v>
          </cell>
          <cell r="U205">
            <v>0</v>
          </cell>
        </row>
        <row r="206">
          <cell r="D206">
            <v>8190</v>
          </cell>
          <cell r="E206" t="str">
            <v>实收资本_本期增减变动金额</v>
          </cell>
          <cell r="F206">
            <v>0</v>
          </cell>
          <cell r="G206">
            <v>0</v>
          </cell>
          <cell r="H206">
            <v>0</v>
          </cell>
          <cell r="I206">
            <v>0</v>
          </cell>
          <cell r="J206">
            <v>20000000</v>
          </cell>
          <cell r="K206">
            <v>0</v>
          </cell>
          <cell r="L206">
            <v>0</v>
          </cell>
          <cell r="M206">
            <v>20000000</v>
          </cell>
          <cell r="T206">
            <v>8190</v>
          </cell>
          <cell r="U206">
            <v>20000000</v>
          </cell>
        </row>
        <row r="207">
          <cell r="D207">
            <v>8121</v>
          </cell>
          <cell r="E207" t="str">
            <v>实收资本_净利润增加权益</v>
          </cell>
          <cell r="F207">
            <v>0</v>
          </cell>
          <cell r="G207">
            <v>0</v>
          </cell>
          <cell r="H207">
            <v>0</v>
          </cell>
          <cell r="I207">
            <v>0</v>
          </cell>
          <cell r="J207">
            <v>0</v>
          </cell>
          <cell r="K207">
            <v>0</v>
          </cell>
          <cell r="L207">
            <v>0</v>
          </cell>
          <cell r="M207">
            <v>0</v>
          </cell>
          <cell r="T207">
            <v>8121</v>
          </cell>
          <cell r="U207">
            <v>0</v>
          </cell>
        </row>
        <row r="208">
          <cell r="D208">
            <v>8130</v>
          </cell>
          <cell r="E208" t="str">
            <v>实收资本_其他综合收益增加权益</v>
          </cell>
          <cell r="F208">
            <v>0</v>
          </cell>
          <cell r="G208">
            <v>0</v>
          </cell>
          <cell r="H208">
            <v>0</v>
          </cell>
          <cell r="I208">
            <v>0</v>
          </cell>
          <cell r="J208">
            <v>0</v>
          </cell>
          <cell r="K208">
            <v>0</v>
          </cell>
          <cell r="L208">
            <v>0</v>
          </cell>
          <cell r="M208">
            <v>0</v>
          </cell>
          <cell r="T208">
            <v>8130</v>
          </cell>
          <cell r="U208">
            <v>0</v>
          </cell>
        </row>
        <row r="209">
          <cell r="D209">
            <v>8140</v>
          </cell>
          <cell r="E209" t="str">
            <v>实收资本_综合收益总额增加权益</v>
          </cell>
          <cell r="F209">
            <v>0</v>
          </cell>
          <cell r="G209">
            <v>0</v>
          </cell>
          <cell r="H209">
            <v>0</v>
          </cell>
          <cell r="I209">
            <v>0</v>
          </cell>
          <cell r="J209">
            <v>0</v>
          </cell>
          <cell r="K209">
            <v>0</v>
          </cell>
          <cell r="L209">
            <v>0</v>
          </cell>
          <cell r="M209">
            <v>0</v>
          </cell>
          <cell r="T209">
            <v>8140</v>
          </cell>
          <cell r="U209">
            <v>0</v>
          </cell>
        </row>
        <row r="210">
          <cell r="D210">
            <v>8150</v>
          </cell>
          <cell r="E210" t="str">
            <v>实收资本_所有者投入和减少资本影响权益</v>
          </cell>
          <cell r="F210">
            <v>0</v>
          </cell>
          <cell r="G210">
            <v>0</v>
          </cell>
          <cell r="H210">
            <v>0</v>
          </cell>
          <cell r="I210">
            <v>0</v>
          </cell>
          <cell r="J210">
            <v>20000000</v>
          </cell>
          <cell r="K210">
            <v>0</v>
          </cell>
          <cell r="L210">
            <v>0</v>
          </cell>
          <cell r="M210">
            <v>20000000</v>
          </cell>
          <cell r="T210">
            <v>8150</v>
          </cell>
          <cell r="U210">
            <v>20000000</v>
          </cell>
        </row>
        <row r="211">
          <cell r="D211">
            <v>8151</v>
          </cell>
          <cell r="E211" t="str">
            <v>实收资本_所有者投入资本</v>
          </cell>
          <cell r="F211">
            <v>0</v>
          </cell>
          <cell r="G211">
            <v>0</v>
          </cell>
          <cell r="H211">
            <v>0</v>
          </cell>
          <cell r="I211">
            <v>0</v>
          </cell>
          <cell r="J211">
            <v>20000000</v>
          </cell>
          <cell r="K211">
            <v>0</v>
          </cell>
          <cell r="L211">
            <v>0</v>
          </cell>
          <cell r="M211">
            <v>20000000</v>
          </cell>
          <cell r="T211">
            <v>8151</v>
          </cell>
          <cell r="U211">
            <v>20000000</v>
          </cell>
        </row>
        <row r="212">
          <cell r="D212">
            <v>8153</v>
          </cell>
          <cell r="E212" t="str">
            <v>实收资本_其他权益工具持有者投入资本</v>
          </cell>
          <cell r="F212">
            <v>0</v>
          </cell>
          <cell r="G212">
            <v>0</v>
          </cell>
          <cell r="H212">
            <v>0</v>
          </cell>
          <cell r="I212">
            <v>0</v>
          </cell>
          <cell r="J212">
            <v>0</v>
          </cell>
          <cell r="K212">
            <v>0</v>
          </cell>
          <cell r="L212">
            <v>0</v>
          </cell>
          <cell r="M212">
            <v>0</v>
          </cell>
          <cell r="T212">
            <v>8153</v>
          </cell>
          <cell r="U212">
            <v>0</v>
          </cell>
        </row>
        <row r="213">
          <cell r="D213">
            <v>8152</v>
          </cell>
          <cell r="E213" t="str">
            <v>实收资本_股份支付计入所有者权益的金额</v>
          </cell>
          <cell r="F213">
            <v>0</v>
          </cell>
          <cell r="G213">
            <v>0</v>
          </cell>
          <cell r="H213">
            <v>0</v>
          </cell>
          <cell r="I213">
            <v>0</v>
          </cell>
          <cell r="J213">
            <v>0</v>
          </cell>
          <cell r="K213">
            <v>0</v>
          </cell>
          <cell r="L213">
            <v>0</v>
          </cell>
          <cell r="M213">
            <v>0</v>
          </cell>
          <cell r="T213">
            <v>8152</v>
          </cell>
          <cell r="U213">
            <v>0</v>
          </cell>
        </row>
        <row r="214">
          <cell r="D214">
            <v>8156</v>
          </cell>
          <cell r="E214" t="str">
            <v>实收资本_所有者其他投入和减少资本</v>
          </cell>
          <cell r="F214">
            <v>0</v>
          </cell>
          <cell r="G214">
            <v>0</v>
          </cell>
          <cell r="H214">
            <v>0</v>
          </cell>
          <cell r="I214">
            <v>0</v>
          </cell>
          <cell r="J214">
            <v>0</v>
          </cell>
          <cell r="K214">
            <v>0</v>
          </cell>
          <cell r="L214">
            <v>0</v>
          </cell>
          <cell r="M214">
            <v>0</v>
          </cell>
          <cell r="T214">
            <v>8156</v>
          </cell>
          <cell r="U214">
            <v>0</v>
          </cell>
        </row>
        <row r="215">
          <cell r="D215">
            <v>8160</v>
          </cell>
          <cell r="E215" t="str">
            <v>实收资本_利润分配影响权益</v>
          </cell>
          <cell r="F215">
            <v>0</v>
          </cell>
          <cell r="G215">
            <v>0</v>
          </cell>
          <cell r="H215">
            <v>0</v>
          </cell>
          <cell r="I215">
            <v>0</v>
          </cell>
          <cell r="J215">
            <v>0</v>
          </cell>
          <cell r="K215">
            <v>0</v>
          </cell>
          <cell r="L215">
            <v>0</v>
          </cell>
          <cell r="M215">
            <v>0</v>
          </cell>
          <cell r="T215">
            <v>8160</v>
          </cell>
          <cell r="U215">
            <v>0</v>
          </cell>
        </row>
        <row r="216">
          <cell r="D216">
            <v>8161</v>
          </cell>
          <cell r="E216" t="str">
            <v>实收资本_提取盈余公积影响权益</v>
          </cell>
          <cell r="F216">
            <v>0</v>
          </cell>
          <cell r="G216">
            <v>0</v>
          </cell>
          <cell r="H216">
            <v>0</v>
          </cell>
          <cell r="I216">
            <v>0</v>
          </cell>
          <cell r="J216">
            <v>0</v>
          </cell>
          <cell r="K216">
            <v>0</v>
          </cell>
          <cell r="L216">
            <v>0</v>
          </cell>
          <cell r="M216">
            <v>0</v>
          </cell>
          <cell r="T216">
            <v>8161</v>
          </cell>
          <cell r="U216">
            <v>0</v>
          </cell>
        </row>
        <row r="217">
          <cell r="D217">
            <v>8162</v>
          </cell>
          <cell r="E217" t="str">
            <v>实收资本_提取一般风险准备影响权益</v>
          </cell>
          <cell r="F217">
            <v>0</v>
          </cell>
          <cell r="G217">
            <v>0</v>
          </cell>
          <cell r="H217">
            <v>0</v>
          </cell>
          <cell r="I217">
            <v>0</v>
          </cell>
          <cell r="J217">
            <v>0</v>
          </cell>
          <cell r="K217">
            <v>0</v>
          </cell>
          <cell r="L217">
            <v>0</v>
          </cell>
          <cell r="M217">
            <v>0</v>
          </cell>
          <cell r="T217">
            <v>8162</v>
          </cell>
          <cell r="U217">
            <v>0</v>
          </cell>
        </row>
        <row r="218">
          <cell r="D218">
            <v>8163</v>
          </cell>
          <cell r="E218" t="str">
            <v>实收资本_对所有者的分配影响权益</v>
          </cell>
          <cell r="F218">
            <v>0</v>
          </cell>
          <cell r="G218">
            <v>0</v>
          </cell>
          <cell r="H218">
            <v>0</v>
          </cell>
          <cell r="I218">
            <v>0</v>
          </cell>
          <cell r="J218">
            <v>0</v>
          </cell>
          <cell r="K218">
            <v>0</v>
          </cell>
          <cell r="L218">
            <v>0</v>
          </cell>
          <cell r="M218">
            <v>0</v>
          </cell>
          <cell r="T218">
            <v>8163</v>
          </cell>
          <cell r="U218">
            <v>0</v>
          </cell>
        </row>
        <row r="219">
          <cell r="D219">
            <v>8166</v>
          </cell>
          <cell r="E219" t="str">
            <v>实收资本_其他利润分配影响权益</v>
          </cell>
          <cell r="F219">
            <v>0</v>
          </cell>
          <cell r="G219">
            <v>0</v>
          </cell>
          <cell r="H219">
            <v>0</v>
          </cell>
          <cell r="I219">
            <v>0</v>
          </cell>
          <cell r="J219">
            <v>0</v>
          </cell>
          <cell r="K219">
            <v>0</v>
          </cell>
          <cell r="L219">
            <v>0</v>
          </cell>
          <cell r="M219">
            <v>0</v>
          </cell>
          <cell r="T219">
            <v>8166</v>
          </cell>
          <cell r="U219">
            <v>0</v>
          </cell>
        </row>
        <row r="220">
          <cell r="D220">
            <v>8170</v>
          </cell>
          <cell r="E220" t="str">
            <v>实收资本_所有者权益内部结转</v>
          </cell>
          <cell r="F220">
            <v>0</v>
          </cell>
          <cell r="G220">
            <v>0</v>
          </cell>
          <cell r="H220">
            <v>0</v>
          </cell>
          <cell r="I220">
            <v>0</v>
          </cell>
          <cell r="J220">
            <v>0</v>
          </cell>
          <cell r="K220">
            <v>0</v>
          </cell>
          <cell r="L220">
            <v>0</v>
          </cell>
          <cell r="M220">
            <v>0</v>
          </cell>
          <cell r="T220">
            <v>8170</v>
          </cell>
          <cell r="U220">
            <v>0</v>
          </cell>
        </row>
        <row r="221">
          <cell r="D221">
            <v>8171</v>
          </cell>
          <cell r="E221" t="str">
            <v>实收资本_资本公积转增</v>
          </cell>
          <cell r="F221">
            <v>0</v>
          </cell>
          <cell r="G221">
            <v>0</v>
          </cell>
          <cell r="H221">
            <v>0</v>
          </cell>
          <cell r="I221">
            <v>0</v>
          </cell>
          <cell r="J221">
            <v>0</v>
          </cell>
          <cell r="K221">
            <v>0</v>
          </cell>
          <cell r="L221">
            <v>0</v>
          </cell>
          <cell r="M221">
            <v>0</v>
          </cell>
          <cell r="T221">
            <v>8171</v>
          </cell>
          <cell r="U221">
            <v>0</v>
          </cell>
        </row>
        <row r="222">
          <cell r="D222">
            <v>8172</v>
          </cell>
          <cell r="E222" t="str">
            <v>实收资本_盈余公积转增</v>
          </cell>
          <cell r="F222">
            <v>0</v>
          </cell>
          <cell r="G222">
            <v>0</v>
          </cell>
          <cell r="H222">
            <v>0</v>
          </cell>
          <cell r="I222">
            <v>0</v>
          </cell>
          <cell r="J222">
            <v>0</v>
          </cell>
          <cell r="K222">
            <v>0</v>
          </cell>
          <cell r="L222">
            <v>0</v>
          </cell>
          <cell r="M222">
            <v>0</v>
          </cell>
          <cell r="T222">
            <v>8172</v>
          </cell>
          <cell r="U222">
            <v>0</v>
          </cell>
        </row>
        <row r="223">
          <cell r="D223">
            <v>8173</v>
          </cell>
          <cell r="E223" t="str">
            <v>实收资本_盈余公积弥补亏损影响权益</v>
          </cell>
          <cell r="F223">
            <v>0</v>
          </cell>
          <cell r="G223">
            <v>0</v>
          </cell>
          <cell r="H223">
            <v>0</v>
          </cell>
          <cell r="I223">
            <v>0</v>
          </cell>
          <cell r="J223">
            <v>0</v>
          </cell>
          <cell r="K223">
            <v>0</v>
          </cell>
          <cell r="L223">
            <v>0</v>
          </cell>
          <cell r="M223">
            <v>0</v>
          </cell>
          <cell r="T223">
            <v>8173</v>
          </cell>
          <cell r="U223">
            <v>0</v>
          </cell>
        </row>
        <row r="224">
          <cell r="D224">
            <v>8175</v>
          </cell>
          <cell r="E224" t="str">
            <v>实收资本_结转重新计量设定受益计划净负债或净资产所产生的变动</v>
          </cell>
          <cell r="F224">
            <v>0</v>
          </cell>
          <cell r="G224">
            <v>0</v>
          </cell>
          <cell r="H224">
            <v>0</v>
          </cell>
          <cell r="I224">
            <v>0</v>
          </cell>
          <cell r="J224">
            <v>0</v>
          </cell>
          <cell r="K224">
            <v>0</v>
          </cell>
          <cell r="L224">
            <v>0</v>
          </cell>
          <cell r="M224">
            <v>0</v>
          </cell>
          <cell r="T224">
            <v>8175</v>
          </cell>
          <cell r="U224">
            <v>0</v>
          </cell>
        </row>
        <row r="225">
          <cell r="D225">
            <v>8176</v>
          </cell>
          <cell r="E225" t="str">
            <v>实收资本_所有者权益其他内部结转</v>
          </cell>
          <cell r="F225">
            <v>0</v>
          </cell>
          <cell r="G225">
            <v>0</v>
          </cell>
          <cell r="H225">
            <v>0</v>
          </cell>
          <cell r="I225">
            <v>0</v>
          </cell>
          <cell r="J225">
            <v>0</v>
          </cell>
          <cell r="K225">
            <v>0</v>
          </cell>
          <cell r="L225">
            <v>0</v>
          </cell>
          <cell r="M225">
            <v>0</v>
          </cell>
          <cell r="T225">
            <v>8176</v>
          </cell>
          <cell r="U225">
            <v>0</v>
          </cell>
        </row>
        <row r="226">
          <cell r="D226">
            <v>8180</v>
          </cell>
          <cell r="E226" t="str">
            <v>实收资本_专项储备影响权益</v>
          </cell>
          <cell r="F226">
            <v>0</v>
          </cell>
          <cell r="G226">
            <v>0</v>
          </cell>
          <cell r="H226">
            <v>0</v>
          </cell>
          <cell r="I226">
            <v>0</v>
          </cell>
          <cell r="J226">
            <v>0</v>
          </cell>
          <cell r="K226">
            <v>0</v>
          </cell>
          <cell r="L226">
            <v>0</v>
          </cell>
          <cell r="M226">
            <v>0</v>
          </cell>
          <cell r="T226">
            <v>8180</v>
          </cell>
          <cell r="U226">
            <v>0</v>
          </cell>
        </row>
        <row r="227">
          <cell r="D227">
            <v>8181</v>
          </cell>
          <cell r="E227" t="str">
            <v>实收资本_专项储备本期提取</v>
          </cell>
          <cell r="F227">
            <v>0</v>
          </cell>
          <cell r="G227">
            <v>0</v>
          </cell>
          <cell r="H227">
            <v>0</v>
          </cell>
          <cell r="I227">
            <v>0</v>
          </cell>
          <cell r="J227">
            <v>0</v>
          </cell>
          <cell r="K227">
            <v>0</v>
          </cell>
          <cell r="L227">
            <v>0</v>
          </cell>
          <cell r="M227">
            <v>0</v>
          </cell>
          <cell r="T227">
            <v>8181</v>
          </cell>
          <cell r="U227">
            <v>0</v>
          </cell>
        </row>
        <row r="228">
          <cell r="D228">
            <v>8182</v>
          </cell>
          <cell r="E228" t="str">
            <v>实收资本_专项储备本期使用</v>
          </cell>
          <cell r="F228">
            <v>0</v>
          </cell>
          <cell r="G228">
            <v>0</v>
          </cell>
          <cell r="H228">
            <v>0</v>
          </cell>
          <cell r="I228">
            <v>0</v>
          </cell>
          <cell r="J228">
            <v>0</v>
          </cell>
          <cell r="K228">
            <v>0</v>
          </cell>
          <cell r="L228">
            <v>0</v>
          </cell>
          <cell r="M228">
            <v>0</v>
          </cell>
          <cell r="T228">
            <v>8182</v>
          </cell>
          <cell r="U228">
            <v>0</v>
          </cell>
        </row>
        <row r="229">
          <cell r="D229">
            <v>8196</v>
          </cell>
          <cell r="E229" t="str">
            <v>实收资本_本期其他增减变动</v>
          </cell>
          <cell r="F229">
            <v>0</v>
          </cell>
          <cell r="G229">
            <v>0</v>
          </cell>
          <cell r="H229">
            <v>0</v>
          </cell>
          <cell r="I229">
            <v>0</v>
          </cell>
          <cell r="J229">
            <v>0</v>
          </cell>
          <cell r="K229">
            <v>0</v>
          </cell>
          <cell r="L229">
            <v>0</v>
          </cell>
          <cell r="M229">
            <v>0</v>
          </cell>
          <cell r="T229">
            <v>8196</v>
          </cell>
          <cell r="U229">
            <v>0</v>
          </cell>
        </row>
        <row r="230">
          <cell r="D230">
            <v>8199</v>
          </cell>
          <cell r="E230" t="str">
            <v>实收资本_本期期末余额</v>
          </cell>
          <cell r="F230">
            <v>20000000</v>
          </cell>
          <cell r="G230">
            <v>0</v>
          </cell>
          <cell r="H230">
            <v>0</v>
          </cell>
          <cell r="I230">
            <v>20000000</v>
          </cell>
          <cell r="J230">
            <v>20000000</v>
          </cell>
          <cell r="K230">
            <v>0</v>
          </cell>
          <cell r="L230">
            <v>0</v>
          </cell>
          <cell r="M230">
            <v>20000000</v>
          </cell>
          <cell r="T230">
            <v>8199</v>
          </cell>
          <cell r="U230">
            <v>20000000</v>
          </cell>
        </row>
        <row r="231">
          <cell r="D231" t="str">
            <v>8b00</v>
          </cell>
          <cell r="E231" t="str">
            <v>其他权益工具（优先股）增减变动</v>
          </cell>
          <cell r="F231">
            <v>0</v>
          </cell>
          <cell r="G231">
            <v>0</v>
          </cell>
          <cell r="H231">
            <v>0</v>
          </cell>
          <cell r="I231">
            <v>0</v>
          </cell>
          <cell r="J231">
            <v>0</v>
          </cell>
          <cell r="K231">
            <v>0</v>
          </cell>
          <cell r="L231">
            <v>0</v>
          </cell>
          <cell r="M231">
            <v>0</v>
          </cell>
          <cell r="T231" t="str">
            <v>8b00</v>
          </cell>
          <cell r="U231">
            <v>0</v>
          </cell>
        </row>
        <row r="232">
          <cell r="D232" t="str">
            <v>8b01</v>
          </cell>
          <cell r="E232" t="str">
            <v>其他权益工具（优先股）_上年年末余额</v>
          </cell>
          <cell r="F232">
            <v>0</v>
          </cell>
          <cell r="G232">
            <v>0</v>
          </cell>
          <cell r="H232">
            <v>0</v>
          </cell>
          <cell r="I232">
            <v>0</v>
          </cell>
          <cell r="J232">
            <v>0</v>
          </cell>
          <cell r="K232">
            <v>0</v>
          </cell>
          <cell r="L232">
            <v>0</v>
          </cell>
          <cell r="M232">
            <v>0</v>
          </cell>
          <cell r="T232" t="str">
            <v>8b01</v>
          </cell>
          <cell r="U232">
            <v>0</v>
          </cell>
        </row>
        <row r="233">
          <cell r="D233" t="str">
            <v>8b02</v>
          </cell>
          <cell r="E233" t="str">
            <v>其他权益工具（优先股）_会计政策变更调整上年年末余额</v>
          </cell>
          <cell r="F233">
            <v>0</v>
          </cell>
          <cell r="G233">
            <v>0</v>
          </cell>
          <cell r="H233">
            <v>0</v>
          </cell>
          <cell r="I233">
            <v>0</v>
          </cell>
          <cell r="J233">
            <v>0</v>
          </cell>
          <cell r="K233">
            <v>0</v>
          </cell>
          <cell r="L233">
            <v>0</v>
          </cell>
          <cell r="M233">
            <v>0</v>
          </cell>
          <cell r="T233" t="str">
            <v>8b02</v>
          </cell>
          <cell r="U233">
            <v>0</v>
          </cell>
        </row>
        <row r="234">
          <cell r="D234" t="str">
            <v>8b03</v>
          </cell>
          <cell r="E234" t="str">
            <v>其他权益工具（优先股）_前期差错更正调整上年年末余额</v>
          </cell>
          <cell r="F234">
            <v>0</v>
          </cell>
          <cell r="G234">
            <v>0</v>
          </cell>
          <cell r="H234">
            <v>0</v>
          </cell>
          <cell r="I234">
            <v>0</v>
          </cell>
          <cell r="J234">
            <v>0</v>
          </cell>
          <cell r="K234">
            <v>0</v>
          </cell>
          <cell r="L234">
            <v>0</v>
          </cell>
          <cell r="M234">
            <v>0</v>
          </cell>
          <cell r="T234" t="str">
            <v>8b03</v>
          </cell>
          <cell r="U234">
            <v>0</v>
          </cell>
        </row>
        <row r="235">
          <cell r="D235" t="str">
            <v>8b04</v>
          </cell>
          <cell r="E235" t="str">
            <v>其他权益工具（优先股）_同一控制下企业合并调整上年年末余额</v>
          </cell>
          <cell r="F235">
            <v>0</v>
          </cell>
          <cell r="G235">
            <v>0</v>
          </cell>
          <cell r="H235">
            <v>0</v>
          </cell>
          <cell r="I235">
            <v>0</v>
          </cell>
          <cell r="J235">
            <v>0</v>
          </cell>
          <cell r="K235">
            <v>0</v>
          </cell>
          <cell r="L235">
            <v>0</v>
          </cell>
          <cell r="M235">
            <v>0</v>
          </cell>
          <cell r="T235" t="str">
            <v>8b04</v>
          </cell>
          <cell r="U235">
            <v>0</v>
          </cell>
        </row>
        <row r="236">
          <cell r="D236" t="str">
            <v>8b09</v>
          </cell>
          <cell r="E236" t="str">
            <v>其他权益工具（优先股）_其他原因调整上年年末余额</v>
          </cell>
          <cell r="F236">
            <v>0</v>
          </cell>
          <cell r="G236">
            <v>0</v>
          </cell>
          <cell r="H236">
            <v>0</v>
          </cell>
          <cell r="I236">
            <v>0</v>
          </cell>
          <cell r="J236">
            <v>0</v>
          </cell>
          <cell r="K236">
            <v>0</v>
          </cell>
          <cell r="L236">
            <v>0</v>
          </cell>
          <cell r="M236">
            <v>0</v>
          </cell>
          <cell r="T236" t="str">
            <v>8b09</v>
          </cell>
          <cell r="U236">
            <v>0</v>
          </cell>
        </row>
        <row r="237">
          <cell r="D237" t="str">
            <v>8b10</v>
          </cell>
          <cell r="E237" t="str">
            <v>其他权益工具（优先股）_本年年初余额</v>
          </cell>
          <cell r="F237">
            <v>0</v>
          </cell>
          <cell r="G237">
            <v>0</v>
          </cell>
          <cell r="H237">
            <v>0</v>
          </cell>
          <cell r="I237">
            <v>0</v>
          </cell>
          <cell r="J237">
            <v>0</v>
          </cell>
          <cell r="K237">
            <v>0</v>
          </cell>
          <cell r="L237">
            <v>0</v>
          </cell>
          <cell r="M237">
            <v>0</v>
          </cell>
          <cell r="T237" t="str">
            <v>8b10</v>
          </cell>
          <cell r="U237">
            <v>0</v>
          </cell>
        </row>
        <row r="238">
          <cell r="D238" t="str">
            <v>8b90</v>
          </cell>
          <cell r="E238" t="str">
            <v>其他权益工具（优先股）_本期增减变动金额</v>
          </cell>
          <cell r="F238">
            <v>0</v>
          </cell>
          <cell r="G238">
            <v>0</v>
          </cell>
          <cell r="H238">
            <v>0</v>
          </cell>
          <cell r="I238">
            <v>0</v>
          </cell>
          <cell r="J238">
            <v>0</v>
          </cell>
          <cell r="K238">
            <v>0</v>
          </cell>
          <cell r="L238">
            <v>0</v>
          </cell>
          <cell r="M238">
            <v>0</v>
          </cell>
          <cell r="T238" t="str">
            <v>8b90</v>
          </cell>
          <cell r="U238">
            <v>0</v>
          </cell>
        </row>
        <row r="239">
          <cell r="D239" t="str">
            <v>8b40</v>
          </cell>
          <cell r="E239" t="str">
            <v>其他权益工具（优先股）_综合收益总额增加权益</v>
          </cell>
          <cell r="F239">
            <v>0</v>
          </cell>
          <cell r="G239">
            <v>0</v>
          </cell>
          <cell r="H239">
            <v>0</v>
          </cell>
          <cell r="I239">
            <v>0</v>
          </cell>
          <cell r="J239">
            <v>0</v>
          </cell>
          <cell r="K239">
            <v>0</v>
          </cell>
          <cell r="L239">
            <v>0</v>
          </cell>
          <cell r="M239">
            <v>0</v>
          </cell>
          <cell r="T239" t="str">
            <v>8b40</v>
          </cell>
          <cell r="U239">
            <v>0</v>
          </cell>
        </row>
        <row r="240">
          <cell r="D240" t="str">
            <v>8b50</v>
          </cell>
          <cell r="E240" t="str">
            <v>其他权益工具（优先股）_所有者投入和减少资本影响权益</v>
          </cell>
          <cell r="F240">
            <v>0</v>
          </cell>
          <cell r="G240">
            <v>0</v>
          </cell>
          <cell r="H240">
            <v>0</v>
          </cell>
          <cell r="I240">
            <v>0</v>
          </cell>
          <cell r="J240">
            <v>0</v>
          </cell>
          <cell r="K240">
            <v>0</v>
          </cell>
          <cell r="L240">
            <v>0</v>
          </cell>
          <cell r="M240">
            <v>0</v>
          </cell>
          <cell r="T240" t="str">
            <v>8b50</v>
          </cell>
          <cell r="U240">
            <v>0</v>
          </cell>
        </row>
        <row r="241">
          <cell r="D241" t="str">
            <v>8b51</v>
          </cell>
          <cell r="E241" t="str">
            <v>其他权益工具（优先股）_所有者投入资本</v>
          </cell>
          <cell r="F241">
            <v>0</v>
          </cell>
          <cell r="G241">
            <v>0</v>
          </cell>
          <cell r="H241">
            <v>0</v>
          </cell>
          <cell r="I241">
            <v>0</v>
          </cell>
          <cell r="J241">
            <v>0</v>
          </cell>
          <cell r="K241">
            <v>0</v>
          </cell>
          <cell r="L241">
            <v>0</v>
          </cell>
          <cell r="M241">
            <v>0</v>
          </cell>
          <cell r="T241" t="str">
            <v>8b51</v>
          </cell>
          <cell r="U241">
            <v>0</v>
          </cell>
        </row>
        <row r="242">
          <cell r="D242" t="str">
            <v>8b53</v>
          </cell>
          <cell r="E242" t="str">
            <v>其他权益工具（优先股）_其他权益工具持有者投入资本</v>
          </cell>
          <cell r="F242">
            <v>0</v>
          </cell>
          <cell r="G242">
            <v>0</v>
          </cell>
          <cell r="H242">
            <v>0</v>
          </cell>
          <cell r="I242">
            <v>0</v>
          </cell>
          <cell r="J242">
            <v>0</v>
          </cell>
          <cell r="K242">
            <v>0</v>
          </cell>
          <cell r="L242">
            <v>0</v>
          </cell>
          <cell r="M242">
            <v>0</v>
          </cell>
          <cell r="T242" t="str">
            <v>8b53</v>
          </cell>
          <cell r="U242">
            <v>0</v>
          </cell>
        </row>
        <row r="243">
          <cell r="D243" t="str">
            <v>8b52</v>
          </cell>
          <cell r="E243" t="str">
            <v>其他权益工具（优先股）_股份支付</v>
          </cell>
          <cell r="F243">
            <v>0</v>
          </cell>
          <cell r="G243">
            <v>0</v>
          </cell>
          <cell r="H243">
            <v>0</v>
          </cell>
          <cell r="I243">
            <v>0</v>
          </cell>
          <cell r="J243">
            <v>0</v>
          </cell>
          <cell r="K243">
            <v>0</v>
          </cell>
          <cell r="L243">
            <v>0</v>
          </cell>
          <cell r="M243">
            <v>0</v>
          </cell>
          <cell r="T243" t="str">
            <v>8b52</v>
          </cell>
          <cell r="U243">
            <v>0</v>
          </cell>
        </row>
        <row r="244">
          <cell r="D244" t="str">
            <v>8b56</v>
          </cell>
          <cell r="E244" t="str">
            <v>其他权益工具（优先股）_所有者其他投入和减少资本</v>
          </cell>
          <cell r="F244">
            <v>0</v>
          </cell>
          <cell r="G244">
            <v>0</v>
          </cell>
          <cell r="H244">
            <v>0</v>
          </cell>
          <cell r="I244">
            <v>0</v>
          </cell>
          <cell r="J244">
            <v>0</v>
          </cell>
          <cell r="K244">
            <v>0</v>
          </cell>
          <cell r="L244">
            <v>0</v>
          </cell>
          <cell r="M244">
            <v>0</v>
          </cell>
          <cell r="T244" t="str">
            <v>8b56</v>
          </cell>
          <cell r="U244">
            <v>0</v>
          </cell>
        </row>
        <row r="245">
          <cell r="D245" t="str">
            <v>8b60</v>
          </cell>
          <cell r="E245" t="str">
            <v>其他权益工具（优先股）_利润分配影响权益</v>
          </cell>
          <cell r="F245">
            <v>0</v>
          </cell>
          <cell r="G245">
            <v>0</v>
          </cell>
          <cell r="H245">
            <v>0</v>
          </cell>
          <cell r="I245">
            <v>0</v>
          </cell>
          <cell r="J245">
            <v>0</v>
          </cell>
          <cell r="K245">
            <v>0</v>
          </cell>
          <cell r="L245">
            <v>0</v>
          </cell>
          <cell r="M245">
            <v>0</v>
          </cell>
          <cell r="T245" t="str">
            <v>8b60</v>
          </cell>
          <cell r="U245">
            <v>0</v>
          </cell>
        </row>
        <row r="246">
          <cell r="D246" t="str">
            <v>8b61</v>
          </cell>
          <cell r="E246" t="str">
            <v>其他权益工具（优先股）_提取盈余公积</v>
          </cell>
          <cell r="F246">
            <v>0</v>
          </cell>
          <cell r="G246">
            <v>0</v>
          </cell>
          <cell r="H246">
            <v>0</v>
          </cell>
          <cell r="I246">
            <v>0</v>
          </cell>
          <cell r="J246">
            <v>0</v>
          </cell>
          <cell r="K246">
            <v>0</v>
          </cell>
          <cell r="L246">
            <v>0</v>
          </cell>
          <cell r="M246">
            <v>0</v>
          </cell>
          <cell r="T246" t="str">
            <v>8b61</v>
          </cell>
          <cell r="U246">
            <v>0</v>
          </cell>
        </row>
        <row r="247">
          <cell r="D247" t="str">
            <v>8b62</v>
          </cell>
          <cell r="E247" t="str">
            <v>其他权益工具（优先股）_提取一般风险准备</v>
          </cell>
          <cell r="F247">
            <v>0</v>
          </cell>
          <cell r="G247">
            <v>0</v>
          </cell>
          <cell r="H247">
            <v>0</v>
          </cell>
          <cell r="I247">
            <v>0</v>
          </cell>
          <cell r="J247">
            <v>0</v>
          </cell>
          <cell r="K247">
            <v>0</v>
          </cell>
          <cell r="L247">
            <v>0</v>
          </cell>
          <cell r="M247">
            <v>0</v>
          </cell>
          <cell r="T247" t="str">
            <v>8b62</v>
          </cell>
          <cell r="U247">
            <v>0</v>
          </cell>
        </row>
        <row r="248">
          <cell r="D248" t="str">
            <v>8b63</v>
          </cell>
          <cell r="E248" t="str">
            <v>其他权益工具（优先股）_对所有者的分配</v>
          </cell>
          <cell r="F248">
            <v>0</v>
          </cell>
          <cell r="G248">
            <v>0</v>
          </cell>
          <cell r="H248">
            <v>0</v>
          </cell>
          <cell r="I248">
            <v>0</v>
          </cell>
          <cell r="J248">
            <v>0</v>
          </cell>
          <cell r="K248">
            <v>0</v>
          </cell>
          <cell r="L248">
            <v>0</v>
          </cell>
          <cell r="M248">
            <v>0</v>
          </cell>
          <cell r="T248" t="str">
            <v>8b63</v>
          </cell>
          <cell r="U248">
            <v>0</v>
          </cell>
        </row>
        <row r="249">
          <cell r="D249" t="str">
            <v>8b66</v>
          </cell>
          <cell r="E249" t="str">
            <v>其他权益工具（优先股）_其他利润分配</v>
          </cell>
          <cell r="F249">
            <v>0</v>
          </cell>
          <cell r="G249">
            <v>0</v>
          </cell>
          <cell r="H249">
            <v>0</v>
          </cell>
          <cell r="I249">
            <v>0</v>
          </cell>
          <cell r="J249">
            <v>0</v>
          </cell>
          <cell r="K249">
            <v>0</v>
          </cell>
          <cell r="L249">
            <v>0</v>
          </cell>
          <cell r="M249">
            <v>0</v>
          </cell>
          <cell r="T249" t="str">
            <v>8b66</v>
          </cell>
          <cell r="U249">
            <v>0</v>
          </cell>
        </row>
        <row r="250">
          <cell r="D250" t="str">
            <v>8b70</v>
          </cell>
          <cell r="E250" t="str">
            <v>其他权益工具（优先股）_所有者权益内部结转</v>
          </cell>
          <cell r="F250">
            <v>0</v>
          </cell>
          <cell r="G250">
            <v>0</v>
          </cell>
          <cell r="H250">
            <v>0</v>
          </cell>
          <cell r="I250">
            <v>0</v>
          </cell>
          <cell r="J250">
            <v>0</v>
          </cell>
          <cell r="K250">
            <v>0</v>
          </cell>
          <cell r="L250">
            <v>0</v>
          </cell>
          <cell r="M250">
            <v>0</v>
          </cell>
          <cell r="T250" t="str">
            <v>8b70</v>
          </cell>
          <cell r="U250">
            <v>0</v>
          </cell>
        </row>
        <row r="251">
          <cell r="D251" t="str">
            <v>8b71</v>
          </cell>
          <cell r="E251" t="str">
            <v>其他权益工具（优先股）_资本公积转增资本</v>
          </cell>
          <cell r="F251">
            <v>0</v>
          </cell>
          <cell r="G251">
            <v>0</v>
          </cell>
          <cell r="H251">
            <v>0</v>
          </cell>
          <cell r="I251">
            <v>0</v>
          </cell>
          <cell r="J251">
            <v>0</v>
          </cell>
          <cell r="K251">
            <v>0</v>
          </cell>
          <cell r="L251">
            <v>0</v>
          </cell>
          <cell r="M251">
            <v>0</v>
          </cell>
          <cell r="T251" t="str">
            <v>8b71</v>
          </cell>
          <cell r="U251">
            <v>0</v>
          </cell>
        </row>
        <row r="252">
          <cell r="D252" t="str">
            <v>8b72</v>
          </cell>
          <cell r="E252" t="str">
            <v>其他权益工具（优先股）_盈余公积转增资本</v>
          </cell>
          <cell r="F252">
            <v>0</v>
          </cell>
          <cell r="G252">
            <v>0</v>
          </cell>
          <cell r="H252">
            <v>0</v>
          </cell>
          <cell r="I252">
            <v>0</v>
          </cell>
          <cell r="J252">
            <v>0</v>
          </cell>
          <cell r="K252">
            <v>0</v>
          </cell>
          <cell r="L252">
            <v>0</v>
          </cell>
          <cell r="M252">
            <v>0</v>
          </cell>
          <cell r="T252" t="str">
            <v>8b72</v>
          </cell>
          <cell r="U252">
            <v>0</v>
          </cell>
        </row>
        <row r="253">
          <cell r="D253" t="str">
            <v>8b73</v>
          </cell>
          <cell r="E253" t="str">
            <v>其他权益工具（优先股）_盈余公积弥补亏损</v>
          </cell>
          <cell r="F253">
            <v>0</v>
          </cell>
          <cell r="G253">
            <v>0</v>
          </cell>
          <cell r="H253">
            <v>0</v>
          </cell>
          <cell r="I253">
            <v>0</v>
          </cell>
          <cell r="J253">
            <v>0</v>
          </cell>
          <cell r="K253">
            <v>0</v>
          </cell>
          <cell r="L253">
            <v>0</v>
          </cell>
          <cell r="M253">
            <v>0</v>
          </cell>
          <cell r="T253" t="str">
            <v>8b73</v>
          </cell>
          <cell r="U253">
            <v>0</v>
          </cell>
        </row>
        <row r="254">
          <cell r="D254" t="str">
            <v>8b75</v>
          </cell>
          <cell r="E254" t="str">
            <v>其他权益工具（优先股）_结转重新计量设定受益计划净负债或净资产所产生的变动</v>
          </cell>
          <cell r="F254">
            <v>0</v>
          </cell>
          <cell r="G254">
            <v>0</v>
          </cell>
          <cell r="H254">
            <v>0</v>
          </cell>
          <cell r="I254">
            <v>0</v>
          </cell>
          <cell r="J254">
            <v>0</v>
          </cell>
          <cell r="K254">
            <v>0</v>
          </cell>
          <cell r="L254">
            <v>0</v>
          </cell>
          <cell r="M254">
            <v>0</v>
          </cell>
          <cell r="T254" t="str">
            <v>8b75</v>
          </cell>
          <cell r="U254">
            <v>0</v>
          </cell>
        </row>
        <row r="255">
          <cell r="D255" t="str">
            <v>8b76</v>
          </cell>
          <cell r="E255" t="str">
            <v>其他权益工具（优先股）_所有者权益其他内部结转</v>
          </cell>
          <cell r="F255">
            <v>0</v>
          </cell>
          <cell r="G255">
            <v>0</v>
          </cell>
          <cell r="H255">
            <v>0</v>
          </cell>
          <cell r="I255">
            <v>0</v>
          </cell>
          <cell r="J255">
            <v>0</v>
          </cell>
          <cell r="K255">
            <v>0</v>
          </cell>
          <cell r="L255">
            <v>0</v>
          </cell>
          <cell r="M255">
            <v>0</v>
          </cell>
          <cell r="T255" t="str">
            <v>8b76</v>
          </cell>
          <cell r="U255">
            <v>0</v>
          </cell>
        </row>
        <row r="256">
          <cell r="D256" t="str">
            <v>8b80</v>
          </cell>
          <cell r="E256" t="str">
            <v>其他权益工具（优先股）_专项储备影响权益</v>
          </cell>
          <cell r="F256">
            <v>0</v>
          </cell>
          <cell r="G256">
            <v>0</v>
          </cell>
          <cell r="H256">
            <v>0</v>
          </cell>
          <cell r="I256">
            <v>0</v>
          </cell>
          <cell r="J256">
            <v>0</v>
          </cell>
          <cell r="K256">
            <v>0</v>
          </cell>
          <cell r="L256">
            <v>0</v>
          </cell>
          <cell r="M256">
            <v>0</v>
          </cell>
          <cell r="T256" t="str">
            <v>8b80</v>
          </cell>
          <cell r="U256">
            <v>0</v>
          </cell>
        </row>
        <row r="257">
          <cell r="D257" t="str">
            <v>8b81</v>
          </cell>
          <cell r="E257" t="str">
            <v>其他权益工具（优先股）_专项储备本期提取</v>
          </cell>
          <cell r="F257">
            <v>0</v>
          </cell>
          <cell r="G257">
            <v>0</v>
          </cell>
          <cell r="H257">
            <v>0</v>
          </cell>
          <cell r="I257">
            <v>0</v>
          </cell>
          <cell r="J257">
            <v>0</v>
          </cell>
          <cell r="K257">
            <v>0</v>
          </cell>
          <cell r="L257">
            <v>0</v>
          </cell>
          <cell r="M257">
            <v>0</v>
          </cell>
          <cell r="T257" t="str">
            <v>8b81</v>
          </cell>
          <cell r="U257">
            <v>0</v>
          </cell>
        </row>
        <row r="258">
          <cell r="D258" t="str">
            <v>8b82</v>
          </cell>
          <cell r="E258" t="str">
            <v>其他权益工具（优先股）_专项储备本期使用</v>
          </cell>
          <cell r="F258">
            <v>0</v>
          </cell>
          <cell r="G258">
            <v>0</v>
          </cell>
          <cell r="H258">
            <v>0</v>
          </cell>
          <cell r="I258">
            <v>0</v>
          </cell>
          <cell r="J258">
            <v>0</v>
          </cell>
          <cell r="K258">
            <v>0</v>
          </cell>
          <cell r="L258">
            <v>0</v>
          </cell>
          <cell r="M258">
            <v>0</v>
          </cell>
          <cell r="T258" t="str">
            <v>8b82</v>
          </cell>
          <cell r="U258">
            <v>0</v>
          </cell>
        </row>
        <row r="259">
          <cell r="D259" t="str">
            <v>8b96</v>
          </cell>
          <cell r="E259" t="str">
            <v>其他权益工具（优先股）_本期其他增减变动</v>
          </cell>
          <cell r="F259">
            <v>0</v>
          </cell>
          <cell r="G259">
            <v>0</v>
          </cell>
          <cell r="H259">
            <v>0</v>
          </cell>
          <cell r="I259">
            <v>0</v>
          </cell>
          <cell r="J259">
            <v>0</v>
          </cell>
          <cell r="K259">
            <v>0</v>
          </cell>
          <cell r="L259">
            <v>0</v>
          </cell>
          <cell r="M259">
            <v>0</v>
          </cell>
          <cell r="T259" t="str">
            <v>8b96</v>
          </cell>
          <cell r="U259">
            <v>0</v>
          </cell>
        </row>
        <row r="260">
          <cell r="D260" t="str">
            <v>8b99</v>
          </cell>
          <cell r="E260" t="str">
            <v>其他权益工具（优先股）_本期期末余额</v>
          </cell>
          <cell r="F260">
            <v>0</v>
          </cell>
          <cell r="G260">
            <v>0</v>
          </cell>
          <cell r="H260">
            <v>0</v>
          </cell>
          <cell r="I260">
            <v>0</v>
          </cell>
          <cell r="J260">
            <v>0</v>
          </cell>
          <cell r="K260">
            <v>0</v>
          </cell>
          <cell r="L260">
            <v>0</v>
          </cell>
          <cell r="M260">
            <v>0</v>
          </cell>
          <cell r="T260" t="str">
            <v>8b99</v>
          </cell>
          <cell r="U260">
            <v>0</v>
          </cell>
        </row>
        <row r="261">
          <cell r="D261" t="str">
            <v>8c00</v>
          </cell>
          <cell r="E261" t="str">
            <v>其他权益工具（永续债）增减变动</v>
          </cell>
          <cell r="F261">
            <v>0</v>
          </cell>
          <cell r="G261">
            <v>0</v>
          </cell>
          <cell r="H261">
            <v>0</v>
          </cell>
          <cell r="I261">
            <v>0</v>
          </cell>
          <cell r="J261">
            <v>0</v>
          </cell>
          <cell r="K261">
            <v>0</v>
          </cell>
          <cell r="L261">
            <v>0</v>
          </cell>
          <cell r="M261">
            <v>0</v>
          </cell>
          <cell r="T261" t="str">
            <v>8c00</v>
          </cell>
          <cell r="U261">
            <v>0</v>
          </cell>
        </row>
        <row r="262">
          <cell r="D262" t="str">
            <v>8c01</v>
          </cell>
          <cell r="E262" t="str">
            <v>其他权益工具（永续债）_上年年末余额</v>
          </cell>
          <cell r="F262">
            <v>0</v>
          </cell>
          <cell r="G262">
            <v>0</v>
          </cell>
          <cell r="H262">
            <v>0</v>
          </cell>
          <cell r="I262">
            <v>0</v>
          </cell>
          <cell r="J262">
            <v>0</v>
          </cell>
          <cell r="K262">
            <v>0</v>
          </cell>
          <cell r="L262">
            <v>0</v>
          </cell>
          <cell r="M262">
            <v>0</v>
          </cell>
          <cell r="T262" t="str">
            <v>8c01</v>
          </cell>
          <cell r="U262">
            <v>0</v>
          </cell>
        </row>
        <row r="263">
          <cell r="D263" t="str">
            <v>8c02</v>
          </cell>
          <cell r="E263" t="str">
            <v>其他权益工具（永续债）_会计政策变更调整上年年末余额</v>
          </cell>
          <cell r="F263">
            <v>0</v>
          </cell>
          <cell r="G263">
            <v>0</v>
          </cell>
          <cell r="H263">
            <v>0</v>
          </cell>
          <cell r="I263">
            <v>0</v>
          </cell>
          <cell r="J263">
            <v>0</v>
          </cell>
          <cell r="K263">
            <v>0</v>
          </cell>
          <cell r="L263">
            <v>0</v>
          </cell>
          <cell r="M263">
            <v>0</v>
          </cell>
          <cell r="T263" t="str">
            <v>8c02</v>
          </cell>
          <cell r="U263">
            <v>0</v>
          </cell>
        </row>
        <row r="264">
          <cell r="D264" t="str">
            <v>8c03</v>
          </cell>
          <cell r="E264" t="str">
            <v>其他权益工具（永续债）_前期差错更正调整上年年末余额</v>
          </cell>
          <cell r="F264">
            <v>0</v>
          </cell>
          <cell r="G264">
            <v>0</v>
          </cell>
          <cell r="H264">
            <v>0</v>
          </cell>
          <cell r="I264">
            <v>0</v>
          </cell>
          <cell r="J264">
            <v>0</v>
          </cell>
          <cell r="K264">
            <v>0</v>
          </cell>
          <cell r="L264">
            <v>0</v>
          </cell>
          <cell r="M264">
            <v>0</v>
          </cell>
          <cell r="T264" t="str">
            <v>8c03</v>
          </cell>
          <cell r="U264">
            <v>0</v>
          </cell>
        </row>
        <row r="265">
          <cell r="D265" t="str">
            <v>8c04</v>
          </cell>
          <cell r="E265" t="str">
            <v>其他权益工具（永续债）_同一控制下企业合并调整上年年末余额</v>
          </cell>
          <cell r="F265">
            <v>0</v>
          </cell>
          <cell r="G265">
            <v>0</v>
          </cell>
          <cell r="H265">
            <v>0</v>
          </cell>
          <cell r="I265">
            <v>0</v>
          </cell>
          <cell r="J265">
            <v>0</v>
          </cell>
          <cell r="K265">
            <v>0</v>
          </cell>
          <cell r="L265">
            <v>0</v>
          </cell>
          <cell r="M265">
            <v>0</v>
          </cell>
          <cell r="T265" t="str">
            <v>8c04</v>
          </cell>
          <cell r="U265">
            <v>0</v>
          </cell>
        </row>
        <row r="266">
          <cell r="D266" t="str">
            <v>8c09</v>
          </cell>
          <cell r="E266" t="str">
            <v>其他权益工具（永续债）_其他原因调整上年年末余额</v>
          </cell>
          <cell r="F266">
            <v>0</v>
          </cell>
          <cell r="G266">
            <v>0</v>
          </cell>
          <cell r="H266">
            <v>0</v>
          </cell>
          <cell r="I266">
            <v>0</v>
          </cell>
          <cell r="J266">
            <v>0</v>
          </cell>
          <cell r="K266">
            <v>0</v>
          </cell>
          <cell r="L266">
            <v>0</v>
          </cell>
          <cell r="M266">
            <v>0</v>
          </cell>
          <cell r="T266" t="str">
            <v>8c09</v>
          </cell>
          <cell r="U266">
            <v>0</v>
          </cell>
        </row>
        <row r="267">
          <cell r="D267" t="str">
            <v>8c10</v>
          </cell>
          <cell r="E267" t="str">
            <v>其他权益工具（永续债）_本年年初余额</v>
          </cell>
          <cell r="F267">
            <v>0</v>
          </cell>
          <cell r="G267">
            <v>0</v>
          </cell>
          <cell r="H267">
            <v>0</v>
          </cell>
          <cell r="I267">
            <v>0</v>
          </cell>
          <cell r="J267">
            <v>0</v>
          </cell>
          <cell r="K267">
            <v>0</v>
          </cell>
          <cell r="L267">
            <v>0</v>
          </cell>
          <cell r="M267">
            <v>0</v>
          </cell>
          <cell r="T267" t="str">
            <v>8c10</v>
          </cell>
          <cell r="U267">
            <v>0</v>
          </cell>
        </row>
        <row r="268">
          <cell r="D268" t="str">
            <v>8c90</v>
          </cell>
          <cell r="E268" t="str">
            <v>其他权益工具（永续债）_本期增减变动金额</v>
          </cell>
          <cell r="F268">
            <v>0</v>
          </cell>
          <cell r="G268">
            <v>0</v>
          </cell>
          <cell r="H268">
            <v>0</v>
          </cell>
          <cell r="I268">
            <v>0</v>
          </cell>
          <cell r="J268">
            <v>0</v>
          </cell>
          <cell r="K268">
            <v>0</v>
          </cell>
          <cell r="L268">
            <v>0</v>
          </cell>
          <cell r="M268">
            <v>0</v>
          </cell>
          <cell r="T268" t="str">
            <v>8c90</v>
          </cell>
          <cell r="U268">
            <v>0</v>
          </cell>
        </row>
        <row r="269">
          <cell r="D269" t="str">
            <v>8c40</v>
          </cell>
          <cell r="E269" t="str">
            <v>其他权益工具（永续债）_综合收益总额增加权益</v>
          </cell>
          <cell r="F269">
            <v>0</v>
          </cell>
          <cell r="G269">
            <v>0</v>
          </cell>
          <cell r="H269">
            <v>0</v>
          </cell>
          <cell r="I269">
            <v>0</v>
          </cell>
          <cell r="J269">
            <v>0</v>
          </cell>
          <cell r="K269">
            <v>0</v>
          </cell>
          <cell r="L269">
            <v>0</v>
          </cell>
          <cell r="M269">
            <v>0</v>
          </cell>
          <cell r="T269" t="str">
            <v>8c40</v>
          </cell>
          <cell r="U269">
            <v>0</v>
          </cell>
        </row>
        <row r="270">
          <cell r="D270" t="str">
            <v>8c50</v>
          </cell>
          <cell r="E270" t="str">
            <v>其他权益工具（永续债）_所有者投入和减少资本影响权益</v>
          </cell>
          <cell r="F270">
            <v>0</v>
          </cell>
          <cell r="G270">
            <v>0</v>
          </cell>
          <cell r="H270">
            <v>0</v>
          </cell>
          <cell r="I270">
            <v>0</v>
          </cell>
          <cell r="J270">
            <v>0</v>
          </cell>
          <cell r="K270">
            <v>0</v>
          </cell>
          <cell r="L270">
            <v>0</v>
          </cell>
          <cell r="M270">
            <v>0</v>
          </cell>
          <cell r="T270" t="str">
            <v>8c50</v>
          </cell>
          <cell r="U270">
            <v>0</v>
          </cell>
        </row>
        <row r="271">
          <cell r="D271" t="str">
            <v>8c51</v>
          </cell>
          <cell r="E271" t="str">
            <v>其他权益工具（永续债）_所有者投入资本</v>
          </cell>
          <cell r="F271">
            <v>0</v>
          </cell>
          <cell r="G271">
            <v>0</v>
          </cell>
          <cell r="H271">
            <v>0</v>
          </cell>
          <cell r="I271">
            <v>0</v>
          </cell>
          <cell r="J271">
            <v>0</v>
          </cell>
          <cell r="K271">
            <v>0</v>
          </cell>
          <cell r="L271">
            <v>0</v>
          </cell>
          <cell r="M271">
            <v>0</v>
          </cell>
          <cell r="T271" t="str">
            <v>8c51</v>
          </cell>
          <cell r="U271">
            <v>0</v>
          </cell>
        </row>
        <row r="272">
          <cell r="D272" t="str">
            <v>8c53</v>
          </cell>
          <cell r="E272" t="str">
            <v>其他权益工具（永续债）_其他权益工具持有者投入资本</v>
          </cell>
          <cell r="F272">
            <v>0</v>
          </cell>
          <cell r="G272">
            <v>0</v>
          </cell>
          <cell r="H272">
            <v>0</v>
          </cell>
          <cell r="I272">
            <v>0</v>
          </cell>
          <cell r="J272">
            <v>0</v>
          </cell>
          <cell r="K272">
            <v>0</v>
          </cell>
          <cell r="L272">
            <v>0</v>
          </cell>
          <cell r="M272">
            <v>0</v>
          </cell>
          <cell r="T272" t="str">
            <v>8c53</v>
          </cell>
          <cell r="U272">
            <v>0</v>
          </cell>
        </row>
        <row r="273">
          <cell r="D273" t="str">
            <v>8c52</v>
          </cell>
          <cell r="E273" t="str">
            <v>其他权益工具（永续债）_股份支付</v>
          </cell>
          <cell r="F273">
            <v>0</v>
          </cell>
          <cell r="G273">
            <v>0</v>
          </cell>
          <cell r="H273">
            <v>0</v>
          </cell>
          <cell r="I273">
            <v>0</v>
          </cell>
          <cell r="J273">
            <v>0</v>
          </cell>
          <cell r="K273">
            <v>0</v>
          </cell>
          <cell r="L273">
            <v>0</v>
          </cell>
          <cell r="M273">
            <v>0</v>
          </cell>
          <cell r="T273" t="str">
            <v>8c52</v>
          </cell>
          <cell r="U273">
            <v>0</v>
          </cell>
        </row>
        <row r="274">
          <cell r="D274" t="str">
            <v>8c56</v>
          </cell>
          <cell r="E274" t="str">
            <v>其他权益工具（永续债）_所有者其他投入和减少资本</v>
          </cell>
          <cell r="F274">
            <v>0</v>
          </cell>
          <cell r="G274">
            <v>0</v>
          </cell>
          <cell r="H274">
            <v>0</v>
          </cell>
          <cell r="I274">
            <v>0</v>
          </cell>
          <cell r="J274">
            <v>0</v>
          </cell>
          <cell r="K274">
            <v>0</v>
          </cell>
          <cell r="L274">
            <v>0</v>
          </cell>
          <cell r="M274">
            <v>0</v>
          </cell>
          <cell r="T274" t="str">
            <v>8c56</v>
          </cell>
          <cell r="U274">
            <v>0</v>
          </cell>
        </row>
        <row r="275">
          <cell r="D275" t="str">
            <v>8c60</v>
          </cell>
          <cell r="E275" t="str">
            <v>其他权益工具（永续债）_利润分配影响权益</v>
          </cell>
          <cell r="F275">
            <v>0</v>
          </cell>
          <cell r="G275">
            <v>0</v>
          </cell>
          <cell r="H275">
            <v>0</v>
          </cell>
          <cell r="I275">
            <v>0</v>
          </cell>
          <cell r="J275">
            <v>0</v>
          </cell>
          <cell r="K275">
            <v>0</v>
          </cell>
          <cell r="L275">
            <v>0</v>
          </cell>
          <cell r="M275">
            <v>0</v>
          </cell>
          <cell r="T275" t="str">
            <v>8c60</v>
          </cell>
          <cell r="U275">
            <v>0</v>
          </cell>
        </row>
        <row r="276">
          <cell r="D276" t="str">
            <v>8c61</v>
          </cell>
          <cell r="E276" t="str">
            <v>其他权益工具（永续债）_提取盈余公积</v>
          </cell>
          <cell r="F276">
            <v>0</v>
          </cell>
          <cell r="G276">
            <v>0</v>
          </cell>
          <cell r="H276">
            <v>0</v>
          </cell>
          <cell r="I276">
            <v>0</v>
          </cell>
          <cell r="J276">
            <v>0</v>
          </cell>
          <cell r="K276">
            <v>0</v>
          </cell>
          <cell r="L276">
            <v>0</v>
          </cell>
          <cell r="M276">
            <v>0</v>
          </cell>
          <cell r="T276" t="str">
            <v>8c61</v>
          </cell>
          <cell r="U276">
            <v>0</v>
          </cell>
        </row>
        <row r="277">
          <cell r="D277" t="str">
            <v>8c62</v>
          </cell>
          <cell r="E277" t="str">
            <v>其他权益工具（永续债）_提取一般风险准备</v>
          </cell>
          <cell r="F277">
            <v>0</v>
          </cell>
          <cell r="G277">
            <v>0</v>
          </cell>
          <cell r="H277">
            <v>0</v>
          </cell>
          <cell r="I277">
            <v>0</v>
          </cell>
          <cell r="J277">
            <v>0</v>
          </cell>
          <cell r="K277">
            <v>0</v>
          </cell>
          <cell r="L277">
            <v>0</v>
          </cell>
          <cell r="M277">
            <v>0</v>
          </cell>
          <cell r="T277" t="str">
            <v>8c62</v>
          </cell>
          <cell r="U277">
            <v>0</v>
          </cell>
        </row>
        <row r="278">
          <cell r="D278" t="str">
            <v>8c63</v>
          </cell>
          <cell r="E278" t="str">
            <v>其他权益工具（永续债）_对所有者的分配</v>
          </cell>
          <cell r="F278">
            <v>0</v>
          </cell>
          <cell r="G278">
            <v>0</v>
          </cell>
          <cell r="H278">
            <v>0</v>
          </cell>
          <cell r="I278">
            <v>0</v>
          </cell>
          <cell r="J278">
            <v>0</v>
          </cell>
          <cell r="K278">
            <v>0</v>
          </cell>
          <cell r="L278">
            <v>0</v>
          </cell>
          <cell r="M278">
            <v>0</v>
          </cell>
          <cell r="T278" t="str">
            <v>8c63</v>
          </cell>
          <cell r="U278">
            <v>0</v>
          </cell>
        </row>
        <row r="279">
          <cell r="D279" t="str">
            <v>8c66</v>
          </cell>
          <cell r="E279" t="str">
            <v>其他权益工具（永续债）_其他利润分配</v>
          </cell>
          <cell r="F279">
            <v>0</v>
          </cell>
          <cell r="G279">
            <v>0</v>
          </cell>
          <cell r="H279">
            <v>0</v>
          </cell>
          <cell r="I279">
            <v>0</v>
          </cell>
          <cell r="J279">
            <v>0</v>
          </cell>
          <cell r="K279">
            <v>0</v>
          </cell>
          <cell r="L279">
            <v>0</v>
          </cell>
          <cell r="M279">
            <v>0</v>
          </cell>
          <cell r="T279" t="str">
            <v>8c66</v>
          </cell>
          <cell r="U279">
            <v>0</v>
          </cell>
        </row>
        <row r="280">
          <cell r="D280" t="str">
            <v>8c70</v>
          </cell>
          <cell r="E280" t="str">
            <v>其他权益工具（永续债）_所有者权益内部结转</v>
          </cell>
          <cell r="F280">
            <v>0</v>
          </cell>
          <cell r="G280">
            <v>0</v>
          </cell>
          <cell r="H280">
            <v>0</v>
          </cell>
          <cell r="I280">
            <v>0</v>
          </cell>
          <cell r="J280">
            <v>0</v>
          </cell>
          <cell r="K280">
            <v>0</v>
          </cell>
          <cell r="L280">
            <v>0</v>
          </cell>
          <cell r="M280">
            <v>0</v>
          </cell>
          <cell r="T280" t="str">
            <v>8c70</v>
          </cell>
          <cell r="U280">
            <v>0</v>
          </cell>
        </row>
        <row r="281">
          <cell r="D281" t="str">
            <v>8c71</v>
          </cell>
          <cell r="E281" t="str">
            <v>其他权益工具（永续债）_资本公积转增资本</v>
          </cell>
          <cell r="F281">
            <v>0</v>
          </cell>
          <cell r="G281">
            <v>0</v>
          </cell>
          <cell r="H281">
            <v>0</v>
          </cell>
          <cell r="I281">
            <v>0</v>
          </cell>
          <cell r="J281">
            <v>0</v>
          </cell>
          <cell r="K281">
            <v>0</v>
          </cell>
          <cell r="L281">
            <v>0</v>
          </cell>
          <cell r="M281">
            <v>0</v>
          </cell>
          <cell r="T281" t="str">
            <v>8c71</v>
          </cell>
          <cell r="U281">
            <v>0</v>
          </cell>
        </row>
        <row r="282">
          <cell r="D282" t="str">
            <v>8c72</v>
          </cell>
          <cell r="E282" t="str">
            <v>其他权益工具（永续债）_盈余公积转增资本</v>
          </cell>
          <cell r="F282">
            <v>0</v>
          </cell>
          <cell r="G282">
            <v>0</v>
          </cell>
          <cell r="H282">
            <v>0</v>
          </cell>
          <cell r="I282">
            <v>0</v>
          </cell>
          <cell r="J282">
            <v>0</v>
          </cell>
          <cell r="K282">
            <v>0</v>
          </cell>
          <cell r="L282">
            <v>0</v>
          </cell>
          <cell r="M282">
            <v>0</v>
          </cell>
          <cell r="T282" t="str">
            <v>8c72</v>
          </cell>
          <cell r="U282">
            <v>0</v>
          </cell>
        </row>
        <row r="283">
          <cell r="D283" t="str">
            <v>8c73</v>
          </cell>
          <cell r="E283" t="str">
            <v>其他权益工具（永续债）_盈余公积弥补亏损</v>
          </cell>
          <cell r="F283">
            <v>0</v>
          </cell>
          <cell r="G283">
            <v>0</v>
          </cell>
          <cell r="H283">
            <v>0</v>
          </cell>
          <cell r="I283">
            <v>0</v>
          </cell>
          <cell r="J283">
            <v>0</v>
          </cell>
          <cell r="K283">
            <v>0</v>
          </cell>
          <cell r="L283">
            <v>0</v>
          </cell>
          <cell r="M283">
            <v>0</v>
          </cell>
          <cell r="T283" t="str">
            <v>8c73</v>
          </cell>
          <cell r="U283">
            <v>0</v>
          </cell>
        </row>
        <row r="284">
          <cell r="D284" t="str">
            <v>8c75</v>
          </cell>
          <cell r="E284" t="str">
            <v>其他权益工具（永续债）_结转重新计量设定受益计划净负债或净资产所产生的变动</v>
          </cell>
          <cell r="F284">
            <v>0</v>
          </cell>
          <cell r="G284">
            <v>0</v>
          </cell>
          <cell r="H284">
            <v>0</v>
          </cell>
          <cell r="I284">
            <v>0</v>
          </cell>
          <cell r="J284">
            <v>0</v>
          </cell>
          <cell r="K284">
            <v>0</v>
          </cell>
          <cell r="L284">
            <v>0</v>
          </cell>
          <cell r="M284">
            <v>0</v>
          </cell>
          <cell r="T284" t="str">
            <v>8c75</v>
          </cell>
          <cell r="U284">
            <v>0</v>
          </cell>
        </row>
        <row r="285">
          <cell r="D285" t="str">
            <v>8c76</v>
          </cell>
          <cell r="E285" t="str">
            <v>其他权益工具（永续债）_所有者权益其他内部结转</v>
          </cell>
          <cell r="F285">
            <v>0</v>
          </cell>
          <cell r="G285">
            <v>0</v>
          </cell>
          <cell r="H285">
            <v>0</v>
          </cell>
          <cell r="I285">
            <v>0</v>
          </cell>
          <cell r="J285">
            <v>0</v>
          </cell>
          <cell r="K285">
            <v>0</v>
          </cell>
          <cell r="L285">
            <v>0</v>
          </cell>
          <cell r="M285">
            <v>0</v>
          </cell>
          <cell r="T285" t="str">
            <v>8c76</v>
          </cell>
          <cell r="U285">
            <v>0</v>
          </cell>
        </row>
        <row r="286">
          <cell r="D286" t="str">
            <v>8c80</v>
          </cell>
          <cell r="E286" t="str">
            <v>其他权益工具（永续债）_专项储备影响权益</v>
          </cell>
          <cell r="F286">
            <v>0</v>
          </cell>
          <cell r="G286">
            <v>0</v>
          </cell>
          <cell r="H286">
            <v>0</v>
          </cell>
          <cell r="I286">
            <v>0</v>
          </cell>
          <cell r="J286">
            <v>0</v>
          </cell>
          <cell r="K286">
            <v>0</v>
          </cell>
          <cell r="L286">
            <v>0</v>
          </cell>
          <cell r="M286">
            <v>0</v>
          </cell>
          <cell r="T286" t="str">
            <v>8c80</v>
          </cell>
          <cell r="U286">
            <v>0</v>
          </cell>
        </row>
        <row r="287">
          <cell r="D287" t="str">
            <v>8c81</v>
          </cell>
          <cell r="E287" t="str">
            <v>其他权益工具（永续债）_专项储备本期提取</v>
          </cell>
          <cell r="F287">
            <v>0</v>
          </cell>
          <cell r="G287">
            <v>0</v>
          </cell>
          <cell r="H287">
            <v>0</v>
          </cell>
          <cell r="I287">
            <v>0</v>
          </cell>
          <cell r="J287">
            <v>0</v>
          </cell>
          <cell r="K287">
            <v>0</v>
          </cell>
          <cell r="L287">
            <v>0</v>
          </cell>
          <cell r="M287">
            <v>0</v>
          </cell>
          <cell r="T287" t="str">
            <v>8c81</v>
          </cell>
          <cell r="U287">
            <v>0</v>
          </cell>
        </row>
        <row r="288">
          <cell r="D288" t="str">
            <v>8c82</v>
          </cell>
          <cell r="E288" t="str">
            <v>其他权益工具（永续债）_专项储备本期使用</v>
          </cell>
          <cell r="F288">
            <v>0</v>
          </cell>
          <cell r="G288">
            <v>0</v>
          </cell>
          <cell r="H288">
            <v>0</v>
          </cell>
          <cell r="I288">
            <v>0</v>
          </cell>
          <cell r="J288">
            <v>0</v>
          </cell>
          <cell r="K288">
            <v>0</v>
          </cell>
          <cell r="L288">
            <v>0</v>
          </cell>
          <cell r="M288">
            <v>0</v>
          </cell>
          <cell r="T288" t="str">
            <v>8c82</v>
          </cell>
          <cell r="U288">
            <v>0</v>
          </cell>
        </row>
        <row r="289">
          <cell r="D289" t="str">
            <v>8c96</v>
          </cell>
          <cell r="E289" t="str">
            <v>其他权益工具（永续债）_本期其他增减变动</v>
          </cell>
          <cell r="F289">
            <v>0</v>
          </cell>
          <cell r="G289">
            <v>0</v>
          </cell>
          <cell r="H289">
            <v>0</v>
          </cell>
          <cell r="I289">
            <v>0</v>
          </cell>
          <cell r="J289">
            <v>0</v>
          </cell>
          <cell r="K289">
            <v>0</v>
          </cell>
          <cell r="L289">
            <v>0</v>
          </cell>
          <cell r="M289">
            <v>0</v>
          </cell>
          <cell r="T289" t="str">
            <v>8c96</v>
          </cell>
          <cell r="U289">
            <v>0</v>
          </cell>
        </row>
        <row r="290">
          <cell r="D290" t="str">
            <v>8c99</v>
          </cell>
          <cell r="E290" t="str">
            <v>其他权益工具（永续债）_本期期末余额</v>
          </cell>
          <cell r="F290">
            <v>0</v>
          </cell>
          <cell r="G290">
            <v>0</v>
          </cell>
          <cell r="H290">
            <v>0</v>
          </cell>
          <cell r="I290">
            <v>0</v>
          </cell>
          <cell r="J290">
            <v>0</v>
          </cell>
          <cell r="K290">
            <v>0</v>
          </cell>
          <cell r="L290">
            <v>0</v>
          </cell>
          <cell r="M290">
            <v>0</v>
          </cell>
          <cell r="T290" t="str">
            <v>8c99</v>
          </cell>
          <cell r="U290">
            <v>0</v>
          </cell>
        </row>
        <row r="291">
          <cell r="D291" t="str">
            <v>8d00</v>
          </cell>
          <cell r="E291" t="str">
            <v>其他权益工具（其他）增减变动</v>
          </cell>
          <cell r="F291">
            <v>0</v>
          </cell>
          <cell r="G291">
            <v>0</v>
          </cell>
          <cell r="H291">
            <v>0</v>
          </cell>
          <cell r="I291">
            <v>0</v>
          </cell>
          <cell r="J291">
            <v>0</v>
          </cell>
          <cell r="K291">
            <v>0</v>
          </cell>
          <cell r="L291">
            <v>0</v>
          </cell>
          <cell r="M291">
            <v>0</v>
          </cell>
          <cell r="T291" t="str">
            <v>8d00</v>
          </cell>
          <cell r="U291">
            <v>0</v>
          </cell>
        </row>
        <row r="292">
          <cell r="D292" t="str">
            <v>8d01</v>
          </cell>
          <cell r="E292" t="str">
            <v>其他权益工具（其他）_上年年末余额</v>
          </cell>
          <cell r="F292">
            <v>0</v>
          </cell>
          <cell r="G292">
            <v>0</v>
          </cell>
          <cell r="H292">
            <v>0</v>
          </cell>
          <cell r="I292">
            <v>0</v>
          </cell>
          <cell r="J292">
            <v>0</v>
          </cell>
          <cell r="K292">
            <v>0</v>
          </cell>
          <cell r="L292">
            <v>0</v>
          </cell>
          <cell r="M292">
            <v>0</v>
          </cell>
          <cell r="T292" t="str">
            <v>8d01</v>
          </cell>
          <cell r="U292">
            <v>0</v>
          </cell>
        </row>
        <row r="293">
          <cell r="D293" t="str">
            <v>8d02</v>
          </cell>
          <cell r="E293" t="str">
            <v>其他权益工具（其他）_会计政策变更调整上年年末余额</v>
          </cell>
          <cell r="F293">
            <v>0</v>
          </cell>
          <cell r="G293">
            <v>0</v>
          </cell>
          <cell r="H293">
            <v>0</v>
          </cell>
          <cell r="I293">
            <v>0</v>
          </cell>
          <cell r="J293">
            <v>0</v>
          </cell>
          <cell r="K293">
            <v>0</v>
          </cell>
          <cell r="L293">
            <v>0</v>
          </cell>
          <cell r="M293">
            <v>0</v>
          </cell>
          <cell r="T293" t="str">
            <v>8d02</v>
          </cell>
          <cell r="U293">
            <v>0</v>
          </cell>
        </row>
        <row r="294">
          <cell r="D294" t="str">
            <v>8d03</v>
          </cell>
          <cell r="E294" t="str">
            <v>其他权益工具（其他）_前期差错更正调整上年年末余额</v>
          </cell>
          <cell r="F294">
            <v>0</v>
          </cell>
          <cell r="G294">
            <v>0</v>
          </cell>
          <cell r="H294">
            <v>0</v>
          </cell>
          <cell r="I294">
            <v>0</v>
          </cell>
          <cell r="J294">
            <v>0</v>
          </cell>
          <cell r="K294">
            <v>0</v>
          </cell>
          <cell r="L294">
            <v>0</v>
          </cell>
          <cell r="M294">
            <v>0</v>
          </cell>
          <cell r="T294" t="str">
            <v>8d03</v>
          </cell>
          <cell r="U294">
            <v>0</v>
          </cell>
        </row>
        <row r="295">
          <cell r="D295" t="str">
            <v>8d04</v>
          </cell>
          <cell r="E295" t="str">
            <v>其他权益工具（其他）_同一控制下企业合并调整上年年末余额</v>
          </cell>
          <cell r="F295">
            <v>0</v>
          </cell>
          <cell r="G295">
            <v>0</v>
          </cell>
          <cell r="H295">
            <v>0</v>
          </cell>
          <cell r="I295">
            <v>0</v>
          </cell>
          <cell r="J295">
            <v>0</v>
          </cell>
          <cell r="K295">
            <v>0</v>
          </cell>
          <cell r="L295">
            <v>0</v>
          </cell>
          <cell r="M295">
            <v>0</v>
          </cell>
          <cell r="T295" t="str">
            <v>8d04</v>
          </cell>
          <cell r="U295">
            <v>0</v>
          </cell>
        </row>
        <row r="296">
          <cell r="D296" t="str">
            <v>8d09</v>
          </cell>
          <cell r="E296" t="str">
            <v>其他权益工具（其他）_其他原因调整上年年末余额</v>
          </cell>
          <cell r="F296">
            <v>0</v>
          </cell>
          <cell r="G296">
            <v>0</v>
          </cell>
          <cell r="H296">
            <v>0</v>
          </cell>
          <cell r="I296">
            <v>0</v>
          </cell>
          <cell r="J296">
            <v>0</v>
          </cell>
          <cell r="K296">
            <v>0</v>
          </cell>
          <cell r="L296">
            <v>0</v>
          </cell>
          <cell r="M296">
            <v>0</v>
          </cell>
          <cell r="T296" t="str">
            <v>8d09</v>
          </cell>
          <cell r="U296">
            <v>0</v>
          </cell>
        </row>
        <row r="297">
          <cell r="D297" t="str">
            <v>8d10</v>
          </cell>
          <cell r="E297" t="str">
            <v>其他权益工具（其他）_本年年初余额</v>
          </cell>
          <cell r="F297">
            <v>0</v>
          </cell>
          <cell r="G297">
            <v>0</v>
          </cell>
          <cell r="H297">
            <v>0</v>
          </cell>
          <cell r="I297">
            <v>0</v>
          </cell>
          <cell r="J297">
            <v>0</v>
          </cell>
          <cell r="K297">
            <v>0</v>
          </cell>
          <cell r="L297">
            <v>0</v>
          </cell>
          <cell r="M297">
            <v>0</v>
          </cell>
          <cell r="T297" t="str">
            <v>8d10</v>
          </cell>
          <cell r="U297">
            <v>0</v>
          </cell>
        </row>
        <row r="298">
          <cell r="D298" t="str">
            <v>8d90</v>
          </cell>
          <cell r="E298" t="str">
            <v>其他权益工具（其他）_本期增减变动金额</v>
          </cell>
          <cell r="F298">
            <v>0</v>
          </cell>
          <cell r="G298">
            <v>0</v>
          </cell>
          <cell r="H298">
            <v>0</v>
          </cell>
          <cell r="I298">
            <v>0</v>
          </cell>
          <cell r="J298">
            <v>0</v>
          </cell>
          <cell r="K298">
            <v>0</v>
          </cell>
          <cell r="L298">
            <v>0</v>
          </cell>
          <cell r="M298">
            <v>0</v>
          </cell>
          <cell r="T298" t="str">
            <v>8d90</v>
          </cell>
          <cell r="U298">
            <v>0</v>
          </cell>
        </row>
        <row r="299">
          <cell r="D299" t="str">
            <v>8d40</v>
          </cell>
          <cell r="E299" t="str">
            <v>其他权益工具（其他）_综合收益总额增加权益</v>
          </cell>
          <cell r="F299">
            <v>0</v>
          </cell>
          <cell r="G299">
            <v>0</v>
          </cell>
          <cell r="H299">
            <v>0</v>
          </cell>
          <cell r="I299">
            <v>0</v>
          </cell>
          <cell r="J299">
            <v>0</v>
          </cell>
          <cell r="K299">
            <v>0</v>
          </cell>
          <cell r="L299">
            <v>0</v>
          </cell>
          <cell r="M299">
            <v>0</v>
          </cell>
          <cell r="T299" t="str">
            <v>8d40</v>
          </cell>
          <cell r="U299">
            <v>0</v>
          </cell>
        </row>
        <row r="300">
          <cell r="D300" t="str">
            <v>8d50</v>
          </cell>
          <cell r="E300" t="str">
            <v>其他权益工具（其他）_所有者投入和减少资本影响权益</v>
          </cell>
          <cell r="F300">
            <v>0</v>
          </cell>
          <cell r="G300">
            <v>0</v>
          </cell>
          <cell r="H300">
            <v>0</v>
          </cell>
          <cell r="I300">
            <v>0</v>
          </cell>
          <cell r="J300">
            <v>0</v>
          </cell>
          <cell r="K300">
            <v>0</v>
          </cell>
          <cell r="L300">
            <v>0</v>
          </cell>
          <cell r="M300">
            <v>0</v>
          </cell>
          <cell r="T300" t="str">
            <v>8d50</v>
          </cell>
          <cell r="U300">
            <v>0</v>
          </cell>
        </row>
        <row r="301">
          <cell r="D301" t="str">
            <v>8d51</v>
          </cell>
          <cell r="E301" t="str">
            <v>其他权益工具（其他）_所有者投入资本</v>
          </cell>
          <cell r="F301">
            <v>0</v>
          </cell>
          <cell r="G301">
            <v>0</v>
          </cell>
          <cell r="H301">
            <v>0</v>
          </cell>
          <cell r="I301">
            <v>0</v>
          </cell>
          <cell r="J301">
            <v>0</v>
          </cell>
          <cell r="K301">
            <v>0</v>
          </cell>
          <cell r="L301">
            <v>0</v>
          </cell>
          <cell r="M301">
            <v>0</v>
          </cell>
          <cell r="T301" t="str">
            <v>8d51</v>
          </cell>
          <cell r="U301">
            <v>0</v>
          </cell>
        </row>
        <row r="302">
          <cell r="D302" t="str">
            <v>8d53</v>
          </cell>
          <cell r="E302" t="str">
            <v>其他权益工具（其他）_其他权益工具持有者投入资本</v>
          </cell>
          <cell r="F302">
            <v>0</v>
          </cell>
          <cell r="G302">
            <v>0</v>
          </cell>
          <cell r="H302">
            <v>0</v>
          </cell>
          <cell r="I302">
            <v>0</v>
          </cell>
          <cell r="J302">
            <v>0</v>
          </cell>
          <cell r="K302">
            <v>0</v>
          </cell>
          <cell r="L302">
            <v>0</v>
          </cell>
          <cell r="M302">
            <v>0</v>
          </cell>
          <cell r="T302" t="str">
            <v>8d53</v>
          </cell>
          <cell r="U302">
            <v>0</v>
          </cell>
        </row>
        <row r="303">
          <cell r="D303" t="str">
            <v>8d52</v>
          </cell>
          <cell r="E303" t="str">
            <v>其他权益工具（其他）_股份支付</v>
          </cell>
          <cell r="F303">
            <v>0</v>
          </cell>
          <cell r="G303">
            <v>0</v>
          </cell>
          <cell r="H303">
            <v>0</v>
          </cell>
          <cell r="I303">
            <v>0</v>
          </cell>
          <cell r="J303">
            <v>0</v>
          </cell>
          <cell r="K303">
            <v>0</v>
          </cell>
          <cell r="L303">
            <v>0</v>
          </cell>
          <cell r="M303">
            <v>0</v>
          </cell>
          <cell r="T303" t="str">
            <v>8d52</v>
          </cell>
          <cell r="U303">
            <v>0</v>
          </cell>
        </row>
        <row r="304">
          <cell r="D304" t="str">
            <v>8d56</v>
          </cell>
          <cell r="E304" t="str">
            <v>其他权益工具（其他）_所有者其他投入和减少资本</v>
          </cell>
          <cell r="F304">
            <v>0</v>
          </cell>
          <cell r="G304">
            <v>0</v>
          </cell>
          <cell r="H304">
            <v>0</v>
          </cell>
          <cell r="I304">
            <v>0</v>
          </cell>
          <cell r="J304">
            <v>0</v>
          </cell>
          <cell r="K304">
            <v>0</v>
          </cell>
          <cell r="L304">
            <v>0</v>
          </cell>
          <cell r="M304">
            <v>0</v>
          </cell>
          <cell r="T304" t="str">
            <v>8d56</v>
          </cell>
          <cell r="U304">
            <v>0</v>
          </cell>
        </row>
        <row r="305">
          <cell r="D305" t="str">
            <v>8d60</v>
          </cell>
          <cell r="E305" t="str">
            <v>其他权益工具（其他）_利润分配影响权益</v>
          </cell>
          <cell r="F305">
            <v>0</v>
          </cell>
          <cell r="G305">
            <v>0</v>
          </cell>
          <cell r="H305">
            <v>0</v>
          </cell>
          <cell r="I305">
            <v>0</v>
          </cell>
          <cell r="J305">
            <v>0</v>
          </cell>
          <cell r="K305">
            <v>0</v>
          </cell>
          <cell r="L305">
            <v>0</v>
          </cell>
          <cell r="M305">
            <v>0</v>
          </cell>
          <cell r="T305" t="str">
            <v>8d60</v>
          </cell>
          <cell r="U305">
            <v>0</v>
          </cell>
        </row>
        <row r="306">
          <cell r="D306" t="str">
            <v>8d61</v>
          </cell>
          <cell r="E306" t="str">
            <v>其他权益工具（其他）_提取盈余公积</v>
          </cell>
          <cell r="F306">
            <v>0</v>
          </cell>
          <cell r="G306">
            <v>0</v>
          </cell>
          <cell r="H306">
            <v>0</v>
          </cell>
          <cell r="I306">
            <v>0</v>
          </cell>
          <cell r="J306">
            <v>0</v>
          </cell>
          <cell r="K306">
            <v>0</v>
          </cell>
          <cell r="L306">
            <v>0</v>
          </cell>
          <cell r="M306">
            <v>0</v>
          </cell>
          <cell r="T306" t="str">
            <v>8d61</v>
          </cell>
          <cell r="U306">
            <v>0</v>
          </cell>
        </row>
        <row r="307">
          <cell r="D307" t="str">
            <v>8d62</v>
          </cell>
          <cell r="E307" t="str">
            <v>其他权益工具（其他）_提取一般风险准备</v>
          </cell>
          <cell r="F307">
            <v>0</v>
          </cell>
          <cell r="G307">
            <v>0</v>
          </cell>
          <cell r="H307">
            <v>0</v>
          </cell>
          <cell r="I307">
            <v>0</v>
          </cell>
          <cell r="J307">
            <v>0</v>
          </cell>
          <cell r="K307">
            <v>0</v>
          </cell>
          <cell r="L307">
            <v>0</v>
          </cell>
          <cell r="M307">
            <v>0</v>
          </cell>
          <cell r="T307" t="str">
            <v>8d62</v>
          </cell>
          <cell r="U307">
            <v>0</v>
          </cell>
        </row>
        <row r="308">
          <cell r="D308" t="str">
            <v>8d63</v>
          </cell>
          <cell r="E308" t="str">
            <v>其他权益工具（其他）_对所有者的分配</v>
          </cell>
          <cell r="F308">
            <v>0</v>
          </cell>
          <cell r="G308">
            <v>0</v>
          </cell>
          <cell r="H308">
            <v>0</v>
          </cell>
          <cell r="I308">
            <v>0</v>
          </cell>
          <cell r="J308">
            <v>0</v>
          </cell>
          <cell r="K308">
            <v>0</v>
          </cell>
          <cell r="L308">
            <v>0</v>
          </cell>
          <cell r="M308">
            <v>0</v>
          </cell>
          <cell r="T308" t="str">
            <v>8d63</v>
          </cell>
          <cell r="U308">
            <v>0</v>
          </cell>
        </row>
        <row r="309">
          <cell r="D309" t="str">
            <v>8d66</v>
          </cell>
          <cell r="E309" t="str">
            <v>其他权益工具（其他）_其他利润分配</v>
          </cell>
          <cell r="F309">
            <v>0</v>
          </cell>
          <cell r="G309">
            <v>0</v>
          </cell>
          <cell r="H309">
            <v>0</v>
          </cell>
          <cell r="I309">
            <v>0</v>
          </cell>
          <cell r="J309">
            <v>0</v>
          </cell>
          <cell r="K309">
            <v>0</v>
          </cell>
          <cell r="L309">
            <v>0</v>
          </cell>
          <cell r="M309">
            <v>0</v>
          </cell>
          <cell r="T309" t="str">
            <v>8d66</v>
          </cell>
          <cell r="U309">
            <v>0</v>
          </cell>
        </row>
        <row r="310">
          <cell r="D310" t="str">
            <v>8d70</v>
          </cell>
          <cell r="E310" t="str">
            <v>其他权益工具（其他）_所有者权益内部结转</v>
          </cell>
          <cell r="F310">
            <v>0</v>
          </cell>
          <cell r="G310">
            <v>0</v>
          </cell>
          <cell r="H310">
            <v>0</v>
          </cell>
          <cell r="I310">
            <v>0</v>
          </cell>
          <cell r="J310">
            <v>0</v>
          </cell>
          <cell r="K310">
            <v>0</v>
          </cell>
          <cell r="L310">
            <v>0</v>
          </cell>
          <cell r="M310">
            <v>0</v>
          </cell>
          <cell r="T310" t="str">
            <v>8d70</v>
          </cell>
          <cell r="U310">
            <v>0</v>
          </cell>
        </row>
        <row r="311">
          <cell r="D311" t="str">
            <v>8d71</v>
          </cell>
          <cell r="E311" t="str">
            <v>其他权益工具（其他）_资本公积转增资本</v>
          </cell>
          <cell r="F311">
            <v>0</v>
          </cell>
          <cell r="G311">
            <v>0</v>
          </cell>
          <cell r="H311">
            <v>0</v>
          </cell>
          <cell r="I311">
            <v>0</v>
          </cell>
          <cell r="J311">
            <v>0</v>
          </cell>
          <cell r="K311">
            <v>0</v>
          </cell>
          <cell r="L311">
            <v>0</v>
          </cell>
          <cell r="M311">
            <v>0</v>
          </cell>
          <cell r="T311" t="str">
            <v>8d71</v>
          </cell>
          <cell r="U311">
            <v>0</v>
          </cell>
        </row>
        <row r="312">
          <cell r="D312" t="str">
            <v>8d72</v>
          </cell>
          <cell r="E312" t="str">
            <v>其他权益工具（其他）_盈余公积转增资本</v>
          </cell>
          <cell r="F312">
            <v>0</v>
          </cell>
          <cell r="G312">
            <v>0</v>
          </cell>
          <cell r="H312">
            <v>0</v>
          </cell>
          <cell r="I312">
            <v>0</v>
          </cell>
          <cell r="J312">
            <v>0</v>
          </cell>
          <cell r="K312">
            <v>0</v>
          </cell>
          <cell r="L312">
            <v>0</v>
          </cell>
          <cell r="M312">
            <v>0</v>
          </cell>
          <cell r="T312" t="str">
            <v>8d72</v>
          </cell>
          <cell r="U312">
            <v>0</v>
          </cell>
        </row>
        <row r="313">
          <cell r="D313" t="str">
            <v>8d73</v>
          </cell>
          <cell r="E313" t="str">
            <v>其他权益工具（其他）_盈余公积弥补亏损</v>
          </cell>
          <cell r="F313">
            <v>0</v>
          </cell>
          <cell r="G313">
            <v>0</v>
          </cell>
          <cell r="H313">
            <v>0</v>
          </cell>
          <cell r="I313">
            <v>0</v>
          </cell>
          <cell r="J313">
            <v>0</v>
          </cell>
          <cell r="K313">
            <v>0</v>
          </cell>
          <cell r="L313">
            <v>0</v>
          </cell>
          <cell r="M313">
            <v>0</v>
          </cell>
          <cell r="T313" t="str">
            <v>8d73</v>
          </cell>
          <cell r="U313">
            <v>0</v>
          </cell>
        </row>
        <row r="314">
          <cell r="D314" t="str">
            <v>8d75</v>
          </cell>
          <cell r="E314" t="str">
            <v>其他权益工具（其他）_结转重新计量设定受益计划净负债或净资产所产生的变动</v>
          </cell>
          <cell r="F314">
            <v>0</v>
          </cell>
          <cell r="G314">
            <v>0</v>
          </cell>
          <cell r="H314">
            <v>0</v>
          </cell>
          <cell r="I314">
            <v>0</v>
          </cell>
          <cell r="J314">
            <v>0</v>
          </cell>
          <cell r="K314">
            <v>0</v>
          </cell>
          <cell r="L314">
            <v>0</v>
          </cell>
          <cell r="M314">
            <v>0</v>
          </cell>
          <cell r="T314" t="str">
            <v>8d75</v>
          </cell>
          <cell r="U314">
            <v>0</v>
          </cell>
        </row>
        <row r="315">
          <cell r="D315" t="str">
            <v>8d76</v>
          </cell>
          <cell r="E315" t="str">
            <v>其他权益工具（其他）_所有者权益其他内部结转</v>
          </cell>
          <cell r="F315">
            <v>0</v>
          </cell>
          <cell r="G315">
            <v>0</v>
          </cell>
          <cell r="H315">
            <v>0</v>
          </cell>
          <cell r="I315">
            <v>0</v>
          </cell>
          <cell r="J315">
            <v>0</v>
          </cell>
          <cell r="K315">
            <v>0</v>
          </cell>
          <cell r="L315">
            <v>0</v>
          </cell>
          <cell r="M315">
            <v>0</v>
          </cell>
          <cell r="T315" t="str">
            <v>8d76</v>
          </cell>
          <cell r="U315">
            <v>0</v>
          </cell>
        </row>
        <row r="316">
          <cell r="D316" t="str">
            <v>8d80</v>
          </cell>
          <cell r="E316" t="str">
            <v>其他权益工具（其他）_专项储备影响权益</v>
          </cell>
          <cell r="F316">
            <v>0</v>
          </cell>
          <cell r="G316">
            <v>0</v>
          </cell>
          <cell r="H316">
            <v>0</v>
          </cell>
          <cell r="I316">
            <v>0</v>
          </cell>
          <cell r="J316">
            <v>0</v>
          </cell>
          <cell r="K316">
            <v>0</v>
          </cell>
          <cell r="L316">
            <v>0</v>
          </cell>
          <cell r="M316">
            <v>0</v>
          </cell>
          <cell r="T316" t="str">
            <v>8d80</v>
          </cell>
          <cell r="U316">
            <v>0</v>
          </cell>
        </row>
        <row r="317">
          <cell r="D317" t="str">
            <v>8d81</v>
          </cell>
          <cell r="E317" t="str">
            <v>其他权益工具（其他）_专项储备本期提取</v>
          </cell>
          <cell r="F317">
            <v>0</v>
          </cell>
          <cell r="G317">
            <v>0</v>
          </cell>
          <cell r="H317">
            <v>0</v>
          </cell>
          <cell r="I317">
            <v>0</v>
          </cell>
          <cell r="J317">
            <v>0</v>
          </cell>
          <cell r="K317">
            <v>0</v>
          </cell>
          <cell r="L317">
            <v>0</v>
          </cell>
          <cell r="M317">
            <v>0</v>
          </cell>
          <cell r="T317" t="str">
            <v>8d81</v>
          </cell>
          <cell r="U317">
            <v>0</v>
          </cell>
        </row>
        <row r="318">
          <cell r="D318" t="str">
            <v>8d82</v>
          </cell>
          <cell r="E318" t="str">
            <v>其他权益工具（其他）_专项储备本期使用</v>
          </cell>
          <cell r="F318">
            <v>0</v>
          </cell>
          <cell r="G318">
            <v>0</v>
          </cell>
          <cell r="H318">
            <v>0</v>
          </cell>
          <cell r="I318">
            <v>0</v>
          </cell>
          <cell r="J318">
            <v>0</v>
          </cell>
          <cell r="K318">
            <v>0</v>
          </cell>
          <cell r="L318">
            <v>0</v>
          </cell>
          <cell r="M318">
            <v>0</v>
          </cell>
          <cell r="T318" t="str">
            <v>8d82</v>
          </cell>
          <cell r="U318">
            <v>0</v>
          </cell>
        </row>
        <row r="319">
          <cell r="D319" t="str">
            <v>8d96</v>
          </cell>
          <cell r="E319" t="str">
            <v>其他权益工具（其他）_本期其他增减变动</v>
          </cell>
          <cell r="F319">
            <v>0</v>
          </cell>
          <cell r="G319">
            <v>0</v>
          </cell>
          <cell r="H319">
            <v>0</v>
          </cell>
          <cell r="I319">
            <v>0</v>
          </cell>
          <cell r="J319">
            <v>0</v>
          </cell>
          <cell r="K319">
            <v>0</v>
          </cell>
          <cell r="L319">
            <v>0</v>
          </cell>
          <cell r="M319">
            <v>0</v>
          </cell>
          <cell r="T319" t="str">
            <v>8d96</v>
          </cell>
          <cell r="U319">
            <v>0</v>
          </cell>
        </row>
        <row r="320">
          <cell r="D320" t="str">
            <v>8d99</v>
          </cell>
          <cell r="E320" t="str">
            <v>其他权益工具（其他）_本期期末余额</v>
          </cell>
          <cell r="F320">
            <v>0</v>
          </cell>
          <cell r="G320">
            <v>0</v>
          </cell>
          <cell r="H320">
            <v>0</v>
          </cell>
          <cell r="I320">
            <v>0</v>
          </cell>
          <cell r="J320">
            <v>0</v>
          </cell>
          <cell r="K320">
            <v>0</v>
          </cell>
          <cell r="L320">
            <v>0</v>
          </cell>
          <cell r="M320">
            <v>0</v>
          </cell>
          <cell r="T320" t="str">
            <v>8d99</v>
          </cell>
          <cell r="U320">
            <v>0</v>
          </cell>
        </row>
        <row r="321">
          <cell r="D321">
            <v>8200</v>
          </cell>
          <cell r="E321" t="str">
            <v>资本公积增减变动</v>
          </cell>
          <cell r="F321">
            <v>0</v>
          </cell>
          <cell r="G321">
            <v>0</v>
          </cell>
          <cell r="H321">
            <v>0</v>
          </cell>
          <cell r="I321">
            <v>0</v>
          </cell>
          <cell r="J321">
            <v>0</v>
          </cell>
          <cell r="K321">
            <v>0</v>
          </cell>
          <cell r="L321">
            <v>0</v>
          </cell>
          <cell r="M321">
            <v>0</v>
          </cell>
          <cell r="T321">
            <v>8200</v>
          </cell>
          <cell r="U321">
            <v>0</v>
          </cell>
        </row>
        <row r="322">
          <cell r="D322">
            <v>8201</v>
          </cell>
          <cell r="E322" t="str">
            <v>资本公积_上年年末余额</v>
          </cell>
          <cell r="F322">
            <v>0</v>
          </cell>
          <cell r="G322">
            <v>0</v>
          </cell>
          <cell r="H322">
            <v>0</v>
          </cell>
          <cell r="I322">
            <v>0</v>
          </cell>
          <cell r="J322">
            <v>0</v>
          </cell>
          <cell r="K322">
            <v>0</v>
          </cell>
          <cell r="L322">
            <v>0</v>
          </cell>
          <cell r="M322">
            <v>0</v>
          </cell>
          <cell r="T322">
            <v>8201</v>
          </cell>
          <cell r="U322">
            <v>0</v>
          </cell>
        </row>
        <row r="323">
          <cell r="D323">
            <v>8202</v>
          </cell>
          <cell r="E323" t="str">
            <v>资本公积_会计政策变更调整上年年末余额</v>
          </cell>
          <cell r="F323">
            <v>0</v>
          </cell>
          <cell r="G323">
            <v>0</v>
          </cell>
          <cell r="H323">
            <v>0</v>
          </cell>
          <cell r="I323">
            <v>0</v>
          </cell>
          <cell r="J323">
            <v>0</v>
          </cell>
          <cell r="K323">
            <v>0</v>
          </cell>
          <cell r="L323">
            <v>0</v>
          </cell>
          <cell r="M323">
            <v>0</v>
          </cell>
          <cell r="T323">
            <v>8202</v>
          </cell>
          <cell r="U323">
            <v>0</v>
          </cell>
        </row>
        <row r="324">
          <cell r="D324">
            <v>8203</v>
          </cell>
          <cell r="E324" t="str">
            <v>资本公积_前期差错更正调整上年年末余额</v>
          </cell>
          <cell r="F324">
            <v>0</v>
          </cell>
          <cell r="G324">
            <v>0</v>
          </cell>
          <cell r="H324">
            <v>0</v>
          </cell>
          <cell r="I324">
            <v>0</v>
          </cell>
          <cell r="J324">
            <v>0</v>
          </cell>
          <cell r="K324">
            <v>0</v>
          </cell>
          <cell r="L324">
            <v>0</v>
          </cell>
          <cell r="M324">
            <v>0</v>
          </cell>
          <cell r="T324">
            <v>8203</v>
          </cell>
          <cell r="U324">
            <v>0</v>
          </cell>
        </row>
        <row r="325">
          <cell r="D325">
            <v>8204</v>
          </cell>
          <cell r="E325" t="str">
            <v>资本公积_同一控制下企业合并调整上年年末余额</v>
          </cell>
          <cell r="F325">
            <v>0</v>
          </cell>
          <cell r="G325">
            <v>0</v>
          </cell>
          <cell r="H325">
            <v>0</v>
          </cell>
          <cell r="I325">
            <v>0</v>
          </cell>
          <cell r="J325">
            <v>0</v>
          </cell>
          <cell r="K325">
            <v>0</v>
          </cell>
          <cell r="L325">
            <v>0</v>
          </cell>
          <cell r="M325">
            <v>0</v>
          </cell>
          <cell r="T325">
            <v>8204</v>
          </cell>
          <cell r="U325">
            <v>0</v>
          </cell>
        </row>
        <row r="326">
          <cell r="D326">
            <v>8209</v>
          </cell>
          <cell r="E326" t="str">
            <v>资本公积_其他原因调整上年年末余额</v>
          </cell>
          <cell r="F326">
            <v>0</v>
          </cell>
          <cell r="G326">
            <v>0</v>
          </cell>
          <cell r="H326">
            <v>0</v>
          </cell>
          <cell r="I326">
            <v>0</v>
          </cell>
          <cell r="J326">
            <v>0</v>
          </cell>
          <cell r="K326">
            <v>0</v>
          </cell>
          <cell r="L326">
            <v>0</v>
          </cell>
          <cell r="M326">
            <v>0</v>
          </cell>
          <cell r="T326">
            <v>8209</v>
          </cell>
          <cell r="U326">
            <v>0</v>
          </cell>
        </row>
        <row r="327">
          <cell r="D327">
            <v>8210</v>
          </cell>
          <cell r="E327" t="str">
            <v>资本公积_本年年初余额</v>
          </cell>
          <cell r="F327">
            <v>0</v>
          </cell>
          <cell r="G327">
            <v>0</v>
          </cell>
          <cell r="H327">
            <v>0</v>
          </cell>
          <cell r="I327">
            <v>0</v>
          </cell>
          <cell r="J327">
            <v>0</v>
          </cell>
          <cell r="K327">
            <v>0</v>
          </cell>
          <cell r="L327">
            <v>0</v>
          </cell>
          <cell r="M327">
            <v>0</v>
          </cell>
          <cell r="T327">
            <v>8210</v>
          </cell>
          <cell r="U327">
            <v>0</v>
          </cell>
        </row>
        <row r="328">
          <cell r="D328">
            <v>8290</v>
          </cell>
          <cell r="E328" t="str">
            <v>资本公积_本期增减变动金额</v>
          </cell>
          <cell r="F328">
            <v>0</v>
          </cell>
          <cell r="G328">
            <v>0</v>
          </cell>
          <cell r="H328">
            <v>0</v>
          </cell>
          <cell r="I328">
            <v>0</v>
          </cell>
          <cell r="J328">
            <v>0</v>
          </cell>
          <cell r="K328">
            <v>0</v>
          </cell>
          <cell r="L328">
            <v>0</v>
          </cell>
          <cell r="M328">
            <v>0</v>
          </cell>
          <cell r="T328">
            <v>8290</v>
          </cell>
          <cell r="U328">
            <v>0</v>
          </cell>
        </row>
        <row r="329">
          <cell r="D329">
            <v>8221</v>
          </cell>
          <cell r="E329" t="str">
            <v>资本公积_净利润增加权益</v>
          </cell>
          <cell r="F329">
            <v>0</v>
          </cell>
          <cell r="G329">
            <v>0</v>
          </cell>
          <cell r="H329">
            <v>0</v>
          </cell>
          <cell r="I329">
            <v>0</v>
          </cell>
          <cell r="J329">
            <v>0</v>
          </cell>
          <cell r="K329">
            <v>0</v>
          </cell>
          <cell r="L329">
            <v>0</v>
          </cell>
          <cell r="M329">
            <v>0</v>
          </cell>
          <cell r="T329">
            <v>8221</v>
          </cell>
          <cell r="U329">
            <v>0</v>
          </cell>
        </row>
        <row r="330">
          <cell r="D330">
            <v>8230</v>
          </cell>
          <cell r="E330" t="str">
            <v>资本公积_其他综合收益</v>
          </cell>
          <cell r="F330">
            <v>0</v>
          </cell>
          <cell r="G330">
            <v>0</v>
          </cell>
          <cell r="H330">
            <v>0</v>
          </cell>
          <cell r="I330">
            <v>0</v>
          </cell>
          <cell r="J330">
            <v>0</v>
          </cell>
          <cell r="K330">
            <v>0</v>
          </cell>
          <cell r="L330">
            <v>0</v>
          </cell>
          <cell r="M330">
            <v>0</v>
          </cell>
          <cell r="T330">
            <v>8230</v>
          </cell>
          <cell r="U330">
            <v>0</v>
          </cell>
        </row>
        <row r="331">
          <cell r="D331">
            <v>8240</v>
          </cell>
          <cell r="E331" t="str">
            <v>资本公积_综合收益总额增加权益</v>
          </cell>
          <cell r="F331">
            <v>0</v>
          </cell>
          <cell r="G331">
            <v>0</v>
          </cell>
          <cell r="H331">
            <v>0</v>
          </cell>
          <cell r="I331">
            <v>0</v>
          </cell>
          <cell r="J331">
            <v>0</v>
          </cell>
          <cell r="K331">
            <v>0</v>
          </cell>
          <cell r="L331">
            <v>0</v>
          </cell>
          <cell r="M331">
            <v>0</v>
          </cell>
          <cell r="T331">
            <v>8240</v>
          </cell>
          <cell r="U331">
            <v>0</v>
          </cell>
        </row>
        <row r="332">
          <cell r="D332">
            <v>8250</v>
          </cell>
          <cell r="E332" t="str">
            <v>资本公积_所有者投入和减少资本影响权益</v>
          </cell>
          <cell r="F332">
            <v>0</v>
          </cell>
          <cell r="G332">
            <v>0</v>
          </cell>
          <cell r="H332">
            <v>0</v>
          </cell>
          <cell r="I332">
            <v>0</v>
          </cell>
          <cell r="J332">
            <v>0</v>
          </cell>
          <cell r="K332">
            <v>0</v>
          </cell>
          <cell r="L332">
            <v>0</v>
          </cell>
          <cell r="M332">
            <v>0</v>
          </cell>
          <cell r="T332">
            <v>8250</v>
          </cell>
          <cell r="U332">
            <v>0</v>
          </cell>
        </row>
        <row r="333">
          <cell r="D333">
            <v>8251</v>
          </cell>
          <cell r="E333" t="str">
            <v>资本公积_所有者投入资本</v>
          </cell>
          <cell r="F333">
            <v>0</v>
          </cell>
          <cell r="G333">
            <v>0</v>
          </cell>
          <cell r="H333">
            <v>0</v>
          </cell>
          <cell r="I333">
            <v>0</v>
          </cell>
          <cell r="J333">
            <v>0</v>
          </cell>
          <cell r="K333">
            <v>0</v>
          </cell>
          <cell r="L333">
            <v>0</v>
          </cell>
          <cell r="M333">
            <v>0</v>
          </cell>
          <cell r="T333">
            <v>8251</v>
          </cell>
          <cell r="U333">
            <v>0</v>
          </cell>
        </row>
        <row r="334">
          <cell r="D334">
            <v>8253</v>
          </cell>
          <cell r="E334" t="str">
            <v>资本公积_其他权益工具持有者投入资本</v>
          </cell>
          <cell r="F334">
            <v>0</v>
          </cell>
          <cell r="G334">
            <v>0</v>
          </cell>
          <cell r="H334">
            <v>0</v>
          </cell>
          <cell r="I334">
            <v>0</v>
          </cell>
          <cell r="J334">
            <v>0</v>
          </cell>
          <cell r="K334">
            <v>0</v>
          </cell>
          <cell r="L334">
            <v>0</v>
          </cell>
          <cell r="M334">
            <v>0</v>
          </cell>
          <cell r="T334">
            <v>8253</v>
          </cell>
          <cell r="U334">
            <v>0</v>
          </cell>
        </row>
        <row r="335">
          <cell r="D335">
            <v>8252</v>
          </cell>
          <cell r="E335" t="str">
            <v>资本公积_股份支付</v>
          </cell>
          <cell r="F335">
            <v>0</v>
          </cell>
          <cell r="G335">
            <v>0</v>
          </cell>
          <cell r="H335">
            <v>0</v>
          </cell>
          <cell r="I335">
            <v>0</v>
          </cell>
          <cell r="J335">
            <v>0</v>
          </cell>
          <cell r="K335">
            <v>0</v>
          </cell>
          <cell r="L335">
            <v>0</v>
          </cell>
          <cell r="M335">
            <v>0</v>
          </cell>
          <cell r="T335">
            <v>8252</v>
          </cell>
          <cell r="U335">
            <v>0</v>
          </cell>
        </row>
        <row r="336">
          <cell r="D336">
            <v>8256</v>
          </cell>
          <cell r="E336" t="str">
            <v>资本公积_所有者其他投入和减少资本</v>
          </cell>
          <cell r="F336">
            <v>0</v>
          </cell>
          <cell r="G336">
            <v>0</v>
          </cell>
          <cell r="H336">
            <v>0</v>
          </cell>
          <cell r="I336">
            <v>0</v>
          </cell>
          <cell r="J336">
            <v>0</v>
          </cell>
          <cell r="K336">
            <v>0</v>
          </cell>
          <cell r="L336">
            <v>0</v>
          </cell>
          <cell r="M336">
            <v>0</v>
          </cell>
          <cell r="T336">
            <v>8256</v>
          </cell>
          <cell r="U336">
            <v>0</v>
          </cell>
        </row>
        <row r="337">
          <cell r="D337">
            <v>8260</v>
          </cell>
          <cell r="E337" t="str">
            <v>资本公积_利润分配影响权益</v>
          </cell>
          <cell r="F337">
            <v>0</v>
          </cell>
          <cell r="G337">
            <v>0</v>
          </cell>
          <cell r="H337">
            <v>0</v>
          </cell>
          <cell r="I337">
            <v>0</v>
          </cell>
          <cell r="J337">
            <v>0</v>
          </cell>
          <cell r="K337">
            <v>0</v>
          </cell>
          <cell r="L337">
            <v>0</v>
          </cell>
          <cell r="M337">
            <v>0</v>
          </cell>
          <cell r="T337">
            <v>8260</v>
          </cell>
          <cell r="U337">
            <v>0</v>
          </cell>
        </row>
        <row r="338">
          <cell r="D338">
            <v>8261</v>
          </cell>
          <cell r="E338" t="str">
            <v>资本公积_提取盈余公积影响权益</v>
          </cell>
          <cell r="F338">
            <v>0</v>
          </cell>
          <cell r="G338">
            <v>0</v>
          </cell>
          <cell r="H338">
            <v>0</v>
          </cell>
          <cell r="I338">
            <v>0</v>
          </cell>
          <cell r="J338">
            <v>0</v>
          </cell>
          <cell r="K338">
            <v>0</v>
          </cell>
          <cell r="L338">
            <v>0</v>
          </cell>
          <cell r="M338">
            <v>0</v>
          </cell>
          <cell r="T338">
            <v>8261</v>
          </cell>
          <cell r="U338">
            <v>0</v>
          </cell>
        </row>
        <row r="339">
          <cell r="D339">
            <v>8262</v>
          </cell>
          <cell r="E339" t="str">
            <v>资本公积_提取一般风险准备影响权益</v>
          </cell>
          <cell r="F339">
            <v>0</v>
          </cell>
          <cell r="G339">
            <v>0</v>
          </cell>
          <cell r="H339">
            <v>0</v>
          </cell>
          <cell r="I339">
            <v>0</v>
          </cell>
          <cell r="J339">
            <v>0</v>
          </cell>
          <cell r="K339">
            <v>0</v>
          </cell>
          <cell r="L339">
            <v>0</v>
          </cell>
          <cell r="M339">
            <v>0</v>
          </cell>
          <cell r="T339">
            <v>8262</v>
          </cell>
          <cell r="U339">
            <v>0</v>
          </cell>
        </row>
        <row r="340">
          <cell r="D340">
            <v>8263</v>
          </cell>
          <cell r="E340" t="str">
            <v>资本公积_对所有者的分配影响权益</v>
          </cell>
          <cell r="F340">
            <v>0</v>
          </cell>
          <cell r="G340">
            <v>0</v>
          </cell>
          <cell r="H340">
            <v>0</v>
          </cell>
          <cell r="I340">
            <v>0</v>
          </cell>
          <cell r="J340">
            <v>0</v>
          </cell>
          <cell r="K340">
            <v>0</v>
          </cell>
          <cell r="L340">
            <v>0</v>
          </cell>
          <cell r="M340">
            <v>0</v>
          </cell>
          <cell r="T340">
            <v>8263</v>
          </cell>
          <cell r="U340">
            <v>0</v>
          </cell>
        </row>
        <row r="341">
          <cell r="D341">
            <v>8266</v>
          </cell>
          <cell r="E341" t="str">
            <v>资本公积_其他利润分配</v>
          </cell>
          <cell r="F341">
            <v>0</v>
          </cell>
          <cell r="G341">
            <v>0</v>
          </cell>
          <cell r="H341">
            <v>0</v>
          </cell>
          <cell r="I341">
            <v>0</v>
          </cell>
          <cell r="J341">
            <v>0</v>
          </cell>
          <cell r="K341">
            <v>0</v>
          </cell>
          <cell r="L341">
            <v>0</v>
          </cell>
          <cell r="M341">
            <v>0</v>
          </cell>
          <cell r="T341">
            <v>8266</v>
          </cell>
          <cell r="U341">
            <v>0</v>
          </cell>
        </row>
        <row r="342">
          <cell r="D342">
            <v>8270</v>
          </cell>
          <cell r="E342" t="str">
            <v>资本公积_所有者权益内部结转</v>
          </cell>
          <cell r="F342">
            <v>0</v>
          </cell>
          <cell r="G342">
            <v>0</v>
          </cell>
          <cell r="H342">
            <v>0</v>
          </cell>
          <cell r="I342">
            <v>0</v>
          </cell>
          <cell r="J342">
            <v>0</v>
          </cell>
          <cell r="K342">
            <v>0</v>
          </cell>
          <cell r="L342">
            <v>0</v>
          </cell>
          <cell r="M342">
            <v>0</v>
          </cell>
          <cell r="T342">
            <v>8270</v>
          </cell>
          <cell r="U342">
            <v>0</v>
          </cell>
        </row>
        <row r="343">
          <cell r="D343">
            <v>8271</v>
          </cell>
          <cell r="E343" t="str">
            <v>资本公积_转增资本</v>
          </cell>
          <cell r="F343">
            <v>0</v>
          </cell>
          <cell r="G343">
            <v>0</v>
          </cell>
          <cell r="H343">
            <v>0</v>
          </cell>
          <cell r="I343">
            <v>0</v>
          </cell>
          <cell r="J343">
            <v>0</v>
          </cell>
          <cell r="K343">
            <v>0</v>
          </cell>
          <cell r="L343">
            <v>0</v>
          </cell>
          <cell r="M343">
            <v>0</v>
          </cell>
          <cell r="T343">
            <v>8271</v>
          </cell>
          <cell r="U343">
            <v>0</v>
          </cell>
        </row>
        <row r="344">
          <cell r="D344">
            <v>8272</v>
          </cell>
          <cell r="E344" t="str">
            <v>资本公积_盈余公积转增资本影响权益</v>
          </cell>
          <cell r="F344">
            <v>0</v>
          </cell>
          <cell r="G344">
            <v>0</v>
          </cell>
          <cell r="H344">
            <v>0</v>
          </cell>
          <cell r="I344">
            <v>0</v>
          </cell>
          <cell r="J344">
            <v>0</v>
          </cell>
          <cell r="K344">
            <v>0</v>
          </cell>
          <cell r="L344">
            <v>0</v>
          </cell>
          <cell r="M344">
            <v>0</v>
          </cell>
          <cell r="T344">
            <v>8272</v>
          </cell>
          <cell r="U344">
            <v>0</v>
          </cell>
        </row>
        <row r="345">
          <cell r="D345">
            <v>8273</v>
          </cell>
          <cell r="E345" t="str">
            <v>资本公积_盈余公积弥补亏损影响权益</v>
          </cell>
          <cell r="F345">
            <v>0</v>
          </cell>
          <cell r="G345">
            <v>0</v>
          </cell>
          <cell r="H345">
            <v>0</v>
          </cell>
          <cell r="I345">
            <v>0</v>
          </cell>
          <cell r="J345">
            <v>0</v>
          </cell>
          <cell r="K345">
            <v>0</v>
          </cell>
          <cell r="L345">
            <v>0</v>
          </cell>
          <cell r="M345">
            <v>0</v>
          </cell>
          <cell r="T345">
            <v>8273</v>
          </cell>
          <cell r="U345">
            <v>0</v>
          </cell>
        </row>
        <row r="346">
          <cell r="D346">
            <v>8275</v>
          </cell>
          <cell r="E346" t="str">
            <v>资本公积_结转重新计量设定受益计划净负债或净资产所产生的变动</v>
          </cell>
          <cell r="F346">
            <v>0</v>
          </cell>
          <cell r="G346">
            <v>0</v>
          </cell>
          <cell r="H346">
            <v>0</v>
          </cell>
          <cell r="I346">
            <v>0</v>
          </cell>
          <cell r="J346">
            <v>0</v>
          </cell>
          <cell r="K346">
            <v>0</v>
          </cell>
          <cell r="L346">
            <v>0</v>
          </cell>
          <cell r="M346">
            <v>0</v>
          </cell>
          <cell r="T346">
            <v>8275</v>
          </cell>
          <cell r="U346">
            <v>0</v>
          </cell>
        </row>
        <row r="347">
          <cell r="D347">
            <v>8276</v>
          </cell>
          <cell r="E347" t="str">
            <v>资本公积_所有者权益其他内部结转</v>
          </cell>
          <cell r="F347">
            <v>0</v>
          </cell>
          <cell r="G347">
            <v>0</v>
          </cell>
          <cell r="H347">
            <v>0</v>
          </cell>
          <cell r="I347">
            <v>0</v>
          </cell>
          <cell r="J347">
            <v>0</v>
          </cell>
          <cell r="K347">
            <v>0</v>
          </cell>
          <cell r="L347">
            <v>0</v>
          </cell>
          <cell r="M347">
            <v>0</v>
          </cell>
          <cell r="T347">
            <v>8276</v>
          </cell>
          <cell r="U347">
            <v>0</v>
          </cell>
        </row>
        <row r="348">
          <cell r="D348">
            <v>8280</v>
          </cell>
          <cell r="E348" t="str">
            <v>资本公积_专项储备影响权益</v>
          </cell>
          <cell r="F348">
            <v>0</v>
          </cell>
          <cell r="G348">
            <v>0</v>
          </cell>
          <cell r="H348">
            <v>0</v>
          </cell>
          <cell r="I348">
            <v>0</v>
          </cell>
          <cell r="J348">
            <v>0</v>
          </cell>
          <cell r="K348">
            <v>0</v>
          </cell>
          <cell r="L348">
            <v>0</v>
          </cell>
          <cell r="M348">
            <v>0</v>
          </cell>
          <cell r="T348">
            <v>8280</v>
          </cell>
          <cell r="U348">
            <v>0</v>
          </cell>
        </row>
        <row r="349">
          <cell r="D349">
            <v>8281</v>
          </cell>
          <cell r="E349" t="str">
            <v>资本公积_专项储备本期提取</v>
          </cell>
          <cell r="F349">
            <v>0</v>
          </cell>
          <cell r="G349">
            <v>0</v>
          </cell>
          <cell r="H349">
            <v>0</v>
          </cell>
          <cell r="I349">
            <v>0</v>
          </cell>
          <cell r="J349">
            <v>0</v>
          </cell>
          <cell r="K349">
            <v>0</v>
          </cell>
          <cell r="L349">
            <v>0</v>
          </cell>
          <cell r="M349">
            <v>0</v>
          </cell>
          <cell r="T349">
            <v>8281</v>
          </cell>
          <cell r="U349">
            <v>0</v>
          </cell>
        </row>
        <row r="350">
          <cell r="D350">
            <v>8282</v>
          </cell>
          <cell r="E350" t="str">
            <v>资本公积_专项储备本期使用</v>
          </cell>
          <cell r="F350">
            <v>0</v>
          </cell>
          <cell r="G350">
            <v>0</v>
          </cell>
          <cell r="H350">
            <v>0</v>
          </cell>
          <cell r="I350">
            <v>0</v>
          </cell>
          <cell r="J350">
            <v>0</v>
          </cell>
          <cell r="K350">
            <v>0</v>
          </cell>
          <cell r="L350">
            <v>0</v>
          </cell>
          <cell r="M350">
            <v>0</v>
          </cell>
          <cell r="T350">
            <v>8282</v>
          </cell>
          <cell r="U350">
            <v>0</v>
          </cell>
        </row>
        <row r="351">
          <cell r="D351">
            <v>8296</v>
          </cell>
          <cell r="E351" t="str">
            <v>资本公积_本期其他增减变动</v>
          </cell>
          <cell r="F351">
            <v>0</v>
          </cell>
          <cell r="G351">
            <v>0</v>
          </cell>
          <cell r="H351">
            <v>0</v>
          </cell>
          <cell r="I351">
            <v>0</v>
          </cell>
          <cell r="J351">
            <v>0</v>
          </cell>
          <cell r="K351">
            <v>0</v>
          </cell>
          <cell r="L351">
            <v>0</v>
          </cell>
          <cell r="M351">
            <v>0</v>
          </cell>
          <cell r="T351">
            <v>8296</v>
          </cell>
          <cell r="U351">
            <v>0</v>
          </cell>
        </row>
        <row r="352">
          <cell r="D352">
            <v>8299</v>
          </cell>
          <cell r="E352" t="str">
            <v>资本公积_本期期末余额</v>
          </cell>
          <cell r="F352">
            <v>0</v>
          </cell>
          <cell r="G352">
            <v>0</v>
          </cell>
          <cell r="H352">
            <v>0</v>
          </cell>
          <cell r="I352">
            <v>0</v>
          </cell>
          <cell r="J352">
            <v>0</v>
          </cell>
          <cell r="K352">
            <v>0</v>
          </cell>
          <cell r="L352">
            <v>0</v>
          </cell>
          <cell r="M352">
            <v>0</v>
          </cell>
          <cell r="T352">
            <v>8299</v>
          </cell>
          <cell r="U352">
            <v>0</v>
          </cell>
        </row>
        <row r="353">
          <cell r="D353">
            <v>8300</v>
          </cell>
          <cell r="E353" t="str">
            <v>库存股增减变动</v>
          </cell>
          <cell r="F353">
            <v>0</v>
          </cell>
          <cell r="G353">
            <v>0</v>
          </cell>
          <cell r="H353">
            <v>0</v>
          </cell>
          <cell r="I353">
            <v>0</v>
          </cell>
          <cell r="J353">
            <v>0</v>
          </cell>
          <cell r="K353">
            <v>0</v>
          </cell>
          <cell r="L353">
            <v>0</v>
          </cell>
          <cell r="M353">
            <v>0</v>
          </cell>
          <cell r="T353">
            <v>8300</v>
          </cell>
          <cell r="U353">
            <v>0</v>
          </cell>
        </row>
        <row r="354">
          <cell r="D354">
            <v>8301</v>
          </cell>
          <cell r="E354" t="str">
            <v>库存股_上年年末余额</v>
          </cell>
          <cell r="F354">
            <v>0</v>
          </cell>
          <cell r="G354">
            <v>0</v>
          </cell>
          <cell r="H354">
            <v>0</v>
          </cell>
          <cell r="I354">
            <v>0</v>
          </cell>
          <cell r="J354">
            <v>0</v>
          </cell>
          <cell r="K354">
            <v>0</v>
          </cell>
          <cell r="L354">
            <v>0</v>
          </cell>
          <cell r="M354">
            <v>0</v>
          </cell>
          <cell r="T354">
            <v>8301</v>
          </cell>
          <cell r="U354">
            <v>0</v>
          </cell>
        </row>
        <row r="355">
          <cell r="D355">
            <v>8302</v>
          </cell>
          <cell r="E355" t="str">
            <v>库存股_会计政策变更调整上年年末余额</v>
          </cell>
          <cell r="F355">
            <v>0</v>
          </cell>
          <cell r="G355">
            <v>0</v>
          </cell>
          <cell r="H355">
            <v>0</v>
          </cell>
          <cell r="I355">
            <v>0</v>
          </cell>
          <cell r="J355">
            <v>0</v>
          </cell>
          <cell r="K355">
            <v>0</v>
          </cell>
          <cell r="L355">
            <v>0</v>
          </cell>
          <cell r="M355">
            <v>0</v>
          </cell>
          <cell r="T355">
            <v>8302</v>
          </cell>
          <cell r="U355">
            <v>0</v>
          </cell>
        </row>
        <row r="356">
          <cell r="D356">
            <v>8303</v>
          </cell>
          <cell r="E356" t="str">
            <v>库存股_前期差错更正调整上年年末余额</v>
          </cell>
          <cell r="F356">
            <v>0</v>
          </cell>
          <cell r="G356">
            <v>0</v>
          </cell>
          <cell r="H356">
            <v>0</v>
          </cell>
          <cell r="I356">
            <v>0</v>
          </cell>
          <cell r="J356">
            <v>0</v>
          </cell>
          <cell r="K356">
            <v>0</v>
          </cell>
          <cell r="L356">
            <v>0</v>
          </cell>
          <cell r="M356">
            <v>0</v>
          </cell>
          <cell r="T356">
            <v>8303</v>
          </cell>
          <cell r="U356">
            <v>0</v>
          </cell>
        </row>
        <row r="357">
          <cell r="D357">
            <v>8304</v>
          </cell>
          <cell r="E357" t="str">
            <v>库存股_同一控制下企业合并调整上年年末余额</v>
          </cell>
          <cell r="F357">
            <v>0</v>
          </cell>
          <cell r="G357">
            <v>0</v>
          </cell>
          <cell r="H357">
            <v>0</v>
          </cell>
          <cell r="I357">
            <v>0</v>
          </cell>
          <cell r="J357">
            <v>0</v>
          </cell>
          <cell r="K357">
            <v>0</v>
          </cell>
          <cell r="L357">
            <v>0</v>
          </cell>
          <cell r="M357">
            <v>0</v>
          </cell>
          <cell r="T357">
            <v>8304</v>
          </cell>
          <cell r="U357">
            <v>0</v>
          </cell>
        </row>
        <row r="358">
          <cell r="D358">
            <v>8309</v>
          </cell>
          <cell r="E358" t="str">
            <v>库存股_其他原因调整上年年末余额</v>
          </cell>
          <cell r="F358">
            <v>0</v>
          </cell>
          <cell r="G358">
            <v>0</v>
          </cell>
          <cell r="H358">
            <v>0</v>
          </cell>
          <cell r="I358">
            <v>0</v>
          </cell>
          <cell r="J358">
            <v>0</v>
          </cell>
          <cell r="K358">
            <v>0</v>
          </cell>
          <cell r="L358">
            <v>0</v>
          </cell>
          <cell r="M358">
            <v>0</v>
          </cell>
          <cell r="T358">
            <v>8309</v>
          </cell>
          <cell r="U358">
            <v>0</v>
          </cell>
        </row>
        <row r="359">
          <cell r="D359">
            <v>8310</v>
          </cell>
          <cell r="E359" t="str">
            <v>库存股_本年年初余额</v>
          </cell>
          <cell r="F359">
            <v>0</v>
          </cell>
          <cell r="G359">
            <v>0</v>
          </cell>
          <cell r="H359">
            <v>0</v>
          </cell>
          <cell r="I359">
            <v>0</v>
          </cell>
          <cell r="J359">
            <v>0</v>
          </cell>
          <cell r="K359">
            <v>0</v>
          </cell>
          <cell r="L359">
            <v>0</v>
          </cell>
          <cell r="M359">
            <v>0</v>
          </cell>
          <cell r="T359">
            <v>8310</v>
          </cell>
          <cell r="U359">
            <v>0</v>
          </cell>
        </row>
        <row r="360">
          <cell r="D360">
            <v>8390</v>
          </cell>
          <cell r="E360" t="str">
            <v>库存股_本期增减变动金额</v>
          </cell>
          <cell r="F360">
            <v>0</v>
          </cell>
          <cell r="G360">
            <v>0</v>
          </cell>
          <cell r="H360">
            <v>0</v>
          </cell>
          <cell r="I360">
            <v>0</v>
          </cell>
          <cell r="J360">
            <v>0</v>
          </cell>
          <cell r="K360">
            <v>0</v>
          </cell>
          <cell r="L360">
            <v>0</v>
          </cell>
          <cell r="M360">
            <v>0</v>
          </cell>
          <cell r="T360">
            <v>8390</v>
          </cell>
          <cell r="U360">
            <v>0</v>
          </cell>
        </row>
        <row r="361">
          <cell r="D361">
            <v>8321</v>
          </cell>
          <cell r="E361" t="str">
            <v>库存股_净利润增加权益</v>
          </cell>
          <cell r="F361">
            <v>0</v>
          </cell>
          <cell r="G361">
            <v>0</v>
          </cell>
          <cell r="H361">
            <v>0</v>
          </cell>
          <cell r="I361">
            <v>0</v>
          </cell>
          <cell r="J361">
            <v>0</v>
          </cell>
          <cell r="K361">
            <v>0</v>
          </cell>
          <cell r="L361">
            <v>0</v>
          </cell>
          <cell r="M361">
            <v>0</v>
          </cell>
          <cell r="T361">
            <v>8321</v>
          </cell>
          <cell r="U361">
            <v>0</v>
          </cell>
        </row>
        <row r="362">
          <cell r="D362">
            <v>8330</v>
          </cell>
          <cell r="E362" t="str">
            <v>库存股_其他综合收益增加权益</v>
          </cell>
          <cell r="F362">
            <v>0</v>
          </cell>
          <cell r="G362">
            <v>0</v>
          </cell>
          <cell r="H362">
            <v>0</v>
          </cell>
          <cell r="I362">
            <v>0</v>
          </cell>
          <cell r="J362">
            <v>0</v>
          </cell>
          <cell r="K362">
            <v>0</v>
          </cell>
          <cell r="L362">
            <v>0</v>
          </cell>
          <cell r="M362">
            <v>0</v>
          </cell>
          <cell r="T362">
            <v>8330</v>
          </cell>
          <cell r="U362">
            <v>0</v>
          </cell>
        </row>
        <row r="363">
          <cell r="D363">
            <v>8340</v>
          </cell>
          <cell r="E363" t="str">
            <v>库存股_综合收益总额增加权益</v>
          </cell>
          <cell r="F363">
            <v>0</v>
          </cell>
          <cell r="G363">
            <v>0</v>
          </cell>
          <cell r="H363">
            <v>0</v>
          </cell>
          <cell r="I363">
            <v>0</v>
          </cell>
          <cell r="J363">
            <v>0</v>
          </cell>
          <cell r="K363">
            <v>0</v>
          </cell>
          <cell r="L363">
            <v>0</v>
          </cell>
          <cell r="M363">
            <v>0</v>
          </cell>
          <cell r="T363">
            <v>8340</v>
          </cell>
          <cell r="U363">
            <v>0</v>
          </cell>
        </row>
        <row r="364">
          <cell r="D364">
            <v>8350</v>
          </cell>
          <cell r="E364" t="str">
            <v>库存股_所有者投入和减少资本影响权益</v>
          </cell>
          <cell r="F364">
            <v>0</v>
          </cell>
          <cell r="G364">
            <v>0</v>
          </cell>
          <cell r="H364">
            <v>0</v>
          </cell>
          <cell r="I364">
            <v>0</v>
          </cell>
          <cell r="J364">
            <v>0</v>
          </cell>
          <cell r="K364">
            <v>0</v>
          </cell>
          <cell r="L364">
            <v>0</v>
          </cell>
          <cell r="M364">
            <v>0</v>
          </cell>
          <cell r="T364">
            <v>8350</v>
          </cell>
          <cell r="U364">
            <v>0</v>
          </cell>
        </row>
        <row r="365">
          <cell r="D365">
            <v>8351</v>
          </cell>
          <cell r="E365" t="str">
            <v>库存股_所有者投入资本</v>
          </cell>
          <cell r="F365">
            <v>0</v>
          </cell>
          <cell r="G365">
            <v>0</v>
          </cell>
          <cell r="H365">
            <v>0</v>
          </cell>
          <cell r="I365">
            <v>0</v>
          </cell>
          <cell r="J365">
            <v>0</v>
          </cell>
          <cell r="K365">
            <v>0</v>
          </cell>
          <cell r="L365">
            <v>0</v>
          </cell>
          <cell r="M365">
            <v>0</v>
          </cell>
          <cell r="T365">
            <v>8351</v>
          </cell>
          <cell r="U365">
            <v>0</v>
          </cell>
        </row>
        <row r="366">
          <cell r="D366">
            <v>8353</v>
          </cell>
          <cell r="E366" t="str">
            <v>库存股_其他权益工具持有者投入资本</v>
          </cell>
          <cell r="F366">
            <v>0</v>
          </cell>
          <cell r="G366">
            <v>0</v>
          </cell>
          <cell r="H366">
            <v>0</v>
          </cell>
          <cell r="I366">
            <v>0</v>
          </cell>
          <cell r="J366">
            <v>0</v>
          </cell>
          <cell r="K366">
            <v>0</v>
          </cell>
          <cell r="L366">
            <v>0</v>
          </cell>
          <cell r="M366">
            <v>0</v>
          </cell>
          <cell r="T366">
            <v>8353</v>
          </cell>
          <cell r="U366">
            <v>0</v>
          </cell>
        </row>
        <row r="367">
          <cell r="D367">
            <v>8352</v>
          </cell>
          <cell r="E367" t="str">
            <v>库存股_股份支付</v>
          </cell>
          <cell r="F367">
            <v>0</v>
          </cell>
          <cell r="G367">
            <v>0</v>
          </cell>
          <cell r="H367">
            <v>0</v>
          </cell>
          <cell r="I367">
            <v>0</v>
          </cell>
          <cell r="J367">
            <v>0</v>
          </cell>
          <cell r="K367">
            <v>0</v>
          </cell>
          <cell r="L367">
            <v>0</v>
          </cell>
          <cell r="M367">
            <v>0</v>
          </cell>
          <cell r="T367">
            <v>8352</v>
          </cell>
          <cell r="U367">
            <v>0</v>
          </cell>
        </row>
        <row r="368">
          <cell r="D368">
            <v>8356</v>
          </cell>
          <cell r="E368" t="str">
            <v>库存股_所有者其他投入和减少资本</v>
          </cell>
          <cell r="F368">
            <v>0</v>
          </cell>
          <cell r="G368">
            <v>0</v>
          </cell>
          <cell r="H368">
            <v>0</v>
          </cell>
          <cell r="I368">
            <v>0</v>
          </cell>
          <cell r="J368">
            <v>0</v>
          </cell>
          <cell r="K368">
            <v>0</v>
          </cell>
          <cell r="L368">
            <v>0</v>
          </cell>
          <cell r="M368">
            <v>0</v>
          </cell>
          <cell r="T368">
            <v>8356</v>
          </cell>
          <cell r="U368">
            <v>0</v>
          </cell>
        </row>
        <row r="369">
          <cell r="D369">
            <v>8360</v>
          </cell>
          <cell r="E369" t="str">
            <v>库存股_利润分配影响权益</v>
          </cell>
          <cell r="F369">
            <v>0</v>
          </cell>
          <cell r="G369">
            <v>0</v>
          </cell>
          <cell r="H369">
            <v>0</v>
          </cell>
          <cell r="I369">
            <v>0</v>
          </cell>
          <cell r="J369">
            <v>0</v>
          </cell>
          <cell r="K369">
            <v>0</v>
          </cell>
          <cell r="L369">
            <v>0</v>
          </cell>
          <cell r="M369">
            <v>0</v>
          </cell>
          <cell r="T369">
            <v>8360</v>
          </cell>
          <cell r="U369">
            <v>0</v>
          </cell>
        </row>
        <row r="370">
          <cell r="D370">
            <v>8361</v>
          </cell>
          <cell r="E370" t="str">
            <v>库存股_提取盈余公积影响权益</v>
          </cell>
          <cell r="F370">
            <v>0</v>
          </cell>
          <cell r="G370">
            <v>0</v>
          </cell>
          <cell r="H370">
            <v>0</v>
          </cell>
          <cell r="I370">
            <v>0</v>
          </cell>
          <cell r="J370">
            <v>0</v>
          </cell>
          <cell r="K370">
            <v>0</v>
          </cell>
          <cell r="L370">
            <v>0</v>
          </cell>
          <cell r="M370">
            <v>0</v>
          </cell>
          <cell r="T370">
            <v>8361</v>
          </cell>
          <cell r="U370">
            <v>0</v>
          </cell>
        </row>
        <row r="371">
          <cell r="D371">
            <v>8362</v>
          </cell>
          <cell r="E371" t="str">
            <v>库存股_提取一般风险准备影响权益</v>
          </cell>
          <cell r="F371">
            <v>0</v>
          </cell>
          <cell r="G371">
            <v>0</v>
          </cell>
          <cell r="H371">
            <v>0</v>
          </cell>
          <cell r="I371">
            <v>0</v>
          </cell>
          <cell r="J371">
            <v>0</v>
          </cell>
          <cell r="K371">
            <v>0</v>
          </cell>
          <cell r="L371">
            <v>0</v>
          </cell>
          <cell r="M371">
            <v>0</v>
          </cell>
          <cell r="T371">
            <v>8362</v>
          </cell>
          <cell r="U371">
            <v>0</v>
          </cell>
        </row>
        <row r="372">
          <cell r="D372">
            <v>8363</v>
          </cell>
          <cell r="E372" t="str">
            <v>库存股_对所有者的分配</v>
          </cell>
          <cell r="F372">
            <v>0</v>
          </cell>
          <cell r="G372">
            <v>0</v>
          </cell>
          <cell r="H372">
            <v>0</v>
          </cell>
          <cell r="I372">
            <v>0</v>
          </cell>
          <cell r="J372">
            <v>0</v>
          </cell>
          <cell r="K372">
            <v>0</v>
          </cell>
          <cell r="L372">
            <v>0</v>
          </cell>
          <cell r="M372">
            <v>0</v>
          </cell>
          <cell r="T372">
            <v>8363</v>
          </cell>
          <cell r="U372">
            <v>0</v>
          </cell>
        </row>
        <row r="373">
          <cell r="D373">
            <v>8366</v>
          </cell>
          <cell r="E373" t="str">
            <v>库存股_其他利润分配</v>
          </cell>
          <cell r="F373">
            <v>0</v>
          </cell>
          <cell r="G373">
            <v>0</v>
          </cell>
          <cell r="H373">
            <v>0</v>
          </cell>
          <cell r="I373">
            <v>0</v>
          </cell>
          <cell r="J373">
            <v>0</v>
          </cell>
          <cell r="K373">
            <v>0</v>
          </cell>
          <cell r="L373">
            <v>0</v>
          </cell>
          <cell r="M373">
            <v>0</v>
          </cell>
          <cell r="T373">
            <v>8366</v>
          </cell>
          <cell r="U373">
            <v>0</v>
          </cell>
        </row>
        <row r="374">
          <cell r="D374">
            <v>8370</v>
          </cell>
          <cell r="E374" t="str">
            <v>库存股_所有者权益内部结转</v>
          </cell>
          <cell r="F374">
            <v>0</v>
          </cell>
          <cell r="G374">
            <v>0</v>
          </cell>
          <cell r="H374">
            <v>0</v>
          </cell>
          <cell r="I374">
            <v>0</v>
          </cell>
          <cell r="J374">
            <v>0</v>
          </cell>
          <cell r="K374">
            <v>0</v>
          </cell>
          <cell r="L374">
            <v>0</v>
          </cell>
          <cell r="M374">
            <v>0</v>
          </cell>
          <cell r="T374">
            <v>8370</v>
          </cell>
          <cell r="U374">
            <v>0</v>
          </cell>
        </row>
        <row r="375">
          <cell r="D375">
            <v>8371</v>
          </cell>
          <cell r="E375" t="str">
            <v>库存股_资本公积转增资本影响权益</v>
          </cell>
          <cell r="F375">
            <v>0</v>
          </cell>
          <cell r="G375">
            <v>0</v>
          </cell>
          <cell r="H375">
            <v>0</v>
          </cell>
          <cell r="I375">
            <v>0</v>
          </cell>
          <cell r="J375">
            <v>0</v>
          </cell>
          <cell r="K375">
            <v>0</v>
          </cell>
          <cell r="L375">
            <v>0</v>
          </cell>
          <cell r="M375">
            <v>0</v>
          </cell>
          <cell r="T375">
            <v>8371</v>
          </cell>
          <cell r="U375">
            <v>0</v>
          </cell>
        </row>
        <row r="376">
          <cell r="D376">
            <v>8372</v>
          </cell>
          <cell r="E376" t="str">
            <v>库存股_盈余公积转增资本影响权益</v>
          </cell>
          <cell r="F376">
            <v>0</v>
          </cell>
          <cell r="G376">
            <v>0</v>
          </cell>
          <cell r="H376">
            <v>0</v>
          </cell>
          <cell r="I376">
            <v>0</v>
          </cell>
          <cell r="J376">
            <v>0</v>
          </cell>
          <cell r="K376">
            <v>0</v>
          </cell>
          <cell r="L376">
            <v>0</v>
          </cell>
          <cell r="M376">
            <v>0</v>
          </cell>
          <cell r="T376">
            <v>8372</v>
          </cell>
          <cell r="U376">
            <v>0</v>
          </cell>
        </row>
        <row r="377">
          <cell r="D377">
            <v>8373</v>
          </cell>
          <cell r="E377" t="str">
            <v>库存股_盈余公积弥补亏损影响权益</v>
          </cell>
          <cell r="F377">
            <v>0</v>
          </cell>
          <cell r="G377">
            <v>0</v>
          </cell>
          <cell r="H377">
            <v>0</v>
          </cell>
          <cell r="I377">
            <v>0</v>
          </cell>
          <cell r="J377">
            <v>0</v>
          </cell>
          <cell r="K377">
            <v>0</v>
          </cell>
          <cell r="L377">
            <v>0</v>
          </cell>
          <cell r="M377">
            <v>0</v>
          </cell>
          <cell r="T377">
            <v>8373</v>
          </cell>
          <cell r="U377">
            <v>0</v>
          </cell>
        </row>
        <row r="378">
          <cell r="D378">
            <v>8375</v>
          </cell>
          <cell r="E378" t="str">
            <v>库存股_结转重新计量设定受益计划净负债或净资产所产生的变动</v>
          </cell>
          <cell r="F378">
            <v>0</v>
          </cell>
          <cell r="G378">
            <v>0</v>
          </cell>
          <cell r="H378">
            <v>0</v>
          </cell>
          <cell r="I378">
            <v>0</v>
          </cell>
          <cell r="J378">
            <v>0</v>
          </cell>
          <cell r="K378">
            <v>0</v>
          </cell>
          <cell r="L378">
            <v>0</v>
          </cell>
          <cell r="M378">
            <v>0</v>
          </cell>
          <cell r="T378">
            <v>8375</v>
          </cell>
          <cell r="U378">
            <v>0</v>
          </cell>
        </row>
        <row r="379">
          <cell r="D379">
            <v>8376</v>
          </cell>
          <cell r="E379" t="str">
            <v>库存股_所有者权益其他内部结转</v>
          </cell>
          <cell r="F379">
            <v>0</v>
          </cell>
          <cell r="G379">
            <v>0</v>
          </cell>
          <cell r="H379">
            <v>0</v>
          </cell>
          <cell r="I379">
            <v>0</v>
          </cell>
          <cell r="J379">
            <v>0</v>
          </cell>
          <cell r="K379">
            <v>0</v>
          </cell>
          <cell r="L379">
            <v>0</v>
          </cell>
          <cell r="M379">
            <v>0</v>
          </cell>
          <cell r="T379">
            <v>8376</v>
          </cell>
          <cell r="U379">
            <v>0</v>
          </cell>
        </row>
        <row r="380">
          <cell r="D380">
            <v>8380</v>
          </cell>
          <cell r="E380" t="str">
            <v>库存股_专项储备影响权益</v>
          </cell>
          <cell r="F380">
            <v>0</v>
          </cell>
          <cell r="G380">
            <v>0</v>
          </cell>
          <cell r="H380">
            <v>0</v>
          </cell>
          <cell r="I380">
            <v>0</v>
          </cell>
          <cell r="J380">
            <v>0</v>
          </cell>
          <cell r="K380">
            <v>0</v>
          </cell>
          <cell r="L380">
            <v>0</v>
          </cell>
          <cell r="M380">
            <v>0</v>
          </cell>
          <cell r="T380">
            <v>8380</v>
          </cell>
          <cell r="U380">
            <v>0</v>
          </cell>
        </row>
        <row r="381">
          <cell r="D381">
            <v>8381</v>
          </cell>
          <cell r="E381" t="str">
            <v>库存股_专项储备本期提取</v>
          </cell>
          <cell r="F381">
            <v>0</v>
          </cell>
          <cell r="G381">
            <v>0</v>
          </cell>
          <cell r="H381">
            <v>0</v>
          </cell>
          <cell r="I381">
            <v>0</v>
          </cell>
          <cell r="J381">
            <v>0</v>
          </cell>
          <cell r="K381">
            <v>0</v>
          </cell>
          <cell r="L381">
            <v>0</v>
          </cell>
          <cell r="M381">
            <v>0</v>
          </cell>
          <cell r="T381">
            <v>8381</v>
          </cell>
          <cell r="U381">
            <v>0</v>
          </cell>
        </row>
        <row r="382">
          <cell r="D382">
            <v>8382</v>
          </cell>
          <cell r="E382" t="str">
            <v>库存股_专项储备本期使用</v>
          </cell>
          <cell r="F382">
            <v>0</v>
          </cell>
          <cell r="G382">
            <v>0</v>
          </cell>
          <cell r="H382">
            <v>0</v>
          </cell>
          <cell r="I382">
            <v>0</v>
          </cell>
          <cell r="J382">
            <v>0</v>
          </cell>
          <cell r="K382">
            <v>0</v>
          </cell>
          <cell r="L382">
            <v>0</v>
          </cell>
          <cell r="M382">
            <v>0</v>
          </cell>
          <cell r="T382">
            <v>8382</v>
          </cell>
          <cell r="U382">
            <v>0</v>
          </cell>
        </row>
        <row r="383">
          <cell r="D383">
            <v>8396</v>
          </cell>
          <cell r="E383" t="str">
            <v>库存股_本期其他增减变动</v>
          </cell>
          <cell r="F383">
            <v>0</v>
          </cell>
          <cell r="G383">
            <v>0</v>
          </cell>
          <cell r="H383">
            <v>0</v>
          </cell>
          <cell r="I383">
            <v>0</v>
          </cell>
          <cell r="J383">
            <v>0</v>
          </cell>
          <cell r="K383">
            <v>0</v>
          </cell>
          <cell r="L383">
            <v>0</v>
          </cell>
          <cell r="M383">
            <v>0</v>
          </cell>
          <cell r="T383">
            <v>8396</v>
          </cell>
          <cell r="U383">
            <v>0</v>
          </cell>
        </row>
        <row r="384">
          <cell r="D384">
            <v>8399</v>
          </cell>
          <cell r="E384" t="str">
            <v>库存股_本期期末余额</v>
          </cell>
          <cell r="F384">
            <v>0</v>
          </cell>
          <cell r="G384">
            <v>0</v>
          </cell>
          <cell r="H384">
            <v>0</v>
          </cell>
          <cell r="I384">
            <v>0</v>
          </cell>
          <cell r="J384">
            <v>0</v>
          </cell>
          <cell r="K384">
            <v>0</v>
          </cell>
          <cell r="L384">
            <v>0</v>
          </cell>
          <cell r="M384">
            <v>0</v>
          </cell>
          <cell r="T384">
            <v>8399</v>
          </cell>
          <cell r="U384">
            <v>0</v>
          </cell>
        </row>
        <row r="385">
          <cell r="D385" t="str">
            <v>8g00</v>
          </cell>
          <cell r="E385" t="str">
            <v>其他综合收益增减变动</v>
          </cell>
          <cell r="F385">
            <v>0</v>
          </cell>
          <cell r="G385">
            <v>0</v>
          </cell>
          <cell r="H385">
            <v>0</v>
          </cell>
          <cell r="I385">
            <v>0</v>
          </cell>
          <cell r="J385">
            <v>0</v>
          </cell>
          <cell r="K385">
            <v>0</v>
          </cell>
          <cell r="L385">
            <v>0</v>
          </cell>
          <cell r="M385">
            <v>0</v>
          </cell>
          <cell r="T385" t="str">
            <v>8g00</v>
          </cell>
          <cell r="U385">
            <v>0</v>
          </cell>
        </row>
        <row r="386">
          <cell r="D386" t="str">
            <v>8g01</v>
          </cell>
          <cell r="E386" t="str">
            <v>其他综合收益_上年年末余额</v>
          </cell>
          <cell r="F386">
            <v>0</v>
          </cell>
          <cell r="G386">
            <v>0</v>
          </cell>
          <cell r="H386">
            <v>0</v>
          </cell>
          <cell r="I386">
            <v>0</v>
          </cell>
          <cell r="J386">
            <v>0</v>
          </cell>
          <cell r="K386">
            <v>0</v>
          </cell>
          <cell r="L386">
            <v>0</v>
          </cell>
          <cell r="M386">
            <v>0</v>
          </cell>
          <cell r="T386" t="str">
            <v>8g01</v>
          </cell>
          <cell r="U386">
            <v>0</v>
          </cell>
        </row>
        <row r="387">
          <cell r="D387" t="str">
            <v>8g02</v>
          </cell>
          <cell r="E387" t="str">
            <v>其他综合收益_会计政策变更调整上年年末余额</v>
          </cell>
          <cell r="F387">
            <v>0</v>
          </cell>
          <cell r="G387">
            <v>0</v>
          </cell>
          <cell r="H387">
            <v>0</v>
          </cell>
          <cell r="I387">
            <v>0</v>
          </cell>
          <cell r="J387">
            <v>0</v>
          </cell>
          <cell r="K387">
            <v>0</v>
          </cell>
          <cell r="L387">
            <v>0</v>
          </cell>
          <cell r="M387">
            <v>0</v>
          </cell>
          <cell r="T387" t="str">
            <v>8g02</v>
          </cell>
          <cell r="U387">
            <v>0</v>
          </cell>
        </row>
        <row r="388">
          <cell r="D388" t="str">
            <v>8g03</v>
          </cell>
          <cell r="E388" t="str">
            <v>其他综合收益_前期差错更正调整上年年末余额</v>
          </cell>
          <cell r="F388">
            <v>0</v>
          </cell>
          <cell r="G388">
            <v>0</v>
          </cell>
          <cell r="H388">
            <v>0</v>
          </cell>
          <cell r="I388">
            <v>0</v>
          </cell>
          <cell r="J388">
            <v>0</v>
          </cell>
          <cell r="K388">
            <v>0</v>
          </cell>
          <cell r="L388">
            <v>0</v>
          </cell>
          <cell r="M388">
            <v>0</v>
          </cell>
          <cell r="T388" t="str">
            <v>8g03</v>
          </cell>
          <cell r="U388">
            <v>0</v>
          </cell>
        </row>
        <row r="389">
          <cell r="D389" t="str">
            <v>8g04</v>
          </cell>
          <cell r="E389" t="str">
            <v>其他综合收益_同一控制下企业合并调整上年年末余额</v>
          </cell>
          <cell r="F389">
            <v>0</v>
          </cell>
          <cell r="G389">
            <v>0</v>
          </cell>
          <cell r="H389">
            <v>0</v>
          </cell>
          <cell r="I389">
            <v>0</v>
          </cell>
          <cell r="J389">
            <v>0</v>
          </cell>
          <cell r="K389">
            <v>0</v>
          </cell>
          <cell r="L389">
            <v>0</v>
          </cell>
          <cell r="M389">
            <v>0</v>
          </cell>
          <cell r="T389" t="str">
            <v>8g04</v>
          </cell>
          <cell r="U389">
            <v>0</v>
          </cell>
        </row>
        <row r="390">
          <cell r="D390" t="str">
            <v>8g09</v>
          </cell>
          <cell r="E390" t="str">
            <v>其他综合收益_其他原因调整上年年末余额</v>
          </cell>
          <cell r="F390">
            <v>0</v>
          </cell>
          <cell r="G390">
            <v>0</v>
          </cell>
          <cell r="H390">
            <v>0</v>
          </cell>
          <cell r="I390">
            <v>0</v>
          </cell>
          <cell r="J390">
            <v>0</v>
          </cell>
          <cell r="K390">
            <v>0</v>
          </cell>
          <cell r="L390">
            <v>0</v>
          </cell>
          <cell r="M390">
            <v>0</v>
          </cell>
          <cell r="T390" t="str">
            <v>8g09</v>
          </cell>
          <cell r="U390">
            <v>0</v>
          </cell>
        </row>
        <row r="391">
          <cell r="D391" t="str">
            <v>8g10</v>
          </cell>
          <cell r="E391" t="str">
            <v>其他综合收益_本年年初余额</v>
          </cell>
          <cell r="F391">
            <v>0</v>
          </cell>
          <cell r="G391">
            <v>0</v>
          </cell>
          <cell r="H391">
            <v>0</v>
          </cell>
          <cell r="I391">
            <v>0</v>
          </cell>
          <cell r="J391">
            <v>0</v>
          </cell>
          <cell r="K391">
            <v>0</v>
          </cell>
          <cell r="L391">
            <v>0</v>
          </cell>
          <cell r="M391">
            <v>0</v>
          </cell>
          <cell r="T391" t="str">
            <v>8g10</v>
          </cell>
          <cell r="U391">
            <v>0</v>
          </cell>
        </row>
        <row r="392">
          <cell r="D392" t="str">
            <v>8g90</v>
          </cell>
          <cell r="E392" t="str">
            <v>其他综合收益_本期增减变动金额</v>
          </cell>
          <cell r="F392">
            <v>0</v>
          </cell>
          <cell r="G392">
            <v>0</v>
          </cell>
          <cell r="H392">
            <v>0</v>
          </cell>
          <cell r="I392">
            <v>0</v>
          </cell>
          <cell r="J392">
            <v>0</v>
          </cell>
          <cell r="K392">
            <v>0</v>
          </cell>
          <cell r="L392">
            <v>0</v>
          </cell>
          <cell r="M392">
            <v>0</v>
          </cell>
          <cell r="T392" t="str">
            <v>8g90</v>
          </cell>
          <cell r="U392">
            <v>0</v>
          </cell>
        </row>
        <row r="393">
          <cell r="D393" t="str">
            <v>8g40</v>
          </cell>
          <cell r="E393" t="str">
            <v>其他综合收益_综合收益总额增加权益</v>
          </cell>
          <cell r="F393">
            <v>0</v>
          </cell>
          <cell r="G393">
            <v>0</v>
          </cell>
          <cell r="H393">
            <v>0</v>
          </cell>
          <cell r="I393">
            <v>0</v>
          </cell>
          <cell r="J393">
            <v>0</v>
          </cell>
          <cell r="K393">
            <v>0</v>
          </cell>
          <cell r="L393">
            <v>0</v>
          </cell>
          <cell r="M393">
            <v>0</v>
          </cell>
          <cell r="T393" t="str">
            <v>8g40</v>
          </cell>
          <cell r="U393">
            <v>0</v>
          </cell>
        </row>
        <row r="394">
          <cell r="D394" t="str">
            <v>8g50</v>
          </cell>
          <cell r="E394" t="str">
            <v>其他综合收益_所有者投入和减少资本影响权益</v>
          </cell>
          <cell r="F394">
            <v>0</v>
          </cell>
          <cell r="G394">
            <v>0</v>
          </cell>
          <cell r="H394">
            <v>0</v>
          </cell>
          <cell r="I394">
            <v>0</v>
          </cell>
          <cell r="J394">
            <v>0</v>
          </cell>
          <cell r="K394">
            <v>0</v>
          </cell>
          <cell r="L394">
            <v>0</v>
          </cell>
          <cell r="M394">
            <v>0</v>
          </cell>
          <cell r="T394" t="str">
            <v>8g50</v>
          </cell>
          <cell r="U394">
            <v>0</v>
          </cell>
        </row>
        <row r="395">
          <cell r="D395" t="str">
            <v>8g51</v>
          </cell>
          <cell r="E395" t="str">
            <v>其他综合收益_所有者投入资本</v>
          </cell>
          <cell r="F395">
            <v>0</v>
          </cell>
          <cell r="G395">
            <v>0</v>
          </cell>
          <cell r="H395">
            <v>0</v>
          </cell>
          <cell r="I395">
            <v>0</v>
          </cell>
          <cell r="J395">
            <v>0</v>
          </cell>
          <cell r="K395">
            <v>0</v>
          </cell>
          <cell r="L395">
            <v>0</v>
          </cell>
          <cell r="M395">
            <v>0</v>
          </cell>
          <cell r="T395" t="str">
            <v>8g51</v>
          </cell>
          <cell r="U395">
            <v>0</v>
          </cell>
        </row>
        <row r="396">
          <cell r="D396" t="str">
            <v>8g53</v>
          </cell>
          <cell r="E396" t="str">
            <v>其他综合收益_其他权益工具持有者投入资本</v>
          </cell>
          <cell r="F396">
            <v>0</v>
          </cell>
          <cell r="G396">
            <v>0</v>
          </cell>
          <cell r="H396">
            <v>0</v>
          </cell>
          <cell r="I396">
            <v>0</v>
          </cell>
          <cell r="J396">
            <v>0</v>
          </cell>
          <cell r="K396">
            <v>0</v>
          </cell>
          <cell r="L396">
            <v>0</v>
          </cell>
          <cell r="M396">
            <v>0</v>
          </cell>
          <cell r="T396" t="str">
            <v>8g53</v>
          </cell>
          <cell r="U396">
            <v>0</v>
          </cell>
        </row>
        <row r="397">
          <cell r="D397" t="str">
            <v>8g52</v>
          </cell>
          <cell r="E397" t="str">
            <v>其他综合收益_股份支付</v>
          </cell>
          <cell r="F397">
            <v>0</v>
          </cell>
          <cell r="G397">
            <v>0</v>
          </cell>
          <cell r="H397">
            <v>0</v>
          </cell>
          <cell r="I397">
            <v>0</v>
          </cell>
          <cell r="J397">
            <v>0</v>
          </cell>
          <cell r="K397">
            <v>0</v>
          </cell>
          <cell r="L397">
            <v>0</v>
          </cell>
          <cell r="M397">
            <v>0</v>
          </cell>
          <cell r="T397" t="str">
            <v>8g52</v>
          </cell>
          <cell r="U397">
            <v>0</v>
          </cell>
        </row>
        <row r="398">
          <cell r="D398" t="str">
            <v>8g56</v>
          </cell>
          <cell r="E398" t="str">
            <v>其他综合收益_所有者其他投入和减少资本</v>
          </cell>
          <cell r="F398">
            <v>0</v>
          </cell>
          <cell r="G398">
            <v>0</v>
          </cell>
          <cell r="H398">
            <v>0</v>
          </cell>
          <cell r="I398">
            <v>0</v>
          </cell>
          <cell r="J398">
            <v>0</v>
          </cell>
          <cell r="K398">
            <v>0</v>
          </cell>
          <cell r="L398">
            <v>0</v>
          </cell>
          <cell r="M398">
            <v>0</v>
          </cell>
          <cell r="T398" t="str">
            <v>8g56</v>
          </cell>
          <cell r="U398">
            <v>0</v>
          </cell>
        </row>
        <row r="399">
          <cell r="D399" t="str">
            <v>8g60</v>
          </cell>
          <cell r="E399" t="str">
            <v>其他综合收益_利润分配影响权益</v>
          </cell>
          <cell r="F399">
            <v>0</v>
          </cell>
          <cell r="G399">
            <v>0</v>
          </cell>
          <cell r="H399">
            <v>0</v>
          </cell>
          <cell r="I399">
            <v>0</v>
          </cell>
          <cell r="J399">
            <v>0</v>
          </cell>
          <cell r="K399">
            <v>0</v>
          </cell>
          <cell r="L399">
            <v>0</v>
          </cell>
          <cell r="M399">
            <v>0</v>
          </cell>
          <cell r="T399" t="str">
            <v>8g60</v>
          </cell>
          <cell r="U399">
            <v>0</v>
          </cell>
        </row>
        <row r="400">
          <cell r="D400" t="str">
            <v>8g61</v>
          </cell>
          <cell r="E400" t="str">
            <v>其他综合收益_提取盈余公积</v>
          </cell>
          <cell r="F400">
            <v>0</v>
          </cell>
          <cell r="G400">
            <v>0</v>
          </cell>
          <cell r="H400">
            <v>0</v>
          </cell>
          <cell r="I400">
            <v>0</v>
          </cell>
          <cell r="J400">
            <v>0</v>
          </cell>
          <cell r="K400">
            <v>0</v>
          </cell>
          <cell r="L400">
            <v>0</v>
          </cell>
          <cell r="M400">
            <v>0</v>
          </cell>
          <cell r="T400" t="str">
            <v>8g61</v>
          </cell>
          <cell r="U400">
            <v>0</v>
          </cell>
        </row>
        <row r="401">
          <cell r="D401" t="str">
            <v>8g62</v>
          </cell>
          <cell r="E401" t="str">
            <v>其他综合收益_提取一般风险准备</v>
          </cell>
          <cell r="F401">
            <v>0</v>
          </cell>
          <cell r="G401">
            <v>0</v>
          </cell>
          <cell r="H401">
            <v>0</v>
          </cell>
          <cell r="I401">
            <v>0</v>
          </cell>
          <cell r="J401">
            <v>0</v>
          </cell>
          <cell r="K401">
            <v>0</v>
          </cell>
          <cell r="L401">
            <v>0</v>
          </cell>
          <cell r="M401">
            <v>0</v>
          </cell>
          <cell r="T401" t="str">
            <v>8g62</v>
          </cell>
          <cell r="U401">
            <v>0</v>
          </cell>
        </row>
        <row r="402">
          <cell r="D402" t="str">
            <v>8g63</v>
          </cell>
          <cell r="E402" t="str">
            <v>其他综合收益_对所有者的分配</v>
          </cell>
          <cell r="F402">
            <v>0</v>
          </cell>
          <cell r="G402">
            <v>0</v>
          </cell>
          <cell r="H402">
            <v>0</v>
          </cell>
          <cell r="I402">
            <v>0</v>
          </cell>
          <cell r="J402">
            <v>0</v>
          </cell>
          <cell r="K402">
            <v>0</v>
          </cell>
          <cell r="L402">
            <v>0</v>
          </cell>
          <cell r="M402">
            <v>0</v>
          </cell>
          <cell r="T402" t="str">
            <v>8g63</v>
          </cell>
          <cell r="U402">
            <v>0</v>
          </cell>
        </row>
        <row r="403">
          <cell r="D403" t="str">
            <v>8g66</v>
          </cell>
          <cell r="E403" t="str">
            <v>其他综合收益_其他利润分配</v>
          </cell>
          <cell r="F403">
            <v>0</v>
          </cell>
          <cell r="G403">
            <v>0</v>
          </cell>
          <cell r="H403">
            <v>0</v>
          </cell>
          <cell r="I403">
            <v>0</v>
          </cell>
          <cell r="J403">
            <v>0</v>
          </cell>
          <cell r="K403">
            <v>0</v>
          </cell>
          <cell r="L403">
            <v>0</v>
          </cell>
          <cell r="M403">
            <v>0</v>
          </cell>
          <cell r="T403" t="str">
            <v>8g66</v>
          </cell>
          <cell r="U403">
            <v>0</v>
          </cell>
        </row>
        <row r="404">
          <cell r="D404" t="str">
            <v>8g70</v>
          </cell>
          <cell r="E404" t="str">
            <v>其他综合收益_所有者权益内部结转</v>
          </cell>
          <cell r="F404">
            <v>0</v>
          </cell>
          <cell r="G404">
            <v>0</v>
          </cell>
          <cell r="H404">
            <v>0</v>
          </cell>
          <cell r="I404">
            <v>0</v>
          </cell>
          <cell r="J404">
            <v>0</v>
          </cell>
          <cell r="K404">
            <v>0</v>
          </cell>
          <cell r="L404">
            <v>0</v>
          </cell>
          <cell r="M404">
            <v>0</v>
          </cell>
          <cell r="T404" t="str">
            <v>8g70</v>
          </cell>
          <cell r="U404">
            <v>0</v>
          </cell>
        </row>
        <row r="405">
          <cell r="D405" t="str">
            <v>8g71</v>
          </cell>
          <cell r="E405" t="str">
            <v>其他综合收益_资本公积转增资本</v>
          </cell>
          <cell r="F405">
            <v>0</v>
          </cell>
          <cell r="G405">
            <v>0</v>
          </cell>
          <cell r="H405">
            <v>0</v>
          </cell>
          <cell r="I405">
            <v>0</v>
          </cell>
          <cell r="J405">
            <v>0</v>
          </cell>
          <cell r="K405">
            <v>0</v>
          </cell>
          <cell r="L405">
            <v>0</v>
          </cell>
          <cell r="M405">
            <v>0</v>
          </cell>
          <cell r="T405" t="str">
            <v>8g71</v>
          </cell>
          <cell r="U405">
            <v>0</v>
          </cell>
        </row>
        <row r="406">
          <cell r="D406" t="str">
            <v>8g72</v>
          </cell>
          <cell r="E406" t="str">
            <v>其他综合收益_盈余公积转增资本</v>
          </cell>
          <cell r="F406">
            <v>0</v>
          </cell>
          <cell r="G406">
            <v>0</v>
          </cell>
          <cell r="H406">
            <v>0</v>
          </cell>
          <cell r="I406">
            <v>0</v>
          </cell>
          <cell r="J406">
            <v>0</v>
          </cell>
          <cell r="K406">
            <v>0</v>
          </cell>
          <cell r="L406">
            <v>0</v>
          </cell>
          <cell r="M406">
            <v>0</v>
          </cell>
          <cell r="T406" t="str">
            <v>8g72</v>
          </cell>
          <cell r="U406">
            <v>0</v>
          </cell>
        </row>
        <row r="407">
          <cell r="D407" t="str">
            <v>8g73</v>
          </cell>
          <cell r="E407" t="str">
            <v>其他综合收益_盈余公积弥补亏损</v>
          </cell>
          <cell r="F407">
            <v>0</v>
          </cell>
          <cell r="G407">
            <v>0</v>
          </cell>
          <cell r="H407">
            <v>0</v>
          </cell>
          <cell r="I407">
            <v>0</v>
          </cell>
          <cell r="J407">
            <v>0</v>
          </cell>
          <cell r="K407">
            <v>0</v>
          </cell>
          <cell r="L407">
            <v>0</v>
          </cell>
          <cell r="M407">
            <v>0</v>
          </cell>
          <cell r="T407" t="str">
            <v>8g73</v>
          </cell>
          <cell r="U407">
            <v>0</v>
          </cell>
        </row>
        <row r="408">
          <cell r="D408" t="str">
            <v>8g75</v>
          </cell>
          <cell r="E408" t="str">
            <v>其他综合收益_结转重新计量设定受益计划净负债或净资产所产生的变动</v>
          </cell>
          <cell r="F408">
            <v>0</v>
          </cell>
          <cell r="G408">
            <v>0</v>
          </cell>
          <cell r="H408">
            <v>0</v>
          </cell>
          <cell r="I408">
            <v>0</v>
          </cell>
          <cell r="J408">
            <v>0</v>
          </cell>
          <cell r="K408">
            <v>0</v>
          </cell>
          <cell r="L408">
            <v>0</v>
          </cell>
          <cell r="M408">
            <v>0</v>
          </cell>
          <cell r="T408" t="str">
            <v>8g75</v>
          </cell>
          <cell r="U408">
            <v>0</v>
          </cell>
        </row>
        <row r="409">
          <cell r="D409" t="str">
            <v>8g76</v>
          </cell>
          <cell r="E409" t="str">
            <v>其他综合收益_所有者权益其他内部结转</v>
          </cell>
          <cell r="F409">
            <v>0</v>
          </cell>
          <cell r="G409">
            <v>0</v>
          </cell>
          <cell r="H409">
            <v>0</v>
          </cell>
          <cell r="I409">
            <v>0</v>
          </cell>
          <cell r="J409">
            <v>0</v>
          </cell>
          <cell r="K409">
            <v>0</v>
          </cell>
          <cell r="L409">
            <v>0</v>
          </cell>
          <cell r="M409">
            <v>0</v>
          </cell>
          <cell r="T409" t="str">
            <v>8g76</v>
          </cell>
          <cell r="U409">
            <v>0</v>
          </cell>
        </row>
        <row r="410">
          <cell r="D410" t="str">
            <v>8g80</v>
          </cell>
          <cell r="E410" t="str">
            <v>其他综合收益_专项储备影响权益</v>
          </cell>
          <cell r="F410">
            <v>0</v>
          </cell>
          <cell r="G410">
            <v>0</v>
          </cell>
          <cell r="H410">
            <v>0</v>
          </cell>
          <cell r="I410">
            <v>0</v>
          </cell>
          <cell r="J410">
            <v>0</v>
          </cell>
          <cell r="K410">
            <v>0</v>
          </cell>
          <cell r="L410">
            <v>0</v>
          </cell>
          <cell r="M410">
            <v>0</v>
          </cell>
          <cell r="T410" t="str">
            <v>8g80</v>
          </cell>
          <cell r="U410">
            <v>0</v>
          </cell>
        </row>
        <row r="411">
          <cell r="D411" t="str">
            <v>8g81</v>
          </cell>
          <cell r="E411" t="str">
            <v>其他综合收益_专项储备本期提取</v>
          </cell>
          <cell r="F411">
            <v>0</v>
          </cell>
          <cell r="G411">
            <v>0</v>
          </cell>
          <cell r="H411">
            <v>0</v>
          </cell>
          <cell r="I411">
            <v>0</v>
          </cell>
          <cell r="J411">
            <v>0</v>
          </cell>
          <cell r="K411">
            <v>0</v>
          </cell>
          <cell r="L411">
            <v>0</v>
          </cell>
          <cell r="M411">
            <v>0</v>
          </cell>
          <cell r="T411" t="str">
            <v>8g81</v>
          </cell>
          <cell r="U411">
            <v>0</v>
          </cell>
        </row>
        <row r="412">
          <cell r="D412" t="str">
            <v>8g82</v>
          </cell>
          <cell r="E412" t="str">
            <v>其他综合收益_专项储备本期使用</v>
          </cell>
          <cell r="F412">
            <v>0</v>
          </cell>
          <cell r="G412">
            <v>0</v>
          </cell>
          <cell r="H412">
            <v>0</v>
          </cell>
          <cell r="I412">
            <v>0</v>
          </cell>
          <cell r="J412">
            <v>0</v>
          </cell>
          <cell r="K412">
            <v>0</v>
          </cell>
          <cell r="L412">
            <v>0</v>
          </cell>
          <cell r="M412">
            <v>0</v>
          </cell>
          <cell r="T412" t="str">
            <v>8g82</v>
          </cell>
          <cell r="U412">
            <v>0</v>
          </cell>
        </row>
        <row r="413">
          <cell r="D413" t="str">
            <v>8g96</v>
          </cell>
          <cell r="E413" t="str">
            <v>其他综合收益_本期其他增减变动</v>
          </cell>
          <cell r="F413">
            <v>0</v>
          </cell>
          <cell r="G413">
            <v>0</v>
          </cell>
          <cell r="H413">
            <v>0</v>
          </cell>
          <cell r="I413">
            <v>0</v>
          </cell>
          <cell r="J413">
            <v>0</v>
          </cell>
          <cell r="K413">
            <v>0</v>
          </cell>
          <cell r="L413">
            <v>0</v>
          </cell>
          <cell r="M413">
            <v>0</v>
          </cell>
          <cell r="T413" t="str">
            <v>8g96</v>
          </cell>
          <cell r="U413">
            <v>0</v>
          </cell>
        </row>
        <row r="414">
          <cell r="D414" t="str">
            <v>8g99</v>
          </cell>
          <cell r="E414" t="str">
            <v>其他综合收益_本期期末余额</v>
          </cell>
          <cell r="F414">
            <v>0</v>
          </cell>
          <cell r="G414">
            <v>0</v>
          </cell>
          <cell r="H414">
            <v>0</v>
          </cell>
          <cell r="I414">
            <v>0</v>
          </cell>
          <cell r="J414">
            <v>0</v>
          </cell>
          <cell r="K414">
            <v>0</v>
          </cell>
          <cell r="L414">
            <v>0</v>
          </cell>
          <cell r="M414">
            <v>0</v>
          </cell>
          <cell r="T414" t="str">
            <v>8g99</v>
          </cell>
          <cell r="U414">
            <v>0</v>
          </cell>
        </row>
        <row r="415">
          <cell r="D415">
            <v>8400</v>
          </cell>
          <cell r="E415" t="str">
            <v>专项储备增减变动</v>
          </cell>
          <cell r="F415">
            <v>0</v>
          </cell>
          <cell r="G415">
            <v>0</v>
          </cell>
          <cell r="H415">
            <v>0</v>
          </cell>
          <cell r="I415">
            <v>0</v>
          </cell>
          <cell r="J415">
            <v>0</v>
          </cell>
          <cell r="K415">
            <v>0</v>
          </cell>
          <cell r="L415">
            <v>0</v>
          </cell>
          <cell r="M415">
            <v>0</v>
          </cell>
          <cell r="T415">
            <v>8400</v>
          </cell>
          <cell r="U415">
            <v>0</v>
          </cell>
        </row>
        <row r="416">
          <cell r="D416">
            <v>8401</v>
          </cell>
          <cell r="E416" t="str">
            <v>专项储备_上年年末余额</v>
          </cell>
          <cell r="F416">
            <v>0</v>
          </cell>
          <cell r="G416">
            <v>0</v>
          </cell>
          <cell r="H416">
            <v>0</v>
          </cell>
          <cell r="I416">
            <v>0</v>
          </cell>
          <cell r="J416">
            <v>0</v>
          </cell>
          <cell r="K416">
            <v>0</v>
          </cell>
          <cell r="L416">
            <v>0</v>
          </cell>
          <cell r="M416">
            <v>0</v>
          </cell>
          <cell r="T416">
            <v>8401</v>
          </cell>
          <cell r="U416">
            <v>0</v>
          </cell>
        </row>
        <row r="417">
          <cell r="D417">
            <v>8402</v>
          </cell>
          <cell r="E417" t="str">
            <v>专项储备_会计政策变更调整上年年末余额</v>
          </cell>
          <cell r="F417">
            <v>0</v>
          </cell>
          <cell r="G417">
            <v>0</v>
          </cell>
          <cell r="H417">
            <v>0</v>
          </cell>
          <cell r="I417">
            <v>0</v>
          </cell>
          <cell r="J417">
            <v>0</v>
          </cell>
          <cell r="K417">
            <v>0</v>
          </cell>
          <cell r="L417">
            <v>0</v>
          </cell>
          <cell r="M417">
            <v>0</v>
          </cell>
          <cell r="T417">
            <v>8402</v>
          </cell>
          <cell r="U417">
            <v>0</v>
          </cell>
        </row>
        <row r="418">
          <cell r="D418">
            <v>8403</v>
          </cell>
          <cell r="E418" t="str">
            <v>专项储备_前期差错更正调整上年年末余额</v>
          </cell>
          <cell r="F418">
            <v>0</v>
          </cell>
          <cell r="G418">
            <v>0</v>
          </cell>
          <cell r="H418">
            <v>0</v>
          </cell>
          <cell r="I418">
            <v>0</v>
          </cell>
          <cell r="J418">
            <v>0</v>
          </cell>
          <cell r="K418">
            <v>0</v>
          </cell>
          <cell r="L418">
            <v>0</v>
          </cell>
          <cell r="M418">
            <v>0</v>
          </cell>
          <cell r="T418">
            <v>8403</v>
          </cell>
          <cell r="U418">
            <v>0</v>
          </cell>
        </row>
        <row r="419">
          <cell r="D419">
            <v>8404</v>
          </cell>
          <cell r="E419" t="str">
            <v>专项储备_同一控制下企业合并调整上年年末余额</v>
          </cell>
          <cell r="F419">
            <v>0</v>
          </cell>
          <cell r="G419">
            <v>0</v>
          </cell>
          <cell r="H419">
            <v>0</v>
          </cell>
          <cell r="I419">
            <v>0</v>
          </cell>
          <cell r="J419">
            <v>0</v>
          </cell>
          <cell r="K419">
            <v>0</v>
          </cell>
          <cell r="L419">
            <v>0</v>
          </cell>
          <cell r="M419">
            <v>0</v>
          </cell>
          <cell r="T419">
            <v>8404</v>
          </cell>
          <cell r="U419">
            <v>0</v>
          </cell>
        </row>
        <row r="420">
          <cell r="D420">
            <v>8409</v>
          </cell>
          <cell r="E420" t="str">
            <v>专项储备_其他原因调整上年年末余额</v>
          </cell>
          <cell r="F420">
            <v>0</v>
          </cell>
          <cell r="G420">
            <v>0</v>
          </cell>
          <cell r="H420">
            <v>0</v>
          </cell>
          <cell r="I420">
            <v>0</v>
          </cell>
          <cell r="J420">
            <v>0</v>
          </cell>
          <cell r="K420">
            <v>0</v>
          </cell>
          <cell r="L420">
            <v>0</v>
          </cell>
          <cell r="M420">
            <v>0</v>
          </cell>
          <cell r="T420">
            <v>8409</v>
          </cell>
          <cell r="U420">
            <v>0</v>
          </cell>
        </row>
        <row r="421">
          <cell r="D421">
            <v>8410</v>
          </cell>
          <cell r="E421" t="str">
            <v>专项储备_本年年初余额</v>
          </cell>
          <cell r="F421">
            <v>0</v>
          </cell>
          <cell r="G421">
            <v>0</v>
          </cell>
          <cell r="H421">
            <v>0</v>
          </cell>
          <cell r="I421">
            <v>0</v>
          </cell>
          <cell r="J421">
            <v>0</v>
          </cell>
          <cell r="K421">
            <v>0</v>
          </cell>
          <cell r="L421">
            <v>0</v>
          </cell>
          <cell r="M421">
            <v>0</v>
          </cell>
          <cell r="T421">
            <v>8410</v>
          </cell>
          <cell r="U421">
            <v>0</v>
          </cell>
        </row>
        <row r="422">
          <cell r="D422">
            <v>8490</v>
          </cell>
          <cell r="E422" t="str">
            <v>专项储备_本期增减变动金额</v>
          </cell>
          <cell r="F422">
            <v>0</v>
          </cell>
          <cell r="G422">
            <v>0</v>
          </cell>
          <cell r="H422">
            <v>0</v>
          </cell>
          <cell r="I422">
            <v>0</v>
          </cell>
          <cell r="J422">
            <v>0</v>
          </cell>
          <cell r="K422">
            <v>0</v>
          </cell>
          <cell r="L422">
            <v>0</v>
          </cell>
          <cell r="M422">
            <v>0</v>
          </cell>
          <cell r="T422">
            <v>8490</v>
          </cell>
          <cell r="U422">
            <v>0</v>
          </cell>
        </row>
        <row r="423">
          <cell r="D423">
            <v>8421</v>
          </cell>
          <cell r="E423" t="str">
            <v>专项储备_净利润增加权益</v>
          </cell>
          <cell r="F423">
            <v>0</v>
          </cell>
          <cell r="G423">
            <v>0</v>
          </cell>
          <cell r="H423">
            <v>0</v>
          </cell>
          <cell r="I423">
            <v>0</v>
          </cell>
          <cell r="J423">
            <v>0</v>
          </cell>
          <cell r="K423">
            <v>0</v>
          </cell>
          <cell r="L423">
            <v>0</v>
          </cell>
          <cell r="M423">
            <v>0</v>
          </cell>
          <cell r="T423">
            <v>8421</v>
          </cell>
          <cell r="U423">
            <v>0</v>
          </cell>
        </row>
        <row r="424">
          <cell r="D424">
            <v>8430</v>
          </cell>
          <cell r="E424" t="str">
            <v>专项储备_其他综合收益增加权益</v>
          </cell>
          <cell r="F424">
            <v>0</v>
          </cell>
          <cell r="G424">
            <v>0</v>
          </cell>
          <cell r="H424">
            <v>0</v>
          </cell>
          <cell r="I424">
            <v>0</v>
          </cell>
          <cell r="J424">
            <v>0</v>
          </cell>
          <cell r="K424">
            <v>0</v>
          </cell>
          <cell r="L424">
            <v>0</v>
          </cell>
          <cell r="M424">
            <v>0</v>
          </cell>
          <cell r="T424">
            <v>8430</v>
          </cell>
          <cell r="U424">
            <v>0</v>
          </cell>
        </row>
        <row r="425">
          <cell r="D425">
            <v>8440</v>
          </cell>
          <cell r="E425" t="str">
            <v>专项储备_综合收益总额增加权益</v>
          </cell>
          <cell r="F425">
            <v>0</v>
          </cell>
          <cell r="G425">
            <v>0</v>
          </cell>
          <cell r="H425">
            <v>0</v>
          </cell>
          <cell r="I425">
            <v>0</v>
          </cell>
          <cell r="J425">
            <v>0</v>
          </cell>
          <cell r="K425">
            <v>0</v>
          </cell>
          <cell r="L425">
            <v>0</v>
          </cell>
          <cell r="M425">
            <v>0</v>
          </cell>
          <cell r="T425">
            <v>8440</v>
          </cell>
          <cell r="U425">
            <v>0</v>
          </cell>
        </row>
        <row r="426">
          <cell r="D426">
            <v>8450</v>
          </cell>
          <cell r="E426" t="str">
            <v>专项储备_所有者投入和减少资本影响权益</v>
          </cell>
          <cell r="F426">
            <v>0</v>
          </cell>
          <cell r="G426">
            <v>0</v>
          </cell>
          <cell r="H426">
            <v>0</v>
          </cell>
          <cell r="I426">
            <v>0</v>
          </cell>
          <cell r="J426">
            <v>0</v>
          </cell>
          <cell r="K426">
            <v>0</v>
          </cell>
          <cell r="L426">
            <v>0</v>
          </cell>
          <cell r="M426">
            <v>0</v>
          </cell>
          <cell r="T426">
            <v>8450</v>
          </cell>
          <cell r="U426">
            <v>0</v>
          </cell>
        </row>
        <row r="427">
          <cell r="D427">
            <v>8451</v>
          </cell>
          <cell r="E427" t="str">
            <v>专项储备_所有者投入资本增加权益</v>
          </cell>
          <cell r="F427">
            <v>0</v>
          </cell>
          <cell r="G427">
            <v>0</v>
          </cell>
          <cell r="H427">
            <v>0</v>
          </cell>
          <cell r="I427">
            <v>0</v>
          </cell>
          <cell r="J427">
            <v>0</v>
          </cell>
          <cell r="K427">
            <v>0</v>
          </cell>
          <cell r="L427">
            <v>0</v>
          </cell>
          <cell r="M427">
            <v>0</v>
          </cell>
          <cell r="T427">
            <v>8451</v>
          </cell>
          <cell r="U427">
            <v>0</v>
          </cell>
        </row>
        <row r="428">
          <cell r="D428">
            <v>8453</v>
          </cell>
          <cell r="E428" t="str">
            <v>专项储备_其他权益工具持有者投入资本</v>
          </cell>
          <cell r="F428">
            <v>0</v>
          </cell>
          <cell r="G428">
            <v>0</v>
          </cell>
          <cell r="H428">
            <v>0</v>
          </cell>
          <cell r="I428">
            <v>0</v>
          </cell>
          <cell r="J428">
            <v>0</v>
          </cell>
          <cell r="K428">
            <v>0</v>
          </cell>
          <cell r="L428">
            <v>0</v>
          </cell>
          <cell r="M428">
            <v>0</v>
          </cell>
          <cell r="T428">
            <v>8453</v>
          </cell>
          <cell r="U428">
            <v>0</v>
          </cell>
        </row>
        <row r="429">
          <cell r="D429">
            <v>8452</v>
          </cell>
          <cell r="E429" t="str">
            <v>专项储备_股份支付计入所有者权益的金额</v>
          </cell>
          <cell r="F429">
            <v>0</v>
          </cell>
          <cell r="G429">
            <v>0</v>
          </cell>
          <cell r="H429">
            <v>0</v>
          </cell>
          <cell r="I429">
            <v>0</v>
          </cell>
          <cell r="J429">
            <v>0</v>
          </cell>
          <cell r="K429">
            <v>0</v>
          </cell>
          <cell r="L429">
            <v>0</v>
          </cell>
          <cell r="M429">
            <v>0</v>
          </cell>
          <cell r="T429">
            <v>8452</v>
          </cell>
          <cell r="U429">
            <v>0</v>
          </cell>
        </row>
        <row r="430">
          <cell r="D430">
            <v>8456</v>
          </cell>
          <cell r="E430" t="str">
            <v>专项储备_所有者其他投入和减少资本</v>
          </cell>
          <cell r="F430">
            <v>0</v>
          </cell>
          <cell r="G430">
            <v>0</v>
          </cell>
          <cell r="H430">
            <v>0</v>
          </cell>
          <cell r="I430">
            <v>0</v>
          </cell>
          <cell r="J430">
            <v>0</v>
          </cell>
          <cell r="K430">
            <v>0</v>
          </cell>
          <cell r="L430">
            <v>0</v>
          </cell>
          <cell r="M430">
            <v>0</v>
          </cell>
          <cell r="T430">
            <v>8456</v>
          </cell>
          <cell r="U430">
            <v>0</v>
          </cell>
        </row>
        <row r="431">
          <cell r="D431">
            <v>8460</v>
          </cell>
          <cell r="E431" t="str">
            <v>专项储备_利润分配影响权益</v>
          </cell>
          <cell r="F431">
            <v>0</v>
          </cell>
          <cell r="G431">
            <v>0</v>
          </cell>
          <cell r="H431">
            <v>0</v>
          </cell>
          <cell r="I431">
            <v>0</v>
          </cell>
          <cell r="J431">
            <v>0</v>
          </cell>
          <cell r="K431">
            <v>0</v>
          </cell>
          <cell r="L431">
            <v>0</v>
          </cell>
          <cell r="M431">
            <v>0</v>
          </cell>
          <cell r="T431">
            <v>8460</v>
          </cell>
          <cell r="U431">
            <v>0</v>
          </cell>
        </row>
        <row r="432">
          <cell r="D432">
            <v>8461</v>
          </cell>
          <cell r="E432" t="str">
            <v>专项储备_提取盈余公积影响权益</v>
          </cell>
          <cell r="F432">
            <v>0</v>
          </cell>
          <cell r="G432">
            <v>0</v>
          </cell>
          <cell r="H432">
            <v>0</v>
          </cell>
          <cell r="I432">
            <v>0</v>
          </cell>
          <cell r="J432">
            <v>0</v>
          </cell>
          <cell r="K432">
            <v>0</v>
          </cell>
          <cell r="L432">
            <v>0</v>
          </cell>
          <cell r="M432">
            <v>0</v>
          </cell>
          <cell r="T432">
            <v>8461</v>
          </cell>
          <cell r="U432">
            <v>0</v>
          </cell>
        </row>
        <row r="433">
          <cell r="D433">
            <v>8462</v>
          </cell>
          <cell r="E433" t="str">
            <v>专项储备_提取一般风险准备影响权益</v>
          </cell>
          <cell r="F433">
            <v>0</v>
          </cell>
          <cell r="G433">
            <v>0</v>
          </cell>
          <cell r="H433">
            <v>0</v>
          </cell>
          <cell r="I433">
            <v>0</v>
          </cell>
          <cell r="J433">
            <v>0</v>
          </cell>
          <cell r="K433">
            <v>0</v>
          </cell>
          <cell r="L433">
            <v>0</v>
          </cell>
          <cell r="M433">
            <v>0</v>
          </cell>
          <cell r="T433">
            <v>8462</v>
          </cell>
          <cell r="U433">
            <v>0</v>
          </cell>
        </row>
        <row r="434">
          <cell r="D434">
            <v>8463</v>
          </cell>
          <cell r="E434" t="str">
            <v>专项储备_对所有者的分配影响权益</v>
          </cell>
          <cell r="F434">
            <v>0</v>
          </cell>
          <cell r="G434">
            <v>0</v>
          </cell>
          <cell r="H434">
            <v>0</v>
          </cell>
          <cell r="I434">
            <v>0</v>
          </cell>
          <cell r="J434">
            <v>0</v>
          </cell>
          <cell r="K434">
            <v>0</v>
          </cell>
          <cell r="L434">
            <v>0</v>
          </cell>
          <cell r="M434">
            <v>0</v>
          </cell>
          <cell r="T434">
            <v>8463</v>
          </cell>
          <cell r="U434">
            <v>0</v>
          </cell>
        </row>
        <row r="435">
          <cell r="D435">
            <v>8466</v>
          </cell>
          <cell r="E435" t="str">
            <v>专项储备_其他利润分配影响权益</v>
          </cell>
          <cell r="F435">
            <v>0</v>
          </cell>
          <cell r="G435">
            <v>0</v>
          </cell>
          <cell r="H435">
            <v>0</v>
          </cell>
          <cell r="I435">
            <v>0</v>
          </cell>
          <cell r="J435">
            <v>0</v>
          </cell>
          <cell r="K435">
            <v>0</v>
          </cell>
          <cell r="L435">
            <v>0</v>
          </cell>
          <cell r="M435">
            <v>0</v>
          </cell>
          <cell r="T435">
            <v>8466</v>
          </cell>
          <cell r="U435">
            <v>0</v>
          </cell>
        </row>
        <row r="436">
          <cell r="D436">
            <v>8470</v>
          </cell>
          <cell r="E436" t="str">
            <v>专项储备_所有者权益内部结转</v>
          </cell>
          <cell r="F436">
            <v>0</v>
          </cell>
          <cell r="G436">
            <v>0</v>
          </cell>
          <cell r="H436">
            <v>0</v>
          </cell>
          <cell r="I436">
            <v>0</v>
          </cell>
          <cell r="J436">
            <v>0</v>
          </cell>
          <cell r="K436">
            <v>0</v>
          </cell>
          <cell r="L436">
            <v>0</v>
          </cell>
          <cell r="M436">
            <v>0</v>
          </cell>
          <cell r="T436">
            <v>8470</v>
          </cell>
          <cell r="U436">
            <v>0</v>
          </cell>
        </row>
        <row r="437">
          <cell r="D437">
            <v>8471</v>
          </cell>
          <cell r="E437" t="str">
            <v>专项储备_资本公积转增资本影响权益</v>
          </cell>
          <cell r="F437">
            <v>0</v>
          </cell>
          <cell r="G437">
            <v>0</v>
          </cell>
          <cell r="H437">
            <v>0</v>
          </cell>
          <cell r="I437">
            <v>0</v>
          </cell>
          <cell r="J437">
            <v>0</v>
          </cell>
          <cell r="K437">
            <v>0</v>
          </cell>
          <cell r="L437">
            <v>0</v>
          </cell>
          <cell r="M437">
            <v>0</v>
          </cell>
          <cell r="T437">
            <v>8471</v>
          </cell>
          <cell r="U437">
            <v>0</v>
          </cell>
        </row>
        <row r="438">
          <cell r="D438">
            <v>8472</v>
          </cell>
          <cell r="E438" t="str">
            <v>专项储备_盈余公积转增资本影响权益</v>
          </cell>
          <cell r="F438">
            <v>0</v>
          </cell>
          <cell r="G438">
            <v>0</v>
          </cell>
          <cell r="H438">
            <v>0</v>
          </cell>
          <cell r="I438">
            <v>0</v>
          </cell>
          <cell r="J438">
            <v>0</v>
          </cell>
          <cell r="K438">
            <v>0</v>
          </cell>
          <cell r="L438">
            <v>0</v>
          </cell>
          <cell r="M438">
            <v>0</v>
          </cell>
          <cell r="T438">
            <v>8472</v>
          </cell>
          <cell r="U438">
            <v>0</v>
          </cell>
        </row>
        <row r="439">
          <cell r="D439">
            <v>8473</v>
          </cell>
          <cell r="E439" t="str">
            <v>专项储备_盈余公积弥补亏损影响权益</v>
          </cell>
          <cell r="F439">
            <v>0</v>
          </cell>
          <cell r="G439">
            <v>0</v>
          </cell>
          <cell r="H439">
            <v>0</v>
          </cell>
          <cell r="I439">
            <v>0</v>
          </cell>
          <cell r="J439">
            <v>0</v>
          </cell>
          <cell r="K439">
            <v>0</v>
          </cell>
          <cell r="L439">
            <v>0</v>
          </cell>
          <cell r="M439">
            <v>0</v>
          </cell>
          <cell r="T439">
            <v>8473</v>
          </cell>
          <cell r="U439">
            <v>0</v>
          </cell>
        </row>
        <row r="440">
          <cell r="D440">
            <v>8475</v>
          </cell>
          <cell r="E440" t="str">
            <v>专项储备_结转重新计量设定受益计划净负债或净资产所产生的变动</v>
          </cell>
          <cell r="F440">
            <v>0</v>
          </cell>
          <cell r="G440">
            <v>0</v>
          </cell>
          <cell r="H440">
            <v>0</v>
          </cell>
          <cell r="I440">
            <v>0</v>
          </cell>
          <cell r="J440">
            <v>0</v>
          </cell>
          <cell r="K440">
            <v>0</v>
          </cell>
          <cell r="L440">
            <v>0</v>
          </cell>
          <cell r="M440">
            <v>0</v>
          </cell>
          <cell r="T440">
            <v>8475</v>
          </cell>
          <cell r="U440">
            <v>0</v>
          </cell>
        </row>
        <row r="441">
          <cell r="D441">
            <v>8476</v>
          </cell>
          <cell r="E441" t="str">
            <v>专项储备_所有者权益其他内部结转</v>
          </cell>
          <cell r="F441">
            <v>0</v>
          </cell>
          <cell r="G441">
            <v>0</v>
          </cell>
          <cell r="H441">
            <v>0</v>
          </cell>
          <cell r="I441">
            <v>0</v>
          </cell>
          <cell r="J441">
            <v>0</v>
          </cell>
          <cell r="K441">
            <v>0</v>
          </cell>
          <cell r="L441">
            <v>0</v>
          </cell>
          <cell r="M441">
            <v>0</v>
          </cell>
          <cell r="T441">
            <v>8476</v>
          </cell>
          <cell r="U441">
            <v>0</v>
          </cell>
        </row>
        <row r="442">
          <cell r="D442">
            <v>8480</v>
          </cell>
          <cell r="E442" t="str">
            <v>专项储备_专项储备影响权益</v>
          </cell>
          <cell r="F442">
            <v>0</v>
          </cell>
          <cell r="G442">
            <v>0</v>
          </cell>
          <cell r="H442">
            <v>0</v>
          </cell>
          <cell r="I442">
            <v>0</v>
          </cell>
          <cell r="J442">
            <v>0</v>
          </cell>
          <cell r="K442">
            <v>0</v>
          </cell>
          <cell r="L442">
            <v>0</v>
          </cell>
          <cell r="M442">
            <v>0</v>
          </cell>
          <cell r="T442">
            <v>8480</v>
          </cell>
          <cell r="U442">
            <v>0</v>
          </cell>
        </row>
        <row r="443">
          <cell r="D443">
            <v>8481</v>
          </cell>
          <cell r="E443" t="str">
            <v>专项储备_本期提取</v>
          </cell>
          <cell r="F443">
            <v>0</v>
          </cell>
          <cell r="G443">
            <v>0</v>
          </cell>
          <cell r="H443">
            <v>0</v>
          </cell>
          <cell r="I443">
            <v>0</v>
          </cell>
          <cell r="J443">
            <v>0</v>
          </cell>
          <cell r="K443">
            <v>0</v>
          </cell>
          <cell r="L443">
            <v>0</v>
          </cell>
          <cell r="M443">
            <v>0</v>
          </cell>
          <cell r="T443">
            <v>8481</v>
          </cell>
          <cell r="U443">
            <v>0</v>
          </cell>
        </row>
        <row r="444">
          <cell r="D444">
            <v>8482</v>
          </cell>
          <cell r="E444" t="str">
            <v>专项储备_本期使用</v>
          </cell>
          <cell r="F444">
            <v>0</v>
          </cell>
          <cell r="G444">
            <v>0</v>
          </cell>
          <cell r="H444">
            <v>0</v>
          </cell>
          <cell r="I444">
            <v>0</v>
          </cell>
          <cell r="J444">
            <v>0</v>
          </cell>
          <cell r="K444">
            <v>0</v>
          </cell>
          <cell r="L444">
            <v>0</v>
          </cell>
          <cell r="M444">
            <v>0</v>
          </cell>
          <cell r="T444">
            <v>8482</v>
          </cell>
          <cell r="U444">
            <v>0</v>
          </cell>
        </row>
        <row r="445">
          <cell r="D445">
            <v>8496</v>
          </cell>
          <cell r="E445" t="str">
            <v>专项储备_本期其他增减变动</v>
          </cell>
          <cell r="F445">
            <v>0</v>
          </cell>
          <cell r="G445">
            <v>0</v>
          </cell>
          <cell r="H445">
            <v>0</v>
          </cell>
          <cell r="I445">
            <v>0</v>
          </cell>
          <cell r="J445">
            <v>0</v>
          </cell>
          <cell r="K445">
            <v>0</v>
          </cell>
          <cell r="L445">
            <v>0</v>
          </cell>
          <cell r="M445">
            <v>0</v>
          </cell>
          <cell r="T445">
            <v>8496</v>
          </cell>
          <cell r="U445">
            <v>0</v>
          </cell>
        </row>
        <row r="446">
          <cell r="D446">
            <v>8499</v>
          </cell>
          <cell r="E446" t="str">
            <v>专项储备_本期期末余额</v>
          </cell>
          <cell r="F446">
            <v>0</v>
          </cell>
          <cell r="G446">
            <v>0</v>
          </cell>
          <cell r="H446">
            <v>0</v>
          </cell>
          <cell r="I446">
            <v>0</v>
          </cell>
          <cell r="J446">
            <v>0</v>
          </cell>
          <cell r="K446">
            <v>0</v>
          </cell>
          <cell r="L446">
            <v>0</v>
          </cell>
          <cell r="M446">
            <v>0</v>
          </cell>
          <cell r="T446">
            <v>8499</v>
          </cell>
          <cell r="U446">
            <v>0</v>
          </cell>
        </row>
        <row r="447">
          <cell r="D447">
            <v>8500</v>
          </cell>
          <cell r="E447" t="str">
            <v>盈余公积增减变动</v>
          </cell>
          <cell r="F447">
            <v>0</v>
          </cell>
          <cell r="G447">
            <v>0</v>
          </cell>
          <cell r="H447">
            <v>0</v>
          </cell>
          <cell r="I447">
            <v>0</v>
          </cell>
          <cell r="J447">
            <v>0</v>
          </cell>
          <cell r="K447">
            <v>0</v>
          </cell>
          <cell r="L447">
            <v>0</v>
          </cell>
          <cell r="M447">
            <v>0</v>
          </cell>
          <cell r="T447">
            <v>8500</v>
          </cell>
          <cell r="U447">
            <v>0</v>
          </cell>
        </row>
        <row r="448">
          <cell r="D448">
            <v>8501</v>
          </cell>
          <cell r="E448" t="str">
            <v>盈余公积_上年年末余额</v>
          </cell>
          <cell r="F448">
            <v>0</v>
          </cell>
          <cell r="G448">
            <v>0</v>
          </cell>
          <cell r="H448">
            <v>0</v>
          </cell>
          <cell r="I448">
            <v>0</v>
          </cell>
          <cell r="J448">
            <v>0</v>
          </cell>
          <cell r="K448">
            <v>0</v>
          </cell>
          <cell r="L448">
            <v>0</v>
          </cell>
          <cell r="M448">
            <v>0</v>
          </cell>
          <cell r="T448">
            <v>8501</v>
          </cell>
          <cell r="U448">
            <v>0</v>
          </cell>
        </row>
        <row r="449">
          <cell r="D449">
            <v>8502</v>
          </cell>
          <cell r="E449" t="str">
            <v>盈余公积_会计政策变更调整上年年末余额</v>
          </cell>
          <cell r="F449">
            <v>0</v>
          </cell>
          <cell r="G449">
            <v>0</v>
          </cell>
          <cell r="H449">
            <v>0</v>
          </cell>
          <cell r="I449">
            <v>0</v>
          </cell>
          <cell r="J449">
            <v>0</v>
          </cell>
          <cell r="K449">
            <v>0</v>
          </cell>
          <cell r="L449">
            <v>0</v>
          </cell>
          <cell r="M449">
            <v>0</v>
          </cell>
          <cell r="T449">
            <v>8502</v>
          </cell>
          <cell r="U449">
            <v>0</v>
          </cell>
        </row>
        <row r="450">
          <cell r="D450">
            <v>8503</v>
          </cell>
          <cell r="E450" t="str">
            <v>盈余公积_前期差错更正调整上年年末余额</v>
          </cell>
          <cell r="F450">
            <v>0</v>
          </cell>
          <cell r="G450">
            <v>0</v>
          </cell>
          <cell r="H450">
            <v>0</v>
          </cell>
          <cell r="I450">
            <v>0</v>
          </cell>
          <cell r="J450">
            <v>0</v>
          </cell>
          <cell r="K450">
            <v>0</v>
          </cell>
          <cell r="L450">
            <v>0</v>
          </cell>
          <cell r="M450">
            <v>0</v>
          </cell>
          <cell r="T450">
            <v>8503</v>
          </cell>
          <cell r="U450">
            <v>0</v>
          </cell>
        </row>
        <row r="451">
          <cell r="D451">
            <v>8504</v>
          </cell>
          <cell r="E451" t="str">
            <v>盈余公积_同一控制下企业合并调整上年年末余额</v>
          </cell>
          <cell r="F451">
            <v>0</v>
          </cell>
          <cell r="G451">
            <v>0</v>
          </cell>
          <cell r="H451">
            <v>0</v>
          </cell>
          <cell r="I451">
            <v>0</v>
          </cell>
          <cell r="J451">
            <v>0</v>
          </cell>
          <cell r="K451">
            <v>0</v>
          </cell>
          <cell r="L451">
            <v>0</v>
          </cell>
          <cell r="M451">
            <v>0</v>
          </cell>
          <cell r="T451">
            <v>8504</v>
          </cell>
          <cell r="U451">
            <v>0</v>
          </cell>
        </row>
        <row r="452">
          <cell r="D452">
            <v>8509</v>
          </cell>
          <cell r="E452" t="str">
            <v>盈余公积_其他原因调整上年年末余额</v>
          </cell>
          <cell r="F452">
            <v>0</v>
          </cell>
          <cell r="G452">
            <v>0</v>
          </cell>
          <cell r="H452">
            <v>0</v>
          </cell>
          <cell r="I452">
            <v>0</v>
          </cell>
          <cell r="J452">
            <v>0</v>
          </cell>
          <cell r="K452">
            <v>0</v>
          </cell>
          <cell r="L452">
            <v>0</v>
          </cell>
          <cell r="M452">
            <v>0</v>
          </cell>
          <cell r="T452">
            <v>8509</v>
          </cell>
          <cell r="U452">
            <v>0</v>
          </cell>
        </row>
        <row r="453">
          <cell r="D453">
            <v>8510</v>
          </cell>
          <cell r="E453" t="str">
            <v>盈余公积_本年年初余额</v>
          </cell>
          <cell r="F453">
            <v>0</v>
          </cell>
          <cell r="G453">
            <v>0</v>
          </cell>
          <cell r="H453">
            <v>0</v>
          </cell>
          <cell r="I453">
            <v>0</v>
          </cell>
          <cell r="J453">
            <v>0</v>
          </cell>
          <cell r="K453">
            <v>0</v>
          </cell>
          <cell r="L453">
            <v>0</v>
          </cell>
          <cell r="M453">
            <v>0</v>
          </cell>
          <cell r="T453">
            <v>8510</v>
          </cell>
          <cell r="U453">
            <v>0</v>
          </cell>
        </row>
        <row r="454">
          <cell r="D454">
            <v>8590</v>
          </cell>
          <cell r="E454" t="str">
            <v>盈余公积_本期增减变动金额</v>
          </cell>
          <cell r="F454">
            <v>0</v>
          </cell>
          <cell r="G454">
            <v>0</v>
          </cell>
          <cell r="H454">
            <v>0</v>
          </cell>
          <cell r="I454">
            <v>0</v>
          </cell>
          <cell r="J454">
            <v>0</v>
          </cell>
          <cell r="K454">
            <v>0</v>
          </cell>
          <cell r="L454">
            <v>0</v>
          </cell>
          <cell r="M454">
            <v>0</v>
          </cell>
          <cell r="T454">
            <v>8590</v>
          </cell>
          <cell r="U454">
            <v>0</v>
          </cell>
        </row>
        <row r="455">
          <cell r="D455">
            <v>8521</v>
          </cell>
          <cell r="E455" t="str">
            <v>盈余公积_净利润增加权益</v>
          </cell>
          <cell r="F455">
            <v>0</v>
          </cell>
          <cell r="G455">
            <v>0</v>
          </cell>
          <cell r="H455">
            <v>0</v>
          </cell>
          <cell r="I455">
            <v>0</v>
          </cell>
          <cell r="J455">
            <v>0</v>
          </cell>
          <cell r="K455">
            <v>0</v>
          </cell>
          <cell r="L455">
            <v>0</v>
          </cell>
          <cell r="M455">
            <v>0</v>
          </cell>
          <cell r="T455">
            <v>8521</v>
          </cell>
          <cell r="U455">
            <v>0</v>
          </cell>
        </row>
        <row r="456">
          <cell r="D456">
            <v>8530</v>
          </cell>
          <cell r="E456" t="str">
            <v>盈余公积_其他综合收益增加权益</v>
          </cell>
          <cell r="F456">
            <v>0</v>
          </cell>
          <cell r="G456">
            <v>0</v>
          </cell>
          <cell r="H456">
            <v>0</v>
          </cell>
          <cell r="I456">
            <v>0</v>
          </cell>
          <cell r="J456">
            <v>0</v>
          </cell>
          <cell r="K456">
            <v>0</v>
          </cell>
          <cell r="L456">
            <v>0</v>
          </cell>
          <cell r="M456">
            <v>0</v>
          </cell>
          <cell r="T456">
            <v>8530</v>
          </cell>
          <cell r="U456">
            <v>0</v>
          </cell>
        </row>
        <row r="457">
          <cell r="D457">
            <v>8540</v>
          </cell>
          <cell r="E457" t="str">
            <v>盈余公积_综合收益总额增加权益</v>
          </cell>
          <cell r="F457">
            <v>0</v>
          </cell>
          <cell r="G457">
            <v>0</v>
          </cell>
          <cell r="H457">
            <v>0</v>
          </cell>
          <cell r="I457">
            <v>0</v>
          </cell>
          <cell r="J457">
            <v>0</v>
          </cell>
          <cell r="K457">
            <v>0</v>
          </cell>
          <cell r="L457">
            <v>0</v>
          </cell>
          <cell r="M457">
            <v>0</v>
          </cell>
          <cell r="T457">
            <v>8540</v>
          </cell>
          <cell r="U457">
            <v>0</v>
          </cell>
        </row>
        <row r="458">
          <cell r="D458">
            <v>8550</v>
          </cell>
          <cell r="E458" t="str">
            <v>盈余公积_所有者投入和减少资本影响权益</v>
          </cell>
          <cell r="F458">
            <v>0</v>
          </cell>
          <cell r="G458">
            <v>0</v>
          </cell>
          <cell r="H458">
            <v>0</v>
          </cell>
          <cell r="I458">
            <v>0</v>
          </cell>
          <cell r="J458">
            <v>0</v>
          </cell>
          <cell r="K458">
            <v>0</v>
          </cell>
          <cell r="L458">
            <v>0</v>
          </cell>
          <cell r="M458">
            <v>0</v>
          </cell>
          <cell r="T458">
            <v>8550</v>
          </cell>
          <cell r="U458">
            <v>0</v>
          </cell>
        </row>
        <row r="459">
          <cell r="D459">
            <v>8551</v>
          </cell>
          <cell r="E459" t="str">
            <v>盈余公积_所有者投入资本增加权益</v>
          </cell>
          <cell r="F459">
            <v>0</v>
          </cell>
          <cell r="G459">
            <v>0</v>
          </cell>
          <cell r="H459">
            <v>0</v>
          </cell>
          <cell r="I459">
            <v>0</v>
          </cell>
          <cell r="J459">
            <v>0</v>
          </cell>
          <cell r="K459">
            <v>0</v>
          </cell>
          <cell r="L459">
            <v>0</v>
          </cell>
          <cell r="M459">
            <v>0</v>
          </cell>
          <cell r="T459">
            <v>8551</v>
          </cell>
          <cell r="U459">
            <v>0</v>
          </cell>
        </row>
        <row r="460">
          <cell r="D460">
            <v>8553</v>
          </cell>
          <cell r="E460" t="str">
            <v>盈余公积_其他权益工具持有者投入资本</v>
          </cell>
          <cell r="F460">
            <v>0</v>
          </cell>
          <cell r="G460">
            <v>0</v>
          </cell>
          <cell r="H460">
            <v>0</v>
          </cell>
          <cell r="I460">
            <v>0</v>
          </cell>
          <cell r="J460">
            <v>0</v>
          </cell>
          <cell r="K460">
            <v>0</v>
          </cell>
          <cell r="L460">
            <v>0</v>
          </cell>
          <cell r="M460">
            <v>0</v>
          </cell>
          <cell r="T460">
            <v>8553</v>
          </cell>
          <cell r="U460">
            <v>0</v>
          </cell>
        </row>
        <row r="461">
          <cell r="D461">
            <v>8552</v>
          </cell>
          <cell r="E461" t="str">
            <v>盈余公积_股份支付计入所有者权益的金额</v>
          </cell>
          <cell r="F461">
            <v>0</v>
          </cell>
          <cell r="G461">
            <v>0</v>
          </cell>
          <cell r="H461">
            <v>0</v>
          </cell>
          <cell r="I461">
            <v>0</v>
          </cell>
          <cell r="J461">
            <v>0</v>
          </cell>
          <cell r="K461">
            <v>0</v>
          </cell>
          <cell r="L461">
            <v>0</v>
          </cell>
          <cell r="M461">
            <v>0</v>
          </cell>
          <cell r="T461">
            <v>8552</v>
          </cell>
          <cell r="U461">
            <v>0</v>
          </cell>
        </row>
        <row r="462">
          <cell r="D462">
            <v>8556</v>
          </cell>
          <cell r="E462" t="str">
            <v>盈余公积_所有者其他投入和减少资本</v>
          </cell>
          <cell r="F462">
            <v>0</v>
          </cell>
          <cell r="G462">
            <v>0</v>
          </cell>
          <cell r="H462">
            <v>0</v>
          </cell>
          <cell r="I462">
            <v>0</v>
          </cell>
          <cell r="J462">
            <v>0</v>
          </cell>
          <cell r="K462">
            <v>0</v>
          </cell>
          <cell r="L462">
            <v>0</v>
          </cell>
          <cell r="M462">
            <v>0</v>
          </cell>
          <cell r="T462">
            <v>8556</v>
          </cell>
          <cell r="U462">
            <v>0</v>
          </cell>
        </row>
        <row r="463">
          <cell r="D463">
            <v>8560</v>
          </cell>
          <cell r="E463" t="str">
            <v>盈余公积_利润分配影响权益</v>
          </cell>
          <cell r="F463">
            <v>0</v>
          </cell>
          <cell r="G463">
            <v>0</v>
          </cell>
          <cell r="H463">
            <v>0</v>
          </cell>
          <cell r="I463">
            <v>0</v>
          </cell>
          <cell r="J463">
            <v>0</v>
          </cell>
          <cell r="K463">
            <v>0</v>
          </cell>
          <cell r="L463">
            <v>0</v>
          </cell>
          <cell r="M463">
            <v>0</v>
          </cell>
          <cell r="T463">
            <v>8560</v>
          </cell>
          <cell r="U463">
            <v>0</v>
          </cell>
        </row>
        <row r="464">
          <cell r="D464">
            <v>8561</v>
          </cell>
          <cell r="E464" t="str">
            <v>盈余公积_提取</v>
          </cell>
          <cell r="F464">
            <v>0</v>
          </cell>
          <cell r="G464">
            <v>0</v>
          </cell>
          <cell r="H464">
            <v>0</v>
          </cell>
          <cell r="I464">
            <v>0</v>
          </cell>
          <cell r="J464">
            <v>0</v>
          </cell>
          <cell r="K464">
            <v>0</v>
          </cell>
          <cell r="L464">
            <v>0</v>
          </cell>
          <cell r="M464">
            <v>0</v>
          </cell>
          <cell r="T464">
            <v>8561</v>
          </cell>
          <cell r="U464">
            <v>0</v>
          </cell>
        </row>
        <row r="465">
          <cell r="D465">
            <v>8562</v>
          </cell>
          <cell r="E465" t="str">
            <v>盈余公积_提取一般风险准备影响权益</v>
          </cell>
          <cell r="F465">
            <v>0</v>
          </cell>
          <cell r="G465">
            <v>0</v>
          </cell>
          <cell r="H465">
            <v>0</v>
          </cell>
          <cell r="I465">
            <v>0</v>
          </cell>
          <cell r="J465">
            <v>0</v>
          </cell>
          <cell r="K465">
            <v>0</v>
          </cell>
          <cell r="L465">
            <v>0</v>
          </cell>
          <cell r="M465">
            <v>0</v>
          </cell>
          <cell r="T465">
            <v>8562</v>
          </cell>
          <cell r="U465">
            <v>0</v>
          </cell>
        </row>
        <row r="466">
          <cell r="D466">
            <v>8563</v>
          </cell>
          <cell r="E466" t="str">
            <v>盈余公积_对所有者的分配</v>
          </cell>
          <cell r="F466">
            <v>0</v>
          </cell>
          <cell r="G466">
            <v>0</v>
          </cell>
          <cell r="H466">
            <v>0</v>
          </cell>
          <cell r="I466">
            <v>0</v>
          </cell>
          <cell r="J466">
            <v>0</v>
          </cell>
          <cell r="K466">
            <v>0</v>
          </cell>
          <cell r="L466">
            <v>0</v>
          </cell>
          <cell r="M466">
            <v>0</v>
          </cell>
          <cell r="T466">
            <v>8563</v>
          </cell>
          <cell r="U466">
            <v>0</v>
          </cell>
        </row>
        <row r="467">
          <cell r="D467">
            <v>8566</v>
          </cell>
          <cell r="E467" t="str">
            <v>盈余公积_其他利润分配</v>
          </cell>
          <cell r="F467">
            <v>0</v>
          </cell>
          <cell r="G467">
            <v>0</v>
          </cell>
          <cell r="H467">
            <v>0</v>
          </cell>
          <cell r="I467">
            <v>0</v>
          </cell>
          <cell r="J467">
            <v>0</v>
          </cell>
          <cell r="K467">
            <v>0</v>
          </cell>
          <cell r="L467">
            <v>0</v>
          </cell>
          <cell r="M467">
            <v>0</v>
          </cell>
          <cell r="T467">
            <v>8566</v>
          </cell>
          <cell r="U467">
            <v>0</v>
          </cell>
        </row>
        <row r="468">
          <cell r="D468">
            <v>8570</v>
          </cell>
          <cell r="E468" t="str">
            <v>盈余公积_所有者权益内部结转</v>
          </cell>
          <cell r="F468">
            <v>0</v>
          </cell>
          <cell r="G468">
            <v>0</v>
          </cell>
          <cell r="H468">
            <v>0</v>
          </cell>
          <cell r="I468">
            <v>0</v>
          </cell>
          <cell r="J468">
            <v>0</v>
          </cell>
          <cell r="K468">
            <v>0</v>
          </cell>
          <cell r="L468">
            <v>0</v>
          </cell>
          <cell r="M468">
            <v>0</v>
          </cell>
          <cell r="T468">
            <v>8570</v>
          </cell>
          <cell r="U468">
            <v>0</v>
          </cell>
        </row>
        <row r="469">
          <cell r="D469">
            <v>8571</v>
          </cell>
          <cell r="E469" t="str">
            <v>盈余公积_资本公积转增资本影响权益</v>
          </cell>
          <cell r="F469">
            <v>0</v>
          </cell>
          <cell r="G469">
            <v>0</v>
          </cell>
          <cell r="H469">
            <v>0</v>
          </cell>
          <cell r="I469">
            <v>0</v>
          </cell>
          <cell r="J469">
            <v>0</v>
          </cell>
          <cell r="K469">
            <v>0</v>
          </cell>
          <cell r="L469">
            <v>0</v>
          </cell>
          <cell r="M469">
            <v>0</v>
          </cell>
          <cell r="T469">
            <v>8571</v>
          </cell>
          <cell r="U469">
            <v>0</v>
          </cell>
        </row>
        <row r="470">
          <cell r="D470">
            <v>8572</v>
          </cell>
          <cell r="E470" t="str">
            <v>盈余公积_转增资本</v>
          </cell>
          <cell r="F470">
            <v>0</v>
          </cell>
          <cell r="G470">
            <v>0</v>
          </cell>
          <cell r="H470">
            <v>0</v>
          </cell>
          <cell r="I470">
            <v>0</v>
          </cell>
          <cell r="J470">
            <v>0</v>
          </cell>
          <cell r="K470">
            <v>0</v>
          </cell>
          <cell r="L470">
            <v>0</v>
          </cell>
          <cell r="M470">
            <v>0</v>
          </cell>
          <cell r="T470">
            <v>8572</v>
          </cell>
          <cell r="U470">
            <v>0</v>
          </cell>
        </row>
        <row r="471">
          <cell r="D471">
            <v>8573</v>
          </cell>
          <cell r="E471" t="str">
            <v>盈余公积_弥补亏损</v>
          </cell>
          <cell r="F471">
            <v>0</v>
          </cell>
          <cell r="G471">
            <v>0</v>
          </cell>
          <cell r="H471">
            <v>0</v>
          </cell>
          <cell r="I471">
            <v>0</v>
          </cell>
          <cell r="J471">
            <v>0</v>
          </cell>
          <cell r="K471">
            <v>0</v>
          </cell>
          <cell r="L471">
            <v>0</v>
          </cell>
          <cell r="M471">
            <v>0</v>
          </cell>
          <cell r="T471">
            <v>8573</v>
          </cell>
          <cell r="U471">
            <v>0</v>
          </cell>
        </row>
        <row r="472">
          <cell r="D472">
            <v>8575</v>
          </cell>
          <cell r="E472" t="str">
            <v>盈余公积_结转重新计量设定受益计划净负债或净资产所产生的变动</v>
          </cell>
          <cell r="F472">
            <v>0</v>
          </cell>
          <cell r="G472">
            <v>0</v>
          </cell>
          <cell r="H472">
            <v>0</v>
          </cell>
          <cell r="I472">
            <v>0</v>
          </cell>
          <cell r="J472">
            <v>0</v>
          </cell>
          <cell r="K472">
            <v>0</v>
          </cell>
          <cell r="L472">
            <v>0</v>
          </cell>
          <cell r="M472">
            <v>0</v>
          </cell>
          <cell r="T472">
            <v>8575</v>
          </cell>
          <cell r="U472">
            <v>0</v>
          </cell>
        </row>
        <row r="473">
          <cell r="D473">
            <v>8576</v>
          </cell>
          <cell r="E473" t="str">
            <v>盈余公积_所有者权益其他内部结转</v>
          </cell>
          <cell r="F473">
            <v>0</v>
          </cell>
          <cell r="G473">
            <v>0</v>
          </cell>
          <cell r="H473">
            <v>0</v>
          </cell>
          <cell r="I473">
            <v>0</v>
          </cell>
          <cell r="J473">
            <v>0</v>
          </cell>
          <cell r="K473">
            <v>0</v>
          </cell>
          <cell r="L473">
            <v>0</v>
          </cell>
          <cell r="M473">
            <v>0</v>
          </cell>
          <cell r="T473">
            <v>8576</v>
          </cell>
          <cell r="U473">
            <v>0</v>
          </cell>
        </row>
        <row r="474">
          <cell r="D474">
            <v>8580</v>
          </cell>
          <cell r="E474" t="str">
            <v>盈余公积_专项储备影响权益</v>
          </cell>
          <cell r="F474">
            <v>0</v>
          </cell>
          <cell r="G474">
            <v>0</v>
          </cell>
          <cell r="H474">
            <v>0</v>
          </cell>
          <cell r="I474">
            <v>0</v>
          </cell>
          <cell r="J474">
            <v>0</v>
          </cell>
          <cell r="K474">
            <v>0</v>
          </cell>
          <cell r="L474">
            <v>0</v>
          </cell>
          <cell r="M474">
            <v>0</v>
          </cell>
          <cell r="T474">
            <v>8580</v>
          </cell>
          <cell r="U474">
            <v>0</v>
          </cell>
        </row>
        <row r="475">
          <cell r="D475">
            <v>8581</v>
          </cell>
          <cell r="E475" t="str">
            <v>盈余公积_专项储备本期提取</v>
          </cell>
          <cell r="F475">
            <v>0</v>
          </cell>
          <cell r="G475">
            <v>0</v>
          </cell>
          <cell r="H475">
            <v>0</v>
          </cell>
          <cell r="I475">
            <v>0</v>
          </cell>
          <cell r="J475">
            <v>0</v>
          </cell>
          <cell r="K475">
            <v>0</v>
          </cell>
          <cell r="L475">
            <v>0</v>
          </cell>
          <cell r="M475">
            <v>0</v>
          </cell>
          <cell r="T475">
            <v>8581</v>
          </cell>
          <cell r="U475">
            <v>0</v>
          </cell>
        </row>
        <row r="476">
          <cell r="D476">
            <v>8582</v>
          </cell>
          <cell r="E476" t="str">
            <v>盈余公积_专项储备本期使用</v>
          </cell>
          <cell r="F476">
            <v>0</v>
          </cell>
          <cell r="G476">
            <v>0</v>
          </cell>
          <cell r="H476">
            <v>0</v>
          </cell>
          <cell r="I476">
            <v>0</v>
          </cell>
          <cell r="J476">
            <v>0</v>
          </cell>
          <cell r="K476">
            <v>0</v>
          </cell>
          <cell r="L476">
            <v>0</v>
          </cell>
          <cell r="M476">
            <v>0</v>
          </cell>
          <cell r="T476">
            <v>8582</v>
          </cell>
          <cell r="U476">
            <v>0</v>
          </cell>
        </row>
        <row r="477">
          <cell r="D477">
            <v>8596</v>
          </cell>
          <cell r="E477" t="str">
            <v>盈余公积_本期其他增减变动</v>
          </cell>
          <cell r="F477">
            <v>0</v>
          </cell>
          <cell r="G477">
            <v>0</v>
          </cell>
          <cell r="H477">
            <v>0</v>
          </cell>
          <cell r="I477">
            <v>0</v>
          </cell>
          <cell r="J477">
            <v>0</v>
          </cell>
          <cell r="K477">
            <v>0</v>
          </cell>
          <cell r="L477">
            <v>0</v>
          </cell>
          <cell r="M477">
            <v>0</v>
          </cell>
          <cell r="T477">
            <v>8596</v>
          </cell>
          <cell r="U477">
            <v>0</v>
          </cell>
        </row>
        <row r="478">
          <cell r="D478">
            <v>8599</v>
          </cell>
          <cell r="E478" t="str">
            <v>盈余公积_本期期末余额</v>
          </cell>
          <cell r="F478">
            <v>0</v>
          </cell>
          <cell r="G478">
            <v>0</v>
          </cell>
          <cell r="H478">
            <v>0</v>
          </cell>
          <cell r="I478">
            <v>0</v>
          </cell>
          <cell r="J478">
            <v>0</v>
          </cell>
          <cell r="K478">
            <v>0</v>
          </cell>
          <cell r="L478">
            <v>0</v>
          </cell>
          <cell r="M478">
            <v>0</v>
          </cell>
          <cell r="T478">
            <v>8599</v>
          </cell>
          <cell r="U478">
            <v>0</v>
          </cell>
        </row>
        <row r="479">
          <cell r="D479">
            <v>8600</v>
          </cell>
          <cell r="E479" t="str">
            <v>一般风险准备增减变动</v>
          </cell>
          <cell r="F479">
            <v>0</v>
          </cell>
          <cell r="G479">
            <v>0</v>
          </cell>
          <cell r="H479">
            <v>0</v>
          </cell>
          <cell r="I479">
            <v>0</v>
          </cell>
          <cell r="J479">
            <v>0</v>
          </cell>
          <cell r="K479">
            <v>0</v>
          </cell>
          <cell r="L479">
            <v>0</v>
          </cell>
          <cell r="M479">
            <v>0</v>
          </cell>
          <cell r="T479">
            <v>8600</v>
          </cell>
          <cell r="U479">
            <v>0</v>
          </cell>
        </row>
        <row r="480">
          <cell r="D480">
            <v>8601</v>
          </cell>
          <cell r="E480" t="str">
            <v>一般风险准备_上年年末余额</v>
          </cell>
          <cell r="F480">
            <v>0</v>
          </cell>
          <cell r="G480">
            <v>0</v>
          </cell>
          <cell r="H480">
            <v>0</v>
          </cell>
          <cell r="I480">
            <v>0</v>
          </cell>
          <cell r="J480">
            <v>0</v>
          </cell>
          <cell r="K480">
            <v>0</v>
          </cell>
          <cell r="L480">
            <v>0</v>
          </cell>
          <cell r="M480">
            <v>0</v>
          </cell>
          <cell r="T480">
            <v>8601</v>
          </cell>
          <cell r="U480">
            <v>0</v>
          </cell>
        </row>
        <row r="481">
          <cell r="D481">
            <v>8602</v>
          </cell>
          <cell r="E481" t="str">
            <v>一般风险准备_会计政策变更调整上年年末余额</v>
          </cell>
          <cell r="F481">
            <v>0</v>
          </cell>
          <cell r="G481">
            <v>0</v>
          </cell>
          <cell r="H481">
            <v>0</v>
          </cell>
          <cell r="I481">
            <v>0</v>
          </cell>
          <cell r="J481">
            <v>0</v>
          </cell>
          <cell r="K481">
            <v>0</v>
          </cell>
          <cell r="L481">
            <v>0</v>
          </cell>
          <cell r="M481">
            <v>0</v>
          </cell>
          <cell r="T481">
            <v>8602</v>
          </cell>
          <cell r="U481">
            <v>0</v>
          </cell>
        </row>
        <row r="482">
          <cell r="D482">
            <v>8603</v>
          </cell>
          <cell r="E482" t="str">
            <v>一般风险准备_前期差错更正调整上年年末余额</v>
          </cell>
          <cell r="F482">
            <v>0</v>
          </cell>
          <cell r="G482">
            <v>0</v>
          </cell>
          <cell r="H482">
            <v>0</v>
          </cell>
          <cell r="I482">
            <v>0</v>
          </cell>
          <cell r="J482">
            <v>0</v>
          </cell>
          <cell r="K482">
            <v>0</v>
          </cell>
          <cell r="L482">
            <v>0</v>
          </cell>
          <cell r="M482">
            <v>0</v>
          </cell>
          <cell r="T482">
            <v>8603</v>
          </cell>
          <cell r="U482">
            <v>0</v>
          </cell>
        </row>
        <row r="483">
          <cell r="D483">
            <v>8604</v>
          </cell>
          <cell r="E483" t="str">
            <v>一般风险准备_同一控制下企业合并调整上年年末余额</v>
          </cell>
          <cell r="F483">
            <v>0</v>
          </cell>
          <cell r="G483">
            <v>0</v>
          </cell>
          <cell r="H483">
            <v>0</v>
          </cell>
          <cell r="I483">
            <v>0</v>
          </cell>
          <cell r="J483">
            <v>0</v>
          </cell>
          <cell r="K483">
            <v>0</v>
          </cell>
          <cell r="L483">
            <v>0</v>
          </cell>
          <cell r="M483">
            <v>0</v>
          </cell>
          <cell r="T483">
            <v>8604</v>
          </cell>
          <cell r="U483">
            <v>0</v>
          </cell>
        </row>
        <row r="484">
          <cell r="D484">
            <v>8609</v>
          </cell>
          <cell r="E484" t="str">
            <v>一般风险准备_其他原因调整上年年末余额</v>
          </cell>
          <cell r="F484">
            <v>0</v>
          </cell>
          <cell r="G484">
            <v>0</v>
          </cell>
          <cell r="H484">
            <v>0</v>
          </cell>
          <cell r="I484">
            <v>0</v>
          </cell>
          <cell r="J484">
            <v>0</v>
          </cell>
          <cell r="K484">
            <v>0</v>
          </cell>
          <cell r="L484">
            <v>0</v>
          </cell>
          <cell r="M484">
            <v>0</v>
          </cell>
          <cell r="T484">
            <v>8609</v>
          </cell>
          <cell r="U484">
            <v>0</v>
          </cell>
        </row>
        <row r="485">
          <cell r="D485">
            <v>8610</v>
          </cell>
          <cell r="E485" t="str">
            <v>一般风险准备_本年年初余额</v>
          </cell>
          <cell r="F485">
            <v>0</v>
          </cell>
          <cell r="G485">
            <v>0</v>
          </cell>
          <cell r="H485">
            <v>0</v>
          </cell>
          <cell r="I485">
            <v>0</v>
          </cell>
          <cell r="J485">
            <v>0</v>
          </cell>
          <cell r="K485">
            <v>0</v>
          </cell>
          <cell r="L485">
            <v>0</v>
          </cell>
          <cell r="M485">
            <v>0</v>
          </cell>
          <cell r="T485">
            <v>8610</v>
          </cell>
          <cell r="U485">
            <v>0</v>
          </cell>
        </row>
        <row r="486">
          <cell r="D486">
            <v>8690</v>
          </cell>
          <cell r="E486" t="str">
            <v>一般风险准备_本期增减变动金额</v>
          </cell>
          <cell r="F486">
            <v>0</v>
          </cell>
          <cell r="G486">
            <v>0</v>
          </cell>
          <cell r="H486">
            <v>0</v>
          </cell>
          <cell r="I486">
            <v>0</v>
          </cell>
          <cell r="J486">
            <v>0</v>
          </cell>
          <cell r="K486">
            <v>0</v>
          </cell>
          <cell r="L486">
            <v>0</v>
          </cell>
          <cell r="M486">
            <v>0</v>
          </cell>
          <cell r="T486">
            <v>8690</v>
          </cell>
          <cell r="U486">
            <v>0</v>
          </cell>
        </row>
        <row r="487">
          <cell r="D487">
            <v>8621</v>
          </cell>
          <cell r="E487" t="str">
            <v>一般风险准备_净利润增加权益</v>
          </cell>
          <cell r="F487">
            <v>0</v>
          </cell>
          <cell r="G487">
            <v>0</v>
          </cell>
          <cell r="H487">
            <v>0</v>
          </cell>
          <cell r="I487">
            <v>0</v>
          </cell>
          <cell r="J487">
            <v>0</v>
          </cell>
          <cell r="K487">
            <v>0</v>
          </cell>
          <cell r="L487">
            <v>0</v>
          </cell>
          <cell r="M487">
            <v>0</v>
          </cell>
          <cell r="T487">
            <v>8621</v>
          </cell>
          <cell r="U487">
            <v>0</v>
          </cell>
        </row>
        <row r="488">
          <cell r="D488">
            <v>8630</v>
          </cell>
          <cell r="E488" t="str">
            <v>一般风险准备_其他综合收益增加权益</v>
          </cell>
          <cell r="F488">
            <v>0</v>
          </cell>
          <cell r="G488">
            <v>0</v>
          </cell>
          <cell r="H488">
            <v>0</v>
          </cell>
          <cell r="I488">
            <v>0</v>
          </cell>
          <cell r="J488">
            <v>0</v>
          </cell>
          <cell r="K488">
            <v>0</v>
          </cell>
          <cell r="L488">
            <v>0</v>
          </cell>
          <cell r="M488">
            <v>0</v>
          </cell>
          <cell r="T488">
            <v>8630</v>
          </cell>
          <cell r="U488">
            <v>0</v>
          </cell>
        </row>
        <row r="489">
          <cell r="D489">
            <v>8640</v>
          </cell>
          <cell r="E489" t="str">
            <v>一般风险准备_综合收益总额增加权益</v>
          </cell>
          <cell r="F489">
            <v>0</v>
          </cell>
          <cell r="G489">
            <v>0</v>
          </cell>
          <cell r="H489">
            <v>0</v>
          </cell>
          <cell r="I489">
            <v>0</v>
          </cell>
          <cell r="J489">
            <v>0</v>
          </cell>
          <cell r="K489">
            <v>0</v>
          </cell>
          <cell r="L489">
            <v>0</v>
          </cell>
          <cell r="M489">
            <v>0</v>
          </cell>
          <cell r="T489">
            <v>8640</v>
          </cell>
          <cell r="U489">
            <v>0</v>
          </cell>
        </row>
        <row r="490">
          <cell r="D490">
            <v>8650</v>
          </cell>
          <cell r="E490" t="str">
            <v>一般风险准备_所有者投入和减少资本影响权益</v>
          </cell>
          <cell r="F490">
            <v>0</v>
          </cell>
          <cell r="G490">
            <v>0</v>
          </cell>
          <cell r="H490">
            <v>0</v>
          </cell>
          <cell r="I490">
            <v>0</v>
          </cell>
          <cell r="J490">
            <v>0</v>
          </cell>
          <cell r="K490">
            <v>0</v>
          </cell>
          <cell r="L490">
            <v>0</v>
          </cell>
          <cell r="M490">
            <v>0</v>
          </cell>
          <cell r="T490">
            <v>8650</v>
          </cell>
          <cell r="U490">
            <v>0</v>
          </cell>
        </row>
        <row r="491">
          <cell r="D491">
            <v>8651</v>
          </cell>
          <cell r="E491" t="str">
            <v>一般风险准备_所有者投入资本增加权益</v>
          </cell>
          <cell r="F491">
            <v>0</v>
          </cell>
          <cell r="G491">
            <v>0</v>
          </cell>
          <cell r="H491">
            <v>0</v>
          </cell>
          <cell r="I491">
            <v>0</v>
          </cell>
          <cell r="J491">
            <v>0</v>
          </cell>
          <cell r="K491">
            <v>0</v>
          </cell>
          <cell r="L491">
            <v>0</v>
          </cell>
          <cell r="M491">
            <v>0</v>
          </cell>
          <cell r="T491">
            <v>8651</v>
          </cell>
          <cell r="U491">
            <v>0</v>
          </cell>
        </row>
        <row r="492">
          <cell r="D492">
            <v>8653</v>
          </cell>
          <cell r="E492" t="str">
            <v>一般风险准备_其他权益工具持有者投入资本</v>
          </cell>
          <cell r="F492">
            <v>0</v>
          </cell>
          <cell r="G492">
            <v>0</v>
          </cell>
          <cell r="H492">
            <v>0</v>
          </cell>
          <cell r="I492">
            <v>0</v>
          </cell>
          <cell r="J492">
            <v>0</v>
          </cell>
          <cell r="K492">
            <v>0</v>
          </cell>
          <cell r="L492">
            <v>0</v>
          </cell>
          <cell r="M492">
            <v>0</v>
          </cell>
          <cell r="T492">
            <v>8653</v>
          </cell>
          <cell r="U492">
            <v>0</v>
          </cell>
        </row>
        <row r="493">
          <cell r="D493">
            <v>8652</v>
          </cell>
          <cell r="E493" t="str">
            <v>一般风险准备_股份支付计入所有者权益的金额</v>
          </cell>
          <cell r="F493">
            <v>0</v>
          </cell>
          <cell r="G493">
            <v>0</v>
          </cell>
          <cell r="H493">
            <v>0</v>
          </cell>
          <cell r="I493">
            <v>0</v>
          </cell>
          <cell r="J493">
            <v>0</v>
          </cell>
          <cell r="K493">
            <v>0</v>
          </cell>
          <cell r="L493">
            <v>0</v>
          </cell>
          <cell r="M493">
            <v>0</v>
          </cell>
          <cell r="T493">
            <v>8652</v>
          </cell>
          <cell r="U493">
            <v>0</v>
          </cell>
        </row>
        <row r="494">
          <cell r="D494">
            <v>8656</v>
          </cell>
          <cell r="E494" t="str">
            <v>一般风险准备_所有者其他投入和减少资本</v>
          </cell>
          <cell r="F494">
            <v>0</v>
          </cell>
          <cell r="G494">
            <v>0</v>
          </cell>
          <cell r="H494">
            <v>0</v>
          </cell>
          <cell r="I494">
            <v>0</v>
          </cell>
          <cell r="J494">
            <v>0</v>
          </cell>
          <cell r="K494">
            <v>0</v>
          </cell>
          <cell r="L494">
            <v>0</v>
          </cell>
          <cell r="M494">
            <v>0</v>
          </cell>
          <cell r="T494">
            <v>8656</v>
          </cell>
          <cell r="U494">
            <v>0</v>
          </cell>
        </row>
        <row r="495">
          <cell r="D495">
            <v>8660</v>
          </cell>
          <cell r="E495" t="str">
            <v>一般风险准备_利润分配影响权益</v>
          </cell>
          <cell r="F495">
            <v>0</v>
          </cell>
          <cell r="G495">
            <v>0</v>
          </cell>
          <cell r="H495">
            <v>0</v>
          </cell>
          <cell r="I495">
            <v>0</v>
          </cell>
          <cell r="J495">
            <v>0</v>
          </cell>
          <cell r="K495">
            <v>0</v>
          </cell>
          <cell r="L495">
            <v>0</v>
          </cell>
          <cell r="M495">
            <v>0</v>
          </cell>
          <cell r="T495">
            <v>8660</v>
          </cell>
          <cell r="U495">
            <v>0</v>
          </cell>
        </row>
        <row r="496">
          <cell r="D496">
            <v>8661</v>
          </cell>
          <cell r="E496" t="str">
            <v>一般风险准备_提取盈余公积影响权益</v>
          </cell>
          <cell r="F496">
            <v>0</v>
          </cell>
          <cell r="G496">
            <v>0</v>
          </cell>
          <cell r="H496">
            <v>0</v>
          </cell>
          <cell r="I496">
            <v>0</v>
          </cell>
          <cell r="J496">
            <v>0</v>
          </cell>
          <cell r="K496">
            <v>0</v>
          </cell>
          <cell r="L496">
            <v>0</v>
          </cell>
          <cell r="M496">
            <v>0</v>
          </cell>
          <cell r="T496">
            <v>8661</v>
          </cell>
          <cell r="U496">
            <v>0</v>
          </cell>
        </row>
        <row r="497">
          <cell r="D497">
            <v>8662</v>
          </cell>
          <cell r="E497" t="str">
            <v>一般风险准备_提取</v>
          </cell>
          <cell r="F497">
            <v>0</v>
          </cell>
          <cell r="G497">
            <v>0</v>
          </cell>
          <cell r="H497">
            <v>0</v>
          </cell>
          <cell r="I497">
            <v>0</v>
          </cell>
          <cell r="J497">
            <v>0</v>
          </cell>
          <cell r="K497">
            <v>0</v>
          </cell>
          <cell r="L497">
            <v>0</v>
          </cell>
          <cell r="M497">
            <v>0</v>
          </cell>
          <cell r="T497">
            <v>8662</v>
          </cell>
          <cell r="U497">
            <v>0</v>
          </cell>
        </row>
        <row r="498">
          <cell r="D498">
            <v>8663</v>
          </cell>
          <cell r="E498" t="str">
            <v>一般风险准备_对所有者的分配影响权益</v>
          </cell>
          <cell r="F498">
            <v>0</v>
          </cell>
          <cell r="G498">
            <v>0</v>
          </cell>
          <cell r="H498">
            <v>0</v>
          </cell>
          <cell r="I498">
            <v>0</v>
          </cell>
          <cell r="J498">
            <v>0</v>
          </cell>
          <cell r="K498">
            <v>0</v>
          </cell>
          <cell r="L498">
            <v>0</v>
          </cell>
          <cell r="M498">
            <v>0</v>
          </cell>
          <cell r="T498">
            <v>8663</v>
          </cell>
          <cell r="U498">
            <v>0</v>
          </cell>
        </row>
        <row r="499">
          <cell r="D499">
            <v>8666</v>
          </cell>
          <cell r="E499" t="str">
            <v>一般风险准备_其他利润分配</v>
          </cell>
          <cell r="F499">
            <v>0</v>
          </cell>
          <cell r="G499">
            <v>0</v>
          </cell>
          <cell r="H499">
            <v>0</v>
          </cell>
          <cell r="I499">
            <v>0</v>
          </cell>
          <cell r="J499">
            <v>0</v>
          </cell>
          <cell r="K499">
            <v>0</v>
          </cell>
          <cell r="L499">
            <v>0</v>
          </cell>
          <cell r="M499">
            <v>0</v>
          </cell>
          <cell r="T499">
            <v>8666</v>
          </cell>
          <cell r="U499">
            <v>0</v>
          </cell>
        </row>
        <row r="500">
          <cell r="D500">
            <v>8670</v>
          </cell>
          <cell r="E500" t="str">
            <v>一般风险准备_所有者权益内部结转</v>
          </cell>
          <cell r="F500">
            <v>0</v>
          </cell>
          <cell r="G500">
            <v>0</v>
          </cell>
          <cell r="H500">
            <v>0</v>
          </cell>
          <cell r="I500">
            <v>0</v>
          </cell>
          <cell r="J500">
            <v>0</v>
          </cell>
          <cell r="K500">
            <v>0</v>
          </cell>
          <cell r="L500">
            <v>0</v>
          </cell>
          <cell r="M500">
            <v>0</v>
          </cell>
          <cell r="T500">
            <v>8670</v>
          </cell>
          <cell r="U500">
            <v>0</v>
          </cell>
        </row>
        <row r="501">
          <cell r="D501">
            <v>8671</v>
          </cell>
          <cell r="E501" t="str">
            <v>一般风险准备_资本公积转增资本影响权益</v>
          </cell>
          <cell r="F501">
            <v>0</v>
          </cell>
          <cell r="G501">
            <v>0</v>
          </cell>
          <cell r="H501">
            <v>0</v>
          </cell>
          <cell r="I501">
            <v>0</v>
          </cell>
          <cell r="J501">
            <v>0</v>
          </cell>
          <cell r="K501">
            <v>0</v>
          </cell>
          <cell r="L501">
            <v>0</v>
          </cell>
          <cell r="M501">
            <v>0</v>
          </cell>
          <cell r="T501">
            <v>8671</v>
          </cell>
          <cell r="U501">
            <v>0</v>
          </cell>
        </row>
        <row r="502">
          <cell r="D502">
            <v>8672</v>
          </cell>
          <cell r="E502" t="str">
            <v>一般风险准备_盈余公积转增资本影响权益</v>
          </cell>
          <cell r="F502">
            <v>0</v>
          </cell>
          <cell r="G502">
            <v>0</v>
          </cell>
          <cell r="H502">
            <v>0</v>
          </cell>
          <cell r="I502">
            <v>0</v>
          </cell>
          <cell r="J502">
            <v>0</v>
          </cell>
          <cell r="K502">
            <v>0</v>
          </cell>
          <cell r="L502">
            <v>0</v>
          </cell>
          <cell r="M502">
            <v>0</v>
          </cell>
          <cell r="T502">
            <v>8672</v>
          </cell>
          <cell r="U502">
            <v>0</v>
          </cell>
        </row>
        <row r="503">
          <cell r="D503">
            <v>8673</v>
          </cell>
          <cell r="E503" t="str">
            <v>一般风险准备_盈余公积弥补亏损影响权益</v>
          </cell>
          <cell r="F503">
            <v>0</v>
          </cell>
          <cell r="G503">
            <v>0</v>
          </cell>
          <cell r="H503">
            <v>0</v>
          </cell>
          <cell r="I503">
            <v>0</v>
          </cell>
          <cell r="J503">
            <v>0</v>
          </cell>
          <cell r="K503">
            <v>0</v>
          </cell>
          <cell r="L503">
            <v>0</v>
          </cell>
          <cell r="M503">
            <v>0</v>
          </cell>
          <cell r="T503">
            <v>8673</v>
          </cell>
          <cell r="U503">
            <v>0</v>
          </cell>
        </row>
        <row r="504">
          <cell r="D504">
            <v>8675</v>
          </cell>
          <cell r="E504" t="str">
            <v>一般风险准备_结转重新计量设定受益计划净负债或净资产所产生的变动</v>
          </cell>
          <cell r="F504">
            <v>0</v>
          </cell>
          <cell r="G504">
            <v>0</v>
          </cell>
          <cell r="H504">
            <v>0</v>
          </cell>
          <cell r="I504">
            <v>0</v>
          </cell>
          <cell r="J504">
            <v>0</v>
          </cell>
          <cell r="K504">
            <v>0</v>
          </cell>
          <cell r="L504">
            <v>0</v>
          </cell>
          <cell r="M504">
            <v>0</v>
          </cell>
          <cell r="T504">
            <v>8675</v>
          </cell>
          <cell r="U504">
            <v>0</v>
          </cell>
        </row>
        <row r="505">
          <cell r="D505">
            <v>8676</v>
          </cell>
          <cell r="E505" t="str">
            <v>一般风险准备_所有者权益其他内部结转</v>
          </cell>
          <cell r="F505">
            <v>0</v>
          </cell>
          <cell r="G505">
            <v>0</v>
          </cell>
          <cell r="H505">
            <v>0</v>
          </cell>
          <cell r="I505">
            <v>0</v>
          </cell>
          <cell r="J505">
            <v>0</v>
          </cell>
          <cell r="K505">
            <v>0</v>
          </cell>
          <cell r="L505">
            <v>0</v>
          </cell>
          <cell r="M505">
            <v>0</v>
          </cell>
          <cell r="T505">
            <v>8676</v>
          </cell>
          <cell r="U505">
            <v>0</v>
          </cell>
        </row>
        <row r="506">
          <cell r="D506">
            <v>8680</v>
          </cell>
          <cell r="E506" t="str">
            <v>一般风险准备_专项储备影响权益</v>
          </cell>
          <cell r="F506">
            <v>0</v>
          </cell>
          <cell r="G506">
            <v>0</v>
          </cell>
          <cell r="H506">
            <v>0</v>
          </cell>
          <cell r="I506">
            <v>0</v>
          </cell>
          <cell r="J506">
            <v>0</v>
          </cell>
          <cell r="K506">
            <v>0</v>
          </cell>
          <cell r="L506">
            <v>0</v>
          </cell>
          <cell r="M506">
            <v>0</v>
          </cell>
          <cell r="T506">
            <v>8680</v>
          </cell>
          <cell r="U506">
            <v>0</v>
          </cell>
        </row>
        <row r="507">
          <cell r="D507">
            <v>8681</v>
          </cell>
          <cell r="E507" t="str">
            <v>一般风险准备_专项储备本期提取</v>
          </cell>
          <cell r="F507">
            <v>0</v>
          </cell>
          <cell r="G507">
            <v>0</v>
          </cell>
          <cell r="H507">
            <v>0</v>
          </cell>
          <cell r="I507">
            <v>0</v>
          </cell>
          <cell r="J507">
            <v>0</v>
          </cell>
          <cell r="K507">
            <v>0</v>
          </cell>
          <cell r="L507">
            <v>0</v>
          </cell>
          <cell r="M507">
            <v>0</v>
          </cell>
          <cell r="T507">
            <v>8681</v>
          </cell>
          <cell r="U507">
            <v>0</v>
          </cell>
        </row>
        <row r="508">
          <cell r="D508">
            <v>8682</v>
          </cell>
          <cell r="E508" t="str">
            <v>一般风险准备_专项储备本期使用</v>
          </cell>
          <cell r="F508">
            <v>0</v>
          </cell>
          <cell r="G508">
            <v>0</v>
          </cell>
          <cell r="H508">
            <v>0</v>
          </cell>
          <cell r="I508">
            <v>0</v>
          </cell>
          <cell r="J508">
            <v>0</v>
          </cell>
          <cell r="K508">
            <v>0</v>
          </cell>
          <cell r="L508">
            <v>0</v>
          </cell>
          <cell r="M508">
            <v>0</v>
          </cell>
          <cell r="T508">
            <v>8682</v>
          </cell>
          <cell r="U508">
            <v>0</v>
          </cell>
        </row>
        <row r="509">
          <cell r="D509">
            <v>8696</v>
          </cell>
          <cell r="E509" t="str">
            <v>一般风险准备_本期其他增减变动</v>
          </cell>
          <cell r="F509">
            <v>0</v>
          </cell>
          <cell r="G509">
            <v>0</v>
          </cell>
          <cell r="H509">
            <v>0</v>
          </cell>
          <cell r="I509">
            <v>0</v>
          </cell>
          <cell r="J509">
            <v>0</v>
          </cell>
          <cell r="K509">
            <v>0</v>
          </cell>
          <cell r="L509">
            <v>0</v>
          </cell>
          <cell r="M509">
            <v>0</v>
          </cell>
          <cell r="T509">
            <v>8696</v>
          </cell>
          <cell r="U509">
            <v>0</v>
          </cell>
        </row>
        <row r="510">
          <cell r="D510">
            <v>8699</v>
          </cell>
          <cell r="E510" t="str">
            <v>一般风险准备_本期期末余额</v>
          </cell>
          <cell r="F510">
            <v>0</v>
          </cell>
          <cell r="G510">
            <v>0</v>
          </cell>
          <cell r="H510">
            <v>0</v>
          </cell>
          <cell r="I510">
            <v>0</v>
          </cell>
          <cell r="J510">
            <v>0</v>
          </cell>
          <cell r="K510">
            <v>0</v>
          </cell>
          <cell r="L510">
            <v>0</v>
          </cell>
          <cell r="M510">
            <v>0</v>
          </cell>
          <cell r="T510">
            <v>8699</v>
          </cell>
          <cell r="U510">
            <v>0</v>
          </cell>
        </row>
        <row r="511">
          <cell r="D511">
            <v>8700</v>
          </cell>
          <cell r="E511" t="str">
            <v>未分配利润增减变动</v>
          </cell>
          <cell r="F511">
            <v>0</v>
          </cell>
          <cell r="G511">
            <v>0</v>
          </cell>
          <cell r="H511">
            <v>0</v>
          </cell>
          <cell r="I511">
            <v>0</v>
          </cell>
          <cell r="J511">
            <v>0</v>
          </cell>
          <cell r="K511">
            <v>0</v>
          </cell>
          <cell r="L511">
            <v>0</v>
          </cell>
          <cell r="M511">
            <v>0</v>
          </cell>
          <cell r="T511">
            <v>8700</v>
          </cell>
          <cell r="U511">
            <v>0</v>
          </cell>
        </row>
        <row r="512">
          <cell r="D512">
            <v>8701</v>
          </cell>
          <cell r="E512" t="str">
            <v>未分配利润_上年年末余额</v>
          </cell>
          <cell r="F512">
            <v>-2233942.6</v>
          </cell>
          <cell r="G512">
            <v>81585.75</v>
          </cell>
          <cell r="H512">
            <v>0</v>
          </cell>
          <cell r="I512">
            <v>-2315528.35</v>
          </cell>
          <cell r="J512">
            <v>0</v>
          </cell>
          <cell r="K512">
            <v>0</v>
          </cell>
          <cell r="L512">
            <v>0</v>
          </cell>
          <cell r="M512">
            <v>0</v>
          </cell>
          <cell r="T512">
            <v>8701</v>
          </cell>
          <cell r="U512">
            <v>0</v>
          </cell>
        </row>
        <row r="513">
          <cell r="D513">
            <v>8702</v>
          </cell>
          <cell r="E513" t="str">
            <v>未分配利润_会计政策变更调整上年年末余额</v>
          </cell>
          <cell r="F513">
            <v>0</v>
          </cell>
          <cell r="G513">
            <v>0</v>
          </cell>
          <cell r="H513">
            <v>0</v>
          </cell>
          <cell r="I513">
            <v>0</v>
          </cell>
          <cell r="J513">
            <v>0</v>
          </cell>
          <cell r="K513">
            <v>0</v>
          </cell>
          <cell r="L513">
            <v>0</v>
          </cell>
          <cell r="M513">
            <v>0</v>
          </cell>
          <cell r="T513">
            <v>8702</v>
          </cell>
          <cell r="U513">
            <v>0</v>
          </cell>
        </row>
        <row r="514">
          <cell r="D514">
            <v>8703</v>
          </cell>
          <cell r="E514" t="str">
            <v>未分配利润_前期差错更正调整上年年末余额</v>
          </cell>
          <cell r="F514">
            <v>0</v>
          </cell>
          <cell r="G514">
            <v>0</v>
          </cell>
          <cell r="H514">
            <v>0</v>
          </cell>
          <cell r="I514">
            <v>0</v>
          </cell>
          <cell r="J514">
            <v>0</v>
          </cell>
          <cell r="K514">
            <v>0</v>
          </cell>
          <cell r="L514">
            <v>0</v>
          </cell>
          <cell r="M514">
            <v>0</v>
          </cell>
          <cell r="T514">
            <v>8703</v>
          </cell>
          <cell r="U514">
            <v>0</v>
          </cell>
        </row>
        <row r="515">
          <cell r="D515">
            <v>8704</v>
          </cell>
          <cell r="E515" t="str">
            <v>未分配利润_同一控制下企业合并调整上年年末余额</v>
          </cell>
          <cell r="F515">
            <v>0</v>
          </cell>
          <cell r="G515">
            <v>0</v>
          </cell>
          <cell r="H515">
            <v>0</v>
          </cell>
          <cell r="I515">
            <v>0</v>
          </cell>
          <cell r="J515">
            <v>0</v>
          </cell>
          <cell r="K515">
            <v>0</v>
          </cell>
          <cell r="L515">
            <v>0</v>
          </cell>
          <cell r="M515">
            <v>0</v>
          </cell>
          <cell r="T515">
            <v>8704</v>
          </cell>
          <cell r="U515">
            <v>0</v>
          </cell>
        </row>
        <row r="516">
          <cell r="D516">
            <v>8709</v>
          </cell>
          <cell r="E516" t="str">
            <v>未分配利润_其他原因调整上年年末余额</v>
          </cell>
          <cell r="F516">
            <v>0</v>
          </cell>
          <cell r="G516">
            <v>0</v>
          </cell>
          <cell r="H516">
            <v>0</v>
          </cell>
          <cell r="I516">
            <v>0</v>
          </cell>
          <cell r="J516">
            <v>0</v>
          </cell>
          <cell r="K516">
            <v>0</v>
          </cell>
          <cell r="L516">
            <v>0</v>
          </cell>
          <cell r="M516">
            <v>0</v>
          </cell>
          <cell r="T516">
            <v>8709</v>
          </cell>
          <cell r="U516">
            <v>0</v>
          </cell>
        </row>
        <row r="517">
          <cell r="D517">
            <v>8710</v>
          </cell>
          <cell r="E517" t="str">
            <v>未分配利润_本年年初余额</v>
          </cell>
          <cell r="F517">
            <v>-2233942.6</v>
          </cell>
          <cell r="G517">
            <v>81585.75</v>
          </cell>
          <cell r="H517">
            <v>0</v>
          </cell>
          <cell r="I517">
            <v>-2315528.35</v>
          </cell>
          <cell r="J517">
            <v>0</v>
          </cell>
          <cell r="K517">
            <v>0</v>
          </cell>
          <cell r="L517">
            <v>0</v>
          </cell>
          <cell r="M517">
            <v>0</v>
          </cell>
          <cell r="T517">
            <v>8710</v>
          </cell>
          <cell r="U517">
            <v>0</v>
          </cell>
        </row>
        <row r="518">
          <cell r="D518">
            <v>8790</v>
          </cell>
          <cell r="E518" t="str">
            <v>未分配利润_本期增减变动金额</v>
          </cell>
          <cell r="F518">
            <v>-7831797.5899999999</v>
          </cell>
          <cell r="G518">
            <v>56613.5</v>
          </cell>
          <cell r="H518">
            <v>366248.21</v>
          </cell>
          <cell r="I518">
            <v>-7522162.8799999999</v>
          </cell>
          <cell r="J518">
            <v>-2315528.35</v>
          </cell>
          <cell r="K518">
            <v>0</v>
          </cell>
          <cell r="L518">
            <v>0</v>
          </cell>
          <cell r="M518">
            <v>-2315528.35</v>
          </cell>
          <cell r="T518">
            <v>8790</v>
          </cell>
          <cell r="U518">
            <v>-2315528.35</v>
          </cell>
        </row>
        <row r="519">
          <cell r="D519">
            <v>8721</v>
          </cell>
          <cell r="E519" t="str">
            <v>未分配利润_净利润增加权益</v>
          </cell>
          <cell r="F519">
            <v>-7831797.5899999999</v>
          </cell>
          <cell r="G519">
            <v>56613.5</v>
          </cell>
          <cell r="H519">
            <v>366248.21</v>
          </cell>
          <cell r="I519">
            <v>-7522162.8799999999</v>
          </cell>
          <cell r="J519">
            <v>-2315528.35</v>
          </cell>
          <cell r="K519">
            <v>0</v>
          </cell>
          <cell r="L519">
            <v>0</v>
          </cell>
          <cell r="M519">
            <v>-2315528.35</v>
          </cell>
          <cell r="T519">
            <v>8721</v>
          </cell>
          <cell r="U519">
            <v>-2315528.35</v>
          </cell>
        </row>
        <row r="520">
          <cell r="D520">
            <v>8730</v>
          </cell>
          <cell r="E520" t="str">
            <v>未分配利润_其他综合收益增加权益</v>
          </cell>
          <cell r="F520">
            <v>0</v>
          </cell>
          <cell r="G520">
            <v>0</v>
          </cell>
          <cell r="H520">
            <v>0</v>
          </cell>
          <cell r="I520">
            <v>0</v>
          </cell>
          <cell r="J520">
            <v>0</v>
          </cell>
          <cell r="K520">
            <v>0</v>
          </cell>
          <cell r="L520">
            <v>0</v>
          </cell>
          <cell r="M520">
            <v>0</v>
          </cell>
          <cell r="T520">
            <v>8730</v>
          </cell>
          <cell r="U520">
            <v>0</v>
          </cell>
        </row>
        <row r="521">
          <cell r="D521">
            <v>8740</v>
          </cell>
          <cell r="E521" t="str">
            <v>未分配利润_综合收益总额增加权益</v>
          </cell>
          <cell r="F521">
            <v>-7831797.5899999999</v>
          </cell>
          <cell r="G521">
            <v>56613.5</v>
          </cell>
          <cell r="H521">
            <v>366248.21</v>
          </cell>
          <cell r="I521">
            <v>-7522162.8799999999</v>
          </cell>
          <cell r="J521">
            <v>-2315528.35</v>
          </cell>
          <cell r="K521">
            <v>0</v>
          </cell>
          <cell r="L521">
            <v>0</v>
          </cell>
          <cell r="M521">
            <v>-2315528.35</v>
          </cell>
          <cell r="T521">
            <v>8740</v>
          </cell>
          <cell r="U521">
            <v>-2315528.35</v>
          </cell>
        </row>
        <row r="522">
          <cell r="D522">
            <v>8750</v>
          </cell>
          <cell r="E522" t="str">
            <v>未分配利润_所有者投入和减少资本影响权益</v>
          </cell>
          <cell r="F522">
            <v>0</v>
          </cell>
          <cell r="G522">
            <v>0</v>
          </cell>
          <cell r="H522">
            <v>0</v>
          </cell>
          <cell r="I522">
            <v>0</v>
          </cell>
          <cell r="J522">
            <v>0</v>
          </cell>
          <cell r="K522">
            <v>0</v>
          </cell>
          <cell r="L522">
            <v>0</v>
          </cell>
          <cell r="M522">
            <v>0</v>
          </cell>
          <cell r="T522">
            <v>8750</v>
          </cell>
          <cell r="U522">
            <v>0</v>
          </cell>
        </row>
        <row r="523">
          <cell r="D523">
            <v>8751</v>
          </cell>
          <cell r="E523" t="str">
            <v>未分配利润_所有者投入资本增加权益</v>
          </cell>
          <cell r="F523">
            <v>0</v>
          </cell>
          <cell r="G523">
            <v>0</v>
          </cell>
          <cell r="H523">
            <v>0</v>
          </cell>
          <cell r="I523">
            <v>0</v>
          </cell>
          <cell r="J523">
            <v>0</v>
          </cell>
          <cell r="K523">
            <v>0</v>
          </cell>
          <cell r="L523">
            <v>0</v>
          </cell>
          <cell r="M523">
            <v>0</v>
          </cell>
          <cell r="T523">
            <v>8751</v>
          </cell>
          <cell r="U523">
            <v>0</v>
          </cell>
        </row>
        <row r="524">
          <cell r="D524">
            <v>8753</v>
          </cell>
          <cell r="E524" t="str">
            <v>未分配利润_其他权益工具持有者投入资本</v>
          </cell>
          <cell r="F524">
            <v>0</v>
          </cell>
          <cell r="G524">
            <v>0</v>
          </cell>
          <cell r="H524">
            <v>0</v>
          </cell>
          <cell r="I524">
            <v>0</v>
          </cell>
          <cell r="J524">
            <v>0</v>
          </cell>
          <cell r="K524">
            <v>0</v>
          </cell>
          <cell r="L524">
            <v>0</v>
          </cell>
          <cell r="M524">
            <v>0</v>
          </cell>
          <cell r="T524">
            <v>8753</v>
          </cell>
          <cell r="U524">
            <v>0</v>
          </cell>
        </row>
        <row r="525">
          <cell r="D525">
            <v>8752</v>
          </cell>
          <cell r="E525" t="str">
            <v>未分配利润_股份支付计入所有者权益的金额</v>
          </cell>
          <cell r="F525">
            <v>0</v>
          </cell>
          <cell r="G525">
            <v>0</v>
          </cell>
          <cell r="H525">
            <v>0</v>
          </cell>
          <cell r="I525">
            <v>0</v>
          </cell>
          <cell r="J525">
            <v>0</v>
          </cell>
          <cell r="K525">
            <v>0</v>
          </cell>
          <cell r="L525">
            <v>0</v>
          </cell>
          <cell r="M525">
            <v>0</v>
          </cell>
          <cell r="T525">
            <v>8752</v>
          </cell>
          <cell r="U525">
            <v>0</v>
          </cell>
        </row>
        <row r="526">
          <cell r="D526">
            <v>8756</v>
          </cell>
          <cell r="E526" t="str">
            <v>未分配利润_所有者其他投入和减少资本</v>
          </cell>
          <cell r="F526">
            <v>0</v>
          </cell>
          <cell r="G526">
            <v>0</v>
          </cell>
          <cell r="H526">
            <v>0</v>
          </cell>
          <cell r="I526">
            <v>0</v>
          </cell>
          <cell r="J526">
            <v>0</v>
          </cell>
          <cell r="K526">
            <v>0</v>
          </cell>
          <cell r="L526">
            <v>0</v>
          </cell>
          <cell r="M526">
            <v>0</v>
          </cell>
          <cell r="T526">
            <v>8756</v>
          </cell>
          <cell r="U526">
            <v>0</v>
          </cell>
        </row>
        <row r="527">
          <cell r="D527">
            <v>8760</v>
          </cell>
          <cell r="E527" t="str">
            <v>未分配利润_利润分配影响权益</v>
          </cell>
          <cell r="F527">
            <v>0</v>
          </cell>
          <cell r="G527">
            <v>0</v>
          </cell>
          <cell r="H527">
            <v>0</v>
          </cell>
          <cell r="I527">
            <v>0</v>
          </cell>
          <cell r="J527">
            <v>0</v>
          </cell>
          <cell r="K527">
            <v>0</v>
          </cell>
          <cell r="L527">
            <v>0</v>
          </cell>
          <cell r="M527">
            <v>0</v>
          </cell>
          <cell r="T527">
            <v>8760</v>
          </cell>
          <cell r="U527">
            <v>0</v>
          </cell>
        </row>
        <row r="528">
          <cell r="D528">
            <v>8761</v>
          </cell>
          <cell r="E528" t="str">
            <v>未分配利润_提取盈余公积</v>
          </cell>
          <cell r="F528">
            <v>0</v>
          </cell>
          <cell r="G528">
            <v>0</v>
          </cell>
          <cell r="H528">
            <v>0</v>
          </cell>
          <cell r="I528">
            <v>0</v>
          </cell>
          <cell r="J528">
            <v>0</v>
          </cell>
          <cell r="K528">
            <v>0</v>
          </cell>
          <cell r="L528">
            <v>0</v>
          </cell>
          <cell r="M528">
            <v>0</v>
          </cell>
          <cell r="T528">
            <v>8761</v>
          </cell>
          <cell r="U528">
            <v>0</v>
          </cell>
        </row>
        <row r="529">
          <cell r="D529">
            <v>8762</v>
          </cell>
          <cell r="E529" t="str">
            <v>未分配利润_提取一般风险准备</v>
          </cell>
          <cell r="F529">
            <v>0</v>
          </cell>
          <cell r="G529">
            <v>0</v>
          </cell>
          <cell r="H529">
            <v>0</v>
          </cell>
          <cell r="I529">
            <v>0</v>
          </cell>
          <cell r="J529">
            <v>0</v>
          </cell>
          <cell r="K529">
            <v>0</v>
          </cell>
          <cell r="L529">
            <v>0</v>
          </cell>
          <cell r="M529">
            <v>0</v>
          </cell>
          <cell r="T529">
            <v>8762</v>
          </cell>
          <cell r="U529">
            <v>0</v>
          </cell>
        </row>
        <row r="530">
          <cell r="D530">
            <v>8763</v>
          </cell>
          <cell r="E530" t="str">
            <v>未分配利润_对所有者的分配</v>
          </cell>
          <cell r="F530">
            <v>0</v>
          </cell>
          <cell r="G530">
            <v>0</v>
          </cell>
          <cell r="H530">
            <v>0</v>
          </cell>
          <cell r="I530">
            <v>0</v>
          </cell>
          <cell r="J530">
            <v>0</v>
          </cell>
          <cell r="K530">
            <v>0</v>
          </cell>
          <cell r="L530">
            <v>0</v>
          </cell>
          <cell r="M530">
            <v>0</v>
          </cell>
          <cell r="T530">
            <v>8763</v>
          </cell>
          <cell r="U530">
            <v>0</v>
          </cell>
        </row>
        <row r="531">
          <cell r="D531">
            <v>8766</v>
          </cell>
          <cell r="E531" t="str">
            <v>未分配利润_其他利润分配</v>
          </cell>
          <cell r="F531">
            <v>0</v>
          </cell>
          <cell r="G531">
            <v>0</v>
          </cell>
          <cell r="H531">
            <v>0</v>
          </cell>
          <cell r="I531">
            <v>0</v>
          </cell>
          <cell r="J531">
            <v>0</v>
          </cell>
          <cell r="K531">
            <v>0</v>
          </cell>
          <cell r="L531">
            <v>0</v>
          </cell>
          <cell r="M531">
            <v>0</v>
          </cell>
          <cell r="T531">
            <v>8766</v>
          </cell>
          <cell r="U531">
            <v>0</v>
          </cell>
        </row>
        <row r="532">
          <cell r="D532">
            <v>8770</v>
          </cell>
          <cell r="E532" t="str">
            <v>未分配利润_所有者权益内部结转</v>
          </cell>
          <cell r="F532">
            <v>0</v>
          </cell>
          <cell r="G532">
            <v>0</v>
          </cell>
          <cell r="H532">
            <v>0</v>
          </cell>
          <cell r="I532">
            <v>0</v>
          </cell>
          <cell r="J532">
            <v>0</v>
          </cell>
          <cell r="K532">
            <v>0</v>
          </cell>
          <cell r="L532">
            <v>0</v>
          </cell>
          <cell r="M532">
            <v>0</v>
          </cell>
          <cell r="T532">
            <v>8770</v>
          </cell>
          <cell r="U532">
            <v>0</v>
          </cell>
        </row>
        <row r="533">
          <cell r="D533">
            <v>8771</v>
          </cell>
          <cell r="E533" t="str">
            <v>未分配利润_资本公积转增资本影响权益</v>
          </cell>
          <cell r="F533">
            <v>0</v>
          </cell>
          <cell r="G533">
            <v>0</v>
          </cell>
          <cell r="H533">
            <v>0</v>
          </cell>
          <cell r="I533">
            <v>0</v>
          </cell>
          <cell r="J533">
            <v>0</v>
          </cell>
          <cell r="K533">
            <v>0</v>
          </cell>
          <cell r="L533">
            <v>0</v>
          </cell>
          <cell r="M533">
            <v>0</v>
          </cell>
          <cell r="T533">
            <v>8771</v>
          </cell>
          <cell r="U533">
            <v>0</v>
          </cell>
        </row>
        <row r="534">
          <cell r="D534">
            <v>8772</v>
          </cell>
          <cell r="E534" t="str">
            <v>未分配利润_盈余公积转增资本影响权益</v>
          </cell>
          <cell r="F534">
            <v>0</v>
          </cell>
          <cell r="G534">
            <v>0</v>
          </cell>
          <cell r="H534">
            <v>0</v>
          </cell>
          <cell r="I534">
            <v>0</v>
          </cell>
          <cell r="J534">
            <v>0</v>
          </cell>
          <cell r="K534">
            <v>0</v>
          </cell>
          <cell r="L534">
            <v>0</v>
          </cell>
          <cell r="M534">
            <v>0</v>
          </cell>
          <cell r="T534">
            <v>8772</v>
          </cell>
          <cell r="U534">
            <v>0</v>
          </cell>
        </row>
        <row r="535">
          <cell r="D535">
            <v>8773</v>
          </cell>
          <cell r="E535" t="str">
            <v>未分配利润_盈余公积弥补亏损</v>
          </cell>
          <cell r="F535">
            <v>0</v>
          </cell>
          <cell r="G535">
            <v>0</v>
          </cell>
          <cell r="H535">
            <v>0</v>
          </cell>
          <cell r="I535">
            <v>0</v>
          </cell>
          <cell r="J535">
            <v>0</v>
          </cell>
          <cell r="K535">
            <v>0</v>
          </cell>
          <cell r="L535">
            <v>0</v>
          </cell>
          <cell r="M535">
            <v>0</v>
          </cell>
          <cell r="T535">
            <v>8773</v>
          </cell>
          <cell r="U535">
            <v>0</v>
          </cell>
        </row>
        <row r="536">
          <cell r="D536">
            <v>8775</v>
          </cell>
          <cell r="E536" t="str">
            <v>未分配利润_结转重新计量设定受益计划净负债或净资产所产生的变动</v>
          </cell>
          <cell r="F536">
            <v>0</v>
          </cell>
          <cell r="G536">
            <v>0</v>
          </cell>
          <cell r="H536">
            <v>0</v>
          </cell>
          <cell r="I536">
            <v>0</v>
          </cell>
          <cell r="J536">
            <v>0</v>
          </cell>
          <cell r="K536">
            <v>0</v>
          </cell>
          <cell r="L536">
            <v>0</v>
          </cell>
          <cell r="M536">
            <v>0</v>
          </cell>
          <cell r="T536">
            <v>8775</v>
          </cell>
          <cell r="U536">
            <v>0</v>
          </cell>
        </row>
        <row r="537">
          <cell r="D537">
            <v>8776</v>
          </cell>
          <cell r="E537" t="str">
            <v>未分配利润_所有者权益其他内部结转</v>
          </cell>
          <cell r="F537">
            <v>0</v>
          </cell>
          <cell r="G537">
            <v>0</v>
          </cell>
          <cell r="H537">
            <v>0</v>
          </cell>
          <cell r="I537">
            <v>0</v>
          </cell>
          <cell r="J537">
            <v>0</v>
          </cell>
          <cell r="K537">
            <v>0</v>
          </cell>
          <cell r="L537">
            <v>0</v>
          </cell>
          <cell r="M537">
            <v>0</v>
          </cell>
          <cell r="T537">
            <v>8776</v>
          </cell>
          <cell r="U537">
            <v>0</v>
          </cell>
        </row>
        <row r="538">
          <cell r="D538">
            <v>8780</v>
          </cell>
          <cell r="E538" t="str">
            <v>未分配利润_专项储备影响权益</v>
          </cell>
          <cell r="F538">
            <v>0</v>
          </cell>
          <cell r="G538">
            <v>0</v>
          </cell>
          <cell r="H538">
            <v>0</v>
          </cell>
          <cell r="I538">
            <v>0</v>
          </cell>
          <cell r="J538">
            <v>0</v>
          </cell>
          <cell r="K538">
            <v>0</v>
          </cell>
          <cell r="L538">
            <v>0</v>
          </cell>
          <cell r="M538">
            <v>0</v>
          </cell>
          <cell r="T538">
            <v>8780</v>
          </cell>
          <cell r="U538">
            <v>0</v>
          </cell>
        </row>
        <row r="539">
          <cell r="D539">
            <v>8781</v>
          </cell>
          <cell r="E539" t="str">
            <v>未分配利润_专项储备本期提取</v>
          </cell>
          <cell r="F539">
            <v>0</v>
          </cell>
          <cell r="G539">
            <v>0</v>
          </cell>
          <cell r="H539">
            <v>0</v>
          </cell>
          <cell r="I539">
            <v>0</v>
          </cell>
          <cell r="J539">
            <v>0</v>
          </cell>
          <cell r="K539">
            <v>0</v>
          </cell>
          <cell r="L539">
            <v>0</v>
          </cell>
          <cell r="M539">
            <v>0</v>
          </cell>
          <cell r="T539">
            <v>8781</v>
          </cell>
          <cell r="U539">
            <v>0</v>
          </cell>
        </row>
        <row r="540">
          <cell r="D540">
            <v>8782</v>
          </cell>
          <cell r="E540" t="str">
            <v>未分配利润_专项储备本期使用</v>
          </cell>
          <cell r="F540">
            <v>0</v>
          </cell>
          <cell r="G540">
            <v>0</v>
          </cell>
          <cell r="H540">
            <v>0</v>
          </cell>
          <cell r="I540">
            <v>0</v>
          </cell>
          <cell r="J540">
            <v>0</v>
          </cell>
          <cell r="K540">
            <v>0</v>
          </cell>
          <cell r="L540">
            <v>0</v>
          </cell>
          <cell r="M540">
            <v>0</v>
          </cell>
          <cell r="T540">
            <v>8782</v>
          </cell>
          <cell r="U540">
            <v>0</v>
          </cell>
        </row>
        <row r="541">
          <cell r="D541">
            <v>8796</v>
          </cell>
          <cell r="E541" t="str">
            <v>未分配利润_本期其他增减变动</v>
          </cell>
          <cell r="F541">
            <v>0</v>
          </cell>
          <cell r="G541">
            <v>0</v>
          </cell>
          <cell r="H541">
            <v>0</v>
          </cell>
          <cell r="I541">
            <v>0</v>
          </cell>
          <cell r="J541">
            <v>0</v>
          </cell>
          <cell r="K541">
            <v>0</v>
          </cell>
          <cell r="L541">
            <v>0</v>
          </cell>
          <cell r="M541">
            <v>0</v>
          </cell>
          <cell r="T541">
            <v>8796</v>
          </cell>
          <cell r="U541">
            <v>0</v>
          </cell>
        </row>
        <row r="542">
          <cell r="D542">
            <v>8799</v>
          </cell>
          <cell r="E542" t="str">
            <v>未分配利润_本期期末余额</v>
          </cell>
          <cell r="F542">
            <v>-10065740.189999999</v>
          </cell>
          <cell r="G542">
            <v>138199.25</v>
          </cell>
          <cell r="H542">
            <v>366248.21</v>
          </cell>
          <cell r="I542">
            <v>-9837691.2300000004</v>
          </cell>
          <cell r="J542">
            <v>-2315528.35</v>
          </cell>
          <cell r="K542">
            <v>0</v>
          </cell>
          <cell r="L542">
            <v>0</v>
          </cell>
          <cell r="M542">
            <v>-2315528.35</v>
          </cell>
          <cell r="T542">
            <v>8799</v>
          </cell>
          <cell r="U542">
            <v>-2315528.35</v>
          </cell>
        </row>
        <row r="543">
          <cell r="D543">
            <v>8800</v>
          </cell>
          <cell r="E543" t="str">
            <v>其他归属于母公司所有者权益增减变动</v>
          </cell>
          <cell r="F543">
            <v>0</v>
          </cell>
          <cell r="G543">
            <v>0</v>
          </cell>
          <cell r="H543">
            <v>0</v>
          </cell>
          <cell r="I543">
            <v>0</v>
          </cell>
          <cell r="J543">
            <v>0</v>
          </cell>
          <cell r="K543">
            <v>0</v>
          </cell>
          <cell r="L543">
            <v>0</v>
          </cell>
          <cell r="M543">
            <v>0</v>
          </cell>
          <cell r="T543">
            <v>8800</v>
          </cell>
          <cell r="U543">
            <v>0</v>
          </cell>
        </row>
        <row r="544">
          <cell r="D544">
            <v>8801</v>
          </cell>
          <cell r="E544" t="str">
            <v>其他归属于母公司所有者权益_上年年末余额</v>
          </cell>
          <cell r="F544">
            <v>0</v>
          </cell>
          <cell r="G544">
            <v>0</v>
          </cell>
          <cell r="H544">
            <v>0</v>
          </cell>
          <cell r="I544">
            <v>0</v>
          </cell>
          <cell r="J544">
            <v>0</v>
          </cell>
          <cell r="K544">
            <v>0</v>
          </cell>
          <cell r="L544">
            <v>0</v>
          </cell>
          <cell r="M544">
            <v>0</v>
          </cell>
          <cell r="T544">
            <v>8801</v>
          </cell>
          <cell r="U544">
            <v>0</v>
          </cell>
        </row>
        <row r="545">
          <cell r="D545">
            <v>8802</v>
          </cell>
          <cell r="E545" t="str">
            <v>其他归属于母公司所有者权益_会计政策变更调整上年年末余额</v>
          </cell>
          <cell r="F545">
            <v>0</v>
          </cell>
          <cell r="G545">
            <v>0</v>
          </cell>
          <cell r="H545">
            <v>0</v>
          </cell>
          <cell r="I545">
            <v>0</v>
          </cell>
          <cell r="J545">
            <v>0</v>
          </cell>
          <cell r="K545">
            <v>0</v>
          </cell>
          <cell r="L545">
            <v>0</v>
          </cell>
          <cell r="M545">
            <v>0</v>
          </cell>
          <cell r="T545">
            <v>8802</v>
          </cell>
          <cell r="U545">
            <v>0</v>
          </cell>
        </row>
        <row r="546">
          <cell r="D546">
            <v>8803</v>
          </cell>
          <cell r="E546" t="str">
            <v>其他归属于母公司所有者权益_前期差错更正调整上年年末余额</v>
          </cell>
          <cell r="F546">
            <v>0</v>
          </cell>
          <cell r="G546">
            <v>0</v>
          </cell>
          <cell r="H546">
            <v>0</v>
          </cell>
          <cell r="I546">
            <v>0</v>
          </cell>
          <cell r="J546">
            <v>0</v>
          </cell>
          <cell r="K546">
            <v>0</v>
          </cell>
          <cell r="L546">
            <v>0</v>
          </cell>
          <cell r="M546">
            <v>0</v>
          </cell>
          <cell r="T546">
            <v>8803</v>
          </cell>
          <cell r="U546">
            <v>0</v>
          </cell>
        </row>
        <row r="547">
          <cell r="D547">
            <v>8804</v>
          </cell>
          <cell r="E547" t="str">
            <v>其他归属于母公司所有者权益_同一控制下企业合并调整上年年末余额</v>
          </cell>
          <cell r="F547">
            <v>0</v>
          </cell>
          <cell r="G547">
            <v>0</v>
          </cell>
          <cell r="H547">
            <v>0</v>
          </cell>
          <cell r="I547">
            <v>0</v>
          </cell>
          <cell r="J547">
            <v>0</v>
          </cell>
          <cell r="K547">
            <v>0</v>
          </cell>
          <cell r="L547">
            <v>0</v>
          </cell>
          <cell r="M547">
            <v>0</v>
          </cell>
          <cell r="T547">
            <v>8804</v>
          </cell>
          <cell r="U547">
            <v>0</v>
          </cell>
        </row>
        <row r="548">
          <cell r="D548">
            <v>8809</v>
          </cell>
          <cell r="E548" t="str">
            <v>其他归属于母公司所有者权益_其他原因调整上年年末余额</v>
          </cell>
          <cell r="F548">
            <v>0</v>
          </cell>
          <cell r="G548">
            <v>0</v>
          </cell>
          <cell r="H548">
            <v>0</v>
          </cell>
          <cell r="I548">
            <v>0</v>
          </cell>
          <cell r="J548">
            <v>0</v>
          </cell>
          <cell r="K548">
            <v>0</v>
          </cell>
          <cell r="L548">
            <v>0</v>
          </cell>
          <cell r="M548">
            <v>0</v>
          </cell>
          <cell r="T548">
            <v>8809</v>
          </cell>
          <cell r="U548">
            <v>0</v>
          </cell>
        </row>
        <row r="549">
          <cell r="D549">
            <v>8810</v>
          </cell>
          <cell r="E549" t="str">
            <v>其他归属于母公司所有者权益_本年年初余额</v>
          </cell>
          <cell r="F549">
            <v>0</v>
          </cell>
          <cell r="G549">
            <v>0</v>
          </cell>
          <cell r="H549">
            <v>0</v>
          </cell>
          <cell r="I549">
            <v>0</v>
          </cell>
          <cell r="J549">
            <v>0</v>
          </cell>
          <cell r="K549">
            <v>0</v>
          </cell>
          <cell r="L549">
            <v>0</v>
          </cell>
          <cell r="M549">
            <v>0</v>
          </cell>
          <cell r="T549">
            <v>8810</v>
          </cell>
          <cell r="U549">
            <v>0</v>
          </cell>
        </row>
        <row r="550">
          <cell r="D550">
            <v>8890</v>
          </cell>
          <cell r="E550" t="str">
            <v>其他归属于母公司所有者权益_本期增减变动金额</v>
          </cell>
          <cell r="F550">
            <v>0</v>
          </cell>
          <cell r="G550">
            <v>0</v>
          </cell>
          <cell r="H550">
            <v>0</v>
          </cell>
          <cell r="I550">
            <v>0</v>
          </cell>
          <cell r="J550">
            <v>0</v>
          </cell>
          <cell r="K550">
            <v>0</v>
          </cell>
          <cell r="L550">
            <v>0</v>
          </cell>
          <cell r="M550">
            <v>0</v>
          </cell>
          <cell r="T550">
            <v>8890</v>
          </cell>
          <cell r="U550">
            <v>0</v>
          </cell>
        </row>
        <row r="551">
          <cell r="D551">
            <v>8821</v>
          </cell>
          <cell r="E551" t="str">
            <v>其他归属于母公司所有者权益_净利润增加权益</v>
          </cell>
          <cell r="F551">
            <v>0</v>
          </cell>
          <cell r="G551">
            <v>0</v>
          </cell>
          <cell r="H551">
            <v>0</v>
          </cell>
          <cell r="I551">
            <v>0</v>
          </cell>
          <cell r="J551">
            <v>0</v>
          </cell>
          <cell r="K551">
            <v>0</v>
          </cell>
          <cell r="L551">
            <v>0</v>
          </cell>
          <cell r="M551">
            <v>0</v>
          </cell>
          <cell r="T551">
            <v>8821</v>
          </cell>
          <cell r="U551">
            <v>0</v>
          </cell>
        </row>
        <row r="552">
          <cell r="D552">
            <v>8830</v>
          </cell>
          <cell r="E552" t="str">
            <v>其他归属于母公司所有者权益_其他综合收益</v>
          </cell>
          <cell r="F552">
            <v>0</v>
          </cell>
          <cell r="G552">
            <v>0</v>
          </cell>
          <cell r="H552">
            <v>0</v>
          </cell>
          <cell r="I552">
            <v>0</v>
          </cell>
          <cell r="J552">
            <v>0</v>
          </cell>
          <cell r="K552">
            <v>0</v>
          </cell>
          <cell r="L552">
            <v>0</v>
          </cell>
          <cell r="M552">
            <v>0</v>
          </cell>
          <cell r="T552">
            <v>8830</v>
          </cell>
          <cell r="U552">
            <v>0</v>
          </cell>
        </row>
        <row r="553">
          <cell r="D553">
            <v>8840</v>
          </cell>
          <cell r="E553" t="str">
            <v>其他归属于母公司所有者权益_综合收益总额增加权益</v>
          </cell>
          <cell r="F553">
            <v>0</v>
          </cell>
          <cell r="G553">
            <v>0</v>
          </cell>
          <cell r="H553">
            <v>0</v>
          </cell>
          <cell r="I553">
            <v>0</v>
          </cell>
          <cell r="J553">
            <v>0</v>
          </cell>
          <cell r="K553">
            <v>0</v>
          </cell>
          <cell r="L553">
            <v>0</v>
          </cell>
          <cell r="M553">
            <v>0</v>
          </cell>
          <cell r="T553">
            <v>8840</v>
          </cell>
          <cell r="U553">
            <v>0</v>
          </cell>
        </row>
        <row r="554">
          <cell r="D554">
            <v>8850</v>
          </cell>
          <cell r="E554" t="str">
            <v>其他归属于母公司所有者权益_所有者投入和减少资本影响权益</v>
          </cell>
          <cell r="F554">
            <v>0</v>
          </cell>
          <cell r="G554">
            <v>0</v>
          </cell>
          <cell r="H554">
            <v>0</v>
          </cell>
          <cell r="I554">
            <v>0</v>
          </cell>
          <cell r="J554">
            <v>0</v>
          </cell>
          <cell r="K554">
            <v>0</v>
          </cell>
          <cell r="L554">
            <v>0</v>
          </cell>
          <cell r="M554">
            <v>0</v>
          </cell>
          <cell r="T554">
            <v>8850</v>
          </cell>
          <cell r="U554">
            <v>0</v>
          </cell>
        </row>
        <row r="555">
          <cell r="D555">
            <v>8851</v>
          </cell>
          <cell r="E555" t="str">
            <v>其他归属于母公司所有者权益_所有者投入资本</v>
          </cell>
          <cell r="F555">
            <v>0</v>
          </cell>
          <cell r="G555">
            <v>0</v>
          </cell>
          <cell r="H555">
            <v>0</v>
          </cell>
          <cell r="I555">
            <v>0</v>
          </cell>
          <cell r="J555">
            <v>0</v>
          </cell>
          <cell r="K555">
            <v>0</v>
          </cell>
          <cell r="L555">
            <v>0</v>
          </cell>
          <cell r="M555">
            <v>0</v>
          </cell>
          <cell r="T555">
            <v>8851</v>
          </cell>
          <cell r="U555">
            <v>0</v>
          </cell>
        </row>
        <row r="556">
          <cell r="D556">
            <v>8853</v>
          </cell>
          <cell r="E556" t="str">
            <v>其他归属于母公司所有者权益_其他权益工具持有者投入资本</v>
          </cell>
          <cell r="F556">
            <v>0</v>
          </cell>
          <cell r="G556">
            <v>0</v>
          </cell>
          <cell r="H556">
            <v>0</v>
          </cell>
          <cell r="I556">
            <v>0</v>
          </cell>
          <cell r="J556">
            <v>0</v>
          </cell>
          <cell r="K556">
            <v>0</v>
          </cell>
          <cell r="L556">
            <v>0</v>
          </cell>
          <cell r="M556">
            <v>0</v>
          </cell>
          <cell r="T556">
            <v>8853</v>
          </cell>
          <cell r="U556">
            <v>0</v>
          </cell>
        </row>
        <row r="557">
          <cell r="D557">
            <v>8852</v>
          </cell>
          <cell r="E557" t="str">
            <v>其他归属于母公司所有者权益_股份支付</v>
          </cell>
          <cell r="F557">
            <v>0</v>
          </cell>
          <cell r="G557">
            <v>0</v>
          </cell>
          <cell r="H557">
            <v>0</v>
          </cell>
          <cell r="I557">
            <v>0</v>
          </cell>
          <cell r="J557">
            <v>0</v>
          </cell>
          <cell r="K557">
            <v>0</v>
          </cell>
          <cell r="L557">
            <v>0</v>
          </cell>
          <cell r="M557">
            <v>0</v>
          </cell>
          <cell r="T557">
            <v>8852</v>
          </cell>
          <cell r="U557">
            <v>0</v>
          </cell>
        </row>
        <row r="558">
          <cell r="D558">
            <v>8856</v>
          </cell>
          <cell r="E558" t="str">
            <v>其他归属于母公司所有者权益_所有者其他投入和减少资本</v>
          </cell>
          <cell r="F558">
            <v>0</v>
          </cell>
          <cell r="G558">
            <v>0</v>
          </cell>
          <cell r="H558">
            <v>0</v>
          </cell>
          <cell r="I558">
            <v>0</v>
          </cell>
          <cell r="J558">
            <v>0</v>
          </cell>
          <cell r="K558">
            <v>0</v>
          </cell>
          <cell r="L558">
            <v>0</v>
          </cell>
          <cell r="M558">
            <v>0</v>
          </cell>
          <cell r="T558">
            <v>8856</v>
          </cell>
          <cell r="U558">
            <v>0</v>
          </cell>
        </row>
        <row r="559">
          <cell r="D559">
            <v>8860</v>
          </cell>
          <cell r="E559" t="str">
            <v>其他归属于母公司所有者权益_利润分配影响权益</v>
          </cell>
          <cell r="F559">
            <v>0</v>
          </cell>
          <cell r="G559">
            <v>0</v>
          </cell>
          <cell r="H559">
            <v>0</v>
          </cell>
          <cell r="I559">
            <v>0</v>
          </cell>
          <cell r="J559">
            <v>0</v>
          </cell>
          <cell r="K559">
            <v>0</v>
          </cell>
          <cell r="L559">
            <v>0</v>
          </cell>
          <cell r="M559">
            <v>0</v>
          </cell>
          <cell r="T559">
            <v>8860</v>
          </cell>
          <cell r="U559">
            <v>0</v>
          </cell>
        </row>
        <row r="560">
          <cell r="D560">
            <v>8861</v>
          </cell>
          <cell r="E560" t="str">
            <v>其他归属于母公司所有者权益_提取盈余公积</v>
          </cell>
          <cell r="F560">
            <v>0</v>
          </cell>
          <cell r="G560">
            <v>0</v>
          </cell>
          <cell r="H560">
            <v>0</v>
          </cell>
          <cell r="I560">
            <v>0</v>
          </cell>
          <cell r="J560">
            <v>0</v>
          </cell>
          <cell r="K560">
            <v>0</v>
          </cell>
          <cell r="L560">
            <v>0</v>
          </cell>
          <cell r="M560">
            <v>0</v>
          </cell>
          <cell r="T560">
            <v>8861</v>
          </cell>
          <cell r="U560">
            <v>0</v>
          </cell>
        </row>
        <row r="561">
          <cell r="D561">
            <v>8862</v>
          </cell>
          <cell r="E561" t="str">
            <v>其他归属于母公司所有者权益_提取一般风险准备</v>
          </cell>
          <cell r="F561">
            <v>0</v>
          </cell>
          <cell r="G561">
            <v>0</v>
          </cell>
          <cell r="H561">
            <v>0</v>
          </cell>
          <cell r="I561">
            <v>0</v>
          </cell>
          <cell r="J561">
            <v>0</v>
          </cell>
          <cell r="K561">
            <v>0</v>
          </cell>
          <cell r="L561">
            <v>0</v>
          </cell>
          <cell r="M561">
            <v>0</v>
          </cell>
          <cell r="T561">
            <v>8862</v>
          </cell>
          <cell r="U561">
            <v>0</v>
          </cell>
        </row>
        <row r="562">
          <cell r="D562">
            <v>8863</v>
          </cell>
          <cell r="E562" t="str">
            <v>其他归属于母公司所有者权益_对所有者的分配</v>
          </cell>
          <cell r="F562">
            <v>0</v>
          </cell>
          <cell r="G562">
            <v>0</v>
          </cell>
          <cell r="H562">
            <v>0</v>
          </cell>
          <cell r="I562">
            <v>0</v>
          </cell>
          <cell r="J562">
            <v>0</v>
          </cell>
          <cell r="K562">
            <v>0</v>
          </cell>
          <cell r="L562">
            <v>0</v>
          </cell>
          <cell r="M562">
            <v>0</v>
          </cell>
          <cell r="T562">
            <v>8863</v>
          </cell>
          <cell r="U562">
            <v>0</v>
          </cell>
        </row>
        <row r="563">
          <cell r="D563">
            <v>8866</v>
          </cell>
          <cell r="E563" t="str">
            <v>其他归属于母公司所有者权益_其他利润分配</v>
          </cell>
          <cell r="F563">
            <v>0</v>
          </cell>
          <cell r="G563">
            <v>0</v>
          </cell>
          <cell r="H563">
            <v>0</v>
          </cell>
          <cell r="I563">
            <v>0</v>
          </cell>
          <cell r="J563">
            <v>0</v>
          </cell>
          <cell r="K563">
            <v>0</v>
          </cell>
          <cell r="L563">
            <v>0</v>
          </cell>
          <cell r="M563">
            <v>0</v>
          </cell>
          <cell r="T563">
            <v>8866</v>
          </cell>
          <cell r="U563">
            <v>0</v>
          </cell>
        </row>
        <row r="564">
          <cell r="D564">
            <v>8870</v>
          </cell>
          <cell r="E564" t="str">
            <v>其他归属于母公司所有者权益_所有者权益内部结转</v>
          </cell>
          <cell r="F564">
            <v>0</v>
          </cell>
          <cell r="G564">
            <v>0</v>
          </cell>
          <cell r="H564">
            <v>0</v>
          </cell>
          <cell r="I564">
            <v>0</v>
          </cell>
          <cell r="J564">
            <v>0</v>
          </cell>
          <cell r="K564">
            <v>0</v>
          </cell>
          <cell r="L564">
            <v>0</v>
          </cell>
          <cell r="M564">
            <v>0</v>
          </cell>
          <cell r="T564">
            <v>8870</v>
          </cell>
          <cell r="U564">
            <v>0</v>
          </cell>
        </row>
        <row r="565">
          <cell r="D565">
            <v>8871</v>
          </cell>
          <cell r="E565" t="str">
            <v>其他归属于母公司所有者权益_资本公积转增资本</v>
          </cell>
          <cell r="F565">
            <v>0</v>
          </cell>
          <cell r="G565">
            <v>0</v>
          </cell>
          <cell r="H565">
            <v>0</v>
          </cell>
          <cell r="I565">
            <v>0</v>
          </cell>
          <cell r="J565">
            <v>0</v>
          </cell>
          <cell r="K565">
            <v>0</v>
          </cell>
          <cell r="L565">
            <v>0</v>
          </cell>
          <cell r="M565">
            <v>0</v>
          </cell>
          <cell r="T565">
            <v>8871</v>
          </cell>
          <cell r="U565">
            <v>0</v>
          </cell>
        </row>
        <row r="566">
          <cell r="D566">
            <v>8872</v>
          </cell>
          <cell r="E566" t="str">
            <v>其他归属于母公司所有者权益_盈余公积转增资本</v>
          </cell>
          <cell r="F566">
            <v>0</v>
          </cell>
          <cell r="G566">
            <v>0</v>
          </cell>
          <cell r="H566">
            <v>0</v>
          </cell>
          <cell r="I566">
            <v>0</v>
          </cell>
          <cell r="J566">
            <v>0</v>
          </cell>
          <cell r="K566">
            <v>0</v>
          </cell>
          <cell r="L566">
            <v>0</v>
          </cell>
          <cell r="M566">
            <v>0</v>
          </cell>
          <cell r="T566">
            <v>8872</v>
          </cell>
          <cell r="U566">
            <v>0</v>
          </cell>
        </row>
        <row r="567">
          <cell r="D567">
            <v>8873</v>
          </cell>
          <cell r="E567" t="str">
            <v>其他归属于母公司所有者权益_盈余公积弥补亏损</v>
          </cell>
          <cell r="F567">
            <v>0</v>
          </cell>
          <cell r="G567">
            <v>0</v>
          </cell>
          <cell r="H567">
            <v>0</v>
          </cell>
          <cell r="I567">
            <v>0</v>
          </cell>
          <cell r="J567">
            <v>0</v>
          </cell>
          <cell r="K567">
            <v>0</v>
          </cell>
          <cell r="L567">
            <v>0</v>
          </cell>
          <cell r="M567">
            <v>0</v>
          </cell>
          <cell r="T567">
            <v>8873</v>
          </cell>
          <cell r="U567">
            <v>0</v>
          </cell>
        </row>
        <row r="568">
          <cell r="D568">
            <v>8875</v>
          </cell>
          <cell r="E568" t="str">
            <v>其他归属于母公司所有者权益_结转重新计量设定受益计划净负债或净资产所产生的变动</v>
          </cell>
          <cell r="F568">
            <v>0</v>
          </cell>
          <cell r="G568">
            <v>0</v>
          </cell>
          <cell r="H568">
            <v>0</v>
          </cell>
          <cell r="I568">
            <v>0</v>
          </cell>
          <cell r="J568">
            <v>0</v>
          </cell>
          <cell r="K568">
            <v>0</v>
          </cell>
          <cell r="L568">
            <v>0</v>
          </cell>
          <cell r="M568">
            <v>0</v>
          </cell>
          <cell r="T568">
            <v>8875</v>
          </cell>
          <cell r="U568">
            <v>0</v>
          </cell>
        </row>
        <row r="569">
          <cell r="D569">
            <v>8876</v>
          </cell>
          <cell r="E569" t="str">
            <v>其他归属于母公司所有者权益_所有者权益其他内部结转</v>
          </cell>
          <cell r="F569">
            <v>0</v>
          </cell>
          <cell r="G569">
            <v>0</v>
          </cell>
          <cell r="H569">
            <v>0</v>
          </cell>
          <cell r="I569">
            <v>0</v>
          </cell>
          <cell r="J569">
            <v>0</v>
          </cell>
          <cell r="K569">
            <v>0</v>
          </cell>
          <cell r="L569">
            <v>0</v>
          </cell>
          <cell r="M569">
            <v>0</v>
          </cell>
          <cell r="T569">
            <v>8876</v>
          </cell>
          <cell r="U569">
            <v>0</v>
          </cell>
        </row>
        <row r="570">
          <cell r="D570">
            <v>8880</v>
          </cell>
          <cell r="E570" t="str">
            <v>其他归属于母公司所有者权益_专项储备影响权益</v>
          </cell>
          <cell r="F570">
            <v>0</v>
          </cell>
          <cell r="G570">
            <v>0</v>
          </cell>
          <cell r="H570">
            <v>0</v>
          </cell>
          <cell r="I570">
            <v>0</v>
          </cell>
          <cell r="J570">
            <v>0</v>
          </cell>
          <cell r="K570">
            <v>0</v>
          </cell>
          <cell r="L570">
            <v>0</v>
          </cell>
          <cell r="M570">
            <v>0</v>
          </cell>
          <cell r="T570">
            <v>8880</v>
          </cell>
          <cell r="U570">
            <v>0</v>
          </cell>
        </row>
        <row r="571">
          <cell r="D571">
            <v>8881</v>
          </cell>
          <cell r="E571" t="str">
            <v>其他归属于母公司所有者权益_专项储备本期提取</v>
          </cell>
          <cell r="F571">
            <v>0</v>
          </cell>
          <cell r="G571">
            <v>0</v>
          </cell>
          <cell r="H571">
            <v>0</v>
          </cell>
          <cell r="I571">
            <v>0</v>
          </cell>
          <cell r="J571">
            <v>0</v>
          </cell>
          <cell r="K571">
            <v>0</v>
          </cell>
          <cell r="L571">
            <v>0</v>
          </cell>
          <cell r="M571">
            <v>0</v>
          </cell>
          <cell r="T571">
            <v>8881</v>
          </cell>
          <cell r="U571">
            <v>0</v>
          </cell>
        </row>
        <row r="572">
          <cell r="D572">
            <v>8882</v>
          </cell>
          <cell r="E572" t="str">
            <v>其他归属于母公司所有者权益_专项储备本期使用</v>
          </cell>
          <cell r="F572">
            <v>0</v>
          </cell>
          <cell r="G572">
            <v>0</v>
          </cell>
          <cell r="H572">
            <v>0</v>
          </cell>
          <cell r="I572">
            <v>0</v>
          </cell>
          <cell r="J572">
            <v>0</v>
          </cell>
          <cell r="K572">
            <v>0</v>
          </cell>
          <cell r="L572">
            <v>0</v>
          </cell>
          <cell r="M572">
            <v>0</v>
          </cell>
          <cell r="T572">
            <v>8882</v>
          </cell>
          <cell r="U572">
            <v>0</v>
          </cell>
        </row>
        <row r="573">
          <cell r="D573">
            <v>8896</v>
          </cell>
          <cell r="E573" t="str">
            <v>其他归属于母公司所有者权益_本期其他增减变动</v>
          </cell>
          <cell r="F573">
            <v>0</v>
          </cell>
          <cell r="G573">
            <v>0</v>
          </cell>
          <cell r="H573">
            <v>0</v>
          </cell>
          <cell r="I573">
            <v>0</v>
          </cell>
          <cell r="J573">
            <v>0</v>
          </cell>
          <cell r="K573">
            <v>0</v>
          </cell>
          <cell r="L573">
            <v>0</v>
          </cell>
          <cell r="M573">
            <v>0</v>
          </cell>
          <cell r="T573">
            <v>8896</v>
          </cell>
          <cell r="U573">
            <v>0</v>
          </cell>
        </row>
        <row r="574">
          <cell r="D574">
            <v>8899</v>
          </cell>
          <cell r="E574" t="str">
            <v>其他归属于母公司所有者权益_本期期末余额</v>
          </cell>
          <cell r="F574">
            <v>0</v>
          </cell>
          <cell r="G574">
            <v>0</v>
          </cell>
          <cell r="H574">
            <v>0</v>
          </cell>
          <cell r="I574">
            <v>0</v>
          </cell>
          <cell r="J574">
            <v>0</v>
          </cell>
          <cell r="K574">
            <v>0</v>
          </cell>
          <cell r="L574">
            <v>0</v>
          </cell>
          <cell r="M574">
            <v>0</v>
          </cell>
          <cell r="T574">
            <v>8899</v>
          </cell>
          <cell r="U574">
            <v>0</v>
          </cell>
        </row>
        <row r="575">
          <cell r="D575">
            <v>8900</v>
          </cell>
          <cell r="E575" t="str">
            <v>少数股东权益增减变动</v>
          </cell>
          <cell r="F575">
            <v>0</v>
          </cell>
          <cell r="G575">
            <v>0</v>
          </cell>
          <cell r="H575">
            <v>0</v>
          </cell>
          <cell r="I575">
            <v>0</v>
          </cell>
          <cell r="J575">
            <v>0</v>
          </cell>
          <cell r="K575">
            <v>0</v>
          </cell>
          <cell r="L575">
            <v>0</v>
          </cell>
          <cell r="M575">
            <v>0</v>
          </cell>
          <cell r="T575">
            <v>8900</v>
          </cell>
          <cell r="U575">
            <v>0</v>
          </cell>
        </row>
        <row r="576">
          <cell r="D576">
            <v>8901</v>
          </cell>
          <cell r="E576" t="str">
            <v>少数股东权益_上年年末余额</v>
          </cell>
          <cell r="F576">
            <v>0</v>
          </cell>
          <cell r="G576">
            <v>0</v>
          </cell>
          <cell r="H576">
            <v>0</v>
          </cell>
          <cell r="I576">
            <v>0</v>
          </cell>
          <cell r="J576">
            <v>0</v>
          </cell>
          <cell r="K576">
            <v>0</v>
          </cell>
          <cell r="L576">
            <v>0</v>
          </cell>
          <cell r="M576">
            <v>0</v>
          </cell>
          <cell r="T576">
            <v>8901</v>
          </cell>
          <cell r="U576">
            <v>0</v>
          </cell>
        </row>
        <row r="577">
          <cell r="D577">
            <v>8902</v>
          </cell>
          <cell r="E577" t="str">
            <v>少数股东权益_会计政策变更调整上年年末余额</v>
          </cell>
          <cell r="F577">
            <v>0</v>
          </cell>
          <cell r="G577">
            <v>0</v>
          </cell>
          <cell r="H577">
            <v>0</v>
          </cell>
          <cell r="I577">
            <v>0</v>
          </cell>
          <cell r="J577">
            <v>0</v>
          </cell>
          <cell r="K577">
            <v>0</v>
          </cell>
          <cell r="L577">
            <v>0</v>
          </cell>
          <cell r="M577">
            <v>0</v>
          </cell>
          <cell r="T577">
            <v>8902</v>
          </cell>
          <cell r="U577">
            <v>0</v>
          </cell>
        </row>
        <row r="578">
          <cell r="D578">
            <v>8903</v>
          </cell>
          <cell r="E578" t="str">
            <v>少数股东权益_前期差错更正调整上年年末余额</v>
          </cell>
          <cell r="F578">
            <v>0</v>
          </cell>
          <cell r="G578">
            <v>0</v>
          </cell>
          <cell r="H578">
            <v>0</v>
          </cell>
          <cell r="I578">
            <v>0</v>
          </cell>
          <cell r="J578">
            <v>0</v>
          </cell>
          <cell r="K578">
            <v>0</v>
          </cell>
          <cell r="L578">
            <v>0</v>
          </cell>
          <cell r="M578">
            <v>0</v>
          </cell>
          <cell r="T578">
            <v>8903</v>
          </cell>
          <cell r="U578">
            <v>0</v>
          </cell>
        </row>
        <row r="579">
          <cell r="D579">
            <v>8904</v>
          </cell>
          <cell r="E579" t="str">
            <v>少数股东权益_同一控制下企业合并调整上年年末余额</v>
          </cell>
          <cell r="F579">
            <v>0</v>
          </cell>
          <cell r="G579">
            <v>0</v>
          </cell>
          <cell r="H579">
            <v>0</v>
          </cell>
          <cell r="I579">
            <v>0</v>
          </cell>
          <cell r="J579">
            <v>0</v>
          </cell>
          <cell r="K579">
            <v>0</v>
          </cell>
          <cell r="L579">
            <v>0</v>
          </cell>
          <cell r="M579">
            <v>0</v>
          </cell>
          <cell r="T579">
            <v>8904</v>
          </cell>
          <cell r="U579">
            <v>0</v>
          </cell>
        </row>
        <row r="580">
          <cell r="D580">
            <v>8909</v>
          </cell>
          <cell r="E580" t="str">
            <v>少数股东权益_其他原因调整上年年末余额</v>
          </cell>
          <cell r="F580">
            <v>0</v>
          </cell>
          <cell r="G580">
            <v>0</v>
          </cell>
          <cell r="H580">
            <v>0</v>
          </cell>
          <cell r="I580">
            <v>0</v>
          </cell>
          <cell r="J580">
            <v>0</v>
          </cell>
          <cell r="K580">
            <v>0</v>
          </cell>
          <cell r="L580">
            <v>0</v>
          </cell>
          <cell r="M580">
            <v>0</v>
          </cell>
          <cell r="T580">
            <v>8909</v>
          </cell>
          <cell r="U580">
            <v>0</v>
          </cell>
        </row>
        <row r="581">
          <cell r="D581">
            <v>8910</v>
          </cell>
          <cell r="E581" t="str">
            <v>少数股东权益_本年年初余额</v>
          </cell>
          <cell r="F581">
            <v>0</v>
          </cell>
          <cell r="G581">
            <v>0</v>
          </cell>
          <cell r="H581">
            <v>0</v>
          </cell>
          <cell r="I581">
            <v>0</v>
          </cell>
          <cell r="J581">
            <v>0</v>
          </cell>
          <cell r="K581">
            <v>0</v>
          </cell>
          <cell r="L581">
            <v>0</v>
          </cell>
          <cell r="M581">
            <v>0</v>
          </cell>
          <cell r="T581">
            <v>8910</v>
          </cell>
          <cell r="U581">
            <v>0</v>
          </cell>
        </row>
        <row r="582">
          <cell r="D582">
            <v>8990</v>
          </cell>
          <cell r="E582" t="str">
            <v>少数股东权益_本期增减变动金额</v>
          </cell>
          <cell r="F582">
            <v>0</v>
          </cell>
          <cell r="G582">
            <v>0</v>
          </cell>
          <cell r="H582">
            <v>0</v>
          </cell>
          <cell r="I582">
            <v>0</v>
          </cell>
          <cell r="J582">
            <v>0</v>
          </cell>
          <cell r="K582">
            <v>0</v>
          </cell>
          <cell r="L582">
            <v>0</v>
          </cell>
          <cell r="M582">
            <v>0</v>
          </cell>
          <cell r="T582">
            <v>8990</v>
          </cell>
          <cell r="U582">
            <v>0</v>
          </cell>
        </row>
        <row r="583">
          <cell r="D583">
            <v>8921</v>
          </cell>
          <cell r="E583" t="str">
            <v>少数股东权益_净利润</v>
          </cell>
          <cell r="F583">
            <v>0</v>
          </cell>
          <cell r="G583">
            <v>0</v>
          </cell>
          <cell r="H583">
            <v>0</v>
          </cell>
          <cell r="I583">
            <v>0</v>
          </cell>
          <cell r="J583">
            <v>0</v>
          </cell>
          <cell r="K583">
            <v>0</v>
          </cell>
          <cell r="L583">
            <v>0</v>
          </cell>
          <cell r="M583">
            <v>0</v>
          </cell>
          <cell r="T583">
            <v>8921</v>
          </cell>
          <cell r="U583">
            <v>0</v>
          </cell>
        </row>
        <row r="584">
          <cell r="D584">
            <v>8930</v>
          </cell>
          <cell r="E584" t="str">
            <v>少数股东权益_其他综合收益</v>
          </cell>
          <cell r="F584">
            <v>0</v>
          </cell>
          <cell r="G584">
            <v>0</v>
          </cell>
          <cell r="H584">
            <v>0</v>
          </cell>
          <cell r="I584">
            <v>0</v>
          </cell>
          <cell r="J584">
            <v>0</v>
          </cell>
          <cell r="K584">
            <v>0</v>
          </cell>
          <cell r="L584">
            <v>0</v>
          </cell>
          <cell r="M584">
            <v>0</v>
          </cell>
          <cell r="T584">
            <v>8930</v>
          </cell>
          <cell r="U584">
            <v>0</v>
          </cell>
        </row>
        <row r="585">
          <cell r="D585">
            <v>8940</v>
          </cell>
          <cell r="E585" t="str">
            <v>少数股东权益_综合收益总额增加权益</v>
          </cell>
          <cell r="F585">
            <v>0</v>
          </cell>
          <cell r="G585">
            <v>0</v>
          </cell>
          <cell r="H585">
            <v>0</v>
          </cell>
          <cell r="I585">
            <v>0</v>
          </cell>
          <cell r="J585">
            <v>0</v>
          </cell>
          <cell r="K585">
            <v>0</v>
          </cell>
          <cell r="L585">
            <v>0</v>
          </cell>
          <cell r="M585">
            <v>0</v>
          </cell>
          <cell r="T585">
            <v>8940</v>
          </cell>
          <cell r="U585">
            <v>0</v>
          </cell>
        </row>
        <row r="586">
          <cell r="D586">
            <v>8950</v>
          </cell>
          <cell r="E586" t="str">
            <v>少数股东权益_所有者投入和减少资本影响权益</v>
          </cell>
          <cell r="F586">
            <v>0</v>
          </cell>
          <cell r="G586">
            <v>0</v>
          </cell>
          <cell r="H586">
            <v>0</v>
          </cell>
          <cell r="I586">
            <v>0</v>
          </cell>
          <cell r="J586">
            <v>0</v>
          </cell>
          <cell r="K586">
            <v>0</v>
          </cell>
          <cell r="L586">
            <v>0</v>
          </cell>
          <cell r="M586">
            <v>0</v>
          </cell>
          <cell r="T586">
            <v>8950</v>
          </cell>
          <cell r="U586">
            <v>0</v>
          </cell>
        </row>
        <row r="587">
          <cell r="D587">
            <v>8951</v>
          </cell>
          <cell r="E587" t="str">
            <v>少数股东权益_所有者投入资本</v>
          </cell>
          <cell r="F587">
            <v>0</v>
          </cell>
          <cell r="G587">
            <v>0</v>
          </cell>
          <cell r="H587">
            <v>0</v>
          </cell>
          <cell r="I587">
            <v>0</v>
          </cell>
          <cell r="J587">
            <v>0</v>
          </cell>
          <cell r="K587">
            <v>0</v>
          </cell>
          <cell r="L587">
            <v>0</v>
          </cell>
          <cell r="M587">
            <v>0</v>
          </cell>
          <cell r="T587">
            <v>8951</v>
          </cell>
          <cell r="U587">
            <v>0</v>
          </cell>
        </row>
        <row r="588">
          <cell r="D588">
            <v>8953</v>
          </cell>
          <cell r="E588" t="str">
            <v>少数股东权益_其他权益工具持有者投入资本</v>
          </cell>
          <cell r="F588">
            <v>0</v>
          </cell>
          <cell r="G588">
            <v>0</v>
          </cell>
          <cell r="H588">
            <v>0</v>
          </cell>
          <cell r="I588">
            <v>0</v>
          </cell>
          <cell r="J588">
            <v>0</v>
          </cell>
          <cell r="K588">
            <v>0</v>
          </cell>
          <cell r="L588">
            <v>0</v>
          </cell>
          <cell r="M588">
            <v>0</v>
          </cell>
          <cell r="T588">
            <v>8953</v>
          </cell>
          <cell r="U588">
            <v>0</v>
          </cell>
        </row>
        <row r="589">
          <cell r="D589">
            <v>8952</v>
          </cell>
          <cell r="E589" t="str">
            <v>少数股东权益_股份支付</v>
          </cell>
          <cell r="F589">
            <v>0</v>
          </cell>
          <cell r="G589">
            <v>0</v>
          </cell>
          <cell r="H589">
            <v>0</v>
          </cell>
          <cell r="I589">
            <v>0</v>
          </cell>
          <cell r="J589">
            <v>0</v>
          </cell>
          <cell r="K589">
            <v>0</v>
          </cell>
          <cell r="L589">
            <v>0</v>
          </cell>
          <cell r="M589">
            <v>0</v>
          </cell>
          <cell r="T589">
            <v>8952</v>
          </cell>
          <cell r="U589">
            <v>0</v>
          </cell>
        </row>
        <row r="590">
          <cell r="D590">
            <v>8956</v>
          </cell>
          <cell r="E590" t="str">
            <v>少数股东权益_所有者其他投入和减少资本</v>
          </cell>
          <cell r="F590">
            <v>0</v>
          </cell>
          <cell r="G590">
            <v>0</v>
          </cell>
          <cell r="H590">
            <v>0</v>
          </cell>
          <cell r="I590">
            <v>0</v>
          </cell>
          <cell r="J590">
            <v>0</v>
          </cell>
          <cell r="K590">
            <v>0</v>
          </cell>
          <cell r="L590">
            <v>0</v>
          </cell>
          <cell r="M590">
            <v>0</v>
          </cell>
          <cell r="T590">
            <v>8956</v>
          </cell>
          <cell r="U590">
            <v>0</v>
          </cell>
        </row>
        <row r="591">
          <cell r="D591">
            <v>8960</v>
          </cell>
          <cell r="E591" t="str">
            <v>少数股东权益_利润分配影响权益</v>
          </cell>
          <cell r="F591">
            <v>0</v>
          </cell>
          <cell r="G591">
            <v>0</v>
          </cell>
          <cell r="H591">
            <v>0</v>
          </cell>
          <cell r="I591">
            <v>0</v>
          </cell>
          <cell r="J591">
            <v>0</v>
          </cell>
          <cell r="K591">
            <v>0</v>
          </cell>
          <cell r="L591">
            <v>0</v>
          </cell>
          <cell r="M591">
            <v>0</v>
          </cell>
          <cell r="T591">
            <v>8960</v>
          </cell>
          <cell r="U591">
            <v>0</v>
          </cell>
        </row>
        <row r="592">
          <cell r="D592">
            <v>8961</v>
          </cell>
          <cell r="E592" t="str">
            <v>少数股东权益_提取盈余公积影响权益</v>
          </cell>
          <cell r="F592">
            <v>0</v>
          </cell>
          <cell r="G592">
            <v>0</v>
          </cell>
          <cell r="H592">
            <v>0</v>
          </cell>
          <cell r="I592">
            <v>0</v>
          </cell>
          <cell r="J592">
            <v>0</v>
          </cell>
          <cell r="K592">
            <v>0</v>
          </cell>
          <cell r="L592">
            <v>0</v>
          </cell>
          <cell r="M592">
            <v>0</v>
          </cell>
          <cell r="T592">
            <v>8961</v>
          </cell>
          <cell r="U592">
            <v>0</v>
          </cell>
        </row>
        <row r="593">
          <cell r="D593">
            <v>8962</v>
          </cell>
          <cell r="E593" t="str">
            <v>少数股东权益_提取一般风险准备影响权益</v>
          </cell>
          <cell r="F593">
            <v>0</v>
          </cell>
          <cell r="G593">
            <v>0</v>
          </cell>
          <cell r="H593">
            <v>0</v>
          </cell>
          <cell r="I593">
            <v>0</v>
          </cell>
          <cell r="J593">
            <v>0</v>
          </cell>
          <cell r="K593">
            <v>0</v>
          </cell>
          <cell r="L593">
            <v>0</v>
          </cell>
          <cell r="M593">
            <v>0</v>
          </cell>
          <cell r="T593">
            <v>8962</v>
          </cell>
          <cell r="U593">
            <v>0</v>
          </cell>
        </row>
        <row r="594">
          <cell r="D594">
            <v>8963</v>
          </cell>
          <cell r="E594" t="str">
            <v>少数股东权益_对所有者的分配</v>
          </cell>
          <cell r="F594">
            <v>0</v>
          </cell>
          <cell r="G594">
            <v>0</v>
          </cell>
          <cell r="H594">
            <v>0</v>
          </cell>
          <cell r="I594">
            <v>0</v>
          </cell>
          <cell r="J594">
            <v>0</v>
          </cell>
          <cell r="K594">
            <v>0</v>
          </cell>
          <cell r="L594">
            <v>0</v>
          </cell>
          <cell r="M594">
            <v>0</v>
          </cell>
          <cell r="T594">
            <v>8963</v>
          </cell>
          <cell r="U594">
            <v>0</v>
          </cell>
        </row>
        <row r="595">
          <cell r="D595">
            <v>8966</v>
          </cell>
          <cell r="E595" t="str">
            <v>少数股东权益_其他利润分配</v>
          </cell>
          <cell r="F595">
            <v>0</v>
          </cell>
          <cell r="G595">
            <v>0</v>
          </cell>
          <cell r="H595">
            <v>0</v>
          </cell>
          <cell r="I595">
            <v>0</v>
          </cell>
          <cell r="J595">
            <v>0</v>
          </cell>
          <cell r="K595">
            <v>0</v>
          </cell>
          <cell r="L595">
            <v>0</v>
          </cell>
          <cell r="M595">
            <v>0</v>
          </cell>
          <cell r="T595">
            <v>8966</v>
          </cell>
          <cell r="U595">
            <v>0</v>
          </cell>
        </row>
        <row r="596">
          <cell r="D596">
            <v>8970</v>
          </cell>
          <cell r="E596" t="str">
            <v>少数股东权益_所有者权益内部结转</v>
          </cell>
          <cell r="F596">
            <v>0</v>
          </cell>
          <cell r="G596">
            <v>0</v>
          </cell>
          <cell r="H596">
            <v>0</v>
          </cell>
          <cell r="I596">
            <v>0</v>
          </cell>
          <cell r="J596">
            <v>0</v>
          </cell>
          <cell r="K596">
            <v>0</v>
          </cell>
          <cell r="L596">
            <v>0</v>
          </cell>
          <cell r="M596">
            <v>0</v>
          </cell>
          <cell r="T596">
            <v>8970</v>
          </cell>
          <cell r="U596">
            <v>0</v>
          </cell>
        </row>
        <row r="597">
          <cell r="D597">
            <v>8971</v>
          </cell>
          <cell r="E597" t="str">
            <v>少数股东权益_资本公积转增资本影响权益</v>
          </cell>
          <cell r="F597">
            <v>0</v>
          </cell>
          <cell r="G597">
            <v>0</v>
          </cell>
          <cell r="H597">
            <v>0</v>
          </cell>
          <cell r="I597">
            <v>0</v>
          </cell>
          <cell r="J597">
            <v>0</v>
          </cell>
          <cell r="K597">
            <v>0</v>
          </cell>
          <cell r="L597">
            <v>0</v>
          </cell>
          <cell r="M597">
            <v>0</v>
          </cell>
          <cell r="T597">
            <v>8971</v>
          </cell>
          <cell r="U597">
            <v>0</v>
          </cell>
        </row>
        <row r="598">
          <cell r="D598">
            <v>8972</v>
          </cell>
          <cell r="E598" t="str">
            <v>少数股东权益_盈余公积转增资本影响权益</v>
          </cell>
          <cell r="F598">
            <v>0</v>
          </cell>
          <cell r="G598">
            <v>0</v>
          </cell>
          <cell r="H598">
            <v>0</v>
          </cell>
          <cell r="I598">
            <v>0</v>
          </cell>
          <cell r="J598">
            <v>0</v>
          </cell>
          <cell r="K598">
            <v>0</v>
          </cell>
          <cell r="L598">
            <v>0</v>
          </cell>
          <cell r="M598">
            <v>0</v>
          </cell>
          <cell r="T598">
            <v>8972</v>
          </cell>
          <cell r="U598">
            <v>0</v>
          </cell>
        </row>
        <row r="599">
          <cell r="D599">
            <v>8973</v>
          </cell>
          <cell r="E599" t="str">
            <v>少数股东权益_盈余公积弥补亏损影响权益</v>
          </cell>
          <cell r="F599">
            <v>0</v>
          </cell>
          <cell r="G599">
            <v>0</v>
          </cell>
          <cell r="H599">
            <v>0</v>
          </cell>
          <cell r="I599">
            <v>0</v>
          </cell>
          <cell r="J599">
            <v>0</v>
          </cell>
          <cell r="K599">
            <v>0</v>
          </cell>
          <cell r="L599">
            <v>0</v>
          </cell>
          <cell r="M599">
            <v>0</v>
          </cell>
          <cell r="T599">
            <v>8973</v>
          </cell>
          <cell r="U599">
            <v>0</v>
          </cell>
        </row>
        <row r="600">
          <cell r="D600">
            <v>8975</v>
          </cell>
          <cell r="E600" t="str">
            <v>少数股东权益_结转重新计量设定受益计划净负债或净资产所产生的变动</v>
          </cell>
          <cell r="F600">
            <v>0</v>
          </cell>
          <cell r="G600">
            <v>0</v>
          </cell>
          <cell r="H600">
            <v>0</v>
          </cell>
          <cell r="I600">
            <v>0</v>
          </cell>
          <cell r="J600">
            <v>0</v>
          </cell>
          <cell r="K600">
            <v>0</v>
          </cell>
          <cell r="L600">
            <v>0</v>
          </cell>
          <cell r="M600">
            <v>0</v>
          </cell>
          <cell r="T600">
            <v>8975</v>
          </cell>
          <cell r="U600">
            <v>0</v>
          </cell>
        </row>
        <row r="601">
          <cell r="D601">
            <v>8976</v>
          </cell>
          <cell r="E601" t="str">
            <v>少数股东权益_所有者权益其他内部结转</v>
          </cell>
          <cell r="F601">
            <v>0</v>
          </cell>
          <cell r="G601">
            <v>0</v>
          </cell>
          <cell r="H601">
            <v>0</v>
          </cell>
          <cell r="I601">
            <v>0</v>
          </cell>
          <cell r="J601">
            <v>0</v>
          </cell>
          <cell r="K601">
            <v>0</v>
          </cell>
          <cell r="L601">
            <v>0</v>
          </cell>
          <cell r="M601">
            <v>0</v>
          </cell>
          <cell r="T601">
            <v>8976</v>
          </cell>
          <cell r="U601">
            <v>0</v>
          </cell>
        </row>
        <row r="602">
          <cell r="D602">
            <v>8980</v>
          </cell>
          <cell r="E602" t="str">
            <v>少数股东权益_专项储备影响权益</v>
          </cell>
          <cell r="F602">
            <v>0</v>
          </cell>
          <cell r="G602">
            <v>0</v>
          </cell>
          <cell r="H602">
            <v>0</v>
          </cell>
          <cell r="I602">
            <v>0</v>
          </cell>
          <cell r="J602">
            <v>0</v>
          </cell>
          <cell r="K602">
            <v>0</v>
          </cell>
          <cell r="L602">
            <v>0</v>
          </cell>
          <cell r="M602">
            <v>0</v>
          </cell>
          <cell r="T602">
            <v>8980</v>
          </cell>
          <cell r="U602">
            <v>0</v>
          </cell>
        </row>
        <row r="603">
          <cell r="D603">
            <v>8981</v>
          </cell>
          <cell r="E603" t="str">
            <v>少数股东权益_专项储备本期提取</v>
          </cell>
          <cell r="F603">
            <v>0</v>
          </cell>
          <cell r="G603">
            <v>0</v>
          </cell>
          <cell r="H603">
            <v>0</v>
          </cell>
          <cell r="I603">
            <v>0</v>
          </cell>
          <cell r="J603">
            <v>0</v>
          </cell>
          <cell r="K603">
            <v>0</v>
          </cell>
          <cell r="L603">
            <v>0</v>
          </cell>
          <cell r="M603">
            <v>0</v>
          </cell>
          <cell r="T603">
            <v>8981</v>
          </cell>
          <cell r="U603">
            <v>0</v>
          </cell>
        </row>
        <row r="604">
          <cell r="D604">
            <v>8982</v>
          </cell>
          <cell r="E604" t="str">
            <v>少数股东权益_专项储备本期使用</v>
          </cell>
          <cell r="F604">
            <v>0</v>
          </cell>
          <cell r="G604">
            <v>0</v>
          </cell>
          <cell r="H604">
            <v>0</v>
          </cell>
          <cell r="I604">
            <v>0</v>
          </cell>
          <cell r="J604">
            <v>0</v>
          </cell>
          <cell r="K604">
            <v>0</v>
          </cell>
          <cell r="L604">
            <v>0</v>
          </cell>
          <cell r="M604">
            <v>0</v>
          </cell>
          <cell r="T604">
            <v>8982</v>
          </cell>
          <cell r="U604">
            <v>0</v>
          </cell>
        </row>
        <row r="605">
          <cell r="D605">
            <v>8996</v>
          </cell>
          <cell r="E605" t="str">
            <v>少数股东权益_本期其他增减变动</v>
          </cell>
          <cell r="F605">
            <v>0</v>
          </cell>
          <cell r="G605">
            <v>0</v>
          </cell>
          <cell r="H605">
            <v>0</v>
          </cell>
          <cell r="I605">
            <v>0</v>
          </cell>
          <cell r="J605">
            <v>0</v>
          </cell>
          <cell r="K605">
            <v>0</v>
          </cell>
          <cell r="L605">
            <v>0</v>
          </cell>
          <cell r="M605">
            <v>0</v>
          </cell>
          <cell r="T605">
            <v>8996</v>
          </cell>
          <cell r="U605">
            <v>0</v>
          </cell>
        </row>
        <row r="606">
          <cell r="D606">
            <v>8999</v>
          </cell>
          <cell r="E606" t="str">
            <v>少数股东权益_本期期末余额</v>
          </cell>
          <cell r="F606">
            <v>0</v>
          </cell>
          <cell r="G606">
            <v>0</v>
          </cell>
          <cell r="H606">
            <v>0</v>
          </cell>
          <cell r="I606">
            <v>0</v>
          </cell>
          <cell r="J606">
            <v>0</v>
          </cell>
          <cell r="K606">
            <v>0</v>
          </cell>
          <cell r="L606">
            <v>0</v>
          </cell>
          <cell r="M606">
            <v>0</v>
          </cell>
          <cell r="T606">
            <v>8999</v>
          </cell>
          <cell r="U606">
            <v>0</v>
          </cell>
        </row>
        <row r="607">
          <cell r="D607">
            <v>7</v>
          </cell>
          <cell r="E607" t="str">
            <v>现金流量表</v>
          </cell>
          <cell r="F607">
            <v>0</v>
          </cell>
          <cell r="G607">
            <v>0</v>
          </cell>
          <cell r="H607">
            <v>0</v>
          </cell>
          <cell r="I607">
            <v>0</v>
          </cell>
          <cell r="J607">
            <v>0</v>
          </cell>
          <cell r="K607">
            <v>0</v>
          </cell>
          <cell r="L607">
            <v>0</v>
          </cell>
          <cell r="M607">
            <v>0</v>
          </cell>
          <cell r="T607">
            <v>7</v>
          </cell>
          <cell r="U607">
            <v>0</v>
          </cell>
        </row>
        <row r="608">
          <cell r="D608">
            <v>7000</v>
          </cell>
          <cell r="E608" t="str">
            <v>经营活动现金流量项目</v>
          </cell>
          <cell r="F608">
            <v>0</v>
          </cell>
          <cell r="G608">
            <v>0</v>
          </cell>
          <cell r="H608">
            <v>0</v>
          </cell>
          <cell r="I608">
            <v>0</v>
          </cell>
          <cell r="J608">
            <v>0</v>
          </cell>
          <cell r="K608">
            <v>0</v>
          </cell>
          <cell r="L608">
            <v>0</v>
          </cell>
          <cell r="M608">
            <v>0</v>
          </cell>
          <cell r="T608">
            <v>7000</v>
          </cell>
          <cell r="U608">
            <v>0</v>
          </cell>
        </row>
        <row r="609">
          <cell r="D609">
            <v>7001</v>
          </cell>
          <cell r="E609" t="str">
            <v>销售商品提供劳务收到的现金</v>
          </cell>
          <cell r="F609">
            <v>4963241.1100000003</v>
          </cell>
          <cell r="G609">
            <v>0</v>
          </cell>
          <cell r="H609">
            <v>0</v>
          </cell>
          <cell r="I609">
            <v>4963241.1100000003</v>
          </cell>
          <cell r="J609">
            <v>3743578.45</v>
          </cell>
          <cell r="K609">
            <v>0</v>
          </cell>
          <cell r="L609">
            <v>0</v>
          </cell>
          <cell r="M609">
            <v>3743578.45</v>
          </cell>
          <cell r="T609">
            <v>7001</v>
          </cell>
          <cell r="U609">
            <v>3743578.45</v>
          </cell>
        </row>
        <row r="610">
          <cell r="D610">
            <v>7011</v>
          </cell>
          <cell r="E610" t="str">
            <v>客户存款和同业存放款项净增加额</v>
          </cell>
          <cell r="F610">
            <v>0</v>
          </cell>
          <cell r="G610">
            <v>0</v>
          </cell>
          <cell r="H610">
            <v>0</v>
          </cell>
          <cell r="I610">
            <v>0</v>
          </cell>
          <cell r="J610">
            <v>0</v>
          </cell>
          <cell r="K610">
            <v>0</v>
          </cell>
          <cell r="L610">
            <v>0</v>
          </cell>
          <cell r="M610">
            <v>0</v>
          </cell>
          <cell r="T610">
            <v>7011</v>
          </cell>
          <cell r="U610">
            <v>0</v>
          </cell>
        </row>
        <row r="611">
          <cell r="D611">
            <v>7012</v>
          </cell>
          <cell r="E611" t="str">
            <v>向中央银行借款净增加额</v>
          </cell>
          <cell r="F611">
            <v>0</v>
          </cell>
          <cell r="G611">
            <v>0</v>
          </cell>
          <cell r="H611">
            <v>0</v>
          </cell>
          <cell r="I611">
            <v>0</v>
          </cell>
          <cell r="J611">
            <v>0</v>
          </cell>
          <cell r="K611">
            <v>0</v>
          </cell>
          <cell r="L611">
            <v>0</v>
          </cell>
          <cell r="M611">
            <v>0</v>
          </cell>
          <cell r="T611">
            <v>7012</v>
          </cell>
          <cell r="U611">
            <v>0</v>
          </cell>
        </row>
        <row r="612">
          <cell r="D612">
            <v>7013</v>
          </cell>
          <cell r="E612" t="str">
            <v>向其他金融机构拆入资金净增加额</v>
          </cell>
          <cell r="F612">
            <v>0</v>
          </cell>
          <cell r="G612">
            <v>0</v>
          </cell>
          <cell r="H612">
            <v>0</v>
          </cell>
          <cell r="I612">
            <v>0</v>
          </cell>
          <cell r="J612">
            <v>0</v>
          </cell>
          <cell r="K612">
            <v>0</v>
          </cell>
          <cell r="L612">
            <v>0</v>
          </cell>
          <cell r="M612">
            <v>0</v>
          </cell>
          <cell r="T612">
            <v>7013</v>
          </cell>
          <cell r="U612">
            <v>0</v>
          </cell>
        </row>
        <row r="613">
          <cell r="D613">
            <v>7014</v>
          </cell>
          <cell r="E613" t="str">
            <v>收到原保险合同保费取得的现金</v>
          </cell>
          <cell r="F613">
            <v>0</v>
          </cell>
          <cell r="G613">
            <v>0</v>
          </cell>
          <cell r="H613">
            <v>0</v>
          </cell>
          <cell r="I613">
            <v>0</v>
          </cell>
          <cell r="J613">
            <v>0</v>
          </cell>
          <cell r="K613">
            <v>0</v>
          </cell>
          <cell r="L613">
            <v>0</v>
          </cell>
          <cell r="M613">
            <v>0</v>
          </cell>
          <cell r="T613">
            <v>7014</v>
          </cell>
          <cell r="U613">
            <v>0</v>
          </cell>
        </row>
        <row r="614">
          <cell r="D614">
            <v>7015</v>
          </cell>
          <cell r="E614" t="str">
            <v>收到再保险业务现金净额</v>
          </cell>
          <cell r="F614">
            <v>0</v>
          </cell>
          <cell r="G614">
            <v>0</v>
          </cell>
          <cell r="H614">
            <v>0</v>
          </cell>
          <cell r="I614">
            <v>0</v>
          </cell>
          <cell r="J614">
            <v>0</v>
          </cell>
          <cell r="K614">
            <v>0</v>
          </cell>
          <cell r="L614">
            <v>0</v>
          </cell>
          <cell r="M614">
            <v>0</v>
          </cell>
          <cell r="T614">
            <v>7015</v>
          </cell>
          <cell r="U614">
            <v>0</v>
          </cell>
        </row>
        <row r="615">
          <cell r="D615">
            <v>7016</v>
          </cell>
          <cell r="E615" t="str">
            <v>保户储金及投资款净增加额</v>
          </cell>
          <cell r="F615">
            <v>0</v>
          </cell>
          <cell r="G615">
            <v>0</v>
          </cell>
          <cell r="H615">
            <v>0</v>
          </cell>
          <cell r="I615">
            <v>0</v>
          </cell>
          <cell r="J615">
            <v>0</v>
          </cell>
          <cell r="K615">
            <v>0</v>
          </cell>
          <cell r="L615">
            <v>0</v>
          </cell>
          <cell r="M615">
            <v>0</v>
          </cell>
          <cell r="T615">
            <v>7016</v>
          </cell>
          <cell r="U615">
            <v>0</v>
          </cell>
        </row>
        <row r="616">
          <cell r="D616">
            <v>7021</v>
          </cell>
          <cell r="E616" t="str">
            <v>处置交易性金融资产净增加额</v>
          </cell>
          <cell r="F616">
            <v>0</v>
          </cell>
          <cell r="G616">
            <v>0</v>
          </cell>
          <cell r="H616">
            <v>0</v>
          </cell>
          <cell r="I616">
            <v>0</v>
          </cell>
          <cell r="J616">
            <v>0</v>
          </cell>
          <cell r="K616">
            <v>0</v>
          </cell>
          <cell r="L616">
            <v>0</v>
          </cell>
          <cell r="M616">
            <v>0</v>
          </cell>
          <cell r="T616">
            <v>7021</v>
          </cell>
          <cell r="U616">
            <v>0</v>
          </cell>
        </row>
        <row r="617">
          <cell r="D617">
            <v>7023</v>
          </cell>
          <cell r="E617" t="str">
            <v>收取利息手续费及佣金的现金</v>
          </cell>
          <cell r="F617">
            <v>0</v>
          </cell>
          <cell r="G617">
            <v>0</v>
          </cell>
          <cell r="H617">
            <v>0</v>
          </cell>
          <cell r="I617">
            <v>0</v>
          </cell>
          <cell r="J617">
            <v>0</v>
          </cell>
          <cell r="K617">
            <v>0</v>
          </cell>
          <cell r="L617">
            <v>0</v>
          </cell>
          <cell r="M617">
            <v>0</v>
          </cell>
          <cell r="T617">
            <v>7023</v>
          </cell>
          <cell r="U617">
            <v>0</v>
          </cell>
        </row>
        <row r="618">
          <cell r="D618">
            <v>7025</v>
          </cell>
          <cell r="E618" t="str">
            <v>拆入资金净增加额</v>
          </cell>
          <cell r="F618">
            <v>0</v>
          </cell>
          <cell r="G618">
            <v>0</v>
          </cell>
          <cell r="H618">
            <v>0</v>
          </cell>
          <cell r="I618">
            <v>0</v>
          </cell>
          <cell r="J618">
            <v>0</v>
          </cell>
          <cell r="K618">
            <v>0</v>
          </cell>
          <cell r="L618">
            <v>0</v>
          </cell>
          <cell r="M618">
            <v>0</v>
          </cell>
          <cell r="T618">
            <v>7025</v>
          </cell>
          <cell r="U618">
            <v>0</v>
          </cell>
        </row>
        <row r="619">
          <cell r="D619">
            <v>7026</v>
          </cell>
          <cell r="E619" t="str">
            <v>回购业务资金净增加额</v>
          </cell>
          <cell r="F619">
            <v>0</v>
          </cell>
          <cell r="G619">
            <v>0</v>
          </cell>
          <cell r="H619">
            <v>0</v>
          </cell>
          <cell r="I619">
            <v>0</v>
          </cell>
          <cell r="J619">
            <v>0</v>
          </cell>
          <cell r="K619">
            <v>0</v>
          </cell>
          <cell r="L619">
            <v>0</v>
          </cell>
          <cell r="M619">
            <v>0</v>
          </cell>
          <cell r="T619">
            <v>7026</v>
          </cell>
          <cell r="U619">
            <v>0</v>
          </cell>
        </row>
        <row r="620">
          <cell r="D620">
            <v>7031</v>
          </cell>
          <cell r="E620" t="str">
            <v>收到的税费返还</v>
          </cell>
          <cell r="F620">
            <v>0</v>
          </cell>
          <cell r="G620">
            <v>0</v>
          </cell>
          <cell r="H620">
            <v>0</v>
          </cell>
          <cell r="I620">
            <v>0</v>
          </cell>
          <cell r="J620">
            <v>0</v>
          </cell>
          <cell r="K620">
            <v>0</v>
          </cell>
          <cell r="L620">
            <v>0</v>
          </cell>
          <cell r="M620">
            <v>0</v>
          </cell>
          <cell r="T620">
            <v>7031</v>
          </cell>
          <cell r="U620">
            <v>0</v>
          </cell>
        </row>
        <row r="621">
          <cell r="D621">
            <v>7046</v>
          </cell>
          <cell r="E621" t="str">
            <v>收到其他与经营活动有关的现金</v>
          </cell>
          <cell r="F621">
            <v>1349995.17</v>
          </cell>
          <cell r="G621">
            <v>0</v>
          </cell>
          <cell r="H621">
            <v>0</v>
          </cell>
          <cell r="I621">
            <v>1349995.17</v>
          </cell>
          <cell r="J621">
            <v>980</v>
          </cell>
          <cell r="K621">
            <v>0</v>
          </cell>
          <cell r="L621">
            <v>0</v>
          </cell>
          <cell r="M621">
            <v>980</v>
          </cell>
          <cell r="T621">
            <v>7046</v>
          </cell>
          <cell r="U621">
            <v>980</v>
          </cell>
        </row>
        <row r="622">
          <cell r="D622">
            <v>7048</v>
          </cell>
          <cell r="E622" t="str">
            <v>经营活动现金流入</v>
          </cell>
          <cell r="F622">
            <v>6313236.2800000003</v>
          </cell>
          <cell r="G622">
            <v>0</v>
          </cell>
          <cell r="H622">
            <v>0</v>
          </cell>
          <cell r="I622">
            <v>6313236.2800000003</v>
          </cell>
          <cell r="J622">
            <v>3744558.45</v>
          </cell>
          <cell r="K622">
            <v>0</v>
          </cell>
          <cell r="L622">
            <v>0</v>
          </cell>
          <cell r="M622">
            <v>3744558.45</v>
          </cell>
          <cell r="T622">
            <v>7048</v>
          </cell>
          <cell r="U622">
            <v>3744558.45</v>
          </cell>
        </row>
        <row r="623">
          <cell r="D623">
            <v>7051</v>
          </cell>
          <cell r="E623" t="str">
            <v>购买商品接受劳务支付的现金</v>
          </cell>
          <cell r="F623">
            <v>0</v>
          </cell>
          <cell r="G623">
            <v>0</v>
          </cell>
          <cell r="H623">
            <v>0</v>
          </cell>
          <cell r="I623">
            <v>0</v>
          </cell>
          <cell r="J623">
            <v>200</v>
          </cell>
          <cell r="K623">
            <v>0</v>
          </cell>
          <cell r="L623">
            <v>0</v>
          </cell>
          <cell r="M623">
            <v>200</v>
          </cell>
          <cell r="T623">
            <v>7051</v>
          </cell>
          <cell r="U623">
            <v>200</v>
          </cell>
        </row>
        <row r="624">
          <cell r="D624">
            <v>7053</v>
          </cell>
          <cell r="E624" t="str">
            <v>客户贷款及垫款净增加额</v>
          </cell>
          <cell r="F624">
            <v>0</v>
          </cell>
          <cell r="G624">
            <v>0</v>
          </cell>
          <cell r="H624">
            <v>0</v>
          </cell>
          <cell r="I624">
            <v>0</v>
          </cell>
          <cell r="J624">
            <v>0</v>
          </cell>
          <cell r="K624">
            <v>0</v>
          </cell>
          <cell r="L624">
            <v>0</v>
          </cell>
          <cell r="M624">
            <v>0</v>
          </cell>
          <cell r="T624">
            <v>7053</v>
          </cell>
          <cell r="U624">
            <v>0</v>
          </cell>
        </row>
        <row r="625">
          <cell r="D625">
            <v>7054</v>
          </cell>
          <cell r="E625" t="str">
            <v>存放中央银行和同业款项净增加额</v>
          </cell>
          <cell r="F625">
            <v>0</v>
          </cell>
          <cell r="G625">
            <v>0</v>
          </cell>
          <cell r="H625">
            <v>0</v>
          </cell>
          <cell r="I625">
            <v>0</v>
          </cell>
          <cell r="J625">
            <v>0</v>
          </cell>
          <cell r="K625">
            <v>0</v>
          </cell>
          <cell r="L625">
            <v>0</v>
          </cell>
          <cell r="M625">
            <v>0</v>
          </cell>
          <cell r="T625">
            <v>7054</v>
          </cell>
          <cell r="U625">
            <v>0</v>
          </cell>
        </row>
        <row r="626">
          <cell r="D626">
            <v>7055</v>
          </cell>
          <cell r="E626" t="str">
            <v>支付原保险合同赔付款项的现金</v>
          </cell>
          <cell r="F626">
            <v>0</v>
          </cell>
          <cell r="G626">
            <v>0</v>
          </cell>
          <cell r="H626">
            <v>0</v>
          </cell>
          <cell r="I626">
            <v>0</v>
          </cell>
          <cell r="J626">
            <v>0</v>
          </cell>
          <cell r="K626">
            <v>0</v>
          </cell>
          <cell r="L626">
            <v>0</v>
          </cell>
          <cell r="M626">
            <v>0</v>
          </cell>
          <cell r="T626">
            <v>7055</v>
          </cell>
          <cell r="U626">
            <v>0</v>
          </cell>
        </row>
        <row r="627">
          <cell r="D627">
            <v>7056</v>
          </cell>
          <cell r="E627" t="str">
            <v>支付利息手续费及佣金的现金</v>
          </cell>
          <cell r="F627">
            <v>0</v>
          </cell>
          <cell r="G627">
            <v>0</v>
          </cell>
          <cell r="H627">
            <v>0</v>
          </cell>
          <cell r="I627">
            <v>0</v>
          </cell>
          <cell r="J627">
            <v>0</v>
          </cell>
          <cell r="K627">
            <v>0</v>
          </cell>
          <cell r="L627">
            <v>0</v>
          </cell>
          <cell r="M627">
            <v>0</v>
          </cell>
          <cell r="T627">
            <v>7056</v>
          </cell>
          <cell r="U627">
            <v>0</v>
          </cell>
        </row>
        <row r="628">
          <cell r="D628">
            <v>7057</v>
          </cell>
          <cell r="E628" t="str">
            <v>支付保单红利的现金</v>
          </cell>
          <cell r="F628">
            <v>0</v>
          </cell>
          <cell r="G628">
            <v>0</v>
          </cell>
          <cell r="H628">
            <v>0</v>
          </cell>
          <cell r="I628">
            <v>0</v>
          </cell>
          <cell r="J628">
            <v>0</v>
          </cell>
          <cell r="K628">
            <v>0</v>
          </cell>
          <cell r="L628">
            <v>0</v>
          </cell>
          <cell r="M628">
            <v>0</v>
          </cell>
          <cell r="T628">
            <v>7057</v>
          </cell>
          <cell r="U628">
            <v>0</v>
          </cell>
        </row>
        <row r="629">
          <cell r="D629">
            <v>7061</v>
          </cell>
          <cell r="E629" t="str">
            <v>支付给职工以及为职工支付的现金</v>
          </cell>
          <cell r="F629">
            <v>2902082.21</v>
          </cell>
          <cell r="G629">
            <v>0</v>
          </cell>
          <cell r="H629">
            <v>0</v>
          </cell>
          <cell r="I629">
            <v>2902082.21</v>
          </cell>
          <cell r="J629">
            <v>877701.47</v>
          </cell>
          <cell r="K629">
            <v>0</v>
          </cell>
          <cell r="L629">
            <v>0</v>
          </cell>
          <cell r="M629">
            <v>877701.47</v>
          </cell>
          <cell r="T629">
            <v>7061</v>
          </cell>
          <cell r="U629">
            <v>877701.47</v>
          </cell>
        </row>
        <row r="630">
          <cell r="D630">
            <v>7071</v>
          </cell>
          <cell r="E630" t="str">
            <v>支付的各项税费</v>
          </cell>
          <cell r="F630">
            <v>62149.24</v>
          </cell>
          <cell r="G630">
            <v>0</v>
          </cell>
          <cell r="H630">
            <v>0</v>
          </cell>
          <cell r="I630">
            <v>62149.24</v>
          </cell>
          <cell r="J630">
            <v>16460.89</v>
          </cell>
          <cell r="K630">
            <v>0</v>
          </cell>
          <cell r="L630">
            <v>0</v>
          </cell>
          <cell r="M630">
            <v>16460.89</v>
          </cell>
          <cell r="T630">
            <v>7071</v>
          </cell>
          <cell r="U630">
            <v>16460.89</v>
          </cell>
        </row>
        <row r="631">
          <cell r="D631">
            <v>7096</v>
          </cell>
          <cell r="E631" t="str">
            <v>支付其他与经营活动有关的现金</v>
          </cell>
          <cell r="F631">
            <v>5694259.1699999999</v>
          </cell>
          <cell r="G631">
            <v>0</v>
          </cell>
          <cell r="H631">
            <v>0</v>
          </cell>
          <cell r="I631">
            <v>5694259.1699999999</v>
          </cell>
          <cell r="J631">
            <v>1397703.2</v>
          </cell>
          <cell r="K631">
            <v>0</v>
          </cell>
          <cell r="L631">
            <v>0</v>
          </cell>
          <cell r="M631">
            <v>1397703.2</v>
          </cell>
          <cell r="T631">
            <v>7096</v>
          </cell>
          <cell r="U631">
            <v>1397703.2</v>
          </cell>
        </row>
        <row r="632">
          <cell r="D632">
            <v>7098</v>
          </cell>
          <cell r="E632" t="str">
            <v>经营活动现金流出</v>
          </cell>
          <cell r="F632">
            <v>8658490.6199999992</v>
          </cell>
          <cell r="G632">
            <v>0</v>
          </cell>
          <cell r="H632">
            <v>0</v>
          </cell>
          <cell r="I632">
            <v>8658490.6199999992</v>
          </cell>
          <cell r="J632">
            <v>2292065.56</v>
          </cell>
          <cell r="K632">
            <v>0</v>
          </cell>
          <cell r="L632">
            <v>0</v>
          </cell>
          <cell r="M632">
            <v>2292065.56</v>
          </cell>
          <cell r="T632">
            <v>7098</v>
          </cell>
          <cell r="U632">
            <v>2292065.56</v>
          </cell>
        </row>
        <row r="633">
          <cell r="D633">
            <v>7099</v>
          </cell>
          <cell r="E633" t="str">
            <v>经营活动产生的现金流量净额</v>
          </cell>
          <cell r="F633">
            <v>-2345254.34</v>
          </cell>
          <cell r="G633">
            <v>0</v>
          </cell>
          <cell r="H633">
            <v>0</v>
          </cell>
          <cell r="I633">
            <v>-2345254.34</v>
          </cell>
          <cell r="J633">
            <v>1452492.89</v>
          </cell>
          <cell r="K633">
            <v>0</v>
          </cell>
          <cell r="L633">
            <v>0</v>
          </cell>
          <cell r="M633">
            <v>1452492.89</v>
          </cell>
          <cell r="T633">
            <v>7099</v>
          </cell>
          <cell r="U633">
            <v>1452492.89</v>
          </cell>
        </row>
        <row r="634">
          <cell r="D634">
            <v>7100</v>
          </cell>
          <cell r="E634" t="str">
            <v>投资活动现金流量项目</v>
          </cell>
          <cell r="F634">
            <v>0</v>
          </cell>
          <cell r="G634">
            <v>0</v>
          </cell>
          <cell r="H634">
            <v>0</v>
          </cell>
          <cell r="I634">
            <v>0</v>
          </cell>
          <cell r="J634">
            <v>0</v>
          </cell>
          <cell r="K634">
            <v>0</v>
          </cell>
          <cell r="L634">
            <v>0</v>
          </cell>
          <cell r="M634">
            <v>0</v>
          </cell>
          <cell r="T634">
            <v>7100</v>
          </cell>
          <cell r="U634">
            <v>0</v>
          </cell>
        </row>
        <row r="635">
          <cell r="D635">
            <v>7101</v>
          </cell>
          <cell r="E635" t="str">
            <v>收回投资收到的现金</v>
          </cell>
          <cell r="F635">
            <v>0</v>
          </cell>
          <cell r="G635">
            <v>0</v>
          </cell>
          <cell r="H635">
            <v>0</v>
          </cell>
          <cell r="I635">
            <v>0</v>
          </cell>
          <cell r="J635">
            <v>0</v>
          </cell>
          <cell r="K635">
            <v>0</v>
          </cell>
          <cell r="L635">
            <v>0</v>
          </cell>
          <cell r="M635">
            <v>0</v>
          </cell>
          <cell r="T635">
            <v>7101</v>
          </cell>
          <cell r="U635">
            <v>0</v>
          </cell>
        </row>
        <row r="636">
          <cell r="D636">
            <v>7105</v>
          </cell>
          <cell r="E636" t="str">
            <v>取得投资收益收到的现金</v>
          </cell>
          <cell r="F636">
            <v>0</v>
          </cell>
          <cell r="G636">
            <v>0</v>
          </cell>
          <cell r="H636">
            <v>0</v>
          </cell>
          <cell r="I636">
            <v>0</v>
          </cell>
          <cell r="J636">
            <v>0</v>
          </cell>
          <cell r="K636">
            <v>0</v>
          </cell>
          <cell r="L636">
            <v>0</v>
          </cell>
          <cell r="M636">
            <v>0</v>
          </cell>
          <cell r="T636">
            <v>7105</v>
          </cell>
          <cell r="U636">
            <v>0</v>
          </cell>
        </row>
        <row r="637">
          <cell r="D637">
            <v>7111</v>
          </cell>
          <cell r="E637" t="str">
            <v>处置固定资产无形资产长期资产收回的现金</v>
          </cell>
          <cell r="F637">
            <v>0</v>
          </cell>
          <cell r="G637">
            <v>0</v>
          </cell>
          <cell r="H637">
            <v>0</v>
          </cell>
          <cell r="I637">
            <v>0</v>
          </cell>
          <cell r="J637">
            <v>0</v>
          </cell>
          <cell r="K637">
            <v>0</v>
          </cell>
          <cell r="L637">
            <v>0</v>
          </cell>
          <cell r="M637">
            <v>0</v>
          </cell>
          <cell r="T637">
            <v>7111</v>
          </cell>
          <cell r="U637">
            <v>0</v>
          </cell>
        </row>
        <row r="638">
          <cell r="D638">
            <v>7121</v>
          </cell>
          <cell r="E638" t="str">
            <v>处置子公司及其他营业单位收到的现金净额</v>
          </cell>
          <cell r="F638">
            <v>0</v>
          </cell>
          <cell r="G638">
            <v>0</v>
          </cell>
          <cell r="H638">
            <v>0</v>
          </cell>
          <cell r="I638">
            <v>0</v>
          </cell>
          <cell r="J638">
            <v>0</v>
          </cell>
          <cell r="K638">
            <v>0</v>
          </cell>
          <cell r="L638">
            <v>0</v>
          </cell>
          <cell r="M638">
            <v>0</v>
          </cell>
          <cell r="T638">
            <v>7121</v>
          </cell>
          <cell r="U638">
            <v>0</v>
          </cell>
        </row>
        <row r="639">
          <cell r="D639">
            <v>7146</v>
          </cell>
          <cell r="E639" t="str">
            <v>收到其他与投资活动有关的现金</v>
          </cell>
          <cell r="F639">
            <v>0</v>
          </cell>
          <cell r="G639">
            <v>0</v>
          </cell>
          <cell r="H639">
            <v>0</v>
          </cell>
          <cell r="I639">
            <v>0</v>
          </cell>
          <cell r="J639">
            <v>0</v>
          </cell>
          <cell r="K639">
            <v>0</v>
          </cell>
          <cell r="L639">
            <v>0</v>
          </cell>
          <cell r="M639">
            <v>0</v>
          </cell>
          <cell r="T639">
            <v>7146</v>
          </cell>
          <cell r="U639">
            <v>0</v>
          </cell>
        </row>
        <row r="640">
          <cell r="D640">
            <v>7148</v>
          </cell>
          <cell r="E640" t="str">
            <v>投资活动现金流入</v>
          </cell>
          <cell r="F640">
            <v>0</v>
          </cell>
          <cell r="G640">
            <v>0</v>
          </cell>
          <cell r="H640">
            <v>0</v>
          </cell>
          <cell r="I640">
            <v>0</v>
          </cell>
          <cell r="J640">
            <v>0</v>
          </cell>
          <cell r="K640">
            <v>0</v>
          </cell>
          <cell r="L640">
            <v>0</v>
          </cell>
          <cell r="M640">
            <v>0</v>
          </cell>
          <cell r="T640">
            <v>7148</v>
          </cell>
          <cell r="U640">
            <v>0</v>
          </cell>
        </row>
        <row r="641">
          <cell r="D641">
            <v>7151</v>
          </cell>
          <cell r="E641" t="str">
            <v>购置固定资产无形资产长期资产支付的现金</v>
          </cell>
          <cell r="F641">
            <v>2153156</v>
          </cell>
          <cell r="G641">
            <v>0</v>
          </cell>
          <cell r="H641">
            <v>0</v>
          </cell>
          <cell r="I641">
            <v>2153156</v>
          </cell>
          <cell r="J641">
            <v>55999</v>
          </cell>
          <cell r="K641">
            <v>0</v>
          </cell>
          <cell r="L641">
            <v>0</v>
          </cell>
          <cell r="M641">
            <v>55999</v>
          </cell>
          <cell r="T641">
            <v>7151</v>
          </cell>
          <cell r="U641">
            <v>55999</v>
          </cell>
        </row>
        <row r="642">
          <cell r="D642">
            <v>7161</v>
          </cell>
          <cell r="E642" t="str">
            <v>投资支付的现金</v>
          </cell>
          <cell r="F642">
            <v>2600000</v>
          </cell>
          <cell r="G642">
            <v>0</v>
          </cell>
          <cell r="H642">
            <v>0</v>
          </cell>
          <cell r="I642">
            <v>2600000</v>
          </cell>
          <cell r="J642">
            <v>0</v>
          </cell>
          <cell r="K642">
            <v>0</v>
          </cell>
          <cell r="L642">
            <v>0</v>
          </cell>
          <cell r="M642">
            <v>0</v>
          </cell>
          <cell r="T642">
            <v>7161</v>
          </cell>
          <cell r="U642">
            <v>0</v>
          </cell>
        </row>
        <row r="643">
          <cell r="D643">
            <v>7165</v>
          </cell>
          <cell r="E643" t="str">
            <v>质押贷款净增加额</v>
          </cell>
          <cell r="F643">
            <v>0</v>
          </cell>
          <cell r="G643">
            <v>0</v>
          </cell>
          <cell r="H643">
            <v>0</v>
          </cell>
          <cell r="I643">
            <v>0</v>
          </cell>
          <cell r="J643">
            <v>0</v>
          </cell>
          <cell r="K643">
            <v>0</v>
          </cell>
          <cell r="L643">
            <v>0</v>
          </cell>
          <cell r="M643">
            <v>0</v>
          </cell>
          <cell r="T643">
            <v>7165</v>
          </cell>
          <cell r="U643">
            <v>0</v>
          </cell>
        </row>
        <row r="644">
          <cell r="D644">
            <v>7171</v>
          </cell>
          <cell r="E644" t="str">
            <v>取得子公司及其他营业单位支付的现金净额</v>
          </cell>
          <cell r="F644">
            <v>0</v>
          </cell>
          <cell r="G644">
            <v>0</v>
          </cell>
          <cell r="H644">
            <v>0</v>
          </cell>
          <cell r="I644">
            <v>0</v>
          </cell>
          <cell r="J644">
            <v>0</v>
          </cell>
          <cell r="K644">
            <v>0</v>
          </cell>
          <cell r="L644">
            <v>0</v>
          </cell>
          <cell r="M644">
            <v>0</v>
          </cell>
          <cell r="T644">
            <v>7171</v>
          </cell>
          <cell r="U644">
            <v>0</v>
          </cell>
        </row>
        <row r="645">
          <cell r="D645">
            <v>7196</v>
          </cell>
          <cell r="E645" t="str">
            <v>支付其他与投资活动有关的现金</v>
          </cell>
          <cell r="F645">
            <v>0</v>
          </cell>
          <cell r="G645">
            <v>0</v>
          </cell>
          <cell r="H645">
            <v>0</v>
          </cell>
          <cell r="I645">
            <v>0</v>
          </cell>
          <cell r="J645">
            <v>19743563.100000001</v>
          </cell>
          <cell r="K645">
            <v>0</v>
          </cell>
          <cell r="L645">
            <v>0</v>
          </cell>
          <cell r="M645">
            <v>19743563.100000001</v>
          </cell>
          <cell r="T645">
            <v>7196</v>
          </cell>
          <cell r="U645">
            <v>19743563.100000001</v>
          </cell>
        </row>
        <row r="646">
          <cell r="D646">
            <v>7198</v>
          </cell>
          <cell r="E646" t="str">
            <v>投资活动现金流出</v>
          </cell>
          <cell r="F646">
            <v>4753156</v>
          </cell>
          <cell r="G646">
            <v>0</v>
          </cell>
          <cell r="H646">
            <v>0</v>
          </cell>
          <cell r="I646">
            <v>4753156</v>
          </cell>
          <cell r="J646">
            <v>19799562.100000001</v>
          </cell>
          <cell r="K646">
            <v>0</v>
          </cell>
          <cell r="L646">
            <v>0</v>
          </cell>
          <cell r="M646">
            <v>19799562.100000001</v>
          </cell>
          <cell r="T646">
            <v>7198</v>
          </cell>
          <cell r="U646">
            <v>19799562.100000001</v>
          </cell>
        </row>
        <row r="647">
          <cell r="D647">
            <v>7199</v>
          </cell>
          <cell r="E647" t="str">
            <v>投资活动产生的现金流量净额</v>
          </cell>
          <cell r="F647">
            <v>-4753156</v>
          </cell>
          <cell r="G647">
            <v>0</v>
          </cell>
          <cell r="H647">
            <v>0</v>
          </cell>
          <cell r="I647">
            <v>-4753156</v>
          </cell>
          <cell r="J647">
            <v>-19799562.100000001</v>
          </cell>
          <cell r="K647">
            <v>0</v>
          </cell>
          <cell r="L647">
            <v>0</v>
          </cell>
          <cell r="M647">
            <v>-19799562.100000001</v>
          </cell>
          <cell r="T647">
            <v>7199</v>
          </cell>
          <cell r="U647">
            <v>-19799562.100000001</v>
          </cell>
        </row>
        <row r="648">
          <cell r="D648">
            <v>7200</v>
          </cell>
          <cell r="E648" t="str">
            <v>筹资活动现金流量项目</v>
          </cell>
          <cell r="F648">
            <v>0</v>
          </cell>
          <cell r="G648">
            <v>0</v>
          </cell>
          <cell r="H648">
            <v>0</v>
          </cell>
          <cell r="I648">
            <v>0</v>
          </cell>
          <cell r="J648">
            <v>0</v>
          </cell>
          <cell r="K648">
            <v>0</v>
          </cell>
          <cell r="L648">
            <v>0</v>
          </cell>
          <cell r="M648">
            <v>0</v>
          </cell>
          <cell r="T648">
            <v>7200</v>
          </cell>
          <cell r="U648">
            <v>0</v>
          </cell>
        </row>
        <row r="649">
          <cell r="D649">
            <v>7201</v>
          </cell>
          <cell r="E649" t="str">
            <v>吸收投资收到的现金</v>
          </cell>
          <cell r="F649">
            <v>0</v>
          </cell>
          <cell r="G649">
            <v>0</v>
          </cell>
          <cell r="H649">
            <v>0</v>
          </cell>
          <cell r="I649">
            <v>0</v>
          </cell>
          <cell r="J649">
            <v>20000000</v>
          </cell>
          <cell r="K649">
            <v>0</v>
          </cell>
          <cell r="L649">
            <v>0</v>
          </cell>
          <cell r="M649">
            <v>20000000</v>
          </cell>
          <cell r="T649">
            <v>7201</v>
          </cell>
          <cell r="U649">
            <v>20000000</v>
          </cell>
        </row>
        <row r="650">
          <cell r="D650">
            <v>7201.01</v>
          </cell>
          <cell r="E650" t="str">
            <v>子公司吸收少数股东投资收到的现金</v>
          </cell>
          <cell r="F650">
            <v>0</v>
          </cell>
          <cell r="G650">
            <v>0</v>
          </cell>
          <cell r="H650">
            <v>0</v>
          </cell>
          <cell r="I650">
            <v>0</v>
          </cell>
          <cell r="J650">
            <v>0</v>
          </cell>
          <cell r="K650">
            <v>0</v>
          </cell>
          <cell r="L650">
            <v>0</v>
          </cell>
          <cell r="M650">
            <v>0</v>
          </cell>
          <cell r="T650">
            <v>7201.01</v>
          </cell>
          <cell r="U650">
            <v>0</v>
          </cell>
        </row>
        <row r="651">
          <cell r="D651">
            <v>7211</v>
          </cell>
          <cell r="E651" t="str">
            <v>取得借款收到的现金</v>
          </cell>
          <cell r="F651">
            <v>5009000</v>
          </cell>
          <cell r="G651">
            <v>0</v>
          </cell>
          <cell r="H651">
            <v>0</v>
          </cell>
          <cell r="I651">
            <v>5009000</v>
          </cell>
          <cell r="J651">
            <v>0</v>
          </cell>
          <cell r="K651">
            <v>0</v>
          </cell>
          <cell r="L651">
            <v>0</v>
          </cell>
          <cell r="M651">
            <v>0</v>
          </cell>
          <cell r="T651">
            <v>7211</v>
          </cell>
          <cell r="U651">
            <v>0</v>
          </cell>
        </row>
        <row r="652">
          <cell r="D652">
            <v>7221</v>
          </cell>
          <cell r="E652" t="str">
            <v>发行债券收到的现金</v>
          </cell>
          <cell r="F652">
            <v>0</v>
          </cell>
          <cell r="G652">
            <v>0</v>
          </cell>
          <cell r="H652">
            <v>0</v>
          </cell>
          <cell r="I652">
            <v>0</v>
          </cell>
          <cell r="J652">
            <v>0</v>
          </cell>
          <cell r="K652">
            <v>0</v>
          </cell>
          <cell r="L652">
            <v>0</v>
          </cell>
          <cell r="M652">
            <v>0</v>
          </cell>
          <cell r="T652">
            <v>7221</v>
          </cell>
          <cell r="U652">
            <v>0</v>
          </cell>
        </row>
        <row r="653">
          <cell r="D653">
            <v>7246</v>
          </cell>
          <cell r="E653" t="str">
            <v>收到其他与筹资活动有关的现金</v>
          </cell>
          <cell r="F653">
            <v>18702500</v>
          </cell>
          <cell r="G653">
            <v>0</v>
          </cell>
          <cell r="H653">
            <v>0</v>
          </cell>
          <cell r="I653">
            <v>18702500</v>
          </cell>
          <cell r="J653">
            <v>0</v>
          </cell>
          <cell r="K653">
            <v>0</v>
          </cell>
          <cell r="L653">
            <v>0</v>
          </cell>
          <cell r="M653">
            <v>0</v>
          </cell>
          <cell r="T653">
            <v>7246</v>
          </cell>
          <cell r="U653">
            <v>0</v>
          </cell>
        </row>
        <row r="654">
          <cell r="D654">
            <v>7248</v>
          </cell>
          <cell r="E654" t="str">
            <v>筹资活动现金流入</v>
          </cell>
          <cell r="F654">
            <v>23711500</v>
          </cell>
          <cell r="G654">
            <v>0</v>
          </cell>
          <cell r="H654">
            <v>0</v>
          </cell>
          <cell r="I654">
            <v>23711500</v>
          </cell>
          <cell r="J654">
            <v>20000000</v>
          </cell>
          <cell r="K654">
            <v>0</v>
          </cell>
          <cell r="L654">
            <v>0</v>
          </cell>
          <cell r="M654">
            <v>20000000</v>
          </cell>
          <cell r="T654">
            <v>7248</v>
          </cell>
          <cell r="U654">
            <v>20000000</v>
          </cell>
        </row>
        <row r="655">
          <cell r="D655">
            <v>7251</v>
          </cell>
          <cell r="E655" t="str">
            <v>偿还债务支付的现金</v>
          </cell>
          <cell r="F655">
            <v>0</v>
          </cell>
          <cell r="G655">
            <v>0</v>
          </cell>
          <cell r="H655">
            <v>0</v>
          </cell>
          <cell r="I655">
            <v>0</v>
          </cell>
          <cell r="J655">
            <v>0</v>
          </cell>
          <cell r="K655">
            <v>0</v>
          </cell>
          <cell r="L655">
            <v>0</v>
          </cell>
          <cell r="M655">
            <v>0</v>
          </cell>
          <cell r="T655">
            <v>7251</v>
          </cell>
          <cell r="U655">
            <v>0</v>
          </cell>
        </row>
        <row r="656">
          <cell r="D656">
            <v>7261</v>
          </cell>
          <cell r="E656" t="str">
            <v>分配利润偿付利息支付的现金</v>
          </cell>
          <cell r="F656">
            <v>0</v>
          </cell>
          <cell r="G656">
            <v>0</v>
          </cell>
          <cell r="H656">
            <v>0</v>
          </cell>
          <cell r="I656">
            <v>0</v>
          </cell>
          <cell r="J656">
            <v>0</v>
          </cell>
          <cell r="K656">
            <v>0</v>
          </cell>
          <cell r="L656">
            <v>0</v>
          </cell>
          <cell r="M656">
            <v>0</v>
          </cell>
          <cell r="T656">
            <v>7261</v>
          </cell>
          <cell r="U656">
            <v>0</v>
          </cell>
        </row>
        <row r="657">
          <cell r="D657">
            <v>7261.01</v>
          </cell>
          <cell r="E657" t="str">
            <v>子公司支付少数股东的现金股利</v>
          </cell>
          <cell r="F657">
            <v>0</v>
          </cell>
          <cell r="G657">
            <v>0</v>
          </cell>
          <cell r="H657">
            <v>0</v>
          </cell>
          <cell r="I657">
            <v>0</v>
          </cell>
          <cell r="J657">
            <v>0</v>
          </cell>
          <cell r="K657">
            <v>0</v>
          </cell>
          <cell r="L657">
            <v>0</v>
          </cell>
          <cell r="M657">
            <v>0</v>
          </cell>
          <cell r="T657">
            <v>7261.01</v>
          </cell>
          <cell r="U657">
            <v>0</v>
          </cell>
        </row>
        <row r="658">
          <cell r="D658">
            <v>7296</v>
          </cell>
          <cell r="E658" t="str">
            <v>支付其他与筹资活动有关的现金</v>
          </cell>
          <cell r="F658">
            <v>16550000</v>
          </cell>
          <cell r="G658">
            <v>0</v>
          </cell>
          <cell r="H658">
            <v>0</v>
          </cell>
          <cell r="I658">
            <v>16550000</v>
          </cell>
          <cell r="J658">
            <v>0</v>
          </cell>
          <cell r="K658">
            <v>0</v>
          </cell>
          <cell r="L658">
            <v>0</v>
          </cell>
          <cell r="M658">
            <v>0</v>
          </cell>
          <cell r="T658">
            <v>7296</v>
          </cell>
          <cell r="U658">
            <v>0</v>
          </cell>
        </row>
        <row r="659">
          <cell r="D659">
            <v>7296.11</v>
          </cell>
          <cell r="E659" t="str">
            <v>子公司减资支付给少数股东的现金</v>
          </cell>
          <cell r="F659">
            <v>0</v>
          </cell>
          <cell r="G659">
            <v>0</v>
          </cell>
          <cell r="H659">
            <v>0</v>
          </cell>
          <cell r="I659">
            <v>0</v>
          </cell>
          <cell r="J659">
            <v>0</v>
          </cell>
          <cell r="K659">
            <v>0</v>
          </cell>
          <cell r="L659">
            <v>0</v>
          </cell>
          <cell r="M659">
            <v>0</v>
          </cell>
          <cell r="T659">
            <v>7296.11</v>
          </cell>
          <cell r="U659">
            <v>0</v>
          </cell>
        </row>
        <row r="660">
          <cell r="D660">
            <v>7298</v>
          </cell>
          <cell r="E660" t="str">
            <v>筹资活动现金流出</v>
          </cell>
          <cell r="F660">
            <v>16550000</v>
          </cell>
          <cell r="G660">
            <v>0</v>
          </cell>
          <cell r="H660">
            <v>0</v>
          </cell>
          <cell r="I660">
            <v>16550000</v>
          </cell>
          <cell r="J660">
            <v>0</v>
          </cell>
          <cell r="K660">
            <v>0</v>
          </cell>
          <cell r="L660">
            <v>0</v>
          </cell>
          <cell r="M660">
            <v>0</v>
          </cell>
          <cell r="T660">
            <v>7298</v>
          </cell>
          <cell r="U660">
            <v>0</v>
          </cell>
        </row>
        <row r="661">
          <cell r="D661">
            <v>7299</v>
          </cell>
          <cell r="E661" t="str">
            <v>筹资活动产生的现金流量净额</v>
          </cell>
          <cell r="F661">
            <v>7161500</v>
          </cell>
          <cell r="G661">
            <v>0</v>
          </cell>
          <cell r="H661">
            <v>0</v>
          </cell>
          <cell r="I661">
            <v>7161500</v>
          </cell>
          <cell r="J661">
            <v>20000000</v>
          </cell>
          <cell r="K661">
            <v>0</v>
          </cell>
          <cell r="L661">
            <v>0</v>
          </cell>
          <cell r="M661">
            <v>20000000</v>
          </cell>
          <cell r="T661">
            <v>7299</v>
          </cell>
          <cell r="U661">
            <v>20000000</v>
          </cell>
        </row>
        <row r="662">
          <cell r="D662">
            <v>7309</v>
          </cell>
          <cell r="E662" t="str">
            <v>汇率变动对现金及现金等价物的影响</v>
          </cell>
          <cell r="F662">
            <v>0</v>
          </cell>
          <cell r="G662">
            <v>0</v>
          </cell>
          <cell r="H662">
            <v>0</v>
          </cell>
          <cell r="I662">
            <v>0</v>
          </cell>
          <cell r="J662">
            <v>0</v>
          </cell>
          <cell r="K662">
            <v>0</v>
          </cell>
          <cell r="L662">
            <v>0</v>
          </cell>
          <cell r="M662">
            <v>0</v>
          </cell>
          <cell r="T662">
            <v>7309</v>
          </cell>
          <cell r="U662">
            <v>0</v>
          </cell>
        </row>
        <row r="663">
          <cell r="D663">
            <v>7348</v>
          </cell>
          <cell r="E663" t="str">
            <v>现金及现金等价物净增加额</v>
          </cell>
          <cell r="F663">
            <v>63089.66</v>
          </cell>
          <cell r="G663">
            <v>0</v>
          </cell>
          <cell r="H663">
            <v>0</v>
          </cell>
          <cell r="I663">
            <v>63089.66</v>
          </cell>
          <cell r="J663">
            <v>1652930.79</v>
          </cell>
          <cell r="K663">
            <v>0</v>
          </cell>
          <cell r="L663">
            <v>0</v>
          </cell>
          <cell r="M663">
            <v>1652930.79</v>
          </cell>
          <cell r="T663">
            <v>7348</v>
          </cell>
          <cell r="U663">
            <v>1652930.79</v>
          </cell>
        </row>
        <row r="664">
          <cell r="D664">
            <v>7349</v>
          </cell>
          <cell r="E664" t="str">
            <v>期初现金及现金等价物余额</v>
          </cell>
          <cell r="F664">
            <v>1652930.79</v>
          </cell>
          <cell r="G664">
            <v>0</v>
          </cell>
          <cell r="H664">
            <v>0</v>
          </cell>
          <cell r="I664">
            <v>1652930.79</v>
          </cell>
          <cell r="J664">
            <v>0</v>
          </cell>
          <cell r="K664">
            <v>0</v>
          </cell>
          <cell r="L664">
            <v>0</v>
          </cell>
          <cell r="M664">
            <v>0</v>
          </cell>
          <cell r="T664">
            <v>7349</v>
          </cell>
          <cell r="U664">
            <v>0</v>
          </cell>
        </row>
        <row r="665">
          <cell r="D665">
            <v>7399</v>
          </cell>
          <cell r="E665" t="str">
            <v>期末现金及现金等价物余额</v>
          </cell>
          <cell r="F665">
            <v>1716020.45</v>
          </cell>
          <cell r="G665">
            <v>0</v>
          </cell>
          <cell r="H665">
            <v>0</v>
          </cell>
          <cell r="I665">
            <v>1716020.45</v>
          </cell>
          <cell r="J665">
            <v>1652930.79</v>
          </cell>
          <cell r="K665">
            <v>0</v>
          </cell>
          <cell r="L665">
            <v>0</v>
          </cell>
          <cell r="M665">
            <v>1652930.79</v>
          </cell>
          <cell r="T665">
            <v>7399</v>
          </cell>
          <cell r="U665">
            <v>1652930.79</v>
          </cell>
        </row>
        <row r="666">
          <cell r="D666">
            <v>19</v>
          </cell>
          <cell r="E666" t="str">
            <v>资产负债表补充资料：资产减值准备</v>
          </cell>
          <cell r="F666">
            <v>0</v>
          </cell>
          <cell r="G666">
            <v>0</v>
          </cell>
          <cell r="H666">
            <v>0</v>
          </cell>
          <cell r="I666">
            <v>0</v>
          </cell>
          <cell r="J666">
            <v>0</v>
          </cell>
          <cell r="K666">
            <v>0</v>
          </cell>
          <cell r="L666">
            <v>0</v>
          </cell>
          <cell r="M666">
            <v>0</v>
          </cell>
          <cell r="T666">
            <v>19</v>
          </cell>
          <cell r="U666">
            <v>0</v>
          </cell>
        </row>
        <row r="667">
          <cell r="D667">
            <v>1122.1231</v>
          </cell>
          <cell r="E667" t="str">
            <v>应收账款坏账准备</v>
          </cell>
          <cell r="F667">
            <v>0</v>
          </cell>
          <cell r="G667">
            <v>0</v>
          </cell>
          <cell r="H667">
            <v>18199.25</v>
          </cell>
          <cell r="I667">
            <v>18199.25</v>
          </cell>
          <cell r="J667">
            <v>0</v>
          </cell>
          <cell r="K667">
            <v>0</v>
          </cell>
          <cell r="L667">
            <v>0</v>
          </cell>
          <cell r="M667">
            <v>0</v>
          </cell>
          <cell r="T667">
            <v>1122.1231</v>
          </cell>
          <cell r="U667">
            <v>5585.75</v>
          </cell>
        </row>
        <row r="668">
          <cell r="D668">
            <v>1125.1231</v>
          </cell>
          <cell r="E668" t="str">
            <v>预付款项坏账准备</v>
          </cell>
          <cell r="F668">
            <v>0</v>
          </cell>
          <cell r="G668">
            <v>0</v>
          </cell>
          <cell r="H668">
            <v>0</v>
          </cell>
          <cell r="I668">
            <v>0</v>
          </cell>
          <cell r="J668">
            <v>0</v>
          </cell>
          <cell r="K668">
            <v>0</v>
          </cell>
          <cell r="L668">
            <v>0</v>
          </cell>
          <cell r="M668">
            <v>0</v>
          </cell>
          <cell r="T668">
            <v>1125.1231</v>
          </cell>
          <cell r="U668">
            <v>0</v>
          </cell>
        </row>
        <row r="669">
          <cell r="D669">
            <v>1221.1231</v>
          </cell>
          <cell r="E669" t="str">
            <v>其他应收款坏账准备</v>
          </cell>
          <cell r="F669">
            <v>0</v>
          </cell>
          <cell r="G669">
            <v>0</v>
          </cell>
          <cell r="H669">
            <v>0</v>
          </cell>
          <cell r="I669">
            <v>0</v>
          </cell>
          <cell r="J669">
            <v>0</v>
          </cell>
          <cell r="K669">
            <v>0</v>
          </cell>
          <cell r="L669">
            <v>0</v>
          </cell>
          <cell r="M669">
            <v>0</v>
          </cell>
          <cell r="T669">
            <v>1221.1231</v>
          </cell>
          <cell r="U669">
            <v>76000</v>
          </cell>
        </row>
        <row r="670">
          <cell r="D670">
            <v>1400.1470999999999</v>
          </cell>
          <cell r="E670" t="str">
            <v>存货跌价准备</v>
          </cell>
          <cell r="F670">
            <v>0</v>
          </cell>
          <cell r="G670">
            <v>0</v>
          </cell>
          <cell r="H670">
            <v>0</v>
          </cell>
          <cell r="I670">
            <v>0</v>
          </cell>
          <cell r="J670">
            <v>0</v>
          </cell>
          <cell r="K670">
            <v>0</v>
          </cell>
          <cell r="L670">
            <v>0</v>
          </cell>
          <cell r="M670">
            <v>0</v>
          </cell>
          <cell r="T670">
            <v>1400.1470999999999</v>
          </cell>
          <cell r="U670">
            <v>0</v>
          </cell>
        </row>
        <row r="671">
          <cell r="D671">
            <v>1503.1504</v>
          </cell>
          <cell r="E671" t="str">
            <v>可供出售金融资产减值准备</v>
          </cell>
          <cell r="F671">
            <v>0</v>
          </cell>
          <cell r="G671">
            <v>0</v>
          </cell>
          <cell r="H671">
            <v>0</v>
          </cell>
          <cell r="I671">
            <v>0</v>
          </cell>
          <cell r="J671">
            <v>0</v>
          </cell>
          <cell r="K671">
            <v>0</v>
          </cell>
          <cell r="L671">
            <v>0</v>
          </cell>
          <cell r="M671">
            <v>0</v>
          </cell>
          <cell r="T671">
            <v>1503.1504</v>
          </cell>
          <cell r="U671">
            <v>0</v>
          </cell>
        </row>
        <row r="672">
          <cell r="D672">
            <v>1501.1502</v>
          </cell>
          <cell r="E672" t="str">
            <v>持有至到期投资减值准备</v>
          </cell>
          <cell r="F672">
            <v>0</v>
          </cell>
          <cell r="G672">
            <v>0</v>
          </cell>
          <cell r="H672">
            <v>0</v>
          </cell>
          <cell r="I672">
            <v>0</v>
          </cell>
          <cell r="J672">
            <v>0</v>
          </cell>
          <cell r="K672">
            <v>0</v>
          </cell>
          <cell r="L672">
            <v>0</v>
          </cell>
          <cell r="M672">
            <v>0</v>
          </cell>
          <cell r="T672">
            <v>1501.1502</v>
          </cell>
          <cell r="U672">
            <v>0</v>
          </cell>
        </row>
        <row r="673">
          <cell r="D673">
            <v>1511.1512</v>
          </cell>
          <cell r="E673" t="str">
            <v>长期股权投资减值准备</v>
          </cell>
          <cell r="F673">
            <v>0</v>
          </cell>
          <cell r="G673">
            <v>0</v>
          </cell>
          <cell r="H673">
            <v>0</v>
          </cell>
          <cell r="I673">
            <v>0</v>
          </cell>
          <cell r="J673">
            <v>0</v>
          </cell>
          <cell r="K673">
            <v>0</v>
          </cell>
          <cell r="L673">
            <v>0</v>
          </cell>
          <cell r="M673">
            <v>0</v>
          </cell>
          <cell r="T673">
            <v>1511.1512</v>
          </cell>
          <cell r="U673">
            <v>0</v>
          </cell>
        </row>
        <row r="674">
          <cell r="D674">
            <v>1521.1522</v>
          </cell>
          <cell r="E674" t="str">
            <v>投资性房地产减值准备</v>
          </cell>
          <cell r="F674">
            <v>0</v>
          </cell>
          <cell r="G674">
            <v>0</v>
          </cell>
          <cell r="H674">
            <v>0</v>
          </cell>
          <cell r="I674">
            <v>0</v>
          </cell>
          <cell r="J674">
            <v>0</v>
          </cell>
          <cell r="K674">
            <v>0</v>
          </cell>
          <cell r="L674">
            <v>0</v>
          </cell>
          <cell r="M674">
            <v>0</v>
          </cell>
          <cell r="T674">
            <v>1521.1522</v>
          </cell>
          <cell r="U674">
            <v>0</v>
          </cell>
        </row>
        <row r="675">
          <cell r="D675">
            <v>1601.1603</v>
          </cell>
          <cell r="E675" t="str">
            <v>固定资产减值准备</v>
          </cell>
          <cell r="F675">
            <v>0</v>
          </cell>
          <cell r="G675">
            <v>0</v>
          </cell>
          <cell r="H675">
            <v>0</v>
          </cell>
          <cell r="I675">
            <v>0</v>
          </cell>
          <cell r="J675">
            <v>0</v>
          </cell>
          <cell r="K675">
            <v>0</v>
          </cell>
          <cell r="L675">
            <v>0</v>
          </cell>
          <cell r="M675">
            <v>0</v>
          </cell>
          <cell r="T675">
            <v>1601.1603</v>
          </cell>
          <cell r="U675">
            <v>0</v>
          </cell>
        </row>
        <row r="676">
          <cell r="D676">
            <v>1605.1608000000001</v>
          </cell>
          <cell r="E676" t="str">
            <v>工程物资减值准备</v>
          </cell>
          <cell r="F676">
            <v>0</v>
          </cell>
          <cell r="G676">
            <v>0</v>
          </cell>
          <cell r="H676">
            <v>0</v>
          </cell>
          <cell r="I676">
            <v>0</v>
          </cell>
          <cell r="J676">
            <v>0</v>
          </cell>
          <cell r="K676">
            <v>0</v>
          </cell>
          <cell r="L676">
            <v>0</v>
          </cell>
          <cell r="M676">
            <v>0</v>
          </cell>
          <cell r="T676">
            <v>1605.1608000000001</v>
          </cell>
          <cell r="U676">
            <v>0</v>
          </cell>
        </row>
        <row r="677">
          <cell r="D677">
            <v>1604.1606999999999</v>
          </cell>
          <cell r="E677" t="str">
            <v>在建工程减值准备</v>
          </cell>
          <cell r="F677">
            <v>0</v>
          </cell>
          <cell r="G677">
            <v>0</v>
          </cell>
          <cell r="H677">
            <v>0</v>
          </cell>
          <cell r="I677">
            <v>0</v>
          </cell>
          <cell r="J677">
            <v>0</v>
          </cell>
          <cell r="K677">
            <v>0</v>
          </cell>
          <cell r="L677">
            <v>0</v>
          </cell>
          <cell r="M677">
            <v>0</v>
          </cell>
          <cell r="T677">
            <v>1604.1606999999999</v>
          </cell>
          <cell r="U677">
            <v>0</v>
          </cell>
        </row>
        <row r="678">
          <cell r="D678">
            <v>1621.1623999999999</v>
          </cell>
          <cell r="E678" t="str">
            <v>生产性生物资产减值准备</v>
          </cell>
          <cell r="F678">
            <v>0</v>
          </cell>
          <cell r="G678">
            <v>0</v>
          </cell>
          <cell r="H678">
            <v>0</v>
          </cell>
          <cell r="I678">
            <v>0</v>
          </cell>
          <cell r="J678">
            <v>0</v>
          </cell>
          <cell r="K678">
            <v>0</v>
          </cell>
          <cell r="L678">
            <v>0</v>
          </cell>
          <cell r="M678">
            <v>0</v>
          </cell>
          <cell r="T678">
            <v>1621.1623999999999</v>
          </cell>
          <cell r="U678">
            <v>0</v>
          </cell>
        </row>
        <row r="679">
          <cell r="D679">
            <v>1631.1632999999999</v>
          </cell>
          <cell r="E679" t="str">
            <v>油气资产减值准备</v>
          </cell>
          <cell r="F679">
            <v>0</v>
          </cell>
          <cell r="G679">
            <v>0</v>
          </cell>
          <cell r="H679">
            <v>0</v>
          </cell>
          <cell r="I679">
            <v>0</v>
          </cell>
          <cell r="J679">
            <v>0</v>
          </cell>
          <cell r="K679">
            <v>0</v>
          </cell>
          <cell r="L679">
            <v>0</v>
          </cell>
          <cell r="M679">
            <v>0</v>
          </cell>
          <cell r="T679">
            <v>1631.1632999999999</v>
          </cell>
          <cell r="U679">
            <v>0</v>
          </cell>
        </row>
        <row r="680">
          <cell r="D680">
            <v>1701.1703</v>
          </cell>
          <cell r="E680" t="str">
            <v>无形资产减值准备</v>
          </cell>
          <cell r="F680">
            <v>0</v>
          </cell>
          <cell r="G680">
            <v>0</v>
          </cell>
          <cell r="H680">
            <v>0</v>
          </cell>
          <cell r="I680">
            <v>0</v>
          </cell>
          <cell r="J680">
            <v>0</v>
          </cell>
          <cell r="K680">
            <v>0</v>
          </cell>
          <cell r="L680">
            <v>0</v>
          </cell>
          <cell r="M680">
            <v>0</v>
          </cell>
          <cell r="T680">
            <v>1701.1703</v>
          </cell>
          <cell r="U680">
            <v>0</v>
          </cell>
        </row>
        <row r="681">
          <cell r="D681">
            <v>1711.1712</v>
          </cell>
          <cell r="E681" t="str">
            <v>商誉减值准备</v>
          </cell>
          <cell r="F681">
            <v>0</v>
          </cell>
          <cell r="G681">
            <v>0</v>
          </cell>
          <cell r="H681">
            <v>0</v>
          </cell>
          <cell r="I681">
            <v>0</v>
          </cell>
          <cell r="J681">
            <v>0</v>
          </cell>
          <cell r="K681">
            <v>0</v>
          </cell>
          <cell r="L681">
            <v>0</v>
          </cell>
          <cell r="M681">
            <v>0</v>
          </cell>
          <cell r="T681">
            <v>1711.1712</v>
          </cell>
          <cell r="U681">
            <v>0</v>
          </cell>
        </row>
        <row r="682">
          <cell r="D682">
            <v>1991.1992</v>
          </cell>
          <cell r="E682" t="str">
            <v>其他减值准备</v>
          </cell>
          <cell r="F682">
            <v>0</v>
          </cell>
          <cell r="G682">
            <v>0</v>
          </cell>
          <cell r="H682">
            <v>0</v>
          </cell>
          <cell r="I682">
            <v>0</v>
          </cell>
          <cell r="J682">
            <v>0</v>
          </cell>
          <cell r="K682">
            <v>0</v>
          </cell>
          <cell r="L682">
            <v>0</v>
          </cell>
          <cell r="M682">
            <v>0</v>
          </cell>
          <cell r="T682">
            <v>1991.1992</v>
          </cell>
          <cell r="U682">
            <v>0</v>
          </cell>
        </row>
        <row r="683">
          <cell r="D683">
            <v>1991</v>
          </cell>
          <cell r="E683" t="str">
            <v>资产减值准备</v>
          </cell>
          <cell r="F683">
            <v>0</v>
          </cell>
          <cell r="G683">
            <v>0</v>
          </cell>
          <cell r="H683">
            <v>18199.25</v>
          </cell>
          <cell r="I683">
            <v>18199.25</v>
          </cell>
          <cell r="J683">
            <v>0</v>
          </cell>
          <cell r="K683">
            <v>0</v>
          </cell>
          <cell r="L683">
            <v>0</v>
          </cell>
          <cell r="M683">
            <v>0</v>
          </cell>
          <cell r="T683">
            <v>1991</v>
          </cell>
          <cell r="U683">
            <v>81585.75</v>
          </cell>
        </row>
        <row r="684">
          <cell r="D684">
            <v>7500</v>
          </cell>
          <cell r="E684" t="str">
            <v>现金流量表补充资料</v>
          </cell>
          <cell r="F684">
            <v>0</v>
          </cell>
          <cell r="G684" t="str">
            <v>以下须手工调整，不从CFJE表取数</v>
          </cell>
          <cell r="H684">
            <v>0</v>
          </cell>
          <cell r="I684">
            <v>0</v>
          </cell>
          <cell r="J684">
            <v>0</v>
          </cell>
          <cell r="K684" t="str">
            <v>以下须手工调整，不从CFJE表取数</v>
          </cell>
          <cell r="L684">
            <v>0</v>
          </cell>
          <cell r="M684">
            <v>0</v>
          </cell>
          <cell r="T684">
            <v>7500</v>
          </cell>
          <cell r="U684">
            <v>0</v>
          </cell>
        </row>
        <row r="685">
          <cell r="D685">
            <v>7501</v>
          </cell>
          <cell r="E685" t="str">
            <v>将净利润调节为经营活动现金流量</v>
          </cell>
          <cell r="F685">
            <v>0</v>
          </cell>
          <cell r="G685" t="str">
            <v>调增</v>
          </cell>
          <cell r="H685" t="str">
            <v>调减</v>
          </cell>
          <cell r="I685">
            <v>0</v>
          </cell>
          <cell r="J685">
            <v>0</v>
          </cell>
          <cell r="K685" t="str">
            <v>调增</v>
          </cell>
          <cell r="L685" t="str">
            <v>调减</v>
          </cell>
          <cell r="M685">
            <v>0</v>
          </cell>
          <cell r="T685">
            <v>7501</v>
          </cell>
          <cell r="U685">
            <v>0</v>
          </cell>
        </row>
        <row r="686">
          <cell r="D686">
            <v>7502</v>
          </cell>
          <cell r="E686" t="str">
            <v>净利润金额</v>
          </cell>
          <cell r="F686">
            <v>-7831797.5899999999</v>
          </cell>
          <cell r="G686">
            <v>307371.45</v>
          </cell>
          <cell r="H686">
            <v>0</v>
          </cell>
          <cell r="I686">
            <v>-7524426.1399999997</v>
          </cell>
          <cell r="J686">
            <v>-2315528.35</v>
          </cell>
          <cell r="K686">
            <v>0</v>
          </cell>
          <cell r="L686">
            <v>0</v>
          </cell>
          <cell r="M686">
            <v>-2315528.35</v>
          </cell>
          <cell r="T686">
            <v>7502</v>
          </cell>
          <cell r="U686">
            <v>-2233942.6</v>
          </cell>
        </row>
        <row r="687">
          <cell r="D687">
            <v>7503</v>
          </cell>
          <cell r="E687" t="str">
            <v>资产减值准备金额</v>
          </cell>
          <cell r="F687">
            <v>-63386.5</v>
          </cell>
          <cell r="G687">
            <v>0</v>
          </cell>
          <cell r="H687">
            <v>0</v>
          </cell>
          <cell r="I687">
            <v>-63386.5</v>
          </cell>
          <cell r="J687">
            <v>0</v>
          </cell>
          <cell r="K687">
            <v>0</v>
          </cell>
          <cell r="L687">
            <v>0</v>
          </cell>
          <cell r="M687">
            <v>0</v>
          </cell>
          <cell r="T687">
            <v>7503</v>
          </cell>
          <cell r="U687">
            <v>0</v>
          </cell>
        </row>
        <row r="688">
          <cell r="D688">
            <v>7505</v>
          </cell>
          <cell r="E688" t="str">
            <v>固定资产折旧、油气资产折耗、生产性生物资产折旧</v>
          </cell>
          <cell r="F688">
            <v>32306.7</v>
          </cell>
          <cell r="G688">
            <v>0</v>
          </cell>
          <cell r="H688">
            <v>0</v>
          </cell>
          <cell r="I688">
            <v>32306.7</v>
          </cell>
          <cell r="J688">
            <v>0</v>
          </cell>
          <cell r="K688">
            <v>0</v>
          </cell>
          <cell r="L688">
            <v>0</v>
          </cell>
          <cell r="M688">
            <v>0</v>
          </cell>
          <cell r="T688">
            <v>7505</v>
          </cell>
          <cell r="U688">
            <v>0</v>
          </cell>
        </row>
        <row r="689">
          <cell r="D689">
            <v>7506</v>
          </cell>
          <cell r="E689" t="str">
            <v>无形资产摊销</v>
          </cell>
          <cell r="F689">
            <v>0</v>
          </cell>
          <cell r="G689">
            <v>0</v>
          </cell>
          <cell r="H689">
            <v>0</v>
          </cell>
          <cell r="I689">
            <v>0</v>
          </cell>
          <cell r="J689">
            <v>0</v>
          </cell>
          <cell r="K689">
            <v>0</v>
          </cell>
          <cell r="L689">
            <v>0</v>
          </cell>
          <cell r="M689">
            <v>0</v>
          </cell>
          <cell r="T689">
            <v>7506</v>
          </cell>
          <cell r="U689">
            <v>0</v>
          </cell>
        </row>
        <row r="690">
          <cell r="D690">
            <v>7507</v>
          </cell>
          <cell r="E690" t="str">
            <v>长期待摊费用摊销</v>
          </cell>
          <cell r="F690">
            <v>0</v>
          </cell>
          <cell r="G690">
            <v>0</v>
          </cell>
          <cell r="H690">
            <v>0</v>
          </cell>
          <cell r="I690">
            <v>0</v>
          </cell>
          <cell r="J690">
            <v>0</v>
          </cell>
          <cell r="K690">
            <v>0</v>
          </cell>
          <cell r="L690">
            <v>0</v>
          </cell>
          <cell r="M690">
            <v>0</v>
          </cell>
          <cell r="T690">
            <v>7507</v>
          </cell>
          <cell r="U690">
            <v>0</v>
          </cell>
        </row>
        <row r="691">
          <cell r="D691">
            <v>7508</v>
          </cell>
          <cell r="E691" t="str">
            <v>处置固定资产、无形资产和其他长期资产的损失</v>
          </cell>
          <cell r="F691">
            <v>0</v>
          </cell>
          <cell r="G691">
            <v>0</v>
          </cell>
          <cell r="H691">
            <v>0</v>
          </cell>
          <cell r="I691">
            <v>0</v>
          </cell>
          <cell r="J691">
            <v>0</v>
          </cell>
          <cell r="K691">
            <v>0</v>
          </cell>
          <cell r="L691">
            <v>0</v>
          </cell>
          <cell r="M691">
            <v>0</v>
          </cell>
          <cell r="T691">
            <v>7508</v>
          </cell>
          <cell r="U691">
            <v>0</v>
          </cell>
        </row>
        <row r="692">
          <cell r="D692">
            <v>7509</v>
          </cell>
          <cell r="E692" t="str">
            <v>固定资产报废损失</v>
          </cell>
          <cell r="F692">
            <v>0</v>
          </cell>
          <cell r="G692">
            <v>0</v>
          </cell>
          <cell r="H692">
            <v>0</v>
          </cell>
          <cell r="I692">
            <v>0</v>
          </cell>
          <cell r="J692">
            <v>0</v>
          </cell>
          <cell r="K692">
            <v>0</v>
          </cell>
          <cell r="L692">
            <v>0</v>
          </cell>
          <cell r="M692">
            <v>0</v>
          </cell>
          <cell r="T692">
            <v>7509</v>
          </cell>
          <cell r="U692">
            <v>0</v>
          </cell>
        </row>
        <row r="693">
          <cell r="D693">
            <v>7510</v>
          </cell>
          <cell r="E693" t="str">
            <v>公允价值变动损失</v>
          </cell>
          <cell r="F693">
            <v>0</v>
          </cell>
          <cell r="G693">
            <v>0</v>
          </cell>
          <cell r="H693">
            <v>0</v>
          </cell>
          <cell r="I693">
            <v>0</v>
          </cell>
          <cell r="J693">
            <v>0</v>
          </cell>
          <cell r="K693">
            <v>0</v>
          </cell>
          <cell r="L693">
            <v>0</v>
          </cell>
          <cell r="M693">
            <v>0</v>
          </cell>
          <cell r="T693">
            <v>7510</v>
          </cell>
          <cell r="U693">
            <v>0</v>
          </cell>
        </row>
        <row r="694">
          <cell r="D694">
            <v>7511</v>
          </cell>
          <cell r="E694" t="str">
            <v>财务费用金额</v>
          </cell>
          <cell r="F694">
            <v>195896.53</v>
          </cell>
          <cell r="G694">
            <v>0</v>
          </cell>
          <cell r="H694">
            <v>0</v>
          </cell>
          <cell r="I694">
            <v>195896.53</v>
          </cell>
          <cell r="J694">
            <v>0</v>
          </cell>
          <cell r="K694">
            <v>0</v>
          </cell>
          <cell r="L694">
            <v>0</v>
          </cell>
          <cell r="M694">
            <v>0</v>
          </cell>
          <cell r="T694">
            <v>7511</v>
          </cell>
          <cell r="U694">
            <v>0</v>
          </cell>
        </row>
        <row r="695">
          <cell r="D695">
            <v>7512</v>
          </cell>
          <cell r="E695" t="str">
            <v>投资损失</v>
          </cell>
          <cell r="F695">
            <v>-2263.2600000000002</v>
          </cell>
          <cell r="G695">
            <v>0</v>
          </cell>
          <cell r="H695">
            <v>0</v>
          </cell>
          <cell r="I695">
            <v>-2263.2600000000002</v>
          </cell>
          <cell r="J695">
            <v>0</v>
          </cell>
          <cell r="K695">
            <v>0</v>
          </cell>
          <cell r="L695">
            <v>0</v>
          </cell>
          <cell r="M695">
            <v>0</v>
          </cell>
          <cell r="T695">
            <v>7512</v>
          </cell>
          <cell r="U695">
            <v>0</v>
          </cell>
        </row>
        <row r="696">
          <cell r="D696">
            <v>7515</v>
          </cell>
          <cell r="E696" t="str">
            <v>递延所得税资产减少</v>
          </cell>
          <cell r="F696">
            <v>0</v>
          </cell>
          <cell r="G696">
            <v>0</v>
          </cell>
          <cell r="H696">
            <v>0</v>
          </cell>
          <cell r="I696">
            <v>0</v>
          </cell>
          <cell r="J696">
            <v>0</v>
          </cell>
          <cell r="K696">
            <v>0</v>
          </cell>
          <cell r="L696">
            <v>0</v>
          </cell>
          <cell r="M696">
            <v>0</v>
          </cell>
          <cell r="T696">
            <v>7515</v>
          </cell>
          <cell r="U696">
            <v>0</v>
          </cell>
        </row>
        <row r="697">
          <cell r="D697">
            <v>7516</v>
          </cell>
          <cell r="E697" t="str">
            <v>递延所得税负债增加</v>
          </cell>
          <cell r="F697">
            <v>0</v>
          </cell>
          <cell r="G697">
            <v>0</v>
          </cell>
          <cell r="H697">
            <v>0</v>
          </cell>
          <cell r="I697">
            <v>0</v>
          </cell>
          <cell r="J697">
            <v>0</v>
          </cell>
          <cell r="K697">
            <v>0</v>
          </cell>
          <cell r="L697">
            <v>0</v>
          </cell>
          <cell r="M697">
            <v>0</v>
          </cell>
          <cell r="T697">
            <v>7516</v>
          </cell>
          <cell r="U697">
            <v>0</v>
          </cell>
        </row>
        <row r="698">
          <cell r="D698">
            <v>7517</v>
          </cell>
          <cell r="E698" t="str">
            <v>存货的减少</v>
          </cell>
          <cell r="F698">
            <v>0</v>
          </cell>
          <cell r="G698">
            <v>0</v>
          </cell>
          <cell r="H698">
            <v>0</v>
          </cell>
          <cell r="I698">
            <v>0</v>
          </cell>
          <cell r="J698">
            <v>0</v>
          </cell>
          <cell r="K698">
            <v>0</v>
          </cell>
          <cell r="L698">
            <v>0</v>
          </cell>
          <cell r="M698">
            <v>0</v>
          </cell>
          <cell r="T698">
            <v>7517</v>
          </cell>
          <cell r="U698">
            <v>0</v>
          </cell>
        </row>
        <row r="699">
          <cell r="D699">
            <v>7518</v>
          </cell>
          <cell r="E699" t="str">
            <v>经营性应收项目的减少</v>
          </cell>
          <cell r="F699">
            <v>-11301879.83</v>
          </cell>
          <cell r="G699">
            <v>0</v>
          </cell>
          <cell r="H699">
            <v>0</v>
          </cell>
          <cell r="I699">
            <v>-11301879.83</v>
          </cell>
          <cell r="J699">
            <v>0</v>
          </cell>
          <cell r="K699">
            <v>0</v>
          </cell>
          <cell r="L699">
            <v>0</v>
          </cell>
          <cell r="M699">
            <v>0</v>
          </cell>
          <cell r="T699">
            <v>7518</v>
          </cell>
          <cell r="U699">
            <v>0</v>
          </cell>
        </row>
        <row r="700">
          <cell r="D700">
            <v>7519</v>
          </cell>
          <cell r="E700" t="str">
            <v>经营性应付项目的增加</v>
          </cell>
          <cell r="F700">
            <v>18714178.43</v>
          </cell>
          <cell r="G700">
            <v>0</v>
          </cell>
          <cell r="H700">
            <v>0</v>
          </cell>
          <cell r="I700">
            <v>18714178.43</v>
          </cell>
          <cell r="J700">
            <v>0</v>
          </cell>
          <cell r="K700">
            <v>0</v>
          </cell>
          <cell r="L700">
            <v>0</v>
          </cell>
          <cell r="M700">
            <v>0</v>
          </cell>
          <cell r="T700">
            <v>7519</v>
          </cell>
          <cell r="U700">
            <v>0</v>
          </cell>
        </row>
        <row r="701">
          <cell r="D701">
            <v>7523</v>
          </cell>
          <cell r="E701" t="str">
            <v>其他将净利润调节为经营活动现金流量项目</v>
          </cell>
          <cell r="F701">
            <v>0</v>
          </cell>
          <cell r="G701">
            <v>0</v>
          </cell>
          <cell r="H701">
            <v>0</v>
          </cell>
          <cell r="I701">
            <v>0</v>
          </cell>
          <cell r="J701">
            <v>0</v>
          </cell>
          <cell r="K701">
            <v>0</v>
          </cell>
          <cell r="L701">
            <v>0</v>
          </cell>
          <cell r="M701">
            <v>0</v>
          </cell>
          <cell r="T701">
            <v>7523</v>
          </cell>
          <cell r="U701">
            <v>0</v>
          </cell>
        </row>
        <row r="702">
          <cell r="D702">
            <v>7525</v>
          </cell>
          <cell r="E702" t="str">
            <v>经营活动产生的现金流量净额</v>
          </cell>
          <cell r="F702">
            <v>-256945.52</v>
          </cell>
          <cell r="G702">
            <v>307371.45</v>
          </cell>
          <cell r="H702">
            <v>0</v>
          </cell>
          <cell r="I702">
            <v>50425.93</v>
          </cell>
          <cell r="J702">
            <v>-2315528.35</v>
          </cell>
          <cell r="K702">
            <v>0</v>
          </cell>
          <cell r="L702">
            <v>0</v>
          </cell>
          <cell r="M702">
            <v>-2315528.35</v>
          </cell>
          <cell r="T702">
            <v>7525</v>
          </cell>
          <cell r="U702">
            <v>-2233942.6</v>
          </cell>
        </row>
        <row r="703">
          <cell r="D703">
            <v>7526</v>
          </cell>
          <cell r="E703" t="str">
            <v>不涉及现金收支的重大投资和筹资活动</v>
          </cell>
          <cell r="F703">
            <v>0</v>
          </cell>
          <cell r="G703">
            <v>0</v>
          </cell>
          <cell r="H703">
            <v>0</v>
          </cell>
          <cell r="I703">
            <v>0</v>
          </cell>
          <cell r="J703">
            <v>0</v>
          </cell>
          <cell r="K703">
            <v>0</v>
          </cell>
          <cell r="L703">
            <v>0</v>
          </cell>
          <cell r="M703">
            <v>0</v>
          </cell>
          <cell r="T703">
            <v>7526</v>
          </cell>
          <cell r="U703">
            <v>0</v>
          </cell>
        </row>
        <row r="704">
          <cell r="D704">
            <v>7527</v>
          </cell>
          <cell r="E704" t="str">
            <v>债务转为资本</v>
          </cell>
          <cell r="F704">
            <v>0</v>
          </cell>
          <cell r="G704">
            <v>0</v>
          </cell>
          <cell r="H704">
            <v>0</v>
          </cell>
          <cell r="I704">
            <v>0</v>
          </cell>
          <cell r="J704">
            <v>0</v>
          </cell>
          <cell r="K704">
            <v>0</v>
          </cell>
          <cell r="L704">
            <v>0</v>
          </cell>
          <cell r="M704">
            <v>0</v>
          </cell>
          <cell r="T704">
            <v>7527</v>
          </cell>
          <cell r="U704">
            <v>0</v>
          </cell>
        </row>
        <row r="705">
          <cell r="D705">
            <v>7528</v>
          </cell>
          <cell r="E705" t="str">
            <v>一年内到期的可转换公司债券</v>
          </cell>
          <cell r="F705">
            <v>0</v>
          </cell>
          <cell r="G705">
            <v>0</v>
          </cell>
          <cell r="H705">
            <v>0</v>
          </cell>
          <cell r="I705">
            <v>0</v>
          </cell>
          <cell r="J705">
            <v>0</v>
          </cell>
          <cell r="K705">
            <v>0</v>
          </cell>
          <cell r="L705">
            <v>0</v>
          </cell>
          <cell r="M705">
            <v>0</v>
          </cell>
          <cell r="T705">
            <v>7528</v>
          </cell>
          <cell r="U705">
            <v>0</v>
          </cell>
        </row>
        <row r="706">
          <cell r="D706">
            <v>7529</v>
          </cell>
          <cell r="E706" t="str">
            <v>融资租入固定资产</v>
          </cell>
          <cell r="F706">
            <v>0</v>
          </cell>
          <cell r="G706">
            <v>0</v>
          </cell>
          <cell r="H706">
            <v>0</v>
          </cell>
          <cell r="I706">
            <v>0</v>
          </cell>
          <cell r="J706">
            <v>0</v>
          </cell>
          <cell r="K706">
            <v>0</v>
          </cell>
          <cell r="L706">
            <v>0</v>
          </cell>
          <cell r="M706">
            <v>0</v>
          </cell>
          <cell r="T706">
            <v>7529</v>
          </cell>
          <cell r="U706">
            <v>0</v>
          </cell>
        </row>
        <row r="707">
          <cell r="D707">
            <v>7533</v>
          </cell>
          <cell r="E707" t="str">
            <v>现金及现金等价物净变动情况</v>
          </cell>
          <cell r="F707">
            <v>0</v>
          </cell>
          <cell r="G707">
            <v>0</v>
          </cell>
          <cell r="H707">
            <v>0</v>
          </cell>
          <cell r="I707">
            <v>0</v>
          </cell>
          <cell r="J707">
            <v>0</v>
          </cell>
          <cell r="K707">
            <v>0</v>
          </cell>
          <cell r="L707">
            <v>0</v>
          </cell>
          <cell r="M707">
            <v>0</v>
          </cell>
          <cell r="T707">
            <v>7533</v>
          </cell>
          <cell r="U707">
            <v>0</v>
          </cell>
        </row>
        <row r="708">
          <cell r="D708">
            <v>7535</v>
          </cell>
          <cell r="E708" t="str">
            <v>现金的期末余额</v>
          </cell>
          <cell r="F708">
            <v>1716020.45</v>
          </cell>
          <cell r="G708">
            <v>0</v>
          </cell>
          <cell r="H708">
            <v>0</v>
          </cell>
          <cell r="I708">
            <v>1716020.45</v>
          </cell>
          <cell r="J708">
            <v>1652930.79</v>
          </cell>
          <cell r="K708">
            <v>0</v>
          </cell>
          <cell r="L708">
            <v>0</v>
          </cell>
          <cell r="M708">
            <v>1652930.79</v>
          </cell>
          <cell r="T708">
            <v>7535</v>
          </cell>
          <cell r="U708">
            <v>1652930.79</v>
          </cell>
        </row>
        <row r="709">
          <cell r="D709">
            <v>7536</v>
          </cell>
          <cell r="E709" t="str">
            <v>减：现金的年初余额</v>
          </cell>
          <cell r="F709">
            <v>1652930.79</v>
          </cell>
          <cell r="G709">
            <v>0</v>
          </cell>
          <cell r="H709">
            <v>0</v>
          </cell>
          <cell r="I709">
            <v>1652930.79</v>
          </cell>
          <cell r="J709">
            <v>0</v>
          </cell>
          <cell r="K709">
            <v>0</v>
          </cell>
          <cell r="L709">
            <v>0</v>
          </cell>
          <cell r="M709">
            <v>0</v>
          </cell>
          <cell r="T709">
            <v>7536</v>
          </cell>
          <cell r="U709">
            <v>0</v>
          </cell>
        </row>
        <row r="710">
          <cell r="D710">
            <v>7537</v>
          </cell>
          <cell r="E710" t="str">
            <v>加：现金等价物的期末余额</v>
          </cell>
          <cell r="F710">
            <v>0</v>
          </cell>
          <cell r="G710">
            <v>0</v>
          </cell>
          <cell r="H710">
            <v>0</v>
          </cell>
          <cell r="I710">
            <v>0</v>
          </cell>
          <cell r="J710">
            <v>0</v>
          </cell>
          <cell r="K710">
            <v>0</v>
          </cell>
          <cell r="L710">
            <v>0</v>
          </cell>
          <cell r="M710">
            <v>0</v>
          </cell>
          <cell r="T710">
            <v>7537</v>
          </cell>
          <cell r="U710">
            <v>0</v>
          </cell>
        </row>
        <row r="711">
          <cell r="D711">
            <v>7538</v>
          </cell>
          <cell r="E711" t="str">
            <v>减：现金等价物的年初余额</v>
          </cell>
          <cell r="F711">
            <v>0</v>
          </cell>
          <cell r="G711">
            <v>0</v>
          </cell>
          <cell r="H711">
            <v>0</v>
          </cell>
          <cell r="I711">
            <v>0</v>
          </cell>
          <cell r="J711">
            <v>0</v>
          </cell>
          <cell r="K711">
            <v>0</v>
          </cell>
          <cell r="L711">
            <v>0</v>
          </cell>
          <cell r="M711">
            <v>0</v>
          </cell>
          <cell r="T711">
            <v>7538</v>
          </cell>
          <cell r="U711">
            <v>0</v>
          </cell>
        </row>
        <row r="712">
          <cell r="D712">
            <v>7539</v>
          </cell>
          <cell r="E712" t="str">
            <v>现金及现金等价物净增加额</v>
          </cell>
          <cell r="F712">
            <v>63089.66</v>
          </cell>
          <cell r="G712">
            <v>0</v>
          </cell>
          <cell r="H712">
            <v>0</v>
          </cell>
          <cell r="I712">
            <v>63089.66</v>
          </cell>
          <cell r="J712">
            <v>1652930.79</v>
          </cell>
          <cell r="K712">
            <v>0</v>
          </cell>
          <cell r="L712">
            <v>0</v>
          </cell>
          <cell r="M712">
            <v>1652930.79</v>
          </cell>
          <cell r="T712">
            <v>7539</v>
          </cell>
          <cell r="U712">
            <v>1652930.79</v>
          </cell>
        </row>
      </sheetData>
      <sheetData sheetId="11"/>
      <sheetData sheetId="12"/>
      <sheetData sheetId="13">
        <row r="50">
          <cell r="B50">
            <v>0</v>
          </cell>
          <cell r="C50" t="str">
            <v>现金流量表补充资料</v>
          </cell>
          <cell r="D50">
            <v>0</v>
          </cell>
          <cell r="E50" t="str">
            <v>本年金额</v>
          </cell>
          <cell r="F50" t="str">
            <v>上年金额</v>
          </cell>
        </row>
        <row r="51">
          <cell r="B51">
            <v>7501</v>
          </cell>
          <cell r="C51" t="str">
            <v>1.将净利润调节为经营活动现金流量：</v>
          </cell>
          <cell r="D51">
            <v>0</v>
          </cell>
          <cell r="E51">
            <v>0</v>
          </cell>
          <cell r="F51">
            <v>0</v>
          </cell>
        </row>
        <row r="52">
          <cell r="B52">
            <v>7502</v>
          </cell>
          <cell r="C52" t="str">
            <v>净利润</v>
          </cell>
          <cell r="D52">
            <v>0</v>
          </cell>
          <cell r="E52">
            <v>-7522162.8799999999</v>
          </cell>
          <cell r="F52">
            <v>-2315528.35</v>
          </cell>
        </row>
        <row r="53">
          <cell r="B53">
            <v>7503</v>
          </cell>
          <cell r="C53" t="str">
            <v>加：资产减值准备</v>
          </cell>
          <cell r="D53">
            <v>0</v>
          </cell>
          <cell r="E53">
            <v>-63386.5</v>
          </cell>
          <cell r="F53">
            <v>0</v>
          </cell>
        </row>
        <row r="54">
          <cell r="B54">
            <v>7505</v>
          </cell>
          <cell r="C54" t="str">
            <v>固定资产折旧、油气资产折耗、生产性生物资产折旧</v>
          </cell>
          <cell r="D54">
            <v>0</v>
          </cell>
          <cell r="E54">
            <v>32306.7</v>
          </cell>
          <cell r="F54">
            <v>0</v>
          </cell>
        </row>
        <row r="55">
          <cell r="B55">
            <v>7506</v>
          </cell>
          <cell r="C55" t="str">
            <v>无形资产摊销</v>
          </cell>
          <cell r="D55">
            <v>0</v>
          </cell>
          <cell r="E55">
            <v>0</v>
          </cell>
          <cell r="F55">
            <v>0</v>
          </cell>
        </row>
        <row r="56">
          <cell r="B56">
            <v>7507</v>
          </cell>
          <cell r="C56" t="str">
            <v>长期待摊费用摊销</v>
          </cell>
          <cell r="D56">
            <v>0</v>
          </cell>
          <cell r="E56">
            <v>0</v>
          </cell>
          <cell r="F56">
            <v>0</v>
          </cell>
        </row>
        <row r="57">
          <cell r="B57">
            <v>7508</v>
          </cell>
          <cell r="C57" t="str">
            <v>处置固定资产、无形资产和其他长期资产的损失（收益以“－”号填列）</v>
          </cell>
          <cell r="D57">
            <v>0</v>
          </cell>
          <cell r="E57">
            <v>0</v>
          </cell>
          <cell r="F57">
            <v>0</v>
          </cell>
        </row>
        <row r="58">
          <cell r="B58">
            <v>7509</v>
          </cell>
          <cell r="C58" t="str">
            <v>固定资产报废损失（收益以“－”号填列）</v>
          </cell>
          <cell r="D58">
            <v>0</v>
          </cell>
          <cell r="E58">
            <v>0</v>
          </cell>
          <cell r="F58">
            <v>0</v>
          </cell>
        </row>
        <row r="59">
          <cell r="B59">
            <v>7510</v>
          </cell>
          <cell r="C59" t="str">
            <v>公允价值变动损失（收益以“－”号填列）</v>
          </cell>
          <cell r="D59">
            <v>0</v>
          </cell>
          <cell r="E59">
            <v>0</v>
          </cell>
          <cell r="F59">
            <v>0</v>
          </cell>
        </row>
        <row r="60">
          <cell r="B60">
            <v>7511</v>
          </cell>
          <cell r="C60" t="str">
            <v>财务费用（收益以“－”号填列）</v>
          </cell>
          <cell r="D60">
            <v>0</v>
          </cell>
          <cell r="E60">
            <v>195896.53</v>
          </cell>
          <cell r="F60">
            <v>0</v>
          </cell>
        </row>
        <row r="61">
          <cell r="B61">
            <v>7512</v>
          </cell>
          <cell r="C61" t="str">
            <v>投资损失（收益以“－”号填列）</v>
          </cell>
          <cell r="D61">
            <v>0</v>
          </cell>
          <cell r="E61">
            <v>-2263.2600000000002</v>
          </cell>
          <cell r="F61">
            <v>0</v>
          </cell>
        </row>
        <row r="62">
          <cell r="B62">
            <v>7515</v>
          </cell>
          <cell r="C62" t="str">
            <v>递延所得税资产减少（增加以“－”号填列）</v>
          </cell>
          <cell r="D62">
            <v>0</v>
          </cell>
          <cell r="E62">
            <v>0</v>
          </cell>
          <cell r="F62">
            <v>0</v>
          </cell>
        </row>
        <row r="63">
          <cell r="B63">
            <v>7516</v>
          </cell>
          <cell r="C63" t="str">
            <v>递延所得税负债增加（减少以“－”号填列）</v>
          </cell>
          <cell r="D63">
            <v>0</v>
          </cell>
          <cell r="E63">
            <v>0</v>
          </cell>
          <cell r="F63">
            <v>0</v>
          </cell>
        </row>
        <row r="64">
          <cell r="B64">
            <v>7517</v>
          </cell>
          <cell r="C64" t="str">
            <v>存货的减少（增加以“－”号填列）</v>
          </cell>
          <cell r="D64">
            <v>0</v>
          </cell>
          <cell r="E64">
            <v>0</v>
          </cell>
          <cell r="F64">
            <v>0</v>
          </cell>
        </row>
        <row r="65">
          <cell r="B65">
            <v>7518</v>
          </cell>
          <cell r="C65" t="str">
            <v>经营性应收项目的减少（增加以“－”号填列）</v>
          </cell>
          <cell r="D65">
            <v>0</v>
          </cell>
          <cell r="E65">
            <v>-11301879.83</v>
          </cell>
          <cell r="F65">
            <v>0</v>
          </cell>
        </row>
        <row r="66">
          <cell r="B66">
            <v>7519</v>
          </cell>
          <cell r="C66" t="str">
            <v>经营性应付项目的增加（减少以“－”号填列）</v>
          </cell>
          <cell r="D66">
            <v>0</v>
          </cell>
          <cell r="E66">
            <v>18714178.43</v>
          </cell>
          <cell r="F66">
            <v>0</v>
          </cell>
        </row>
        <row r="67">
          <cell r="B67">
            <v>7523</v>
          </cell>
          <cell r="C67" t="str">
            <v>其他</v>
          </cell>
          <cell r="D67">
            <v>0</v>
          </cell>
          <cell r="E67">
            <v>0</v>
          </cell>
          <cell r="F67">
            <v>0</v>
          </cell>
        </row>
        <row r="68">
          <cell r="B68">
            <v>7525</v>
          </cell>
          <cell r="C68" t="str">
            <v>经营活动产生的现金流量净额</v>
          </cell>
          <cell r="D68">
            <v>0</v>
          </cell>
          <cell r="E68">
            <v>52689.19</v>
          </cell>
          <cell r="F68">
            <v>-2315528.35</v>
          </cell>
        </row>
        <row r="69">
          <cell r="B69">
            <v>7526</v>
          </cell>
          <cell r="C69" t="str">
            <v>2.不涉及现金收支的重大投资和筹资活动：</v>
          </cell>
          <cell r="D69">
            <v>0</v>
          </cell>
          <cell r="E69">
            <v>0</v>
          </cell>
          <cell r="F69">
            <v>0</v>
          </cell>
        </row>
        <row r="70">
          <cell r="B70">
            <v>7527</v>
          </cell>
          <cell r="C70" t="str">
            <v>债务转为资本</v>
          </cell>
          <cell r="D70">
            <v>0</v>
          </cell>
          <cell r="E70">
            <v>0</v>
          </cell>
          <cell r="F70">
            <v>0</v>
          </cell>
        </row>
        <row r="71">
          <cell r="B71">
            <v>7528</v>
          </cell>
          <cell r="C71" t="str">
            <v>一年内到期的可转换公司债券</v>
          </cell>
          <cell r="D71">
            <v>0</v>
          </cell>
          <cell r="E71">
            <v>0</v>
          </cell>
          <cell r="F71">
            <v>0</v>
          </cell>
        </row>
        <row r="72">
          <cell r="B72">
            <v>7529</v>
          </cell>
          <cell r="C72" t="str">
            <v>融资租入固定资产</v>
          </cell>
          <cell r="D72">
            <v>0</v>
          </cell>
          <cell r="E72">
            <v>0</v>
          </cell>
          <cell r="F72">
            <v>0</v>
          </cell>
        </row>
        <row r="73">
          <cell r="B73">
            <v>7533</v>
          </cell>
          <cell r="C73" t="str">
            <v>3.现金及现金等价物净变动情况：</v>
          </cell>
          <cell r="D73">
            <v>0</v>
          </cell>
          <cell r="E73">
            <v>0</v>
          </cell>
          <cell r="F73">
            <v>0</v>
          </cell>
        </row>
        <row r="74">
          <cell r="B74">
            <v>7535</v>
          </cell>
          <cell r="C74" t="str">
            <v>现金的期末余额</v>
          </cell>
          <cell r="D74">
            <v>0</v>
          </cell>
          <cell r="E74">
            <v>1716020.45</v>
          </cell>
          <cell r="F74">
            <v>1652930.79</v>
          </cell>
        </row>
        <row r="75">
          <cell r="B75">
            <v>7536</v>
          </cell>
          <cell r="C75" t="str">
            <v>减：现金的年初余额</v>
          </cell>
          <cell r="D75">
            <v>0</v>
          </cell>
          <cell r="E75">
            <v>1652930.79</v>
          </cell>
          <cell r="F75">
            <v>0</v>
          </cell>
        </row>
        <row r="76">
          <cell r="B76">
            <v>7537</v>
          </cell>
          <cell r="C76" t="str">
            <v>加：现金等价物的期末余额</v>
          </cell>
          <cell r="D76">
            <v>0</v>
          </cell>
          <cell r="E76">
            <v>0</v>
          </cell>
          <cell r="F76">
            <v>0</v>
          </cell>
        </row>
        <row r="77">
          <cell r="B77">
            <v>7538</v>
          </cell>
          <cell r="C77" t="str">
            <v>减：现金等价物的年初余额</v>
          </cell>
          <cell r="D77">
            <v>0</v>
          </cell>
          <cell r="E77">
            <v>0</v>
          </cell>
          <cell r="F77">
            <v>0</v>
          </cell>
        </row>
        <row r="78">
          <cell r="B78">
            <v>7539</v>
          </cell>
          <cell r="C78" t="str">
            <v>现金及现金等价物净增加额</v>
          </cell>
          <cell r="D78">
            <v>0</v>
          </cell>
          <cell r="E78">
            <v>63089.66</v>
          </cell>
          <cell r="F78">
            <v>1652930.79</v>
          </cell>
        </row>
      </sheetData>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减值表-必填"/>
      <sheetName val="递延所得税必填"/>
      <sheetName val="所得税费用"/>
      <sheetName val="CF底稿"/>
      <sheetName val="TB"/>
      <sheetName val="BS"/>
      <sheetName val="IS"/>
      <sheetName val="CF"/>
      <sheetName val="CE"/>
      <sheetName val="noteChecks"/>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D2">
            <v>0</v>
          </cell>
          <cell r="E2" t="str">
            <v>：</v>
          </cell>
          <cell r="F2">
            <v>0</v>
          </cell>
          <cell r="G2" t="str">
            <v>资产负债表</v>
          </cell>
          <cell r="H2">
            <v>0</v>
          </cell>
          <cell r="I2">
            <v>1</v>
          </cell>
          <cell r="J2">
            <v>0</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D3">
            <v>0</v>
          </cell>
          <cell r="E3" t="str">
            <v>：</v>
          </cell>
          <cell r="F3">
            <v>0</v>
          </cell>
          <cell r="G3" t="str">
            <v>流动资产：</v>
          </cell>
          <cell r="H3">
            <v>0</v>
          </cell>
          <cell r="I3">
            <v>1000</v>
          </cell>
          <cell r="J3">
            <v>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E4">
            <v>0</v>
          </cell>
          <cell r="F4">
            <v>3100</v>
          </cell>
          <cell r="G4" t="str">
            <v>货币资金</v>
          </cell>
          <cell r="H4">
            <v>0</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v>0</v>
          </cell>
          <cell r="G5" t="str">
            <v>结算备付金</v>
          </cell>
          <cell r="H5">
            <v>0</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v>0</v>
          </cell>
          <cell r="G6" t="str">
            <v>拆出资金</v>
          </cell>
          <cell r="H6">
            <v>0</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E7">
            <v>0</v>
          </cell>
          <cell r="F7" t="str">
            <v>3210_3280</v>
          </cell>
          <cell r="G7" t="str">
            <v>以公允价值计量且其变动计入当期损益的金融资产</v>
          </cell>
          <cell r="H7">
            <v>0</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H8">
            <v>0</v>
          </cell>
          <cell r="I8">
            <v>1115</v>
          </cell>
          <cell r="J8" t="str">
            <v>J</v>
          </cell>
          <cell r="M8" t="str">
            <v>应收账款</v>
          </cell>
          <cell r="P8" t="str">
            <v>收回投资收到的现金</v>
          </cell>
          <cell r="S8" t="str">
            <v>1123a</v>
          </cell>
          <cell r="T8" t="str">
            <v>应收票据及应收账款分类列示</v>
          </cell>
          <cell r="U8" t="str">
            <v>项       目</v>
          </cell>
          <cell r="V8">
            <v>1</v>
          </cell>
          <cell r="W8">
            <v>1123</v>
          </cell>
          <cell r="X8">
            <v>1</v>
          </cell>
          <cell r="AG8" t="str">
            <v>客户不同意调整</v>
          </cell>
          <cell r="AK8" t="str">
            <v>65损益_费用</v>
          </cell>
        </row>
        <row r="9">
          <cell r="B9">
            <v>1121</v>
          </cell>
          <cell r="C9" t="str">
            <v>应收票据</v>
          </cell>
          <cell r="D9">
            <v>1</v>
          </cell>
          <cell r="E9">
            <v>0</v>
          </cell>
          <cell r="F9">
            <v>3310</v>
          </cell>
          <cell r="G9" t="str">
            <v>其中：应收票据</v>
          </cell>
          <cell r="H9">
            <v>0</v>
          </cell>
          <cell r="I9">
            <v>1121</v>
          </cell>
          <cell r="J9" t="str">
            <v>J</v>
          </cell>
          <cell r="M9" t="str">
            <v>应收账款坏账准备</v>
          </cell>
          <cell r="P9" t="str">
            <v>取得投资收益收到的现金</v>
          </cell>
          <cell r="S9" t="str">
            <v>1121a</v>
          </cell>
          <cell r="T9" t="str">
            <v>应收票据分类</v>
          </cell>
          <cell r="U9" t="str">
            <v>种       类</v>
          </cell>
          <cell r="V9">
            <v>1</v>
          </cell>
          <cell r="W9">
            <v>1121</v>
          </cell>
          <cell r="X9">
            <v>1</v>
          </cell>
          <cell r="AG9" t="str">
            <v>客户正式同意调整</v>
          </cell>
        </row>
        <row r="10">
          <cell r="B10">
            <v>1122</v>
          </cell>
          <cell r="C10" t="str">
            <v>应收账款</v>
          </cell>
          <cell r="D10">
            <v>1</v>
          </cell>
          <cell r="E10">
            <v>0</v>
          </cell>
          <cell r="F10">
            <v>3320</v>
          </cell>
          <cell r="G10" t="str">
            <v>其中：应收账款</v>
          </cell>
          <cell r="H10">
            <v>0</v>
          </cell>
          <cell r="I10">
            <v>1122</v>
          </cell>
          <cell r="J10" t="str">
            <v>J</v>
          </cell>
          <cell r="M10" t="str">
            <v>应收票据及应收账款</v>
          </cell>
          <cell r="P10" t="str">
            <v>处置固定资产无形资产长期资产收回的现金</v>
          </cell>
          <cell r="S10" t="str">
            <v>1121b</v>
          </cell>
          <cell r="T10" t="str">
            <v>期末已质押的应收票据</v>
          </cell>
          <cell r="U10" t="str">
            <v>种       类</v>
          </cell>
          <cell r="V10">
            <v>1</v>
          </cell>
          <cell r="W10">
            <v>1121</v>
          </cell>
          <cell r="X10">
            <v>2</v>
          </cell>
          <cell r="AG10" t="str">
            <v>经理复核</v>
          </cell>
        </row>
        <row r="11">
          <cell r="B11">
            <v>1125</v>
          </cell>
          <cell r="C11" t="str">
            <v>预付款项</v>
          </cell>
          <cell r="D11">
            <v>1</v>
          </cell>
          <cell r="E11">
            <v>0</v>
          </cell>
          <cell r="F11">
            <v>3330</v>
          </cell>
          <cell r="G11" t="str">
            <v>预付款项</v>
          </cell>
          <cell r="H11">
            <v>0</v>
          </cell>
          <cell r="I11">
            <v>1125</v>
          </cell>
          <cell r="J11" t="str">
            <v>J</v>
          </cell>
          <cell r="M11" t="str">
            <v>预付款项</v>
          </cell>
          <cell r="P11" t="str">
            <v>处置子公司及其他营业单位收到的现金净额</v>
          </cell>
          <cell r="S11" t="str">
            <v>1121d</v>
          </cell>
          <cell r="T11" t="str">
            <v>期末已背书或贴现但尚未到期的应收票据</v>
          </cell>
          <cell r="U11" t="str">
            <v>种       类</v>
          </cell>
          <cell r="V11">
            <v>1</v>
          </cell>
          <cell r="W11">
            <v>1121</v>
          </cell>
          <cell r="X11">
            <v>2</v>
          </cell>
          <cell r="AG11" t="str">
            <v>合伙人复核</v>
          </cell>
        </row>
        <row r="12">
          <cell r="B12">
            <v>1127</v>
          </cell>
          <cell r="C12" t="str">
            <v>应收保费</v>
          </cell>
          <cell r="D12">
            <v>1</v>
          </cell>
          <cell r="E12" t="str">
            <v>△</v>
          </cell>
          <cell r="F12">
            <v>0</v>
          </cell>
          <cell r="G12" t="str">
            <v>应收保费</v>
          </cell>
          <cell r="H12">
            <v>0</v>
          </cell>
          <cell r="I12">
            <v>1127</v>
          </cell>
          <cell r="J12" t="str">
            <v>J</v>
          </cell>
          <cell r="M12" t="str">
            <v>预付款项坏账准备</v>
          </cell>
          <cell r="P12" t="str">
            <v>收到其他与投资活动有关的现金</v>
          </cell>
          <cell r="S12" t="str">
            <v>1121c</v>
          </cell>
          <cell r="T12" t="str">
            <v>期末因出票人未履约而转为应收账款的票据</v>
          </cell>
          <cell r="U12" t="str">
            <v>种       类</v>
          </cell>
          <cell r="V12">
            <v>1</v>
          </cell>
          <cell r="W12">
            <v>1121</v>
          </cell>
          <cell r="X12">
            <v>2</v>
          </cell>
          <cell r="AG12" t="str">
            <v>质控部复核</v>
          </cell>
        </row>
        <row r="13">
          <cell r="B13">
            <v>1211</v>
          </cell>
          <cell r="C13" t="str">
            <v>应收分保账款</v>
          </cell>
          <cell r="D13">
            <v>1</v>
          </cell>
          <cell r="E13" t="str">
            <v>△</v>
          </cell>
          <cell r="F13">
            <v>0</v>
          </cell>
          <cell r="G13" t="str">
            <v>应收分保账款</v>
          </cell>
          <cell r="H13">
            <v>0</v>
          </cell>
          <cell r="I13">
            <v>1211</v>
          </cell>
          <cell r="J13" t="str">
            <v>J</v>
          </cell>
          <cell r="M13" t="str">
            <v>应收股利</v>
          </cell>
          <cell r="P13" t="str">
            <v>购置固定资产无形资产长期资产支付的现金</v>
          </cell>
          <cell r="S13" t="str">
            <v>1122a</v>
          </cell>
          <cell r="T13" t="str">
            <v>应收账款按种类列示</v>
          </cell>
          <cell r="U13" t="str">
            <v>种       类</v>
          </cell>
          <cell r="V13">
            <v>1</v>
          </cell>
          <cell r="W13">
            <v>1122</v>
          </cell>
          <cell r="X13">
            <v>1</v>
          </cell>
        </row>
        <row r="14">
          <cell r="B14">
            <v>1212</v>
          </cell>
          <cell r="C14" t="str">
            <v>应收分保合同准备金</v>
          </cell>
          <cell r="D14">
            <v>1</v>
          </cell>
          <cell r="E14" t="str">
            <v>△</v>
          </cell>
          <cell r="F14">
            <v>0</v>
          </cell>
          <cell r="G14" t="str">
            <v>应收分保准备金</v>
          </cell>
          <cell r="H14">
            <v>0</v>
          </cell>
          <cell r="I14">
            <v>1212</v>
          </cell>
          <cell r="J14" t="str">
            <v>J</v>
          </cell>
          <cell r="M14" t="str">
            <v>应收利息</v>
          </cell>
          <cell r="P14" t="str">
            <v>投资支付的现金</v>
          </cell>
          <cell r="S14" t="str">
            <v>1122b</v>
          </cell>
          <cell r="T14" t="str">
            <v>应收账款按种类列示（续）</v>
          </cell>
          <cell r="U14" t="str">
            <v>种       类</v>
          </cell>
          <cell r="V14">
            <v>1</v>
          </cell>
          <cell r="W14">
            <v>1122</v>
          </cell>
          <cell r="X14">
            <v>2</v>
          </cell>
        </row>
        <row r="15">
          <cell r="B15">
            <v>1132</v>
          </cell>
          <cell r="C15" t="str">
            <v>应收利息</v>
          </cell>
          <cell r="D15">
            <v>1</v>
          </cell>
          <cell r="E15">
            <v>0</v>
          </cell>
          <cell r="F15">
            <v>3350</v>
          </cell>
          <cell r="G15" t="str">
            <v>其中：应收利息</v>
          </cell>
          <cell r="H15">
            <v>0</v>
          </cell>
          <cell r="I15">
            <v>1132</v>
          </cell>
          <cell r="J15" t="str">
            <v>J</v>
          </cell>
          <cell r="M15" t="str">
            <v>其他应收款</v>
          </cell>
          <cell r="P15" t="str">
            <v>取得子公司及其他营业单位支付的现金净额</v>
          </cell>
          <cell r="S15" t="str">
            <v>1122g</v>
          </cell>
          <cell r="T15" t="str">
            <v>期末单项金额重大并单项计提坏账准备的应收账款</v>
          </cell>
          <cell r="U15" t="str">
            <v>应收账款（按单位）</v>
          </cell>
          <cell r="V15">
            <v>1</v>
          </cell>
          <cell r="W15">
            <v>1122</v>
          </cell>
          <cell r="X15">
            <v>2</v>
          </cell>
        </row>
        <row r="16">
          <cell r="B16">
            <v>1131</v>
          </cell>
          <cell r="C16" t="str">
            <v>应收股利</v>
          </cell>
          <cell r="D16">
            <v>1</v>
          </cell>
          <cell r="E16">
            <v>0</v>
          </cell>
          <cell r="F16">
            <v>3340</v>
          </cell>
          <cell r="G16" t="str">
            <v>其中：应收股利</v>
          </cell>
          <cell r="H16">
            <v>0</v>
          </cell>
          <cell r="I16">
            <v>1131</v>
          </cell>
          <cell r="J16" t="str">
            <v>J</v>
          </cell>
          <cell r="M16" t="str">
            <v>其他应收款坏账准备</v>
          </cell>
          <cell r="P16" t="str">
            <v>支付其他与投资活动有关的现金</v>
          </cell>
          <cell r="S16" t="str">
            <v>1122d</v>
          </cell>
          <cell r="T16" t="str">
            <v>组合中按账龄分析法计提坏账准备的应收账款</v>
          </cell>
          <cell r="U16" t="str">
            <v>账  龄</v>
          </cell>
          <cell r="V16">
            <v>1</v>
          </cell>
          <cell r="W16">
            <v>1122</v>
          </cell>
          <cell r="X16">
            <v>2</v>
          </cell>
        </row>
        <row r="17">
          <cell r="B17">
            <v>1221</v>
          </cell>
          <cell r="C17" t="str">
            <v>其他应收款</v>
          </cell>
          <cell r="D17">
            <v>1</v>
          </cell>
          <cell r="E17">
            <v>0</v>
          </cell>
          <cell r="F17">
            <v>3360</v>
          </cell>
          <cell r="G17" t="str">
            <v>其中：其他应收款</v>
          </cell>
          <cell r="H17">
            <v>0</v>
          </cell>
          <cell r="I17">
            <v>1221</v>
          </cell>
          <cell r="J17" t="str">
            <v>J</v>
          </cell>
          <cell r="M17" t="str">
            <v>持有待售资产</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1111</v>
          </cell>
          <cell r="C18" t="str">
            <v>买入返售金融资产</v>
          </cell>
          <cell r="D18">
            <v>1</v>
          </cell>
          <cell r="E18" t="str">
            <v>△</v>
          </cell>
          <cell r="F18">
            <v>0</v>
          </cell>
          <cell r="G18" t="str">
            <v>买入返售金融资产</v>
          </cell>
          <cell r="H18">
            <v>0</v>
          </cell>
          <cell r="I18">
            <v>1111</v>
          </cell>
          <cell r="J18" t="str">
            <v>J</v>
          </cell>
          <cell r="M18" t="str">
            <v>存货</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1400</v>
          </cell>
          <cell r="C19" t="str">
            <v>存货</v>
          </cell>
          <cell r="D19">
            <v>1</v>
          </cell>
          <cell r="E19">
            <v>0</v>
          </cell>
          <cell r="F19">
            <v>3400</v>
          </cell>
          <cell r="G19" t="str">
            <v>存货</v>
          </cell>
          <cell r="H19">
            <v>0</v>
          </cell>
          <cell r="I19">
            <v>1400</v>
          </cell>
          <cell r="J19" t="str">
            <v>J</v>
          </cell>
          <cell r="M19" t="str">
            <v>材料采购</v>
          </cell>
          <cell r="P19" t="str">
            <v>取得借款收到的现金</v>
          </cell>
          <cell r="S19" t="str">
            <v>1122x</v>
          </cell>
          <cell r="T19" t="str">
            <v>应收账款补充资料</v>
          </cell>
          <cell r="U19" t="str">
            <v>项       目</v>
          </cell>
          <cell r="V19">
            <v>1</v>
          </cell>
          <cell r="W19">
            <v>1122</v>
          </cell>
          <cell r="X19">
            <v>2</v>
          </cell>
        </row>
        <row r="20">
          <cell r="B20">
            <v>1315</v>
          </cell>
          <cell r="C20" t="str">
            <v>持有待售资产</v>
          </cell>
          <cell r="D20">
            <v>1</v>
          </cell>
          <cell r="E20" t="str">
            <v>Ｘ</v>
          </cell>
          <cell r="F20">
            <v>3860</v>
          </cell>
          <cell r="G20" t="str">
            <v>持有待售资产</v>
          </cell>
          <cell r="H20">
            <v>0</v>
          </cell>
          <cell r="I20">
            <v>1315</v>
          </cell>
          <cell r="J20" t="str">
            <v>J</v>
          </cell>
          <cell r="M20" t="str">
            <v>在途物资</v>
          </cell>
          <cell r="P20" t="str">
            <v>收到其他与筹资活动有关的现金</v>
          </cell>
          <cell r="S20" t="str">
            <v>1122h</v>
          </cell>
          <cell r="T20" t="str">
            <v>本期坏账准备转回或收回金额重要的</v>
          </cell>
          <cell r="U20" t="str">
            <v>单位名称</v>
          </cell>
          <cell r="V20">
            <v>1</v>
          </cell>
          <cell r="W20">
            <v>1122</v>
          </cell>
          <cell r="X20">
            <v>2</v>
          </cell>
        </row>
        <row r="21">
          <cell r="B21">
            <v>1495</v>
          </cell>
          <cell r="C21" t="str">
            <v>一年内到期的非流动资产</v>
          </cell>
          <cell r="D21">
            <v>1</v>
          </cell>
          <cell r="E21">
            <v>0</v>
          </cell>
          <cell r="F21">
            <v>3380</v>
          </cell>
          <cell r="G21" t="str">
            <v>一年内到期的非流动资产</v>
          </cell>
          <cell r="H21">
            <v>0</v>
          </cell>
          <cell r="I21">
            <v>1495</v>
          </cell>
          <cell r="J21" t="str">
            <v>J</v>
          </cell>
          <cell r="M21" t="str">
            <v>原材料</v>
          </cell>
          <cell r="P21" t="str">
            <v>偿还债务支付的现金</v>
          </cell>
          <cell r="S21" t="str">
            <v>1122i</v>
          </cell>
          <cell r="T21" t="str">
            <v>本期重要的应收账款核销情况</v>
          </cell>
          <cell r="U21" t="str">
            <v>单位名称</v>
          </cell>
          <cell r="V21">
            <v>1</v>
          </cell>
          <cell r="W21">
            <v>1122</v>
          </cell>
          <cell r="X21">
            <v>2</v>
          </cell>
        </row>
        <row r="22">
          <cell r="B22">
            <v>1496</v>
          </cell>
          <cell r="C22" t="str">
            <v>其他流动资产</v>
          </cell>
          <cell r="D22">
            <v>1</v>
          </cell>
          <cell r="E22">
            <v>0</v>
          </cell>
          <cell r="F22">
            <v>3390</v>
          </cell>
          <cell r="G22" t="str">
            <v>其他流动资产</v>
          </cell>
          <cell r="H22">
            <v>0</v>
          </cell>
          <cell r="I22">
            <v>1496</v>
          </cell>
          <cell r="J22" t="str">
            <v>J</v>
          </cell>
          <cell r="M22" t="str">
            <v>材料成本差异</v>
          </cell>
          <cell r="P22" t="str">
            <v>分配利润偿付利息支付的现金</v>
          </cell>
          <cell r="S22" t="str">
            <v>1122k</v>
          </cell>
          <cell r="T22" t="str">
            <v>按欠款方归集的应收账款期末余额前五名单位情况</v>
          </cell>
          <cell r="U22" t="str">
            <v>单位名称</v>
          </cell>
          <cell r="V22">
            <v>1</v>
          </cell>
          <cell r="W22">
            <v>1122</v>
          </cell>
          <cell r="X22">
            <v>2</v>
          </cell>
        </row>
        <row r="23">
          <cell r="B23">
            <v>1498</v>
          </cell>
          <cell r="C23" t="str">
            <v>流动资产</v>
          </cell>
          <cell r="D23">
            <v>0</v>
          </cell>
          <cell r="E23" t="str">
            <v>＝</v>
          </cell>
          <cell r="F23">
            <v>0</v>
          </cell>
          <cell r="G23" t="str">
            <v>流动资产合计</v>
          </cell>
          <cell r="H23">
            <v>0</v>
          </cell>
          <cell r="I23">
            <v>1498</v>
          </cell>
          <cell r="J23">
            <v>0</v>
          </cell>
          <cell r="M23" t="str">
            <v>库存商品</v>
          </cell>
          <cell r="P23" t="str">
            <v>子公司支付少数股东的现金股利</v>
          </cell>
          <cell r="S23" t="str">
            <v>1122m</v>
          </cell>
          <cell r="T23" t="str">
            <v>因金融资产转移而终止确认的应收账款情况</v>
          </cell>
          <cell r="U23" t="str">
            <v>项       目</v>
          </cell>
          <cell r="V23">
            <v>1</v>
          </cell>
          <cell r="W23">
            <v>1122</v>
          </cell>
          <cell r="X23">
            <v>2</v>
          </cell>
        </row>
        <row r="24">
          <cell r="B24">
            <v>1500</v>
          </cell>
          <cell r="C24" t="str">
            <v>非流动资产项目</v>
          </cell>
          <cell r="D24">
            <v>0</v>
          </cell>
          <cell r="E24" t="str">
            <v>：</v>
          </cell>
          <cell r="F24">
            <v>0</v>
          </cell>
          <cell r="G24" t="str">
            <v>非流动资产：</v>
          </cell>
          <cell r="H24">
            <v>0</v>
          </cell>
          <cell r="I24">
            <v>1500</v>
          </cell>
          <cell r="J24">
            <v>0</v>
          </cell>
          <cell r="M24" t="str">
            <v>发出商品</v>
          </cell>
          <cell r="P24" t="str">
            <v>支付其他与筹资活动有关的现金</v>
          </cell>
          <cell r="S24" t="str">
            <v>1122n</v>
          </cell>
          <cell r="T24" t="str">
            <v>转移应收账款且继续涉入形成的资产的金额</v>
          </cell>
          <cell r="U24" t="str">
            <v>项       目</v>
          </cell>
          <cell r="V24">
            <v>1</v>
          </cell>
          <cell r="W24">
            <v>1122</v>
          </cell>
          <cell r="X24">
            <v>2</v>
          </cell>
        </row>
        <row r="25">
          <cell r="B25">
            <v>1600</v>
          </cell>
          <cell r="C25" t="str">
            <v>发放委托贷款及垫款</v>
          </cell>
          <cell r="D25">
            <v>1</v>
          </cell>
          <cell r="E25" t="str">
            <v>△</v>
          </cell>
          <cell r="F25">
            <v>0</v>
          </cell>
          <cell r="G25" t="str">
            <v>发放贷款及垫款</v>
          </cell>
          <cell r="H25">
            <v>0</v>
          </cell>
          <cell r="I25">
            <v>1600</v>
          </cell>
          <cell r="J25" t="str">
            <v>J</v>
          </cell>
          <cell r="M25" t="str">
            <v>商品进销差价</v>
          </cell>
          <cell r="P25" t="str">
            <v>子公司减资支付给少数股东的现金</v>
          </cell>
          <cell r="S25" t="str">
            <v>1122o</v>
          </cell>
          <cell r="T25" t="str">
            <v>转移应收账款且继续涉入形成的负债的金额</v>
          </cell>
          <cell r="U25" t="str">
            <v>项       目</v>
          </cell>
          <cell r="V25">
            <v>1</v>
          </cell>
          <cell r="W25">
            <v>1122</v>
          </cell>
          <cell r="X25">
            <v>2</v>
          </cell>
        </row>
        <row r="26">
          <cell r="B26">
            <v>1503</v>
          </cell>
          <cell r="C26" t="str">
            <v>可供出售金融资产</v>
          </cell>
          <cell r="D26">
            <v>1</v>
          </cell>
          <cell r="E26">
            <v>0</v>
          </cell>
          <cell r="F26">
            <v>3220</v>
          </cell>
          <cell r="G26" t="str">
            <v>可供出售金融资产</v>
          </cell>
          <cell r="H26">
            <v>0</v>
          </cell>
          <cell r="I26">
            <v>1503</v>
          </cell>
          <cell r="J26" t="str">
            <v>J</v>
          </cell>
          <cell r="M26" t="str">
            <v>委托加工物资</v>
          </cell>
          <cell r="P26" t="str">
            <v>汇率变动对现金及现金等价物的影响</v>
          </cell>
          <cell r="S26" t="str">
            <v>1122c</v>
          </cell>
          <cell r="T26" t="str">
            <v>外币应收账款</v>
          </cell>
          <cell r="U26" t="str">
            <v>币       种</v>
          </cell>
          <cell r="V26">
            <v>1</v>
          </cell>
          <cell r="W26">
            <v>1122</v>
          </cell>
          <cell r="X26">
            <v>2</v>
          </cell>
        </row>
        <row r="27">
          <cell r="B27">
            <v>1501</v>
          </cell>
          <cell r="C27" t="str">
            <v>持有至到期投资</v>
          </cell>
          <cell r="D27">
            <v>1</v>
          </cell>
          <cell r="E27">
            <v>0</v>
          </cell>
          <cell r="F27">
            <v>3230</v>
          </cell>
          <cell r="G27" t="str">
            <v>持有至到期投资</v>
          </cell>
          <cell r="H27">
            <v>0</v>
          </cell>
          <cell r="I27">
            <v>1501</v>
          </cell>
          <cell r="J27" t="str">
            <v>J</v>
          </cell>
          <cell r="M27" t="str">
            <v>周转材料</v>
          </cell>
          <cell r="P27" t="str">
            <v>收到原保险合同保费取得的现金</v>
          </cell>
          <cell r="S27" t="str">
            <v>1122l</v>
          </cell>
          <cell r="T27" t="str">
            <v>关联方应收应付款项——应收账款</v>
          </cell>
          <cell r="U27" t="str">
            <v>关联方</v>
          </cell>
          <cell r="V27">
            <v>1</v>
          </cell>
          <cell r="W27">
            <v>1122</v>
          </cell>
          <cell r="X27">
            <v>2</v>
          </cell>
        </row>
        <row r="28">
          <cell r="B28">
            <v>1531</v>
          </cell>
          <cell r="C28" t="str">
            <v>长期应收款</v>
          </cell>
          <cell r="D28">
            <v>1</v>
          </cell>
          <cell r="E28">
            <v>0</v>
          </cell>
          <cell r="F28">
            <v>3840</v>
          </cell>
          <cell r="G28" t="str">
            <v>长期应收款</v>
          </cell>
          <cell r="H28">
            <v>0</v>
          </cell>
          <cell r="I28">
            <v>1531</v>
          </cell>
          <cell r="J28" t="str">
            <v>J</v>
          </cell>
          <cell r="M28" t="str">
            <v>消耗性生物资产</v>
          </cell>
          <cell r="P28" t="str">
            <v>收到再保险业务现金净额</v>
          </cell>
          <cell r="S28" t="str">
            <v>1125a</v>
          </cell>
          <cell r="T28" t="str">
            <v>预付款项按账龄列示</v>
          </cell>
          <cell r="U28" t="str">
            <v>账       龄</v>
          </cell>
          <cell r="V28">
            <v>1</v>
          </cell>
          <cell r="W28">
            <v>1125</v>
          </cell>
          <cell r="X28">
            <v>1</v>
          </cell>
        </row>
        <row r="29">
          <cell r="B29">
            <v>1515</v>
          </cell>
          <cell r="C29" t="str">
            <v>设定受益计划净资产</v>
          </cell>
          <cell r="D29">
            <v>1</v>
          </cell>
          <cell r="E29" t="str">
            <v>OEI</v>
          </cell>
          <cell r="F29">
            <v>4330</v>
          </cell>
          <cell r="G29" t="str">
            <v>设定受益计划净资产</v>
          </cell>
          <cell r="H29">
            <v>0</v>
          </cell>
          <cell r="I29">
            <v>1515</v>
          </cell>
          <cell r="J29" t="str">
            <v>J</v>
          </cell>
          <cell r="M29" t="str">
            <v>存货跌价准备</v>
          </cell>
          <cell r="P29" t="str">
            <v>保户储金及投资款净增加额</v>
          </cell>
          <cell r="S29" t="str">
            <v>1125d</v>
          </cell>
          <cell r="T29" t="str">
            <v>账龄超过1年的金额重要的预付账款</v>
          </cell>
          <cell r="U29" t="str">
            <v>单位名称</v>
          </cell>
          <cell r="V29">
            <v>1</v>
          </cell>
          <cell r="W29">
            <v>1125</v>
          </cell>
          <cell r="X29">
            <v>2</v>
          </cell>
        </row>
        <row r="30">
          <cell r="B30">
            <v>1511</v>
          </cell>
          <cell r="C30" t="str">
            <v>长期股权投资</v>
          </cell>
          <cell r="D30">
            <v>1</v>
          </cell>
          <cell r="E30">
            <v>0</v>
          </cell>
          <cell r="F30">
            <v>3240</v>
          </cell>
          <cell r="G30" t="str">
            <v>长期股权投资</v>
          </cell>
          <cell r="H30">
            <v>0</v>
          </cell>
          <cell r="I30">
            <v>1511</v>
          </cell>
          <cell r="J30" t="str">
            <v>J</v>
          </cell>
          <cell r="M30" t="str">
            <v>生产成本</v>
          </cell>
          <cell r="P30" t="str">
            <v>处置交易性金融资产净增加额</v>
          </cell>
          <cell r="S30" t="str">
            <v>1125c</v>
          </cell>
          <cell r="T30" t="str">
            <v>按预付对象归集的预付款项期末余额前五名单位情况</v>
          </cell>
          <cell r="U30" t="str">
            <v>单位名称</v>
          </cell>
          <cell r="V30">
            <v>1</v>
          </cell>
          <cell r="W30">
            <v>1125</v>
          </cell>
          <cell r="X30">
            <v>2</v>
          </cell>
        </row>
        <row r="31">
          <cell r="B31">
            <v>1521</v>
          </cell>
          <cell r="C31" t="str">
            <v>投资性房地产</v>
          </cell>
          <cell r="D31">
            <v>1</v>
          </cell>
          <cell r="E31">
            <v>0</v>
          </cell>
          <cell r="F31">
            <v>3710</v>
          </cell>
          <cell r="G31" t="str">
            <v>投资性房地产</v>
          </cell>
          <cell r="H31">
            <v>0</v>
          </cell>
          <cell r="I31">
            <v>1521</v>
          </cell>
          <cell r="J31" t="str">
            <v>J</v>
          </cell>
          <cell r="M31" t="str">
            <v>制造费用</v>
          </cell>
          <cell r="P31" t="str">
            <v>收取利息手续费及佣金的现金</v>
          </cell>
          <cell r="S31" t="str">
            <v>1125b</v>
          </cell>
          <cell r="T31" t="str">
            <v>外币预付款项</v>
          </cell>
          <cell r="U31" t="str">
            <v>币       种</v>
          </cell>
          <cell r="V31">
            <v>1</v>
          </cell>
          <cell r="W31">
            <v>1125</v>
          </cell>
          <cell r="X31">
            <v>2</v>
          </cell>
        </row>
        <row r="32">
          <cell r="B32">
            <v>1601</v>
          </cell>
          <cell r="C32" t="str">
            <v>固定资产</v>
          </cell>
          <cell r="D32">
            <v>1</v>
          </cell>
          <cell r="E32">
            <v>0</v>
          </cell>
          <cell r="F32">
            <v>3720</v>
          </cell>
          <cell r="G32" t="str">
            <v>其中：固定资产</v>
          </cell>
          <cell r="H32">
            <v>0</v>
          </cell>
          <cell r="I32">
            <v>1601</v>
          </cell>
          <cell r="J32" t="str">
            <v>J</v>
          </cell>
          <cell r="M32" t="str">
            <v>工程施工</v>
          </cell>
          <cell r="P32" t="str">
            <v>拆入资金净增加额</v>
          </cell>
          <cell r="S32" t="str">
            <v>1125e</v>
          </cell>
          <cell r="T32" t="str">
            <v>关联方应收应付款项——预付款项</v>
          </cell>
          <cell r="U32" t="str">
            <v>单位名称</v>
          </cell>
          <cell r="V32">
            <v>1</v>
          </cell>
          <cell r="W32">
            <v>1125</v>
          </cell>
          <cell r="X32">
            <v>2</v>
          </cell>
        </row>
        <row r="33">
          <cell r="B33">
            <v>1604</v>
          </cell>
          <cell r="C33" t="str">
            <v>在建工程</v>
          </cell>
          <cell r="D33">
            <v>1</v>
          </cell>
          <cell r="E33">
            <v>0</v>
          </cell>
          <cell r="F33">
            <v>3730</v>
          </cell>
          <cell r="G33" t="str">
            <v>其中：在建工程</v>
          </cell>
          <cell r="H33">
            <v>0</v>
          </cell>
          <cell r="I33">
            <v>1604</v>
          </cell>
          <cell r="J33" t="str">
            <v>J</v>
          </cell>
          <cell r="M33" t="str">
            <v>一年内到期的非流动资产</v>
          </cell>
          <cell r="P33" t="str">
            <v>回购业务资金净增加额</v>
          </cell>
          <cell r="S33" t="str">
            <v>1125f</v>
          </cell>
          <cell r="T33" t="str">
            <v>预付款项按项目列示</v>
          </cell>
          <cell r="U33" t="str">
            <v>项       目</v>
          </cell>
          <cell r="V33">
            <v>1</v>
          </cell>
          <cell r="W33">
            <v>1125</v>
          </cell>
          <cell r="X33">
            <v>2</v>
          </cell>
        </row>
        <row r="34">
          <cell r="B34">
            <v>1605</v>
          </cell>
          <cell r="C34" t="str">
            <v>工程物资</v>
          </cell>
          <cell r="D34">
            <v>1</v>
          </cell>
          <cell r="E34">
            <v>0</v>
          </cell>
          <cell r="F34">
            <v>3740</v>
          </cell>
          <cell r="G34" t="str">
            <v>其中：工程物资</v>
          </cell>
          <cell r="H34">
            <v>0</v>
          </cell>
          <cell r="I34">
            <v>1605</v>
          </cell>
          <cell r="J34" t="str">
            <v>J</v>
          </cell>
          <cell r="M34" t="str">
            <v>其他流动资产</v>
          </cell>
          <cell r="P34" t="str">
            <v>客户贷款及垫款净增加额</v>
          </cell>
          <cell r="S34" t="str">
            <v>1125x</v>
          </cell>
          <cell r="T34" t="str">
            <v>预付款项补充资料</v>
          </cell>
          <cell r="U34" t="str">
            <v>项       目</v>
          </cell>
          <cell r="V34">
            <v>1</v>
          </cell>
          <cell r="W34">
            <v>1125</v>
          </cell>
          <cell r="X34">
            <v>2</v>
          </cell>
        </row>
        <row r="35">
          <cell r="B35">
            <v>1606</v>
          </cell>
          <cell r="C35" t="str">
            <v>固定资产清理</v>
          </cell>
          <cell r="D35">
            <v>1</v>
          </cell>
          <cell r="E35">
            <v>0</v>
          </cell>
          <cell r="F35">
            <v>3750</v>
          </cell>
          <cell r="G35" t="str">
            <v>其中：固定资产清理</v>
          </cell>
          <cell r="H35">
            <v>0</v>
          </cell>
          <cell r="I35">
            <v>1606</v>
          </cell>
          <cell r="J35" t="str">
            <v>J</v>
          </cell>
          <cell r="M35" t="str">
            <v>持有至到期投资</v>
          </cell>
          <cell r="P35" t="str">
            <v>存放中央银行和同业款项净增加额</v>
          </cell>
          <cell r="S35" t="str">
            <v>1220a</v>
          </cell>
          <cell r="T35" t="str">
            <v>其他应收款分类列示</v>
          </cell>
          <cell r="U35" t="str">
            <v>项       目</v>
          </cell>
          <cell r="V35">
            <v>1</v>
          </cell>
          <cell r="W35">
            <v>1220</v>
          </cell>
          <cell r="X35">
            <v>1</v>
          </cell>
        </row>
        <row r="36">
          <cell r="B36">
            <v>1621</v>
          </cell>
          <cell r="C36" t="str">
            <v>生产性生物资产</v>
          </cell>
          <cell r="D36">
            <v>1</v>
          </cell>
          <cell r="E36">
            <v>0</v>
          </cell>
          <cell r="F36">
            <v>3760</v>
          </cell>
          <cell r="G36" t="str">
            <v>生产性生物资产</v>
          </cell>
          <cell r="H36">
            <v>0</v>
          </cell>
          <cell r="I36">
            <v>1621</v>
          </cell>
          <cell r="J36" t="str">
            <v>J</v>
          </cell>
          <cell r="M36" t="str">
            <v>持有至到期投资减值准备</v>
          </cell>
          <cell r="P36" t="str">
            <v>支付原保险合同赔付款项的现金</v>
          </cell>
          <cell r="S36" t="str">
            <v>1132a</v>
          </cell>
          <cell r="T36" t="str">
            <v>应收利息明细项目</v>
          </cell>
          <cell r="U36" t="str">
            <v>项       目</v>
          </cell>
          <cell r="V36">
            <v>1</v>
          </cell>
          <cell r="W36">
            <v>1132</v>
          </cell>
          <cell r="X36">
            <v>1</v>
          </cell>
        </row>
        <row r="37">
          <cell r="B37">
            <v>1631</v>
          </cell>
          <cell r="C37" t="str">
            <v>油气资产</v>
          </cell>
          <cell r="D37">
            <v>1</v>
          </cell>
          <cell r="E37">
            <v>0</v>
          </cell>
          <cell r="F37">
            <v>3770</v>
          </cell>
          <cell r="G37" t="str">
            <v>油气资产</v>
          </cell>
          <cell r="H37">
            <v>0</v>
          </cell>
          <cell r="I37">
            <v>1631</v>
          </cell>
          <cell r="J37" t="str">
            <v>J</v>
          </cell>
          <cell r="M37" t="str">
            <v>可供出售金融资产</v>
          </cell>
          <cell r="P37" t="str">
            <v>支付利息手续费及佣金的现金</v>
          </cell>
          <cell r="S37" t="str">
            <v>1132b</v>
          </cell>
          <cell r="T37" t="str">
            <v>重要的逾期应收利息</v>
          </cell>
          <cell r="U37" t="str">
            <v>借款单位</v>
          </cell>
          <cell r="V37">
            <v>1</v>
          </cell>
          <cell r="W37">
            <v>1132</v>
          </cell>
          <cell r="X37">
            <v>2</v>
          </cell>
        </row>
        <row r="38">
          <cell r="B38">
            <v>1701</v>
          </cell>
          <cell r="C38" t="str">
            <v>无形资产</v>
          </cell>
          <cell r="D38">
            <v>1</v>
          </cell>
          <cell r="E38">
            <v>0</v>
          </cell>
          <cell r="F38">
            <v>3810</v>
          </cell>
          <cell r="G38" t="str">
            <v>无形资产</v>
          </cell>
          <cell r="H38">
            <v>0</v>
          </cell>
          <cell r="I38">
            <v>1701</v>
          </cell>
          <cell r="J38" t="str">
            <v>J</v>
          </cell>
          <cell r="M38" t="str">
            <v>可供出售金融资产减值准备</v>
          </cell>
          <cell r="P38" t="str">
            <v>支付保单红利的现金</v>
          </cell>
          <cell r="S38" t="str">
            <v>1131a</v>
          </cell>
          <cell r="T38" t="str">
            <v>应收股利明细项目</v>
          </cell>
          <cell r="U38" t="str">
            <v>项       目</v>
          </cell>
          <cell r="V38">
            <v>1</v>
          </cell>
          <cell r="W38">
            <v>1131</v>
          </cell>
          <cell r="X38">
            <v>1</v>
          </cell>
        </row>
        <row r="39">
          <cell r="B39">
            <v>1700</v>
          </cell>
          <cell r="C39" t="str">
            <v>开发支出</v>
          </cell>
          <cell r="D39">
            <v>1</v>
          </cell>
          <cell r="E39">
            <v>0</v>
          </cell>
          <cell r="F39">
            <v>3820</v>
          </cell>
          <cell r="G39" t="str">
            <v>开发支出</v>
          </cell>
          <cell r="H39">
            <v>0</v>
          </cell>
          <cell r="I39">
            <v>1700</v>
          </cell>
          <cell r="J39" t="str">
            <v>J</v>
          </cell>
          <cell r="M39" t="str">
            <v>长期股权投资</v>
          </cell>
          <cell r="P39" t="str">
            <v>质押贷款净增加额</v>
          </cell>
          <cell r="S39" t="str">
            <v>1131b</v>
          </cell>
          <cell r="T39" t="str">
            <v>重要的账龄超过1年的应收股利</v>
          </cell>
          <cell r="U39" t="str">
            <v>项       目</v>
          </cell>
          <cell r="V39">
            <v>1</v>
          </cell>
          <cell r="W39">
            <v>1131</v>
          </cell>
          <cell r="X39">
            <v>2</v>
          </cell>
        </row>
        <row r="40">
          <cell r="B40">
            <v>1711</v>
          </cell>
          <cell r="C40" t="str">
            <v>商誉</v>
          </cell>
          <cell r="D40">
            <v>1</v>
          </cell>
          <cell r="E40">
            <v>0</v>
          </cell>
          <cell r="F40">
            <v>3830</v>
          </cell>
          <cell r="G40" t="str">
            <v>商誉</v>
          </cell>
          <cell r="H40">
            <v>0</v>
          </cell>
          <cell r="I40">
            <v>1711</v>
          </cell>
          <cell r="J40" t="str">
            <v>J</v>
          </cell>
          <cell r="M40" t="str">
            <v>长期股权投资减值准备</v>
          </cell>
          <cell r="P40" t="str">
            <v>发行债券收到的现金</v>
          </cell>
          <cell r="S40" t="str">
            <v>1221b</v>
          </cell>
          <cell r="T40" t="str">
            <v>其他应收款按种类列示（续）</v>
          </cell>
          <cell r="U40" t="str">
            <v xml:space="preserve">类       别  </v>
          </cell>
          <cell r="V40">
            <v>1</v>
          </cell>
          <cell r="W40">
            <v>1221</v>
          </cell>
          <cell r="X40">
            <v>2</v>
          </cell>
        </row>
        <row r="41">
          <cell r="B41">
            <v>1801</v>
          </cell>
          <cell r="C41" t="str">
            <v>长期待摊费用</v>
          </cell>
          <cell r="D41">
            <v>1</v>
          </cell>
          <cell r="E41">
            <v>0</v>
          </cell>
          <cell r="F41">
            <v>3850</v>
          </cell>
          <cell r="G41" t="str">
            <v>长期待摊费用</v>
          </cell>
          <cell r="H41">
            <v>0</v>
          </cell>
          <cell r="I41">
            <v>1801</v>
          </cell>
          <cell r="J41" t="str">
            <v>J</v>
          </cell>
          <cell r="M41" t="str">
            <v>设定受益计划净资产</v>
          </cell>
          <cell r="P41" t="str">
            <v>客户存款和同业存放款项净增加额</v>
          </cell>
          <cell r="S41" t="str">
            <v>1221a</v>
          </cell>
          <cell r="T41" t="str">
            <v>其他应收款按种类列示</v>
          </cell>
          <cell r="U41" t="str">
            <v xml:space="preserve">类       别  </v>
          </cell>
          <cell r="V41">
            <v>1</v>
          </cell>
          <cell r="W41">
            <v>1221</v>
          </cell>
          <cell r="X41">
            <v>1</v>
          </cell>
        </row>
        <row r="42">
          <cell r="B42">
            <v>1811</v>
          </cell>
          <cell r="C42" t="str">
            <v>递延所得税资产</v>
          </cell>
          <cell r="D42">
            <v>1</v>
          </cell>
          <cell r="E42">
            <v>0</v>
          </cell>
          <cell r="F42">
            <v>3880</v>
          </cell>
          <cell r="G42" t="str">
            <v>递延所得税资产</v>
          </cell>
          <cell r="H42">
            <v>0</v>
          </cell>
          <cell r="I42">
            <v>1811</v>
          </cell>
          <cell r="J42" t="str">
            <v>J</v>
          </cell>
          <cell r="M42" t="str">
            <v>投资性房地产</v>
          </cell>
          <cell r="P42" t="str">
            <v>向中央银行借款净增加额</v>
          </cell>
          <cell r="S42" t="str">
            <v>1221g</v>
          </cell>
          <cell r="T42" t="str">
            <v>期末单项金额重大并单项计提坏账准备的其他应收款</v>
          </cell>
          <cell r="U42" t="str">
            <v>其他应收款（按单位）</v>
          </cell>
          <cell r="V42">
            <v>1</v>
          </cell>
          <cell r="W42">
            <v>1221</v>
          </cell>
          <cell r="X42">
            <v>2</v>
          </cell>
        </row>
        <row r="43">
          <cell r="B43">
            <v>1996</v>
          </cell>
          <cell r="C43" t="str">
            <v>其他非流动资产</v>
          </cell>
          <cell r="D43">
            <v>1</v>
          </cell>
          <cell r="E43">
            <v>0</v>
          </cell>
          <cell r="F43">
            <v>3890</v>
          </cell>
          <cell r="G43" t="str">
            <v>其他非流动资产</v>
          </cell>
          <cell r="H43">
            <v>0</v>
          </cell>
          <cell r="I43">
            <v>1996</v>
          </cell>
          <cell r="J43" t="str">
            <v>J</v>
          </cell>
          <cell r="M43" t="str">
            <v>投资性房地产减值准备</v>
          </cell>
          <cell r="P43" t="str">
            <v>向其他金融机构拆入资金净增加额</v>
          </cell>
          <cell r="S43" t="str">
            <v>1221d</v>
          </cell>
          <cell r="T43" t="str">
            <v>组合中按账龄分析法计提坏账准备的其他应收款</v>
          </cell>
          <cell r="U43" t="str">
            <v>账  龄</v>
          </cell>
          <cell r="V43">
            <v>1</v>
          </cell>
          <cell r="W43">
            <v>1221</v>
          </cell>
          <cell r="X43">
            <v>2</v>
          </cell>
        </row>
        <row r="44">
          <cell r="B44">
            <v>1998</v>
          </cell>
          <cell r="C44" t="str">
            <v>非流动资产</v>
          </cell>
          <cell r="D44">
            <v>0</v>
          </cell>
          <cell r="E44" t="str">
            <v>＝</v>
          </cell>
          <cell r="F44">
            <v>0</v>
          </cell>
          <cell r="G44" t="str">
            <v>非流动资产合计</v>
          </cell>
          <cell r="H44">
            <v>0</v>
          </cell>
          <cell r="I44">
            <v>1998</v>
          </cell>
          <cell r="J44">
            <v>0</v>
          </cell>
          <cell r="M44" t="str">
            <v>投资性房地产累计折旧</v>
          </cell>
          <cell r="P44" t="str">
            <v>收到原保险合同保费取得的现金</v>
          </cell>
          <cell r="S44" t="str">
            <v>1221e</v>
          </cell>
          <cell r="T44" t="str">
            <v>组合中采用余额百分比法计提坏账准备的其他应收款</v>
          </cell>
          <cell r="U44" t="str">
            <v>组合名称</v>
          </cell>
          <cell r="V44">
            <v>1</v>
          </cell>
          <cell r="W44">
            <v>1221</v>
          </cell>
          <cell r="X44">
            <v>2</v>
          </cell>
        </row>
        <row r="45">
          <cell r="B45">
            <v>1999</v>
          </cell>
          <cell r="C45" t="str">
            <v>资产</v>
          </cell>
          <cell r="D45">
            <v>0</v>
          </cell>
          <cell r="E45" t="str">
            <v>＝</v>
          </cell>
          <cell r="F45">
            <v>0</v>
          </cell>
          <cell r="G45" t="str">
            <v>资产总计</v>
          </cell>
          <cell r="H45">
            <v>0</v>
          </cell>
          <cell r="I45">
            <v>1999</v>
          </cell>
          <cell r="J45">
            <v>0</v>
          </cell>
          <cell r="M45" t="str">
            <v>长期应收款</v>
          </cell>
          <cell r="P45" t="str">
            <v>收到再保险业务现金净额</v>
          </cell>
          <cell r="S45" t="str">
            <v>1221f</v>
          </cell>
          <cell r="T45" t="str">
            <v>组合中采用其他方法计提坏账准备的其他应收款</v>
          </cell>
          <cell r="U45" t="str">
            <v>组合名称</v>
          </cell>
          <cell r="V45">
            <v>1</v>
          </cell>
          <cell r="W45">
            <v>1221</v>
          </cell>
          <cell r="X45">
            <v>2</v>
          </cell>
        </row>
        <row r="46">
          <cell r="B46">
            <v>2000</v>
          </cell>
          <cell r="C46" t="str">
            <v>流动负债项目</v>
          </cell>
          <cell r="D46">
            <v>0</v>
          </cell>
          <cell r="E46" t="str">
            <v>：</v>
          </cell>
          <cell r="F46">
            <v>0</v>
          </cell>
          <cell r="G46" t="str">
            <v>流动负债：</v>
          </cell>
          <cell r="H46">
            <v>0</v>
          </cell>
          <cell r="I46">
            <v>2000</v>
          </cell>
          <cell r="J46">
            <v>0</v>
          </cell>
          <cell r="M46" t="str">
            <v>固定资产</v>
          </cell>
          <cell r="P46" t="str">
            <v>保户储金及投资款净增加额</v>
          </cell>
          <cell r="S46" t="str">
            <v>1221h</v>
          </cell>
          <cell r="T46" t="str">
            <v>本期其他应收款坏账准备转回或收回金额重要的</v>
          </cell>
          <cell r="U46" t="str">
            <v>单位名称</v>
          </cell>
          <cell r="V46">
            <v>1</v>
          </cell>
          <cell r="W46">
            <v>1221</v>
          </cell>
          <cell r="X46">
            <v>2</v>
          </cell>
        </row>
        <row r="47">
          <cell r="B47">
            <v>2001</v>
          </cell>
          <cell r="C47" t="str">
            <v>短期借款</v>
          </cell>
          <cell r="D47">
            <v>-1</v>
          </cell>
          <cell r="E47">
            <v>0</v>
          </cell>
          <cell r="F47">
            <v>4110</v>
          </cell>
          <cell r="G47" t="str">
            <v>短期借款</v>
          </cell>
          <cell r="H47">
            <v>0</v>
          </cell>
          <cell r="I47">
            <v>2001</v>
          </cell>
          <cell r="J47" t="str">
            <v>J</v>
          </cell>
          <cell r="M47" t="str">
            <v>累计折旧</v>
          </cell>
          <cell r="P47" t="str">
            <v>处置交易性金融资产净增加额</v>
          </cell>
          <cell r="S47" t="str">
            <v>1221i</v>
          </cell>
          <cell r="T47" t="str">
            <v>本期重要的其他应收款核销情况</v>
          </cell>
          <cell r="U47" t="str">
            <v>单位名称</v>
          </cell>
          <cell r="V47">
            <v>1</v>
          </cell>
          <cell r="W47">
            <v>1221</v>
          </cell>
          <cell r="X47">
            <v>2</v>
          </cell>
        </row>
        <row r="48">
          <cell r="B48">
            <v>2004</v>
          </cell>
          <cell r="C48" t="str">
            <v>向中央银行借款</v>
          </cell>
          <cell r="D48">
            <v>-1</v>
          </cell>
          <cell r="E48" t="str">
            <v>△</v>
          </cell>
          <cell r="F48">
            <v>0</v>
          </cell>
          <cell r="G48" t="str">
            <v>向中央银行借款</v>
          </cell>
          <cell r="H48">
            <v>0</v>
          </cell>
          <cell r="I48">
            <v>2004</v>
          </cell>
          <cell r="J48" t="str">
            <v>J</v>
          </cell>
          <cell r="M48" t="str">
            <v>固定资产减值准备</v>
          </cell>
          <cell r="P48" t="str">
            <v>收取利息手续费及佣金的现金</v>
          </cell>
          <cell r="S48" t="str">
            <v>1221l</v>
          </cell>
          <cell r="T48" t="str">
            <v>其他应收款按款项性质披露</v>
          </cell>
          <cell r="U48" t="str">
            <v>单位名称</v>
          </cell>
          <cell r="V48">
            <v>1</v>
          </cell>
          <cell r="W48">
            <v>1221</v>
          </cell>
          <cell r="X48">
            <v>2</v>
          </cell>
        </row>
        <row r="49">
          <cell r="B49">
            <v>2010</v>
          </cell>
          <cell r="C49" t="str">
            <v>吸收存款及同业存放</v>
          </cell>
          <cell r="D49">
            <v>-1</v>
          </cell>
          <cell r="E49" t="str">
            <v>△</v>
          </cell>
          <cell r="F49">
            <v>0</v>
          </cell>
          <cell r="G49" t="str">
            <v>吸收存款及同业存放</v>
          </cell>
          <cell r="H49">
            <v>0</v>
          </cell>
          <cell r="I49">
            <v>2010</v>
          </cell>
          <cell r="J49" t="str">
            <v>J</v>
          </cell>
          <cell r="M49" t="str">
            <v>在建工程</v>
          </cell>
          <cell r="P49" t="str">
            <v>拆入资金净增加额</v>
          </cell>
          <cell r="S49" t="str">
            <v>1221k</v>
          </cell>
          <cell r="T49" t="str">
            <v>按欠款方归集的其他应收款期末余额前五名单位情况</v>
          </cell>
          <cell r="U49" t="str">
            <v>单位名称</v>
          </cell>
          <cell r="V49">
            <v>1</v>
          </cell>
          <cell r="W49">
            <v>1221</v>
          </cell>
          <cell r="X49">
            <v>2</v>
          </cell>
        </row>
        <row r="50">
          <cell r="B50">
            <v>2003</v>
          </cell>
          <cell r="C50" t="str">
            <v>拆入资金</v>
          </cell>
          <cell r="D50">
            <v>-1</v>
          </cell>
          <cell r="E50" t="str">
            <v>△</v>
          </cell>
          <cell r="F50">
            <v>0</v>
          </cell>
          <cell r="G50" t="str">
            <v>拆入资金</v>
          </cell>
          <cell r="H50">
            <v>0</v>
          </cell>
          <cell r="I50">
            <v>2003</v>
          </cell>
          <cell r="J50" t="str">
            <v>J</v>
          </cell>
          <cell r="M50" t="str">
            <v>在建工程减值准备</v>
          </cell>
          <cell r="P50" t="str">
            <v>回购业务资金净增加额</v>
          </cell>
          <cell r="S50" t="str">
            <v>1221r</v>
          </cell>
          <cell r="T50" t="str">
            <v>应收政府补助情况</v>
          </cell>
          <cell r="U50" t="str">
            <v>单位名称</v>
          </cell>
          <cell r="V50">
            <v>1</v>
          </cell>
          <cell r="W50">
            <v>1221</v>
          </cell>
          <cell r="X50">
            <v>2</v>
          </cell>
        </row>
        <row r="51">
          <cell r="B51">
            <v>2101</v>
          </cell>
          <cell r="C51" t="str">
            <v>以公允价值计量且其变动计入当期损益的金融负债</v>
          </cell>
          <cell r="D51">
            <v>-1</v>
          </cell>
          <cell r="E51">
            <v>0</v>
          </cell>
          <cell r="F51" t="str">
            <v>4610_4620</v>
          </cell>
          <cell r="G51" t="str">
            <v>以公允价值计量且其变动计入当期损益的金融负债</v>
          </cell>
          <cell r="H51">
            <v>0</v>
          </cell>
          <cell r="I51">
            <v>2101</v>
          </cell>
          <cell r="J51" t="str">
            <v>J</v>
          </cell>
          <cell r="M51" t="str">
            <v>工程物资</v>
          </cell>
          <cell r="P51" t="str">
            <v>客户贷款及垫款净增加额</v>
          </cell>
          <cell r="S51" t="str">
            <v>1221n</v>
          </cell>
          <cell r="T51" t="str">
            <v>因金融资产转移而终止确认的其他应收款情况</v>
          </cell>
          <cell r="U51" t="str">
            <v>项       目</v>
          </cell>
          <cell r="V51">
            <v>1</v>
          </cell>
          <cell r="W51">
            <v>1221</v>
          </cell>
          <cell r="X51">
            <v>2</v>
          </cell>
        </row>
        <row r="52">
          <cell r="B52">
            <v>2115</v>
          </cell>
          <cell r="C52" t="str">
            <v>衍生金融负债</v>
          </cell>
          <cell r="D52">
            <v>-1</v>
          </cell>
          <cell r="E52" t="str">
            <v>Ｘ</v>
          </cell>
          <cell r="F52">
            <v>4620</v>
          </cell>
          <cell r="G52" t="str">
            <v>衍生金融负债</v>
          </cell>
          <cell r="H52">
            <v>0</v>
          </cell>
          <cell r="I52">
            <v>2115</v>
          </cell>
          <cell r="J52" t="str">
            <v>J</v>
          </cell>
          <cell r="M52" t="str">
            <v>工程物资减值准备</v>
          </cell>
          <cell r="P52" t="str">
            <v>存放中央银行和同业款项净增加额</v>
          </cell>
          <cell r="S52" t="str">
            <v>1221o</v>
          </cell>
          <cell r="T52" t="str">
            <v>转移其他应收款且继续涉入形成的资产金额</v>
          </cell>
          <cell r="U52" t="str">
            <v>项       目</v>
          </cell>
          <cell r="V52">
            <v>1</v>
          </cell>
          <cell r="W52">
            <v>1221</v>
          </cell>
          <cell r="X52">
            <v>2</v>
          </cell>
        </row>
        <row r="53">
          <cell r="B53">
            <v>2201</v>
          </cell>
          <cell r="C53" t="str">
            <v>应付票据</v>
          </cell>
          <cell r="D53">
            <v>-1</v>
          </cell>
          <cell r="E53">
            <v>0</v>
          </cell>
          <cell r="F53">
            <v>4220</v>
          </cell>
          <cell r="G53" t="str">
            <v>其中：应付票据</v>
          </cell>
          <cell r="H53">
            <v>0</v>
          </cell>
          <cell r="I53">
            <v>2201</v>
          </cell>
          <cell r="J53" t="str">
            <v>J</v>
          </cell>
          <cell r="M53" t="str">
            <v>固定资产清理</v>
          </cell>
          <cell r="P53" t="str">
            <v>支付原保险合同赔付款项的现金</v>
          </cell>
          <cell r="S53" t="str">
            <v>1221p</v>
          </cell>
          <cell r="T53" t="str">
            <v>转移其他应收款且继续涉入形成的负债金额</v>
          </cell>
          <cell r="U53" t="str">
            <v>项       目</v>
          </cell>
          <cell r="V53">
            <v>1</v>
          </cell>
          <cell r="W53">
            <v>1221</v>
          </cell>
          <cell r="X53">
            <v>2</v>
          </cell>
        </row>
        <row r="54">
          <cell r="B54">
            <v>2202</v>
          </cell>
          <cell r="C54" t="str">
            <v>应付账款</v>
          </cell>
          <cell r="D54">
            <v>-1</v>
          </cell>
          <cell r="E54">
            <v>0</v>
          </cell>
          <cell r="F54">
            <v>4230</v>
          </cell>
          <cell r="G54" t="str">
            <v>其中：应付账款</v>
          </cell>
          <cell r="H54">
            <v>0</v>
          </cell>
          <cell r="I54">
            <v>2202</v>
          </cell>
          <cell r="J54" t="str">
            <v>J</v>
          </cell>
          <cell r="M54" t="str">
            <v>生产性生物资产</v>
          </cell>
          <cell r="P54" t="str">
            <v>支付利息手续费及佣金的现金</v>
          </cell>
          <cell r="S54" t="str">
            <v>1221c</v>
          </cell>
          <cell r="T54" t="str">
            <v>外币其他应收款</v>
          </cell>
          <cell r="U54" t="str">
            <v>币       种</v>
          </cell>
          <cell r="V54">
            <v>1</v>
          </cell>
          <cell r="W54">
            <v>1221</v>
          </cell>
          <cell r="X54">
            <v>2</v>
          </cell>
        </row>
        <row r="55">
          <cell r="B55">
            <v>2205</v>
          </cell>
          <cell r="C55" t="str">
            <v>预收款项</v>
          </cell>
          <cell r="D55">
            <v>-1</v>
          </cell>
          <cell r="E55">
            <v>0</v>
          </cell>
          <cell r="F55">
            <v>4240</v>
          </cell>
          <cell r="G55" t="str">
            <v>预收款项</v>
          </cell>
          <cell r="H55">
            <v>0</v>
          </cell>
          <cell r="I55">
            <v>2205</v>
          </cell>
          <cell r="J55" t="str">
            <v>J</v>
          </cell>
          <cell r="M55" t="str">
            <v>生产性生物资产累计折旧</v>
          </cell>
          <cell r="P55" t="str">
            <v>支付保单红利的现金</v>
          </cell>
          <cell r="S55" t="str">
            <v>1221m</v>
          </cell>
          <cell r="T55" t="str">
            <v>关联方应收应付款项——其他应收款</v>
          </cell>
          <cell r="U55" t="str">
            <v>单位名称</v>
          </cell>
          <cell r="V55">
            <v>1</v>
          </cell>
          <cell r="W55">
            <v>1221</v>
          </cell>
          <cell r="X55">
            <v>2</v>
          </cell>
        </row>
        <row r="56">
          <cell r="B56">
            <v>2111</v>
          </cell>
          <cell r="C56" t="str">
            <v>卖出回购金融资产款</v>
          </cell>
          <cell r="D56">
            <v>-1</v>
          </cell>
          <cell r="E56" t="str">
            <v>△</v>
          </cell>
          <cell r="F56">
            <v>0</v>
          </cell>
          <cell r="G56" t="str">
            <v>卖出回购金融资产款</v>
          </cell>
          <cell r="H56">
            <v>0</v>
          </cell>
          <cell r="I56">
            <v>2111</v>
          </cell>
          <cell r="J56" t="str">
            <v>J</v>
          </cell>
          <cell r="M56" t="str">
            <v>生产性生物资产减值准备</v>
          </cell>
          <cell r="P56" t="str">
            <v>质押贷款净增加额</v>
          </cell>
          <cell r="S56" t="str">
            <v>1221x</v>
          </cell>
          <cell r="T56" t="str">
            <v>其他应收款补充资料</v>
          </cell>
          <cell r="U56" t="str">
            <v>项       目</v>
          </cell>
          <cell r="V56">
            <v>1</v>
          </cell>
          <cell r="W56">
            <v>1221</v>
          </cell>
          <cell r="X56">
            <v>2</v>
          </cell>
        </row>
        <row r="57">
          <cell r="B57">
            <v>2240</v>
          </cell>
          <cell r="C57" t="str">
            <v>应付手续费及佣金</v>
          </cell>
          <cell r="D57">
            <v>-1</v>
          </cell>
          <cell r="E57" t="str">
            <v>△</v>
          </cell>
          <cell r="F57">
            <v>0</v>
          </cell>
          <cell r="G57" t="str">
            <v>应付手续费及佣金</v>
          </cell>
          <cell r="H57">
            <v>0</v>
          </cell>
          <cell r="I57">
            <v>2240</v>
          </cell>
          <cell r="J57" t="str">
            <v>J</v>
          </cell>
          <cell r="M57" t="str">
            <v>油气资产</v>
          </cell>
          <cell r="P57" t="str">
            <v>期初现金及现金等价物余额</v>
          </cell>
          <cell r="S57" t="str">
            <v>1400a</v>
          </cell>
          <cell r="T57" t="str">
            <v>存货分类列示</v>
          </cell>
          <cell r="U57" t="str">
            <v>存货种类</v>
          </cell>
          <cell r="V57">
            <v>1</v>
          </cell>
          <cell r="W57">
            <v>1400</v>
          </cell>
          <cell r="X57">
            <v>1</v>
          </cell>
        </row>
        <row r="58">
          <cell r="B58">
            <v>2211</v>
          </cell>
          <cell r="C58" t="str">
            <v>应付职工薪酬</v>
          </cell>
          <cell r="D58">
            <v>-1</v>
          </cell>
          <cell r="E58">
            <v>0</v>
          </cell>
          <cell r="F58">
            <v>4300</v>
          </cell>
          <cell r="G58" t="str">
            <v>应付职工薪酬</v>
          </cell>
          <cell r="H58">
            <v>0</v>
          </cell>
          <cell r="I58">
            <v>2211</v>
          </cell>
          <cell r="J58" t="str">
            <v>J</v>
          </cell>
          <cell r="M58" t="str">
            <v>累计折耗</v>
          </cell>
          <cell r="P58" t="str">
            <v>现金流量调整</v>
          </cell>
          <cell r="S58" t="str">
            <v>1400b</v>
          </cell>
          <cell r="T58" t="str">
            <v>存货跌价准备的增减变动情况</v>
          </cell>
          <cell r="U58" t="str">
            <v>存货种类</v>
          </cell>
          <cell r="V58">
            <v>1</v>
          </cell>
          <cell r="W58">
            <v>1400</v>
          </cell>
          <cell r="X58">
            <v>2</v>
          </cell>
        </row>
        <row r="59">
          <cell r="B59">
            <v>2221</v>
          </cell>
          <cell r="C59" t="str">
            <v>应交税费</v>
          </cell>
          <cell r="D59">
            <v>-1</v>
          </cell>
          <cell r="E59">
            <v>0</v>
          </cell>
          <cell r="F59">
            <v>4410</v>
          </cell>
          <cell r="G59" t="str">
            <v>应交税费</v>
          </cell>
          <cell r="H59">
            <v>0</v>
          </cell>
          <cell r="I59">
            <v>2221</v>
          </cell>
          <cell r="J59" t="str">
            <v>J</v>
          </cell>
          <cell r="M59" t="str">
            <v>油气资产减值准备</v>
          </cell>
          <cell r="S59" t="str">
            <v>1400c</v>
          </cell>
          <cell r="T59" t="str">
            <v>存货跌价准备计提依据与转回情况</v>
          </cell>
          <cell r="U59" t="str">
            <v>存货种类</v>
          </cell>
          <cell r="V59">
            <v>1</v>
          </cell>
          <cell r="W59">
            <v>1400</v>
          </cell>
          <cell r="X59">
            <v>2</v>
          </cell>
        </row>
        <row r="60">
          <cell r="B60">
            <v>2231</v>
          </cell>
          <cell r="C60" t="str">
            <v>应付利息</v>
          </cell>
          <cell r="D60">
            <v>-1</v>
          </cell>
          <cell r="E60">
            <v>0</v>
          </cell>
          <cell r="F60">
            <v>4250</v>
          </cell>
          <cell r="G60" t="str">
            <v>其中：应付利息</v>
          </cell>
          <cell r="H60">
            <v>0</v>
          </cell>
          <cell r="I60">
            <v>2231</v>
          </cell>
          <cell r="J60" t="str">
            <v>J</v>
          </cell>
          <cell r="M60" t="str">
            <v>开发支出</v>
          </cell>
          <cell r="S60" t="str">
            <v>1400t</v>
          </cell>
          <cell r="T60" t="str">
            <v>存货期末余额中含有借款费用资本化金额的说明</v>
          </cell>
          <cell r="U60" t="str">
            <v>项       目</v>
          </cell>
          <cell r="V60">
            <v>1</v>
          </cell>
          <cell r="W60">
            <v>1400</v>
          </cell>
          <cell r="X60">
            <v>2</v>
          </cell>
        </row>
        <row r="61">
          <cell r="B61">
            <v>2232</v>
          </cell>
          <cell r="C61" t="str">
            <v>应付股利</v>
          </cell>
          <cell r="D61">
            <v>-1</v>
          </cell>
          <cell r="E61">
            <v>0</v>
          </cell>
          <cell r="F61">
            <v>4260</v>
          </cell>
          <cell r="G61" t="str">
            <v>其中：应付股利</v>
          </cell>
          <cell r="H61">
            <v>0</v>
          </cell>
          <cell r="I61">
            <v>2232</v>
          </cell>
          <cell r="J61" t="str">
            <v>J</v>
          </cell>
          <cell r="M61" t="str">
            <v>无形资产</v>
          </cell>
          <cell r="S61" t="str">
            <v>1400d</v>
          </cell>
          <cell r="T61" t="str">
            <v>开发成本</v>
          </cell>
          <cell r="U61" t="str">
            <v>项目名称</v>
          </cell>
          <cell r="V61">
            <v>1</v>
          </cell>
          <cell r="W61">
            <v>1400</v>
          </cell>
          <cell r="X61">
            <v>2</v>
          </cell>
        </row>
        <row r="62">
          <cell r="B62">
            <v>2241</v>
          </cell>
          <cell r="C62" t="str">
            <v>其他应付款</v>
          </cell>
          <cell r="D62">
            <v>-1</v>
          </cell>
          <cell r="E62">
            <v>0</v>
          </cell>
          <cell r="F62">
            <v>4270</v>
          </cell>
          <cell r="G62" t="str">
            <v>其中：其他应付款</v>
          </cell>
          <cell r="H62">
            <v>0</v>
          </cell>
          <cell r="I62">
            <v>2241</v>
          </cell>
          <cell r="J62" t="str">
            <v>J</v>
          </cell>
          <cell r="M62" t="str">
            <v>累计摊销</v>
          </cell>
          <cell r="S62" t="str">
            <v>1400e</v>
          </cell>
          <cell r="T62" t="str">
            <v>开发产品</v>
          </cell>
          <cell r="U62" t="str">
            <v>项目名称</v>
          </cell>
          <cell r="V62">
            <v>1</v>
          </cell>
          <cell r="W62">
            <v>1400</v>
          </cell>
          <cell r="X62">
            <v>2</v>
          </cell>
        </row>
        <row r="63">
          <cell r="B63">
            <v>2261</v>
          </cell>
          <cell r="C63" t="str">
            <v>应付分保账款</v>
          </cell>
          <cell r="D63">
            <v>-1</v>
          </cell>
          <cell r="E63" t="str">
            <v>△</v>
          </cell>
          <cell r="F63">
            <v>0</v>
          </cell>
          <cell r="G63" t="str">
            <v>应付分保账款</v>
          </cell>
          <cell r="H63">
            <v>0</v>
          </cell>
          <cell r="I63">
            <v>2261</v>
          </cell>
          <cell r="J63" t="str">
            <v>J</v>
          </cell>
          <cell r="M63" t="str">
            <v>无形资产减值准备</v>
          </cell>
          <cell r="S63" t="str">
            <v>1400g</v>
          </cell>
          <cell r="T63" t="str">
            <v>周转房</v>
          </cell>
          <cell r="U63" t="str">
            <v>项目名称</v>
          </cell>
          <cell r="V63">
            <v>1</v>
          </cell>
          <cell r="W63">
            <v>1400</v>
          </cell>
          <cell r="X63">
            <v>2</v>
          </cell>
        </row>
        <row r="64">
          <cell r="B64">
            <v>2310</v>
          </cell>
          <cell r="C64" t="str">
            <v>保险合同准备金</v>
          </cell>
          <cell r="D64">
            <v>-1</v>
          </cell>
          <cell r="E64" t="str">
            <v>△</v>
          </cell>
          <cell r="F64">
            <v>0</v>
          </cell>
          <cell r="G64" t="str">
            <v>保险合同准备金</v>
          </cell>
          <cell r="H64">
            <v>0</v>
          </cell>
          <cell r="I64">
            <v>2310</v>
          </cell>
          <cell r="J64" t="str">
            <v>J</v>
          </cell>
          <cell r="M64" t="str">
            <v>商誉</v>
          </cell>
          <cell r="S64" t="str">
            <v>1400h</v>
          </cell>
          <cell r="T64" t="str">
            <v>建造合同形成的已完工未结算资产</v>
          </cell>
          <cell r="U64" t="str">
            <v>项       目</v>
          </cell>
          <cell r="V64">
            <v>1</v>
          </cell>
          <cell r="W64">
            <v>1400</v>
          </cell>
          <cell r="X64">
            <v>2</v>
          </cell>
        </row>
        <row r="65">
          <cell r="B65">
            <v>2311</v>
          </cell>
          <cell r="C65" t="str">
            <v>代理买卖证券款</v>
          </cell>
          <cell r="D65">
            <v>-1</v>
          </cell>
          <cell r="E65" t="str">
            <v>△</v>
          </cell>
          <cell r="F65">
            <v>0</v>
          </cell>
          <cell r="G65" t="str">
            <v>代理买卖证券款</v>
          </cell>
          <cell r="H65">
            <v>0</v>
          </cell>
          <cell r="I65">
            <v>2311</v>
          </cell>
          <cell r="J65" t="str">
            <v>J</v>
          </cell>
          <cell r="M65" t="str">
            <v>商誉减值准备</v>
          </cell>
          <cell r="S65" t="str">
            <v>1400s</v>
          </cell>
          <cell r="T65" t="str">
            <v>期末用于债务担保的存货</v>
          </cell>
          <cell r="U65" t="str">
            <v>项       目</v>
          </cell>
          <cell r="V65">
            <v>1</v>
          </cell>
          <cell r="W65">
            <v>1400</v>
          </cell>
          <cell r="X65">
            <v>2</v>
          </cell>
        </row>
        <row r="66">
          <cell r="B66">
            <v>2312</v>
          </cell>
          <cell r="C66" t="str">
            <v>代理承销证券款</v>
          </cell>
          <cell r="D66">
            <v>-1</v>
          </cell>
          <cell r="E66" t="str">
            <v>△</v>
          </cell>
          <cell r="F66">
            <v>0</v>
          </cell>
          <cell r="G66" t="str">
            <v>代理承销证券款</v>
          </cell>
          <cell r="H66">
            <v>0</v>
          </cell>
          <cell r="I66">
            <v>2312</v>
          </cell>
          <cell r="J66" t="str">
            <v>J</v>
          </cell>
          <cell r="M66" t="str">
            <v>长期待摊费用</v>
          </cell>
          <cell r="S66" t="str">
            <v>1400x</v>
          </cell>
          <cell r="T66" t="str">
            <v>存货补充资料</v>
          </cell>
          <cell r="U66" t="str">
            <v>项       目</v>
          </cell>
          <cell r="V66">
            <v>1</v>
          </cell>
          <cell r="W66">
            <v>1400</v>
          </cell>
          <cell r="X66">
            <v>2</v>
          </cell>
        </row>
        <row r="67">
          <cell r="B67">
            <v>2315</v>
          </cell>
          <cell r="C67" t="str">
            <v>持有待售负债</v>
          </cell>
          <cell r="D67">
            <v>-1</v>
          </cell>
          <cell r="E67" t="str">
            <v>Ｘ</v>
          </cell>
          <cell r="F67">
            <v>4550</v>
          </cell>
          <cell r="G67" t="str">
            <v>持有待售负债</v>
          </cell>
          <cell r="H67">
            <v>0</v>
          </cell>
          <cell r="I67">
            <v>2315</v>
          </cell>
          <cell r="J67" t="str">
            <v>J</v>
          </cell>
          <cell r="M67" t="str">
            <v>递延所得税资产</v>
          </cell>
          <cell r="S67" t="str">
            <v>1315e</v>
          </cell>
          <cell r="T67" t="str">
            <v>持有待售资产明细</v>
          </cell>
          <cell r="U67" t="str">
            <v>项       目</v>
          </cell>
          <cell r="V67">
            <v>1</v>
          </cell>
          <cell r="W67">
            <v>1315</v>
          </cell>
          <cell r="X67">
            <v>1</v>
          </cell>
        </row>
        <row r="68">
          <cell r="B68">
            <v>2395</v>
          </cell>
          <cell r="C68" t="str">
            <v>一年内到期的非流动负债</v>
          </cell>
          <cell r="D68">
            <v>-1</v>
          </cell>
          <cell r="E68">
            <v>0</v>
          </cell>
          <cell r="F68">
            <v>4280</v>
          </cell>
          <cell r="G68" t="str">
            <v>一年内到期的非流动负债</v>
          </cell>
          <cell r="H68">
            <v>0</v>
          </cell>
          <cell r="I68">
            <v>2395</v>
          </cell>
          <cell r="J68" t="str">
            <v>J</v>
          </cell>
          <cell r="M68" t="str">
            <v>其他非流动资产</v>
          </cell>
          <cell r="S68" t="str">
            <v>1315a</v>
          </cell>
          <cell r="T68" t="str">
            <v>持有待售资产</v>
          </cell>
          <cell r="U68" t="str">
            <v>项       目</v>
          </cell>
          <cell r="V68">
            <v>1</v>
          </cell>
          <cell r="W68">
            <v>1315</v>
          </cell>
          <cell r="X68">
            <v>2</v>
          </cell>
        </row>
        <row r="69">
          <cell r="B69">
            <v>2396</v>
          </cell>
          <cell r="C69" t="str">
            <v>其他流动负债</v>
          </cell>
          <cell r="D69">
            <v>-1</v>
          </cell>
          <cell r="E69">
            <v>0</v>
          </cell>
          <cell r="F69">
            <v>4290</v>
          </cell>
          <cell r="G69" t="str">
            <v>其他流动负债</v>
          </cell>
          <cell r="H69">
            <v>0</v>
          </cell>
          <cell r="I69">
            <v>2396</v>
          </cell>
          <cell r="J69" t="str">
            <v>J</v>
          </cell>
          <cell r="M69" t="str">
            <v>公益性生物资产</v>
          </cell>
          <cell r="S69" t="str">
            <v>2315a</v>
          </cell>
          <cell r="T69" t="str">
            <v>持有待售负债</v>
          </cell>
          <cell r="U69" t="str">
            <v>项       目</v>
          </cell>
          <cell r="V69">
            <v>1</v>
          </cell>
          <cell r="W69">
            <v>2315</v>
          </cell>
          <cell r="X69">
            <v>1</v>
          </cell>
        </row>
        <row r="70">
          <cell r="B70">
            <v>2498</v>
          </cell>
          <cell r="C70" t="str">
            <v>流动负债</v>
          </cell>
          <cell r="D70">
            <v>0</v>
          </cell>
          <cell r="E70" t="str">
            <v>＝</v>
          </cell>
          <cell r="F70">
            <v>0</v>
          </cell>
          <cell r="G70" t="str">
            <v>流动负债合计</v>
          </cell>
          <cell r="H70">
            <v>0</v>
          </cell>
          <cell r="I70">
            <v>2498</v>
          </cell>
          <cell r="J70">
            <v>0</v>
          </cell>
          <cell r="M70" t="str">
            <v>短期借款</v>
          </cell>
          <cell r="S70" t="str">
            <v>1315f</v>
          </cell>
          <cell r="T70" t="str">
            <v>持有待售资产减值准备</v>
          </cell>
          <cell r="U70" t="str">
            <v>项       目</v>
          </cell>
          <cell r="V70">
            <v>1</v>
          </cell>
          <cell r="W70">
            <v>1315</v>
          </cell>
          <cell r="X70">
            <v>2</v>
          </cell>
        </row>
        <row r="71">
          <cell r="B71">
            <v>2500</v>
          </cell>
          <cell r="C71" t="str">
            <v>非流动负债项目</v>
          </cell>
          <cell r="D71">
            <v>0</v>
          </cell>
          <cell r="E71" t="str">
            <v>：</v>
          </cell>
          <cell r="F71">
            <v>0</v>
          </cell>
          <cell r="G71" t="str">
            <v>非流动负债：</v>
          </cell>
          <cell r="H71">
            <v>0</v>
          </cell>
          <cell r="I71">
            <v>2500</v>
          </cell>
          <cell r="J71">
            <v>0</v>
          </cell>
          <cell r="M71" t="str">
            <v>以公允价值计量且其变动计入当期损益的金融负债</v>
          </cell>
          <cell r="S71" t="str">
            <v>1315b</v>
          </cell>
          <cell r="T71" t="str">
            <v>持有待售的非流动资产</v>
          </cell>
          <cell r="U71" t="str">
            <v>项       目</v>
          </cell>
          <cell r="V71">
            <v>1</v>
          </cell>
          <cell r="W71">
            <v>1315</v>
          </cell>
          <cell r="X71">
            <v>2</v>
          </cell>
        </row>
        <row r="72">
          <cell r="B72">
            <v>2501</v>
          </cell>
          <cell r="C72" t="str">
            <v>长期借款</v>
          </cell>
          <cell r="D72">
            <v>-1</v>
          </cell>
          <cell r="E72">
            <v>0</v>
          </cell>
          <cell r="F72">
            <v>4120</v>
          </cell>
          <cell r="G72" t="str">
            <v>长期借款</v>
          </cell>
          <cell r="H72">
            <v>0</v>
          </cell>
          <cell r="I72">
            <v>2501</v>
          </cell>
          <cell r="J72" t="str">
            <v>J</v>
          </cell>
          <cell r="M72" t="str">
            <v>衍生金融负债</v>
          </cell>
          <cell r="S72" t="str">
            <v>1315c</v>
          </cell>
          <cell r="T72" t="str">
            <v>持有待售的处置组（一）</v>
          </cell>
          <cell r="U72" t="str">
            <v>项       目</v>
          </cell>
          <cell r="V72">
            <v>1</v>
          </cell>
          <cell r="W72">
            <v>1315</v>
          </cell>
          <cell r="X72">
            <v>2</v>
          </cell>
        </row>
        <row r="73">
          <cell r="B73">
            <v>2502</v>
          </cell>
          <cell r="C73" t="str">
            <v>应付债券</v>
          </cell>
          <cell r="D73">
            <v>-1</v>
          </cell>
          <cell r="E73">
            <v>0</v>
          </cell>
          <cell r="F73">
            <v>4130</v>
          </cell>
          <cell r="G73" t="str">
            <v>应付债券</v>
          </cell>
          <cell r="H73">
            <v>0</v>
          </cell>
          <cell r="I73">
            <v>2502</v>
          </cell>
          <cell r="J73" t="str">
            <v>J</v>
          </cell>
          <cell r="M73" t="str">
            <v>应付票据</v>
          </cell>
          <cell r="S73" t="str">
            <v>1315d</v>
          </cell>
          <cell r="T73" t="str">
            <v>持有待售的处置组（二）</v>
          </cell>
          <cell r="U73" t="str">
            <v>项       目</v>
          </cell>
          <cell r="V73">
            <v>1</v>
          </cell>
          <cell r="W73">
            <v>1315</v>
          </cell>
          <cell r="X73">
            <v>2</v>
          </cell>
        </row>
        <row r="74">
          <cell r="B74">
            <v>2502.11</v>
          </cell>
          <cell r="C74" t="str">
            <v>应付债券_优先股</v>
          </cell>
          <cell r="D74">
            <v>-1</v>
          </cell>
          <cell r="E74" t="str">
            <v>OEI</v>
          </cell>
          <cell r="F74">
            <v>0</v>
          </cell>
          <cell r="G74" t="str">
            <v>其中：优先股</v>
          </cell>
          <cell r="H74">
            <v>0</v>
          </cell>
          <cell r="I74">
            <v>2502.11</v>
          </cell>
          <cell r="J74" t="str">
            <v>J</v>
          </cell>
          <cell r="M74" t="str">
            <v>应付账款</v>
          </cell>
          <cell r="S74" t="str">
            <v>1495a</v>
          </cell>
          <cell r="T74" t="str">
            <v>一年内到期的非流动资产</v>
          </cell>
          <cell r="U74" t="str">
            <v>项       目</v>
          </cell>
          <cell r="V74">
            <v>1</v>
          </cell>
          <cell r="W74">
            <v>1495</v>
          </cell>
          <cell r="X74">
            <v>1</v>
          </cell>
        </row>
        <row r="75">
          <cell r="B75">
            <v>2502.31</v>
          </cell>
          <cell r="C75" t="str">
            <v>应付债券_永续债</v>
          </cell>
          <cell r="D75">
            <v>-1</v>
          </cell>
          <cell r="E75" t="str">
            <v>OEI</v>
          </cell>
          <cell r="F75">
            <v>0</v>
          </cell>
          <cell r="G75" t="str">
            <v xml:space="preserve">      永续债</v>
          </cell>
          <cell r="H75">
            <v>0</v>
          </cell>
          <cell r="I75">
            <v>2502.31</v>
          </cell>
          <cell r="J75" t="str">
            <v>J</v>
          </cell>
          <cell r="M75" t="str">
            <v>应付票据及应付账款</v>
          </cell>
          <cell r="S75" t="str">
            <v>1496a</v>
          </cell>
          <cell r="T75" t="str">
            <v>其他流动资产明细列示</v>
          </cell>
          <cell r="U75" t="str">
            <v>项       目</v>
          </cell>
          <cell r="V75">
            <v>1</v>
          </cell>
          <cell r="W75">
            <v>1496</v>
          </cell>
          <cell r="X75">
            <v>1</v>
          </cell>
        </row>
        <row r="76">
          <cell r="B76">
            <v>2701</v>
          </cell>
          <cell r="C76" t="str">
            <v>长期应付款</v>
          </cell>
          <cell r="D76">
            <v>-1</v>
          </cell>
          <cell r="E76">
            <v>0</v>
          </cell>
          <cell r="F76">
            <v>4510</v>
          </cell>
          <cell r="G76" t="str">
            <v>其中：长期应付款</v>
          </cell>
          <cell r="H76">
            <v>0</v>
          </cell>
          <cell r="I76">
            <v>2701</v>
          </cell>
          <cell r="J76" t="str">
            <v>J</v>
          </cell>
          <cell r="M76" t="str">
            <v>预收款项</v>
          </cell>
          <cell r="S76" t="str">
            <v>1503a</v>
          </cell>
          <cell r="T76" t="str">
            <v>可供出售金融资产情况</v>
          </cell>
          <cell r="U76" t="str">
            <v>项       目</v>
          </cell>
          <cell r="V76">
            <v>1</v>
          </cell>
          <cell r="W76">
            <v>1503</v>
          </cell>
          <cell r="X76">
            <v>1</v>
          </cell>
        </row>
        <row r="77">
          <cell r="B77">
            <v>2715</v>
          </cell>
          <cell r="C77" t="str">
            <v>长期应付职工薪酬</v>
          </cell>
          <cell r="D77">
            <v>-1</v>
          </cell>
          <cell r="E77">
            <v>0</v>
          </cell>
          <cell r="F77">
            <v>4320</v>
          </cell>
          <cell r="G77" t="str">
            <v>长期应付职工薪酬</v>
          </cell>
          <cell r="H77">
            <v>0</v>
          </cell>
          <cell r="I77">
            <v>2715</v>
          </cell>
          <cell r="J77" t="str">
            <v>J</v>
          </cell>
          <cell r="M77" t="str">
            <v>应付职工薪酬</v>
          </cell>
          <cell r="S77" t="str">
            <v>1503e</v>
          </cell>
          <cell r="T77" t="str">
            <v>按公允价值计量的可供出售金融资产</v>
          </cell>
          <cell r="U77" t="str">
            <v>可供出售金融资产分类</v>
          </cell>
          <cell r="V77">
            <v>1</v>
          </cell>
          <cell r="W77">
            <v>1503</v>
          </cell>
          <cell r="X77">
            <v>2</v>
          </cell>
        </row>
        <row r="78">
          <cell r="B78">
            <v>2711</v>
          </cell>
          <cell r="C78" t="str">
            <v>专项应付款</v>
          </cell>
          <cell r="D78">
            <v>-1</v>
          </cell>
          <cell r="E78">
            <v>0</v>
          </cell>
          <cell r="F78">
            <v>4520</v>
          </cell>
          <cell r="G78" t="str">
            <v>其中：专项应付款</v>
          </cell>
          <cell r="H78">
            <v>0</v>
          </cell>
          <cell r="I78">
            <v>2711</v>
          </cell>
          <cell r="J78" t="str">
            <v>J</v>
          </cell>
          <cell r="M78" t="str">
            <v>应交税费</v>
          </cell>
          <cell r="S78" t="str">
            <v>1503f</v>
          </cell>
          <cell r="T78" t="str">
            <v>采用成本计量的可供出售权益工具</v>
          </cell>
          <cell r="U78" t="str">
            <v>被投资单位</v>
          </cell>
          <cell r="V78">
            <v>1</v>
          </cell>
          <cell r="W78">
            <v>1503</v>
          </cell>
          <cell r="X78">
            <v>2</v>
          </cell>
        </row>
        <row r="79">
          <cell r="B79">
            <v>2801</v>
          </cell>
          <cell r="C79" t="str">
            <v>预计负债</v>
          </cell>
          <cell r="D79">
            <v>-1</v>
          </cell>
          <cell r="E79">
            <v>0</v>
          </cell>
          <cell r="F79">
            <v>4530</v>
          </cell>
          <cell r="G79" t="str">
            <v>预计负债</v>
          </cell>
          <cell r="H79">
            <v>0</v>
          </cell>
          <cell r="I79">
            <v>2801</v>
          </cell>
          <cell r="J79" t="str">
            <v>J</v>
          </cell>
          <cell r="M79" t="str">
            <v>应付利息</v>
          </cell>
          <cell r="S79" t="str">
            <v>1503d</v>
          </cell>
          <cell r="T79" t="str">
            <v>报告期内可供出售金融资产减值的变动情况</v>
          </cell>
          <cell r="U79" t="str">
            <v>可供出售金融资产分类</v>
          </cell>
          <cell r="V79">
            <v>1</v>
          </cell>
          <cell r="W79">
            <v>1503</v>
          </cell>
          <cell r="X79">
            <v>2</v>
          </cell>
        </row>
        <row r="80">
          <cell r="B80">
            <v>2401</v>
          </cell>
          <cell r="C80" t="str">
            <v>递延收益</v>
          </cell>
          <cell r="D80">
            <v>-1</v>
          </cell>
          <cell r="E80">
            <v>0</v>
          </cell>
          <cell r="F80">
            <v>4540</v>
          </cell>
          <cell r="G80" t="str">
            <v>递延收益</v>
          </cell>
          <cell r="H80">
            <v>0</v>
          </cell>
          <cell r="I80">
            <v>2401</v>
          </cell>
          <cell r="J80" t="str">
            <v>J</v>
          </cell>
          <cell r="M80" t="str">
            <v>应付股利</v>
          </cell>
          <cell r="S80" t="str">
            <v>1503g</v>
          </cell>
          <cell r="T80" t="str">
            <v>可供出售权益工具期末公允价值大幅下跌或持续下跌但未计提减值准备的相关说明</v>
          </cell>
          <cell r="U80" t="str">
            <v>可供出售权益工具项目</v>
          </cell>
          <cell r="V80">
            <v>1</v>
          </cell>
          <cell r="W80">
            <v>1503</v>
          </cell>
          <cell r="X80">
            <v>2</v>
          </cell>
        </row>
        <row r="81">
          <cell r="B81">
            <v>2901</v>
          </cell>
          <cell r="C81" t="str">
            <v>递延所得税负债</v>
          </cell>
          <cell r="D81">
            <v>-1</v>
          </cell>
          <cell r="E81">
            <v>0</v>
          </cell>
          <cell r="F81">
            <v>4420</v>
          </cell>
          <cell r="G81" t="str">
            <v>递延所得税负债</v>
          </cell>
          <cell r="H81">
            <v>0</v>
          </cell>
          <cell r="I81">
            <v>2901</v>
          </cell>
          <cell r="J81" t="str">
            <v>J</v>
          </cell>
          <cell r="M81" t="str">
            <v>其他应付款</v>
          </cell>
          <cell r="S81" t="str">
            <v>1501a</v>
          </cell>
          <cell r="T81" t="str">
            <v>持有至到期投资分项列示</v>
          </cell>
          <cell r="U81" t="str">
            <v>项       目</v>
          </cell>
          <cell r="V81">
            <v>1</v>
          </cell>
          <cell r="W81">
            <v>1501</v>
          </cell>
          <cell r="X81">
            <v>1</v>
          </cell>
        </row>
        <row r="82">
          <cell r="B82">
            <v>2996</v>
          </cell>
          <cell r="C82" t="str">
            <v>其他非流动负债</v>
          </cell>
          <cell r="D82">
            <v>-1</v>
          </cell>
          <cell r="E82">
            <v>0</v>
          </cell>
          <cell r="F82">
            <v>4590</v>
          </cell>
          <cell r="G82" t="str">
            <v>其他非流动负债</v>
          </cell>
          <cell r="H82">
            <v>0</v>
          </cell>
          <cell r="I82">
            <v>2996</v>
          </cell>
          <cell r="J82" t="str">
            <v>J</v>
          </cell>
          <cell r="M82" t="str">
            <v>持有待售负债</v>
          </cell>
          <cell r="S82" t="str">
            <v>1501d</v>
          </cell>
          <cell r="T82" t="str">
            <v>重要的持有至到期投资</v>
          </cell>
          <cell r="U82" t="str">
            <v>债券项目</v>
          </cell>
          <cell r="V82">
            <v>1</v>
          </cell>
          <cell r="W82">
            <v>1501</v>
          </cell>
          <cell r="X82">
            <v>2</v>
          </cell>
        </row>
        <row r="83">
          <cell r="B83">
            <v>2998</v>
          </cell>
          <cell r="C83" t="str">
            <v>非流动负债</v>
          </cell>
          <cell r="D83">
            <v>0</v>
          </cell>
          <cell r="E83" t="str">
            <v>＝</v>
          </cell>
          <cell r="F83">
            <v>0</v>
          </cell>
          <cell r="G83" t="str">
            <v>非流动负债合计</v>
          </cell>
          <cell r="H83">
            <v>0</v>
          </cell>
          <cell r="I83">
            <v>2998</v>
          </cell>
          <cell r="J83">
            <v>0</v>
          </cell>
          <cell r="M83" t="str">
            <v>一年内到期的非流动负债</v>
          </cell>
          <cell r="S83" t="str">
            <v>1501e</v>
          </cell>
          <cell r="T83" t="str">
            <v>持有至到期投资重分类情况</v>
          </cell>
          <cell r="U83" t="str">
            <v>项       目</v>
          </cell>
          <cell r="V83">
            <v>1</v>
          </cell>
          <cell r="W83">
            <v>1501</v>
          </cell>
          <cell r="X83">
            <v>2</v>
          </cell>
        </row>
        <row r="84">
          <cell r="B84">
            <v>2999</v>
          </cell>
          <cell r="C84" t="str">
            <v>负债</v>
          </cell>
          <cell r="D84">
            <v>0</v>
          </cell>
          <cell r="E84" t="str">
            <v>＝</v>
          </cell>
          <cell r="F84">
            <v>0</v>
          </cell>
          <cell r="G84" t="str">
            <v>负债合计</v>
          </cell>
          <cell r="H84">
            <v>0</v>
          </cell>
          <cell r="I84">
            <v>2999</v>
          </cell>
          <cell r="J84">
            <v>0</v>
          </cell>
          <cell r="M84" t="str">
            <v>其他流动负债</v>
          </cell>
          <cell r="S84" t="str">
            <v>1531a</v>
          </cell>
          <cell r="T84" t="str">
            <v>长期应收款按性质披露</v>
          </cell>
          <cell r="U84" t="str">
            <v>项       目</v>
          </cell>
          <cell r="V84">
            <v>1</v>
          </cell>
          <cell r="W84">
            <v>1531</v>
          </cell>
          <cell r="X84">
            <v>1</v>
          </cell>
        </row>
        <row r="85">
          <cell r="B85">
            <v>4000</v>
          </cell>
          <cell r="C85" t="str">
            <v>所有者权益项目</v>
          </cell>
          <cell r="D85">
            <v>0</v>
          </cell>
          <cell r="E85" t="str">
            <v>：</v>
          </cell>
          <cell r="F85">
            <v>0</v>
          </cell>
          <cell r="G85" t="str">
            <v>股东（或所有者）权益：</v>
          </cell>
          <cell r="H85" t="str">
            <v>所有者权益(或股东权益)：</v>
          </cell>
          <cell r="I85">
            <v>4000</v>
          </cell>
          <cell r="J85">
            <v>0</v>
          </cell>
          <cell r="M85" t="str">
            <v>递延收益</v>
          </cell>
          <cell r="S85" t="str">
            <v>1531b</v>
          </cell>
          <cell r="T85" t="str">
            <v>长期应收款逾期情况</v>
          </cell>
          <cell r="U85" t="str">
            <v>逾  期</v>
          </cell>
          <cell r="V85">
            <v>1</v>
          </cell>
          <cell r="W85">
            <v>1531</v>
          </cell>
          <cell r="X85">
            <v>2</v>
          </cell>
        </row>
        <row r="86">
          <cell r="B86">
            <v>4001</v>
          </cell>
          <cell r="C86" t="str">
            <v>实收资本</v>
          </cell>
          <cell r="D86">
            <v>-1</v>
          </cell>
          <cell r="E86">
            <v>0</v>
          </cell>
          <cell r="F86">
            <v>5110</v>
          </cell>
          <cell r="G86" t="str">
            <v>股本</v>
          </cell>
          <cell r="H86" t="str">
            <v>实收资本（或股本）</v>
          </cell>
          <cell r="I86">
            <v>4001</v>
          </cell>
          <cell r="J86" t="str">
            <v>J</v>
          </cell>
          <cell r="M86" t="str">
            <v>长期借款</v>
          </cell>
          <cell r="S86" t="str">
            <v>1531c</v>
          </cell>
          <cell r="T86" t="str">
            <v>终止确认的长期应收款情况</v>
          </cell>
          <cell r="U86" t="str">
            <v>项       目</v>
          </cell>
          <cell r="V86">
            <v>1</v>
          </cell>
          <cell r="W86">
            <v>1531</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v>
          </cell>
          <cell r="S87" t="str">
            <v>1531d</v>
          </cell>
          <cell r="T87" t="str">
            <v>转移长期应收款且继续涉入形成的资产</v>
          </cell>
          <cell r="U87" t="str">
            <v>项       目</v>
          </cell>
          <cell r="V87">
            <v>1</v>
          </cell>
          <cell r="W87">
            <v>1531</v>
          </cell>
          <cell r="X87">
            <v>2</v>
          </cell>
        </row>
        <row r="88">
          <cell r="B88">
            <v>4015.11</v>
          </cell>
          <cell r="C88" t="str">
            <v>其他权益工具_优先股</v>
          </cell>
          <cell r="D88">
            <v>-1</v>
          </cell>
          <cell r="E88" t="str">
            <v>OEI</v>
          </cell>
          <cell r="F88">
            <v>0</v>
          </cell>
          <cell r="G88" t="str">
            <v>其中：优先股</v>
          </cell>
          <cell r="H88" t="str">
            <v>其中：优先股</v>
          </cell>
          <cell r="I88">
            <v>4015.11</v>
          </cell>
          <cell r="J88" t="str">
            <v>J</v>
          </cell>
          <cell r="M88" t="str">
            <v>应付债券_优先股</v>
          </cell>
          <cell r="S88" t="str">
            <v>1531e</v>
          </cell>
          <cell r="T88" t="str">
            <v>转移长期应收款且继续涉入形成的负债</v>
          </cell>
          <cell r="U88" t="str">
            <v>项       目</v>
          </cell>
          <cell r="V88">
            <v>1</v>
          </cell>
          <cell r="W88">
            <v>1531</v>
          </cell>
          <cell r="X88">
            <v>2</v>
          </cell>
        </row>
        <row r="89">
          <cell r="B89">
            <v>4015.31</v>
          </cell>
          <cell r="C89" t="str">
            <v>其他权益工具_永续债</v>
          </cell>
          <cell r="D89">
            <v>-1</v>
          </cell>
          <cell r="E89" t="str">
            <v>OEI</v>
          </cell>
          <cell r="F89">
            <v>0</v>
          </cell>
          <cell r="G89" t="str">
            <v xml:space="preserve">      永续债</v>
          </cell>
          <cell r="H89" t="str">
            <v xml:space="preserve">      永续债</v>
          </cell>
          <cell r="I89">
            <v>4015.31</v>
          </cell>
          <cell r="J89" t="str">
            <v>J</v>
          </cell>
          <cell r="M89" t="str">
            <v>应付债券_永续债</v>
          </cell>
          <cell r="S89" t="str">
            <v>1531f</v>
          </cell>
          <cell r="T89" t="str">
            <v>外币长期应收款</v>
          </cell>
          <cell r="U89" t="str">
            <v>币       种</v>
          </cell>
          <cell r="V89">
            <v>1</v>
          </cell>
          <cell r="W89">
            <v>1531</v>
          </cell>
          <cell r="X89">
            <v>2</v>
          </cell>
        </row>
        <row r="90">
          <cell r="B90">
            <v>4015.91</v>
          </cell>
          <cell r="C90" t="str">
            <v>其他权益工具_其他</v>
          </cell>
          <cell r="D90">
            <v>-1</v>
          </cell>
          <cell r="E90" t="str">
            <v>OEI</v>
          </cell>
          <cell r="F90">
            <v>0</v>
          </cell>
          <cell r="G90" t="str">
            <v xml:space="preserve">      其他</v>
          </cell>
          <cell r="H90" t="str">
            <v xml:space="preserve">      其他</v>
          </cell>
          <cell r="I90">
            <v>4015.91</v>
          </cell>
          <cell r="J90" t="str">
            <v>J</v>
          </cell>
          <cell r="M90" t="str">
            <v>长期应付款</v>
          </cell>
          <cell r="S90" t="str">
            <v>1515a</v>
          </cell>
          <cell r="T90" t="str">
            <v>设定受益计划净资产</v>
          </cell>
          <cell r="U90" t="str">
            <v>项       目</v>
          </cell>
          <cell r="V90">
            <v>1</v>
          </cell>
          <cell r="W90">
            <v>1515</v>
          </cell>
          <cell r="X90">
            <v>1</v>
          </cell>
        </row>
        <row r="91">
          <cell r="B91">
            <v>4002</v>
          </cell>
          <cell r="C91" t="str">
            <v>资本公积</v>
          </cell>
          <cell r="D91">
            <v>-1</v>
          </cell>
          <cell r="E91">
            <v>0</v>
          </cell>
          <cell r="F91">
            <v>5210</v>
          </cell>
          <cell r="G91" t="str">
            <v>资本公积</v>
          </cell>
          <cell r="H91" t="str">
            <v>资本公积</v>
          </cell>
          <cell r="I91">
            <v>4002</v>
          </cell>
          <cell r="J91" t="str">
            <v>J</v>
          </cell>
          <cell r="M91" t="str">
            <v>专项应付款</v>
          </cell>
          <cell r="S91" t="str">
            <v>1515b</v>
          </cell>
          <cell r="T91" t="str">
            <v>设定受益计划义务现值变动情况</v>
          </cell>
          <cell r="U91" t="str">
            <v>项       目</v>
          </cell>
          <cell r="V91">
            <v>1</v>
          </cell>
          <cell r="W91">
            <v>1515</v>
          </cell>
          <cell r="X91">
            <v>2</v>
          </cell>
        </row>
        <row r="92">
          <cell r="B92">
            <v>4201</v>
          </cell>
          <cell r="C92" t="str">
            <v>库存股</v>
          </cell>
          <cell r="D92">
            <v>1</v>
          </cell>
          <cell r="E92">
            <v>0</v>
          </cell>
          <cell r="F92">
            <v>5310</v>
          </cell>
          <cell r="G92" t="str">
            <v>减：库存股</v>
          </cell>
          <cell r="H92" t="str">
            <v>减：库存股</v>
          </cell>
          <cell r="I92">
            <v>4201</v>
          </cell>
          <cell r="J92" t="str">
            <v>J</v>
          </cell>
          <cell r="M92" t="str">
            <v>长期应付职工薪酬</v>
          </cell>
          <cell r="S92" t="str">
            <v>1515c</v>
          </cell>
          <cell r="T92" t="str">
            <v>设定受益计划资产变动情况</v>
          </cell>
          <cell r="U92" t="str">
            <v>项       目</v>
          </cell>
          <cell r="V92">
            <v>1</v>
          </cell>
          <cell r="W92">
            <v>1515</v>
          </cell>
          <cell r="X92">
            <v>2</v>
          </cell>
        </row>
        <row r="93">
          <cell r="B93">
            <v>4215</v>
          </cell>
          <cell r="C93" t="str">
            <v>其他综合收益</v>
          </cell>
          <cell r="D93">
            <v>-1</v>
          </cell>
          <cell r="E93">
            <v>0</v>
          </cell>
          <cell r="F93">
            <v>6710</v>
          </cell>
          <cell r="G93" t="str">
            <v>其他综合收益</v>
          </cell>
          <cell r="H93" t="str">
            <v>其他综合收益</v>
          </cell>
          <cell r="I93">
            <v>4215</v>
          </cell>
          <cell r="J93" t="str">
            <v>J</v>
          </cell>
          <cell r="M93" t="str">
            <v>预计负债</v>
          </cell>
          <cell r="S93" t="str">
            <v>1515d</v>
          </cell>
          <cell r="T93" t="str">
            <v>设定受益计划净资产变动情况</v>
          </cell>
          <cell r="U93" t="str">
            <v>项       目</v>
          </cell>
          <cell r="V93">
            <v>1</v>
          </cell>
          <cell r="W93">
            <v>1515</v>
          </cell>
          <cell r="X93">
            <v>2</v>
          </cell>
        </row>
        <row r="94">
          <cell r="B94">
            <v>4301</v>
          </cell>
          <cell r="C94" t="str">
            <v>专项储备</v>
          </cell>
          <cell r="D94">
            <v>-1</v>
          </cell>
          <cell r="E94">
            <v>0</v>
          </cell>
          <cell r="F94">
            <v>5510</v>
          </cell>
          <cell r="G94" t="str">
            <v>专项储备</v>
          </cell>
          <cell r="H94" t="str">
            <v>专项储备</v>
          </cell>
          <cell r="I94">
            <v>4301</v>
          </cell>
          <cell r="J94" t="str">
            <v>J</v>
          </cell>
          <cell r="M94" t="str">
            <v>递延所得税负债</v>
          </cell>
          <cell r="S94" t="str">
            <v>1515e</v>
          </cell>
          <cell r="T94" t="str">
            <v>未折现的离职后福利预计到期分析</v>
          </cell>
          <cell r="U94" t="str">
            <v>项       目</v>
          </cell>
          <cell r="V94">
            <v>1</v>
          </cell>
          <cell r="W94">
            <v>1515</v>
          </cell>
          <cell r="X94">
            <v>2</v>
          </cell>
        </row>
        <row r="95">
          <cell r="B95">
            <v>4101</v>
          </cell>
          <cell r="C95" t="str">
            <v>盈余公积</v>
          </cell>
          <cell r="D95">
            <v>-1</v>
          </cell>
          <cell r="E95">
            <v>0</v>
          </cell>
          <cell r="F95">
            <v>5410</v>
          </cell>
          <cell r="G95" t="str">
            <v>盈余公积</v>
          </cell>
          <cell r="H95" t="str">
            <v>盈余公积</v>
          </cell>
          <cell r="I95">
            <v>4101</v>
          </cell>
          <cell r="J95" t="str">
            <v>J</v>
          </cell>
          <cell r="M95" t="str">
            <v>其他非流动负债</v>
          </cell>
          <cell r="S95" t="str">
            <v>1515f</v>
          </cell>
          <cell r="T95" t="str">
            <v>设定受益计划资产明细</v>
          </cell>
          <cell r="U95" t="str">
            <v>项       目</v>
          </cell>
          <cell r="V95">
            <v>1</v>
          </cell>
          <cell r="W95">
            <v>1515</v>
          </cell>
          <cell r="X95">
            <v>2</v>
          </cell>
        </row>
        <row r="96">
          <cell r="B96">
            <v>4102</v>
          </cell>
          <cell r="C96" t="str">
            <v>一般风险准备</v>
          </cell>
          <cell r="D96">
            <v>-1</v>
          </cell>
          <cell r="E96">
            <v>0</v>
          </cell>
          <cell r="F96">
            <v>0</v>
          </cell>
          <cell r="G96" t="str">
            <v>一般风险准备</v>
          </cell>
          <cell r="H96" t="str">
            <v>一般风险准备</v>
          </cell>
          <cell r="I96">
            <v>4102</v>
          </cell>
          <cell r="J96" t="str">
            <v>J</v>
          </cell>
          <cell r="M96" t="str">
            <v>营业收入</v>
          </cell>
          <cell r="S96" t="str">
            <v>1515g</v>
          </cell>
          <cell r="T96" t="str">
            <v>设定受益计划精算假设</v>
          </cell>
          <cell r="U96" t="str">
            <v>项       目</v>
          </cell>
          <cell r="V96">
            <v>1</v>
          </cell>
          <cell r="W96">
            <v>1515</v>
          </cell>
          <cell r="X96">
            <v>2</v>
          </cell>
        </row>
        <row r="97">
          <cell r="B97">
            <v>4200</v>
          </cell>
          <cell r="C97" t="str">
            <v>未分配利润</v>
          </cell>
          <cell r="D97">
            <v>-1</v>
          </cell>
          <cell r="E97">
            <v>0</v>
          </cell>
          <cell r="F97">
            <v>5610</v>
          </cell>
          <cell r="G97" t="str">
            <v>未分配利润</v>
          </cell>
          <cell r="H97" t="str">
            <v>未分配利润</v>
          </cell>
          <cell r="I97">
            <v>4200</v>
          </cell>
          <cell r="J97" t="str">
            <v>J</v>
          </cell>
          <cell r="M97" t="str">
            <v>公允价值变动收益</v>
          </cell>
          <cell r="S97" t="str">
            <v>1515h</v>
          </cell>
          <cell r="T97" t="str">
            <v>设定受益计划敏感性分析</v>
          </cell>
          <cell r="U97" t="str">
            <v>项       目</v>
          </cell>
          <cell r="V97">
            <v>1</v>
          </cell>
          <cell r="W97">
            <v>1515</v>
          </cell>
          <cell r="X97">
            <v>2</v>
          </cell>
        </row>
        <row r="98">
          <cell r="B98">
            <v>4210</v>
          </cell>
          <cell r="C98" t="str">
            <v>外币报表折算差额</v>
          </cell>
          <cell r="D98">
            <v>-1</v>
          </cell>
          <cell r="E98" t="str">
            <v>※</v>
          </cell>
          <cell r="F98">
            <v>0</v>
          </cell>
          <cell r="G98" t="str">
            <v>外币报表折算差额</v>
          </cell>
          <cell r="H98" t="str">
            <v>外币报表折算差额</v>
          </cell>
          <cell r="I98">
            <v>4210</v>
          </cell>
          <cell r="J98">
            <v>0</v>
          </cell>
          <cell r="M98" t="str">
            <v>投资收益</v>
          </cell>
          <cell r="S98" t="str">
            <v>1511b</v>
          </cell>
          <cell r="T98" t="str">
            <v>长期股权投资本期增减变动</v>
          </cell>
          <cell r="U98" t="str">
            <v>被投资单位</v>
          </cell>
          <cell r="V98">
            <v>1</v>
          </cell>
          <cell r="W98">
            <v>1511</v>
          </cell>
          <cell r="X98">
            <v>1</v>
          </cell>
        </row>
        <row r="99">
          <cell r="B99">
            <v>4298</v>
          </cell>
          <cell r="C99" t="str">
            <v>归属于母公司所有者权益</v>
          </cell>
          <cell r="D99">
            <v>0</v>
          </cell>
          <cell r="E99" t="str">
            <v>※</v>
          </cell>
          <cell r="F99">
            <v>0</v>
          </cell>
          <cell r="G99" t="str">
            <v>归属于母公司股东权益合计</v>
          </cell>
          <cell r="H99" t="str">
            <v>归属于母公司所有者权益合计</v>
          </cell>
          <cell r="I99">
            <v>4298</v>
          </cell>
          <cell r="J99">
            <v>0</v>
          </cell>
          <cell r="M99" t="str">
            <v>对联营企业和合营企业的投资收益</v>
          </cell>
          <cell r="S99" t="str">
            <v>1511a</v>
          </cell>
          <cell r="T99" t="str">
            <v>长期股权投资分项列示</v>
          </cell>
          <cell r="U99" t="str">
            <v>被投资单位</v>
          </cell>
          <cell r="V99">
            <v>1</v>
          </cell>
          <cell r="W99">
            <v>1511</v>
          </cell>
          <cell r="X99">
            <v>2</v>
          </cell>
        </row>
        <row r="100">
          <cell r="B100">
            <v>4398</v>
          </cell>
          <cell r="C100" t="str">
            <v>少数股东权益</v>
          </cell>
          <cell r="D100">
            <v>-1</v>
          </cell>
          <cell r="E100" t="str">
            <v>※</v>
          </cell>
          <cell r="F100">
            <v>0</v>
          </cell>
          <cell r="G100" t="str">
            <v>少数股东权益</v>
          </cell>
          <cell r="H100" t="str">
            <v>少数股东权益</v>
          </cell>
          <cell r="I100">
            <v>4398</v>
          </cell>
          <cell r="J100" t="str">
            <v>J</v>
          </cell>
          <cell r="M100" t="str">
            <v>资产处置收益</v>
          </cell>
          <cell r="S100" t="str">
            <v>1521d</v>
          </cell>
          <cell r="T100" t="str">
            <v>按成本计量的投资性房地产账面原值</v>
          </cell>
          <cell r="U100" t="str">
            <v>项       目</v>
          </cell>
          <cell r="V100">
            <v>1</v>
          </cell>
          <cell r="W100">
            <v>1521</v>
          </cell>
          <cell r="X100">
            <v>2</v>
          </cell>
        </row>
        <row r="101">
          <cell r="B101">
            <v>4999</v>
          </cell>
          <cell r="C101" t="str">
            <v>所有者权益</v>
          </cell>
          <cell r="D101">
            <v>0</v>
          </cell>
          <cell r="E101" t="str">
            <v>＝</v>
          </cell>
          <cell r="F101">
            <v>0</v>
          </cell>
          <cell r="G101" t="str">
            <v>股东（或所有者）权益合计</v>
          </cell>
          <cell r="H101" t="str">
            <v>所有者权益（或股东权益）合计</v>
          </cell>
          <cell r="I101">
            <v>4999</v>
          </cell>
          <cell r="J101">
            <v>0</v>
          </cell>
          <cell r="M101" t="str">
            <v>其他收益</v>
          </cell>
          <cell r="S101" t="str">
            <v>1521e</v>
          </cell>
          <cell r="T101" t="str">
            <v>按成本计量的投资性房地产累计折旧和累计摊销</v>
          </cell>
          <cell r="U101" t="str">
            <v>项       目</v>
          </cell>
          <cell r="V101">
            <v>1</v>
          </cell>
          <cell r="W101">
            <v>1521</v>
          </cell>
          <cell r="X101">
            <v>2</v>
          </cell>
        </row>
        <row r="102">
          <cell r="B102">
            <v>5000</v>
          </cell>
          <cell r="C102" t="str">
            <v>负债和所有者权益</v>
          </cell>
          <cell r="D102">
            <v>0</v>
          </cell>
          <cell r="E102" t="str">
            <v>＝</v>
          </cell>
          <cell r="F102">
            <v>0</v>
          </cell>
          <cell r="G102" t="str">
            <v>负债和股东（或所有者）权益总计</v>
          </cell>
          <cell r="H102" t="str">
            <v>负债和所有者权益（或股东权益）总计</v>
          </cell>
          <cell r="I102">
            <v>5000</v>
          </cell>
          <cell r="J102">
            <v>0</v>
          </cell>
          <cell r="M102" t="str">
            <v>营业成本</v>
          </cell>
          <cell r="S102" t="str">
            <v>1521f</v>
          </cell>
          <cell r="T102" t="str">
            <v>按成本计量的投资性房地产减值准备</v>
          </cell>
          <cell r="U102" t="str">
            <v>项       目</v>
          </cell>
          <cell r="V102">
            <v>1</v>
          </cell>
          <cell r="W102">
            <v>1521</v>
          </cell>
          <cell r="X102">
            <v>2</v>
          </cell>
        </row>
        <row r="103">
          <cell r="B103">
            <v>6</v>
          </cell>
          <cell r="C103" t="str">
            <v>利润表</v>
          </cell>
          <cell r="D103">
            <v>0</v>
          </cell>
          <cell r="E103" t="str">
            <v>：</v>
          </cell>
          <cell r="F103">
            <v>0</v>
          </cell>
          <cell r="G103" t="str">
            <v>利润表</v>
          </cell>
          <cell r="H103">
            <v>0</v>
          </cell>
          <cell r="I103">
            <v>6</v>
          </cell>
          <cell r="J103">
            <v>0</v>
          </cell>
          <cell r="M103" t="str">
            <v>税金及附加</v>
          </cell>
          <cell r="S103" t="str">
            <v>1521g</v>
          </cell>
          <cell r="T103" t="str">
            <v>按成本计量的投资性房地产账面价值</v>
          </cell>
          <cell r="U103" t="str">
            <v>项       目</v>
          </cell>
          <cell r="V103">
            <v>1</v>
          </cell>
          <cell r="W103">
            <v>1521</v>
          </cell>
          <cell r="X103">
            <v>1</v>
          </cell>
        </row>
        <row r="104">
          <cell r="B104">
            <v>6098</v>
          </cell>
          <cell r="C104" t="str">
            <v>营业总收入</v>
          </cell>
          <cell r="D104">
            <v>0</v>
          </cell>
          <cell r="E104" t="str">
            <v>※</v>
          </cell>
          <cell r="F104">
            <v>0</v>
          </cell>
          <cell r="G104" t="str">
            <v>一、营业总收入</v>
          </cell>
          <cell r="H104" t="str">
            <v>一、营业总收入</v>
          </cell>
          <cell r="I104">
            <v>6098</v>
          </cell>
          <cell r="J104">
            <v>0</v>
          </cell>
          <cell r="M104" t="str">
            <v>销售费用</v>
          </cell>
          <cell r="S104" t="str">
            <v>1521b</v>
          </cell>
          <cell r="T104" t="str">
            <v>按公允价值计量的投资性房地产</v>
          </cell>
          <cell r="U104" t="str">
            <v>项       目</v>
          </cell>
          <cell r="V104">
            <v>1</v>
          </cell>
          <cell r="W104">
            <v>1521</v>
          </cell>
          <cell r="X104">
            <v>2</v>
          </cell>
        </row>
        <row r="105">
          <cell r="B105">
            <v>6001</v>
          </cell>
          <cell r="C105" t="str">
            <v>营业收入</v>
          </cell>
          <cell r="D105">
            <v>-1</v>
          </cell>
          <cell r="E105">
            <v>0</v>
          </cell>
          <cell r="F105">
            <v>6100</v>
          </cell>
          <cell r="G105" t="str">
            <v>一、营业收入</v>
          </cell>
          <cell r="H105" t="str">
            <v>其中：营业收入</v>
          </cell>
          <cell r="I105">
            <v>6001</v>
          </cell>
          <cell r="J105" t="str">
            <v>J</v>
          </cell>
          <cell r="M105" t="str">
            <v>管理费用</v>
          </cell>
          <cell r="S105" t="str">
            <v>1521c</v>
          </cell>
          <cell r="T105" t="str">
            <v>未办妥产权证书的情况</v>
          </cell>
          <cell r="U105" t="str">
            <v>项       目</v>
          </cell>
          <cell r="V105">
            <v>1</v>
          </cell>
          <cell r="W105">
            <v>1521</v>
          </cell>
          <cell r="X105">
            <v>2</v>
          </cell>
        </row>
        <row r="106">
          <cell r="B106">
            <v>6011</v>
          </cell>
          <cell r="C106" t="str">
            <v>利息收入</v>
          </cell>
          <cell r="D106">
            <v>-1</v>
          </cell>
          <cell r="E106" t="str">
            <v>△</v>
          </cell>
          <cell r="F106">
            <v>0</v>
          </cell>
          <cell r="G106" t="str">
            <v>利息收入</v>
          </cell>
          <cell r="H106" t="str">
            <v>利息收入</v>
          </cell>
          <cell r="I106">
            <v>6011</v>
          </cell>
          <cell r="J106" t="str">
            <v>J</v>
          </cell>
          <cell r="M106" t="str">
            <v>财务费用</v>
          </cell>
          <cell r="S106" t="str">
            <v>1521s</v>
          </cell>
          <cell r="T106" t="str">
            <v>投资性房地产抵押情况</v>
          </cell>
          <cell r="U106" t="str">
            <v>抵押资产明细项目</v>
          </cell>
          <cell r="V106">
            <v>1</v>
          </cell>
          <cell r="W106">
            <v>1521</v>
          </cell>
          <cell r="X106">
            <v>2</v>
          </cell>
        </row>
        <row r="107">
          <cell r="B107">
            <v>6030</v>
          </cell>
          <cell r="C107" t="str">
            <v>已赚保费</v>
          </cell>
          <cell r="D107">
            <v>-1</v>
          </cell>
          <cell r="E107" t="str">
            <v>△</v>
          </cell>
          <cell r="F107">
            <v>0</v>
          </cell>
          <cell r="G107" t="str">
            <v>已赚保费</v>
          </cell>
          <cell r="H107" t="str">
            <v>已赚保费</v>
          </cell>
          <cell r="I107">
            <v>6030</v>
          </cell>
          <cell r="J107" t="str">
            <v>J</v>
          </cell>
          <cell r="M107" t="str">
            <v>财务费用_利息费用</v>
          </cell>
          <cell r="S107" t="str">
            <v>1521a</v>
          </cell>
          <cell r="T107" t="str">
            <v>采用成本计量模式的投资性房地产增减变动</v>
          </cell>
          <cell r="U107" t="str">
            <v>项       目</v>
          </cell>
          <cell r="V107">
            <v>1</v>
          </cell>
          <cell r="W107">
            <v>1521</v>
          </cell>
          <cell r="X107">
            <v>2</v>
          </cell>
        </row>
        <row r="108">
          <cell r="B108">
            <v>6021</v>
          </cell>
          <cell r="C108" t="str">
            <v>手续费及佣金收入</v>
          </cell>
          <cell r="D108">
            <v>-1</v>
          </cell>
          <cell r="E108" t="str">
            <v>△</v>
          </cell>
          <cell r="F108">
            <v>0</v>
          </cell>
          <cell r="G108" t="str">
            <v>手续费及佣金收入</v>
          </cell>
          <cell r="H108" t="str">
            <v>手续费及佣金收入</v>
          </cell>
          <cell r="I108">
            <v>6021</v>
          </cell>
          <cell r="J108" t="str">
            <v>J</v>
          </cell>
          <cell r="M108" t="str">
            <v>财务费用_利息收入</v>
          </cell>
          <cell r="S108" t="str">
            <v>1611a</v>
          </cell>
          <cell r="T108" t="str">
            <v>固定资产分类列示</v>
          </cell>
          <cell r="U108" t="str">
            <v>项       目</v>
          </cell>
          <cell r="V108">
            <v>1</v>
          </cell>
          <cell r="W108">
            <v>1611</v>
          </cell>
          <cell r="X108">
            <v>1</v>
          </cell>
        </row>
        <row r="109">
          <cell r="B109">
            <v>6598</v>
          </cell>
          <cell r="C109" t="str">
            <v>营业总成本</v>
          </cell>
          <cell r="D109">
            <v>0</v>
          </cell>
          <cell r="E109" t="str">
            <v>※</v>
          </cell>
          <cell r="F109">
            <v>0</v>
          </cell>
          <cell r="G109" t="str">
            <v>二、营业总成本</v>
          </cell>
          <cell r="H109" t="str">
            <v>二、营业总成本</v>
          </cell>
          <cell r="I109">
            <v>6598</v>
          </cell>
          <cell r="J109">
            <v>0</v>
          </cell>
          <cell r="M109" t="str">
            <v>研发费用</v>
          </cell>
          <cell r="S109" t="str">
            <v>1601g</v>
          </cell>
          <cell r="T109" t="str">
            <v>固定资产原值</v>
          </cell>
          <cell r="U109" t="str">
            <v>项       目</v>
          </cell>
          <cell r="V109">
            <v>1</v>
          </cell>
          <cell r="W109">
            <v>1601</v>
          </cell>
          <cell r="X109">
            <v>2</v>
          </cell>
        </row>
        <row r="110">
          <cell r="B110">
            <v>6401</v>
          </cell>
          <cell r="C110" t="str">
            <v>营业成本</v>
          </cell>
          <cell r="D110">
            <v>1</v>
          </cell>
          <cell r="E110">
            <v>0</v>
          </cell>
          <cell r="F110">
            <v>6200</v>
          </cell>
          <cell r="G110" t="str">
            <v>减：营业成本</v>
          </cell>
          <cell r="H110" t="str">
            <v>其中：营业成本</v>
          </cell>
          <cell r="I110">
            <v>6401</v>
          </cell>
          <cell r="J110" t="str">
            <v>J</v>
          </cell>
          <cell r="M110" t="str">
            <v>资产减值损失</v>
          </cell>
          <cell r="S110" t="str">
            <v>1601h</v>
          </cell>
          <cell r="T110" t="str">
            <v>固定资产累计折旧</v>
          </cell>
          <cell r="U110" t="str">
            <v>项       目</v>
          </cell>
          <cell r="V110">
            <v>1</v>
          </cell>
          <cell r="W110">
            <v>1601</v>
          </cell>
          <cell r="X110">
            <v>2</v>
          </cell>
        </row>
        <row r="111">
          <cell r="B111">
            <v>6411</v>
          </cell>
          <cell r="C111" t="str">
            <v>利息支出</v>
          </cell>
          <cell r="D111">
            <v>1</v>
          </cell>
          <cell r="E111" t="str">
            <v>△</v>
          </cell>
          <cell r="F111">
            <v>0</v>
          </cell>
          <cell r="G111" t="str">
            <v>利息支出</v>
          </cell>
          <cell r="H111" t="str">
            <v>利息支出</v>
          </cell>
          <cell r="I111">
            <v>6411</v>
          </cell>
          <cell r="J111" t="str">
            <v>J</v>
          </cell>
          <cell r="M111" t="str">
            <v>营业外收入</v>
          </cell>
          <cell r="S111" t="str">
            <v>1601i</v>
          </cell>
          <cell r="T111" t="str">
            <v>固定资产减值准备</v>
          </cell>
          <cell r="U111" t="str">
            <v>项       目</v>
          </cell>
          <cell r="V111">
            <v>1</v>
          </cell>
          <cell r="W111">
            <v>1601</v>
          </cell>
          <cell r="X111">
            <v>2</v>
          </cell>
        </row>
        <row r="112">
          <cell r="B112">
            <v>6421</v>
          </cell>
          <cell r="C112" t="str">
            <v>手续费及佣金支出</v>
          </cell>
          <cell r="D112">
            <v>1</v>
          </cell>
          <cell r="E112" t="str">
            <v>△</v>
          </cell>
          <cell r="F112">
            <v>0</v>
          </cell>
          <cell r="G112" t="str">
            <v>手续费及佣金支出</v>
          </cell>
          <cell r="H112" t="str">
            <v>手续费及佣金支出</v>
          </cell>
          <cell r="I112">
            <v>6421</v>
          </cell>
          <cell r="J112" t="str">
            <v>J</v>
          </cell>
          <cell r="M112" t="str">
            <v>营业外支出</v>
          </cell>
          <cell r="S112" t="str">
            <v>1601j</v>
          </cell>
          <cell r="T112" t="str">
            <v>固定资产账面价值</v>
          </cell>
          <cell r="U112" t="str">
            <v>项       目</v>
          </cell>
          <cell r="V112">
            <v>1</v>
          </cell>
          <cell r="W112">
            <v>1601</v>
          </cell>
          <cell r="X112">
            <v>1</v>
          </cell>
        </row>
        <row r="113">
          <cell r="B113">
            <v>6531</v>
          </cell>
          <cell r="C113" t="str">
            <v>退保金</v>
          </cell>
          <cell r="D113">
            <v>1</v>
          </cell>
          <cell r="E113" t="str">
            <v>△</v>
          </cell>
          <cell r="F113">
            <v>0</v>
          </cell>
          <cell r="G113" t="str">
            <v>退保金</v>
          </cell>
          <cell r="H113" t="str">
            <v>退保金</v>
          </cell>
          <cell r="I113">
            <v>6531</v>
          </cell>
          <cell r="J113" t="str">
            <v>J</v>
          </cell>
          <cell r="M113" t="str">
            <v>所得税费用</v>
          </cell>
          <cell r="S113" t="str">
            <v>1601b</v>
          </cell>
          <cell r="T113" t="str">
            <v>暂时闲置的固定资产情况</v>
          </cell>
          <cell r="U113" t="str">
            <v>类       别</v>
          </cell>
          <cell r="V113">
            <v>1</v>
          </cell>
          <cell r="W113">
            <v>1601</v>
          </cell>
          <cell r="X113">
            <v>2</v>
          </cell>
        </row>
        <row r="114">
          <cell r="B114">
            <v>6510</v>
          </cell>
          <cell r="C114" t="str">
            <v>赔付支出净额</v>
          </cell>
          <cell r="D114">
            <v>1</v>
          </cell>
          <cell r="E114" t="str">
            <v>△</v>
          </cell>
          <cell r="F114">
            <v>0</v>
          </cell>
          <cell r="G114" t="str">
            <v>赔付支出净额</v>
          </cell>
          <cell r="H114" t="str">
            <v>赔付支出净额</v>
          </cell>
          <cell r="I114">
            <v>6510</v>
          </cell>
          <cell r="J114" t="str">
            <v>J</v>
          </cell>
          <cell r="M114" t="str">
            <v>少数股东损益</v>
          </cell>
          <cell r="S114" t="str">
            <v>1601c</v>
          </cell>
          <cell r="T114" t="str">
            <v>通过融资租赁租入的固定资产情况</v>
          </cell>
          <cell r="U114" t="str">
            <v>资产类别</v>
          </cell>
          <cell r="V114">
            <v>1</v>
          </cell>
          <cell r="W114">
            <v>1601</v>
          </cell>
          <cell r="X114">
            <v>2</v>
          </cell>
        </row>
        <row r="115">
          <cell r="B115">
            <v>6505</v>
          </cell>
          <cell r="C115" t="str">
            <v>提取保险合同准备金净额</v>
          </cell>
          <cell r="D115">
            <v>1</v>
          </cell>
          <cell r="E115" t="str">
            <v>△</v>
          </cell>
          <cell r="F115">
            <v>0</v>
          </cell>
          <cell r="G115" t="str">
            <v>提取保险合同准备金净额</v>
          </cell>
          <cell r="H115" t="str">
            <v>提取保险合同准备金净额</v>
          </cell>
          <cell r="I115">
            <v>6505</v>
          </cell>
          <cell r="J115" t="str">
            <v>J</v>
          </cell>
          <cell r="M115" t="str">
            <v>重新计量设定受益计划变动额</v>
          </cell>
          <cell r="S115" t="str">
            <v>1601d</v>
          </cell>
          <cell r="T115" t="str">
            <v>通过经营租赁租出的固定资产</v>
          </cell>
          <cell r="U115" t="str">
            <v>资产类别</v>
          </cell>
          <cell r="V115">
            <v>1</v>
          </cell>
          <cell r="W115">
            <v>1601</v>
          </cell>
          <cell r="X115">
            <v>2</v>
          </cell>
        </row>
        <row r="116">
          <cell r="B116">
            <v>6521</v>
          </cell>
          <cell r="C116" t="str">
            <v>保单红利支出</v>
          </cell>
          <cell r="D116">
            <v>1</v>
          </cell>
          <cell r="E116" t="str">
            <v>△</v>
          </cell>
          <cell r="F116">
            <v>0</v>
          </cell>
          <cell r="G116" t="str">
            <v>保单红利支出</v>
          </cell>
          <cell r="H116" t="str">
            <v>保单红利支出</v>
          </cell>
          <cell r="I116">
            <v>6521</v>
          </cell>
          <cell r="J116" t="str">
            <v>J</v>
          </cell>
          <cell r="M116" t="str">
            <v>权益法下不能转损益的其他综合收益</v>
          </cell>
          <cell r="S116" t="str">
            <v>1601f</v>
          </cell>
          <cell r="T116" t="str">
            <v>未办妥产权证书的固定资产情况</v>
          </cell>
          <cell r="U116" t="str">
            <v>项       目</v>
          </cell>
          <cell r="V116">
            <v>1</v>
          </cell>
          <cell r="W116">
            <v>1601</v>
          </cell>
          <cell r="X116">
            <v>2</v>
          </cell>
        </row>
        <row r="117">
          <cell r="B117">
            <v>6542</v>
          </cell>
          <cell r="C117" t="str">
            <v>分保费用</v>
          </cell>
          <cell r="D117">
            <v>1</v>
          </cell>
          <cell r="E117" t="str">
            <v>△</v>
          </cell>
          <cell r="F117">
            <v>0</v>
          </cell>
          <cell r="G117" t="str">
            <v>分保费用</v>
          </cell>
          <cell r="H117" t="str">
            <v>分保费用</v>
          </cell>
          <cell r="I117">
            <v>6542</v>
          </cell>
          <cell r="J117" t="str">
            <v>J</v>
          </cell>
          <cell r="M117" t="str">
            <v>其他以后不能重分类进损益的其他综合收益</v>
          </cell>
          <cell r="S117" t="str">
            <v>1601s</v>
          </cell>
          <cell r="T117" t="str">
            <v>固定资产抵押情况</v>
          </cell>
          <cell r="U117" t="str">
            <v>抵押资产明细项目</v>
          </cell>
          <cell r="V117">
            <v>1</v>
          </cell>
          <cell r="W117">
            <v>1601</v>
          </cell>
          <cell r="X117">
            <v>2</v>
          </cell>
        </row>
        <row r="118">
          <cell r="B118">
            <v>6600</v>
          </cell>
          <cell r="C118" t="str">
            <v>税金及附加</v>
          </cell>
          <cell r="D118">
            <v>1</v>
          </cell>
          <cell r="E118">
            <v>0</v>
          </cell>
          <cell r="F118">
            <v>6610</v>
          </cell>
          <cell r="G118" t="str">
            <v>税金及附加</v>
          </cell>
          <cell r="H118" t="str">
            <v>税金及附加</v>
          </cell>
          <cell r="I118">
            <v>6600</v>
          </cell>
          <cell r="J118" t="str">
            <v>J</v>
          </cell>
          <cell r="M118" t="str">
            <v>权益法下可转损益的其他综合收益</v>
          </cell>
          <cell r="S118" t="str">
            <v>1601t</v>
          </cell>
          <cell r="T118" t="str">
            <v>本期冲减固定资产账面价值的政府补助</v>
          </cell>
          <cell r="U118" t="str">
            <v>项       目</v>
          </cell>
          <cell r="V118">
            <v>1</v>
          </cell>
          <cell r="W118">
            <v>1601</v>
          </cell>
          <cell r="X118">
            <v>2</v>
          </cell>
        </row>
        <row r="119">
          <cell r="B119">
            <v>6601</v>
          </cell>
          <cell r="C119" t="str">
            <v>销售费用</v>
          </cell>
          <cell r="D119">
            <v>1</v>
          </cell>
          <cell r="E119">
            <v>0</v>
          </cell>
          <cell r="F119">
            <v>6310</v>
          </cell>
          <cell r="G119" t="str">
            <v>销售费用</v>
          </cell>
          <cell r="H119" t="str">
            <v>销售费用</v>
          </cell>
          <cell r="I119">
            <v>6601</v>
          </cell>
          <cell r="J119" t="str">
            <v>J</v>
          </cell>
          <cell r="M119" t="str">
            <v>可供出售金融资产公允价值变动损益</v>
          </cell>
          <cell r="S119" t="str">
            <v>1601a</v>
          </cell>
          <cell r="T119" t="str">
            <v>固定资产及其累计折旧明细项目和增减变动</v>
          </cell>
          <cell r="U119" t="str">
            <v>项       目</v>
          </cell>
          <cell r="V119">
            <v>1</v>
          </cell>
          <cell r="W119">
            <v>1601</v>
          </cell>
          <cell r="X119">
            <v>2</v>
          </cell>
        </row>
        <row r="120">
          <cell r="B120">
            <v>6602</v>
          </cell>
          <cell r="C120" t="str">
            <v>管理费用</v>
          </cell>
          <cell r="D120">
            <v>1</v>
          </cell>
          <cell r="E120">
            <v>0</v>
          </cell>
          <cell r="F120">
            <v>6320</v>
          </cell>
          <cell r="G120" t="str">
            <v>管理费用</v>
          </cell>
          <cell r="H120" t="str">
            <v>管理费用</v>
          </cell>
          <cell r="I120">
            <v>6602</v>
          </cell>
          <cell r="J120" t="str">
            <v>J</v>
          </cell>
          <cell r="M120" t="str">
            <v>持有至到期投资重分类为可供出售金融资产损益</v>
          </cell>
          <cell r="S120" t="str">
            <v>1601x</v>
          </cell>
          <cell r="T120" t="str">
            <v>固定资产累计折旧补充资料</v>
          </cell>
          <cell r="U120" t="str">
            <v>项       目</v>
          </cell>
          <cell r="V120">
            <v>1</v>
          </cell>
          <cell r="W120">
            <v>1601</v>
          </cell>
          <cell r="X120">
            <v>2</v>
          </cell>
        </row>
        <row r="121">
          <cell r="B121">
            <v>6603</v>
          </cell>
          <cell r="C121" t="str">
            <v>财务费用</v>
          </cell>
          <cell r="D121">
            <v>1</v>
          </cell>
          <cell r="E121">
            <v>0</v>
          </cell>
          <cell r="F121">
            <v>6330</v>
          </cell>
          <cell r="G121" t="str">
            <v>财务费用</v>
          </cell>
          <cell r="H121" t="str">
            <v>财务费用</v>
          </cell>
          <cell r="I121">
            <v>6603</v>
          </cell>
          <cell r="J121" t="str">
            <v>J</v>
          </cell>
          <cell r="M121" t="str">
            <v>现金流量套期损益的有效部分</v>
          </cell>
          <cell r="S121" t="str">
            <v>1616a</v>
          </cell>
          <cell r="T121" t="str">
            <v>在建工程分类列示</v>
          </cell>
          <cell r="U121" t="str">
            <v>项       目</v>
          </cell>
          <cell r="V121">
            <v>1</v>
          </cell>
          <cell r="W121">
            <v>1616</v>
          </cell>
          <cell r="X121">
            <v>1</v>
          </cell>
        </row>
        <row r="122">
          <cell r="B122">
            <v>6671</v>
          </cell>
          <cell r="C122" t="str">
            <v>资产减值损失</v>
          </cell>
          <cell r="D122">
            <v>1</v>
          </cell>
          <cell r="E122">
            <v>0</v>
          </cell>
          <cell r="F122">
            <v>6350</v>
          </cell>
          <cell r="G122" t="str">
            <v>资产减值损失</v>
          </cell>
          <cell r="H122" t="str">
            <v>资产减值损失</v>
          </cell>
          <cell r="I122">
            <v>6671</v>
          </cell>
          <cell r="J122" t="str">
            <v>J</v>
          </cell>
          <cell r="M122" t="str">
            <v>外币财务报表折算差额</v>
          </cell>
          <cell r="S122" t="str">
            <v>1604a</v>
          </cell>
          <cell r="T122" t="str">
            <v>在建工程明细</v>
          </cell>
          <cell r="U122" t="str">
            <v>项       目</v>
          </cell>
          <cell r="V122">
            <v>1</v>
          </cell>
          <cell r="W122">
            <v>1604</v>
          </cell>
          <cell r="X122">
            <v>1</v>
          </cell>
        </row>
        <row r="123">
          <cell r="B123">
            <v>6101</v>
          </cell>
          <cell r="C123" t="str">
            <v>公允价值变动收益</v>
          </cell>
          <cell r="D123">
            <v>-1</v>
          </cell>
          <cell r="E123">
            <v>0</v>
          </cell>
          <cell r="F123">
            <v>6410</v>
          </cell>
          <cell r="G123" t="str">
            <v>公允价值变动收益（损失以“-”号填列）</v>
          </cell>
          <cell r="H123" t="str">
            <v>公允价值变动收益（损失以“-”号填列）</v>
          </cell>
          <cell r="I123">
            <v>6101</v>
          </cell>
          <cell r="J123" t="str">
            <v>J</v>
          </cell>
          <cell r="M123" t="str">
            <v>自用房地产或作为存货的房地产转换为以公允价值计量的投资性房地产在转换日公允价值大于账面价值部分</v>
          </cell>
          <cell r="S123" t="str">
            <v>1604c</v>
          </cell>
          <cell r="T123" t="str">
            <v>重要在建工程项目变动情况（续）</v>
          </cell>
          <cell r="U123" t="str">
            <v>工程名称</v>
          </cell>
          <cell r="V123">
            <v>1</v>
          </cell>
          <cell r="W123">
            <v>1604</v>
          </cell>
          <cell r="X123">
            <v>2</v>
          </cell>
        </row>
        <row r="124">
          <cell r="B124">
            <v>6111</v>
          </cell>
          <cell r="C124" t="str">
            <v>投资收益</v>
          </cell>
          <cell r="D124">
            <v>-1</v>
          </cell>
          <cell r="E124">
            <v>0</v>
          </cell>
          <cell r="F124">
            <v>6420</v>
          </cell>
          <cell r="G124" t="str">
            <v>投资收益（损失以“-”号填列）</v>
          </cell>
          <cell r="H124" t="str">
            <v>投资收益（损失以“-”号填列）</v>
          </cell>
          <cell r="I124">
            <v>6111</v>
          </cell>
          <cell r="J124" t="str">
            <v>J</v>
          </cell>
          <cell r="M124" t="str">
            <v>多次交易分步处置子公司股权构成一揽子交易的丧失控制权之前各次交易处置价款与对应净资产账面价值份额的差额</v>
          </cell>
          <cell r="S124" t="str">
            <v>1604b</v>
          </cell>
          <cell r="T124" t="str">
            <v>重要在建工程项目变动情况</v>
          </cell>
          <cell r="U124" t="str">
            <v>工程名称</v>
          </cell>
          <cell r="V124">
            <v>1</v>
          </cell>
          <cell r="W124">
            <v>1604</v>
          </cell>
          <cell r="X124">
            <v>2</v>
          </cell>
        </row>
        <row r="125">
          <cell r="B125">
            <v>6111.01</v>
          </cell>
          <cell r="C125" t="str">
            <v>对联营企业和合营企业的投资收益</v>
          </cell>
          <cell r="D125">
            <v>-1</v>
          </cell>
          <cell r="E125">
            <v>0</v>
          </cell>
          <cell r="F125">
            <v>0</v>
          </cell>
          <cell r="G125" t="str">
            <v>其中：对联营企业和合营企业的投资收益</v>
          </cell>
          <cell r="H125" t="str">
            <v>其中：对联营企业和合营企业的投资收益</v>
          </cell>
          <cell r="I125">
            <v>6111.01</v>
          </cell>
          <cell r="J125" t="str">
            <v>J</v>
          </cell>
          <cell r="M125" t="str">
            <v>其他以后将重分类进损益的其他综合收益</v>
          </cell>
          <cell r="S125" t="str">
            <v>1604d</v>
          </cell>
          <cell r="T125" t="str">
            <v>在建工程减值准备</v>
          </cell>
          <cell r="U125" t="str">
            <v>项       目</v>
          </cell>
          <cell r="V125">
            <v>1</v>
          </cell>
          <cell r="W125">
            <v>1604</v>
          </cell>
          <cell r="X125">
            <v>2</v>
          </cell>
        </row>
        <row r="126">
          <cell r="B126">
            <v>6161</v>
          </cell>
          <cell r="C126" t="str">
            <v>汇兑收益</v>
          </cell>
          <cell r="D126">
            <v>-1</v>
          </cell>
          <cell r="E126" t="str">
            <v>△</v>
          </cell>
          <cell r="F126">
            <v>0</v>
          </cell>
          <cell r="G126" t="str">
            <v>汇兑收益（损失以“-”号填列）</v>
          </cell>
          <cell r="H126" t="str">
            <v>汇兑收益（损失以“-”号填列）</v>
          </cell>
          <cell r="I126">
            <v>6161</v>
          </cell>
          <cell r="J126" t="str">
            <v>J</v>
          </cell>
          <cell r="M126" t="str">
            <v>少数股东其他综合收益_重新计量设定受益计划变动额</v>
          </cell>
          <cell r="S126" t="str">
            <v>1605a</v>
          </cell>
          <cell r="T126" t="str">
            <v>工程物资明细项目</v>
          </cell>
          <cell r="U126" t="str">
            <v>项       目</v>
          </cell>
          <cell r="V126">
            <v>1</v>
          </cell>
          <cell r="W126">
            <v>1605</v>
          </cell>
          <cell r="X126">
            <v>1</v>
          </cell>
        </row>
        <row r="127">
          <cell r="B127">
            <v>6689</v>
          </cell>
          <cell r="C127" t="str">
            <v>营业利润</v>
          </cell>
          <cell r="D127">
            <v>0</v>
          </cell>
          <cell r="E127" t="str">
            <v>＝</v>
          </cell>
          <cell r="F127">
            <v>0</v>
          </cell>
          <cell r="G127" t="str">
            <v>二、营业利润（亏损以“-”号填列）</v>
          </cell>
          <cell r="H127" t="str">
            <v>三、营业利润（亏损以“-”号填列）</v>
          </cell>
          <cell r="I127">
            <v>6689</v>
          </cell>
          <cell r="J127">
            <v>0</v>
          </cell>
          <cell r="M127" t="str">
            <v>少数股东其他综合收益_权益法下不能转损益的其他综合收益</v>
          </cell>
          <cell r="S127" t="str">
            <v>1606a</v>
          </cell>
          <cell r="T127" t="str">
            <v>固定资产清理明细项目</v>
          </cell>
          <cell r="U127" t="str">
            <v>类       别</v>
          </cell>
          <cell r="V127">
            <v>1</v>
          </cell>
          <cell r="W127">
            <v>1606</v>
          </cell>
          <cell r="X127">
            <v>1</v>
          </cell>
        </row>
        <row r="128">
          <cell r="B128">
            <v>6710</v>
          </cell>
          <cell r="C128" t="str">
            <v>营业外收入</v>
          </cell>
          <cell r="D128">
            <v>-1</v>
          </cell>
          <cell r="E128">
            <v>0</v>
          </cell>
          <cell r="F128">
            <v>6510</v>
          </cell>
          <cell r="G128" t="str">
            <v>加：营业外收入</v>
          </cell>
          <cell r="H128" t="str">
            <v>加：营业外收入</v>
          </cell>
          <cell r="I128">
            <v>6710</v>
          </cell>
          <cell r="J128" t="str">
            <v>J</v>
          </cell>
          <cell r="M128" t="str">
            <v>少数股东其他综合收益_其他以后不能重分类进损益的其他综合收益</v>
          </cell>
          <cell r="S128" t="str">
            <v>1621c</v>
          </cell>
          <cell r="T128" t="str">
            <v>以成本计量的生产性生物资产账面原值</v>
          </cell>
          <cell r="U128" t="str">
            <v>项       目</v>
          </cell>
          <cell r="V128">
            <v>1</v>
          </cell>
          <cell r="W128">
            <v>1621</v>
          </cell>
          <cell r="X128">
            <v>2</v>
          </cell>
        </row>
        <row r="129">
          <cell r="B129">
            <v>6710.11</v>
          </cell>
          <cell r="C129" t="str">
            <v>营业外收入_非流动资产处置利得</v>
          </cell>
          <cell r="D129">
            <v>-1</v>
          </cell>
          <cell r="E129">
            <v>0</v>
          </cell>
          <cell r="F129">
            <v>0</v>
          </cell>
          <cell r="G129" t="str">
            <v>其中：非流动资产处置利得</v>
          </cell>
          <cell r="H129" t="str">
            <v>其中：非流动资产处置利得</v>
          </cell>
          <cell r="I129">
            <v>6710.11</v>
          </cell>
          <cell r="J129">
            <v>0</v>
          </cell>
          <cell r="M129" t="str">
            <v>少数股东其他综合收益_权益法下可转损益的其他综合收益</v>
          </cell>
          <cell r="S129" t="str">
            <v>1621d</v>
          </cell>
          <cell r="T129" t="str">
            <v>以成本计量的生产性生物资产累计折旧</v>
          </cell>
          <cell r="U129" t="str">
            <v>项       目</v>
          </cell>
          <cell r="V129">
            <v>1</v>
          </cell>
          <cell r="W129">
            <v>1621</v>
          </cell>
          <cell r="X129">
            <v>2</v>
          </cell>
        </row>
        <row r="130">
          <cell r="B130">
            <v>6711</v>
          </cell>
          <cell r="C130" t="str">
            <v>营业外支出</v>
          </cell>
          <cell r="D130">
            <v>1</v>
          </cell>
          <cell r="E130">
            <v>0</v>
          </cell>
          <cell r="F130">
            <v>6520</v>
          </cell>
          <cell r="G130" t="str">
            <v>减：营业外支出</v>
          </cell>
          <cell r="H130" t="str">
            <v>减：营业外支出</v>
          </cell>
          <cell r="I130">
            <v>6711</v>
          </cell>
          <cell r="J130" t="str">
            <v>J</v>
          </cell>
          <cell r="M130" t="str">
            <v>少数股东其他综合收益_可供出售金融资产公允价值变动损益</v>
          </cell>
          <cell r="S130" t="str">
            <v>1621e</v>
          </cell>
          <cell r="T130" t="str">
            <v>以成本计量的生产性生物资产减值准备</v>
          </cell>
          <cell r="U130" t="str">
            <v>项       目</v>
          </cell>
          <cell r="V130">
            <v>1</v>
          </cell>
          <cell r="W130">
            <v>1621</v>
          </cell>
          <cell r="X130">
            <v>2</v>
          </cell>
        </row>
        <row r="131">
          <cell r="B131">
            <v>6711.01</v>
          </cell>
          <cell r="C131" t="str">
            <v>非流动资产处置损失</v>
          </cell>
          <cell r="D131">
            <v>1</v>
          </cell>
          <cell r="E131">
            <v>0</v>
          </cell>
          <cell r="F131">
            <v>0</v>
          </cell>
          <cell r="G131" t="str">
            <v>其中：非流动资产处置损失</v>
          </cell>
          <cell r="H131" t="str">
            <v>其中：非流动资产处置损失</v>
          </cell>
          <cell r="I131">
            <v>6711.01</v>
          </cell>
          <cell r="J131">
            <v>0</v>
          </cell>
          <cell r="M131" t="str">
            <v>少数股东其他综合收益_持有至到期投资重分类为可供出售金融资产损益</v>
          </cell>
          <cell r="S131" t="str">
            <v>1621f</v>
          </cell>
          <cell r="T131" t="str">
            <v>以成本计量的生产性生物资产账面价值</v>
          </cell>
          <cell r="U131" t="str">
            <v>项       目</v>
          </cell>
          <cell r="V131">
            <v>1</v>
          </cell>
          <cell r="W131">
            <v>1621</v>
          </cell>
          <cell r="X131">
            <v>1</v>
          </cell>
        </row>
        <row r="132">
          <cell r="B132">
            <v>6788</v>
          </cell>
          <cell r="C132" t="str">
            <v>利润总额</v>
          </cell>
          <cell r="D132">
            <v>0</v>
          </cell>
          <cell r="E132" t="str">
            <v>＝</v>
          </cell>
          <cell r="F132">
            <v>0</v>
          </cell>
          <cell r="G132" t="str">
            <v>三、利润总额（亏损总额以“-”号填列）</v>
          </cell>
          <cell r="H132" t="str">
            <v>四、利润总额（亏损总额以“-”号填列）</v>
          </cell>
          <cell r="I132">
            <v>6788</v>
          </cell>
          <cell r="J132">
            <v>0</v>
          </cell>
          <cell r="M132" t="str">
            <v>少数股东其他综合收益_现金流量套期损益的有效部分</v>
          </cell>
          <cell r="S132" t="str">
            <v>1621b</v>
          </cell>
          <cell r="T132" t="str">
            <v>以公允价值计量的生产性生物资产明细列示</v>
          </cell>
          <cell r="U132" t="str">
            <v>项       目</v>
          </cell>
          <cell r="V132">
            <v>1</v>
          </cell>
          <cell r="W132">
            <v>1621</v>
          </cell>
          <cell r="X132">
            <v>2</v>
          </cell>
        </row>
        <row r="133">
          <cell r="B133">
            <v>6791</v>
          </cell>
          <cell r="C133" t="str">
            <v>所得税费用</v>
          </cell>
          <cell r="D133">
            <v>1</v>
          </cell>
          <cell r="E133">
            <v>0</v>
          </cell>
          <cell r="F133">
            <v>6620</v>
          </cell>
          <cell r="G133" t="str">
            <v>减：所得税费用</v>
          </cell>
          <cell r="H133" t="str">
            <v>减：所得税费用</v>
          </cell>
          <cell r="I133">
            <v>6791</v>
          </cell>
          <cell r="J133" t="str">
            <v>J</v>
          </cell>
          <cell r="M133" t="str">
            <v>少数股东其他综合收益_外币财务报表折算差额</v>
          </cell>
          <cell r="S133" t="str">
            <v>1621a</v>
          </cell>
          <cell r="T133" t="str">
            <v>以成本计量的生产性生物资产明细列示</v>
          </cell>
          <cell r="U133" t="str">
            <v>项       目</v>
          </cell>
          <cell r="V133">
            <v>1</v>
          </cell>
          <cell r="W133">
            <v>1621</v>
          </cell>
          <cell r="X133">
            <v>2</v>
          </cell>
        </row>
        <row r="134">
          <cell r="B134">
            <v>6799</v>
          </cell>
          <cell r="C134" t="str">
            <v>净利润</v>
          </cell>
          <cell r="D134">
            <v>0</v>
          </cell>
          <cell r="E134" t="str">
            <v>＝</v>
          </cell>
          <cell r="F134">
            <v>0</v>
          </cell>
          <cell r="G134" t="str">
            <v>四、净利润（净亏损以“-”号填列）</v>
          </cell>
          <cell r="H134" t="str">
            <v>五、净利润（净亏损以“-”号填列）</v>
          </cell>
          <cell r="I134">
            <v>6799</v>
          </cell>
          <cell r="J134">
            <v>0</v>
          </cell>
          <cell r="M134" t="str">
            <v>少数股东其他综合收益_自用房地产或作为存货的房地产转换为以公允价值计量的投资性房地产在转换日公允价值大于账面价值部分</v>
          </cell>
          <cell r="S134" t="str">
            <v>1631a</v>
          </cell>
          <cell r="T134" t="str">
            <v>油气资产明细项目</v>
          </cell>
          <cell r="U134" t="str">
            <v>项       目</v>
          </cell>
          <cell r="V134">
            <v>1</v>
          </cell>
          <cell r="W134">
            <v>1631</v>
          </cell>
          <cell r="X134">
            <v>1</v>
          </cell>
        </row>
        <row r="135">
          <cell r="B135">
            <v>6805</v>
          </cell>
          <cell r="C135" t="str">
            <v>同一控制下企业合并的被合并方在合并前实现的净利润</v>
          </cell>
          <cell r="D135">
            <v>1</v>
          </cell>
          <cell r="E135" t="str">
            <v>※</v>
          </cell>
          <cell r="F135">
            <v>0</v>
          </cell>
          <cell r="G135" t="str">
            <v>其中：同一控制下企业合并的被合并方在合并前实现的净利润</v>
          </cell>
          <cell r="H135" t="str">
            <v>其中：同一控制下企业合并的被合并方在合并前实现的净利润</v>
          </cell>
          <cell r="I135">
            <v>6805</v>
          </cell>
          <cell r="J135">
            <v>0</v>
          </cell>
          <cell r="M135" t="str">
            <v>少数股东其他综合收益_多次交易分步处置子公司股权构成一揽子交易的丧失控制权之前各次交易处置价款与对应净资产账面价值份额的差额</v>
          </cell>
          <cell r="S135" t="str">
            <v>1705b</v>
          </cell>
          <cell r="T135" t="str">
            <v>开发支出明细项目</v>
          </cell>
          <cell r="U135" t="str">
            <v>项       目</v>
          </cell>
          <cell r="V135">
            <v>-1</v>
          </cell>
          <cell r="W135">
            <v>1700</v>
          </cell>
          <cell r="X135">
            <v>1</v>
          </cell>
        </row>
        <row r="136">
          <cell r="B136">
            <v>6811</v>
          </cell>
          <cell r="C136" t="str">
            <v>归属于母公司所有者的净利润</v>
          </cell>
          <cell r="D136">
            <v>-1</v>
          </cell>
          <cell r="E136" t="str">
            <v>※</v>
          </cell>
          <cell r="F136">
            <v>0</v>
          </cell>
          <cell r="G136" t="str">
            <v>归属于母公司股东的净利润</v>
          </cell>
          <cell r="H136" t="str">
            <v>归属于母公司股东的净利润（净亏损以“-”号填列）</v>
          </cell>
          <cell r="I136">
            <v>6811</v>
          </cell>
          <cell r="J136">
            <v>0</v>
          </cell>
          <cell r="M136" t="str">
            <v>少数股东其他综合收益_其他以后将重分类进损益的其他综合收益</v>
          </cell>
          <cell r="S136" t="str">
            <v>1701a</v>
          </cell>
          <cell r="T136" t="str">
            <v>无形资产账面原值</v>
          </cell>
          <cell r="U136" t="str">
            <v>项       目</v>
          </cell>
          <cell r="V136">
            <v>1</v>
          </cell>
          <cell r="W136">
            <v>1701</v>
          </cell>
          <cell r="X136">
            <v>2</v>
          </cell>
        </row>
        <row r="137">
          <cell r="B137">
            <v>6812</v>
          </cell>
          <cell r="C137" t="str">
            <v>少数股东损益</v>
          </cell>
          <cell r="D137">
            <v>1</v>
          </cell>
          <cell r="E137" t="str">
            <v>※</v>
          </cell>
          <cell r="F137">
            <v>0</v>
          </cell>
          <cell r="G137" t="str">
            <v>少数股东损益</v>
          </cell>
          <cell r="H137" t="str">
            <v>其中：少数股东损益（净亏损以“-”号填列）</v>
          </cell>
          <cell r="I137">
            <v>6812</v>
          </cell>
          <cell r="J137" t="str">
            <v>J</v>
          </cell>
          <cell r="M137" t="str">
            <v>实收资本_上年年末余额</v>
          </cell>
          <cell r="S137" t="str">
            <v>1701b</v>
          </cell>
          <cell r="T137" t="str">
            <v>无形资产累计摊销</v>
          </cell>
          <cell r="U137" t="str">
            <v>项       目</v>
          </cell>
          <cell r="V137">
            <v>1</v>
          </cell>
          <cell r="W137">
            <v>1701</v>
          </cell>
          <cell r="X137">
            <v>2</v>
          </cell>
        </row>
        <row r="138">
          <cell r="B138">
            <v>6820</v>
          </cell>
          <cell r="C138" t="str">
            <v>每股收益</v>
          </cell>
          <cell r="D138">
            <v>0</v>
          </cell>
          <cell r="E138" t="str">
            <v>：</v>
          </cell>
          <cell r="F138">
            <v>0</v>
          </cell>
          <cell r="G138" t="str">
            <v>七、每股收益：</v>
          </cell>
          <cell r="H138" t="str">
            <v>八、每股收益：</v>
          </cell>
          <cell r="I138">
            <v>6820</v>
          </cell>
          <cell r="J138">
            <v>0</v>
          </cell>
          <cell r="M138" t="str">
            <v>实收资本_会计政策变更调整上年年末余额</v>
          </cell>
          <cell r="S138" t="str">
            <v>1701c</v>
          </cell>
          <cell r="T138" t="str">
            <v>无形资产减值准备</v>
          </cell>
          <cell r="U138" t="str">
            <v>项       目</v>
          </cell>
          <cell r="V138">
            <v>1</v>
          </cell>
          <cell r="W138">
            <v>1701</v>
          </cell>
          <cell r="X138">
            <v>2</v>
          </cell>
        </row>
        <row r="139">
          <cell r="B139">
            <v>6821</v>
          </cell>
          <cell r="C139" t="str">
            <v>基本每股收益</v>
          </cell>
          <cell r="D139">
            <v>0</v>
          </cell>
          <cell r="E139">
            <v>0</v>
          </cell>
          <cell r="F139">
            <v>0</v>
          </cell>
          <cell r="G139" t="str">
            <v>（一）基本每股收益</v>
          </cell>
          <cell r="H139" t="str">
            <v>基本每股收益</v>
          </cell>
          <cell r="I139">
            <v>6821</v>
          </cell>
          <cell r="J139">
            <v>0</v>
          </cell>
          <cell r="M139" t="str">
            <v>实收资本_前期差错更正调整上年年末余额</v>
          </cell>
          <cell r="S139" t="str">
            <v>1701d</v>
          </cell>
          <cell r="T139" t="str">
            <v>无形资产账面价值</v>
          </cell>
          <cell r="U139" t="str">
            <v>项       目</v>
          </cell>
          <cell r="V139">
            <v>1</v>
          </cell>
          <cell r="W139">
            <v>1701</v>
          </cell>
          <cell r="X139">
            <v>1</v>
          </cell>
        </row>
        <row r="140">
          <cell r="B140">
            <v>6822</v>
          </cell>
          <cell r="C140" t="str">
            <v>稀释每股收益</v>
          </cell>
          <cell r="D140">
            <v>0</v>
          </cell>
          <cell r="E140">
            <v>0</v>
          </cell>
          <cell r="F140">
            <v>0</v>
          </cell>
          <cell r="G140" t="str">
            <v>（二）稀释每股收益</v>
          </cell>
          <cell r="H140" t="str">
            <v>稀释每股收益</v>
          </cell>
          <cell r="I140">
            <v>6822</v>
          </cell>
          <cell r="J140">
            <v>0</v>
          </cell>
          <cell r="M140" t="str">
            <v>实收资本_同一控制下企业合并调整上年年末余额</v>
          </cell>
          <cell r="S140" t="str">
            <v>1701e</v>
          </cell>
          <cell r="T140" t="str">
            <v>未办妥产权证书的土地使用权情况</v>
          </cell>
          <cell r="U140" t="str">
            <v>项       目</v>
          </cell>
          <cell r="V140">
            <v>1</v>
          </cell>
          <cell r="W140">
            <v>1701</v>
          </cell>
          <cell r="X140">
            <v>2</v>
          </cell>
        </row>
        <row r="141">
          <cell r="B141">
            <v>6829</v>
          </cell>
          <cell r="C141" t="str">
            <v>其他综合收益的税后净额</v>
          </cell>
          <cell r="D141">
            <v>0</v>
          </cell>
          <cell r="E141" t="str">
            <v>＝</v>
          </cell>
          <cell r="F141">
            <v>0</v>
          </cell>
          <cell r="G141" t="str">
            <v>五、其他综合收益的税后净额</v>
          </cell>
          <cell r="H141" t="str">
            <v>六、其他综合收益的税后净额</v>
          </cell>
          <cell r="I141">
            <v>6829</v>
          </cell>
          <cell r="J141">
            <v>0</v>
          </cell>
          <cell r="M141" t="str">
            <v>实收资本_其他原因调整上年年末余额</v>
          </cell>
          <cell r="S141" t="str">
            <v>1705t</v>
          </cell>
          <cell r="T141" t="str">
            <v>无形资产抵押情况</v>
          </cell>
          <cell r="U141" t="str">
            <v>项       目</v>
          </cell>
          <cell r="V141">
            <v>1</v>
          </cell>
          <cell r="W141">
            <v>1701</v>
          </cell>
          <cell r="X141">
            <v>2</v>
          </cell>
        </row>
        <row r="142">
          <cell r="B142">
            <v>6829.2</v>
          </cell>
          <cell r="C142" t="str">
            <v>归属于母公司所有者的其他综合收益的税后净额</v>
          </cell>
          <cell r="D142">
            <v>0</v>
          </cell>
          <cell r="E142" t="str">
            <v>※</v>
          </cell>
          <cell r="F142">
            <v>0</v>
          </cell>
          <cell r="G142" t="str">
            <v>归属于母公司股东的其他综合收益的税后净额</v>
          </cell>
          <cell r="H142" t="str">
            <v>归属于母公司股东的其他综合收益的税后净额</v>
          </cell>
          <cell r="I142">
            <v>6829.2</v>
          </cell>
          <cell r="J142">
            <v>0</v>
          </cell>
          <cell r="M142" t="str">
            <v>实收资本_净利润增加权益</v>
          </cell>
          <cell r="S142" t="str">
            <v>1705a</v>
          </cell>
          <cell r="T142" t="str">
            <v>无形资产情况</v>
          </cell>
          <cell r="U142" t="str">
            <v>项       目</v>
          </cell>
          <cell r="V142">
            <v>-1</v>
          </cell>
          <cell r="W142">
            <v>1701</v>
          </cell>
          <cell r="X142">
            <v>2</v>
          </cell>
        </row>
        <row r="143">
          <cell r="B143">
            <v>6829.21</v>
          </cell>
          <cell r="C143" t="str">
            <v>以后不能重分类进损益的其他综合收益</v>
          </cell>
          <cell r="D143">
            <v>0</v>
          </cell>
          <cell r="E143" t="str">
            <v>＝</v>
          </cell>
          <cell r="F143">
            <v>0</v>
          </cell>
          <cell r="G143" t="str">
            <v>（一）不能重分类进损益的其他综合收益</v>
          </cell>
          <cell r="H143" t="str">
            <v>（一）不能重分类进损益的其他综合收益</v>
          </cell>
          <cell r="I143">
            <v>6829.21</v>
          </cell>
          <cell r="J143">
            <v>0</v>
          </cell>
          <cell r="M143" t="str">
            <v>实收资本_其他综合收益增加权益</v>
          </cell>
          <cell r="S143" t="str">
            <v>1701x</v>
          </cell>
          <cell r="T143" t="str">
            <v>无形资产累计摊销补充资料</v>
          </cell>
          <cell r="U143" t="str">
            <v>项       目</v>
          </cell>
          <cell r="V143">
            <v>1</v>
          </cell>
          <cell r="W143">
            <v>1701</v>
          </cell>
          <cell r="X143">
            <v>2</v>
          </cell>
        </row>
        <row r="144">
          <cell r="B144">
            <v>6829.2110000000002</v>
          </cell>
          <cell r="C144" t="str">
            <v>重新计量设定受益计划变动额</v>
          </cell>
          <cell r="D144">
            <v>-1</v>
          </cell>
          <cell r="E144" t="str">
            <v>Ｘ</v>
          </cell>
          <cell r="F144">
            <v>0</v>
          </cell>
          <cell r="G144" t="str">
            <v>1、重新计量设定受益计划变动额</v>
          </cell>
          <cell r="H144" t="str">
            <v>其中：1.重新计量设定受益计划变动额</v>
          </cell>
          <cell r="I144">
            <v>6829.2110000000002</v>
          </cell>
          <cell r="J144" t="str">
            <v>J</v>
          </cell>
          <cell r="M144" t="str">
            <v>实收资本_综合收益总额增加权益</v>
          </cell>
          <cell r="S144" t="str">
            <v>1711a</v>
          </cell>
          <cell r="T144" t="str">
            <v>商誉账面原值</v>
          </cell>
          <cell r="U144" t="str">
            <v>被投资单位名称或形成商誉的事项</v>
          </cell>
          <cell r="V144">
            <v>1</v>
          </cell>
          <cell r="W144">
            <v>1711</v>
          </cell>
          <cell r="X144">
            <v>1</v>
          </cell>
        </row>
        <row r="145">
          <cell r="B145">
            <v>6829.2120000000004</v>
          </cell>
          <cell r="C145" t="str">
            <v>权益法下不能转损益的其他综合收益</v>
          </cell>
          <cell r="D145">
            <v>-1</v>
          </cell>
          <cell r="E145" t="str">
            <v>Ｘ</v>
          </cell>
          <cell r="F145">
            <v>0</v>
          </cell>
          <cell r="G145" t="str">
            <v>2、权益法下不能转损益的其他综合收益</v>
          </cell>
          <cell r="H145" t="str">
            <v>2.权益法下不能转损益的其他综合收益</v>
          </cell>
          <cell r="I145">
            <v>6829.2120000000004</v>
          </cell>
          <cell r="J145" t="str">
            <v>J</v>
          </cell>
          <cell r="M145" t="str">
            <v>实收资本_所有者投入资本</v>
          </cell>
          <cell r="S145" t="str">
            <v>1711b</v>
          </cell>
          <cell r="T145" t="str">
            <v xml:space="preserve">商誉减值准备 </v>
          </cell>
          <cell r="U145" t="str">
            <v>被投资单位名称或形成商誉的事项</v>
          </cell>
          <cell r="V145">
            <v>1</v>
          </cell>
          <cell r="W145">
            <v>1711</v>
          </cell>
          <cell r="X145">
            <v>2</v>
          </cell>
        </row>
        <row r="146">
          <cell r="B146">
            <v>6829.2190000000001</v>
          </cell>
          <cell r="C146" t="str">
            <v>其他以后不能重分类进损益的其他综合收益</v>
          </cell>
          <cell r="D146">
            <v>-1</v>
          </cell>
          <cell r="E146">
            <v>0</v>
          </cell>
          <cell r="F146">
            <v>0</v>
          </cell>
          <cell r="G146" t="str">
            <v>3、其他</v>
          </cell>
          <cell r="H146" t="str">
            <v>3.其他</v>
          </cell>
          <cell r="I146">
            <v>6829.2190000000001</v>
          </cell>
          <cell r="J146" t="str">
            <v>J</v>
          </cell>
          <cell r="M146" t="str">
            <v>实收资本_股份支付计入所有者权益的金额</v>
          </cell>
          <cell r="S146" t="str">
            <v>1801a</v>
          </cell>
          <cell r="T146" t="str">
            <v>长期待摊费用明细项目</v>
          </cell>
          <cell r="U146" t="str">
            <v>项       目</v>
          </cell>
          <cell r="V146">
            <v>1</v>
          </cell>
          <cell r="W146">
            <v>1801</v>
          </cell>
          <cell r="X146">
            <v>1</v>
          </cell>
        </row>
        <row r="147">
          <cell r="B147">
            <v>6829.23</v>
          </cell>
          <cell r="C147" t="str">
            <v>以后将重分类进损益的其他综合收益</v>
          </cell>
          <cell r="D147">
            <v>0</v>
          </cell>
          <cell r="E147" t="str">
            <v>＝</v>
          </cell>
          <cell r="F147">
            <v>0</v>
          </cell>
          <cell r="G147" t="str">
            <v>（二）将重分类进损益的其他综合收益</v>
          </cell>
          <cell r="H147" t="str">
            <v>（二）将重分类进损益的其他综合收益</v>
          </cell>
          <cell r="I147">
            <v>6829.23</v>
          </cell>
          <cell r="J147">
            <v>0</v>
          </cell>
          <cell r="M147" t="str">
            <v>实收资本_其他权益工具持有者投入资本</v>
          </cell>
          <cell r="S147" t="str">
            <v>1801x</v>
          </cell>
          <cell r="T147" t="str">
            <v>长期待摊费用补充资料</v>
          </cell>
          <cell r="U147" t="str">
            <v>项       目</v>
          </cell>
          <cell r="V147">
            <v>1</v>
          </cell>
          <cell r="W147">
            <v>1801</v>
          </cell>
          <cell r="X147">
            <v>2</v>
          </cell>
        </row>
        <row r="148">
          <cell r="B148">
            <v>6829.2309999999998</v>
          </cell>
          <cell r="C148" t="str">
            <v>权益法下可转损益的其他综合收益</v>
          </cell>
          <cell r="D148">
            <v>-1</v>
          </cell>
          <cell r="E148" t="str">
            <v>Ｘ</v>
          </cell>
          <cell r="F148">
            <v>0</v>
          </cell>
          <cell r="G148" t="str">
            <v>1、权益法下可转损益的其他综合收益</v>
          </cell>
          <cell r="H148" t="str">
            <v>其中：1.权益法下可转损益的其他综合收益</v>
          </cell>
          <cell r="I148">
            <v>6829.2309999999998</v>
          </cell>
          <cell r="J148" t="str">
            <v>J</v>
          </cell>
          <cell r="M148" t="str">
            <v>实收资本_所有者其他投入和减少资本</v>
          </cell>
          <cell r="S148" t="str">
            <v>1829a</v>
          </cell>
          <cell r="T148" t="str">
            <v>未经抵销的递延所得税资产</v>
          </cell>
          <cell r="U148" t="str">
            <v>项       目</v>
          </cell>
          <cell r="V148">
            <v>-1</v>
          </cell>
          <cell r="W148">
            <v>1811</v>
          </cell>
          <cell r="X148">
            <v>1</v>
          </cell>
        </row>
        <row r="149">
          <cell r="B149">
            <v>6829.232</v>
          </cell>
          <cell r="C149" t="str">
            <v>可供出售金融资产公允价值变动损益</v>
          </cell>
          <cell r="D149">
            <v>-1</v>
          </cell>
          <cell r="E149" t="str">
            <v>Ｘ</v>
          </cell>
          <cell r="F149">
            <v>0</v>
          </cell>
          <cell r="G149" t="str">
            <v>2、可供出售金融资产公允价值变动损益</v>
          </cell>
          <cell r="H149" t="str">
            <v>2.可供出售金融资产公允价值变动损益</v>
          </cell>
          <cell r="I149">
            <v>6829.232</v>
          </cell>
          <cell r="J149" t="str">
            <v>J</v>
          </cell>
          <cell r="M149" t="str">
            <v>实收资本_提取盈余公积影响权益</v>
          </cell>
          <cell r="S149" t="str">
            <v>1829b</v>
          </cell>
          <cell r="T149" t="str">
            <v>未经抵销的递延所得税负债</v>
          </cell>
          <cell r="U149" t="str">
            <v>项       目</v>
          </cell>
          <cell r="V149">
            <v>-1</v>
          </cell>
          <cell r="W149">
            <v>2901</v>
          </cell>
          <cell r="X149">
            <v>1</v>
          </cell>
        </row>
        <row r="150">
          <cell r="B150">
            <v>6829.2330000000002</v>
          </cell>
          <cell r="C150" t="str">
            <v>持有至到期投资重分类为可供出售金融资产损益</v>
          </cell>
          <cell r="D150">
            <v>-1</v>
          </cell>
          <cell r="E150" t="str">
            <v>Ｘ</v>
          </cell>
          <cell r="F150">
            <v>0</v>
          </cell>
          <cell r="G150" t="str">
            <v>3、持有至到期投资重分类为可供出售金融资产损益</v>
          </cell>
          <cell r="H150" t="str">
            <v>3.持有至到期投资重分类为可供出售金融资产损益</v>
          </cell>
          <cell r="I150">
            <v>6829.2330000000002</v>
          </cell>
          <cell r="J150" t="str">
            <v>J</v>
          </cell>
          <cell r="M150" t="str">
            <v>实收资本_提取一般风险准备影响权益</v>
          </cell>
          <cell r="S150" t="str">
            <v>1829c</v>
          </cell>
          <cell r="T150" t="str">
            <v>以抵销后净额列示的递延所得税资产或负债</v>
          </cell>
          <cell r="U150" t="str">
            <v>项       目</v>
          </cell>
          <cell r="V150">
            <v>-1</v>
          </cell>
          <cell r="W150">
            <v>0</v>
          </cell>
          <cell r="X150">
            <v>2</v>
          </cell>
        </row>
        <row r="151">
          <cell r="B151">
            <v>6829.2340000000004</v>
          </cell>
          <cell r="C151" t="str">
            <v>现金流量套期损益的有效部分</v>
          </cell>
          <cell r="D151">
            <v>-1</v>
          </cell>
          <cell r="E151" t="str">
            <v>Ｘ</v>
          </cell>
          <cell r="F151">
            <v>0</v>
          </cell>
          <cell r="G151" t="str">
            <v>4、现金流量套期损益的有效部分</v>
          </cell>
          <cell r="H151" t="str">
            <v>4.现金流量套期损益的有效部分</v>
          </cell>
          <cell r="I151">
            <v>6829.2340000000004</v>
          </cell>
          <cell r="J151" t="str">
            <v>J</v>
          </cell>
          <cell r="M151" t="str">
            <v>实收资本_对所有者的分配影响权益</v>
          </cell>
          <cell r="S151" t="str">
            <v>1829e</v>
          </cell>
          <cell r="T151" t="str">
            <v>未确认递延所得税资产的可抵扣暂时性差异及可抵扣亏损明细</v>
          </cell>
          <cell r="U151" t="str">
            <v>项       目</v>
          </cell>
          <cell r="V151">
            <v>-1</v>
          </cell>
          <cell r="W151">
            <v>0</v>
          </cell>
          <cell r="X151">
            <v>2</v>
          </cell>
        </row>
        <row r="152">
          <cell r="B152">
            <v>6829.2349999999997</v>
          </cell>
          <cell r="C152" t="str">
            <v>外币财务报表折算差额</v>
          </cell>
          <cell r="D152">
            <v>-1</v>
          </cell>
          <cell r="E152" t="str">
            <v>Ｘ</v>
          </cell>
          <cell r="F152">
            <v>0</v>
          </cell>
          <cell r="G152" t="str">
            <v>5、外币财务报表折算差额</v>
          </cell>
          <cell r="H152" t="str">
            <v>5.外币财务报表折算差额</v>
          </cell>
          <cell r="I152">
            <v>6829.2349999999997</v>
          </cell>
          <cell r="J152" t="str">
            <v>J</v>
          </cell>
          <cell r="M152" t="str">
            <v>实收资本_其他利润分配影响权益</v>
          </cell>
          <cell r="S152" t="str">
            <v>1829f</v>
          </cell>
          <cell r="T152" t="str">
            <v>未确认递延所得税资产的可抵扣亏损将于以下年度到期</v>
          </cell>
          <cell r="U152" t="str">
            <v>年       份</v>
          </cell>
          <cell r="V152">
            <v>-1</v>
          </cell>
          <cell r="W152">
            <v>0</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F153">
            <v>0</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实收资本_资本公积转增</v>
          </cell>
          <cell r="S153" t="str">
            <v>1996a</v>
          </cell>
          <cell r="T153" t="str">
            <v>其他非流动资产明细项目</v>
          </cell>
          <cell r="U153" t="str">
            <v>项       目</v>
          </cell>
          <cell r="V153">
            <v>1</v>
          </cell>
          <cell r="W153">
            <v>1996</v>
          </cell>
          <cell r="X153">
            <v>1</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F154">
            <v>0</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实收资本_盈余公积转增</v>
          </cell>
          <cell r="S154" t="str">
            <v>2001a</v>
          </cell>
          <cell r="T154" t="str">
            <v>短期借款明细项目</v>
          </cell>
          <cell r="U154" t="str">
            <v>借款类别</v>
          </cell>
          <cell r="V154">
            <v>1</v>
          </cell>
          <cell r="W154">
            <v>2001</v>
          </cell>
          <cell r="X154">
            <v>1</v>
          </cell>
        </row>
        <row r="155">
          <cell r="B155">
            <v>6829.2389999999996</v>
          </cell>
          <cell r="C155" t="str">
            <v>其他以后将重分类进损益的其他综合收益</v>
          </cell>
          <cell r="D155">
            <v>-1</v>
          </cell>
          <cell r="E155">
            <v>0</v>
          </cell>
          <cell r="F155">
            <v>0</v>
          </cell>
          <cell r="G155" t="str">
            <v>8、其他</v>
          </cell>
          <cell r="H155" t="str">
            <v>8.其他</v>
          </cell>
          <cell r="I155">
            <v>6829.2389999999996</v>
          </cell>
          <cell r="J155" t="str">
            <v>J</v>
          </cell>
          <cell r="M155" t="str">
            <v>实收资本_盈余公积弥补亏损影响权益</v>
          </cell>
          <cell r="S155" t="str">
            <v>2001b</v>
          </cell>
          <cell r="T155" t="str">
            <v>重要的逾期借款情况</v>
          </cell>
          <cell r="U155" t="str">
            <v>贷款单位</v>
          </cell>
          <cell r="V155">
            <v>1</v>
          </cell>
          <cell r="W155">
            <v>2001</v>
          </cell>
          <cell r="X155">
            <v>2</v>
          </cell>
        </row>
        <row r="156">
          <cell r="B156">
            <v>6829.5</v>
          </cell>
          <cell r="C156" t="str">
            <v>归属于少数股东的其他综合收益的税后净额</v>
          </cell>
          <cell r="D156">
            <v>1</v>
          </cell>
          <cell r="E156" t="str">
            <v>※</v>
          </cell>
          <cell r="F156">
            <v>0</v>
          </cell>
          <cell r="G156" t="str">
            <v>归属于少数股东的其他综合收益的税后净额</v>
          </cell>
          <cell r="H156" t="str">
            <v>归属于少数股东的其他综合收益的税后净额</v>
          </cell>
          <cell r="I156">
            <v>6829.5</v>
          </cell>
          <cell r="J156">
            <v>0</v>
          </cell>
          <cell r="M156" t="str">
            <v>实收资本_设定受益计划变动额结转留存收益</v>
          </cell>
          <cell r="S156" t="str">
            <v>2001c</v>
          </cell>
          <cell r="T156" t="str">
            <v>外币短期借款</v>
          </cell>
          <cell r="U156" t="str">
            <v>币       种</v>
          </cell>
          <cell r="V156">
            <v>1</v>
          </cell>
          <cell r="W156">
            <v>2001</v>
          </cell>
          <cell r="X156">
            <v>2</v>
          </cell>
        </row>
        <row r="157">
          <cell r="B157">
            <v>6839</v>
          </cell>
          <cell r="C157" t="str">
            <v>综合收益总额</v>
          </cell>
          <cell r="D157">
            <v>0</v>
          </cell>
          <cell r="E157" t="str">
            <v>＝</v>
          </cell>
          <cell r="F157">
            <v>0</v>
          </cell>
          <cell r="G157" t="str">
            <v>六、综合收益总额</v>
          </cell>
          <cell r="H157" t="str">
            <v>七、综合收益总额</v>
          </cell>
          <cell r="I157">
            <v>6839</v>
          </cell>
          <cell r="J157">
            <v>0</v>
          </cell>
          <cell r="M157" t="str">
            <v>实收资本_所有者权益其他内部结转</v>
          </cell>
          <cell r="S157" t="str">
            <v>2001d</v>
          </cell>
          <cell r="T157" t="str">
            <v>短期借款中的质押借款明细列示</v>
          </cell>
          <cell r="U157" t="str">
            <v>项       目</v>
          </cell>
          <cell r="V157">
            <v>1</v>
          </cell>
          <cell r="W157">
            <v>2001</v>
          </cell>
          <cell r="X157">
            <v>2</v>
          </cell>
        </row>
        <row r="158">
          <cell r="B158">
            <v>6841</v>
          </cell>
          <cell r="C158" t="str">
            <v>归属于母公司所有者的综合收益总额</v>
          </cell>
          <cell r="D158">
            <v>-1</v>
          </cell>
          <cell r="E158" t="str">
            <v>※</v>
          </cell>
          <cell r="F158">
            <v>0</v>
          </cell>
          <cell r="G158" t="str">
            <v>归属于母公司股东的综合收益总额</v>
          </cell>
          <cell r="H158" t="str">
            <v>归属于母公司所有者的综合收益总额</v>
          </cell>
          <cell r="I158">
            <v>6841</v>
          </cell>
          <cell r="J158">
            <v>0</v>
          </cell>
          <cell r="M158" t="str">
            <v>实收资本_专项储备本期提取</v>
          </cell>
          <cell r="S158" t="str">
            <v>2001e</v>
          </cell>
          <cell r="T158" t="str">
            <v>短期借款中的抵押借款明细列示</v>
          </cell>
          <cell r="U158" t="str">
            <v>项       目</v>
          </cell>
          <cell r="V158">
            <v>1</v>
          </cell>
          <cell r="W158">
            <v>2001</v>
          </cell>
          <cell r="X158">
            <v>2</v>
          </cell>
        </row>
        <row r="159">
          <cell r="B159">
            <v>6842</v>
          </cell>
          <cell r="C159" t="str">
            <v>归属于少数股东的综合收益总额</v>
          </cell>
          <cell r="D159">
            <v>1</v>
          </cell>
          <cell r="E159" t="str">
            <v>※</v>
          </cell>
          <cell r="F159">
            <v>0</v>
          </cell>
          <cell r="G159" t="str">
            <v>归属于少数股东的综合收益总额</v>
          </cell>
          <cell r="H159" t="str">
            <v>归属于少数股东的综合收益总额</v>
          </cell>
          <cell r="I159">
            <v>6842</v>
          </cell>
          <cell r="J159">
            <v>0</v>
          </cell>
          <cell r="M159" t="str">
            <v>实收资本_专项储备本期使用</v>
          </cell>
          <cell r="S159" t="str">
            <v>2001f</v>
          </cell>
          <cell r="T159" t="str">
            <v>短期借款中的保证借款明细列示</v>
          </cell>
          <cell r="U159" t="str">
            <v>项       目</v>
          </cell>
          <cell r="V159">
            <v>1</v>
          </cell>
          <cell r="W159">
            <v>2001</v>
          </cell>
          <cell r="X159">
            <v>2</v>
          </cell>
        </row>
        <row r="160">
          <cell r="B160">
            <v>8</v>
          </cell>
          <cell r="C160" t="str">
            <v>所有者权益变动表</v>
          </cell>
          <cell r="D160">
            <v>0</v>
          </cell>
          <cell r="E160" t="str">
            <v>：</v>
          </cell>
          <cell r="F160">
            <v>0</v>
          </cell>
          <cell r="G160" t="str">
            <v>所有者权益变动表</v>
          </cell>
          <cell r="H160" t="str">
            <v>所有者权益变动表</v>
          </cell>
          <cell r="I160">
            <v>8</v>
          </cell>
          <cell r="J160">
            <v>0</v>
          </cell>
          <cell r="M160" t="str">
            <v>实收资本_本期其他增减变动</v>
          </cell>
          <cell r="S160" t="str">
            <v>2101a</v>
          </cell>
          <cell r="T160" t="str">
            <v>以公允价值计量且其变动计入当期损益的金融负债</v>
          </cell>
          <cell r="U160" t="str">
            <v>项       目</v>
          </cell>
          <cell r="V160">
            <v>1</v>
          </cell>
          <cell r="W160">
            <v>2101</v>
          </cell>
          <cell r="X160">
            <v>1</v>
          </cell>
        </row>
        <row r="161">
          <cell r="B161">
            <v>8000</v>
          </cell>
          <cell r="C161" t="str">
            <v>所有者权益增减变动</v>
          </cell>
          <cell r="D161">
            <v>0</v>
          </cell>
          <cell r="E161" t="str">
            <v>：</v>
          </cell>
          <cell r="F161">
            <v>0</v>
          </cell>
          <cell r="G161" t="str">
            <v>所有者权益增减变动</v>
          </cell>
          <cell r="H161" t="str">
            <v>所有者权益增减变动</v>
          </cell>
          <cell r="I161">
            <v>8000</v>
          </cell>
          <cell r="J161">
            <v>0</v>
          </cell>
          <cell r="M161" t="str">
            <v>资本公积_上年年末余额</v>
          </cell>
          <cell r="S161" t="str">
            <v>2115a</v>
          </cell>
          <cell r="T161" t="str">
            <v>衍生金融负债</v>
          </cell>
          <cell r="U161" t="str">
            <v>项       目</v>
          </cell>
          <cell r="V161">
            <v>1</v>
          </cell>
          <cell r="W161">
            <v>2115</v>
          </cell>
          <cell r="X161">
            <v>1</v>
          </cell>
        </row>
        <row r="162">
          <cell r="B162">
            <v>8001</v>
          </cell>
          <cell r="C162" t="str">
            <v>所有者权益_上年年末余额</v>
          </cell>
          <cell r="D162">
            <v>-1</v>
          </cell>
          <cell r="E162" t="str">
            <v>＝</v>
          </cell>
          <cell r="F162">
            <v>0</v>
          </cell>
          <cell r="G162" t="str">
            <v>一、上年年末余额</v>
          </cell>
          <cell r="H162" t="str">
            <v>一、上年年末余额</v>
          </cell>
          <cell r="I162">
            <v>8001</v>
          </cell>
          <cell r="J162">
            <v>0</v>
          </cell>
          <cell r="M162" t="str">
            <v>资本公积_会计政策变更调整上年年末余额</v>
          </cell>
          <cell r="S162" t="str">
            <v>2203a</v>
          </cell>
          <cell r="T162" t="str">
            <v>应付票据及应付账款分类列示</v>
          </cell>
          <cell r="U162" t="str">
            <v>项       目</v>
          </cell>
          <cell r="V162">
            <v>1</v>
          </cell>
          <cell r="W162">
            <v>2203</v>
          </cell>
          <cell r="X162">
            <v>1</v>
          </cell>
        </row>
        <row r="163">
          <cell r="B163">
            <v>8002</v>
          </cell>
          <cell r="C163" t="str">
            <v>所有者权益_会计政策变更调整上年年末余额</v>
          </cell>
          <cell r="D163">
            <v>-1</v>
          </cell>
          <cell r="E163" t="str">
            <v>＝</v>
          </cell>
          <cell r="F163">
            <v>0</v>
          </cell>
          <cell r="G163" t="str">
            <v>加：会计政策变更</v>
          </cell>
          <cell r="H163" t="str">
            <v>加：会计政策变更</v>
          </cell>
          <cell r="I163">
            <v>8002</v>
          </cell>
          <cell r="J163">
            <v>0</v>
          </cell>
          <cell r="M163" t="str">
            <v>资本公积_前期差错更正调整上年年末余额</v>
          </cell>
          <cell r="S163" t="str">
            <v>2201a</v>
          </cell>
          <cell r="T163" t="str">
            <v>应付票据明细项目</v>
          </cell>
          <cell r="U163" t="str">
            <v>种       类</v>
          </cell>
          <cell r="V163">
            <v>1</v>
          </cell>
          <cell r="W163">
            <v>2201</v>
          </cell>
          <cell r="X163">
            <v>1</v>
          </cell>
        </row>
        <row r="164">
          <cell r="B164">
            <v>8003</v>
          </cell>
          <cell r="C164" t="str">
            <v>所有者权益_前期差错更正调整上年年末余额</v>
          </cell>
          <cell r="D164">
            <v>-1</v>
          </cell>
          <cell r="E164" t="str">
            <v>＝</v>
          </cell>
          <cell r="F164">
            <v>0</v>
          </cell>
          <cell r="G164" t="str">
            <v>前期差错更正</v>
          </cell>
          <cell r="H164" t="str">
            <v>前期差错更正</v>
          </cell>
          <cell r="I164">
            <v>8003</v>
          </cell>
          <cell r="J164">
            <v>0</v>
          </cell>
          <cell r="M164" t="str">
            <v>资本公积_同一控制下企业合并调整上年年末余额</v>
          </cell>
          <cell r="S164" t="str">
            <v>2202e</v>
          </cell>
          <cell r="T164" t="str">
            <v>应付账款按项目列示</v>
          </cell>
          <cell r="U164" t="str">
            <v>项       目</v>
          </cell>
          <cell r="V164">
            <v>1</v>
          </cell>
          <cell r="W164">
            <v>2202</v>
          </cell>
          <cell r="X164">
            <v>1</v>
          </cell>
        </row>
        <row r="165">
          <cell r="B165">
            <v>8004</v>
          </cell>
          <cell r="C165" t="str">
            <v>所有者权益_同一控制下企业合并调整上年年末余额</v>
          </cell>
          <cell r="D165">
            <v>-1</v>
          </cell>
          <cell r="E165" t="str">
            <v>※＝</v>
          </cell>
          <cell r="F165">
            <v>0</v>
          </cell>
          <cell r="G165" t="str">
            <v>同一控制下企业合并</v>
          </cell>
          <cell r="H165" t="str">
            <v>同一控制下企业合并</v>
          </cell>
          <cell r="I165">
            <v>8004</v>
          </cell>
          <cell r="J165">
            <v>0</v>
          </cell>
          <cell r="M165" t="str">
            <v>资本公积_其他原因调整上年年末余额</v>
          </cell>
          <cell r="S165" t="str">
            <v>2202a</v>
          </cell>
          <cell r="T165" t="str">
            <v>账龄超过1年的重要应付账款</v>
          </cell>
          <cell r="U165" t="str">
            <v>债权人名称</v>
          </cell>
          <cell r="V165">
            <v>1</v>
          </cell>
          <cell r="W165">
            <v>2202</v>
          </cell>
          <cell r="X165">
            <v>2</v>
          </cell>
        </row>
        <row r="166">
          <cell r="B166">
            <v>8009</v>
          </cell>
          <cell r="C166" t="str">
            <v>所有者权益_其他原因调整上年年末余额</v>
          </cell>
          <cell r="D166">
            <v>-1</v>
          </cell>
          <cell r="E166" t="str">
            <v>＝</v>
          </cell>
          <cell r="F166">
            <v>0</v>
          </cell>
          <cell r="G166" t="str">
            <v>其他</v>
          </cell>
          <cell r="H166" t="str">
            <v>其他</v>
          </cell>
          <cell r="I166">
            <v>8009</v>
          </cell>
          <cell r="J166">
            <v>0</v>
          </cell>
          <cell r="M166" t="str">
            <v>资本公积_净利润增加权益</v>
          </cell>
          <cell r="S166" t="str">
            <v>2202d</v>
          </cell>
          <cell r="T166" t="str">
            <v>外币应付账款</v>
          </cell>
          <cell r="U166" t="str">
            <v>币       种</v>
          </cell>
          <cell r="V166">
            <v>1</v>
          </cell>
          <cell r="W166">
            <v>2202</v>
          </cell>
          <cell r="X166">
            <v>2</v>
          </cell>
        </row>
        <row r="167">
          <cell r="B167">
            <v>8010</v>
          </cell>
          <cell r="C167" t="str">
            <v>所有者权益_本年年初余额</v>
          </cell>
          <cell r="D167">
            <v>0</v>
          </cell>
          <cell r="E167" t="str">
            <v>＝</v>
          </cell>
          <cell r="F167">
            <v>0</v>
          </cell>
          <cell r="G167" t="str">
            <v>二、本年年初余额</v>
          </cell>
          <cell r="H167" t="str">
            <v>二、本年年初余额</v>
          </cell>
          <cell r="I167">
            <v>8010</v>
          </cell>
          <cell r="J167">
            <v>0</v>
          </cell>
          <cell r="M167" t="str">
            <v>资本公积_其他综合收益</v>
          </cell>
          <cell r="S167" t="str">
            <v>2202c</v>
          </cell>
          <cell r="T167" t="str">
            <v>关联方应收应付款项——应付账款</v>
          </cell>
          <cell r="U167" t="str">
            <v>关联方</v>
          </cell>
          <cell r="V167">
            <v>1</v>
          </cell>
          <cell r="W167">
            <v>2202</v>
          </cell>
          <cell r="X167">
            <v>2</v>
          </cell>
        </row>
        <row r="168">
          <cell r="B168">
            <v>8090</v>
          </cell>
          <cell r="C168" t="str">
            <v>所有者权益_本期增减变动金额</v>
          </cell>
          <cell r="D168">
            <v>0</v>
          </cell>
          <cell r="E168" t="str">
            <v>＝</v>
          </cell>
          <cell r="F168">
            <v>0</v>
          </cell>
          <cell r="G168" t="str">
            <v>三、本年增减变动金额（减少以“－”号填列）</v>
          </cell>
          <cell r="H168" t="str">
            <v>三、本年增减变动金额（减少以“－”号填列）</v>
          </cell>
          <cell r="I168">
            <v>8090</v>
          </cell>
          <cell r="J168">
            <v>0</v>
          </cell>
          <cell r="M168" t="str">
            <v>资本公积_综合收益总额增加权益</v>
          </cell>
          <cell r="S168" t="str">
            <v>2202f</v>
          </cell>
          <cell r="T168" t="str">
            <v>应付账款按账龄列示</v>
          </cell>
          <cell r="U168" t="str">
            <v>账       龄</v>
          </cell>
          <cell r="V168">
            <v>1</v>
          </cell>
          <cell r="W168">
            <v>2202</v>
          </cell>
          <cell r="X168">
            <v>2</v>
          </cell>
        </row>
        <row r="169">
          <cell r="B169">
            <v>8021</v>
          </cell>
          <cell r="C169" t="str">
            <v>所有者权益_净利润增加权益</v>
          </cell>
          <cell r="D169">
            <v>-1</v>
          </cell>
          <cell r="E169" t="str">
            <v>＝</v>
          </cell>
          <cell r="F169">
            <v>0</v>
          </cell>
          <cell r="G169" t="str">
            <v>（一）净利润</v>
          </cell>
          <cell r="H169">
            <v>0</v>
          </cell>
          <cell r="I169">
            <v>8021</v>
          </cell>
          <cell r="J169">
            <v>0</v>
          </cell>
          <cell r="M169" t="str">
            <v>资本公积_所有者投入资本</v>
          </cell>
          <cell r="S169" t="str">
            <v>2202g</v>
          </cell>
          <cell r="T169" t="str">
            <v>单项金额较大的应付账款</v>
          </cell>
          <cell r="U169" t="str">
            <v>项       目</v>
          </cell>
          <cell r="V169">
            <v>1</v>
          </cell>
          <cell r="W169">
            <v>2202</v>
          </cell>
          <cell r="X169">
            <v>2</v>
          </cell>
        </row>
        <row r="170">
          <cell r="B170">
            <v>8030</v>
          </cell>
          <cell r="C170" t="str">
            <v>所有者权益_其他综合收益增加权益</v>
          </cell>
          <cell r="D170">
            <v>-1</v>
          </cell>
          <cell r="E170" t="str">
            <v>＝</v>
          </cell>
          <cell r="F170">
            <v>0</v>
          </cell>
          <cell r="G170" t="str">
            <v>（二）其他综合收益</v>
          </cell>
          <cell r="H170">
            <v>0</v>
          </cell>
          <cell r="I170">
            <v>8030</v>
          </cell>
          <cell r="J170">
            <v>0</v>
          </cell>
          <cell r="M170" t="str">
            <v>资本公积_股份支付</v>
          </cell>
          <cell r="S170" t="str">
            <v>2202x</v>
          </cell>
          <cell r="T170" t="str">
            <v>应付账款补充资料</v>
          </cell>
          <cell r="U170" t="str">
            <v>项       目</v>
          </cell>
          <cell r="V170">
            <v>1</v>
          </cell>
          <cell r="W170">
            <v>2202</v>
          </cell>
          <cell r="X170">
            <v>2</v>
          </cell>
        </row>
        <row r="171">
          <cell r="B171">
            <v>8040</v>
          </cell>
          <cell r="C171" t="str">
            <v>所有者权益_综合收益总额增加权益</v>
          </cell>
          <cell r="D171">
            <v>0</v>
          </cell>
          <cell r="E171" t="str">
            <v>＝</v>
          </cell>
          <cell r="F171">
            <v>0</v>
          </cell>
          <cell r="G171" t="str">
            <v>（一）综合收益总额</v>
          </cell>
          <cell r="H171" t="str">
            <v>（一）综合收益总额</v>
          </cell>
          <cell r="I171">
            <v>8040</v>
          </cell>
          <cell r="J171">
            <v>0</v>
          </cell>
          <cell r="M171" t="str">
            <v>资本公积_其他权益工具持有者投入资本</v>
          </cell>
          <cell r="S171" t="str">
            <v>2205f</v>
          </cell>
          <cell r="T171" t="str">
            <v>预收账款按项目列示</v>
          </cell>
          <cell r="U171" t="str">
            <v>项       目</v>
          </cell>
          <cell r="V171">
            <v>1</v>
          </cell>
          <cell r="W171">
            <v>2205</v>
          </cell>
          <cell r="X171">
            <v>1</v>
          </cell>
        </row>
        <row r="172">
          <cell r="B172">
            <v>8050</v>
          </cell>
          <cell r="C172" t="str">
            <v>所有者权益_所有者投入和减少资本影响权益</v>
          </cell>
          <cell r="D172">
            <v>0</v>
          </cell>
          <cell r="E172" t="str">
            <v>＝</v>
          </cell>
          <cell r="F172">
            <v>0</v>
          </cell>
          <cell r="G172" t="str">
            <v>（二）所有者投入和减少资本</v>
          </cell>
          <cell r="H172" t="str">
            <v>（二）股东（或所有者）投入和减少资本</v>
          </cell>
          <cell r="I172">
            <v>8050</v>
          </cell>
          <cell r="J172">
            <v>0</v>
          </cell>
          <cell r="M172" t="str">
            <v>资本公积_所有者其他投入和减少资本</v>
          </cell>
          <cell r="S172" t="str">
            <v>2205g</v>
          </cell>
          <cell r="T172" t="str">
            <v>预收账款按账龄列示</v>
          </cell>
          <cell r="U172" t="str">
            <v>账       龄</v>
          </cell>
          <cell r="V172">
            <v>1</v>
          </cell>
          <cell r="W172">
            <v>2205</v>
          </cell>
          <cell r="X172">
            <v>2</v>
          </cell>
        </row>
        <row r="173">
          <cell r="B173">
            <v>8051</v>
          </cell>
          <cell r="C173" t="str">
            <v>所有者权益_所有者投入资本增加权益</v>
          </cell>
          <cell r="D173">
            <v>-1</v>
          </cell>
          <cell r="E173" t="str">
            <v>＝</v>
          </cell>
          <cell r="F173">
            <v>0</v>
          </cell>
          <cell r="G173" t="str">
            <v>1.所有者投入的普通股</v>
          </cell>
          <cell r="H173" t="str">
            <v>1．股东投入的普通股</v>
          </cell>
          <cell r="I173">
            <v>8051</v>
          </cell>
          <cell r="J173">
            <v>0</v>
          </cell>
          <cell r="M173" t="str">
            <v>资本公积_提取盈余公积影响权益</v>
          </cell>
          <cell r="S173" t="str">
            <v>2205a</v>
          </cell>
          <cell r="T173" t="str">
            <v>账龄超过1年的重要预收款项</v>
          </cell>
          <cell r="U173" t="str">
            <v>项       目</v>
          </cell>
          <cell r="V173">
            <v>1</v>
          </cell>
          <cell r="W173">
            <v>2205</v>
          </cell>
          <cell r="X173">
            <v>2</v>
          </cell>
        </row>
        <row r="174">
          <cell r="B174">
            <v>8053</v>
          </cell>
          <cell r="C174" t="str">
            <v>所有者权益_其他权益工具持有者投入资本</v>
          </cell>
          <cell r="D174">
            <v>-1</v>
          </cell>
          <cell r="E174" t="str">
            <v>OEI＝</v>
          </cell>
          <cell r="F174">
            <v>0</v>
          </cell>
          <cell r="G174" t="str">
            <v>2.其他权益工具持有者投入资本</v>
          </cell>
          <cell r="H174" t="str">
            <v>2．其他权益工具持有者投入资本</v>
          </cell>
          <cell r="I174">
            <v>8053</v>
          </cell>
          <cell r="J174">
            <v>0</v>
          </cell>
          <cell r="M174" t="str">
            <v>资本公积_提取一般风险准备影响权益</v>
          </cell>
          <cell r="S174" t="str">
            <v>2205h</v>
          </cell>
          <cell r="T174" t="str">
            <v>建造合同形成的已结算未完工项目</v>
          </cell>
          <cell r="U174" t="str">
            <v>项       目</v>
          </cell>
          <cell r="V174">
            <v>1</v>
          </cell>
          <cell r="W174">
            <v>2205</v>
          </cell>
          <cell r="X174">
            <v>2</v>
          </cell>
        </row>
        <row r="175">
          <cell r="B175">
            <v>8052</v>
          </cell>
          <cell r="C175" t="str">
            <v>所有者权益_股份支付计入所有者权益的金额</v>
          </cell>
          <cell r="D175">
            <v>-1</v>
          </cell>
          <cell r="E175" t="str">
            <v>＝</v>
          </cell>
          <cell r="F175">
            <v>0</v>
          </cell>
          <cell r="G175" t="str">
            <v>3.股份支付计入所有者权益的金额</v>
          </cell>
          <cell r="H175" t="str">
            <v>3．股份支付计入股东权益的金额</v>
          </cell>
          <cell r="I175">
            <v>8052</v>
          </cell>
          <cell r="J175">
            <v>0</v>
          </cell>
          <cell r="M175" t="str">
            <v>资本公积_对所有者的分配影响权益</v>
          </cell>
          <cell r="S175" t="str">
            <v>2205e</v>
          </cell>
          <cell r="T175" t="str">
            <v>预收款项中预售房产收款情况</v>
          </cell>
          <cell r="U175" t="str">
            <v>项目名称</v>
          </cell>
          <cell r="V175">
            <v>1</v>
          </cell>
          <cell r="W175">
            <v>2205</v>
          </cell>
          <cell r="X175">
            <v>2</v>
          </cell>
        </row>
        <row r="176">
          <cell r="B176">
            <v>8056</v>
          </cell>
          <cell r="C176" t="str">
            <v>所有者权益_所有者其他投入和减少资本</v>
          </cell>
          <cell r="D176">
            <v>-1</v>
          </cell>
          <cell r="E176" t="str">
            <v>＝</v>
          </cell>
          <cell r="F176">
            <v>0</v>
          </cell>
          <cell r="G176" t="str">
            <v>4.其他</v>
          </cell>
          <cell r="H176" t="str">
            <v>4．其他</v>
          </cell>
          <cell r="I176">
            <v>8056</v>
          </cell>
          <cell r="J176">
            <v>0</v>
          </cell>
          <cell r="M176" t="str">
            <v>资本公积_其他利润分配</v>
          </cell>
          <cell r="S176" t="str">
            <v>2205d</v>
          </cell>
          <cell r="T176" t="str">
            <v>外币预收款项</v>
          </cell>
          <cell r="U176" t="str">
            <v>币       种</v>
          </cell>
          <cell r="V176">
            <v>1</v>
          </cell>
          <cell r="W176">
            <v>2205</v>
          </cell>
          <cell r="X176">
            <v>2</v>
          </cell>
        </row>
        <row r="177">
          <cell r="B177">
            <v>8060</v>
          </cell>
          <cell r="C177" t="str">
            <v>所有者权益_利润分配影响权益</v>
          </cell>
          <cell r="D177">
            <v>0</v>
          </cell>
          <cell r="E177" t="str">
            <v>＝</v>
          </cell>
          <cell r="F177">
            <v>0</v>
          </cell>
          <cell r="G177" t="str">
            <v>（四）利润分配</v>
          </cell>
          <cell r="H177" t="str">
            <v>（三）利润分配</v>
          </cell>
          <cell r="I177">
            <v>8060</v>
          </cell>
          <cell r="J177">
            <v>0</v>
          </cell>
          <cell r="M177" t="str">
            <v>资本公积_转增资本</v>
          </cell>
          <cell r="S177" t="str">
            <v>2205c</v>
          </cell>
          <cell r="T177" t="str">
            <v>关联方应收应付款项——预收款项</v>
          </cell>
          <cell r="U177" t="str">
            <v>单位名称</v>
          </cell>
          <cell r="V177">
            <v>1</v>
          </cell>
          <cell r="W177">
            <v>2205</v>
          </cell>
          <cell r="X177">
            <v>2</v>
          </cell>
        </row>
        <row r="178">
          <cell r="B178">
            <v>8061</v>
          </cell>
          <cell r="C178" t="str">
            <v>所有者权益_提取盈余公积影响权益</v>
          </cell>
          <cell r="D178">
            <v>-1</v>
          </cell>
          <cell r="E178" t="str">
            <v>＝</v>
          </cell>
          <cell r="F178">
            <v>0</v>
          </cell>
          <cell r="G178" t="str">
            <v>1.提取盈余公积</v>
          </cell>
          <cell r="H178" t="str">
            <v>1．提取盈余公积</v>
          </cell>
          <cell r="I178">
            <v>8061</v>
          </cell>
          <cell r="J178">
            <v>0</v>
          </cell>
          <cell r="M178" t="str">
            <v>资本公积_盈余公积转增资本影响权益</v>
          </cell>
          <cell r="S178" t="str">
            <v>2205x</v>
          </cell>
          <cell r="T178" t="str">
            <v>预收款项补充资料</v>
          </cell>
          <cell r="U178" t="str">
            <v>项       目</v>
          </cell>
          <cell r="V178">
            <v>1</v>
          </cell>
          <cell r="W178">
            <v>2205</v>
          </cell>
          <cell r="X178">
            <v>2</v>
          </cell>
        </row>
        <row r="179">
          <cell r="B179">
            <v>8062</v>
          </cell>
          <cell r="C179" t="str">
            <v>所有者权益_提取一般风险准备影响权益</v>
          </cell>
          <cell r="D179">
            <v>-1</v>
          </cell>
          <cell r="E179" t="str">
            <v>＝</v>
          </cell>
          <cell r="F179">
            <v>0</v>
          </cell>
          <cell r="G179" t="str">
            <v>2.提取一般风险准备</v>
          </cell>
          <cell r="H179" t="str">
            <v>2．提取一般风险准备</v>
          </cell>
          <cell r="I179">
            <v>8062</v>
          </cell>
          <cell r="J179">
            <v>0</v>
          </cell>
          <cell r="M179" t="str">
            <v>资本公积_盈余公积弥补亏损影响权益</v>
          </cell>
          <cell r="S179" t="str">
            <v>2211a</v>
          </cell>
          <cell r="T179" t="str">
            <v>应付职工薪酬明细项目</v>
          </cell>
          <cell r="U179" t="str">
            <v>项       目</v>
          </cell>
          <cell r="V179">
            <v>1</v>
          </cell>
          <cell r="W179">
            <v>2211</v>
          </cell>
          <cell r="X179">
            <v>1</v>
          </cell>
        </row>
        <row r="180">
          <cell r="B180">
            <v>8063</v>
          </cell>
          <cell r="C180" t="str">
            <v>所有者权益_对所有者的分配影响权益</v>
          </cell>
          <cell r="D180">
            <v>-1</v>
          </cell>
          <cell r="E180" t="str">
            <v>＝</v>
          </cell>
          <cell r="F180">
            <v>0</v>
          </cell>
          <cell r="G180" t="str">
            <v>3.对所有者（或股东）的分配</v>
          </cell>
          <cell r="H180" t="str">
            <v>3．对股东（或所有者）的分配</v>
          </cell>
          <cell r="I180">
            <v>8063</v>
          </cell>
          <cell r="J180">
            <v>0</v>
          </cell>
          <cell r="M180" t="str">
            <v>资本公积_设定受益计划变动额结转留存收益</v>
          </cell>
          <cell r="S180" t="str">
            <v>2211b</v>
          </cell>
          <cell r="T180" t="str">
            <v>短期薪酬</v>
          </cell>
          <cell r="U180" t="str">
            <v>项       目</v>
          </cell>
          <cell r="V180">
            <v>1</v>
          </cell>
          <cell r="W180">
            <v>2211</v>
          </cell>
          <cell r="X180">
            <v>2</v>
          </cell>
        </row>
        <row r="181">
          <cell r="B181">
            <v>8066</v>
          </cell>
          <cell r="C181" t="str">
            <v>所有者权益_其他利润分配影响权益</v>
          </cell>
          <cell r="D181">
            <v>-1</v>
          </cell>
          <cell r="E181" t="str">
            <v>＝</v>
          </cell>
          <cell r="F181">
            <v>0</v>
          </cell>
          <cell r="G181" t="str">
            <v>4.其他</v>
          </cell>
          <cell r="H181" t="str">
            <v>4．其他</v>
          </cell>
          <cell r="I181">
            <v>8066</v>
          </cell>
          <cell r="J181">
            <v>0</v>
          </cell>
          <cell r="M181" t="str">
            <v>资本公积_所有者权益其他内部结转</v>
          </cell>
          <cell r="S181" t="str">
            <v>2211c</v>
          </cell>
          <cell r="T181" t="str">
            <v>设定提存计划</v>
          </cell>
          <cell r="U181" t="str">
            <v>项       目</v>
          </cell>
          <cell r="V181">
            <v>1</v>
          </cell>
          <cell r="W181">
            <v>2211</v>
          </cell>
          <cell r="X181">
            <v>2</v>
          </cell>
        </row>
        <row r="182">
          <cell r="B182">
            <v>8070</v>
          </cell>
          <cell r="C182" t="str">
            <v>所有者权益_所有者权益内部结转</v>
          </cell>
          <cell r="D182">
            <v>0</v>
          </cell>
          <cell r="E182" t="str">
            <v>＝</v>
          </cell>
          <cell r="F182">
            <v>0</v>
          </cell>
          <cell r="G182" t="str">
            <v>（五）所有者权益内部结转</v>
          </cell>
          <cell r="H182" t="str">
            <v>（四）股东权益内部结转</v>
          </cell>
          <cell r="I182">
            <v>8070</v>
          </cell>
          <cell r="J182">
            <v>0</v>
          </cell>
          <cell r="M182" t="str">
            <v>资本公积_专项储备本期提取</v>
          </cell>
          <cell r="S182" t="str">
            <v>2211d</v>
          </cell>
          <cell r="T182" t="str">
            <v>应付职工薪酬分类列示</v>
          </cell>
          <cell r="U182" t="str">
            <v>项       目</v>
          </cell>
          <cell r="V182">
            <v>1</v>
          </cell>
          <cell r="W182">
            <v>2211</v>
          </cell>
          <cell r="X182">
            <v>2</v>
          </cell>
        </row>
        <row r="183">
          <cell r="B183">
            <v>8071</v>
          </cell>
          <cell r="C183" t="str">
            <v>所有者权益_资本公积转增资本影响权益</v>
          </cell>
          <cell r="D183">
            <v>-1</v>
          </cell>
          <cell r="E183" t="str">
            <v>＝</v>
          </cell>
          <cell r="F183">
            <v>0</v>
          </cell>
          <cell r="G183" t="str">
            <v>1.资本公积转增资本（或股本）</v>
          </cell>
          <cell r="H183" t="str">
            <v>1．资本公积转增股本（或资本）</v>
          </cell>
          <cell r="I183">
            <v>8071</v>
          </cell>
          <cell r="J183">
            <v>0</v>
          </cell>
          <cell r="M183" t="str">
            <v>资本公积_专项储备本期使用</v>
          </cell>
          <cell r="S183" t="str">
            <v>2211x</v>
          </cell>
          <cell r="T183" t="str">
            <v>应付职工薪酬补充资料</v>
          </cell>
          <cell r="U183" t="str">
            <v>项       目</v>
          </cell>
          <cell r="V183">
            <v>1</v>
          </cell>
          <cell r="W183">
            <v>2211</v>
          </cell>
          <cell r="X183">
            <v>2</v>
          </cell>
        </row>
        <row r="184">
          <cell r="B184">
            <v>8072</v>
          </cell>
          <cell r="C184" t="str">
            <v>所有者权益_盈余公积转增资本影响权益</v>
          </cell>
          <cell r="D184">
            <v>-1</v>
          </cell>
          <cell r="E184" t="str">
            <v>＝</v>
          </cell>
          <cell r="F184">
            <v>0</v>
          </cell>
          <cell r="G184" t="str">
            <v>2.盈余公积转增资本（或股本）</v>
          </cell>
          <cell r="H184" t="str">
            <v>2．盈余公积转增股本（或资本）</v>
          </cell>
          <cell r="I184">
            <v>8072</v>
          </cell>
          <cell r="J184">
            <v>0</v>
          </cell>
          <cell r="M184" t="str">
            <v>资本公积_本期其他增减变动</v>
          </cell>
          <cell r="S184" t="str">
            <v>2221a</v>
          </cell>
          <cell r="T184" t="str">
            <v>应交税费明细项目</v>
          </cell>
          <cell r="U184" t="str">
            <v>项       目</v>
          </cell>
          <cell r="V184">
            <v>1</v>
          </cell>
          <cell r="W184">
            <v>2221</v>
          </cell>
          <cell r="X184">
            <v>1</v>
          </cell>
        </row>
        <row r="185">
          <cell r="B185">
            <v>8073</v>
          </cell>
          <cell r="C185" t="str">
            <v>所有者权益_盈余公积弥补亏损影响权益</v>
          </cell>
          <cell r="D185">
            <v>-1</v>
          </cell>
          <cell r="E185" t="str">
            <v>＝</v>
          </cell>
          <cell r="F185">
            <v>0</v>
          </cell>
          <cell r="G185" t="str">
            <v>3.盈余公积弥补亏损</v>
          </cell>
          <cell r="H185" t="str">
            <v>3．盈余公积弥补亏损</v>
          </cell>
          <cell r="I185">
            <v>8073</v>
          </cell>
          <cell r="J185">
            <v>0</v>
          </cell>
          <cell r="M185" t="str">
            <v>库存股_上年年末余额</v>
          </cell>
          <cell r="S185" t="str">
            <v>2221x</v>
          </cell>
          <cell r="T185" t="str">
            <v>应交税费补充资料</v>
          </cell>
          <cell r="U185" t="str">
            <v>项       目</v>
          </cell>
          <cell r="V185">
            <v>1</v>
          </cell>
          <cell r="W185">
            <v>2221</v>
          </cell>
          <cell r="X185">
            <v>2</v>
          </cell>
        </row>
        <row r="186">
          <cell r="B186">
            <v>8075</v>
          </cell>
          <cell r="C186" t="str">
            <v>所有者权益_设定受益计划变动额结转留存收益</v>
          </cell>
          <cell r="D186">
            <v>-1</v>
          </cell>
          <cell r="E186" t="str">
            <v>OEI＝</v>
          </cell>
          <cell r="F186">
            <v>0</v>
          </cell>
          <cell r="G186" t="str">
            <v>4. 设定受益计划变动额结转留存收益</v>
          </cell>
          <cell r="H186" t="str">
            <v>4．设定受益计划变动额结转留存收益</v>
          </cell>
          <cell r="I186">
            <v>8075</v>
          </cell>
          <cell r="J186">
            <v>0</v>
          </cell>
          <cell r="M186" t="str">
            <v>库存股_会计政策变更调整上年年末余额</v>
          </cell>
          <cell r="S186" t="str">
            <v>2246a</v>
          </cell>
          <cell r="T186" t="str">
            <v>其他应付款分类列示</v>
          </cell>
          <cell r="U186" t="str">
            <v>项       目</v>
          </cell>
          <cell r="V186">
            <v>1</v>
          </cell>
          <cell r="W186">
            <v>2246</v>
          </cell>
          <cell r="X186">
            <v>1</v>
          </cell>
        </row>
        <row r="187">
          <cell r="B187">
            <v>8076</v>
          </cell>
          <cell r="C187" t="str">
            <v>所有者权益_所有者权益其他内部结转</v>
          </cell>
          <cell r="D187">
            <v>-1</v>
          </cell>
          <cell r="E187" t="str">
            <v>＝</v>
          </cell>
          <cell r="F187">
            <v>0</v>
          </cell>
          <cell r="G187" t="str">
            <v>5.其他</v>
          </cell>
          <cell r="H187" t="str">
            <v>5．其他</v>
          </cell>
          <cell r="I187">
            <v>8076</v>
          </cell>
          <cell r="J187">
            <v>0</v>
          </cell>
          <cell r="M187" t="str">
            <v>库存股_前期差错更正调整上年年末余额</v>
          </cell>
          <cell r="S187" t="str">
            <v>2231a</v>
          </cell>
          <cell r="T187" t="str">
            <v>应付利息明细项目</v>
          </cell>
          <cell r="U187" t="str">
            <v>项       目</v>
          </cell>
          <cell r="V187">
            <v>1</v>
          </cell>
          <cell r="W187">
            <v>2231</v>
          </cell>
          <cell r="X187">
            <v>1</v>
          </cell>
        </row>
        <row r="188">
          <cell r="B188">
            <v>8080</v>
          </cell>
          <cell r="C188" t="str">
            <v>所有者权益_专项储备影响权益</v>
          </cell>
          <cell r="D188">
            <v>0</v>
          </cell>
          <cell r="E188" t="str">
            <v>＝</v>
          </cell>
          <cell r="F188">
            <v>0</v>
          </cell>
          <cell r="G188" t="str">
            <v>（三）专项储备提取和使用</v>
          </cell>
          <cell r="H188" t="str">
            <v>（五）专项储备</v>
          </cell>
          <cell r="I188">
            <v>8080</v>
          </cell>
          <cell r="J188">
            <v>0</v>
          </cell>
          <cell r="M188" t="str">
            <v>库存股_同一控制下企业合并调整上年年末余额</v>
          </cell>
          <cell r="S188" t="str">
            <v>2231b</v>
          </cell>
          <cell r="T188" t="str">
            <v xml:space="preserve">重要的逾期未付利息 </v>
          </cell>
          <cell r="U188" t="str">
            <v>借款单位</v>
          </cell>
          <cell r="V188">
            <v>1</v>
          </cell>
          <cell r="W188">
            <v>2231</v>
          </cell>
          <cell r="X188">
            <v>2</v>
          </cell>
        </row>
        <row r="189">
          <cell r="B189">
            <v>8081</v>
          </cell>
          <cell r="C189" t="str">
            <v>所有者权益_专项储备本期提取</v>
          </cell>
          <cell r="D189">
            <v>-1</v>
          </cell>
          <cell r="E189" t="str">
            <v>＝</v>
          </cell>
          <cell r="F189">
            <v>0</v>
          </cell>
          <cell r="G189" t="str">
            <v>1.提取专项储备</v>
          </cell>
          <cell r="H189" t="str">
            <v>1．本期提取</v>
          </cell>
          <cell r="I189">
            <v>8081</v>
          </cell>
          <cell r="J189">
            <v>0</v>
          </cell>
          <cell r="M189" t="str">
            <v>库存股_其他原因调整上年年末余额</v>
          </cell>
          <cell r="S189" t="str">
            <v>2232a</v>
          </cell>
          <cell r="T189" t="str">
            <v>应付股利明细项目</v>
          </cell>
          <cell r="U189" t="str">
            <v>项目（或股东名称）</v>
          </cell>
          <cell r="V189">
            <v>1</v>
          </cell>
          <cell r="W189">
            <v>2232</v>
          </cell>
          <cell r="X189">
            <v>1</v>
          </cell>
        </row>
        <row r="190">
          <cell r="B190">
            <v>8082</v>
          </cell>
          <cell r="C190" t="str">
            <v>所有者权益_专项储备本期使用</v>
          </cell>
          <cell r="D190">
            <v>-1</v>
          </cell>
          <cell r="E190" t="str">
            <v>＝</v>
          </cell>
          <cell r="F190">
            <v>0</v>
          </cell>
          <cell r="G190" t="str">
            <v>2.使用专项储备</v>
          </cell>
          <cell r="H190" t="str">
            <v>2．本期使用（以负号填列）</v>
          </cell>
          <cell r="I190">
            <v>8082</v>
          </cell>
          <cell r="J190">
            <v>0</v>
          </cell>
          <cell r="M190" t="str">
            <v>库存股_净利润增加权益</v>
          </cell>
          <cell r="S190" t="str">
            <v>2232b</v>
          </cell>
          <cell r="T190" t="str">
            <v>重要的超过1年未支付的应付股利</v>
          </cell>
          <cell r="U190" t="str">
            <v>股东名称</v>
          </cell>
          <cell r="V190">
            <v>1</v>
          </cell>
          <cell r="W190">
            <v>2232</v>
          </cell>
          <cell r="X190">
            <v>2</v>
          </cell>
        </row>
        <row r="191">
          <cell r="B191">
            <v>8096</v>
          </cell>
          <cell r="C191" t="str">
            <v>所有者权益_本期其他增减变动</v>
          </cell>
          <cell r="D191">
            <v>-1</v>
          </cell>
          <cell r="E191" t="str">
            <v>＝</v>
          </cell>
          <cell r="F191">
            <v>0</v>
          </cell>
          <cell r="G191" t="str">
            <v>（六）其他</v>
          </cell>
          <cell r="H191" t="str">
            <v>（六）其他</v>
          </cell>
          <cell r="I191">
            <v>8096</v>
          </cell>
          <cell r="J191">
            <v>0</v>
          </cell>
          <cell r="M191" t="str">
            <v>库存股_其他综合收益增加权益</v>
          </cell>
          <cell r="S191" t="str">
            <v>2241e</v>
          </cell>
          <cell r="T191" t="str">
            <v>其他应付款按款项性质列示</v>
          </cell>
          <cell r="U191" t="str">
            <v>项       目</v>
          </cell>
          <cell r="V191">
            <v>1</v>
          </cell>
          <cell r="W191">
            <v>2241</v>
          </cell>
          <cell r="X191">
            <v>1</v>
          </cell>
        </row>
        <row r="192">
          <cell r="B192">
            <v>8099</v>
          </cell>
          <cell r="C192" t="str">
            <v>所有者权益_本期期末余额</v>
          </cell>
          <cell r="D192">
            <v>0</v>
          </cell>
          <cell r="E192" t="str">
            <v>＝</v>
          </cell>
          <cell r="F192">
            <v>0</v>
          </cell>
          <cell r="G192" t="str">
            <v>四、本年年末余额</v>
          </cell>
          <cell r="H192" t="str">
            <v>四、本年年末余额</v>
          </cell>
          <cell r="I192">
            <v>8099</v>
          </cell>
          <cell r="J192">
            <v>0</v>
          </cell>
          <cell r="M192" t="str">
            <v>库存股_综合收益总额增加权益</v>
          </cell>
          <cell r="S192" t="str">
            <v>2241f</v>
          </cell>
          <cell r="T192" t="str">
            <v>其他应付款按账龄列示</v>
          </cell>
          <cell r="U192" t="str">
            <v>项       目</v>
          </cell>
          <cell r="V192">
            <v>1</v>
          </cell>
          <cell r="W192">
            <v>2241</v>
          </cell>
          <cell r="X192">
            <v>2</v>
          </cell>
        </row>
        <row r="193">
          <cell r="B193">
            <v>8100</v>
          </cell>
          <cell r="C193" t="str">
            <v>实收资本增减变动</v>
          </cell>
          <cell r="D193">
            <v>0</v>
          </cell>
          <cell r="E193" t="str">
            <v>：</v>
          </cell>
          <cell r="F193">
            <v>0</v>
          </cell>
          <cell r="G193" t="str">
            <v>实收资本(或股本)增减变动</v>
          </cell>
          <cell r="H193">
            <v>0</v>
          </cell>
          <cell r="I193">
            <v>8100</v>
          </cell>
          <cell r="J193">
            <v>0</v>
          </cell>
          <cell r="M193" t="str">
            <v>库存股_所有者投入资本</v>
          </cell>
          <cell r="S193" t="str">
            <v>2241c</v>
          </cell>
          <cell r="T193" t="str">
            <v>账龄超过1年的重要其他应付款</v>
          </cell>
          <cell r="U193" t="str">
            <v>项       目</v>
          </cell>
          <cell r="V193">
            <v>1</v>
          </cell>
          <cell r="W193">
            <v>2241</v>
          </cell>
          <cell r="X193">
            <v>2</v>
          </cell>
        </row>
        <row r="194">
          <cell r="B194">
            <v>8101</v>
          </cell>
          <cell r="C194" t="str">
            <v>实收资本_上年年末余额</v>
          </cell>
          <cell r="D194">
            <v>-1</v>
          </cell>
          <cell r="E194">
            <v>0</v>
          </cell>
          <cell r="F194">
            <v>5110</v>
          </cell>
          <cell r="G194" t="str">
            <v>一、上年年末余额</v>
          </cell>
          <cell r="H194">
            <v>0</v>
          </cell>
          <cell r="I194">
            <v>8101</v>
          </cell>
          <cell r="J194" t="str">
            <v>J</v>
          </cell>
          <cell r="M194" t="str">
            <v>库存股_股份支付</v>
          </cell>
          <cell r="S194" t="str">
            <v>2241g</v>
          </cell>
          <cell r="T194" t="str">
            <v>外币其他应付款</v>
          </cell>
          <cell r="U194" t="str">
            <v>币       种</v>
          </cell>
          <cell r="V194">
            <v>1</v>
          </cell>
          <cell r="W194">
            <v>2241</v>
          </cell>
          <cell r="X194">
            <v>2</v>
          </cell>
        </row>
        <row r="195">
          <cell r="B195">
            <v>8102</v>
          </cell>
          <cell r="C195" t="str">
            <v>实收资本_会计政策变更调整上年年末余额</v>
          </cell>
          <cell r="D195">
            <v>-1</v>
          </cell>
          <cell r="E195" t="str">
            <v>LOW</v>
          </cell>
          <cell r="F195">
            <v>5110</v>
          </cell>
          <cell r="G195" t="str">
            <v>加：会计政策变更</v>
          </cell>
          <cell r="H195">
            <v>0</v>
          </cell>
          <cell r="I195">
            <v>8102</v>
          </cell>
          <cell r="J195" t="str">
            <v>J</v>
          </cell>
          <cell r="M195" t="str">
            <v>库存股_其他权益工具持有者投入资本</v>
          </cell>
          <cell r="S195" t="str">
            <v>2241a</v>
          </cell>
          <cell r="T195" t="str">
            <v>关联方应收应付款项——其他应付款</v>
          </cell>
          <cell r="U195" t="str">
            <v>项       目</v>
          </cell>
          <cell r="V195">
            <v>1</v>
          </cell>
          <cell r="W195">
            <v>2241</v>
          </cell>
          <cell r="X195">
            <v>2</v>
          </cell>
        </row>
        <row r="196">
          <cell r="B196">
            <v>8103</v>
          </cell>
          <cell r="C196" t="str">
            <v>实收资本_前期差错更正调整上年年末余额</v>
          </cell>
          <cell r="D196">
            <v>-1</v>
          </cell>
          <cell r="E196">
            <v>0</v>
          </cell>
          <cell r="F196">
            <v>5110</v>
          </cell>
          <cell r="G196" t="str">
            <v>前期差错更正</v>
          </cell>
          <cell r="H196">
            <v>0</v>
          </cell>
          <cell r="I196">
            <v>8103</v>
          </cell>
          <cell r="J196" t="str">
            <v>J</v>
          </cell>
          <cell r="M196" t="str">
            <v>库存股_所有者其他投入和减少资本</v>
          </cell>
          <cell r="S196" t="str">
            <v>2241b</v>
          </cell>
          <cell r="T196" t="str">
            <v>单项金额较大的其他应付款</v>
          </cell>
          <cell r="U196" t="str">
            <v>项       目</v>
          </cell>
          <cell r="V196">
            <v>1</v>
          </cell>
          <cell r="W196">
            <v>2241</v>
          </cell>
          <cell r="X196">
            <v>2</v>
          </cell>
        </row>
        <row r="197">
          <cell r="B197">
            <v>8104</v>
          </cell>
          <cell r="C197" t="str">
            <v>实收资本_同一控制下企业合并调整上年年末余额</v>
          </cell>
          <cell r="D197">
            <v>-1</v>
          </cell>
          <cell r="E197" t="str">
            <v>※</v>
          </cell>
          <cell r="F197">
            <v>5110</v>
          </cell>
          <cell r="G197" t="str">
            <v>同一控制下企业合并</v>
          </cell>
          <cell r="H197">
            <v>0</v>
          </cell>
          <cell r="I197">
            <v>8104</v>
          </cell>
          <cell r="J197" t="str">
            <v>J</v>
          </cell>
          <cell r="M197" t="str">
            <v>库存股_提取盈余公积影响权益</v>
          </cell>
          <cell r="S197" t="str">
            <v>2241x</v>
          </cell>
          <cell r="T197" t="str">
            <v>其他应付款补充资料</v>
          </cell>
          <cell r="U197" t="str">
            <v>项       目</v>
          </cell>
          <cell r="V197">
            <v>1</v>
          </cell>
          <cell r="W197">
            <v>2241</v>
          </cell>
          <cell r="X197">
            <v>2</v>
          </cell>
        </row>
        <row r="198">
          <cell r="B198">
            <v>8109</v>
          </cell>
          <cell r="C198" t="str">
            <v>实收资本_其他原因调整上年年末余额</v>
          </cell>
          <cell r="D198">
            <v>-1</v>
          </cell>
          <cell r="E198" t="str">
            <v>LOW</v>
          </cell>
          <cell r="F198">
            <v>5110</v>
          </cell>
          <cell r="G198" t="str">
            <v>其他</v>
          </cell>
          <cell r="H198">
            <v>0</v>
          </cell>
          <cell r="I198">
            <v>8109</v>
          </cell>
          <cell r="J198" t="str">
            <v>J</v>
          </cell>
          <cell r="M198" t="str">
            <v>库存股_提取一般风险准备影响权益</v>
          </cell>
          <cell r="S198" t="str">
            <v>2395a</v>
          </cell>
          <cell r="T198" t="str">
            <v>一年内到期的非流动负债</v>
          </cell>
          <cell r="U198" t="str">
            <v>项       目</v>
          </cell>
          <cell r="V198">
            <v>1</v>
          </cell>
          <cell r="W198">
            <v>2395</v>
          </cell>
          <cell r="X198">
            <v>1</v>
          </cell>
        </row>
        <row r="199">
          <cell r="B199">
            <v>8110</v>
          </cell>
          <cell r="C199" t="str">
            <v>实收资本_本年年初余额</v>
          </cell>
          <cell r="D199">
            <v>0</v>
          </cell>
          <cell r="E199" t="str">
            <v>＝</v>
          </cell>
          <cell r="F199">
            <v>0</v>
          </cell>
          <cell r="G199" t="str">
            <v>二、本年年初余额</v>
          </cell>
          <cell r="H199">
            <v>0</v>
          </cell>
          <cell r="I199">
            <v>8110</v>
          </cell>
          <cell r="J199">
            <v>0</v>
          </cell>
          <cell r="M199" t="str">
            <v>库存股_对所有者的分配</v>
          </cell>
          <cell r="S199" t="str">
            <v>2395b</v>
          </cell>
          <cell r="T199" t="str">
            <v>1年内到期的长期借款</v>
          </cell>
          <cell r="U199" t="str">
            <v>项       目</v>
          </cell>
          <cell r="V199">
            <v>1</v>
          </cell>
          <cell r="W199">
            <v>2395</v>
          </cell>
          <cell r="X199">
            <v>2</v>
          </cell>
        </row>
        <row r="200">
          <cell r="B200">
            <v>8190</v>
          </cell>
          <cell r="C200" t="str">
            <v>实收资本_本期增减变动金额</v>
          </cell>
          <cell r="D200">
            <v>0</v>
          </cell>
          <cell r="E200" t="str">
            <v>＝</v>
          </cell>
          <cell r="F200">
            <v>0</v>
          </cell>
          <cell r="G200" t="str">
            <v>三、本期增减变动金额（减少以“-”号填列）</v>
          </cell>
          <cell r="H200">
            <v>0</v>
          </cell>
          <cell r="I200">
            <v>8190</v>
          </cell>
          <cell r="J200">
            <v>0</v>
          </cell>
          <cell r="M200" t="str">
            <v>库存股_其他利润分配</v>
          </cell>
          <cell r="S200" t="str">
            <v>2395e</v>
          </cell>
          <cell r="T200" t="str">
            <v>1年内到期的应付债券</v>
          </cell>
          <cell r="U200" t="str">
            <v>债券名称</v>
          </cell>
          <cell r="V200">
            <v>1</v>
          </cell>
          <cell r="W200">
            <v>2395</v>
          </cell>
          <cell r="X200">
            <v>2</v>
          </cell>
        </row>
        <row r="201">
          <cell r="B201">
            <v>8150</v>
          </cell>
          <cell r="C201" t="str">
            <v>实收资本_所有者投入和减少资本影响权益</v>
          </cell>
          <cell r="D201">
            <v>0</v>
          </cell>
          <cell r="E201" t="str">
            <v>＝</v>
          </cell>
          <cell r="F201">
            <v>0</v>
          </cell>
          <cell r="G201" t="str">
            <v>（二）所有者投入和减少资本</v>
          </cell>
          <cell r="H201">
            <v>0</v>
          </cell>
          <cell r="I201">
            <v>8150</v>
          </cell>
          <cell r="J201">
            <v>0</v>
          </cell>
          <cell r="M201" t="str">
            <v>库存股_资本公积转增资本影响权益</v>
          </cell>
          <cell r="S201" t="str">
            <v>2395f</v>
          </cell>
          <cell r="T201" t="str">
            <v>一年内到期的长期应付款</v>
          </cell>
          <cell r="U201" t="str">
            <v>项       目</v>
          </cell>
          <cell r="V201">
            <v>1</v>
          </cell>
          <cell r="W201">
            <v>2395</v>
          </cell>
          <cell r="X201">
            <v>2</v>
          </cell>
        </row>
        <row r="202">
          <cell r="B202">
            <v>8151</v>
          </cell>
          <cell r="C202" t="str">
            <v>实收资本_所有者投入资本</v>
          </cell>
          <cell r="D202">
            <v>-1</v>
          </cell>
          <cell r="E202">
            <v>0</v>
          </cell>
          <cell r="F202">
            <v>5110</v>
          </cell>
          <cell r="G202" t="str">
            <v>所有者投入资本</v>
          </cell>
          <cell r="H202">
            <v>0</v>
          </cell>
          <cell r="I202">
            <v>8151</v>
          </cell>
          <cell r="J202" t="str">
            <v>J</v>
          </cell>
          <cell r="M202" t="str">
            <v>库存股_盈余公积转增资本影响权益</v>
          </cell>
          <cell r="S202" t="str">
            <v>2396a</v>
          </cell>
          <cell r="T202" t="str">
            <v>其他流动负债明细项目</v>
          </cell>
          <cell r="U202" t="str">
            <v>项       目</v>
          </cell>
          <cell r="V202">
            <v>1</v>
          </cell>
          <cell r="W202">
            <v>2396</v>
          </cell>
          <cell r="X202">
            <v>1</v>
          </cell>
        </row>
        <row r="203">
          <cell r="B203">
            <v>8153</v>
          </cell>
          <cell r="C203" t="str">
            <v>实收资本_其他权益工具持有者投入资本</v>
          </cell>
          <cell r="D203">
            <v>-1</v>
          </cell>
          <cell r="E203" t="str">
            <v>OEI</v>
          </cell>
          <cell r="F203">
            <v>5110</v>
          </cell>
          <cell r="G203" t="str">
            <v>其他权益工具持有者投入资本</v>
          </cell>
          <cell r="H203">
            <v>0</v>
          </cell>
          <cell r="I203">
            <v>8153</v>
          </cell>
          <cell r="J203" t="str">
            <v>J</v>
          </cell>
          <cell r="M203" t="str">
            <v>库存股_盈余公积弥补亏损影响权益</v>
          </cell>
          <cell r="S203" t="str">
            <v>2396c</v>
          </cell>
          <cell r="T203" t="str">
            <v>短期应付债券</v>
          </cell>
          <cell r="U203" t="str">
            <v>债券名称</v>
          </cell>
          <cell r="V203">
            <v>1</v>
          </cell>
          <cell r="W203">
            <v>2396</v>
          </cell>
          <cell r="X203">
            <v>2</v>
          </cell>
        </row>
        <row r="204">
          <cell r="B204">
            <v>8156</v>
          </cell>
          <cell r="C204" t="str">
            <v>实收资本_所有者其他投入和减少资本</v>
          </cell>
          <cell r="D204">
            <v>-1</v>
          </cell>
          <cell r="E204" t="str">
            <v>LOW</v>
          </cell>
          <cell r="F204">
            <v>5110</v>
          </cell>
          <cell r="G204" t="str">
            <v>其他</v>
          </cell>
          <cell r="H204">
            <v>0</v>
          </cell>
          <cell r="I204">
            <v>8156</v>
          </cell>
          <cell r="J204" t="str">
            <v>J</v>
          </cell>
          <cell r="M204" t="str">
            <v>库存股_设定受益计划变动额结转留存收益</v>
          </cell>
          <cell r="S204" t="str">
            <v>2396b</v>
          </cell>
          <cell r="T204" t="str">
            <v>递延收益——政府补助情况</v>
          </cell>
          <cell r="U204" t="str">
            <v>补助项目</v>
          </cell>
          <cell r="V204">
            <v>1</v>
          </cell>
          <cell r="W204">
            <v>2396</v>
          </cell>
          <cell r="X204">
            <v>2</v>
          </cell>
        </row>
        <row r="205">
          <cell r="B205">
            <v>8170</v>
          </cell>
          <cell r="C205" t="str">
            <v>实收资本_所有者权益内部结转</v>
          </cell>
          <cell r="D205">
            <v>0</v>
          </cell>
          <cell r="E205" t="str">
            <v>＝</v>
          </cell>
          <cell r="F205">
            <v>0</v>
          </cell>
          <cell r="G205" t="str">
            <v>（四）所有者权益内部结转</v>
          </cell>
          <cell r="H205">
            <v>0</v>
          </cell>
          <cell r="I205">
            <v>8170</v>
          </cell>
          <cell r="J205">
            <v>0</v>
          </cell>
          <cell r="M205" t="str">
            <v>库存股_所有者权益其他内部结转</v>
          </cell>
          <cell r="S205" t="str">
            <v>2396d</v>
          </cell>
          <cell r="T205" t="str">
            <v>递延收益——政府补助情况</v>
          </cell>
          <cell r="U205" t="str">
            <v>补助项目</v>
          </cell>
          <cell r="V205">
            <v>1</v>
          </cell>
          <cell r="W205">
            <v>2396</v>
          </cell>
          <cell r="X205">
            <v>2</v>
          </cell>
        </row>
        <row r="206">
          <cell r="B206">
            <v>8171</v>
          </cell>
          <cell r="C206" t="str">
            <v>实收资本_资本公积转增</v>
          </cell>
          <cell r="D206">
            <v>-1</v>
          </cell>
          <cell r="E206">
            <v>0</v>
          </cell>
          <cell r="F206">
            <v>5110</v>
          </cell>
          <cell r="G206" t="str">
            <v>资本公积转增资本（或股本）</v>
          </cell>
          <cell r="H206">
            <v>0</v>
          </cell>
          <cell r="I206">
            <v>8171</v>
          </cell>
          <cell r="J206" t="str">
            <v>J</v>
          </cell>
          <cell r="M206" t="str">
            <v>库存股_专项储备本期提取</v>
          </cell>
          <cell r="S206" t="str">
            <v>2501a</v>
          </cell>
          <cell r="T206" t="str">
            <v>长期借款明细项目</v>
          </cell>
          <cell r="U206" t="str">
            <v>借款类别</v>
          </cell>
          <cell r="V206">
            <v>1</v>
          </cell>
          <cell r="W206">
            <v>2501</v>
          </cell>
          <cell r="X206">
            <v>1</v>
          </cell>
        </row>
        <row r="207">
          <cell r="B207">
            <v>8172</v>
          </cell>
          <cell r="C207" t="str">
            <v>实收资本_盈余公积转增</v>
          </cell>
          <cell r="D207">
            <v>-1</v>
          </cell>
          <cell r="E207">
            <v>0</v>
          </cell>
          <cell r="F207">
            <v>5110</v>
          </cell>
          <cell r="G207" t="str">
            <v>盈余公积转增资本（或股本）</v>
          </cell>
          <cell r="H207">
            <v>0</v>
          </cell>
          <cell r="I207">
            <v>8172</v>
          </cell>
          <cell r="J207" t="str">
            <v>J</v>
          </cell>
          <cell r="M207" t="str">
            <v>库存股_专项储备本期使用</v>
          </cell>
          <cell r="S207" t="str">
            <v>2501d</v>
          </cell>
          <cell r="T207" t="str">
            <v>长期借款中的质押借款明细列示</v>
          </cell>
          <cell r="U207" t="str">
            <v>项       目</v>
          </cell>
          <cell r="V207">
            <v>1</v>
          </cell>
          <cell r="W207">
            <v>2501</v>
          </cell>
          <cell r="X207">
            <v>2</v>
          </cell>
        </row>
        <row r="208">
          <cell r="B208">
            <v>8175</v>
          </cell>
          <cell r="C208" t="str">
            <v>实收资本_设定受益计划变动额结转留存收益</v>
          </cell>
          <cell r="D208">
            <v>-1</v>
          </cell>
          <cell r="E208" t="str">
            <v>OEI</v>
          </cell>
          <cell r="F208">
            <v>5110</v>
          </cell>
          <cell r="G208" t="str">
            <v>设定受益计划变动额结转留存收益</v>
          </cell>
          <cell r="H208">
            <v>0</v>
          </cell>
          <cell r="I208">
            <v>8175</v>
          </cell>
          <cell r="J208" t="str">
            <v>J</v>
          </cell>
          <cell r="M208" t="str">
            <v>库存股_本期其他增减变动</v>
          </cell>
          <cell r="S208" t="str">
            <v>2501e</v>
          </cell>
          <cell r="T208" t="str">
            <v>长期借款中的抵押借款明细列示</v>
          </cell>
          <cell r="U208" t="str">
            <v>项       目</v>
          </cell>
          <cell r="V208">
            <v>1</v>
          </cell>
          <cell r="W208">
            <v>2501</v>
          </cell>
          <cell r="X208">
            <v>2</v>
          </cell>
        </row>
        <row r="209">
          <cell r="B209">
            <v>8176</v>
          </cell>
          <cell r="C209" t="str">
            <v>实收资本_所有者权益其他内部结转</v>
          </cell>
          <cell r="D209">
            <v>-1</v>
          </cell>
          <cell r="E209" t="str">
            <v>LOW</v>
          </cell>
          <cell r="F209">
            <v>5110</v>
          </cell>
          <cell r="G209" t="str">
            <v>其他</v>
          </cell>
          <cell r="H209">
            <v>0</v>
          </cell>
          <cell r="I209">
            <v>8176</v>
          </cell>
          <cell r="J209" t="str">
            <v>J</v>
          </cell>
          <cell r="M209" t="str">
            <v>专项储备_上年年末余额</v>
          </cell>
          <cell r="S209" t="str">
            <v>2501f</v>
          </cell>
          <cell r="T209" t="str">
            <v>长期借款中的保证借款明细列示</v>
          </cell>
          <cell r="U209" t="str">
            <v>项       目</v>
          </cell>
          <cell r="V209">
            <v>1</v>
          </cell>
          <cell r="W209">
            <v>2501</v>
          </cell>
          <cell r="X209">
            <v>2</v>
          </cell>
        </row>
        <row r="210">
          <cell r="B210">
            <v>8196</v>
          </cell>
          <cell r="C210" t="str">
            <v>实收资本_本期其他增减变动</v>
          </cell>
          <cell r="D210">
            <v>-1</v>
          </cell>
          <cell r="E210" t="str">
            <v>LOW</v>
          </cell>
          <cell r="F210">
            <v>5110</v>
          </cell>
          <cell r="G210" t="str">
            <v>（七）其他</v>
          </cell>
          <cell r="H210">
            <v>0</v>
          </cell>
          <cell r="I210">
            <v>8196</v>
          </cell>
          <cell r="J210" t="str">
            <v>J</v>
          </cell>
          <cell r="M210" t="str">
            <v>专项储备_会计政策变更调整上年年末余额</v>
          </cell>
          <cell r="S210" t="str">
            <v>2501c</v>
          </cell>
          <cell r="T210" t="str">
            <v>外币长期借款</v>
          </cell>
          <cell r="U210" t="str">
            <v>币       种</v>
          </cell>
          <cell r="V210">
            <v>1</v>
          </cell>
          <cell r="W210">
            <v>2501</v>
          </cell>
          <cell r="X210">
            <v>2</v>
          </cell>
        </row>
        <row r="211">
          <cell r="B211">
            <v>8199</v>
          </cell>
          <cell r="C211" t="str">
            <v>实收资本_本期期末余额</v>
          </cell>
          <cell r="D211">
            <v>0</v>
          </cell>
          <cell r="E211" t="str">
            <v>＝</v>
          </cell>
          <cell r="F211">
            <v>0</v>
          </cell>
          <cell r="G211" t="str">
            <v>四、本期期末余额</v>
          </cell>
          <cell r="H211">
            <v>0</v>
          </cell>
          <cell r="I211">
            <v>8199</v>
          </cell>
          <cell r="J211">
            <v>0</v>
          </cell>
          <cell r="M211" t="str">
            <v>专项储备_前期差错更正调整上年年末余额</v>
          </cell>
          <cell r="S211" t="str">
            <v>2502b</v>
          </cell>
          <cell r="T211" t="str">
            <v>应付债券明细项目</v>
          </cell>
          <cell r="U211" t="str">
            <v>债券名称</v>
          </cell>
          <cell r="V211">
            <v>1</v>
          </cell>
          <cell r="W211">
            <v>2502</v>
          </cell>
          <cell r="X211">
            <v>1</v>
          </cell>
        </row>
        <row r="212">
          <cell r="B212" t="str">
            <v>8a00</v>
          </cell>
          <cell r="C212" t="str">
            <v>其他权益工具增减变动</v>
          </cell>
          <cell r="D212">
            <v>0</v>
          </cell>
          <cell r="E212" t="str">
            <v>：OEI</v>
          </cell>
          <cell r="F212">
            <v>0</v>
          </cell>
          <cell r="G212" t="str">
            <v>其他权益工具增减变动</v>
          </cell>
          <cell r="H212">
            <v>0</v>
          </cell>
          <cell r="I212" t="str">
            <v>8a00</v>
          </cell>
          <cell r="J212">
            <v>0</v>
          </cell>
          <cell r="M212" t="str">
            <v>专项储备_同一控制下企业合并调整上年年末余额</v>
          </cell>
          <cell r="S212" t="str">
            <v>2502a</v>
          </cell>
          <cell r="T212" t="str">
            <v>应付债券的增减变动</v>
          </cell>
          <cell r="U212" t="str">
            <v>债券名称</v>
          </cell>
          <cell r="V212">
            <v>1</v>
          </cell>
          <cell r="W212">
            <v>2502</v>
          </cell>
          <cell r="X212">
            <v>2</v>
          </cell>
        </row>
        <row r="213">
          <cell r="B213" t="str">
            <v>8b00</v>
          </cell>
          <cell r="C213" t="str">
            <v>其他权益工具（优先股）增减变动</v>
          </cell>
          <cell r="D213">
            <v>0</v>
          </cell>
          <cell r="E213" t="str">
            <v>：OEI</v>
          </cell>
          <cell r="F213">
            <v>0</v>
          </cell>
          <cell r="G213" t="str">
            <v>其他权益工具（优先股）增减变动</v>
          </cell>
          <cell r="H213">
            <v>0</v>
          </cell>
          <cell r="I213" t="str">
            <v>8b00</v>
          </cell>
          <cell r="J213">
            <v>0</v>
          </cell>
          <cell r="M213" t="str">
            <v>专项储备_其他原因调整上年年末余额</v>
          </cell>
          <cell r="S213" t="str">
            <v>2502d</v>
          </cell>
          <cell r="T213" t="str">
            <v>期末发行在外的优先股、永续债等其他金融工具的基本情况</v>
          </cell>
          <cell r="U213" t="str">
            <v>发行在外的金融工具</v>
          </cell>
          <cell r="V213">
            <v>1</v>
          </cell>
          <cell r="W213">
            <v>2502</v>
          </cell>
          <cell r="X213">
            <v>2</v>
          </cell>
        </row>
        <row r="214">
          <cell r="B214" t="str">
            <v>8b01</v>
          </cell>
          <cell r="C214" t="str">
            <v>其他权益工具（优先股）_上年年末余额</v>
          </cell>
          <cell r="D214">
            <v>-1</v>
          </cell>
          <cell r="E214" t="str">
            <v>OEI</v>
          </cell>
          <cell r="F214">
            <v>0</v>
          </cell>
          <cell r="G214" t="str">
            <v>一、上年年末余额</v>
          </cell>
          <cell r="H214">
            <v>0</v>
          </cell>
          <cell r="I214" t="str">
            <v>8b01</v>
          </cell>
          <cell r="J214" t="str">
            <v>J</v>
          </cell>
          <cell r="M214" t="str">
            <v>专项储备_净利润增加权益</v>
          </cell>
          <cell r="S214" t="str">
            <v>2502c</v>
          </cell>
          <cell r="T214" t="str">
            <v>期末发行在外的优先股、永续债等其他金融工具变动情况表</v>
          </cell>
          <cell r="U214" t="str">
            <v>发行在外的金融工具</v>
          </cell>
          <cell r="V214">
            <v>1</v>
          </cell>
          <cell r="W214">
            <v>2502</v>
          </cell>
          <cell r="X214">
            <v>2</v>
          </cell>
        </row>
        <row r="215">
          <cell r="B215" t="str">
            <v>8b02</v>
          </cell>
          <cell r="C215" t="str">
            <v>其他权益工具（优先股）_会计政策变更调整上年年末余额</v>
          </cell>
          <cell r="D215">
            <v>-1</v>
          </cell>
          <cell r="E215" t="str">
            <v>OEI</v>
          </cell>
          <cell r="F215">
            <v>0</v>
          </cell>
          <cell r="G215" t="str">
            <v>加：会计政策变更</v>
          </cell>
          <cell r="H215">
            <v>0</v>
          </cell>
          <cell r="I215" t="str">
            <v>8b02</v>
          </cell>
          <cell r="J215" t="str">
            <v>J</v>
          </cell>
          <cell r="M215" t="str">
            <v>专项储备_其他综合收益增加权益</v>
          </cell>
          <cell r="S215" t="str">
            <v>2706a</v>
          </cell>
          <cell r="T215" t="str">
            <v>长期应付款分类列示</v>
          </cell>
          <cell r="U215" t="str">
            <v>项       目</v>
          </cell>
          <cell r="V215">
            <v>1</v>
          </cell>
          <cell r="W215">
            <v>2706</v>
          </cell>
          <cell r="X215">
            <v>1</v>
          </cell>
        </row>
        <row r="216">
          <cell r="B216" t="str">
            <v>8b03</v>
          </cell>
          <cell r="C216" t="str">
            <v>其他权益工具（优先股）_前期差错更正调整上年年末余额</v>
          </cell>
          <cell r="D216">
            <v>-1</v>
          </cell>
          <cell r="E216" t="str">
            <v>OEI</v>
          </cell>
          <cell r="F216">
            <v>0</v>
          </cell>
          <cell r="G216" t="str">
            <v>前期差错更正</v>
          </cell>
          <cell r="H216">
            <v>0</v>
          </cell>
          <cell r="I216" t="str">
            <v>8b03</v>
          </cell>
          <cell r="J216" t="str">
            <v>J</v>
          </cell>
          <cell r="M216" t="str">
            <v>专项储备_综合收益总额增加权益</v>
          </cell>
          <cell r="S216" t="str">
            <v>2701c</v>
          </cell>
          <cell r="T216" t="str">
            <v>长期应付款明细项目</v>
          </cell>
          <cell r="U216" t="str">
            <v>项       目</v>
          </cell>
          <cell r="V216">
            <v>1</v>
          </cell>
          <cell r="W216">
            <v>2701</v>
          </cell>
          <cell r="X216">
            <v>1</v>
          </cell>
        </row>
        <row r="217">
          <cell r="B217" t="str">
            <v>8b04</v>
          </cell>
          <cell r="C217" t="str">
            <v>其他权益工具（优先股）_同一控制下企业合并调整上年年末余额</v>
          </cell>
          <cell r="D217">
            <v>-1</v>
          </cell>
          <cell r="E217" t="str">
            <v>※OEI</v>
          </cell>
          <cell r="F217">
            <v>0</v>
          </cell>
          <cell r="G217" t="str">
            <v>同一控制下企业合并</v>
          </cell>
          <cell r="H217">
            <v>0</v>
          </cell>
          <cell r="I217" t="str">
            <v>8b04</v>
          </cell>
          <cell r="J217" t="str">
            <v>J</v>
          </cell>
          <cell r="M217" t="str">
            <v>专项储备_所有者投入资本增加权益</v>
          </cell>
          <cell r="S217" t="str">
            <v>2701d</v>
          </cell>
          <cell r="T217" t="str">
            <v>外币长期应付款</v>
          </cell>
          <cell r="U217" t="str">
            <v>币       种</v>
          </cell>
          <cell r="V217">
            <v>1</v>
          </cell>
          <cell r="W217">
            <v>2701</v>
          </cell>
          <cell r="X217">
            <v>2</v>
          </cell>
        </row>
        <row r="218">
          <cell r="B218" t="str">
            <v>8b09</v>
          </cell>
          <cell r="C218" t="str">
            <v>其他权益工具（优先股）_其他原因调整上年年末余额</v>
          </cell>
          <cell r="D218">
            <v>-1</v>
          </cell>
          <cell r="E218" t="str">
            <v>OEI</v>
          </cell>
          <cell r="F218">
            <v>0</v>
          </cell>
          <cell r="G218" t="str">
            <v>其他</v>
          </cell>
          <cell r="H218">
            <v>0</v>
          </cell>
          <cell r="I218" t="str">
            <v>8b09</v>
          </cell>
          <cell r="J218" t="str">
            <v>J</v>
          </cell>
          <cell r="M218" t="str">
            <v>专项储备_股份支付计入所有者权益的金额</v>
          </cell>
          <cell r="S218" t="str">
            <v>2715a</v>
          </cell>
          <cell r="T218" t="str">
            <v>长期应付职工薪酬</v>
          </cell>
          <cell r="U218" t="str">
            <v>项       目</v>
          </cell>
          <cell r="V218">
            <v>1</v>
          </cell>
          <cell r="W218">
            <v>2715</v>
          </cell>
          <cell r="X218">
            <v>1</v>
          </cell>
        </row>
        <row r="219">
          <cell r="B219" t="str">
            <v>8b10</v>
          </cell>
          <cell r="C219" t="str">
            <v>其他权益工具（优先股）_本年年初余额</v>
          </cell>
          <cell r="D219">
            <v>0</v>
          </cell>
          <cell r="E219" t="str">
            <v>OEI＝</v>
          </cell>
          <cell r="F219">
            <v>0</v>
          </cell>
          <cell r="G219" t="str">
            <v>二、本年年初余额</v>
          </cell>
          <cell r="H219">
            <v>0</v>
          </cell>
          <cell r="I219" t="str">
            <v>8b10</v>
          </cell>
          <cell r="J219">
            <v>0</v>
          </cell>
          <cell r="M219" t="str">
            <v>专项储备_其他权益工具持有者投入资本</v>
          </cell>
          <cell r="S219" t="str">
            <v>2715b</v>
          </cell>
          <cell r="T219" t="str">
            <v>设定受益计划义务现值变动情况</v>
          </cell>
          <cell r="U219" t="str">
            <v>项       目</v>
          </cell>
          <cell r="V219">
            <v>1</v>
          </cell>
          <cell r="W219">
            <v>2715</v>
          </cell>
          <cell r="X219">
            <v>2</v>
          </cell>
        </row>
        <row r="220">
          <cell r="B220" t="str">
            <v>8b90</v>
          </cell>
          <cell r="C220" t="str">
            <v>其他权益工具（优先股）_本期增减变动金额</v>
          </cell>
          <cell r="D220">
            <v>0</v>
          </cell>
          <cell r="E220" t="str">
            <v>OEI＝</v>
          </cell>
          <cell r="F220">
            <v>0</v>
          </cell>
          <cell r="G220" t="str">
            <v>三、本期增减变动金额（减少以“-”号填列）</v>
          </cell>
          <cell r="H220">
            <v>0</v>
          </cell>
          <cell r="I220" t="str">
            <v>8b90</v>
          </cell>
          <cell r="J220">
            <v>0</v>
          </cell>
          <cell r="M220" t="str">
            <v>专项储备_所有者其他投入和减少资本</v>
          </cell>
          <cell r="S220" t="str">
            <v>2715c</v>
          </cell>
          <cell r="T220" t="str">
            <v>设定受益计划资产变动情况</v>
          </cell>
          <cell r="U220" t="str">
            <v>项       目</v>
          </cell>
          <cell r="V220">
            <v>1</v>
          </cell>
          <cell r="W220">
            <v>2715</v>
          </cell>
          <cell r="X220">
            <v>2</v>
          </cell>
        </row>
        <row r="221">
          <cell r="B221" t="str">
            <v>8b40</v>
          </cell>
          <cell r="C221" t="str">
            <v>其他权益工具（优先股）_综合收益总额增加权益</v>
          </cell>
          <cell r="D221">
            <v>-1</v>
          </cell>
          <cell r="E221" t="str">
            <v>OEI</v>
          </cell>
          <cell r="F221">
            <v>0</v>
          </cell>
          <cell r="G221" t="str">
            <v>（一）综合收益总额</v>
          </cell>
          <cell r="H221">
            <v>0</v>
          </cell>
          <cell r="I221" t="str">
            <v>8b40</v>
          </cell>
          <cell r="J221" t="str">
            <v>J</v>
          </cell>
          <cell r="M221" t="str">
            <v>专项储备_提取盈余公积影响权益</v>
          </cell>
          <cell r="S221" t="str">
            <v>2715d</v>
          </cell>
          <cell r="T221" t="str">
            <v>设定受益计划净负债变动情况</v>
          </cell>
          <cell r="U221" t="str">
            <v>项       目</v>
          </cell>
          <cell r="V221">
            <v>1</v>
          </cell>
          <cell r="W221">
            <v>2715</v>
          </cell>
          <cell r="X221">
            <v>2</v>
          </cell>
        </row>
        <row r="222">
          <cell r="B222" t="str">
            <v>8b50</v>
          </cell>
          <cell r="C222" t="str">
            <v>其他权益工具（优先股）_所有者投入和减少资本影响权益</v>
          </cell>
          <cell r="D222">
            <v>0</v>
          </cell>
          <cell r="E222" t="str">
            <v>OEI＝</v>
          </cell>
          <cell r="F222">
            <v>0</v>
          </cell>
          <cell r="G222" t="str">
            <v>（二）所有者投入和减少资本</v>
          </cell>
          <cell r="H222">
            <v>0</v>
          </cell>
          <cell r="I222" t="str">
            <v>8b50</v>
          </cell>
          <cell r="J222">
            <v>0</v>
          </cell>
          <cell r="M222" t="str">
            <v>专项储备_提取一般风险准备影响权益</v>
          </cell>
          <cell r="S222" t="str">
            <v>2715e</v>
          </cell>
          <cell r="T222" t="str">
            <v>未折现的离职后福利预计到期分析</v>
          </cell>
          <cell r="U222" t="str">
            <v>项       目</v>
          </cell>
          <cell r="V222">
            <v>1</v>
          </cell>
          <cell r="W222">
            <v>2715</v>
          </cell>
          <cell r="X222">
            <v>2</v>
          </cell>
        </row>
        <row r="223">
          <cell r="B223" t="str">
            <v>8b51</v>
          </cell>
          <cell r="C223" t="str">
            <v>其他权益工具（优先股）_所有者投入资本</v>
          </cell>
          <cell r="D223">
            <v>-1</v>
          </cell>
          <cell r="E223" t="str">
            <v>OEI</v>
          </cell>
          <cell r="F223">
            <v>0</v>
          </cell>
          <cell r="G223" t="str">
            <v>所有者投入资本</v>
          </cell>
          <cell r="H223">
            <v>0</v>
          </cell>
          <cell r="I223" t="str">
            <v>8b51</v>
          </cell>
          <cell r="J223" t="str">
            <v>J</v>
          </cell>
          <cell r="M223" t="str">
            <v>专项储备_对所有者的分配影响权益</v>
          </cell>
          <cell r="S223" t="str">
            <v>2715f</v>
          </cell>
          <cell r="T223" t="str">
            <v>设定受益计划资产明细</v>
          </cell>
          <cell r="U223" t="str">
            <v>项       目</v>
          </cell>
          <cell r="V223">
            <v>1</v>
          </cell>
          <cell r="W223">
            <v>2715</v>
          </cell>
          <cell r="X223">
            <v>2</v>
          </cell>
        </row>
        <row r="224">
          <cell r="B224" t="str">
            <v>8b52</v>
          </cell>
          <cell r="C224" t="str">
            <v>其他权益工具（优先股）_股份支付</v>
          </cell>
          <cell r="D224">
            <v>-1</v>
          </cell>
          <cell r="E224" t="str">
            <v>OEI</v>
          </cell>
          <cell r="F224">
            <v>0</v>
          </cell>
          <cell r="G224" t="str">
            <v>股份支付计入所有者权益的金额</v>
          </cell>
          <cell r="H224">
            <v>0</v>
          </cell>
          <cell r="I224" t="str">
            <v>8b52</v>
          </cell>
          <cell r="J224" t="str">
            <v>J</v>
          </cell>
          <cell r="M224" t="str">
            <v>专项储备_其他利润分配影响权益</v>
          </cell>
          <cell r="S224" t="str">
            <v>2715g</v>
          </cell>
          <cell r="T224" t="str">
            <v>设定受益计划精算假设</v>
          </cell>
          <cell r="U224" t="str">
            <v>项       目</v>
          </cell>
          <cell r="V224">
            <v>1</v>
          </cell>
          <cell r="W224">
            <v>2715</v>
          </cell>
          <cell r="X224">
            <v>2</v>
          </cell>
        </row>
        <row r="225">
          <cell r="B225" t="str">
            <v>8b53</v>
          </cell>
          <cell r="C225" t="str">
            <v>其他权益工具（优先股）_其他权益工具持有者投入资本</v>
          </cell>
          <cell r="D225">
            <v>-1</v>
          </cell>
          <cell r="E225" t="str">
            <v>OEI</v>
          </cell>
          <cell r="F225">
            <v>0</v>
          </cell>
          <cell r="G225" t="str">
            <v>其他权益工具持有者投入资本</v>
          </cell>
          <cell r="H225">
            <v>0</v>
          </cell>
          <cell r="I225" t="str">
            <v>8b53</v>
          </cell>
          <cell r="J225" t="str">
            <v>J</v>
          </cell>
          <cell r="M225" t="str">
            <v>专项储备_资本公积转增资本影响权益</v>
          </cell>
          <cell r="S225" t="str">
            <v>2715h</v>
          </cell>
          <cell r="T225" t="str">
            <v>设定受益计划敏感性分析</v>
          </cell>
          <cell r="U225" t="str">
            <v>项       目</v>
          </cell>
          <cell r="V225">
            <v>1</v>
          </cell>
          <cell r="W225">
            <v>2715</v>
          </cell>
          <cell r="X225">
            <v>2</v>
          </cell>
        </row>
        <row r="226">
          <cell r="B226" t="str">
            <v>8b56</v>
          </cell>
          <cell r="C226" t="str">
            <v>其他权益工具（优先股）_所有者其他投入和减少资本</v>
          </cell>
          <cell r="D226">
            <v>-1</v>
          </cell>
          <cell r="E226" t="str">
            <v>OEI</v>
          </cell>
          <cell r="F226">
            <v>0</v>
          </cell>
          <cell r="G226" t="str">
            <v>其他</v>
          </cell>
          <cell r="H226">
            <v>0</v>
          </cell>
          <cell r="I226" t="str">
            <v>8b56</v>
          </cell>
          <cell r="J226" t="str">
            <v>J</v>
          </cell>
          <cell r="M226" t="str">
            <v>专项储备_盈余公积转增资本影响权益</v>
          </cell>
          <cell r="S226" t="str">
            <v>2711a</v>
          </cell>
          <cell r="T226" t="str">
            <v>专项应付款明细项目</v>
          </cell>
          <cell r="U226" t="str">
            <v>项       目</v>
          </cell>
          <cell r="V226">
            <v>1</v>
          </cell>
          <cell r="W226">
            <v>2711</v>
          </cell>
          <cell r="X226">
            <v>1</v>
          </cell>
        </row>
        <row r="227">
          <cell r="B227" t="str">
            <v>8b60</v>
          </cell>
          <cell r="C227" t="str">
            <v>其他权益工具（优先股）_利润分配影响权益</v>
          </cell>
          <cell r="D227">
            <v>0</v>
          </cell>
          <cell r="E227" t="str">
            <v>OEI＝</v>
          </cell>
          <cell r="F227">
            <v>0</v>
          </cell>
          <cell r="G227" t="str">
            <v>（三）利润分配</v>
          </cell>
          <cell r="H227">
            <v>0</v>
          </cell>
          <cell r="I227" t="str">
            <v>8b60</v>
          </cell>
          <cell r="J227">
            <v>0</v>
          </cell>
          <cell r="M227" t="str">
            <v>专项储备_盈余公积弥补亏损影响权益</v>
          </cell>
          <cell r="S227" t="str">
            <v>2711b</v>
          </cell>
          <cell r="T227" t="str">
            <v>外币专项应付款</v>
          </cell>
          <cell r="U227" t="str">
            <v>币       种</v>
          </cell>
          <cell r="V227">
            <v>1</v>
          </cell>
          <cell r="W227">
            <v>2711</v>
          </cell>
          <cell r="X227">
            <v>2</v>
          </cell>
        </row>
        <row r="228">
          <cell r="B228" t="str">
            <v>8b61</v>
          </cell>
          <cell r="C228" t="str">
            <v>其他权益工具（优先股）_提取盈余公积</v>
          </cell>
          <cell r="D228">
            <v>-1</v>
          </cell>
          <cell r="E228" t="str">
            <v>OEI</v>
          </cell>
          <cell r="F228">
            <v>0</v>
          </cell>
          <cell r="G228" t="str">
            <v>提取盈余公积</v>
          </cell>
          <cell r="H228">
            <v>0</v>
          </cell>
          <cell r="I228" t="str">
            <v>8b61</v>
          </cell>
          <cell r="J228" t="str">
            <v>J</v>
          </cell>
          <cell r="M228" t="str">
            <v>专项储备_设定受益计划变动额结转留存收益</v>
          </cell>
          <cell r="S228" t="str">
            <v>2801a</v>
          </cell>
          <cell r="T228" t="str">
            <v>预计负债明细项目</v>
          </cell>
          <cell r="U228" t="str">
            <v>种       类</v>
          </cell>
          <cell r="V228">
            <v>1</v>
          </cell>
          <cell r="W228">
            <v>2801</v>
          </cell>
          <cell r="X228">
            <v>1</v>
          </cell>
        </row>
        <row r="229">
          <cell r="B229" t="str">
            <v>8b62</v>
          </cell>
          <cell r="C229" t="str">
            <v>其他权益工具（优先股）_提取一般风险准备</v>
          </cell>
          <cell r="D229">
            <v>-1</v>
          </cell>
          <cell r="E229" t="str">
            <v>OEI</v>
          </cell>
          <cell r="F229">
            <v>0</v>
          </cell>
          <cell r="G229" t="str">
            <v>提取一般风险准备</v>
          </cell>
          <cell r="H229">
            <v>0</v>
          </cell>
          <cell r="I229" t="str">
            <v>8b62</v>
          </cell>
          <cell r="J229" t="str">
            <v>J</v>
          </cell>
          <cell r="M229" t="str">
            <v>专项储备_所有者权益其他内部结转</v>
          </cell>
          <cell r="S229" t="str">
            <v>2401a</v>
          </cell>
          <cell r="T229" t="str">
            <v>递延收益</v>
          </cell>
          <cell r="U229" t="str">
            <v>项       目</v>
          </cell>
          <cell r="V229">
            <v>1</v>
          </cell>
          <cell r="W229">
            <v>2401</v>
          </cell>
          <cell r="X229">
            <v>1</v>
          </cell>
        </row>
        <row r="230">
          <cell r="B230" t="str">
            <v>8b63</v>
          </cell>
          <cell r="C230" t="str">
            <v>其他权益工具（优先股）_对所有者的分配</v>
          </cell>
          <cell r="D230">
            <v>-1</v>
          </cell>
          <cell r="E230" t="str">
            <v>OEI</v>
          </cell>
          <cell r="F230">
            <v>0</v>
          </cell>
          <cell r="G230" t="str">
            <v>对所有者（或股东）的分配</v>
          </cell>
          <cell r="H230">
            <v>0</v>
          </cell>
          <cell r="I230" t="str">
            <v>8b63</v>
          </cell>
          <cell r="J230" t="str">
            <v>J</v>
          </cell>
          <cell r="M230" t="str">
            <v>专项储备_本期提取</v>
          </cell>
          <cell r="S230" t="str">
            <v>2401b</v>
          </cell>
          <cell r="T230" t="str">
            <v>递延收益——政府补助情况</v>
          </cell>
          <cell r="U230" t="str">
            <v>补助项目</v>
          </cell>
          <cell r="V230">
            <v>1</v>
          </cell>
          <cell r="W230">
            <v>2401</v>
          </cell>
          <cell r="X230">
            <v>2</v>
          </cell>
        </row>
        <row r="231">
          <cell r="B231" t="str">
            <v>8b66</v>
          </cell>
          <cell r="C231" t="str">
            <v>其他权益工具（优先股）_其他利润分配</v>
          </cell>
          <cell r="D231">
            <v>-1</v>
          </cell>
          <cell r="E231" t="str">
            <v>OEI</v>
          </cell>
          <cell r="F231">
            <v>0</v>
          </cell>
          <cell r="G231" t="str">
            <v>其他</v>
          </cell>
          <cell r="H231">
            <v>0</v>
          </cell>
          <cell r="I231" t="str">
            <v>8b66</v>
          </cell>
          <cell r="J231" t="str">
            <v>J</v>
          </cell>
          <cell r="M231" t="str">
            <v>专项储备_本期使用</v>
          </cell>
          <cell r="S231" t="str">
            <v>2996a</v>
          </cell>
          <cell r="T231" t="str">
            <v>其他非流动负债明细项目</v>
          </cell>
          <cell r="U231" t="str">
            <v>项       目</v>
          </cell>
          <cell r="V231">
            <v>1</v>
          </cell>
          <cell r="W231">
            <v>2996</v>
          </cell>
          <cell r="X231">
            <v>1</v>
          </cell>
        </row>
        <row r="232">
          <cell r="B232" t="str">
            <v>8b70</v>
          </cell>
          <cell r="C232" t="str">
            <v>其他权益工具（优先股）_所有者权益内部结转</v>
          </cell>
          <cell r="D232">
            <v>0</v>
          </cell>
          <cell r="E232" t="str">
            <v>OEI＝</v>
          </cell>
          <cell r="F232">
            <v>0</v>
          </cell>
          <cell r="G232" t="str">
            <v>（四）所有者权益内部结转</v>
          </cell>
          <cell r="H232">
            <v>0</v>
          </cell>
          <cell r="I232" t="str">
            <v>8b70</v>
          </cell>
          <cell r="J232">
            <v>0</v>
          </cell>
          <cell r="M232" t="str">
            <v>专项储备_本期其他增减变动</v>
          </cell>
          <cell r="S232" t="str">
            <v>2996x</v>
          </cell>
          <cell r="T232" t="str">
            <v>其他非流动负债</v>
          </cell>
          <cell r="U232" t="str">
            <v>项       目</v>
          </cell>
          <cell r="V232">
            <v>1</v>
          </cell>
          <cell r="W232">
            <v>2996</v>
          </cell>
          <cell r="X232">
            <v>2</v>
          </cell>
        </row>
        <row r="233">
          <cell r="B233" t="str">
            <v>8b71</v>
          </cell>
          <cell r="C233" t="str">
            <v>其他权益工具（优先股）_资本公积转增资本</v>
          </cell>
          <cell r="D233">
            <v>-1</v>
          </cell>
          <cell r="E233" t="str">
            <v>OEI</v>
          </cell>
          <cell r="F233">
            <v>0</v>
          </cell>
          <cell r="G233" t="str">
            <v>资本公积转增资本（或股本）</v>
          </cell>
          <cell r="H233">
            <v>0</v>
          </cell>
          <cell r="I233" t="str">
            <v>8b71</v>
          </cell>
          <cell r="J233" t="str">
            <v>J</v>
          </cell>
          <cell r="M233" t="str">
            <v>盈余公积_上年年末余额</v>
          </cell>
          <cell r="S233" t="str">
            <v>4001a</v>
          </cell>
          <cell r="T233" t="str">
            <v>股本变动情况</v>
          </cell>
          <cell r="U233" t="str">
            <v>股份类别</v>
          </cell>
          <cell r="V233">
            <v>0</v>
          </cell>
          <cell r="W233">
            <v>4001</v>
          </cell>
          <cell r="X233">
            <v>2</v>
          </cell>
        </row>
        <row r="234">
          <cell r="B234" t="str">
            <v>8b72</v>
          </cell>
          <cell r="C234" t="str">
            <v>其他权益工具（优先股）_盈余公积转增资本</v>
          </cell>
          <cell r="D234">
            <v>-1</v>
          </cell>
          <cell r="E234" t="str">
            <v>OEI</v>
          </cell>
          <cell r="F234">
            <v>0</v>
          </cell>
          <cell r="G234" t="str">
            <v>盈余公积转增资本（或股本）</v>
          </cell>
          <cell r="H234">
            <v>0</v>
          </cell>
          <cell r="I234" t="str">
            <v>8b72</v>
          </cell>
          <cell r="J234" t="str">
            <v>J</v>
          </cell>
          <cell r="M234" t="str">
            <v>盈余公积_会计政策变更调整上年年末余额</v>
          </cell>
          <cell r="S234" t="str">
            <v>4001b</v>
          </cell>
          <cell r="T234" t="str">
            <v>实收资本变动情况</v>
          </cell>
          <cell r="U234" t="str">
            <v>股东名称</v>
          </cell>
          <cell r="V234">
            <v>1</v>
          </cell>
          <cell r="W234">
            <v>4001</v>
          </cell>
          <cell r="X234">
            <v>1</v>
          </cell>
        </row>
        <row r="235">
          <cell r="B235" t="str">
            <v>8b73</v>
          </cell>
          <cell r="C235" t="str">
            <v>其他权益工具（优先股）_盈余公积弥补亏损</v>
          </cell>
          <cell r="D235">
            <v>-1</v>
          </cell>
          <cell r="E235" t="str">
            <v>OEI</v>
          </cell>
          <cell r="F235">
            <v>0</v>
          </cell>
          <cell r="G235" t="str">
            <v>盈余公积弥补亏损</v>
          </cell>
          <cell r="H235">
            <v>0</v>
          </cell>
          <cell r="I235" t="str">
            <v>8b73</v>
          </cell>
          <cell r="J235" t="str">
            <v>J</v>
          </cell>
          <cell r="M235" t="str">
            <v>盈余公积_前期差错更正调整上年年末余额</v>
          </cell>
          <cell r="S235" t="str">
            <v>4015b</v>
          </cell>
          <cell r="T235" t="str">
            <v>期末发行在外的优先股、永续债等其他金融工具的基本情况</v>
          </cell>
          <cell r="U235">
            <v>0</v>
          </cell>
          <cell r="V235">
            <v>1</v>
          </cell>
          <cell r="W235">
            <v>4015</v>
          </cell>
          <cell r="X235">
            <v>2</v>
          </cell>
        </row>
        <row r="236">
          <cell r="B236" t="str">
            <v>8b75</v>
          </cell>
          <cell r="C236" t="str">
            <v>其他权益工具（优先股）_设定受益计划变动额结转留存收益</v>
          </cell>
          <cell r="D236">
            <v>-1</v>
          </cell>
          <cell r="E236" t="str">
            <v>OEI</v>
          </cell>
          <cell r="F236">
            <v>0</v>
          </cell>
          <cell r="G236" t="str">
            <v>设定受益计划变动额结转留存收益</v>
          </cell>
          <cell r="H236">
            <v>0</v>
          </cell>
          <cell r="I236" t="str">
            <v>8b75</v>
          </cell>
          <cell r="J236" t="str">
            <v>J</v>
          </cell>
          <cell r="M236" t="str">
            <v>盈余公积_同一控制下企业合并调整上年年末余额</v>
          </cell>
          <cell r="S236" t="str">
            <v>4015a</v>
          </cell>
          <cell r="T236" t="str">
            <v>期末发行在外的优先股、永续债等其他金融工具变动情况表</v>
          </cell>
          <cell r="U236" t="str">
            <v>发行在外的金融工具</v>
          </cell>
          <cell r="V236">
            <v>1</v>
          </cell>
          <cell r="W236">
            <v>4015</v>
          </cell>
          <cell r="X236">
            <v>1</v>
          </cell>
        </row>
        <row r="237">
          <cell r="B237" t="str">
            <v>8b76</v>
          </cell>
          <cell r="C237" t="str">
            <v>其他权益工具（优先股）_所有者权益其他内部结转</v>
          </cell>
          <cell r="D237">
            <v>-1</v>
          </cell>
          <cell r="E237" t="str">
            <v>OEI</v>
          </cell>
          <cell r="F237">
            <v>0</v>
          </cell>
          <cell r="G237" t="str">
            <v>其他</v>
          </cell>
          <cell r="H237">
            <v>0</v>
          </cell>
          <cell r="I237" t="str">
            <v>8b76</v>
          </cell>
          <cell r="J237" t="str">
            <v>J</v>
          </cell>
          <cell r="M237" t="str">
            <v>盈余公积_其他原因调整上年年末余额</v>
          </cell>
          <cell r="S237" t="str">
            <v>4015c</v>
          </cell>
          <cell r="T237" t="str">
            <v>权益工具持有者的相关信息</v>
          </cell>
          <cell r="U237" t="str">
            <v>项       目</v>
          </cell>
          <cell r="V237">
            <v>1</v>
          </cell>
          <cell r="W237">
            <v>4015</v>
          </cell>
          <cell r="X237">
            <v>2</v>
          </cell>
        </row>
        <row r="238">
          <cell r="B238" t="str">
            <v>8b80</v>
          </cell>
          <cell r="C238" t="str">
            <v>其他权益工具（优先股）_专项储备影响权益</v>
          </cell>
          <cell r="D238">
            <v>0</v>
          </cell>
          <cell r="E238" t="str">
            <v>OEI＝</v>
          </cell>
          <cell r="F238">
            <v>0</v>
          </cell>
          <cell r="G238" t="str">
            <v>（五）专项储备</v>
          </cell>
          <cell r="H238">
            <v>0</v>
          </cell>
          <cell r="I238" t="str">
            <v>8b80</v>
          </cell>
          <cell r="J238">
            <v>0</v>
          </cell>
          <cell r="M238" t="str">
            <v>盈余公积_净利润增加权益</v>
          </cell>
          <cell r="S238" t="str">
            <v>4002a</v>
          </cell>
          <cell r="T238" t="str">
            <v>资本公积变动情况</v>
          </cell>
          <cell r="U238" t="str">
            <v>种       类</v>
          </cell>
          <cell r="V238">
            <v>1</v>
          </cell>
          <cell r="W238">
            <v>4002</v>
          </cell>
          <cell r="X238">
            <v>1</v>
          </cell>
        </row>
        <row r="239">
          <cell r="B239" t="str">
            <v>8b81</v>
          </cell>
          <cell r="C239" t="str">
            <v>其他权益工具（优先股）_专项储备本期提取</v>
          </cell>
          <cell r="D239">
            <v>-1</v>
          </cell>
          <cell r="E239" t="str">
            <v>OEI</v>
          </cell>
          <cell r="F239">
            <v>0</v>
          </cell>
          <cell r="G239" t="str">
            <v>本期提取</v>
          </cell>
          <cell r="H239">
            <v>0</v>
          </cell>
          <cell r="I239" t="str">
            <v>8b81</v>
          </cell>
          <cell r="J239" t="str">
            <v>J</v>
          </cell>
          <cell r="M239" t="str">
            <v>盈余公积_其他综合收益增加权益</v>
          </cell>
          <cell r="S239" t="str">
            <v>4201a</v>
          </cell>
          <cell r="T239" t="str">
            <v>库存股变动情况</v>
          </cell>
          <cell r="U239" t="str">
            <v>项       目</v>
          </cell>
          <cell r="V239">
            <v>1</v>
          </cell>
          <cell r="W239">
            <v>4201</v>
          </cell>
          <cell r="X239">
            <v>1</v>
          </cell>
        </row>
        <row r="240">
          <cell r="B240" t="str">
            <v>8b82</v>
          </cell>
          <cell r="C240" t="str">
            <v>其他权益工具（优先股）_专项储备本期使用</v>
          </cell>
          <cell r="D240">
            <v>-1</v>
          </cell>
          <cell r="E240" t="str">
            <v>OEI</v>
          </cell>
          <cell r="F240">
            <v>0</v>
          </cell>
          <cell r="G240" t="str">
            <v>本期使用</v>
          </cell>
          <cell r="H240">
            <v>0</v>
          </cell>
          <cell r="I240" t="str">
            <v>8b82</v>
          </cell>
          <cell r="J240" t="str">
            <v>J</v>
          </cell>
          <cell r="M240" t="str">
            <v>盈余公积_综合收益总额增加权益</v>
          </cell>
          <cell r="S240" t="str">
            <v>4215a</v>
          </cell>
          <cell r="T240" t="str">
            <v>其他综合收益</v>
          </cell>
          <cell r="U240" t="str">
            <v>项       目</v>
          </cell>
          <cell r="V240">
            <v>1</v>
          </cell>
          <cell r="W240">
            <v>4215</v>
          </cell>
          <cell r="X240">
            <v>1</v>
          </cell>
        </row>
        <row r="241">
          <cell r="B241" t="str">
            <v>8b96</v>
          </cell>
          <cell r="C241" t="str">
            <v>其他权益工具（优先股）_本期其他增减变动</v>
          </cell>
          <cell r="D241">
            <v>-1</v>
          </cell>
          <cell r="E241" t="str">
            <v>OEI</v>
          </cell>
          <cell r="F241">
            <v>0</v>
          </cell>
          <cell r="G241" t="str">
            <v>（七）其他</v>
          </cell>
          <cell r="H241">
            <v>0</v>
          </cell>
          <cell r="I241" t="str">
            <v>8b96</v>
          </cell>
          <cell r="J241" t="str">
            <v>J</v>
          </cell>
          <cell r="M241" t="str">
            <v>盈余公积_所有者投入资本增加权益</v>
          </cell>
          <cell r="S241" t="str">
            <v>4301a</v>
          </cell>
          <cell r="T241" t="str">
            <v>专项储备变动情况</v>
          </cell>
          <cell r="U241" t="str">
            <v>项       目</v>
          </cell>
          <cell r="V241">
            <v>1</v>
          </cell>
          <cell r="W241">
            <v>4301</v>
          </cell>
          <cell r="X241">
            <v>1</v>
          </cell>
        </row>
        <row r="242">
          <cell r="B242" t="str">
            <v>8b99</v>
          </cell>
          <cell r="C242" t="str">
            <v>其他权益工具（优先股）_本期期末余额</v>
          </cell>
          <cell r="D242">
            <v>0</v>
          </cell>
          <cell r="E242" t="str">
            <v>OEI＝</v>
          </cell>
          <cell r="F242">
            <v>0</v>
          </cell>
          <cell r="G242" t="str">
            <v>四、本期期末余额</v>
          </cell>
          <cell r="H242">
            <v>0</v>
          </cell>
          <cell r="I242" t="str">
            <v>8b99</v>
          </cell>
          <cell r="J242">
            <v>0</v>
          </cell>
          <cell r="M242" t="str">
            <v>盈余公积_股份支付计入所有者权益的金额</v>
          </cell>
          <cell r="S242" t="str">
            <v>4101a</v>
          </cell>
          <cell r="T242" t="str">
            <v>盈余公积变动情况</v>
          </cell>
          <cell r="U242" t="str">
            <v>项       目</v>
          </cell>
          <cell r="V242">
            <v>1</v>
          </cell>
          <cell r="W242">
            <v>4101</v>
          </cell>
          <cell r="X242">
            <v>1</v>
          </cell>
        </row>
        <row r="243">
          <cell r="B243" t="str">
            <v>8c00</v>
          </cell>
          <cell r="C243" t="str">
            <v>其他权益工具（永续债）增减变动</v>
          </cell>
          <cell r="D243">
            <v>0</v>
          </cell>
          <cell r="E243" t="str">
            <v>：OEI</v>
          </cell>
          <cell r="F243">
            <v>0</v>
          </cell>
          <cell r="G243" t="str">
            <v>其他权益工具（永续债）增减变动</v>
          </cell>
          <cell r="H243">
            <v>0</v>
          </cell>
          <cell r="I243" t="str">
            <v>8c00</v>
          </cell>
          <cell r="J243">
            <v>0</v>
          </cell>
          <cell r="M243" t="str">
            <v>盈余公积_其他权益工具持有者投入资本</v>
          </cell>
          <cell r="S243" t="str">
            <v>4102a</v>
          </cell>
          <cell r="T243" t="str">
            <v>一般风险准备变动情况</v>
          </cell>
          <cell r="U243" t="str">
            <v>项       目</v>
          </cell>
          <cell r="V243">
            <v>1</v>
          </cell>
          <cell r="W243">
            <v>4102</v>
          </cell>
          <cell r="X243">
            <v>1</v>
          </cell>
        </row>
        <row r="244">
          <cell r="B244" t="str">
            <v>8c01</v>
          </cell>
          <cell r="C244" t="str">
            <v>其他权益工具（永续债）_上年年末余额</v>
          </cell>
          <cell r="D244">
            <v>-1</v>
          </cell>
          <cell r="E244" t="str">
            <v>OEI</v>
          </cell>
          <cell r="F244">
            <v>0</v>
          </cell>
          <cell r="G244" t="str">
            <v>一、上年年末余额</v>
          </cell>
          <cell r="H244">
            <v>0</v>
          </cell>
          <cell r="I244" t="str">
            <v>8c01</v>
          </cell>
          <cell r="J244" t="str">
            <v>J</v>
          </cell>
          <cell r="M244" t="str">
            <v>盈余公积_所有者其他投入和减少资本</v>
          </cell>
          <cell r="S244" t="str">
            <v>4200a</v>
          </cell>
          <cell r="T244" t="str">
            <v>未分配利润增减变动情况</v>
          </cell>
          <cell r="U244" t="str">
            <v>项       目</v>
          </cell>
          <cell r="V244">
            <v>1</v>
          </cell>
          <cell r="W244">
            <v>4200</v>
          </cell>
          <cell r="X244">
            <v>1</v>
          </cell>
        </row>
        <row r="245">
          <cell r="B245" t="str">
            <v>8c02</v>
          </cell>
          <cell r="C245" t="str">
            <v>其他权益工具（永续债）_会计政策变更调整上年年末余额</v>
          </cell>
          <cell r="D245">
            <v>-1</v>
          </cell>
          <cell r="E245" t="str">
            <v>OEI</v>
          </cell>
          <cell r="F245">
            <v>0</v>
          </cell>
          <cell r="G245" t="str">
            <v>加：会计政策变更</v>
          </cell>
          <cell r="H245">
            <v>0</v>
          </cell>
          <cell r="I245" t="str">
            <v>8c02</v>
          </cell>
          <cell r="J245" t="str">
            <v>J</v>
          </cell>
          <cell r="M245" t="str">
            <v>盈余公积_提取</v>
          </cell>
          <cell r="S245" t="str">
            <v>4200b</v>
          </cell>
          <cell r="T245" t="str">
            <v>调整本期期初未分配利润明细情况</v>
          </cell>
          <cell r="U245" t="str">
            <v>调整原因</v>
          </cell>
          <cell r="V245">
            <v>1</v>
          </cell>
          <cell r="W245">
            <v>4200</v>
          </cell>
          <cell r="X245">
            <v>2</v>
          </cell>
        </row>
        <row r="246">
          <cell r="B246" t="str">
            <v>8c03</v>
          </cell>
          <cell r="C246" t="str">
            <v>其他权益工具（永续债）_前期差错更正调整上年年末余额</v>
          </cell>
          <cell r="D246">
            <v>-1</v>
          </cell>
          <cell r="E246" t="str">
            <v>OEI</v>
          </cell>
          <cell r="F246">
            <v>0</v>
          </cell>
          <cell r="G246" t="str">
            <v>前期差错更正</v>
          </cell>
          <cell r="H246">
            <v>0</v>
          </cell>
          <cell r="I246" t="str">
            <v>8c03</v>
          </cell>
          <cell r="J246" t="str">
            <v>J</v>
          </cell>
          <cell r="M246" t="str">
            <v>盈余公积_提取一般风险准备影响权益</v>
          </cell>
          <cell r="S246" t="str">
            <v>6064a</v>
          </cell>
          <cell r="T246" t="str">
            <v>营业收入明细项目</v>
          </cell>
          <cell r="U246" t="str">
            <v>项       目</v>
          </cell>
          <cell r="V246">
            <v>-1</v>
          </cell>
          <cell r="W246">
            <v>6001</v>
          </cell>
          <cell r="X246">
            <v>1</v>
          </cell>
        </row>
        <row r="247">
          <cell r="B247" t="str">
            <v>8c04</v>
          </cell>
          <cell r="C247" t="str">
            <v>其他权益工具（永续债）_同一控制下企业合并调整上年年末余额</v>
          </cell>
          <cell r="D247">
            <v>-1</v>
          </cell>
          <cell r="E247" t="str">
            <v>※OEI</v>
          </cell>
          <cell r="F247">
            <v>0</v>
          </cell>
          <cell r="G247" t="str">
            <v>同一控制下企业合并</v>
          </cell>
          <cell r="H247">
            <v>0</v>
          </cell>
          <cell r="I247" t="str">
            <v>8c04</v>
          </cell>
          <cell r="J247" t="str">
            <v>J</v>
          </cell>
          <cell r="M247" t="str">
            <v>盈余公积_对所有者的分配</v>
          </cell>
          <cell r="S247" t="str">
            <v>6064b</v>
          </cell>
          <cell r="T247" t="str">
            <v>营业成本明细项目</v>
          </cell>
          <cell r="U247" t="str">
            <v>项       目</v>
          </cell>
          <cell r="V247">
            <v>-1</v>
          </cell>
          <cell r="W247">
            <v>6401</v>
          </cell>
          <cell r="X247">
            <v>1</v>
          </cell>
        </row>
        <row r="248">
          <cell r="B248" t="str">
            <v>8c09</v>
          </cell>
          <cell r="C248" t="str">
            <v>其他权益工具（永续债）_其他原因调整上年年末余额</v>
          </cell>
          <cell r="D248">
            <v>-1</v>
          </cell>
          <cell r="E248" t="str">
            <v>OEI</v>
          </cell>
          <cell r="F248">
            <v>0</v>
          </cell>
          <cell r="G248" t="str">
            <v>其他</v>
          </cell>
          <cell r="H248">
            <v>0</v>
          </cell>
          <cell r="I248" t="str">
            <v>8c09</v>
          </cell>
          <cell r="J248" t="str">
            <v>J</v>
          </cell>
          <cell r="M248" t="str">
            <v>盈余公积_其他利润分配</v>
          </cell>
          <cell r="S248" t="str">
            <v>6064c</v>
          </cell>
          <cell r="T248" t="str">
            <v>主营业务按行业类别列示</v>
          </cell>
          <cell r="U248" t="str">
            <v>行业或业务名称</v>
          </cell>
          <cell r="V248">
            <v>-2</v>
          </cell>
          <cell r="W248">
            <v>0</v>
          </cell>
          <cell r="X248">
            <v>2</v>
          </cell>
        </row>
        <row r="249">
          <cell r="B249" t="str">
            <v>8c10</v>
          </cell>
          <cell r="C249" t="str">
            <v>其他权益工具（永续债）_本年年初余额</v>
          </cell>
          <cell r="D249">
            <v>0</v>
          </cell>
          <cell r="E249" t="str">
            <v>OEI＝</v>
          </cell>
          <cell r="F249">
            <v>0</v>
          </cell>
          <cell r="G249" t="str">
            <v>二、本年年初余额</v>
          </cell>
          <cell r="H249">
            <v>0</v>
          </cell>
          <cell r="I249" t="str">
            <v>8c10</v>
          </cell>
          <cell r="J249">
            <v>0</v>
          </cell>
          <cell r="M249" t="str">
            <v>盈余公积_资本公积转增资本影响权益</v>
          </cell>
          <cell r="S249" t="str">
            <v>6064d</v>
          </cell>
          <cell r="T249" t="str">
            <v>主营业务按产品类别列示</v>
          </cell>
          <cell r="U249" t="str">
            <v>产品名称</v>
          </cell>
          <cell r="V249">
            <v>-2</v>
          </cell>
          <cell r="W249">
            <v>0</v>
          </cell>
          <cell r="X249">
            <v>2</v>
          </cell>
        </row>
        <row r="250">
          <cell r="B250" t="str">
            <v>8c90</v>
          </cell>
          <cell r="C250" t="str">
            <v>其他权益工具（永续债）_本期增减变动金额</v>
          </cell>
          <cell r="D250">
            <v>0</v>
          </cell>
          <cell r="E250" t="str">
            <v>OEI＝</v>
          </cell>
          <cell r="F250">
            <v>0</v>
          </cell>
          <cell r="G250" t="str">
            <v>三、本期增减变动金额（减少以“-”号填列）</v>
          </cell>
          <cell r="H250">
            <v>0</v>
          </cell>
          <cell r="I250" t="str">
            <v>8c90</v>
          </cell>
          <cell r="J250">
            <v>0</v>
          </cell>
          <cell r="M250" t="str">
            <v>盈余公积_转增资本</v>
          </cell>
          <cell r="S250" t="str">
            <v>6064e</v>
          </cell>
          <cell r="T250" t="str">
            <v>主营业务按地区类别列示</v>
          </cell>
          <cell r="U250" t="str">
            <v>地区名称</v>
          </cell>
          <cell r="V250">
            <v>-2</v>
          </cell>
          <cell r="W250">
            <v>0</v>
          </cell>
          <cell r="X250">
            <v>2</v>
          </cell>
        </row>
        <row r="251">
          <cell r="B251" t="str">
            <v>8c40</v>
          </cell>
          <cell r="C251" t="str">
            <v>其他权益工具（永续债）_综合收益总额增加权益</v>
          </cell>
          <cell r="D251">
            <v>-1</v>
          </cell>
          <cell r="E251" t="str">
            <v>OEI</v>
          </cell>
          <cell r="F251">
            <v>0</v>
          </cell>
          <cell r="G251" t="str">
            <v>（一）综合收益总额</v>
          </cell>
          <cell r="H251">
            <v>0</v>
          </cell>
          <cell r="I251" t="str">
            <v>8c40</v>
          </cell>
          <cell r="J251" t="str">
            <v>J</v>
          </cell>
          <cell r="M251" t="str">
            <v>盈余公积_弥补亏损</v>
          </cell>
          <cell r="S251" t="str">
            <v>6064f</v>
          </cell>
          <cell r="T251" t="str">
            <v>本期销售前十名情况</v>
          </cell>
          <cell r="U251" t="str">
            <v>客户名称</v>
          </cell>
          <cell r="V251">
            <v>-1</v>
          </cell>
          <cell r="W251">
            <v>6001</v>
          </cell>
          <cell r="X251">
            <v>2</v>
          </cell>
        </row>
        <row r="252">
          <cell r="B252" t="str">
            <v>8c50</v>
          </cell>
          <cell r="C252" t="str">
            <v>其他权益工具（永续债）_所有者投入和减少资本影响权益</v>
          </cell>
          <cell r="D252">
            <v>0</v>
          </cell>
          <cell r="E252" t="str">
            <v>OEI＝</v>
          </cell>
          <cell r="F252">
            <v>0</v>
          </cell>
          <cell r="G252" t="str">
            <v>（二）所有者投入和减少资本</v>
          </cell>
          <cell r="H252">
            <v>0</v>
          </cell>
          <cell r="I252" t="str">
            <v>8c50</v>
          </cell>
          <cell r="J252">
            <v>0</v>
          </cell>
          <cell r="M252" t="str">
            <v>盈余公积_设定受益计划变动额结转留存收益</v>
          </cell>
          <cell r="S252" t="str">
            <v>6064g</v>
          </cell>
          <cell r="T252" t="str">
            <v>本期采购前十名情况</v>
          </cell>
          <cell r="U252" t="str">
            <v>供应商名称</v>
          </cell>
          <cell r="V252">
            <v>-1</v>
          </cell>
          <cell r="W252">
            <v>6401</v>
          </cell>
          <cell r="X252">
            <v>2</v>
          </cell>
        </row>
        <row r="253">
          <cell r="B253" t="str">
            <v>8c51</v>
          </cell>
          <cell r="C253" t="str">
            <v>其他权益工具（永续债）_所有者投入资本</v>
          </cell>
          <cell r="D253">
            <v>-1</v>
          </cell>
          <cell r="E253" t="str">
            <v>OEI</v>
          </cell>
          <cell r="F253">
            <v>0</v>
          </cell>
          <cell r="G253" t="str">
            <v>所有者投入资本</v>
          </cell>
          <cell r="H253">
            <v>0</v>
          </cell>
          <cell r="I253" t="str">
            <v>8c51</v>
          </cell>
          <cell r="J253" t="str">
            <v>J</v>
          </cell>
          <cell r="M253" t="str">
            <v>盈余公积_所有者权益其他内部结转</v>
          </cell>
          <cell r="S253" t="str">
            <v>6001x</v>
          </cell>
          <cell r="T253" t="str">
            <v>营业收入补充资料</v>
          </cell>
          <cell r="U253" t="str">
            <v>项       目</v>
          </cell>
          <cell r="V253">
            <v>-1</v>
          </cell>
          <cell r="W253">
            <v>6001</v>
          </cell>
          <cell r="X253">
            <v>2</v>
          </cell>
        </row>
        <row r="254">
          <cell r="B254" t="str">
            <v>8c52</v>
          </cell>
          <cell r="C254" t="str">
            <v>其他权益工具（永续债）_股份支付</v>
          </cell>
          <cell r="D254">
            <v>-1</v>
          </cell>
          <cell r="E254" t="str">
            <v>OEI</v>
          </cell>
          <cell r="F254">
            <v>0</v>
          </cell>
          <cell r="G254" t="str">
            <v>股份支付计入所有者权益的金额</v>
          </cell>
          <cell r="H254">
            <v>0</v>
          </cell>
          <cell r="I254" t="str">
            <v>8c52</v>
          </cell>
          <cell r="J254" t="str">
            <v>J</v>
          </cell>
          <cell r="M254" t="str">
            <v>盈余公积_专项储备本期提取</v>
          </cell>
          <cell r="S254" t="str">
            <v>6401x</v>
          </cell>
          <cell r="T254" t="str">
            <v>营业成本补充资料</v>
          </cell>
          <cell r="U254" t="str">
            <v>项       目</v>
          </cell>
          <cell r="V254">
            <v>-1</v>
          </cell>
          <cell r="W254">
            <v>6401</v>
          </cell>
          <cell r="X254">
            <v>2</v>
          </cell>
        </row>
        <row r="255">
          <cell r="B255" t="str">
            <v>8c53</v>
          </cell>
          <cell r="C255" t="str">
            <v>其他权益工具（永续债）_其他权益工具持有者投入资本</v>
          </cell>
          <cell r="D255">
            <v>-1</v>
          </cell>
          <cell r="E255" t="str">
            <v>OEI</v>
          </cell>
          <cell r="F255">
            <v>0</v>
          </cell>
          <cell r="G255" t="str">
            <v>其他权益工具持有者投入资本</v>
          </cell>
          <cell r="H255">
            <v>0</v>
          </cell>
          <cell r="I255" t="str">
            <v>8c53</v>
          </cell>
          <cell r="J255" t="str">
            <v>J</v>
          </cell>
          <cell r="M255" t="str">
            <v>盈余公积_专项储备本期使用</v>
          </cell>
          <cell r="S255" t="str">
            <v>6600a</v>
          </cell>
          <cell r="T255" t="str">
            <v>税金及附加明细项目</v>
          </cell>
          <cell r="U255" t="str">
            <v>税       种</v>
          </cell>
          <cell r="V255">
            <v>1</v>
          </cell>
          <cell r="W255">
            <v>6600</v>
          </cell>
          <cell r="X255">
            <v>1</v>
          </cell>
        </row>
        <row r="256">
          <cell r="B256" t="str">
            <v>8c56</v>
          </cell>
          <cell r="C256" t="str">
            <v>其他权益工具（永续债）_所有者其他投入和减少资本</v>
          </cell>
          <cell r="D256">
            <v>-1</v>
          </cell>
          <cell r="E256" t="str">
            <v>OEI</v>
          </cell>
          <cell r="F256">
            <v>0</v>
          </cell>
          <cell r="G256" t="str">
            <v>其他</v>
          </cell>
          <cell r="H256">
            <v>0</v>
          </cell>
          <cell r="I256" t="str">
            <v>8c56</v>
          </cell>
          <cell r="J256" t="str">
            <v>J</v>
          </cell>
          <cell r="M256" t="str">
            <v>盈余公积_本期其他增减变动</v>
          </cell>
          <cell r="S256" t="str">
            <v>6600x</v>
          </cell>
          <cell r="T256" t="str">
            <v>税金及附加补充资料</v>
          </cell>
          <cell r="U256" t="str">
            <v>项       目</v>
          </cell>
          <cell r="V256">
            <v>1</v>
          </cell>
          <cell r="W256">
            <v>6600</v>
          </cell>
          <cell r="X256">
            <v>2</v>
          </cell>
        </row>
        <row r="257">
          <cell r="B257" t="str">
            <v>8c60</v>
          </cell>
          <cell r="C257" t="str">
            <v>其他权益工具（永续债）_利润分配影响权益</v>
          </cell>
          <cell r="D257">
            <v>0</v>
          </cell>
          <cell r="E257" t="str">
            <v>OEI＝</v>
          </cell>
          <cell r="F257">
            <v>0</v>
          </cell>
          <cell r="G257" t="str">
            <v>（三）利润分配</v>
          </cell>
          <cell r="H257">
            <v>0</v>
          </cell>
          <cell r="I257" t="str">
            <v>8c60</v>
          </cell>
          <cell r="J257">
            <v>0</v>
          </cell>
          <cell r="M257" t="str">
            <v>一般风险准备_上年年末余额</v>
          </cell>
          <cell r="S257" t="str">
            <v>6601a</v>
          </cell>
          <cell r="T257" t="str">
            <v>销售费用明细项目</v>
          </cell>
          <cell r="U257" t="str">
            <v>项       目</v>
          </cell>
          <cell r="V257">
            <v>1</v>
          </cell>
          <cell r="W257">
            <v>6601</v>
          </cell>
          <cell r="X257">
            <v>1</v>
          </cell>
        </row>
        <row r="258">
          <cell r="B258" t="str">
            <v>8c61</v>
          </cell>
          <cell r="C258" t="str">
            <v>其他权益工具（永续债）_提取盈余公积</v>
          </cell>
          <cell r="D258">
            <v>-1</v>
          </cell>
          <cell r="E258" t="str">
            <v>OEI</v>
          </cell>
          <cell r="F258">
            <v>0</v>
          </cell>
          <cell r="G258" t="str">
            <v>提取盈余公积</v>
          </cell>
          <cell r="H258">
            <v>0</v>
          </cell>
          <cell r="I258" t="str">
            <v>8c61</v>
          </cell>
          <cell r="J258" t="str">
            <v>J</v>
          </cell>
          <cell r="M258" t="str">
            <v>一般风险准备_会计政策变更调整上年年末余额</v>
          </cell>
          <cell r="S258" t="str">
            <v>6601x</v>
          </cell>
          <cell r="T258" t="str">
            <v>销售费用补充资料</v>
          </cell>
          <cell r="U258" t="str">
            <v>项       目</v>
          </cell>
          <cell r="V258">
            <v>1</v>
          </cell>
          <cell r="W258">
            <v>6601</v>
          </cell>
          <cell r="X258">
            <v>2</v>
          </cell>
        </row>
        <row r="259">
          <cell r="B259" t="str">
            <v>8c62</v>
          </cell>
          <cell r="C259" t="str">
            <v>其他权益工具（永续债）_提取一般风险准备</v>
          </cell>
          <cell r="D259">
            <v>-1</v>
          </cell>
          <cell r="E259" t="str">
            <v>OEI</v>
          </cell>
          <cell r="F259">
            <v>0</v>
          </cell>
          <cell r="G259" t="str">
            <v>提取一般风险准备</v>
          </cell>
          <cell r="H259">
            <v>0</v>
          </cell>
          <cell r="I259" t="str">
            <v>8c62</v>
          </cell>
          <cell r="J259" t="str">
            <v>J</v>
          </cell>
          <cell r="M259" t="str">
            <v>一般风险准备_前期差错更正调整上年年末余额</v>
          </cell>
          <cell r="S259" t="str">
            <v>6602a</v>
          </cell>
          <cell r="T259" t="str">
            <v>管理费用明细项目</v>
          </cell>
          <cell r="U259" t="str">
            <v>项       目</v>
          </cell>
          <cell r="V259">
            <v>1</v>
          </cell>
          <cell r="W259">
            <v>6602</v>
          </cell>
          <cell r="X259">
            <v>1</v>
          </cell>
        </row>
        <row r="260">
          <cell r="B260" t="str">
            <v>8c63</v>
          </cell>
          <cell r="C260" t="str">
            <v>其他权益工具（永续债）_对所有者的分配</v>
          </cell>
          <cell r="D260">
            <v>-1</v>
          </cell>
          <cell r="E260" t="str">
            <v>OEI</v>
          </cell>
          <cell r="F260">
            <v>0</v>
          </cell>
          <cell r="G260" t="str">
            <v>对所有者（或股东）的分配</v>
          </cell>
          <cell r="H260">
            <v>0</v>
          </cell>
          <cell r="I260" t="str">
            <v>8c63</v>
          </cell>
          <cell r="J260" t="str">
            <v>J</v>
          </cell>
          <cell r="M260" t="str">
            <v>一般风险准备_同一控制下企业合并调整上年年末余额</v>
          </cell>
          <cell r="S260" t="str">
            <v>6602x</v>
          </cell>
          <cell r="T260" t="str">
            <v>管理费用补充资料</v>
          </cell>
          <cell r="U260" t="str">
            <v>项       目</v>
          </cell>
          <cell r="V260">
            <v>1</v>
          </cell>
          <cell r="W260">
            <v>6602</v>
          </cell>
          <cell r="X260">
            <v>2</v>
          </cell>
        </row>
        <row r="261">
          <cell r="B261" t="str">
            <v>8c66</v>
          </cell>
          <cell r="C261" t="str">
            <v>其他权益工具（永续债）_其他利润分配</v>
          </cell>
          <cell r="D261">
            <v>-1</v>
          </cell>
          <cell r="E261" t="str">
            <v>OEI</v>
          </cell>
          <cell r="F261">
            <v>0</v>
          </cell>
          <cell r="G261" t="str">
            <v>其他</v>
          </cell>
          <cell r="H261">
            <v>0</v>
          </cell>
          <cell r="I261" t="str">
            <v>8c66</v>
          </cell>
          <cell r="J261" t="str">
            <v>J</v>
          </cell>
          <cell r="M261" t="str">
            <v>一般风险准备_其他原因调整上年年末余额</v>
          </cell>
          <cell r="S261" t="str">
            <v>6606a</v>
          </cell>
          <cell r="T261" t="str">
            <v>研发费用明细项目</v>
          </cell>
          <cell r="U261" t="str">
            <v>项       目</v>
          </cell>
          <cell r="V261">
            <v>1</v>
          </cell>
          <cell r="W261">
            <v>6606</v>
          </cell>
          <cell r="X261">
            <v>1</v>
          </cell>
        </row>
        <row r="262">
          <cell r="B262" t="str">
            <v>8c70</v>
          </cell>
          <cell r="C262" t="str">
            <v>其他权益工具（永续债）_所有者权益内部结转</v>
          </cell>
          <cell r="D262">
            <v>0</v>
          </cell>
          <cell r="E262" t="str">
            <v>OEI＝</v>
          </cell>
          <cell r="F262">
            <v>0</v>
          </cell>
          <cell r="G262" t="str">
            <v>（四）所有者权益内部结转</v>
          </cell>
          <cell r="H262">
            <v>0</v>
          </cell>
          <cell r="I262" t="str">
            <v>8c70</v>
          </cell>
          <cell r="J262">
            <v>0</v>
          </cell>
          <cell r="M262" t="str">
            <v>一般风险准备_净利润增加权益</v>
          </cell>
          <cell r="S262" t="str">
            <v>6603a</v>
          </cell>
          <cell r="T262" t="str">
            <v>财务费用明细项目</v>
          </cell>
          <cell r="U262" t="str">
            <v>项       目</v>
          </cell>
          <cell r="V262">
            <v>1</v>
          </cell>
          <cell r="W262">
            <v>6603</v>
          </cell>
          <cell r="X262">
            <v>1</v>
          </cell>
        </row>
        <row r="263">
          <cell r="B263" t="str">
            <v>8c71</v>
          </cell>
          <cell r="C263" t="str">
            <v>其他权益工具（永续债）_资本公积转增资本</v>
          </cell>
          <cell r="D263">
            <v>-1</v>
          </cell>
          <cell r="E263" t="str">
            <v>OEI</v>
          </cell>
          <cell r="F263">
            <v>0</v>
          </cell>
          <cell r="G263" t="str">
            <v>资本公积转增资本（或股本）</v>
          </cell>
          <cell r="H263">
            <v>0</v>
          </cell>
          <cell r="I263" t="str">
            <v>8c71</v>
          </cell>
          <cell r="J263" t="str">
            <v>J</v>
          </cell>
          <cell r="M263" t="str">
            <v>一般风险准备_其他综合收益增加权益</v>
          </cell>
          <cell r="S263" t="str">
            <v>6603x</v>
          </cell>
          <cell r="T263" t="str">
            <v>财务费用补充资料</v>
          </cell>
          <cell r="U263" t="str">
            <v>项       目</v>
          </cell>
          <cell r="V263">
            <v>1</v>
          </cell>
          <cell r="W263">
            <v>6603</v>
          </cell>
          <cell r="X263">
            <v>2</v>
          </cell>
        </row>
        <row r="264">
          <cell r="B264" t="str">
            <v>8c72</v>
          </cell>
          <cell r="C264" t="str">
            <v>其他权益工具（永续债）_盈余公积转增资本</v>
          </cell>
          <cell r="D264">
            <v>-1</v>
          </cell>
          <cell r="E264" t="str">
            <v>OEI</v>
          </cell>
          <cell r="F264">
            <v>0</v>
          </cell>
          <cell r="G264" t="str">
            <v>盈余公积转增资本（或股本）</v>
          </cell>
          <cell r="H264">
            <v>0</v>
          </cell>
          <cell r="I264" t="str">
            <v>8c72</v>
          </cell>
          <cell r="J264" t="str">
            <v>J</v>
          </cell>
          <cell r="M264" t="str">
            <v>一般风险准备_综合收益总额增加权益</v>
          </cell>
          <cell r="S264" t="str">
            <v>6671a</v>
          </cell>
          <cell r="T264" t="str">
            <v>资产减值损失明细项目</v>
          </cell>
          <cell r="U264" t="str">
            <v>项       目</v>
          </cell>
          <cell r="V264">
            <v>1</v>
          </cell>
          <cell r="W264">
            <v>6671</v>
          </cell>
          <cell r="X264">
            <v>1</v>
          </cell>
        </row>
        <row r="265">
          <cell r="B265" t="str">
            <v>8c73</v>
          </cell>
          <cell r="C265" t="str">
            <v>其他权益工具（永续债）_盈余公积弥补亏损</v>
          </cell>
          <cell r="D265">
            <v>-1</v>
          </cell>
          <cell r="E265" t="str">
            <v>OEI</v>
          </cell>
          <cell r="F265">
            <v>0</v>
          </cell>
          <cell r="G265" t="str">
            <v>盈余公积弥补亏损</v>
          </cell>
          <cell r="H265">
            <v>0</v>
          </cell>
          <cell r="I265" t="str">
            <v>8c73</v>
          </cell>
          <cell r="J265" t="str">
            <v>J</v>
          </cell>
          <cell r="M265" t="str">
            <v>一般风险准备_所有者投入资本增加权益</v>
          </cell>
          <cell r="S265" t="str">
            <v>6101a</v>
          </cell>
          <cell r="T265" t="str">
            <v>公允价值变动收益明细项目</v>
          </cell>
          <cell r="U265" t="str">
            <v>产生公允价值变动收益的来源</v>
          </cell>
          <cell r="V265">
            <v>1</v>
          </cell>
          <cell r="W265">
            <v>6101</v>
          </cell>
          <cell r="X265">
            <v>1</v>
          </cell>
        </row>
        <row r="266">
          <cell r="B266" t="str">
            <v>8c75</v>
          </cell>
          <cell r="C266" t="str">
            <v>其他权益工具（永续债）_设定受益计划变动额结转留存收益</v>
          </cell>
          <cell r="D266">
            <v>-1</v>
          </cell>
          <cell r="E266" t="str">
            <v>OEI</v>
          </cell>
          <cell r="F266">
            <v>0</v>
          </cell>
          <cell r="G266" t="str">
            <v>设定受益计划变动额结转留存收益</v>
          </cell>
          <cell r="H266">
            <v>0</v>
          </cell>
          <cell r="I266" t="str">
            <v>8c75</v>
          </cell>
          <cell r="J266" t="str">
            <v>J</v>
          </cell>
          <cell r="M266" t="str">
            <v>一般风险准备_股份支付计入所有者权益的金额</v>
          </cell>
          <cell r="S266" t="str">
            <v>6111a</v>
          </cell>
          <cell r="T266" t="str">
            <v>投资收益按来源列示</v>
          </cell>
          <cell r="U266" t="str">
            <v>项       目</v>
          </cell>
          <cell r="V266">
            <v>1</v>
          </cell>
          <cell r="W266">
            <v>6111</v>
          </cell>
          <cell r="X266">
            <v>1</v>
          </cell>
        </row>
        <row r="267">
          <cell r="B267" t="str">
            <v>8c76</v>
          </cell>
          <cell r="C267" t="str">
            <v>其他权益工具（永续债）_所有者权益其他内部结转</v>
          </cell>
          <cell r="D267">
            <v>-1</v>
          </cell>
          <cell r="E267" t="str">
            <v>OEI</v>
          </cell>
          <cell r="F267">
            <v>0</v>
          </cell>
          <cell r="G267" t="str">
            <v>其他</v>
          </cell>
          <cell r="H267">
            <v>0</v>
          </cell>
          <cell r="I267" t="str">
            <v>8c76</v>
          </cell>
          <cell r="J267" t="str">
            <v>J</v>
          </cell>
          <cell r="M267" t="str">
            <v>一般风险准备_其他权益工具持有者投入资本</v>
          </cell>
          <cell r="S267" t="str">
            <v>6171a</v>
          </cell>
          <cell r="T267" t="str">
            <v>资产处置收益明细项目</v>
          </cell>
          <cell r="U267" t="str">
            <v>项       目</v>
          </cell>
          <cell r="V267">
            <v>1</v>
          </cell>
          <cell r="W267">
            <v>6171</v>
          </cell>
          <cell r="X267">
            <v>1</v>
          </cell>
        </row>
        <row r="268">
          <cell r="B268" t="str">
            <v>8c80</v>
          </cell>
          <cell r="C268" t="str">
            <v>其他权益工具（永续债）_专项储备影响权益</v>
          </cell>
          <cell r="D268">
            <v>0</v>
          </cell>
          <cell r="E268" t="str">
            <v>OEI＝</v>
          </cell>
          <cell r="F268">
            <v>0</v>
          </cell>
          <cell r="G268" t="str">
            <v>（五）专项储备</v>
          </cell>
          <cell r="H268">
            <v>0</v>
          </cell>
          <cell r="I268" t="str">
            <v>8c80</v>
          </cell>
          <cell r="J268">
            <v>0</v>
          </cell>
          <cell r="M268" t="str">
            <v>一般风险准备_所有者其他投入和减少资本</v>
          </cell>
          <cell r="S268" t="str">
            <v>6181a</v>
          </cell>
          <cell r="T268" t="str">
            <v>其他收益明细项目</v>
          </cell>
          <cell r="U268" t="str">
            <v>项       目</v>
          </cell>
          <cell r="V268">
            <v>1</v>
          </cell>
          <cell r="W268">
            <v>6181</v>
          </cell>
          <cell r="X268">
            <v>1</v>
          </cell>
        </row>
        <row r="269">
          <cell r="B269" t="str">
            <v>8c81</v>
          </cell>
          <cell r="C269" t="str">
            <v>其他权益工具（永续债）_专项储备本期提取</v>
          </cell>
          <cell r="D269">
            <v>-1</v>
          </cell>
          <cell r="E269" t="str">
            <v>OEI</v>
          </cell>
          <cell r="F269">
            <v>0</v>
          </cell>
          <cell r="G269" t="str">
            <v>本期提取</v>
          </cell>
          <cell r="H269">
            <v>0</v>
          </cell>
          <cell r="I269" t="str">
            <v>8c81</v>
          </cell>
          <cell r="J269" t="str">
            <v>J</v>
          </cell>
          <cell r="M269" t="str">
            <v>一般风险准备_提取盈余公积影响权益</v>
          </cell>
          <cell r="S269" t="str">
            <v>6710a</v>
          </cell>
          <cell r="T269" t="str">
            <v>营业外收入明细项目</v>
          </cell>
          <cell r="U269" t="str">
            <v>项       目</v>
          </cell>
          <cell r="V269">
            <v>1</v>
          </cell>
          <cell r="W269">
            <v>6710</v>
          </cell>
          <cell r="X269">
            <v>1</v>
          </cell>
        </row>
        <row r="270">
          <cell r="B270" t="str">
            <v>8c82</v>
          </cell>
          <cell r="C270" t="str">
            <v>其他权益工具（永续债）_专项储备本期使用</v>
          </cell>
          <cell r="D270">
            <v>-1</v>
          </cell>
          <cell r="E270" t="str">
            <v>OEI</v>
          </cell>
          <cell r="F270">
            <v>0</v>
          </cell>
          <cell r="G270" t="str">
            <v>本期使用</v>
          </cell>
          <cell r="H270">
            <v>0</v>
          </cell>
          <cell r="I270" t="str">
            <v>8c82</v>
          </cell>
          <cell r="J270" t="str">
            <v>J</v>
          </cell>
          <cell r="M270" t="str">
            <v>一般风险准备_提取</v>
          </cell>
          <cell r="S270" t="str">
            <v>6710b</v>
          </cell>
          <cell r="T270" t="str">
            <v>政府补助明细列示</v>
          </cell>
          <cell r="U270" t="str">
            <v>项       目</v>
          </cell>
          <cell r="V270">
            <v>1</v>
          </cell>
          <cell r="W270">
            <v>6710</v>
          </cell>
          <cell r="X270">
            <v>2</v>
          </cell>
        </row>
        <row r="271">
          <cell r="B271" t="str">
            <v>8c96</v>
          </cell>
          <cell r="C271" t="str">
            <v>其他权益工具（永续债）_本期其他增减变动</v>
          </cell>
          <cell r="D271">
            <v>-1</v>
          </cell>
          <cell r="E271" t="str">
            <v>OEI</v>
          </cell>
          <cell r="F271">
            <v>0</v>
          </cell>
          <cell r="G271" t="str">
            <v>（七）其他</v>
          </cell>
          <cell r="H271">
            <v>0</v>
          </cell>
          <cell r="I271" t="str">
            <v>8c96</v>
          </cell>
          <cell r="J271" t="str">
            <v>J</v>
          </cell>
          <cell r="M271" t="str">
            <v>一般风险准备_对所有者的分配影响权益</v>
          </cell>
          <cell r="S271" t="str">
            <v>6711a</v>
          </cell>
          <cell r="T271" t="str">
            <v>营业外支出明细项目</v>
          </cell>
          <cell r="U271" t="str">
            <v>项       目</v>
          </cell>
          <cell r="V271">
            <v>1</v>
          </cell>
          <cell r="W271">
            <v>6711</v>
          </cell>
          <cell r="X271">
            <v>1</v>
          </cell>
        </row>
        <row r="272">
          <cell r="B272" t="str">
            <v>8c99</v>
          </cell>
          <cell r="C272" t="str">
            <v>其他权益工具（永续债）_本期期末余额</v>
          </cell>
          <cell r="D272">
            <v>0</v>
          </cell>
          <cell r="E272" t="str">
            <v>OEI＝</v>
          </cell>
          <cell r="F272">
            <v>0</v>
          </cell>
          <cell r="G272" t="str">
            <v>四、本期期末余额</v>
          </cell>
          <cell r="H272">
            <v>0</v>
          </cell>
          <cell r="I272" t="str">
            <v>8c99</v>
          </cell>
          <cell r="J272">
            <v>0</v>
          </cell>
          <cell r="M272" t="str">
            <v>一般风险准备_其他利润分配</v>
          </cell>
          <cell r="S272" t="str">
            <v>6791a</v>
          </cell>
          <cell r="T272" t="str">
            <v>所得税费用明细</v>
          </cell>
          <cell r="U272" t="str">
            <v>项       目</v>
          </cell>
          <cell r="V272">
            <v>1</v>
          </cell>
          <cell r="W272">
            <v>6791</v>
          </cell>
          <cell r="X272">
            <v>1</v>
          </cell>
        </row>
        <row r="273">
          <cell r="B273" t="str">
            <v>8d00</v>
          </cell>
          <cell r="C273" t="str">
            <v>其他权益工具（其他）增减变动</v>
          </cell>
          <cell r="D273">
            <v>0</v>
          </cell>
          <cell r="E273" t="str">
            <v>：OEI</v>
          </cell>
          <cell r="F273">
            <v>0</v>
          </cell>
          <cell r="G273" t="str">
            <v>其他权益工具（其他）增减变动</v>
          </cell>
          <cell r="H273">
            <v>0</v>
          </cell>
          <cell r="I273" t="str">
            <v>8d00</v>
          </cell>
          <cell r="J273">
            <v>0</v>
          </cell>
          <cell r="M273" t="str">
            <v>一般风险准备_资本公积转增资本影响权益</v>
          </cell>
          <cell r="S273" t="str">
            <v>6791b</v>
          </cell>
          <cell r="T273" t="str">
            <v>所得税费用与利润总额的关系</v>
          </cell>
          <cell r="U273" t="str">
            <v>项       目</v>
          </cell>
          <cell r="V273">
            <v>1</v>
          </cell>
          <cell r="W273">
            <v>6791</v>
          </cell>
          <cell r="X273">
            <v>2</v>
          </cell>
        </row>
        <row r="274">
          <cell r="B274" t="str">
            <v>8d01</v>
          </cell>
          <cell r="C274" t="str">
            <v>其他权益工具（其他）_上年年末余额</v>
          </cell>
          <cell r="D274">
            <v>-1</v>
          </cell>
          <cell r="E274" t="str">
            <v>OEI</v>
          </cell>
          <cell r="F274">
            <v>0</v>
          </cell>
          <cell r="G274" t="str">
            <v>一、上年年末余额</v>
          </cell>
          <cell r="H274">
            <v>0</v>
          </cell>
          <cell r="I274" t="str">
            <v>8d01</v>
          </cell>
          <cell r="J274" t="str">
            <v>J</v>
          </cell>
          <cell r="M274" t="str">
            <v>一般风险准备_盈余公积转增资本影响权益</v>
          </cell>
          <cell r="S274" t="str">
            <v>7046a</v>
          </cell>
          <cell r="T274" t="str">
            <v>收到的其他与经营活动有关的现金</v>
          </cell>
          <cell r="U274" t="str">
            <v>项       目</v>
          </cell>
          <cell r="V274">
            <v>1</v>
          </cell>
          <cell r="W274">
            <v>7046</v>
          </cell>
          <cell r="X274">
            <v>1</v>
          </cell>
        </row>
        <row r="275">
          <cell r="B275" t="str">
            <v>8d02</v>
          </cell>
          <cell r="C275" t="str">
            <v>其他权益工具（其他）_会计政策变更调整上年年末余额</v>
          </cell>
          <cell r="D275">
            <v>-1</v>
          </cell>
          <cell r="E275" t="str">
            <v>OEI</v>
          </cell>
          <cell r="F275">
            <v>0</v>
          </cell>
          <cell r="G275" t="str">
            <v>加：会计政策变更</v>
          </cell>
          <cell r="H275">
            <v>0</v>
          </cell>
          <cell r="I275" t="str">
            <v>8d02</v>
          </cell>
          <cell r="J275" t="str">
            <v>J</v>
          </cell>
          <cell r="M275" t="str">
            <v>一般风险准备_盈余公积弥补亏损影响权益</v>
          </cell>
          <cell r="S275" t="str">
            <v>7046x</v>
          </cell>
          <cell r="T275" t="str">
            <v>收到其他与经营活动有关的现金计算表</v>
          </cell>
          <cell r="U275" t="str">
            <v>项       目</v>
          </cell>
          <cell r="V275">
            <v>1</v>
          </cell>
          <cell r="W275">
            <v>7046</v>
          </cell>
          <cell r="X275">
            <v>2</v>
          </cell>
        </row>
        <row r="276">
          <cell r="B276" t="str">
            <v>8d03</v>
          </cell>
          <cell r="C276" t="str">
            <v>其他权益工具（其他）_前期差错更正调整上年年末余额</v>
          </cell>
          <cell r="D276">
            <v>-1</v>
          </cell>
          <cell r="E276" t="str">
            <v>OEI</v>
          </cell>
          <cell r="F276">
            <v>0</v>
          </cell>
          <cell r="G276" t="str">
            <v>前期差错更正</v>
          </cell>
          <cell r="H276">
            <v>0</v>
          </cell>
          <cell r="I276" t="str">
            <v>8d03</v>
          </cell>
          <cell r="J276" t="str">
            <v>J</v>
          </cell>
          <cell r="M276" t="str">
            <v>一般风险准备_设定受益计划变动额结转留存收益</v>
          </cell>
          <cell r="S276" t="str">
            <v>7096a</v>
          </cell>
          <cell r="T276" t="str">
            <v>支付的其他与经营活动有关的现金</v>
          </cell>
          <cell r="U276" t="str">
            <v>项       目</v>
          </cell>
          <cell r="V276">
            <v>1</v>
          </cell>
          <cell r="W276">
            <v>7096</v>
          </cell>
          <cell r="X276">
            <v>1</v>
          </cell>
        </row>
        <row r="277">
          <cell r="B277" t="str">
            <v>8d04</v>
          </cell>
          <cell r="C277" t="str">
            <v>其他权益工具（其他）_同一控制下企业合并调整上年年末余额</v>
          </cell>
          <cell r="D277">
            <v>-1</v>
          </cell>
          <cell r="E277" t="str">
            <v>※OEI</v>
          </cell>
          <cell r="F277">
            <v>0</v>
          </cell>
          <cell r="G277" t="str">
            <v>同一控制下企业合并</v>
          </cell>
          <cell r="H277">
            <v>0</v>
          </cell>
          <cell r="I277" t="str">
            <v>8d04</v>
          </cell>
          <cell r="J277" t="str">
            <v>J</v>
          </cell>
          <cell r="M277" t="str">
            <v>一般风险准备_所有者权益其他内部结转</v>
          </cell>
          <cell r="S277" t="str">
            <v>7096x</v>
          </cell>
          <cell r="T277" t="str">
            <v>支付其他与经营活动有关的现金计算表</v>
          </cell>
          <cell r="U277" t="str">
            <v>项       目</v>
          </cell>
          <cell r="V277">
            <v>1</v>
          </cell>
          <cell r="W277">
            <v>7096</v>
          </cell>
          <cell r="X277">
            <v>2</v>
          </cell>
        </row>
        <row r="278">
          <cell r="B278" t="str">
            <v>8d09</v>
          </cell>
          <cell r="C278" t="str">
            <v>其他权益工具（其他）_其他原因调整上年年末余额</v>
          </cell>
          <cell r="D278">
            <v>-1</v>
          </cell>
          <cell r="E278" t="str">
            <v>OEI</v>
          </cell>
          <cell r="F278">
            <v>0</v>
          </cell>
          <cell r="G278" t="str">
            <v>其他</v>
          </cell>
          <cell r="H278">
            <v>0</v>
          </cell>
          <cell r="I278" t="str">
            <v>8d09</v>
          </cell>
          <cell r="J278" t="str">
            <v>J</v>
          </cell>
          <cell r="M278" t="str">
            <v>一般风险准备_专项储备本期提取</v>
          </cell>
          <cell r="S278" t="str">
            <v>7146a</v>
          </cell>
          <cell r="T278" t="str">
            <v>收到的其他与投资活动有关的现金</v>
          </cell>
          <cell r="U278" t="str">
            <v>项       目</v>
          </cell>
          <cell r="V278">
            <v>1</v>
          </cell>
          <cell r="W278">
            <v>7146</v>
          </cell>
          <cell r="X278">
            <v>1</v>
          </cell>
        </row>
        <row r="279">
          <cell r="B279" t="str">
            <v>8d10</v>
          </cell>
          <cell r="C279" t="str">
            <v>其他权益工具（其他）_本年年初余额</v>
          </cell>
          <cell r="D279">
            <v>0</v>
          </cell>
          <cell r="E279" t="str">
            <v>OEI＝</v>
          </cell>
          <cell r="F279">
            <v>0</v>
          </cell>
          <cell r="G279" t="str">
            <v>二、本年年初余额</v>
          </cell>
          <cell r="H279">
            <v>0</v>
          </cell>
          <cell r="I279" t="str">
            <v>8d10</v>
          </cell>
          <cell r="J279">
            <v>0</v>
          </cell>
          <cell r="M279" t="str">
            <v>一般风险准备_专项储备本期使用</v>
          </cell>
          <cell r="S279" t="str">
            <v>7196a</v>
          </cell>
          <cell r="T279" t="str">
            <v>支付的其他与投资活动有关的现金</v>
          </cell>
          <cell r="U279" t="str">
            <v>项       目</v>
          </cell>
          <cell r="V279">
            <v>1</v>
          </cell>
          <cell r="W279">
            <v>7196</v>
          </cell>
          <cell r="X279">
            <v>1</v>
          </cell>
        </row>
        <row r="280">
          <cell r="B280" t="str">
            <v>8d90</v>
          </cell>
          <cell r="C280" t="str">
            <v>其他权益工具（其他）_本期增减变动金额</v>
          </cell>
          <cell r="D280">
            <v>0</v>
          </cell>
          <cell r="E280" t="str">
            <v>OEI＝</v>
          </cell>
          <cell r="F280">
            <v>0</v>
          </cell>
          <cell r="G280" t="str">
            <v>三、本期增减变动金额（减少以“-”号填列）</v>
          </cell>
          <cell r="H280">
            <v>0</v>
          </cell>
          <cell r="I280" t="str">
            <v>8d90</v>
          </cell>
          <cell r="J280">
            <v>0</v>
          </cell>
          <cell r="M280" t="str">
            <v>一般风险准备_本期其他增减变动</v>
          </cell>
          <cell r="S280" t="str">
            <v>7246a</v>
          </cell>
          <cell r="T280" t="str">
            <v>收到的其他与筹资活动有关的现金</v>
          </cell>
          <cell r="U280" t="str">
            <v>项       目</v>
          </cell>
          <cell r="V280">
            <v>1</v>
          </cell>
          <cell r="W280">
            <v>7246</v>
          </cell>
          <cell r="X280">
            <v>1</v>
          </cell>
        </row>
        <row r="281">
          <cell r="B281" t="str">
            <v>8d40</v>
          </cell>
          <cell r="C281" t="str">
            <v>其他权益工具（其他）_综合收益总额增加权益</v>
          </cell>
          <cell r="D281">
            <v>-1</v>
          </cell>
          <cell r="E281" t="str">
            <v>OEI</v>
          </cell>
          <cell r="F281">
            <v>0</v>
          </cell>
          <cell r="G281" t="str">
            <v>（一）综合收益总额</v>
          </cell>
          <cell r="H281">
            <v>0</v>
          </cell>
          <cell r="I281" t="str">
            <v>8d40</v>
          </cell>
          <cell r="J281" t="str">
            <v>J</v>
          </cell>
          <cell r="M281" t="str">
            <v>未分配利润_上年年末余额</v>
          </cell>
          <cell r="S281" t="str">
            <v>7296a</v>
          </cell>
          <cell r="T281" t="str">
            <v>支付的其他与筹资活动有关的现金</v>
          </cell>
          <cell r="U281" t="str">
            <v>项       目</v>
          </cell>
          <cell r="V281">
            <v>1</v>
          </cell>
          <cell r="W281">
            <v>7296</v>
          </cell>
          <cell r="X281">
            <v>1</v>
          </cell>
        </row>
        <row r="282">
          <cell r="B282" t="str">
            <v>8d50</v>
          </cell>
          <cell r="C282" t="str">
            <v>其他权益工具（其他）_所有者投入和减少资本影响权益</v>
          </cell>
          <cell r="D282">
            <v>0</v>
          </cell>
          <cell r="E282" t="str">
            <v>OEI＝</v>
          </cell>
          <cell r="F282">
            <v>0</v>
          </cell>
          <cell r="G282" t="str">
            <v>（二）所有者投入和减少资本</v>
          </cell>
          <cell r="H282">
            <v>0</v>
          </cell>
          <cell r="I282" t="str">
            <v>8d50</v>
          </cell>
          <cell r="J282">
            <v>0</v>
          </cell>
          <cell r="M282" t="str">
            <v>未分配利润_会计政策变更调整上年年末余额</v>
          </cell>
          <cell r="S282" t="str">
            <v>7001x</v>
          </cell>
          <cell r="T282" t="str">
            <v>销售商品提供劳务收到的现金计算表</v>
          </cell>
          <cell r="U282" t="str">
            <v>项       目</v>
          </cell>
          <cell r="V282">
            <v>1</v>
          </cell>
          <cell r="W282">
            <v>7001</v>
          </cell>
          <cell r="X282">
            <v>2</v>
          </cell>
        </row>
        <row r="283">
          <cell r="B283" t="str">
            <v>8d51</v>
          </cell>
          <cell r="C283" t="str">
            <v>其他权益工具（其他）_所有者投入资本</v>
          </cell>
          <cell r="D283">
            <v>-1</v>
          </cell>
          <cell r="E283" t="str">
            <v>OEI</v>
          </cell>
          <cell r="F283">
            <v>0</v>
          </cell>
          <cell r="G283" t="str">
            <v>所有者投入资本</v>
          </cell>
          <cell r="H283">
            <v>0</v>
          </cell>
          <cell r="I283" t="str">
            <v>8d51</v>
          </cell>
          <cell r="J283" t="str">
            <v>J</v>
          </cell>
          <cell r="M283" t="str">
            <v>未分配利润_前期差错更正调整上年年末余额</v>
          </cell>
          <cell r="S283" t="str">
            <v>7051x</v>
          </cell>
          <cell r="T283" t="str">
            <v>购买商品接受劳务支付的现金计算表</v>
          </cell>
          <cell r="U283" t="str">
            <v>项       目</v>
          </cell>
          <cell r="V283">
            <v>1</v>
          </cell>
          <cell r="W283">
            <v>7051</v>
          </cell>
          <cell r="X283">
            <v>2</v>
          </cell>
        </row>
        <row r="284">
          <cell r="B284" t="str">
            <v>8d52</v>
          </cell>
          <cell r="C284" t="str">
            <v>其他权益工具（其他）_股份支付</v>
          </cell>
          <cell r="D284">
            <v>-1</v>
          </cell>
          <cell r="E284" t="str">
            <v>OEI</v>
          </cell>
          <cell r="F284">
            <v>0</v>
          </cell>
          <cell r="G284" t="str">
            <v>股份支付计入所有者权益的金额</v>
          </cell>
          <cell r="H284">
            <v>0</v>
          </cell>
          <cell r="I284" t="str">
            <v>8d52</v>
          </cell>
          <cell r="J284" t="str">
            <v>J</v>
          </cell>
          <cell r="M284" t="str">
            <v>未分配利润_同一控制下企业合并调整上年年末余额</v>
          </cell>
          <cell r="S284" t="str">
            <v>7061x</v>
          </cell>
          <cell r="T284" t="str">
            <v>支付给职工以及为职工支付的现金计算表</v>
          </cell>
          <cell r="U284" t="str">
            <v>项       目</v>
          </cell>
          <cell r="V284">
            <v>1</v>
          </cell>
          <cell r="W284">
            <v>7061</v>
          </cell>
          <cell r="X284">
            <v>2</v>
          </cell>
        </row>
        <row r="285">
          <cell r="B285" t="str">
            <v>8d53</v>
          </cell>
          <cell r="C285" t="str">
            <v>其他权益工具（其他）_其他权益工具持有者投入资本</v>
          </cell>
          <cell r="D285">
            <v>-1</v>
          </cell>
          <cell r="E285" t="str">
            <v>OEI</v>
          </cell>
          <cell r="F285">
            <v>0</v>
          </cell>
          <cell r="G285" t="str">
            <v>其他权益工具持有者投入资本</v>
          </cell>
          <cell r="H285">
            <v>0</v>
          </cell>
          <cell r="I285" t="str">
            <v>8d53</v>
          </cell>
          <cell r="J285" t="str">
            <v>J</v>
          </cell>
          <cell r="M285" t="str">
            <v>未分配利润_其他原因调整上年年末余额</v>
          </cell>
          <cell r="S285" t="str">
            <v>7071x</v>
          </cell>
          <cell r="T285" t="str">
            <v>支付的各项税费计算表</v>
          </cell>
          <cell r="U285" t="str">
            <v>项       目</v>
          </cell>
          <cell r="V285">
            <v>1</v>
          </cell>
          <cell r="W285">
            <v>7071</v>
          </cell>
          <cell r="X285">
            <v>2</v>
          </cell>
        </row>
        <row r="286">
          <cell r="B286" t="str">
            <v>8d56</v>
          </cell>
          <cell r="C286" t="str">
            <v>其他权益工具（其他）_所有者其他投入和减少资本</v>
          </cell>
          <cell r="D286">
            <v>-1</v>
          </cell>
          <cell r="E286" t="str">
            <v>OEI</v>
          </cell>
          <cell r="F286">
            <v>0</v>
          </cell>
          <cell r="G286" t="str">
            <v>其他</v>
          </cell>
          <cell r="H286">
            <v>0</v>
          </cell>
          <cell r="I286" t="str">
            <v>8d56</v>
          </cell>
          <cell r="J286" t="str">
            <v>J</v>
          </cell>
          <cell r="M286" t="str">
            <v>未分配利润_所有者投入资本增加权益</v>
          </cell>
          <cell r="S286" t="str">
            <v>7101x</v>
          </cell>
          <cell r="T286" t="str">
            <v>收回投资收到的现金计算表</v>
          </cell>
          <cell r="U286" t="str">
            <v>项       目</v>
          </cell>
          <cell r="V286">
            <v>1</v>
          </cell>
          <cell r="W286">
            <v>7101</v>
          </cell>
          <cell r="X286">
            <v>2</v>
          </cell>
        </row>
        <row r="287">
          <cell r="B287" t="str">
            <v>8d60</v>
          </cell>
          <cell r="C287" t="str">
            <v>其他权益工具（其他）_利润分配影响权益</v>
          </cell>
          <cell r="D287">
            <v>0</v>
          </cell>
          <cell r="E287" t="str">
            <v>OEI＝</v>
          </cell>
          <cell r="F287">
            <v>0</v>
          </cell>
          <cell r="G287" t="str">
            <v>（三）利润分配</v>
          </cell>
          <cell r="H287">
            <v>0</v>
          </cell>
          <cell r="I287" t="str">
            <v>8d60</v>
          </cell>
          <cell r="J287">
            <v>0</v>
          </cell>
          <cell r="M287" t="str">
            <v>未分配利润_股份支付计入所有者权益的金额</v>
          </cell>
          <cell r="S287" t="str">
            <v>7105x</v>
          </cell>
          <cell r="T287" t="str">
            <v>取得投资收益收到的现金计算表</v>
          </cell>
          <cell r="U287" t="str">
            <v>项       目</v>
          </cell>
          <cell r="V287">
            <v>1</v>
          </cell>
          <cell r="W287">
            <v>7105</v>
          </cell>
          <cell r="X287">
            <v>2</v>
          </cell>
        </row>
        <row r="288">
          <cell r="B288" t="str">
            <v>8d61</v>
          </cell>
          <cell r="C288" t="str">
            <v>其他权益工具（其他）_提取盈余公积</v>
          </cell>
          <cell r="D288">
            <v>-1</v>
          </cell>
          <cell r="E288" t="str">
            <v>OEI</v>
          </cell>
          <cell r="F288">
            <v>0</v>
          </cell>
          <cell r="G288" t="str">
            <v>提取盈余公积</v>
          </cell>
          <cell r="H288">
            <v>0</v>
          </cell>
          <cell r="I288" t="str">
            <v>8d61</v>
          </cell>
          <cell r="J288" t="str">
            <v>J</v>
          </cell>
          <cell r="M288" t="str">
            <v>未分配利润_其他权益工具持有者投入资本</v>
          </cell>
          <cell r="S288" t="str">
            <v>7111x</v>
          </cell>
          <cell r="T288" t="str">
            <v>处置固定资产无形资产长期资产收回的现金计算表</v>
          </cell>
          <cell r="U288" t="str">
            <v>项       目</v>
          </cell>
          <cell r="V288">
            <v>1</v>
          </cell>
          <cell r="W288">
            <v>7111</v>
          </cell>
          <cell r="X288">
            <v>2</v>
          </cell>
        </row>
        <row r="289">
          <cell r="B289" t="str">
            <v>8d62</v>
          </cell>
          <cell r="C289" t="str">
            <v>其他权益工具（其他）_提取一般风险准备</v>
          </cell>
          <cell r="D289">
            <v>-1</v>
          </cell>
          <cell r="E289" t="str">
            <v>OEI</v>
          </cell>
          <cell r="F289">
            <v>0</v>
          </cell>
          <cell r="G289" t="str">
            <v>提取一般风险准备</v>
          </cell>
          <cell r="H289">
            <v>0</v>
          </cell>
          <cell r="I289" t="str">
            <v>8d62</v>
          </cell>
          <cell r="J289" t="str">
            <v>J</v>
          </cell>
          <cell r="M289" t="str">
            <v>未分配利润_所有者其他投入和减少资本</v>
          </cell>
          <cell r="S289" t="str">
            <v>7151x</v>
          </cell>
          <cell r="T289" t="str">
            <v>购置固定资产无形资产长期资产支付的现金计算表</v>
          </cell>
          <cell r="U289" t="str">
            <v>项       目</v>
          </cell>
          <cell r="V289">
            <v>1</v>
          </cell>
          <cell r="W289">
            <v>7151</v>
          </cell>
          <cell r="X289">
            <v>2</v>
          </cell>
        </row>
        <row r="290">
          <cell r="B290" t="str">
            <v>8d63</v>
          </cell>
          <cell r="C290" t="str">
            <v>其他权益工具（其他）_对所有者的分配</v>
          </cell>
          <cell r="D290">
            <v>-1</v>
          </cell>
          <cell r="E290" t="str">
            <v>OEI</v>
          </cell>
          <cell r="F290">
            <v>0</v>
          </cell>
          <cell r="G290" t="str">
            <v>对所有者（或股东）的分配</v>
          </cell>
          <cell r="H290">
            <v>0</v>
          </cell>
          <cell r="I290" t="str">
            <v>8d63</v>
          </cell>
          <cell r="J290" t="str">
            <v>J</v>
          </cell>
          <cell r="M290" t="str">
            <v>未分配利润_提取盈余公积</v>
          </cell>
          <cell r="S290" t="str">
            <v>7161x</v>
          </cell>
          <cell r="T290" t="str">
            <v>投资支付的现金计算表</v>
          </cell>
          <cell r="U290" t="str">
            <v>项       目</v>
          </cell>
          <cell r="V290">
            <v>1</v>
          </cell>
          <cell r="W290">
            <v>7161</v>
          </cell>
          <cell r="X290">
            <v>2</v>
          </cell>
        </row>
        <row r="291">
          <cell r="B291" t="str">
            <v>8d66</v>
          </cell>
          <cell r="C291" t="str">
            <v>其他权益工具（其他）_其他利润分配</v>
          </cell>
          <cell r="D291">
            <v>-1</v>
          </cell>
          <cell r="E291" t="str">
            <v>OEI</v>
          </cell>
          <cell r="F291">
            <v>0</v>
          </cell>
          <cell r="G291" t="str">
            <v>其他</v>
          </cell>
          <cell r="H291">
            <v>0</v>
          </cell>
          <cell r="I291" t="str">
            <v>8d66</v>
          </cell>
          <cell r="J291" t="str">
            <v>J</v>
          </cell>
          <cell r="M291" t="str">
            <v>未分配利润_提取一般风险准备</v>
          </cell>
          <cell r="S291" t="str">
            <v>7211x</v>
          </cell>
          <cell r="T291" t="str">
            <v>取得借款收到的现金计算表</v>
          </cell>
          <cell r="U291" t="str">
            <v>项       目</v>
          </cell>
          <cell r="V291">
            <v>1</v>
          </cell>
          <cell r="W291">
            <v>7211</v>
          </cell>
          <cell r="X291">
            <v>2</v>
          </cell>
        </row>
        <row r="292">
          <cell r="B292" t="str">
            <v>8d70</v>
          </cell>
          <cell r="C292" t="str">
            <v>其他权益工具（其他）_所有者权益内部结转</v>
          </cell>
          <cell r="D292">
            <v>0</v>
          </cell>
          <cell r="E292" t="str">
            <v>OEI＝</v>
          </cell>
          <cell r="F292">
            <v>0</v>
          </cell>
          <cell r="G292" t="str">
            <v>（四）所有者权益内部结转</v>
          </cell>
          <cell r="H292">
            <v>0</v>
          </cell>
          <cell r="I292" t="str">
            <v>8d70</v>
          </cell>
          <cell r="J292">
            <v>0</v>
          </cell>
          <cell r="M292" t="str">
            <v>未分配利润_对所有者的分配</v>
          </cell>
          <cell r="S292" t="str">
            <v>7251x</v>
          </cell>
          <cell r="T292" t="str">
            <v>偿还债务支付的现金计算表</v>
          </cell>
          <cell r="U292" t="str">
            <v>项       目</v>
          </cell>
          <cell r="V292">
            <v>1</v>
          </cell>
          <cell r="W292">
            <v>7251</v>
          </cell>
          <cell r="X292">
            <v>2</v>
          </cell>
        </row>
        <row r="293">
          <cell r="B293" t="str">
            <v>8d71</v>
          </cell>
          <cell r="C293" t="str">
            <v>其他权益工具（其他）_资本公积转增资本</v>
          </cell>
          <cell r="D293">
            <v>-1</v>
          </cell>
          <cell r="E293" t="str">
            <v>OEI</v>
          </cell>
          <cell r="F293">
            <v>0</v>
          </cell>
          <cell r="G293" t="str">
            <v>资本公积转增资本（或股本）</v>
          </cell>
          <cell r="H293">
            <v>0</v>
          </cell>
          <cell r="I293" t="str">
            <v>8d71</v>
          </cell>
          <cell r="J293" t="str">
            <v>J</v>
          </cell>
          <cell r="M293" t="str">
            <v>未分配利润_其他利润分配</v>
          </cell>
          <cell r="S293" t="str">
            <v>7261x</v>
          </cell>
          <cell r="T293" t="str">
            <v>分配利润偿付利息支付的现金计算表</v>
          </cell>
          <cell r="U293" t="str">
            <v>项       目</v>
          </cell>
          <cell r="V293">
            <v>1</v>
          </cell>
          <cell r="W293">
            <v>7261</v>
          </cell>
          <cell r="X293">
            <v>2</v>
          </cell>
        </row>
        <row r="294">
          <cell r="B294" t="str">
            <v>8d72</v>
          </cell>
          <cell r="C294" t="str">
            <v>其他权益工具（其他）_盈余公积转增资本</v>
          </cell>
          <cell r="D294">
            <v>-1</v>
          </cell>
          <cell r="E294" t="str">
            <v>OEI</v>
          </cell>
          <cell r="F294">
            <v>0</v>
          </cell>
          <cell r="G294" t="str">
            <v>盈余公积转增资本（或股本）</v>
          </cell>
          <cell r="H294">
            <v>0</v>
          </cell>
          <cell r="I294" t="str">
            <v>8d72</v>
          </cell>
          <cell r="J294" t="str">
            <v>J</v>
          </cell>
          <cell r="M294" t="str">
            <v>未分配利润_资本公积转增资本影响权益</v>
          </cell>
          <cell r="S294" t="str">
            <v>7500a</v>
          </cell>
          <cell r="T294" t="str">
            <v>将净利润调节为经营活动现金流量</v>
          </cell>
          <cell r="U294" t="str">
            <v>补充资料</v>
          </cell>
          <cell r="V294">
            <v>-2</v>
          </cell>
          <cell r="W294">
            <v>0</v>
          </cell>
          <cell r="X294">
            <v>2</v>
          </cell>
        </row>
        <row r="295">
          <cell r="B295" t="str">
            <v>8d73</v>
          </cell>
          <cell r="C295" t="str">
            <v>其他权益工具（其他）_盈余公积弥补亏损</v>
          </cell>
          <cell r="D295">
            <v>-1</v>
          </cell>
          <cell r="E295" t="str">
            <v>OEI</v>
          </cell>
          <cell r="F295">
            <v>0</v>
          </cell>
          <cell r="G295" t="str">
            <v>盈余公积弥补亏损</v>
          </cell>
          <cell r="H295">
            <v>0</v>
          </cell>
          <cell r="I295" t="str">
            <v>8d73</v>
          </cell>
          <cell r="J295" t="str">
            <v>J</v>
          </cell>
          <cell r="M295" t="str">
            <v>未分配利润_盈余公积转增资本影响权益</v>
          </cell>
          <cell r="S295" t="str">
            <v>7500b</v>
          </cell>
          <cell r="T295" t="str">
            <v>不涉及现金收支的重大投资和筹资活动</v>
          </cell>
          <cell r="U295" t="str">
            <v>补充资料</v>
          </cell>
          <cell r="V295">
            <v>-2</v>
          </cell>
          <cell r="W295">
            <v>0</v>
          </cell>
          <cell r="X295">
            <v>2</v>
          </cell>
        </row>
        <row r="296">
          <cell r="B296" t="str">
            <v>8d75</v>
          </cell>
          <cell r="C296" t="str">
            <v>其他权益工具（其他）_设定受益计划变动额结转留存收益</v>
          </cell>
          <cell r="D296">
            <v>-1</v>
          </cell>
          <cell r="E296" t="str">
            <v>OEI</v>
          </cell>
          <cell r="F296">
            <v>0</v>
          </cell>
          <cell r="G296" t="str">
            <v>设定受益计划变动额结转留存收益</v>
          </cell>
          <cell r="H296">
            <v>0</v>
          </cell>
          <cell r="I296" t="str">
            <v>8d75</v>
          </cell>
          <cell r="J296" t="str">
            <v>J</v>
          </cell>
          <cell r="M296" t="str">
            <v>未分配利润_盈余公积弥补亏损</v>
          </cell>
          <cell r="S296" t="str">
            <v>7500c</v>
          </cell>
          <cell r="T296" t="str">
            <v>现金及现金等价物净变动情况</v>
          </cell>
          <cell r="U296" t="str">
            <v>补充资料</v>
          </cell>
          <cell r="V296">
            <v>-2</v>
          </cell>
          <cell r="W296">
            <v>0</v>
          </cell>
          <cell r="X296">
            <v>2</v>
          </cell>
        </row>
        <row r="297">
          <cell r="B297" t="str">
            <v>8d76</v>
          </cell>
          <cell r="C297" t="str">
            <v>其他权益工具（其他）_所有者权益其他内部结转</v>
          </cell>
          <cell r="D297">
            <v>-1</v>
          </cell>
          <cell r="E297" t="str">
            <v>OEI</v>
          </cell>
          <cell r="F297">
            <v>0</v>
          </cell>
          <cell r="G297" t="str">
            <v>其他</v>
          </cell>
          <cell r="H297">
            <v>0</v>
          </cell>
          <cell r="I297" t="str">
            <v>8d76</v>
          </cell>
          <cell r="J297" t="str">
            <v>J</v>
          </cell>
          <cell r="M297" t="str">
            <v>未分配利润_设定受益计划变动额结转留存收益</v>
          </cell>
          <cell r="S297" t="str">
            <v>7500g</v>
          </cell>
          <cell r="T297" t="str">
            <v xml:space="preserve">本期支付的取得子公司的现金净额 </v>
          </cell>
          <cell r="U297" t="str">
            <v>项       目</v>
          </cell>
          <cell r="V297">
            <v>-2</v>
          </cell>
          <cell r="W297">
            <v>0</v>
          </cell>
          <cell r="X297">
            <v>2</v>
          </cell>
        </row>
        <row r="298">
          <cell r="B298" t="str">
            <v>8d80</v>
          </cell>
          <cell r="C298" t="str">
            <v>其他权益工具（其他）_专项储备影响权益</v>
          </cell>
          <cell r="D298">
            <v>0</v>
          </cell>
          <cell r="E298" t="str">
            <v>OEI＝</v>
          </cell>
          <cell r="F298">
            <v>0</v>
          </cell>
          <cell r="G298" t="str">
            <v>（五）专项储备</v>
          </cell>
          <cell r="H298">
            <v>0</v>
          </cell>
          <cell r="I298" t="str">
            <v>8d80</v>
          </cell>
          <cell r="J298">
            <v>0</v>
          </cell>
          <cell r="M298" t="str">
            <v>未分配利润_所有者权益其他内部结转</v>
          </cell>
          <cell r="S298" t="str">
            <v>7500h</v>
          </cell>
          <cell r="T298" t="str">
            <v xml:space="preserve">本期收到的处置子公司的现金净额 </v>
          </cell>
          <cell r="U298" t="str">
            <v>项       目</v>
          </cell>
          <cell r="V298">
            <v>-2</v>
          </cell>
          <cell r="W298">
            <v>0</v>
          </cell>
          <cell r="X298">
            <v>2</v>
          </cell>
        </row>
        <row r="299">
          <cell r="B299" t="str">
            <v>8d81</v>
          </cell>
          <cell r="C299" t="str">
            <v>其他权益工具（其他）_专项储备本期提取</v>
          </cell>
          <cell r="D299">
            <v>-1</v>
          </cell>
          <cell r="E299" t="str">
            <v>OEI</v>
          </cell>
          <cell r="F299">
            <v>0</v>
          </cell>
          <cell r="G299" t="str">
            <v>本期提取</v>
          </cell>
          <cell r="H299">
            <v>0</v>
          </cell>
          <cell r="I299" t="str">
            <v>8d81</v>
          </cell>
          <cell r="J299" t="str">
            <v>J</v>
          </cell>
          <cell r="M299" t="str">
            <v>未分配利润_专项储备本期提取</v>
          </cell>
          <cell r="S299" t="str">
            <v>7500e</v>
          </cell>
          <cell r="T299" t="str">
            <v>现金及现金等价物的构成</v>
          </cell>
          <cell r="U299" t="str">
            <v>项       目</v>
          </cell>
          <cell r="V299">
            <v>-2</v>
          </cell>
          <cell r="W299">
            <v>0</v>
          </cell>
          <cell r="X299">
            <v>2</v>
          </cell>
        </row>
        <row r="300">
          <cell r="B300" t="str">
            <v>8d82</v>
          </cell>
          <cell r="C300" t="str">
            <v>其他权益工具（其他）_专项储备本期使用</v>
          </cell>
          <cell r="D300">
            <v>-1</v>
          </cell>
          <cell r="E300" t="str">
            <v>OEI</v>
          </cell>
          <cell r="F300">
            <v>0</v>
          </cell>
          <cell r="G300" t="str">
            <v>本期使用</v>
          </cell>
          <cell r="H300">
            <v>0</v>
          </cell>
          <cell r="I300" t="str">
            <v>8d82</v>
          </cell>
          <cell r="J300" t="str">
            <v>J</v>
          </cell>
          <cell r="M300" t="str">
            <v>未分配利润_专项储备本期使用</v>
          </cell>
          <cell r="S300" t="str">
            <v>7500f</v>
          </cell>
          <cell r="T300" t="str">
            <v>货币资金与现金及现金等价物的调节</v>
          </cell>
          <cell r="U300" t="str">
            <v>项       目</v>
          </cell>
          <cell r="V300">
            <v>-2</v>
          </cell>
          <cell r="W300">
            <v>0</v>
          </cell>
          <cell r="X300">
            <v>2</v>
          </cell>
        </row>
        <row r="301">
          <cell r="B301" t="str">
            <v>8d96</v>
          </cell>
          <cell r="C301" t="str">
            <v>其他权益工具（其他）_本期其他增减变动</v>
          </cell>
          <cell r="D301">
            <v>-1</v>
          </cell>
          <cell r="E301" t="str">
            <v>OEI</v>
          </cell>
          <cell r="F301">
            <v>0</v>
          </cell>
          <cell r="G301" t="str">
            <v>（七）其他</v>
          </cell>
          <cell r="H301">
            <v>0</v>
          </cell>
          <cell r="I301" t="str">
            <v>8d96</v>
          </cell>
          <cell r="J301" t="str">
            <v>J</v>
          </cell>
          <cell r="M301" t="str">
            <v>未分配利润_本期其他增减变动</v>
          </cell>
          <cell r="S301" t="str">
            <v>7500d</v>
          </cell>
          <cell r="T301" t="str">
            <v>本期取得或处置子公司及其他营业单位的有关信息</v>
          </cell>
          <cell r="U301" t="str">
            <v>项       目</v>
          </cell>
          <cell r="V301">
            <v>-2</v>
          </cell>
          <cell r="W301">
            <v>0</v>
          </cell>
          <cell r="X301">
            <v>2</v>
          </cell>
        </row>
        <row r="302">
          <cell r="B302" t="str">
            <v>8d99</v>
          </cell>
          <cell r="C302" t="str">
            <v>其他权益工具（其他）_本期期末余额</v>
          </cell>
          <cell r="D302">
            <v>0</v>
          </cell>
          <cell r="E302" t="str">
            <v>OEI＝</v>
          </cell>
          <cell r="F302">
            <v>0</v>
          </cell>
          <cell r="G302" t="str">
            <v>四、本期期末余额</v>
          </cell>
          <cell r="H302">
            <v>0</v>
          </cell>
          <cell r="I302" t="str">
            <v>8d99</v>
          </cell>
          <cell r="J302">
            <v>0</v>
          </cell>
          <cell r="M302" t="str">
            <v>少数股东权益_上年年末余额</v>
          </cell>
          <cell r="S302" t="str">
            <v>7503a</v>
          </cell>
          <cell r="T302" t="str">
            <v>将净利润调节为经营活动现金流量：资产减值准备金额</v>
          </cell>
          <cell r="U302" t="str">
            <v>项       目</v>
          </cell>
          <cell r="V302">
            <v>1</v>
          </cell>
          <cell r="W302">
            <v>0</v>
          </cell>
          <cell r="X302">
            <v>9</v>
          </cell>
        </row>
        <row r="303">
          <cell r="B303" t="str">
            <v>8g00</v>
          </cell>
          <cell r="C303" t="str">
            <v>其他综合收益增减变动</v>
          </cell>
          <cell r="D303">
            <v>0</v>
          </cell>
          <cell r="E303" t="str">
            <v>：</v>
          </cell>
          <cell r="F303">
            <v>0</v>
          </cell>
          <cell r="G303" t="str">
            <v>其他综合收益增减变动</v>
          </cell>
          <cell r="H303">
            <v>0</v>
          </cell>
          <cell r="I303" t="str">
            <v>8g00</v>
          </cell>
          <cell r="J303">
            <v>0</v>
          </cell>
          <cell r="M303" t="str">
            <v>少数股东权益_会计政策变更调整上年年末余额</v>
          </cell>
          <cell r="S303" t="str">
            <v>7505a</v>
          </cell>
          <cell r="T303" t="str">
            <v>将净利润调节为经营活动现金流量：固定资产折旧、油气资产折耗、生产性生物资产折旧</v>
          </cell>
          <cell r="U303" t="str">
            <v>项       目</v>
          </cell>
          <cell r="V303">
            <v>1</v>
          </cell>
          <cell r="W303">
            <v>0</v>
          </cell>
          <cell r="X303">
            <v>9</v>
          </cell>
        </row>
        <row r="304">
          <cell r="B304" t="str">
            <v>8g01</v>
          </cell>
          <cell r="C304" t="str">
            <v>其他综合收益_上年年末余额</v>
          </cell>
          <cell r="D304">
            <v>-1</v>
          </cell>
          <cell r="E304">
            <v>0</v>
          </cell>
          <cell r="F304">
            <v>0</v>
          </cell>
          <cell r="G304" t="str">
            <v>一、上年年末余额</v>
          </cell>
          <cell r="H304">
            <v>0</v>
          </cell>
          <cell r="I304" t="str">
            <v>8g01</v>
          </cell>
          <cell r="J304" t="str">
            <v>J</v>
          </cell>
          <cell r="M304" t="str">
            <v>少数股东权益_前期差错更正调整上年年末余额</v>
          </cell>
          <cell r="S304" t="str">
            <v>7506a</v>
          </cell>
          <cell r="T304" t="str">
            <v>将净利润调节为经营活动现金流量：无形资产摊销</v>
          </cell>
          <cell r="U304" t="str">
            <v>项       目</v>
          </cell>
          <cell r="V304">
            <v>1</v>
          </cell>
          <cell r="W304">
            <v>0</v>
          </cell>
          <cell r="X304">
            <v>9</v>
          </cell>
        </row>
        <row r="305">
          <cell r="B305" t="str">
            <v>8g02</v>
          </cell>
          <cell r="C305" t="str">
            <v>其他综合收益_会计政策变更调整上年年末余额</v>
          </cell>
          <cell r="D305">
            <v>-1</v>
          </cell>
          <cell r="E305">
            <v>0</v>
          </cell>
          <cell r="F305">
            <v>0</v>
          </cell>
          <cell r="G305" t="str">
            <v>加：会计政策变更</v>
          </cell>
          <cell r="H305">
            <v>0</v>
          </cell>
          <cell r="I305" t="str">
            <v>8g02</v>
          </cell>
          <cell r="J305" t="str">
            <v>J</v>
          </cell>
          <cell r="M305" t="str">
            <v>少数股东权益_同一控制下企业合并调整上年年末余额</v>
          </cell>
          <cell r="S305" t="str">
            <v>7507a</v>
          </cell>
          <cell r="T305" t="str">
            <v>将净利润调节为经营活动现金流量：长期待摊费用摊销</v>
          </cell>
          <cell r="U305" t="str">
            <v>项       目</v>
          </cell>
          <cell r="V305">
            <v>1</v>
          </cell>
          <cell r="W305">
            <v>0</v>
          </cell>
          <cell r="X305">
            <v>9</v>
          </cell>
        </row>
        <row r="306">
          <cell r="B306" t="str">
            <v>8g03</v>
          </cell>
          <cell r="C306" t="str">
            <v>其他综合收益_前期差错更正调整上年年末余额</v>
          </cell>
          <cell r="D306">
            <v>-1</v>
          </cell>
          <cell r="E306">
            <v>0</v>
          </cell>
          <cell r="F306">
            <v>0</v>
          </cell>
          <cell r="G306" t="str">
            <v>前期差错更正</v>
          </cell>
          <cell r="H306">
            <v>0</v>
          </cell>
          <cell r="I306" t="str">
            <v>8g03</v>
          </cell>
          <cell r="J306" t="str">
            <v>J</v>
          </cell>
          <cell r="M306" t="str">
            <v>少数股东权益_其他原因调整上年年末余额</v>
          </cell>
          <cell r="S306" t="str">
            <v>7508a</v>
          </cell>
          <cell r="T306" t="str">
            <v>将净利润调节为经营活动现金流量：处置固定资产、无形资产和其他长期资产的损失</v>
          </cell>
          <cell r="U306" t="str">
            <v>项       目</v>
          </cell>
          <cell r="V306">
            <v>1</v>
          </cell>
          <cell r="W306">
            <v>0</v>
          </cell>
          <cell r="X306">
            <v>9</v>
          </cell>
        </row>
        <row r="307">
          <cell r="B307" t="str">
            <v>8g04</v>
          </cell>
          <cell r="C307" t="str">
            <v>其他综合收益_同一控制下企业合并调整上年年末余额</v>
          </cell>
          <cell r="D307">
            <v>-1</v>
          </cell>
          <cell r="E307" t="str">
            <v>※</v>
          </cell>
          <cell r="F307">
            <v>0</v>
          </cell>
          <cell r="G307" t="str">
            <v>同一控制下企业合并</v>
          </cell>
          <cell r="H307">
            <v>0</v>
          </cell>
          <cell r="I307" t="str">
            <v>8g04</v>
          </cell>
          <cell r="J307" t="str">
            <v>J</v>
          </cell>
          <cell r="M307" t="str">
            <v>少数股东权益_净利润</v>
          </cell>
          <cell r="S307" t="str">
            <v>7509a</v>
          </cell>
          <cell r="T307" t="str">
            <v>将净利润调节为经营活动现金流量：固定资产报废损失</v>
          </cell>
          <cell r="U307" t="str">
            <v>项       目</v>
          </cell>
          <cell r="V307">
            <v>1</v>
          </cell>
          <cell r="W307">
            <v>0</v>
          </cell>
          <cell r="X307">
            <v>9</v>
          </cell>
        </row>
        <row r="308">
          <cell r="B308" t="str">
            <v>8g09</v>
          </cell>
          <cell r="C308" t="str">
            <v>其他综合收益_其他原因调整上年年末余额</v>
          </cell>
          <cell r="D308">
            <v>-1</v>
          </cell>
          <cell r="E308">
            <v>0</v>
          </cell>
          <cell r="F308">
            <v>0</v>
          </cell>
          <cell r="G308" t="str">
            <v>其他</v>
          </cell>
          <cell r="H308">
            <v>0</v>
          </cell>
          <cell r="I308" t="str">
            <v>8g09</v>
          </cell>
          <cell r="J308" t="str">
            <v>J</v>
          </cell>
          <cell r="M308" t="str">
            <v>少数股东权益_其他综合收益</v>
          </cell>
          <cell r="S308" t="str">
            <v>7510a</v>
          </cell>
          <cell r="T308" t="str">
            <v>将净利润调节为经营活动现金流量：公允价值变动损失</v>
          </cell>
          <cell r="U308" t="str">
            <v>项       目</v>
          </cell>
          <cell r="V308">
            <v>1</v>
          </cell>
          <cell r="W308">
            <v>0</v>
          </cell>
          <cell r="X308">
            <v>9</v>
          </cell>
        </row>
        <row r="309">
          <cell r="B309" t="str">
            <v>8g10</v>
          </cell>
          <cell r="C309" t="str">
            <v>其他综合收益_本年年初余额</v>
          </cell>
          <cell r="D309">
            <v>0</v>
          </cell>
          <cell r="E309" t="str">
            <v>＝</v>
          </cell>
          <cell r="F309">
            <v>0</v>
          </cell>
          <cell r="G309" t="str">
            <v>二、本年年初余额</v>
          </cell>
          <cell r="H309">
            <v>0</v>
          </cell>
          <cell r="I309" t="str">
            <v>8g10</v>
          </cell>
          <cell r="J309">
            <v>0</v>
          </cell>
          <cell r="M309" t="str">
            <v>少数股东权益_综合收益总额增加权益</v>
          </cell>
          <cell r="S309" t="str">
            <v>7511a</v>
          </cell>
          <cell r="T309" t="str">
            <v>将净利润调节为经营活动现金流量：财务费用金额</v>
          </cell>
          <cell r="U309" t="str">
            <v>项       目</v>
          </cell>
          <cell r="V309">
            <v>1</v>
          </cell>
          <cell r="W309">
            <v>0</v>
          </cell>
          <cell r="X309">
            <v>9</v>
          </cell>
        </row>
        <row r="310">
          <cell r="B310" t="str">
            <v>8g90</v>
          </cell>
          <cell r="C310" t="str">
            <v>其他综合收益_本期增减变动金额</v>
          </cell>
          <cell r="D310">
            <v>0</v>
          </cell>
          <cell r="E310" t="str">
            <v>＝</v>
          </cell>
          <cell r="F310">
            <v>0</v>
          </cell>
          <cell r="G310" t="str">
            <v>三、本期增减变动金额（减少以“-”号填列）</v>
          </cell>
          <cell r="H310">
            <v>0</v>
          </cell>
          <cell r="I310" t="str">
            <v>8g90</v>
          </cell>
          <cell r="J310">
            <v>0</v>
          </cell>
          <cell r="M310" t="str">
            <v>少数股东权益_所有者投入资本</v>
          </cell>
          <cell r="S310" t="str">
            <v>7512a</v>
          </cell>
          <cell r="T310" t="str">
            <v>将净利润调节为经营活动现金流量：投资损失</v>
          </cell>
          <cell r="U310" t="str">
            <v>项       目</v>
          </cell>
          <cell r="V310">
            <v>1</v>
          </cell>
          <cell r="W310">
            <v>0</v>
          </cell>
          <cell r="X310">
            <v>9</v>
          </cell>
        </row>
        <row r="311">
          <cell r="B311" t="str">
            <v>8g40</v>
          </cell>
          <cell r="C311" t="str">
            <v>其他综合收益_综合收益总额增加权益</v>
          </cell>
          <cell r="D311">
            <v>-1</v>
          </cell>
          <cell r="E311">
            <v>0</v>
          </cell>
          <cell r="F311">
            <v>0</v>
          </cell>
          <cell r="G311" t="str">
            <v>（一）综合收益总额</v>
          </cell>
          <cell r="H311">
            <v>0</v>
          </cell>
          <cell r="I311" t="str">
            <v>8g40</v>
          </cell>
          <cell r="J311">
            <v>0</v>
          </cell>
          <cell r="M311" t="str">
            <v>少数股东权益_股份支付</v>
          </cell>
          <cell r="S311" t="str">
            <v>7515a</v>
          </cell>
          <cell r="T311" t="str">
            <v>将净利润调节为经营活动现金流量：递延所得税资产减少</v>
          </cell>
          <cell r="U311" t="str">
            <v>项       目</v>
          </cell>
          <cell r="V311">
            <v>1</v>
          </cell>
          <cell r="W311">
            <v>0</v>
          </cell>
          <cell r="X311">
            <v>9</v>
          </cell>
        </row>
        <row r="312">
          <cell r="B312" t="str">
            <v>8g50</v>
          </cell>
          <cell r="C312" t="str">
            <v>其他综合收益_所有者投入和减少资本影响权益</v>
          </cell>
          <cell r="D312">
            <v>0</v>
          </cell>
          <cell r="E312" t="str">
            <v>＝</v>
          </cell>
          <cell r="F312">
            <v>0</v>
          </cell>
          <cell r="G312" t="str">
            <v>（二）所有者投入和减少资本</v>
          </cell>
          <cell r="H312">
            <v>0</v>
          </cell>
          <cell r="I312" t="str">
            <v>8g50</v>
          </cell>
          <cell r="J312">
            <v>0</v>
          </cell>
          <cell r="M312" t="str">
            <v>少数股东权益_其他权益工具持有者投入资本</v>
          </cell>
          <cell r="S312" t="str">
            <v>7516a</v>
          </cell>
          <cell r="T312" t="str">
            <v>将净利润调节为经营活动现金流量：递延所得税负债增加</v>
          </cell>
          <cell r="U312" t="str">
            <v>项       目</v>
          </cell>
          <cell r="V312">
            <v>1</v>
          </cell>
          <cell r="W312">
            <v>0</v>
          </cell>
          <cell r="X312">
            <v>9</v>
          </cell>
        </row>
        <row r="313">
          <cell r="B313" t="str">
            <v>8g51</v>
          </cell>
          <cell r="C313" t="str">
            <v>其他综合收益_所有者投入资本</v>
          </cell>
          <cell r="D313">
            <v>-1</v>
          </cell>
          <cell r="E313">
            <v>0</v>
          </cell>
          <cell r="F313">
            <v>0</v>
          </cell>
          <cell r="G313" t="str">
            <v>所有者投入资本</v>
          </cell>
          <cell r="H313">
            <v>0</v>
          </cell>
          <cell r="I313" t="str">
            <v>8g51</v>
          </cell>
          <cell r="J313" t="str">
            <v>J</v>
          </cell>
          <cell r="M313" t="str">
            <v>少数股东权益_所有者其他投入和减少资本</v>
          </cell>
          <cell r="S313" t="str">
            <v>7517a</v>
          </cell>
          <cell r="T313" t="str">
            <v>将净利润调节为经营活动现金流量：存货的减少</v>
          </cell>
          <cell r="U313" t="str">
            <v>项       目</v>
          </cell>
          <cell r="V313">
            <v>1</v>
          </cell>
          <cell r="W313">
            <v>0</v>
          </cell>
          <cell r="X313">
            <v>9</v>
          </cell>
        </row>
        <row r="314">
          <cell r="B314" t="str">
            <v>8g52</v>
          </cell>
          <cell r="C314" t="str">
            <v>其他综合收益_股份支付</v>
          </cell>
          <cell r="D314">
            <v>-1</v>
          </cell>
          <cell r="E314">
            <v>0</v>
          </cell>
          <cell r="F314">
            <v>0</v>
          </cell>
          <cell r="G314" t="str">
            <v>股份支付计入所有者权益的金额</v>
          </cell>
          <cell r="H314">
            <v>0</v>
          </cell>
          <cell r="I314" t="str">
            <v>8g52</v>
          </cell>
          <cell r="J314" t="str">
            <v>J</v>
          </cell>
          <cell r="M314" t="str">
            <v>少数股东权益_提取盈余公积影响权益</v>
          </cell>
          <cell r="S314" t="str">
            <v>7518a</v>
          </cell>
          <cell r="T314" t="str">
            <v>将净利润调节为经营活动现金流量：经营性应收项目的减少</v>
          </cell>
          <cell r="U314" t="str">
            <v>项       目</v>
          </cell>
          <cell r="V314">
            <v>1</v>
          </cell>
          <cell r="W314">
            <v>0</v>
          </cell>
          <cell r="X314">
            <v>9</v>
          </cell>
        </row>
        <row r="315">
          <cell r="B315" t="str">
            <v>8g53</v>
          </cell>
          <cell r="C315" t="str">
            <v>其他综合收益_其他权益工具持有者投入资本</v>
          </cell>
          <cell r="D315">
            <v>-1</v>
          </cell>
          <cell r="E315" t="str">
            <v>OEI</v>
          </cell>
          <cell r="F315">
            <v>0</v>
          </cell>
          <cell r="G315" t="str">
            <v>其他权益工具持有者投入资本</v>
          </cell>
          <cell r="H315">
            <v>0</v>
          </cell>
          <cell r="I315" t="str">
            <v>8g53</v>
          </cell>
          <cell r="J315" t="str">
            <v>J</v>
          </cell>
          <cell r="M315" t="str">
            <v>少数股东权益_提取一般风险准备影响权益</v>
          </cell>
          <cell r="S315" t="str">
            <v>7519a</v>
          </cell>
          <cell r="T315" t="str">
            <v>将净利润调节为经营活动现金流量：经营性应付项目的增加</v>
          </cell>
          <cell r="U315" t="str">
            <v>项       目</v>
          </cell>
          <cell r="V315">
            <v>1</v>
          </cell>
          <cell r="W315">
            <v>0</v>
          </cell>
          <cell r="X315">
            <v>9</v>
          </cell>
        </row>
        <row r="316">
          <cell r="B316" t="str">
            <v>8g56</v>
          </cell>
          <cell r="C316" t="str">
            <v>其他综合收益_所有者其他投入和减少资本</v>
          </cell>
          <cell r="D316">
            <v>-1</v>
          </cell>
          <cell r="E316">
            <v>0</v>
          </cell>
          <cell r="F316">
            <v>0</v>
          </cell>
          <cell r="G316" t="str">
            <v>其他</v>
          </cell>
          <cell r="H316">
            <v>0</v>
          </cell>
          <cell r="I316" t="str">
            <v>8g56</v>
          </cell>
          <cell r="J316" t="str">
            <v>J</v>
          </cell>
          <cell r="M316" t="str">
            <v>少数股东权益_对所有者的分配</v>
          </cell>
          <cell r="S316" t="str">
            <v>7523a</v>
          </cell>
          <cell r="T316" t="str">
            <v>将净利润调节为经营活动现金流量：其他项目</v>
          </cell>
          <cell r="U316" t="str">
            <v>项       目</v>
          </cell>
          <cell r="V316">
            <v>1</v>
          </cell>
          <cell r="W316">
            <v>0</v>
          </cell>
          <cell r="X316">
            <v>9</v>
          </cell>
        </row>
        <row r="317">
          <cell r="B317" t="str">
            <v>8g60</v>
          </cell>
          <cell r="C317" t="str">
            <v>其他综合收益_利润分配影响权益</v>
          </cell>
          <cell r="D317">
            <v>0</v>
          </cell>
          <cell r="E317" t="str">
            <v>＝</v>
          </cell>
          <cell r="F317">
            <v>0</v>
          </cell>
          <cell r="G317" t="str">
            <v>（三）利润分配</v>
          </cell>
          <cell r="H317">
            <v>0</v>
          </cell>
          <cell r="I317" t="str">
            <v>8g60</v>
          </cell>
          <cell r="J317">
            <v>0</v>
          </cell>
          <cell r="M317" t="str">
            <v>少数股东权益_其他利润分配</v>
          </cell>
          <cell r="S317" t="str">
            <v>9314a</v>
          </cell>
          <cell r="T317" t="str">
            <v>所有者权益变动表项目注释</v>
          </cell>
          <cell r="U317" t="str">
            <v>项       目</v>
          </cell>
          <cell r="V317">
            <v>-2</v>
          </cell>
          <cell r="W317">
            <v>0</v>
          </cell>
          <cell r="X317">
            <v>2</v>
          </cell>
        </row>
        <row r="318">
          <cell r="B318" t="str">
            <v>8g61</v>
          </cell>
          <cell r="C318" t="str">
            <v>其他综合收益_提取盈余公积</v>
          </cell>
          <cell r="D318">
            <v>-1</v>
          </cell>
          <cell r="E318">
            <v>0</v>
          </cell>
          <cell r="F318">
            <v>0</v>
          </cell>
          <cell r="G318" t="str">
            <v>提取盈余公积</v>
          </cell>
          <cell r="H318">
            <v>0</v>
          </cell>
          <cell r="I318" t="str">
            <v>8g61</v>
          </cell>
          <cell r="J318" t="str">
            <v>J</v>
          </cell>
          <cell r="M318" t="str">
            <v>少数股东权益_资本公积转增资本影响权益</v>
          </cell>
          <cell r="S318" t="str">
            <v>1997a</v>
          </cell>
          <cell r="T318" t="str">
            <v>所有权或使用权受到限制的资产</v>
          </cell>
          <cell r="U318" t="str">
            <v>所有权受到限制的资产类别</v>
          </cell>
          <cell r="V318">
            <v>-2</v>
          </cell>
          <cell r="W318">
            <v>0</v>
          </cell>
          <cell r="X318">
            <v>2</v>
          </cell>
        </row>
        <row r="319">
          <cell r="B319" t="str">
            <v>8g62</v>
          </cell>
          <cell r="C319" t="str">
            <v>其他综合收益_提取一般风险准备</v>
          </cell>
          <cell r="D319">
            <v>-1</v>
          </cell>
          <cell r="E319">
            <v>0</v>
          </cell>
          <cell r="F319">
            <v>0</v>
          </cell>
          <cell r="G319" t="str">
            <v>提取一般风险准备</v>
          </cell>
          <cell r="H319">
            <v>0</v>
          </cell>
          <cell r="I319" t="str">
            <v>8g62</v>
          </cell>
          <cell r="J319" t="str">
            <v>J</v>
          </cell>
          <cell r="M319" t="str">
            <v>少数股东权益_盈余公积转增资本影响权益</v>
          </cell>
          <cell r="S319" t="str">
            <v>1704a</v>
          </cell>
          <cell r="T319" t="str">
            <v>外币货币性项目</v>
          </cell>
          <cell r="U319" t="str">
            <v>项       目</v>
          </cell>
          <cell r="V319">
            <v>-2</v>
          </cell>
          <cell r="W319">
            <v>0</v>
          </cell>
          <cell r="X319">
            <v>2</v>
          </cell>
        </row>
        <row r="320">
          <cell r="B320" t="str">
            <v>8g63</v>
          </cell>
          <cell r="C320" t="str">
            <v>其他综合收益_对所有者的分配</v>
          </cell>
          <cell r="D320">
            <v>-1</v>
          </cell>
          <cell r="E320">
            <v>0</v>
          </cell>
          <cell r="F320">
            <v>0</v>
          </cell>
          <cell r="G320" t="str">
            <v>对所有者（或股东）的分配</v>
          </cell>
          <cell r="H320">
            <v>0</v>
          </cell>
          <cell r="I320" t="str">
            <v>8g63</v>
          </cell>
          <cell r="J320" t="str">
            <v>J</v>
          </cell>
          <cell r="M320" t="str">
            <v>少数股东权益_盈余公积弥补亏损影响权益</v>
          </cell>
          <cell r="S320" t="str">
            <v>9325a</v>
          </cell>
          <cell r="T320" t="str">
            <v>本集团持有的计息金融工具</v>
          </cell>
          <cell r="U320" t="str">
            <v>项       目</v>
          </cell>
          <cell r="V320">
            <v>-2</v>
          </cell>
          <cell r="W320">
            <v>0</v>
          </cell>
          <cell r="X320">
            <v>2</v>
          </cell>
        </row>
        <row r="321">
          <cell r="B321" t="str">
            <v>8g66</v>
          </cell>
          <cell r="C321" t="str">
            <v>其他综合收益_其他利润分配</v>
          </cell>
          <cell r="D321">
            <v>-1</v>
          </cell>
          <cell r="E321">
            <v>0</v>
          </cell>
          <cell r="F321">
            <v>0</v>
          </cell>
          <cell r="G321" t="str">
            <v>其他</v>
          </cell>
          <cell r="H321">
            <v>0</v>
          </cell>
          <cell r="I321" t="str">
            <v>8g66</v>
          </cell>
          <cell r="J321" t="str">
            <v>J</v>
          </cell>
          <cell r="M321" t="str">
            <v>少数股东权益_设定受益计划变动额结转留存收益</v>
          </cell>
          <cell r="S321" t="str">
            <v>9325e</v>
          </cell>
          <cell r="T321" t="str">
            <v>期末本集团持有的金融资产和金融负债按未折现剩余合同现金流量的到期期限分析</v>
          </cell>
          <cell r="U321" t="str">
            <v>项       目</v>
          </cell>
          <cell r="V321">
            <v>-2</v>
          </cell>
          <cell r="W321">
            <v>0</v>
          </cell>
          <cell r="X321">
            <v>2</v>
          </cell>
        </row>
        <row r="322">
          <cell r="B322" t="str">
            <v>8g70</v>
          </cell>
          <cell r="C322" t="str">
            <v>其他综合收益_所有者权益内部结转</v>
          </cell>
          <cell r="D322">
            <v>0</v>
          </cell>
          <cell r="E322" t="str">
            <v>＝</v>
          </cell>
          <cell r="F322">
            <v>0</v>
          </cell>
          <cell r="G322" t="str">
            <v>（四）所有者权益内部结转</v>
          </cell>
          <cell r="H322">
            <v>0</v>
          </cell>
          <cell r="I322" t="str">
            <v>8g70</v>
          </cell>
          <cell r="J322">
            <v>0</v>
          </cell>
          <cell r="M322" t="str">
            <v>少数股东权益_所有者权益其他内部结转</v>
          </cell>
          <cell r="S322" t="str">
            <v>9325f</v>
          </cell>
          <cell r="T322" t="str">
            <v>期初本集团持有的金融资产和金融负债按未折现剩余合同现金流量的到期期限分析</v>
          </cell>
          <cell r="U322" t="str">
            <v>项       目</v>
          </cell>
          <cell r="V322">
            <v>-2</v>
          </cell>
          <cell r="W322">
            <v>0</v>
          </cell>
          <cell r="X322">
            <v>2</v>
          </cell>
        </row>
        <row r="323">
          <cell r="B323" t="str">
            <v>8g71</v>
          </cell>
          <cell r="C323" t="str">
            <v>其他综合收益_资本公积转增资本</v>
          </cell>
          <cell r="D323">
            <v>-1</v>
          </cell>
          <cell r="E323">
            <v>0</v>
          </cell>
          <cell r="F323">
            <v>0</v>
          </cell>
          <cell r="G323" t="str">
            <v>资本公积转增资本（或股本）</v>
          </cell>
          <cell r="H323">
            <v>0</v>
          </cell>
          <cell r="I323" t="str">
            <v>8g71</v>
          </cell>
          <cell r="J323" t="str">
            <v>J</v>
          </cell>
          <cell r="M323" t="str">
            <v>少数股东权益_专项储备本期提取</v>
          </cell>
          <cell r="S323" t="str">
            <v>9331a</v>
          </cell>
          <cell r="T323" t="str">
            <v>以公允价值计量的项目和金额</v>
          </cell>
          <cell r="U323" t="str">
            <v>项       目</v>
          </cell>
          <cell r="V323">
            <v>-2</v>
          </cell>
          <cell r="W323">
            <v>0</v>
          </cell>
          <cell r="X323">
            <v>2</v>
          </cell>
        </row>
        <row r="324">
          <cell r="B324" t="str">
            <v>8g72</v>
          </cell>
          <cell r="C324" t="str">
            <v>其他综合收益_盈余公积转增资本</v>
          </cell>
          <cell r="D324">
            <v>-1</v>
          </cell>
          <cell r="E324">
            <v>0</v>
          </cell>
          <cell r="F324">
            <v>0</v>
          </cell>
          <cell r="G324" t="str">
            <v>盈余公积转增资本（或股本）</v>
          </cell>
          <cell r="H324">
            <v>0</v>
          </cell>
          <cell r="I324" t="str">
            <v>8g72</v>
          </cell>
          <cell r="J324" t="str">
            <v>J</v>
          </cell>
          <cell r="M324" t="str">
            <v>少数股东权益_专项储备本期使用</v>
          </cell>
          <cell r="S324" t="str">
            <v>9331b</v>
          </cell>
          <cell r="T324" t="str">
            <v>不以公允价值计量但披露其公允价值的项目和金额（期末）</v>
          </cell>
          <cell r="U324" t="str">
            <v>项       目</v>
          </cell>
          <cell r="V324">
            <v>-2</v>
          </cell>
          <cell r="W324">
            <v>0</v>
          </cell>
          <cell r="X324">
            <v>2</v>
          </cell>
        </row>
        <row r="325">
          <cell r="B325" t="str">
            <v>8g73</v>
          </cell>
          <cell r="C325" t="str">
            <v>其他综合收益_盈余公积弥补亏损</v>
          </cell>
          <cell r="D325">
            <v>-1</v>
          </cell>
          <cell r="E325">
            <v>0</v>
          </cell>
          <cell r="F325">
            <v>0</v>
          </cell>
          <cell r="G325" t="str">
            <v>盈余公积弥补亏损</v>
          </cell>
          <cell r="H325">
            <v>0</v>
          </cell>
          <cell r="I325" t="str">
            <v>8g73</v>
          </cell>
          <cell r="J325" t="str">
            <v>J</v>
          </cell>
          <cell r="M325" t="str">
            <v>少数股东权益_本期其他增减变动</v>
          </cell>
          <cell r="S325" t="str">
            <v>9331c</v>
          </cell>
          <cell r="T325" t="str">
            <v>不以公允价值计量但披露其公允价值的项目和金额（期初）</v>
          </cell>
          <cell r="U325" t="str">
            <v>项       目</v>
          </cell>
          <cell r="V325">
            <v>-2</v>
          </cell>
          <cell r="W325">
            <v>0</v>
          </cell>
          <cell r="X325">
            <v>2</v>
          </cell>
        </row>
        <row r="326">
          <cell r="B326" t="str">
            <v>8g75</v>
          </cell>
          <cell r="C326" t="str">
            <v>其他综合收益_设定受益计划变动额结转留存收益</v>
          </cell>
          <cell r="D326">
            <v>-1</v>
          </cell>
          <cell r="E326" t="str">
            <v>OEI</v>
          </cell>
          <cell r="F326">
            <v>0</v>
          </cell>
          <cell r="G326" t="str">
            <v>设定受益计划变动额结转留存收益</v>
          </cell>
          <cell r="H326">
            <v>0</v>
          </cell>
          <cell r="I326" t="str">
            <v>8g75</v>
          </cell>
          <cell r="J326" t="str">
            <v>J</v>
          </cell>
          <cell r="M326" t="str">
            <v>其他权益工具（优先股）_上年年末余额</v>
          </cell>
          <cell r="S326" t="str">
            <v>9331d</v>
          </cell>
          <cell r="T326" t="str">
            <v>第三层次公允价值计量中使用的重要的不可观察输入值的量化信息</v>
          </cell>
          <cell r="U326" t="str">
            <v>项       目</v>
          </cell>
          <cell r="V326">
            <v>-2</v>
          </cell>
          <cell r="W326">
            <v>0</v>
          </cell>
          <cell r="X326">
            <v>2</v>
          </cell>
        </row>
        <row r="327">
          <cell r="B327" t="str">
            <v>8g76</v>
          </cell>
          <cell r="C327" t="str">
            <v>其他综合收益_所有者权益其他内部结转</v>
          </cell>
          <cell r="D327">
            <v>-1</v>
          </cell>
          <cell r="E327">
            <v>0</v>
          </cell>
          <cell r="F327">
            <v>0</v>
          </cell>
          <cell r="G327" t="str">
            <v>其他</v>
          </cell>
          <cell r="H327">
            <v>0</v>
          </cell>
          <cell r="I327" t="str">
            <v>8g76</v>
          </cell>
          <cell r="J327" t="str">
            <v>J</v>
          </cell>
          <cell r="M327" t="str">
            <v>其他权益工具（优先股）_会计政策变更调整上年年末余额</v>
          </cell>
          <cell r="S327" t="str">
            <v>9331e</v>
          </cell>
          <cell r="T327" t="str">
            <v>归入公允价值层级第三层次的公允价值计量的调节表（本期）</v>
          </cell>
          <cell r="U327" t="str">
            <v>项       目</v>
          </cell>
          <cell r="V327">
            <v>-2</v>
          </cell>
          <cell r="W327">
            <v>0</v>
          </cell>
          <cell r="X327">
            <v>2</v>
          </cell>
        </row>
        <row r="328">
          <cell r="B328" t="str">
            <v>8g80</v>
          </cell>
          <cell r="C328" t="str">
            <v>其他综合收益_专项储备影响权益</v>
          </cell>
          <cell r="D328">
            <v>0</v>
          </cell>
          <cell r="E328" t="str">
            <v>＝</v>
          </cell>
          <cell r="F328">
            <v>0</v>
          </cell>
          <cell r="G328" t="str">
            <v>（五）专项储备</v>
          </cell>
          <cell r="H328">
            <v>0</v>
          </cell>
          <cell r="I328" t="str">
            <v>8g80</v>
          </cell>
          <cell r="J328">
            <v>0</v>
          </cell>
          <cell r="M328" t="str">
            <v>其他权益工具（优先股）_前期差错更正调整上年年末余额</v>
          </cell>
          <cell r="S328" t="str">
            <v>9331f</v>
          </cell>
          <cell r="T328" t="str">
            <v>计入当前损益的利得和损失中与金融资产和非金融资产有关的损益信息（本期）</v>
          </cell>
          <cell r="U328" t="str">
            <v>项       目</v>
          </cell>
          <cell r="V328">
            <v>-2</v>
          </cell>
          <cell r="W328">
            <v>0</v>
          </cell>
          <cell r="X328">
            <v>2</v>
          </cell>
        </row>
        <row r="329">
          <cell r="B329" t="str">
            <v>8g81</v>
          </cell>
          <cell r="C329" t="str">
            <v>其他综合收益_专项储备本期提取</v>
          </cell>
          <cell r="D329">
            <v>-1</v>
          </cell>
          <cell r="E329">
            <v>0</v>
          </cell>
          <cell r="F329">
            <v>0</v>
          </cell>
          <cell r="G329" t="str">
            <v>本期提取</v>
          </cell>
          <cell r="H329">
            <v>0</v>
          </cell>
          <cell r="I329" t="str">
            <v>8g81</v>
          </cell>
          <cell r="J329" t="str">
            <v>J</v>
          </cell>
          <cell r="M329" t="str">
            <v>其他权益工具（优先股）_同一控制下企业合并调整上年年末余额</v>
          </cell>
          <cell r="S329" t="str">
            <v>9331g</v>
          </cell>
          <cell r="T329" t="str">
            <v>归入公允价值层级第三层次的公允价值计量的调节表（上期）</v>
          </cell>
          <cell r="U329" t="str">
            <v>项       目</v>
          </cell>
          <cell r="V329">
            <v>-2</v>
          </cell>
          <cell r="W329">
            <v>0</v>
          </cell>
          <cell r="X329">
            <v>2</v>
          </cell>
        </row>
        <row r="330">
          <cell r="B330" t="str">
            <v>8g82</v>
          </cell>
          <cell r="C330" t="str">
            <v>其他综合收益_专项储备本期使用</v>
          </cell>
          <cell r="D330">
            <v>-1</v>
          </cell>
          <cell r="E330">
            <v>0</v>
          </cell>
          <cell r="F330">
            <v>0</v>
          </cell>
          <cell r="G330" t="str">
            <v>本期使用</v>
          </cell>
          <cell r="H330">
            <v>0</v>
          </cell>
          <cell r="I330" t="str">
            <v>8g82</v>
          </cell>
          <cell r="J330" t="str">
            <v>J</v>
          </cell>
          <cell r="M330" t="str">
            <v>其他权益工具（优先股）_其他原因调整上年年末余额</v>
          </cell>
          <cell r="S330" t="str">
            <v>9331h</v>
          </cell>
          <cell r="T330" t="str">
            <v>计入当前损益的利得和损失中与金融资产和非金融资产有关的损益信息（上期）</v>
          </cell>
          <cell r="U330" t="str">
            <v>项       目</v>
          </cell>
          <cell r="V330">
            <v>-2</v>
          </cell>
          <cell r="W330">
            <v>0</v>
          </cell>
          <cell r="X330">
            <v>2</v>
          </cell>
        </row>
        <row r="331">
          <cell r="B331" t="str">
            <v>8g96</v>
          </cell>
          <cell r="C331" t="str">
            <v>其他综合收益_本期其他增减变动</v>
          </cell>
          <cell r="D331">
            <v>-1</v>
          </cell>
          <cell r="E331">
            <v>0</v>
          </cell>
          <cell r="F331">
            <v>0</v>
          </cell>
          <cell r="G331" t="str">
            <v>（七）其他</v>
          </cell>
          <cell r="H331">
            <v>0</v>
          </cell>
          <cell r="I331" t="str">
            <v>8g96</v>
          </cell>
          <cell r="J331" t="str">
            <v>J</v>
          </cell>
          <cell r="M331" t="str">
            <v>其他权益工具（优先股）_综合收益总额增加权益</v>
          </cell>
          <cell r="S331" t="str">
            <v>9120c</v>
          </cell>
          <cell r="T331" t="str">
            <v>关联托管、承包情况——公司受托管理、承包</v>
          </cell>
          <cell r="U331" t="str">
            <v>项       目</v>
          </cell>
          <cell r="V331">
            <v>-2</v>
          </cell>
          <cell r="W331">
            <v>0</v>
          </cell>
          <cell r="X331">
            <v>2</v>
          </cell>
        </row>
        <row r="332">
          <cell r="B332" t="str">
            <v>8g99</v>
          </cell>
          <cell r="C332" t="str">
            <v>其他综合收益_本期期末余额</v>
          </cell>
          <cell r="D332">
            <v>0</v>
          </cell>
          <cell r="E332" t="str">
            <v>＝</v>
          </cell>
          <cell r="F332">
            <v>0</v>
          </cell>
          <cell r="G332" t="str">
            <v>四、本期期末余额</v>
          </cell>
          <cell r="H332">
            <v>0</v>
          </cell>
          <cell r="I332" t="str">
            <v>8g99</v>
          </cell>
          <cell r="J332">
            <v>0</v>
          </cell>
          <cell r="M332" t="str">
            <v>其他权益工具（优先股）_所有者投入资本</v>
          </cell>
          <cell r="S332" t="str">
            <v>9120d</v>
          </cell>
          <cell r="T332" t="str">
            <v>关联托管、承包情况——公司委托管理、出包</v>
          </cell>
          <cell r="U332" t="str">
            <v>项       目</v>
          </cell>
          <cell r="V332">
            <v>-2</v>
          </cell>
          <cell r="W332">
            <v>0</v>
          </cell>
          <cell r="X332">
            <v>2</v>
          </cell>
        </row>
        <row r="333">
          <cell r="B333">
            <v>8200</v>
          </cell>
          <cell r="C333" t="str">
            <v>资本公积增减变动</v>
          </cell>
          <cell r="D333">
            <v>0</v>
          </cell>
          <cell r="E333" t="str">
            <v>：</v>
          </cell>
          <cell r="F333">
            <v>0</v>
          </cell>
          <cell r="G333" t="str">
            <v>资本公积增减变动</v>
          </cell>
          <cell r="H333">
            <v>0</v>
          </cell>
          <cell r="I333">
            <v>8200</v>
          </cell>
          <cell r="J333">
            <v>0</v>
          </cell>
          <cell r="M333" t="str">
            <v>其他权益工具（优先股）_股份支付</v>
          </cell>
          <cell r="S333" t="str">
            <v>9120e</v>
          </cell>
          <cell r="T333" t="str">
            <v>关联租赁情况——公司出租</v>
          </cell>
          <cell r="U333" t="str">
            <v>项       目</v>
          </cell>
          <cell r="V333">
            <v>-2</v>
          </cell>
          <cell r="W333">
            <v>0</v>
          </cell>
          <cell r="X333">
            <v>2</v>
          </cell>
        </row>
        <row r="334">
          <cell r="B334">
            <v>8201</v>
          </cell>
          <cell r="C334" t="str">
            <v>资本公积_上年年末余额</v>
          </cell>
          <cell r="D334">
            <v>-1</v>
          </cell>
          <cell r="E334">
            <v>0</v>
          </cell>
          <cell r="F334">
            <v>5210</v>
          </cell>
          <cell r="G334" t="str">
            <v>一、上年年末余额</v>
          </cell>
          <cell r="H334">
            <v>0</v>
          </cell>
          <cell r="I334">
            <v>8201</v>
          </cell>
          <cell r="J334" t="str">
            <v>J</v>
          </cell>
          <cell r="M334" t="str">
            <v>其他权益工具（优先股）_其他权益工具持有者投入资本</v>
          </cell>
          <cell r="S334" t="str">
            <v>9120f</v>
          </cell>
          <cell r="T334" t="str">
            <v>关联租赁情况——公司承租</v>
          </cell>
          <cell r="U334" t="str">
            <v>项       目</v>
          </cell>
          <cell r="V334">
            <v>-2</v>
          </cell>
          <cell r="W334">
            <v>0</v>
          </cell>
          <cell r="X334">
            <v>2</v>
          </cell>
        </row>
        <row r="335">
          <cell r="B335">
            <v>8202</v>
          </cell>
          <cell r="C335" t="str">
            <v>资本公积_会计政策变更调整上年年末余额</v>
          </cell>
          <cell r="D335">
            <v>-1</v>
          </cell>
          <cell r="E335">
            <v>0</v>
          </cell>
          <cell r="F335">
            <v>5210</v>
          </cell>
          <cell r="G335" t="str">
            <v>加：会计政策变更</v>
          </cell>
          <cell r="H335">
            <v>0</v>
          </cell>
          <cell r="I335">
            <v>8202</v>
          </cell>
          <cell r="J335" t="str">
            <v>J</v>
          </cell>
          <cell r="M335" t="str">
            <v>其他权益工具（优先股）_所有者其他投入和减少资本</v>
          </cell>
          <cell r="S335" t="str">
            <v>9120g</v>
          </cell>
          <cell r="T335" t="str">
            <v>关联担保情况——本集团作为担保方</v>
          </cell>
          <cell r="U335" t="str">
            <v>项       目</v>
          </cell>
          <cell r="V335">
            <v>-2</v>
          </cell>
          <cell r="W335">
            <v>0</v>
          </cell>
          <cell r="X335">
            <v>2</v>
          </cell>
        </row>
        <row r="336">
          <cell r="B336">
            <v>8203</v>
          </cell>
          <cell r="C336" t="str">
            <v>资本公积_前期差错更正调整上年年末余额</v>
          </cell>
          <cell r="D336">
            <v>-1</v>
          </cell>
          <cell r="E336">
            <v>0</v>
          </cell>
          <cell r="F336">
            <v>5210</v>
          </cell>
          <cell r="G336" t="str">
            <v>前期差错更正</v>
          </cell>
          <cell r="H336">
            <v>0</v>
          </cell>
          <cell r="I336">
            <v>8203</v>
          </cell>
          <cell r="J336" t="str">
            <v>J</v>
          </cell>
          <cell r="M336" t="str">
            <v>其他权益工具（优先股）_提取盈余公积</v>
          </cell>
          <cell r="S336" t="str">
            <v>9120h</v>
          </cell>
          <cell r="T336" t="str">
            <v>关联担保情况——本集团作为被担保方</v>
          </cell>
          <cell r="U336" t="str">
            <v>项       目</v>
          </cell>
          <cell r="V336">
            <v>-2</v>
          </cell>
          <cell r="W336">
            <v>0</v>
          </cell>
          <cell r="X336">
            <v>2</v>
          </cell>
        </row>
        <row r="337">
          <cell r="B337">
            <v>8204</v>
          </cell>
          <cell r="C337" t="str">
            <v>资本公积_同一控制下企业合并调整上年年末余额</v>
          </cell>
          <cell r="D337">
            <v>-1</v>
          </cell>
          <cell r="E337" t="str">
            <v>※</v>
          </cell>
          <cell r="F337">
            <v>5210</v>
          </cell>
          <cell r="G337" t="str">
            <v>同一控制下企业合并</v>
          </cell>
          <cell r="H337">
            <v>0</v>
          </cell>
          <cell r="I337">
            <v>8204</v>
          </cell>
          <cell r="J337" t="str">
            <v>J</v>
          </cell>
          <cell r="M337" t="str">
            <v>其他权益工具（优先股）_提取一般风险准备</v>
          </cell>
          <cell r="S337" t="str">
            <v>9120i</v>
          </cell>
          <cell r="T337" t="str">
            <v>关联方资金拆借情况——拆入</v>
          </cell>
          <cell r="U337" t="str">
            <v>项       目</v>
          </cell>
          <cell r="V337">
            <v>-2</v>
          </cell>
          <cell r="W337">
            <v>0</v>
          </cell>
          <cell r="X337">
            <v>2</v>
          </cell>
        </row>
        <row r="338">
          <cell r="B338">
            <v>8209</v>
          </cell>
          <cell r="C338" t="str">
            <v>资本公积_其他原因调整上年年末余额</v>
          </cell>
          <cell r="D338">
            <v>-1</v>
          </cell>
          <cell r="E338">
            <v>0</v>
          </cell>
          <cell r="F338">
            <v>5210</v>
          </cell>
          <cell r="G338" t="str">
            <v>其他</v>
          </cell>
          <cell r="H338">
            <v>0</v>
          </cell>
          <cell r="I338">
            <v>8209</v>
          </cell>
          <cell r="J338" t="str">
            <v>J</v>
          </cell>
          <cell r="M338" t="str">
            <v>其他权益工具（优先股）_对所有者的分配</v>
          </cell>
          <cell r="S338" t="str">
            <v>9120j</v>
          </cell>
          <cell r="T338" t="str">
            <v>关联方资金拆借情况——拆出</v>
          </cell>
          <cell r="U338" t="str">
            <v>项       目</v>
          </cell>
          <cell r="V338">
            <v>-2</v>
          </cell>
          <cell r="W338">
            <v>0</v>
          </cell>
          <cell r="X338">
            <v>2</v>
          </cell>
        </row>
        <row r="339">
          <cell r="B339">
            <v>8210</v>
          </cell>
          <cell r="C339" t="str">
            <v>资本公积_本年年初余额</v>
          </cell>
          <cell r="D339">
            <v>0</v>
          </cell>
          <cell r="E339" t="str">
            <v>＝</v>
          </cell>
          <cell r="F339">
            <v>0</v>
          </cell>
          <cell r="G339" t="str">
            <v>二、本年年初余额</v>
          </cell>
          <cell r="H339">
            <v>0</v>
          </cell>
          <cell r="I339">
            <v>8210</v>
          </cell>
          <cell r="J339">
            <v>0</v>
          </cell>
          <cell r="M339" t="str">
            <v>其他权益工具（优先股）_其他利润分配</v>
          </cell>
          <cell r="S339" t="str">
            <v>9120k</v>
          </cell>
          <cell r="T339" t="str">
            <v>关联方资产转让、债务重组情况</v>
          </cell>
          <cell r="U339" t="str">
            <v>项       目</v>
          </cell>
          <cell r="V339">
            <v>-2</v>
          </cell>
          <cell r="W339">
            <v>0</v>
          </cell>
          <cell r="X339">
            <v>2</v>
          </cell>
        </row>
        <row r="340">
          <cell r="B340">
            <v>8290</v>
          </cell>
          <cell r="C340" t="str">
            <v>资本公积_本期增减变动金额</v>
          </cell>
          <cell r="D340">
            <v>0</v>
          </cell>
          <cell r="E340" t="str">
            <v>＝</v>
          </cell>
          <cell r="F340">
            <v>0</v>
          </cell>
          <cell r="G340" t="str">
            <v>三、本期增减变动金额（减少以“-”号填列）</v>
          </cell>
          <cell r="H340">
            <v>0</v>
          </cell>
          <cell r="I340">
            <v>8290</v>
          </cell>
          <cell r="J340">
            <v>0</v>
          </cell>
          <cell r="M340" t="str">
            <v>其他权益工具（优先股）_资本公积转增资本</v>
          </cell>
          <cell r="S340" t="str">
            <v>9120l</v>
          </cell>
          <cell r="T340" t="str">
            <v>关键管理人员薪酬情况</v>
          </cell>
          <cell r="U340" t="str">
            <v>项       目</v>
          </cell>
          <cell r="V340">
            <v>-2</v>
          </cell>
          <cell r="W340">
            <v>0</v>
          </cell>
          <cell r="X340">
            <v>2</v>
          </cell>
        </row>
        <row r="341">
          <cell r="B341">
            <v>8230</v>
          </cell>
          <cell r="C341" t="str">
            <v>资本公积_其他综合收益</v>
          </cell>
          <cell r="D341">
            <v>-1</v>
          </cell>
          <cell r="E341">
            <v>0</v>
          </cell>
          <cell r="F341">
            <v>5210</v>
          </cell>
          <cell r="G341" t="str">
            <v>（二）其他综合收益</v>
          </cell>
          <cell r="H341">
            <v>0</v>
          </cell>
          <cell r="I341">
            <v>8230</v>
          </cell>
          <cell r="J341" t="str">
            <v>J</v>
          </cell>
          <cell r="M341" t="str">
            <v>其他权益工具（优先股）_盈余公积转增资本</v>
          </cell>
          <cell r="S341" t="str">
            <v>9367a</v>
          </cell>
          <cell r="T341" t="str">
            <v>其他重要事项（终止经营）</v>
          </cell>
          <cell r="U341" t="str">
            <v>项       目</v>
          </cell>
          <cell r="V341">
            <v>-2</v>
          </cell>
          <cell r="W341">
            <v>0</v>
          </cell>
          <cell r="X341">
            <v>2</v>
          </cell>
        </row>
        <row r="342">
          <cell r="B342">
            <v>8240</v>
          </cell>
          <cell r="C342" t="str">
            <v>资本公积_综合收益总额增加权益</v>
          </cell>
          <cell r="D342">
            <v>-1</v>
          </cell>
          <cell r="E342">
            <v>0</v>
          </cell>
          <cell r="F342">
            <v>0</v>
          </cell>
          <cell r="G342" t="str">
            <v>（一）综合收益总额</v>
          </cell>
          <cell r="H342">
            <v>0</v>
          </cell>
          <cell r="I342">
            <v>8240</v>
          </cell>
          <cell r="J342" t="str">
            <v>J</v>
          </cell>
          <cell r="M342" t="str">
            <v>其他权益工具（优先股）_盈余公积弥补亏损</v>
          </cell>
          <cell r="S342" t="str">
            <v>9371e</v>
          </cell>
          <cell r="T342" t="str">
            <v>政府补助按种类列示</v>
          </cell>
          <cell r="U342" t="str">
            <v>种       类</v>
          </cell>
          <cell r="V342">
            <v>-2</v>
          </cell>
          <cell r="W342">
            <v>0</v>
          </cell>
          <cell r="X342">
            <v>2</v>
          </cell>
        </row>
        <row r="343">
          <cell r="B343">
            <v>8250</v>
          </cell>
          <cell r="C343" t="str">
            <v>资本公积_所有者投入和减少资本影响权益</v>
          </cell>
          <cell r="D343">
            <v>0</v>
          </cell>
          <cell r="E343" t="str">
            <v>＝</v>
          </cell>
          <cell r="F343">
            <v>0</v>
          </cell>
          <cell r="G343" t="str">
            <v>（二）所有者投入和减少资本</v>
          </cell>
          <cell r="H343">
            <v>0</v>
          </cell>
          <cell r="I343">
            <v>8250</v>
          </cell>
          <cell r="J343">
            <v>0</v>
          </cell>
          <cell r="M343" t="str">
            <v>其他权益工具（优先股）_设定受益计划变动额结转留存收益</v>
          </cell>
          <cell r="S343" t="str">
            <v>9371a</v>
          </cell>
          <cell r="T343" t="str">
            <v>计入递延收益的政府补助，后续采用总额法计量</v>
          </cell>
          <cell r="U343" t="str">
            <v>项       目</v>
          </cell>
          <cell r="V343">
            <v>-2</v>
          </cell>
          <cell r="W343">
            <v>0</v>
          </cell>
          <cell r="X343">
            <v>2</v>
          </cell>
        </row>
        <row r="344">
          <cell r="B344">
            <v>8251</v>
          </cell>
          <cell r="C344" t="str">
            <v>资本公积_所有者投入资本</v>
          </cell>
          <cell r="D344">
            <v>-1</v>
          </cell>
          <cell r="E344">
            <v>0</v>
          </cell>
          <cell r="F344">
            <v>5210</v>
          </cell>
          <cell r="G344" t="str">
            <v>所有者投入资本</v>
          </cell>
          <cell r="H344">
            <v>0</v>
          </cell>
          <cell r="I344">
            <v>8251</v>
          </cell>
          <cell r="J344" t="str">
            <v>J</v>
          </cell>
          <cell r="M344" t="str">
            <v>其他权益工具（优先股）_所有者权益其他内部结转</v>
          </cell>
          <cell r="S344" t="str">
            <v>9371b</v>
          </cell>
          <cell r="T344" t="str">
            <v>计入递延收益的政府补助，后续采用净额法计量</v>
          </cell>
          <cell r="U344" t="str">
            <v>项       目</v>
          </cell>
          <cell r="V344">
            <v>-2</v>
          </cell>
          <cell r="W344">
            <v>0</v>
          </cell>
          <cell r="X344">
            <v>2</v>
          </cell>
        </row>
        <row r="345">
          <cell r="B345">
            <v>8252</v>
          </cell>
          <cell r="C345" t="str">
            <v>资本公积_股份支付</v>
          </cell>
          <cell r="D345">
            <v>-1</v>
          </cell>
          <cell r="E345">
            <v>0</v>
          </cell>
          <cell r="F345">
            <v>5210</v>
          </cell>
          <cell r="G345" t="str">
            <v>股份支付计入所有者权益的金额</v>
          </cell>
          <cell r="H345">
            <v>0</v>
          </cell>
          <cell r="I345">
            <v>8252</v>
          </cell>
          <cell r="J345" t="str">
            <v>J</v>
          </cell>
          <cell r="M345" t="str">
            <v>其他权益工具（优先股）_专项储备本期提取</v>
          </cell>
          <cell r="S345" t="str">
            <v>9371c</v>
          </cell>
          <cell r="T345" t="str">
            <v>采用总额法计入当期损益的政府补助情况</v>
          </cell>
          <cell r="U345" t="str">
            <v>项       目</v>
          </cell>
          <cell r="V345">
            <v>-2</v>
          </cell>
          <cell r="W345">
            <v>0</v>
          </cell>
          <cell r="X345">
            <v>2</v>
          </cell>
        </row>
        <row r="346">
          <cell r="B346">
            <v>8253</v>
          </cell>
          <cell r="C346" t="str">
            <v>资本公积_其他权益工具持有者投入资本</v>
          </cell>
          <cell r="D346">
            <v>-1</v>
          </cell>
          <cell r="E346" t="str">
            <v>OEI</v>
          </cell>
          <cell r="F346">
            <v>5210</v>
          </cell>
          <cell r="G346" t="str">
            <v>其他权益工具持有者投入资本</v>
          </cell>
          <cell r="H346">
            <v>0</v>
          </cell>
          <cell r="I346">
            <v>8253</v>
          </cell>
          <cell r="J346" t="str">
            <v>J</v>
          </cell>
          <cell r="M346" t="str">
            <v>其他权益工具（优先股）_专项储备本期使用</v>
          </cell>
          <cell r="S346" t="str">
            <v>9371f</v>
          </cell>
          <cell r="T346" t="str">
            <v>采用总额法计入当期损益的政府补助本年返还情况</v>
          </cell>
          <cell r="U346" t="str">
            <v>项       目</v>
          </cell>
          <cell r="V346">
            <v>-2</v>
          </cell>
          <cell r="W346">
            <v>0</v>
          </cell>
          <cell r="X346">
            <v>2</v>
          </cell>
        </row>
        <row r="347">
          <cell r="B347">
            <v>8256</v>
          </cell>
          <cell r="C347" t="str">
            <v>资本公积_所有者其他投入和减少资本</v>
          </cell>
          <cell r="D347">
            <v>-1</v>
          </cell>
          <cell r="E347">
            <v>0</v>
          </cell>
          <cell r="F347">
            <v>5210</v>
          </cell>
          <cell r="G347" t="str">
            <v>其他</v>
          </cell>
          <cell r="H347">
            <v>0</v>
          </cell>
          <cell r="I347">
            <v>8256</v>
          </cell>
          <cell r="J347" t="str">
            <v>J</v>
          </cell>
          <cell r="M347" t="str">
            <v>其他权益工具（优先股）_本期其他增减变动</v>
          </cell>
          <cell r="S347" t="str">
            <v>9371d</v>
          </cell>
          <cell r="T347" t="str">
            <v>采用净额法冲减相关成本的政府补助情况</v>
          </cell>
          <cell r="U347" t="str">
            <v>项       目</v>
          </cell>
          <cell r="V347">
            <v>-2</v>
          </cell>
          <cell r="W347">
            <v>0</v>
          </cell>
          <cell r="X347">
            <v>2</v>
          </cell>
        </row>
        <row r="348">
          <cell r="B348">
            <v>8260</v>
          </cell>
          <cell r="C348" t="str">
            <v>资本公积_利润分配影响权益</v>
          </cell>
          <cell r="D348">
            <v>0</v>
          </cell>
          <cell r="E348" t="str">
            <v>＝</v>
          </cell>
          <cell r="F348">
            <v>0</v>
          </cell>
          <cell r="G348" t="str">
            <v>（三）利润分配</v>
          </cell>
          <cell r="H348">
            <v>0</v>
          </cell>
          <cell r="I348">
            <v>8260</v>
          </cell>
          <cell r="J348">
            <v>0</v>
          </cell>
          <cell r="M348" t="str">
            <v>其他权益工具（永续债）_上年年末余额</v>
          </cell>
          <cell r="S348" t="str">
            <v>9371g</v>
          </cell>
          <cell r="T348" t="str">
            <v>采用净额法冲减相关成本的政府补助本年返还情况</v>
          </cell>
          <cell r="U348" t="str">
            <v>项       目</v>
          </cell>
          <cell r="V348">
            <v>-2</v>
          </cell>
          <cell r="W348">
            <v>0</v>
          </cell>
          <cell r="X348">
            <v>2</v>
          </cell>
        </row>
        <row r="349">
          <cell r="B349">
            <v>8266</v>
          </cell>
          <cell r="C349" t="str">
            <v>资本公积_其他利润分配</v>
          </cell>
          <cell r="D349">
            <v>-1</v>
          </cell>
          <cell r="E349">
            <v>0</v>
          </cell>
          <cell r="F349">
            <v>5210</v>
          </cell>
          <cell r="G349" t="str">
            <v>其他</v>
          </cell>
          <cell r="H349">
            <v>0</v>
          </cell>
          <cell r="I349">
            <v>8266</v>
          </cell>
          <cell r="J349" t="str">
            <v>J</v>
          </cell>
          <cell r="M349" t="str">
            <v>其他权益工具（永续债）_会计政策变更调整上年年末余额</v>
          </cell>
          <cell r="S349" t="str">
            <v>9601a</v>
          </cell>
          <cell r="T349" t="str">
            <v>当期非经常性损益明细表</v>
          </cell>
          <cell r="U349" t="str">
            <v>项       目</v>
          </cell>
          <cell r="V349">
            <v>-2</v>
          </cell>
          <cell r="W349">
            <v>0</v>
          </cell>
          <cell r="X349">
            <v>2</v>
          </cell>
        </row>
        <row r="350">
          <cell r="B350">
            <v>8270</v>
          </cell>
          <cell r="C350" t="str">
            <v>资本公积_所有者权益内部结转</v>
          </cell>
          <cell r="D350">
            <v>0</v>
          </cell>
          <cell r="E350" t="str">
            <v>＝</v>
          </cell>
          <cell r="F350">
            <v>0</v>
          </cell>
          <cell r="G350" t="str">
            <v>（四）所有者权益内部结转</v>
          </cell>
          <cell r="H350">
            <v>0</v>
          </cell>
          <cell r="I350">
            <v>8270</v>
          </cell>
          <cell r="J350">
            <v>0</v>
          </cell>
          <cell r="M350" t="str">
            <v>其他权益工具（永续债）_前期差错更正调整上年年末余额</v>
          </cell>
          <cell r="S350" t="str">
            <v>9601c</v>
          </cell>
          <cell r="T350" t="str">
            <v>将证监会公告列举的非经常性损益项目界定为经常性项目的说明</v>
          </cell>
          <cell r="U350" t="str">
            <v>项       目</v>
          </cell>
          <cell r="V350">
            <v>-2</v>
          </cell>
          <cell r="W350">
            <v>0</v>
          </cell>
          <cell r="X350">
            <v>2</v>
          </cell>
        </row>
        <row r="351">
          <cell r="B351">
            <v>8271</v>
          </cell>
          <cell r="C351" t="str">
            <v>资本公积_转增资本</v>
          </cell>
          <cell r="D351">
            <v>-1</v>
          </cell>
          <cell r="E351">
            <v>0</v>
          </cell>
          <cell r="F351">
            <v>5210</v>
          </cell>
          <cell r="G351" t="str">
            <v>资本公积转增资本（或股本）</v>
          </cell>
          <cell r="H351">
            <v>0</v>
          </cell>
          <cell r="I351">
            <v>8271</v>
          </cell>
          <cell r="J351" t="str">
            <v>J</v>
          </cell>
          <cell r="M351" t="str">
            <v>其他权益工具（永续债）_同一控制下企业合并调整上年年末余额</v>
          </cell>
          <cell r="S351" t="str">
            <v>9601b</v>
          </cell>
          <cell r="T351" t="str">
            <v>其他符合非经常性损益定义的损益项目</v>
          </cell>
          <cell r="U351" t="str">
            <v>项       目</v>
          </cell>
          <cell r="V351">
            <v>-2</v>
          </cell>
          <cell r="W351">
            <v>0</v>
          </cell>
          <cell r="X351">
            <v>2</v>
          </cell>
        </row>
        <row r="352">
          <cell r="B352">
            <v>8275</v>
          </cell>
          <cell r="C352" t="str">
            <v>资本公积_设定受益计划变动额结转留存收益</v>
          </cell>
          <cell r="D352">
            <v>-1</v>
          </cell>
          <cell r="E352" t="str">
            <v>OEI</v>
          </cell>
          <cell r="F352">
            <v>5210</v>
          </cell>
          <cell r="G352" t="str">
            <v>设定受益计划变动额结转留存收益</v>
          </cell>
          <cell r="H352">
            <v>0</v>
          </cell>
          <cell r="I352">
            <v>8275</v>
          </cell>
          <cell r="J352" t="str">
            <v>J</v>
          </cell>
          <cell r="M352" t="str">
            <v>其他权益工具（永续债）_其他原因调整上年年末余额</v>
          </cell>
          <cell r="S352" t="str">
            <v>9601d</v>
          </cell>
          <cell r="T352" t="str">
            <v>报告年度不再作为非经常性损益列报的项目</v>
          </cell>
          <cell r="U352" t="str">
            <v>项       目</v>
          </cell>
          <cell r="V352">
            <v>-2</v>
          </cell>
          <cell r="W352">
            <v>0</v>
          </cell>
          <cell r="X352">
            <v>2</v>
          </cell>
        </row>
        <row r="353">
          <cell r="B353">
            <v>8276</v>
          </cell>
          <cell r="C353" t="str">
            <v>资本公积_所有者权益其他内部结转</v>
          </cell>
          <cell r="D353">
            <v>-1</v>
          </cell>
          <cell r="E353" t="str">
            <v>LOW</v>
          </cell>
          <cell r="F353">
            <v>5210</v>
          </cell>
          <cell r="G353" t="str">
            <v>其他</v>
          </cell>
          <cell r="H353">
            <v>0</v>
          </cell>
          <cell r="I353">
            <v>8276</v>
          </cell>
          <cell r="J353" t="str">
            <v>J</v>
          </cell>
          <cell r="M353" t="str">
            <v>其他权益工具（永续债）_综合收益总额增加权益</v>
          </cell>
          <cell r="S353" t="str">
            <v>9690a</v>
          </cell>
          <cell r="T353" t="str">
            <v>费用按性质分类的补充资料</v>
          </cell>
          <cell r="U353" t="str">
            <v>项       目</v>
          </cell>
          <cell r="V353">
            <v>-2</v>
          </cell>
          <cell r="W353">
            <v>0</v>
          </cell>
          <cell r="X353">
            <v>2</v>
          </cell>
        </row>
        <row r="354">
          <cell r="B354">
            <v>8296</v>
          </cell>
          <cell r="C354" t="str">
            <v>资本公积_本期其他增减变动</v>
          </cell>
          <cell r="D354">
            <v>-1</v>
          </cell>
          <cell r="E354">
            <v>0</v>
          </cell>
          <cell r="F354">
            <v>5210</v>
          </cell>
          <cell r="G354" t="str">
            <v>（七）其他</v>
          </cell>
          <cell r="H354">
            <v>0</v>
          </cell>
          <cell r="I354">
            <v>8296</v>
          </cell>
          <cell r="J354" t="str">
            <v>J</v>
          </cell>
          <cell r="M354" t="str">
            <v>其他权益工具（永续债）_所有者投入资本</v>
          </cell>
          <cell r="S354" t="str">
            <v>9690b</v>
          </cell>
          <cell r="T354" t="str">
            <v>补充资料（一）</v>
          </cell>
          <cell r="U354" t="str">
            <v>项       目</v>
          </cell>
          <cell r="V354">
            <v>-2</v>
          </cell>
          <cell r="W354">
            <v>0</v>
          </cell>
          <cell r="X354">
            <v>2</v>
          </cell>
        </row>
        <row r="355">
          <cell r="B355">
            <v>8299</v>
          </cell>
          <cell r="C355" t="str">
            <v>资本公积_本期期末余额</v>
          </cell>
          <cell r="D355">
            <v>0</v>
          </cell>
          <cell r="E355" t="str">
            <v>＝</v>
          </cell>
          <cell r="F355">
            <v>0</v>
          </cell>
          <cell r="G355" t="str">
            <v>四、本期期末余额</v>
          </cell>
          <cell r="H355">
            <v>0</v>
          </cell>
          <cell r="I355">
            <v>8299</v>
          </cell>
          <cell r="J355">
            <v>0</v>
          </cell>
          <cell r="M355" t="str">
            <v>其他权益工具（永续债）_股份支付</v>
          </cell>
          <cell r="S355" t="str">
            <v>9690c</v>
          </cell>
          <cell r="T355" t="str">
            <v>补充资料（二）</v>
          </cell>
          <cell r="U355" t="str">
            <v>项       目</v>
          </cell>
          <cell r="V355">
            <v>-2</v>
          </cell>
          <cell r="W355">
            <v>0</v>
          </cell>
          <cell r="X355">
            <v>2</v>
          </cell>
        </row>
        <row r="356">
          <cell r="B356">
            <v>8300</v>
          </cell>
          <cell r="C356" t="str">
            <v>库存股增减变动</v>
          </cell>
          <cell r="D356">
            <v>0</v>
          </cell>
          <cell r="E356" t="str">
            <v>：</v>
          </cell>
          <cell r="F356">
            <v>0</v>
          </cell>
          <cell r="G356" t="str">
            <v>减：库存股增减变动</v>
          </cell>
          <cell r="H356">
            <v>0</v>
          </cell>
          <cell r="I356">
            <v>8300</v>
          </cell>
          <cell r="J356">
            <v>0</v>
          </cell>
          <cell r="M356" t="str">
            <v>其他权益工具（永续债）_其他权益工具持有者投入资本</v>
          </cell>
        </row>
        <row r="357">
          <cell r="B357">
            <v>8301</v>
          </cell>
          <cell r="C357" t="str">
            <v>库存股_上年年末余额</v>
          </cell>
          <cell r="D357">
            <v>1</v>
          </cell>
          <cell r="E357">
            <v>0</v>
          </cell>
          <cell r="F357">
            <v>5310</v>
          </cell>
          <cell r="G357" t="str">
            <v>一、上年年末余额</v>
          </cell>
          <cell r="H357">
            <v>0</v>
          </cell>
          <cell r="I357">
            <v>8301</v>
          </cell>
          <cell r="J357" t="str">
            <v>J</v>
          </cell>
          <cell r="M357" t="str">
            <v>其他权益工具（永续债）_所有者其他投入和减少资本</v>
          </cell>
        </row>
        <row r="358">
          <cell r="B358">
            <v>8302</v>
          </cell>
          <cell r="C358" t="str">
            <v>库存股_会计政策变更调整上年年末余额</v>
          </cell>
          <cell r="D358">
            <v>1</v>
          </cell>
          <cell r="E358">
            <v>0</v>
          </cell>
          <cell r="F358">
            <v>5310</v>
          </cell>
          <cell r="G358" t="str">
            <v>加：会计政策变更</v>
          </cell>
          <cell r="H358">
            <v>0</v>
          </cell>
          <cell r="I358">
            <v>8302</v>
          </cell>
          <cell r="J358" t="str">
            <v>J</v>
          </cell>
          <cell r="M358" t="str">
            <v>其他权益工具（永续债）_提取盈余公积</v>
          </cell>
        </row>
        <row r="359">
          <cell r="B359">
            <v>8303</v>
          </cell>
          <cell r="C359" t="str">
            <v>库存股_前期差错更正调整上年年末余额</v>
          </cell>
          <cell r="D359">
            <v>1</v>
          </cell>
          <cell r="E359">
            <v>0</v>
          </cell>
          <cell r="F359">
            <v>5310</v>
          </cell>
          <cell r="G359" t="str">
            <v>前期差错更正</v>
          </cell>
          <cell r="H359">
            <v>0</v>
          </cell>
          <cell r="I359">
            <v>8303</v>
          </cell>
          <cell r="J359" t="str">
            <v>J</v>
          </cell>
          <cell r="M359" t="str">
            <v>其他权益工具（永续债）_提取一般风险准备</v>
          </cell>
        </row>
        <row r="360">
          <cell r="B360">
            <v>8304</v>
          </cell>
          <cell r="C360" t="str">
            <v>库存股_同一控制下企业合并调整上年年末余额</v>
          </cell>
          <cell r="D360">
            <v>1</v>
          </cell>
          <cell r="E360" t="str">
            <v>※</v>
          </cell>
          <cell r="F360">
            <v>5310</v>
          </cell>
          <cell r="G360" t="str">
            <v>同一控制下企业合并</v>
          </cell>
          <cell r="H360">
            <v>0</v>
          </cell>
          <cell r="I360">
            <v>8304</v>
          </cell>
          <cell r="J360" t="str">
            <v>J</v>
          </cell>
          <cell r="M360" t="str">
            <v>其他权益工具（永续债）_对所有者的分配</v>
          </cell>
        </row>
        <row r="361">
          <cell r="B361">
            <v>8309</v>
          </cell>
          <cell r="C361" t="str">
            <v>库存股_其他原因调整上年年末余额</v>
          </cell>
          <cell r="D361">
            <v>1</v>
          </cell>
          <cell r="E361" t="str">
            <v>LOW</v>
          </cell>
          <cell r="F361">
            <v>5310</v>
          </cell>
          <cell r="G361" t="str">
            <v>其他</v>
          </cell>
          <cell r="H361">
            <v>0</v>
          </cell>
          <cell r="I361">
            <v>8309</v>
          </cell>
          <cell r="J361" t="str">
            <v>J</v>
          </cell>
          <cell r="M361" t="str">
            <v>其他权益工具（永续债）_其他利润分配</v>
          </cell>
        </row>
        <row r="362">
          <cell r="B362">
            <v>8310</v>
          </cell>
          <cell r="C362" t="str">
            <v>库存股_本年年初余额</v>
          </cell>
          <cell r="D362">
            <v>0</v>
          </cell>
          <cell r="E362" t="str">
            <v>＝</v>
          </cell>
          <cell r="F362">
            <v>0</v>
          </cell>
          <cell r="G362" t="str">
            <v>二、本年年初余额</v>
          </cell>
          <cell r="H362">
            <v>0</v>
          </cell>
          <cell r="I362">
            <v>8310</v>
          </cell>
          <cell r="J362">
            <v>0</v>
          </cell>
          <cell r="M362" t="str">
            <v>其他权益工具（永续债）_资本公积转增资本</v>
          </cell>
        </row>
        <row r="363">
          <cell r="B363">
            <v>8390</v>
          </cell>
          <cell r="C363" t="str">
            <v>库存股_本期增减变动金额</v>
          </cell>
          <cell r="D363">
            <v>0</v>
          </cell>
          <cell r="E363" t="str">
            <v>＝</v>
          </cell>
          <cell r="F363">
            <v>0</v>
          </cell>
          <cell r="G363" t="str">
            <v>三、本期增减变动金额（减少以“-”号填列）</v>
          </cell>
          <cell r="H363">
            <v>0</v>
          </cell>
          <cell r="I363">
            <v>8390</v>
          </cell>
          <cell r="J363">
            <v>0</v>
          </cell>
          <cell r="M363" t="str">
            <v>其他权益工具（永续债）_盈余公积转增资本</v>
          </cell>
        </row>
        <row r="364">
          <cell r="B364">
            <v>8350</v>
          </cell>
          <cell r="C364" t="str">
            <v>库存股_所有者投入和减少资本影响权益</v>
          </cell>
          <cell r="D364">
            <v>0</v>
          </cell>
          <cell r="E364" t="str">
            <v>＝</v>
          </cell>
          <cell r="F364">
            <v>0</v>
          </cell>
          <cell r="G364" t="str">
            <v>（二）所有者投入和减少资本</v>
          </cell>
          <cell r="H364">
            <v>0</v>
          </cell>
          <cell r="I364">
            <v>8350</v>
          </cell>
          <cell r="J364">
            <v>0</v>
          </cell>
          <cell r="M364" t="str">
            <v>其他权益工具（永续债）_盈余公积弥补亏损</v>
          </cell>
        </row>
        <row r="365">
          <cell r="B365">
            <v>8351</v>
          </cell>
          <cell r="C365" t="str">
            <v>库存股_所有者投入资本</v>
          </cell>
          <cell r="D365">
            <v>1</v>
          </cell>
          <cell r="E365">
            <v>0</v>
          </cell>
          <cell r="F365">
            <v>5310</v>
          </cell>
          <cell r="G365" t="str">
            <v>所有者投入资本</v>
          </cell>
          <cell r="H365">
            <v>0</v>
          </cell>
          <cell r="I365">
            <v>8351</v>
          </cell>
          <cell r="J365" t="str">
            <v>J</v>
          </cell>
          <cell r="M365" t="str">
            <v>其他权益工具（永续债）_设定受益计划变动额结转留存收益</v>
          </cell>
        </row>
        <row r="366">
          <cell r="B366">
            <v>8352</v>
          </cell>
          <cell r="C366" t="str">
            <v>库存股_股份支付</v>
          </cell>
          <cell r="D366">
            <v>1</v>
          </cell>
          <cell r="E366" t="str">
            <v>LOW</v>
          </cell>
          <cell r="F366">
            <v>5310</v>
          </cell>
          <cell r="G366" t="str">
            <v>股份支付计入所有者权益的金额</v>
          </cell>
          <cell r="H366">
            <v>0</v>
          </cell>
          <cell r="I366">
            <v>8352</v>
          </cell>
          <cell r="J366" t="str">
            <v>J</v>
          </cell>
          <cell r="M366" t="str">
            <v>其他权益工具（永续债）_所有者权益其他内部结转</v>
          </cell>
        </row>
        <row r="367">
          <cell r="B367">
            <v>8353</v>
          </cell>
          <cell r="C367" t="str">
            <v>库存股_其他权益工具持有者投入资本</v>
          </cell>
          <cell r="D367">
            <v>1</v>
          </cell>
          <cell r="E367" t="str">
            <v>OEI</v>
          </cell>
          <cell r="F367">
            <v>5310</v>
          </cell>
          <cell r="G367" t="str">
            <v>其他权益工具持有者投入资本</v>
          </cell>
          <cell r="H367">
            <v>0</v>
          </cell>
          <cell r="I367">
            <v>8353</v>
          </cell>
          <cell r="J367" t="str">
            <v>J</v>
          </cell>
          <cell r="M367" t="str">
            <v>其他权益工具（永续债）_专项储备本期提取</v>
          </cell>
        </row>
        <row r="368">
          <cell r="B368">
            <v>8356</v>
          </cell>
          <cell r="C368" t="str">
            <v>库存股_所有者其他投入和减少资本</v>
          </cell>
          <cell r="D368">
            <v>1</v>
          </cell>
          <cell r="E368" t="str">
            <v>LOW</v>
          </cell>
          <cell r="F368">
            <v>5310</v>
          </cell>
          <cell r="G368" t="str">
            <v>其他</v>
          </cell>
          <cell r="H368">
            <v>0</v>
          </cell>
          <cell r="I368">
            <v>8356</v>
          </cell>
          <cell r="J368" t="str">
            <v>J</v>
          </cell>
          <cell r="M368" t="str">
            <v>其他权益工具（永续债）_专项储备本期使用</v>
          </cell>
        </row>
        <row r="369">
          <cell r="B369">
            <v>8360</v>
          </cell>
          <cell r="C369" t="str">
            <v>库存股_利润分配影响权益</v>
          </cell>
          <cell r="D369">
            <v>0</v>
          </cell>
          <cell r="E369" t="str">
            <v>＝</v>
          </cell>
          <cell r="F369">
            <v>0</v>
          </cell>
          <cell r="G369" t="str">
            <v>（三）利润分配</v>
          </cell>
          <cell r="H369">
            <v>0</v>
          </cell>
          <cell r="I369">
            <v>8360</v>
          </cell>
          <cell r="J369">
            <v>0</v>
          </cell>
          <cell r="M369" t="str">
            <v>其他权益工具（永续债）_本期其他增减变动</v>
          </cell>
        </row>
        <row r="370">
          <cell r="B370">
            <v>8363</v>
          </cell>
          <cell r="C370" t="str">
            <v>库存股_对所有者的分配</v>
          </cell>
          <cell r="D370">
            <v>1</v>
          </cell>
          <cell r="E370" t="str">
            <v>LOW</v>
          </cell>
          <cell r="F370">
            <v>5310</v>
          </cell>
          <cell r="G370" t="str">
            <v>对所有者（或股东）的分配</v>
          </cell>
          <cell r="H370">
            <v>0</v>
          </cell>
          <cell r="I370">
            <v>8363</v>
          </cell>
          <cell r="J370" t="str">
            <v>J</v>
          </cell>
          <cell r="M370" t="str">
            <v>其他权益工具（其他）_上年年末余额</v>
          </cell>
        </row>
        <row r="371">
          <cell r="B371">
            <v>8366</v>
          </cell>
          <cell r="C371" t="str">
            <v>库存股_其他利润分配</v>
          </cell>
          <cell r="D371">
            <v>1</v>
          </cell>
          <cell r="E371" t="str">
            <v>LOW</v>
          </cell>
          <cell r="F371">
            <v>5310</v>
          </cell>
          <cell r="G371" t="str">
            <v>其他</v>
          </cell>
          <cell r="H371">
            <v>0</v>
          </cell>
          <cell r="I371">
            <v>8366</v>
          </cell>
          <cell r="J371" t="str">
            <v>J</v>
          </cell>
          <cell r="M371" t="str">
            <v>其他权益工具（其他）_会计政策变更调整上年年末余额</v>
          </cell>
        </row>
        <row r="372">
          <cell r="B372">
            <v>8370</v>
          </cell>
          <cell r="C372" t="str">
            <v>库存股_所有者权益内部结转</v>
          </cell>
          <cell r="D372">
            <v>0</v>
          </cell>
          <cell r="E372" t="str">
            <v>＝</v>
          </cell>
          <cell r="F372">
            <v>0</v>
          </cell>
          <cell r="G372" t="str">
            <v>（四）所有者权益内部结转</v>
          </cell>
          <cell r="H372">
            <v>0</v>
          </cell>
          <cell r="I372">
            <v>8370</v>
          </cell>
          <cell r="J372">
            <v>0</v>
          </cell>
          <cell r="M372" t="str">
            <v>其他权益工具（其他）_前期差错更正调整上年年末余额</v>
          </cell>
        </row>
        <row r="373">
          <cell r="B373">
            <v>8375</v>
          </cell>
          <cell r="C373" t="str">
            <v>库存股_设定受益计划变动额结转留存收益</v>
          </cell>
          <cell r="D373">
            <v>1</v>
          </cell>
          <cell r="E373" t="str">
            <v>OEI</v>
          </cell>
          <cell r="F373">
            <v>5310</v>
          </cell>
          <cell r="G373" t="str">
            <v>设定受益计划变动额结转留存收益</v>
          </cell>
          <cell r="H373">
            <v>0</v>
          </cell>
          <cell r="I373">
            <v>8375</v>
          </cell>
          <cell r="J373" t="str">
            <v>J</v>
          </cell>
          <cell r="M373" t="str">
            <v>其他权益工具（其他）_同一控制下企业合并调整上年年末余额</v>
          </cell>
        </row>
        <row r="374">
          <cell r="B374">
            <v>8376</v>
          </cell>
          <cell r="C374" t="str">
            <v>库存股_所有者权益其他内部结转</v>
          </cell>
          <cell r="D374">
            <v>1</v>
          </cell>
          <cell r="E374">
            <v>0</v>
          </cell>
          <cell r="F374">
            <v>5310</v>
          </cell>
          <cell r="G374" t="str">
            <v>其他</v>
          </cell>
          <cell r="H374">
            <v>0</v>
          </cell>
          <cell r="I374">
            <v>8376</v>
          </cell>
          <cell r="J374" t="str">
            <v>J</v>
          </cell>
          <cell r="M374" t="str">
            <v>其他权益工具（其他）_其他原因调整上年年末余额</v>
          </cell>
        </row>
        <row r="375">
          <cell r="B375">
            <v>8396</v>
          </cell>
          <cell r="C375" t="str">
            <v>库存股_本期其他增减变动</v>
          </cell>
          <cell r="D375">
            <v>1</v>
          </cell>
          <cell r="E375" t="str">
            <v>LOW</v>
          </cell>
          <cell r="F375">
            <v>5310</v>
          </cell>
          <cell r="G375" t="str">
            <v>（七）其他</v>
          </cell>
          <cell r="H375">
            <v>0</v>
          </cell>
          <cell r="I375">
            <v>8396</v>
          </cell>
          <cell r="J375" t="str">
            <v>J</v>
          </cell>
          <cell r="M375" t="str">
            <v>其他权益工具（其他）_综合收益总额增加权益</v>
          </cell>
        </row>
        <row r="376">
          <cell r="B376">
            <v>8399</v>
          </cell>
          <cell r="C376" t="str">
            <v>库存股_本期期末余额</v>
          </cell>
          <cell r="D376">
            <v>0</v>
          </cell>
          <cell r="E376" t="str">
            <v>＝</v>
          </cell>
          <cell r="F376">
            <v>0</v>
          </cell>
          <cell r="G376" t="str">
            <v>四、本期期末余额</v>
          </cell>
          <cell r="H376">
            <v>0</v>
          </cell>
          <cell r="I376">
            <v>8399</v>
          </cell>
          <cell r="J376">
            <v>0</v>
          </cell>
          <cell r="M376" t="str">
            <v>其他权益工具（其他）_所有者投入资本</v>
          </cell>
        </row>
        <row r="377">
          <cell r="B377">
            <v>8400</v>
          </cell>
          <cell r="C377" t="str">
            <v>专项储备增减变动</v>
          </cell>
          <cell r="D377">
            <v>0</v>
          </cell>
          <cell r="E377" t="str">
            <v>：</v>
          </cell>
          <cell r="F377">
            <v>0</v>
          </cell>
          <cell r="G377" t="str">
            <v>专项储备增减变动</v>
          </cell>
          <cell r="H377">
            <v>0</v>
          </cell>
          <cell r="I377">
            <v>8400</v>
          </cell>
          <cell r="J377">
            <v>0</v>
          </cell>
          <cell r="M377" t="str">
            <v>其他权益工具（其他）_股份支付</v>
          </cell>
        </row>
        <row r="378">
          <cell r="B378">
            <v>8401</v>
          </cell>
          <cell r="C378" t="str">
            <v>专项储备_上年年末余额</v>
          </cell>
          <cell r="D378">
            <v>-1</v>
          </cell>
          <cell r="E378">
            <v>0</v>
          </cell>
          <cell r="F378">
            <v>5510</v>
          </cell>
          <cell r="G378" t="str">
            <v>一、上年年末余额</v>
          </cell>
          <cell r="H378">
            <v>0</v>
          </cell>
          <cell r="I378">
            <v>8401</v>
          </cell>
          <cell r="J378" t="str">
            <v>J</v>
          </cell>
          <cell r="M378" t="str">
            <v>其他权益工具（其他）_其他权益工具持有者投入资本</v>
          </cell>
        </row>
        <row r="379">
          <cell r="B379">
            <v>8402</v>
          </cell>
          <cell r="C379" t="str">
            <v>专项储备_会计政策变更调整上年年末余额</v>
          </cell>
          <cell r="D379">
            <v>-1</v>
          </cell>
          <cell r="E379">
            <v>0</v>
          </cell>
          <cell r="F379">
            <v>5510</v>
          </cell>
          <cell r="G379" t="str">
            <v>加：会计政策变更</v>
          </cell>
          <cell r="H379">
            <v>0</v>
          </cell>
          <cell r="I379">
            <v>8402</v>
          </cell>
          <cell r="J379" t="str">
            <v>J</v>
          </cell>
          <cell r="M379" t="str">
            <v>其他权益工具（其他）_所有者其他投入和减少资本</v>
          </cell>
        </row>
        <row r="380">
          <cell r="B380">
            <v>8403</v>
          </cell>
          <cell r="C380" t="str">
            <v>专项储备_前期差错更正调整上年年末余额</v>
          </cell>
          <cell r="D380">
            <v>-1</v>
          </cell>
          <cell r="E380">
            <v>0</v>
          </cell>
          <cell r="F380">
            <v>5510</v>
          </cell>
          <cell r="G380" t="str">
            <v>前期差错更正</v>
          </cell>
          <cell r="H380">
            <v>0</v>
          </cell>
          <cell r="I380">
            <v>8403</v>
          </cell>
          <cell r="J380" t="str">
            <v>J</v>
          </cell>
          <cell r="M380" t="str">
            <v>其他权益工具（其他）_提取盈余公积</v>
          </cell>
        </row>
        <row r="381">
          <cell r="B381">
            <v>8404</v>
          </cell>
          <cell r="C381" t="str">
            <v>专项储备_同一控制下企业合并调整上年年末余额</v>
          </cell>
          <cell r="D381">
            <v>-1</v>
          </cell>
          <cell r="E381" t="str">
            <v>※</v>
          </cell>
          <cell r="F381">
            <v>5510</v>
          </cell>
          <cell r="G381" t="str">
            <v>同一控制下企业合并</v>
          </cell>
          <cell r="H381">
            <v>0</v>
          </cell>
          <cell r="I381">
            <v>8404</v>
          </cell>
          <cell r="J381" t="str">
            <v>J</v>
          </cell>
          <cell r="M381" t="str">
            <v>其他权益工具（其他）_提取一般风险准备</v>
          </cell>
        </row>
        <row r="382">
          <cell r="B382">
            <v>8409</v>
          </cell>
          <cell r="C382" t="str">
            <v>专项储备_其他原因调整上年年末余额</v>
          </cell>
          <cell r="D382">
            <v>-1</v>
          </cell>
          <cell r="E382" t="str">
            <v>LOW</v>
          </cell>
          <cell r="F382">
            <v>5510</v>
          </cell>
          <cell r="G382" t="str">
            <v>其他</v>
          </cell>
          <cell r="H382">
            <v>0</v>
          </cell>
          <cell r="I382">
            <v>8409</v>
          </cell>
          <cell r="J382" t="str">
            <v>J</v>
          </cell>
          <cell r="M382" t="str">
            <v>其他权益工具（其他）_对所有者的分配</v>
          </cell>
        </row>
        <row r="383">
          <cell r="B383">
            <v>8410</v>
          </cell>
          <cell r="C383" t="str">
            <v>专项储备_本年年初余额</v>
          </cell>
          <cell r="D383">
            <v>0</v>
          </cell>
          <cell r="E383" t="str">
            <v>＝</v>
          </cell>
          <cell r="F383">
            <v>0</v>
          </cell>
          <cell r="G383" t="str">
            <v>二、本年年初余额</v>
          </cell>
          <cell r="H383">
            <v>0</v>
          </cell>
          <cell r="I383">
            <v>8410</v>
          </cell>
          <cell r="J383">
            <v>0</v>
          </cell>
          <cell r="M383" t="str">
            <v>其他权益工具（其他）_其他利润分配</v>
          </cell>
        </row>
        <row r="384">
          <cell r="B384">
            <v>8453</v>
          </cell>
          <cell r="C384" t="str">
            <v>专项储备_其他权益工具持有者投入资本</v>
          </cell>
          <cell r="D384">
            <v>-1</v>
          </cell>
          <cell r="E384" t="str">
            <v>OEI</v>
          </cell>
          <cell r="F384">
            <v>5510</v>
          </cell>
          <cell r="G384" t="str">
            <v>其他权益工具持有者投入资本</v>
          </cell>
          <cell r="H384">
            <v>0</v>
          </cell>
          <cell r="I384">
            <v>8453</v>
          </cell>
          <cell r="J384" t="str">
            <v>J</v>
          </cell>
          <cell r="M384" t="str">
            <v>其他权益工具（其他）_资本公积转增资本</v>
          </cell>
        </row>
        <row r="385">
          <cell r="B385">
            <v>8490</v>
          </cell>
          <cell r="C385" t="str">
            <v>专项储备_本期增减变动金额</v>
          </cell>
          <cell r="D385">
            <v>0</v>
          </cell>
          <cell r="E385" t="str">
            <v>＝</v>
          </cell>
          <cell r="F385">
            <v>0</v>
          </cell>
          <cell r="G385" t="str">
            <v>三、本期增减变动金额（减少以“-”号填列）</v>
          </cell>
          <cell r="H385">
            <v>0</v>
          </cell>
          <cell r="I385">
            <v>8490</v>
          </cell>
          <cell r="J385">
            <v>0</v>
          </cell>
          <cell r="M385" t="str">
            <v>其他权益工具（其他）_盈余公积转增资本</v>
          </cell>
        </row>
        <row r="386">
          <cell r="B386">
            <v>8470</v>
          </cell>
          <cell r="C386" t="str">
            <v>专项储备_所有者权益内部结转</v>
          </cell>
          <cell r="D386">
            <v>0</v>
          </cell>
          <cell r="E386" t="str">
            <v>＝</v>
          </cell>
          <cell r="F386">
            <v>0</v>
          </cell>
          <cell r="G386" t="str">
            <v>（四）所有者权益内部结转</v>
          </cell>
          <cell r="H386">
            <v>0</v>
          </cell>
          <cell r="I386">
            <v>8470</v>
          </cell>
          <cell r="J386">
            <v>0</v>
          </cell>
          <cell r="M386" t="str">
            <v>其他权益工具（其他）_盈余公积弥补亏损</v>
          </cell>
        </row>
        <row r="387">
          <cell r="B387">
            <v>8475</v>
          </cell>
          <cell r="C387" t="str">
            <v>专项储备_设定受益计划变动额结转留存收益</v>
          </cell>
          <cell r="D387">
            <v>-1</v>
          </cell>
          <cell r="E387" t="str">
            <v>OEI</v>
          </cell>
          <cell r="F387">
            <v>5510</v>
          </cell>
          <cell r="G387" t="str">
            <v>设定受益计划变动额结转留存收益</v>
          </cell>
          <cell r="H387">
            <v>0</v>
          </cell>
          <cell r="I387">
            <v>8475</v>
          </cell>
          <cell r="J387" t="str">
            <v>J</v>
          </cell>
          <cell r="M387" t="str">
            <v>其他权益工具（其他）_设定受益计划变动额结转留存收益</v>
          </cell>
        </row>
        <row r="388">
          <cell r="B388">
            <v>8476</v>
          </cell>
          <cell r="C388" t="str">
            <v>专项储备_所有者权益其他内部结转</v>
          </cell>
          <cell r="D388">
            <v>-1</v>
          </cell>
          <cell r="E388" t="str">
            <v>LOW</v>
          </cell>
          <cell r="F388">
            <v>5510</v>
          </cell>
          <cell r="G388" t="str">
            <v>其他</v>
          </cell>
          <cell r="H388">
            <v>0</v>
          </cell>
          <cell r="I388">
            <v>8476</v>
          </cell>
          <cell r="J388" t="str">
            <v>J</v>
          </cell>
          <cell r="M388" t="str">
            <v>其他权益工具（其他）_所有者权益其他内部结转</v>
          </cell>
        </row>
        <row r="389">
          <cell r="B389">
            <v>8480</v>
          </cell>
          <cell r="C389" t="str">
            <v>专项储备_专项储备影响权益</v>
          </cell>
          <cell r="D389">
            <v>0</v>
          </cell>
          <cell r="E389" t="str">
            <v>＝</v>
          </cell>
          <cell r="F389">
            <v>0</v>
          </cell>
          <cell r="G389" t="str">
            <v>（五）专项储备</v>
          </cell>
          <cell r="H389">
            <v>0</v>
          </cell>
          <cell r="I389">
            <v>8480</v>
          </cell>
          <cell r="J389">
            <v>0</v>
          </cell>
          <cell r="M389" t="str">
            <v>其他权益工具（其他）_专项储备本期提取</v>
          </cell>
        </row>
        <row r="390">
          <cell r="B390">
            <v>8481</v>
          </cell>
          <cell r="C390" t="str">
            <v>专项储备_本期提取</v>
          </cell>
          <cell r="D390">
            <v>-1</v>
          </cell>
          <cell r="E390">
            <v>0</v>
          </cell>
          <cell r="F390">
            <v>5510</v>
          </cell>
          <cell r="G390" t="str">
            <v>本期提取</v>
          </cell>
          <cell r="H390">
            <v>0</v>
          </cell>
          <cell r="I390">
            <v>8481</v>
          </cell>
          <cell r="J390" t="str">
            <v>J</v>
          </cell>
          <cell r="M390" t="str">
            <v>其他权益工具（其他）_专项储备本期使用</v>
          </cell>
        </row>
        <row r="391">
          <cell r="B391">
            <v>8482</v>
          </cell>
          <cell r="C391" t="str">
            <v>专项储备_本期使用</v>
          </cell>
          <cell r="D391">
            <v>-1</v>
          </cell>
          <cell r="E391">
            <v>0</v>
          </cell>
          <cell r="F391">
            <v>5510</v>
          </cell>
          <cell r="G391" t="str">
            <v>本期使用</v>
          </cell>
          <cell r="H391">
            <v>0</v>
          </cell>
          <cell r="I391">
            <v>8482</v>
          </cell>
          <cell r="J391" t="str">
            <v>J</v>
          </cell>
          <cell r="M391" t="str">
            <v>其他权益工具（其他）_本期其他增减变动</v>
          </cell>
        </row>
        <row r="392">
          <cell r="B392">
            <v>8496</v>
          </cell>
          <cell r="C392" t="str">
            <v>专项储备_本期其他增减变动</v>
          </cell>
          <cell r="D392">
            <v>-1</v>
          </cell>
          <cell r="E392" t="str">
            <v>LOW</v>
          </cell>
          <cell r="F392">
            <v>5510</v>
          </cell>
          <cell r="G392" t="str">
            <v>（七）其他</v>
          </cell>
          <cell r="H392">
            <v>0</v>
          </cell>
          <cell r="I392">
            <v>8496</v>
          </cell>
          <cell r="J392" t="str">
            <v>J</v>
          </cell>
          <cell r="M392" t="str">
            <v>其他综合收益_上年年末余额</v>
          </cell>
        </row>
        <row r="393">
          <cell r="B393">
            <v>8499</v>
          </cell>
          <cell r="C393" t="str">
            <v>专项储备_本期期末余额</v>
          </cell>
          <cell r="D393">
            <v>0</v>
          </cell>
          <cell r="E393" t="str">
            <v>＝</v>
          </cell>
          <cell r="F393">
            <v>0</v>
          </cell>
          <cell r="G393" t="str">
            <v>四、本期期末余额</v>
          </cell>
          <cell r="H393">
            <v>0</v>
          </cell>
          <cell r="I393">
            <v>8499</v>
          </cell>
          <cell r="J393">
            <v>0</v>
          </cell>
          <cell r="M393" t="str">
            <v>其他综合收益_会计政策变更调整上年年末余额</v>
          </cell>
        </row>
        <row r="394">
          <cell r="B394">
            <v>8500</v>
          </cell>
          <cell r="C394" t="str">
            <v>盈余公积增减变动</v>
          </cell>
          <cell r="D394">
            <v>0</v>
          </cell>
          <cell r="E394" t="str">
            <v>：</v>
          </cell>
          <cell r="F394">
            <v>0</v>
          </cell>
          <cell r="G394" t="str">
            <v>盈余公积增减变动</v>
          </cell>
          <cell r="H394">
            <v>0</v>
          </cell>
          <cell r="I394">
            <v>8500</v>
          </cell>
          <cell r="J394">
            <v>0</v>
          </cell>
          <cell r="M394" t="str">
            <v>其他综合收益_前期差错更正调整上年年末余额</v>
          </cell>
        </row>
        <row r="395">
          <cell r="B395">
            <v>8501</v>
          </cell>
          <cell r="C395" t="str">
            <v>盈余公积_上年年末余额</v>
          </cell>
          <cell r="D395">
            <v>-1</v>
          </cell>
          <cell r="E395">
            <v>0</v>
          </cell>
          <cell r="F395">
            <v>5410</v>
          </cell>
          <cell r="G395" t="str">
            <v>一、上年年末余额</v>
          </cell>
          <cell r="H395">
            <v>0</v>
          </cell>
          <cell r="I395">
            <v>8501</v>
          </cell>
          <cell r="J395" t="str">
            <v>J</v>
          </cell>
          <cell r="M395" t="str">
            <v>其他综合收益_同一控制下企业合并调整上年年末余额</v>
          </cell>
        </row>
        <row r="396">
          <cell r="B396">
            <v>8502</v>
          </cell>
          <cell r="C396" t="str">
            <v>盈余公积_会计政策变更调整上年年末余额</v>
          </cell>
          <cell r="D396">
            <v>-1</v>
          </cell>
          <cell r="E396">
            <v>0</v>
          </cell>
          <cell r="F396">
            <v>5410</v>
          </cell>
          <cell r="G396" t="str">
            <v>加：会计政策变更</v>
          </cell>
          <cell r="H396">
            <v>0</v>
          </cell>
          <cell r="I396">
            <v>8502</v>
          </cell>
          <cell r="J396" t="str">
            <v>J</v>
          </cell>
          <cell r="M396" t="str">
            <v>其他综合收益_其他原因调整上年年末余额</v>
          </cell>
        </row>
        <row r="397">
          <cell r="B397">
            <v>8503</v>
          </cell>
          <cell r="C397" t="str">
            <v>盈余公积_前期差错更正调整上年年末余额</v>
          </cell>
          <cell r="D397">
            <v>-1</v>
          </cell>
          <cell r="E397">
            <v>0</v>
          </cell>
          <cell r="F397">
            <v>5410</v>
          </cell>
          <cell r="G397" t="str">
            <v>前期差错更正</v>
          </cell>
          <cell r="H397">
            <v>0</v>
          </cell>
          <cell r="I397">
            <v>8503</v>
          </cell>
          <cell r="J397" t="str">
            <v>J</v>
          </cell>
          <cell r="M397" t="str">
            <v>其他综合收益_所有者投入资本</v>
          </cell>
        </row>
        <row r="398">
          <cell r="B398">
            <v>8504</v>
          </cell>
          <cell r="C398" t="str">
            <v>盈余公积_同一控制下企业合并调整上年年末余额</v>
          </cell>
          <cell r="D398">
            <v>-1</v>
          </cell>
          <cell r="E398" t="str">
            <v>※</v>
          </cell>
          <cell r="F398">
            <v>5410</v>
          </cell>
          <cell r="G398" t="str">
            <v>同一控制下企业合并</v>
          </cell>
          <cell r="H398">
            <v>0</v>
          </cell>
          <cell r="I398">
            <v>8504</v>
          </cell>
          <cell r="J398" t="str">
            <v>J</v>
          </cell>
          <cell r="M398" t="str">
            <v>其他综合收益_股份支付</v>
          </cell>
        </row>
        <row r="399">
          <cell r="B399">
            <v>8509</v>
          </cell>
          <cell r="C399" t="str">
            <v>盈余公积_其他原因调整上年年末余额</v>
          </cell>
          <cell r="D399">
            <v>-1</v>
          </cell>
          <cell r="E399">
            <v>0</v>
          </cell>
          <cell r="F399">
            <v>5410</v>
          </cell>
          <cell r="G399" t="str">
            <v>其他</v>
          </cell>
          <cell r="H399">
            <v>0</v>
          </cell>
          <cell r="I399">
            <v>8509</v>
          </cell>
          <cell r="J399" t="str">
            <v>J</v>
          </cell>
          <cell r="M399" t="str">
            <v>其他综合收益_其他权益工具持有者投入资本</v>
          </cell>
        </row>
        <row r="400">
          <cell r="B400">
            <v>8510</v>
          </cell>
          <cell r="C400" t="str">
            <v>盈余公积_本年年初余额</v>
          </cell>
          <cell r="D400">
            <v>0</v>
          </cell>
          <cell r="E400" t="str">
            <v>＝</v>
          </cell>
          <cell r="F400">
            <v>0</v>
          </cell>
          <cell r="G400" t="str">
            <v>二、本年年初余额</v>
          </cell>
          <cell r="H400">
            <v>0</v>
          </cell>
          <cell r="I400">
            <v>8510</v>
          </cell>
          <cell r="J400">
            <v>0</v>
          </cell>
          <cell r="M400" t="str">
            <v>其他综合收益_所有者其他投入和减少资本</v>
          </cell>
        </row>
        <row r="401">
          <cell r="B401">
            <v>8590</v>
          </cell>
          <cell r="C401" t="str">
            <v>盈余公积_本期增减变动金额</v>
          </cell>
          <cell r="D401">
            <v>0</v>
          </cell>
          <cell r="E401" t="str">
            <v>＝</v>
          </cell>
          <cell r="F401">
            <v>0</v>
          </cell>
          <cell r="G401" t="str">
            <v>三、本期增减变动金额（减少以“-”号填列）</v>
          </cell>
          <cell r="H401">
            <v>0</v>
          </cell>
          <cell r="I401">
            <v>8590</v>
          </cell>
          <cell r="J401">
            <v>0</v>
          </cell>
          <cell r="M401" t="str">
            <v>其他综合收益_提取盈余公积</v>
          </cell>
        </row>
        <row r="402">
          <cell r="B402">
            <v>8550</v>
          </cell>
          <cell r="C402" t="str">
            <v>盈余公积_所有者投入和减少资本影响权益</v>
          </cell>
          <cell r="D402">
            <v>0</v>
          </cell>
          <cell r="E402" t="str">
            <v>＝</v>
          </cell>
          <cell r="F402">
            <v>0</v>
          </cell>
          <cell r="G402" t="str">
            <v>（二）所有者投入和减少资本</v>
          </cell>
          <cell r="H402">
            <v>0</v>
          </cell>
          <cell r="I402">
            <v>8550</v>
          </cell>
          <cell r="J402">
            <v>0</v>
          </cell>
          <cell r="M402" t="str">
            <v>其他综合收益_提取一般风险准备</v>
          </cell>
        </row>
        <row r="403">
          <cell r="B403">
            <v>8553</v>
          </cell>
          <cell r="C403" t="str">
            <v>盈余公积_其他权益工具持有者投入资本</v>
          </cell>
          <cell r="D403">
            <v>-1</v>
          </cell>
          <cell r="E403" t="str">
            <v>OEI</v>
          </cell>
          <cell r="F403">
            <v>5410</v>
          </cell>
          <cell r="G403" t="str">
            <v>其他权益工具持有者投入资本</v>
          </cell>
          <cell r="H403">
            <v>0</v>
          </cell>
          <cell r="I403">
            <v>8553</v>
          </cell>
          <cell r="J403" t="str">
            <v>J</v>
          </cell>
          <cell r="M403" t="str">
            <v>其他综合收益_对所有者的分配</v>
          </cell>
        </row>
        <row r="404">
          <cell r="B404">
            <v>8556</v>
          </cell>
          <cell r="C404" t="str">
            <v>盈余公积_所有者其他投入和减少资本</v>
          </cell>
          <cell r="D404">
            <v>-1</v>
          </cell>
          <cell r="E404" t="str">
            <v>LOW</v>
          </cell>
          <cell r="F404">
            <v>5410</v>
          </cell>
          <cell r="G404" t="str">
            <v>其他</v>
          </cell>
          <cell r="H404">
            <v>0</v>
          </cell>
          <cell r="I404">
            <v>8556</v>
          </cell>
          <cell r="J404" t="str">
            <v>J</v>
          </cell>
          <cell r="M404" t="str">
            <v>其他综合收益_其他利润分配</v>
          </cell>
        </row>
        <row r="405">
          <cell r="B405">
            <v>8560</v>
          </cell>
          <cell r="C405" t="str">
            <v>盈余公积_利润分配影响权益</v>
          </cell>
          <cell r="D405">
            <v>0</v>
          </cell>
          <cell r="E405" t="str">
            <v>＝</v>
          </cell>
          <cell r="F405">
            <v>0</v>
          </cell>
          <cell r="G405" t="str">
            <v>（三）利润分配</v>
          </cell>
          <cell r="H405">
            <v>0</v>
          </cell>
          <cell r="I405">
            <v>8560</v>
          </cell>
          <cell r="J405">
            <v>0</v>
          </cell>
          <cell r="M405" t="str">
            <v>其他综合收益_资本公积转增资本</v>
          </cell>
        </row>
        <row r="406">
          <cell r="B406">
            <v>8561</v>
          </cell>
          <cell r="C406" t="str">
            <v>盈余公积_提取</v>
          </cell>
          <cell r="D406">
            <v>-1</v>
          </cell>
          <cell r="E406">
            <v>0</v>
          </cell>
          <cell r="F406">
            <v>5410</v>
          </cell>
          <cell r="G406" t="str">
            <v>提取盈余公积</v>
          </cell>
          <cell r="H406">
            <v>0</v>
          </cell>
          <cell r="I406">
            <v>8561</v>
          </cell>
          <cell r="J406" t="str">
            <v>J</v>
          </cell>
          <cell r="M406" t="str">
            <v>其他综合收益_盈余公积转增资本</v>
          </cell>
        </row>
        <row r="407">
          <cell r="B407">
            <v>8563</v>
          </cell>
          <cell r="C407" t="str">
            <v>盈余公积_对所有者的分配</v>
          </cell>
          <cell r="D407">
            <v>-1</v>
          </cell>
          <cell r="E407">
            <v>0</v>
          </cell>
          <cell r="F407">
            <v>5410</v>
          </cell>
          <cell r="G407" t="str">
            <v>对所有者（或股东）的分配</v>
          </cell>
          <cell r="H407">
            <v>0</v>
          </cell>
          <cell r="I407">
            <v>8563</v>
          </cell>
          <cell r="J407" t="str">
            <v>J</v>
          </cell>
          <cell r="M407" t="str">
            <v>其他综合收益_盈余公积弥补亏损</v>
          </cell>
        </row>
        <row r="408">
          <cell r="B408">
            <v>8566</v>
          </cell>
          <cell r="C408" t="str">
            <v>盈余公积_其他利润分配</v>
          </cell>
          <cell r="D408">
            <v>-1</v>
          </cell>
          <cell r="E408">
            <v>0</v>
          </cell>
          <cell r="F408">
            <v>5410</v>
          </cell>
          <cell r="G408" t="str">
            <v>其他</v>
          </cell>
          <cell r="H408">
            <v>0</v>
          </cell>
          <cell r="I408">
            <v>8566</v>
          </cell>
          <cell r="J408" t="str">
            <v>J</v>
          </cell>
          <cell r="M408" t="str">
            <v>其他综合收益_设定受益计划变动额结转留存收益</v>
          </cell>
        </row>
        <row r="409">
          <cell r="B409">
            <v>8570</v>
          </cell>
          <cell r="C409" t="str">
            <v>盈余公积_所有者权益内部结转</v>
          </cell>
          <cell r="D409">
            <v>0</v>
          </cell>
          <cell r="E409" t="str">
            <v>＝</v>
          </cell>
          <cell r="F409">
            <v>0</v>
          </cell>
          <cell r="G409" t="str">
            <v>（四）所有者权益内部结转</v>
          </cell>
          <cell r="H409">
            <v>0</v>
          </cell>
          <cell r="I409">
            <v>8570</v>
          </cell>
          <cell r="J409">
            <v>0</v>
          </cell>
          <cell r="M409" t="str">
            <v>其他综合收益_所有者权益其他内部结转</v>
          </cell>
        </row>
        <row r="410">
          <cell r="B410">
            <v>8572</v>
          </cell>
          <cell r="C410" t="str">
            <v>盈余公积_转增资本</v>
          </cell>
          <cell r="D410">
            <v>-1</v>
          </cell>
          <cell r="E410">
            <v>0</v>
          </cell>
          <cell r="F410">
            <v>5410</v>
          </cell>
          <cell r="G410" t="str">
            <v>盈余公积转增资本（或股本）</v>
          </cell>
          <cell r="H410">
            <v>0</v>
          </cell>
          <cell r="I410">
            <v>8572</v>
          </cell>
          <cell r="J410" t="str">
            <v>J</v>
          </cell>
          <cell r="M410" t="str">
            <v>其他综合收益_专项储备本期提取</v>
          </cell>
        </row>
        <row r="411">
          <cell r="B411">
            <v>8573</v>
          </cell>
          <cell r="C411" t="str">
            <v>盈余公积_弥补亏损</v>
          </cell>
          <cell r="D411">
            <v>-1</v>
          </cell>
          <cell r="E411">
            <v>0</v>
          </cell>
          <cell r="F411">
            <v>5410</v>
          </cell>
          <cell r="G411" t="str">
            <v>盈余公积弥补亏损</v>
          </cell>
          <cell r="H411">
            <v>0</v>
          </cell>
          <cell r="I411">
            <v>8573</v>
          </cell>
          <cell r="J411" t="str">
            <v>J</v>
          </cell>
          <cell r="M411" t="str">
            <v>其他综合收益_专项储备本期使用</v>
          </cell>
        </row>
        <row r="412">
          <cell r="B412">
            <v>8575</v>
          </cell>
          <cell r="C412" t="str">
            <v>盈余公积_设定受益计划变动额结转留存收益</v>
          </cell>
          <cell r="D412">
            <v>-1</v>
          </cell>
          <cell r="E412" t="str">
            <v>OEI</v>
          </cell>
          <cell r="F412">
            <v>5410</v>
          </cell>
          <cell r="G412" t="str">
            <v>设定受益计划变动额结转留存收益</v>
          </cell>
          <cell r="H412">
            <v>0</v>
          </cell>
          <cell r="I412">
            <v>8575</v>
          </cell>
          <cell r="J412" t="str">
            <v>J</v>
          </cell>
          <cell r="M412" t="str">
            <v>其他综合收益_本期其他增减变动</v>
          </cell>
        </row>
        <row r="413">
          <cell r="B413">
            <v>8576</v>
          </cell>
          <cell r="C413" t="str">
            <v>盈余公积_所有者权益其他内部结转</v>
          </cell>
          <cell r="D413">
            <v>-1</v>
          </cell>
          <cell r="E413" t="str">
            <v>LOW</v>
          </cell>
          <cell r="F413">
            <v>5410</v>
          </cell>
          <cell r="G413" t="str">
            <v>其他</v>
          </cell>
          <cell r="H413">
            <v>0</v>
          </cell>
          <cell r="I413">
            <v>8576</v>
          </cell>
          <cell r="J413" t="str">
            <v>J</v>
          </cell>
        </row>
        <row r="414">
          <cell r="B414">
            <v>8596</v>
          </cell>
          <cell r="C414" t="str">
            <v>盈余公积_本期其他增减变动</v>
          </cell>
          <cell r="D414">
            <v>-1</v>
          </cell>
          <cell r="E414" t="str">
            <v>LOW</v>
          </cell>
          <cell r="F414">
            <v>5410</v>
          </cell>
          <cell r="G414" t="str">
            <v>（七）其他</v>
          </cell>
          <cell r="H414">
            <v>0</v>
          </cell>
          <cell r="I414">
            <v>8596</v>
          </cell>
          <cell r="J414" t="str">
            <v>J</v>
          </cell>
        </row>
        <row r="415">
          <cell r="B415">
            <v>8599</v>
          </cell>
          <cell r="C415" t="str">
            <v>盈余公积_本期期末余额</v>
          </cell>
          <cell r="D415">
            <v>0</v>
          </cell>
          <cell r="E415" t="str">
            <v>＝</v>
          </cell>
          <cell r="F415">
            <v>0</v>
          </cell>
          <cell r="G415" t="str">
            <v>四、本期期末余额</v>
          </cell>
          <cell r="H415">
            <v>0</v>
          </cell>
          <cell r="I415">
            <v>8599</v>
          </cell>
          <cell r="J415">
            <v>0</v>
          </cell>
        </row>
        <row r="416">
          <cell r="B416">
            <v>8600</v>
          </cell>
          <cell r="C416" t="str">
            <v>一般风险准备增减变动</v>
          </cell>
          <cell r="D416">
            <v>0</v>
          </cell>
          <cell r="E416" t="str">
            <v>：</v>
          </cell>
          <cell r="F416">
            <v>0</v>
          </cell>
          <cell r="G416" t="str">
            <v>一般风险准备增减变动</v>
          </cell>
          <cell r="H416">
            <v>0</v>
          </cell>
          <cell r="I416">
            <v>8600</v>
          </cell>
          <cell r="J416">
            <v>0</v>
          </cell>
        </row>
        <row r="417">
          <cell r="B417">
            <v>8601</v>
          </cell>
          <cell r="C417" t="str">
            <v>一般风险准备_上年年末余额</v>
          </cell>
          <cell r="D417">
            <v>-1</v>
          </cell>
          <cell r="E417">
            <v>0</v>
          </cell>
          <cell r="F417">
            <v>0</v>
          </cell>
          <cell r="G417" t="str">
            <v>一、上年年末余额</v>
          </cell>
          <cell r="H417">
            <v>0</v>
          </cell>
          <cell r="I417">
            <v>8601</v>
          </cell>
          <cell r="J417" t="str">
            <v>J</v>
          </cell>
        </row>
        <row r="418">
          <cell r="B418">
            <v>8602</v>
          </cell>
          <cell r="C418" t="str">
            <v>一般风险准备_会计政策变更调整上年年末余额</v>
          </cell>
          <cell r="D418">
            <v>-1</v>
          </cell>
          <cell r="E418">
            <v>0</v>
          </cell>
          <cell r="F418">
            <v>0</v>
          </cell>
          <cell r="G418" t="str">
            <v>加：会计政策变更</v>
          </cell>
          <cell r="H418">
            <v>0</v>
          </cell>
          <cell r="I418">
            <v>8602</v>
          </cell>
          <cell r="J418" t="str">
            <v>J</v>
          </cell>
        </row>
        <row r="419">
          <cell r="B419">
            <v>8603</v>
          </cell>
          <cell r="C419" t="str">
            <v>一般风险准备_前期差错更正调整上年年末余额</v>
          </cell>
          <cell r="D419">
            <v>-1</v>
          </cell>
          <cell r="E419">
            <v>0</v>
          </cell>
          <cell r="F419">
            <v>0</v>
          </cell>
          <cell r="G419" t="str">
            <v>前期差错更正</v>
          </cell>
          <cell r="H419">
            <v>0</v>
          </cell>
          <cell r="I419">
            <v>8603</v>
          </cell>
          <cell r="J419" t="str">
            <v>J</v>
          </cell>
        </row>
        <row r="420">
          <cell r="B420">
            <v>8604</v>
          </cell>
          <cell r="C420" t="str">
            <v>一般风险准备_同一控制下企业合并调整上年年末余额</v>
          </cell>
          <cell r="D420">
            <v>-1</v>
          </cell>
          <cell r="E420" t="str">
            <v>※</v>
          </cell>
          <cell r="F420">
            <v>0</v>
          </cell>
          <cell r="G420" t="str">
            <v>同一控制下企业合并</v>
          </cell>
          <cell r="H420">
            <v>0</v>
          </cell>
          <cell r="I420">
            <v>8604</v>
          </cell>
          <cell r="J420" t="str">
            <v>J</v>
          </cell>
        </row>
        <row r="421">
          <cell r="B421">
            <v>8609</v>
          </cell>
          <cell r="C421" t="str">
            <v>一般风险准备_其他原因调整上年年末余额</v>
          </cell>
          <cell r="D421">
            <v>-1</v>
          </cell>
          <cell r="E421" t="str">
            <v>LOW</v>
          </cell>
          <cell r="F421">
            <v>0</v>
          </cell>
          <cell r="G421" t="str">
            <v>其他</v>
          </cell>
          <cell r="H421">
            <v>0</v>
          </cell>
          <cell r="I421">
            <v>8609</v>
          </cell>
          <cell r="J421" t="str">
            <v>J</v>
          </cell>
        </row>
        <row r="422">
          <cell r="B422">
            <v>8610</v>
          </cell>
          <cell r="C422" t="str">
            <v>一般风险准备_本年年初余额</v>
          </cell>
          <cell r="D422">
            <v>0</v>
          </cell>
          <cell r="E422" t="str">
            <v>＝</v>
          </cell>
          <cell r="F422">
            <v>0</v>
          </cell>
          <cell r="G422" t="str">
            <v>二、本年年初余额</v>
          </cell>
          <cell r="H422">
            <v>0</v>
          </cell>
          <cell r="I422">
            <v>8610</v>
          </cell>
          <cell r="J422">
            <v>0</v>
          </cell>
        </row>
        <row r="423">
          <cell r="B423">
            <v>8690</v>
          </cell>
          <cell r="C423" t="str">
            <v>一般风险准备_本期增减变动金额</v>
          </cell>
          <cell r="D423">
            <v>0</v>
          </cell>
          <cell r="E423" t="str">
            <v>＝</v>
          </cell>
          <cell r="F423">
            <v>0</v>
          </cell>
          <cell r="G423" t="str">
            <v>三、本期增减变动金额（减少以“-”号填列）</v>
          </cell>
          <cell r="H423">
            <v>0</v>
          </cell>
          <cell r="I423">
            <v>8690</v>
          </cell>
          <cell r="J423">
            <v>0</v>
          </cell>
        </row>
        <row r="424">
          <cell r="B424">
            <v>8650</v>
          </cell>
          <cell r="C424" t="str">
            <v>一般风险准备_所有者投入和减少资本影响权益</v>
          </cell>
          <cell r="D424">
            <v>0</v>
          </cell>
          <cell r="E424" t="str">
            <v>＝</v>
          </cell>
          <cell r="F424">
            <v>0</v>
          </cell>
          <cell r="G424" t="str">
            <v>（二）所有者投入和减少资本</v>
          </cell>
          <cell r="H424">
            <v>0</v>
          </cell>
          <cell r="I424">
            <v>8650</v>
          </cell>
          <cell r="J424">
            <v>0</v>
          </cell>
        </row>
        <row r="425">
          <cell r="B425">
            <v>8653</v>
          </cell>
          <cell r="C425" t="str">
            <v>一般风险准备_其他权益工具持有者投入资本</v>
          </cell>
          <cell r="D425">
            <v>-1</v>
          </cell>
          <cell r="E425" t="str">
            <v>OEI</v>
          </cell>
          <cell r="F425">
            <v>0</v>
          </cell>
          <cell r="G425" t="str">
            <v>其他权益工具持有者投入资本</v>
          </cell>
          <cell r="H425">
            <v>0</v>
          </cell>
          <cell r="I425">
            <v>8653</v>
          </cell>
          <cell r="J425" t="str">
            <v>J</v>
          </cell>
        </row>
        <row r="426">
          <cell r="B426">
            <v>8656</v>
          </cell>
          <cell r="C426" t="str">
            <v>一般风险准备_所有者其他投入和减少资本</v>
          </cell>
          <cell r="D426">
            <v>-1</v>
          </cell>
          <cell r="E426" t="str">
            <v>LOW</v>
          </cell>
          <cell r="F426">
            <v>0</v>
          </cell>
          <cell r="G426" t="str">
            <v>其他</v>
          </cell>
          <cell r="H426">
            <v>0</v>
          </cell>
          <cell r="I426">
            <v>8656</v>
          </cell>
          <cell r="J426" t="str">
            <v>J</v>
          </cell>
        </row>
        <row r="427">
          <cell r="B427">
            <v>8660</v>
          </cell>
          <cell r="C427" t="str">
            <v>一般风险准备_利润分配影响权益</v>
          </cell>
          <cell r="D427">
            <v>0</v>
          </cell>
          <cell r="E427" t="str">
            <v>＝</v>
          </cell>
          <cell r="F427">
            <v>0</v>
          </cell>
          <cell r="G427" t="str">
            <v>（三）利润分配</v>
          </cell>
          <cell r="H427">
            <v>0</v>
          </cell>
          <cell r="I427">
            <v>8660</v>
          </cell>
          <cell r="J427">
            <v>0</v>
          </cell>
        </row>
        <row r="428">
          <cell r="B428">
            <v>8662</v>
          </cell>
          <cell r="C428" t="str">
            <v>一般风险准备_提取</v>
          </cell>
          <cell r="D428">
            <v>-1</v>
          </cell>
          <cell r="E428">
            <v>0</v>
          </cell>
          <cell r="F428">
            <v>0</v>
          </cell>
          <cell r="G428" t="str">
            <v>提取一般风险准备</v>
          </cell>
          <cell r="H428">
            <v>0</v>
          </cell>
          <cell r="I428">
            <v>8662</v>
          </cell>
          <cell r="J428" t="str">
            <v>J</v>
          </cell>
        </row>
        <row r="429">
          <cell r="B429">
            <v>8666</v>
          </cell>
          <cell r="C429" t="str">
            <v>一般风险准备_其他利润分配</v>
          </cell>
          <cell r="D429">
            <v>-1</v>
          </cell>
          <cell r="E429" t="str">
            <v>LOW</v>
          </cell>
          <cell r="F429">
            <v>0</v>
          </cell>
          <cell r="G429" t="str">
            <v>其他</v>
          </cell>
          <cell r="H429">
            <v>0</v>
          </cell>
          <cell r="I429">
            <v>8666</v>
          </cell>
          <cell r="J429" t="str">
            <v>J</v>
          </cell>
        </row>
        <row r="430">
          <cell r="B430">
            <v>8670</v>
          </cell>
          <cell r="C430" t="str">
            <v>一般风险准备_所有者权益内部结转</v>
          </cell>
          <cell r="D430">
            <v>0</v>
          </cell>
          <cell r="E430" t="str">
            <v>＝</v>
          </cell>
          <cell r="F430">
            <v>0</v>
          </cell>
          <cell r="G430" t="str">
            <v>（四）所有者权益内部结转</v>
          </cell>
          <cell r="H430">
            <v>0</v>
          </cell>
          <cell r="I430">
            <v>8670</v>
          </cell>
          <cell r="J430">
            <v>0</v>
          </cell>
        </row>
        <row r="431">
          <cell r="B431">
            <v>8675</v>
          </cell>
          <cell r="C431" t="str">
            <v>一般风险准备_设定受益计划变动额结转留存收益</v>
          </cell>
          <cell r="D431">
            <v>-1</v>
          </cell>
          <cell r="E431" t="str">
            <v>OEI</v>
          </cell>
          <cell r="F431">
            <v>0</v>
          </cell>
          <cell r="G431" t="str">
            <v>设定受益计划变动额结转留存收益</v>
          </cell>
          <cell r="H431">
            <v>0</v>
          </cell>
          <cell r="I431">
            <v>8675</v>
          </cell>
          <cell r="J431" t="str">
            <v>J</v>
          </cell>
        </row>
        <row r="432">
          <cell r="B432">
            <v>8676</v>
          </cell>
          <cell r="C432" t="str">
            <v>一般风险准备_所有者权益其他内部结转</v>
          </cell>
          <cell r="D432">
            <v>-1</v>
          </cell>
          <cell r="E432">
            <v>0</v>
          </cell>
          <cell r="F432">
            <v>0</v>
          </cell>
          <cell r="G432" t="str">
            <v>其他</v>
          </cell>
          <cell r="H432">
            <v>0</v>
          </cell>
          <cell r="I432">
            <v>8676</v>
          </cell>
          <cell r="J432" t="str">
            <v>J</v>
          </cell>
        </row>
        <row r="433">
          <cell r="B433">
            <v>8696</v>
          </cell>
          <cell r="C433" t="str">
            <v>一般风险准备_本期其他增减变动</v>
          </cell>
          <cell r="D433">
            <v>-1</v>
          </cell>
          <cell r="E433" t="str">
            <v>LOW</v>
          </cell>
          <cell r="F433">
            <v>0</v>
          </cell>
          <cell r="G433" t="str">
            <v>（七）其他</v>
          </cell>
          <cell r="H433">
            <v>0</v>
          </cell>
          <cell r="I433">
            <v>8696</v>
          </cell>
          <cell r="J433" t="str">
            <v>J</v>
          </cell>
        </row>
        <row r="434">
          <cell r="B434">
            <v>8699</v>
          </cell>
          <cell r="C434" t="str">
            <v>一般风险准备_本期期末余额</v>
          </cell>
          <cell r="D434">
            <v>0</v>
          </cell>
          <cell r="E434" t="str">
            <v>＝</v>
          </cell>
          <cell r="F434">
            <v>0</v>
          </cell>
          <cell r="G434" t="str">
            <v>四、本期期末余额</v>
          </cell>
          <cell r="H434">
            <v>0</v>
          </cell>
          <cell r="I434">
            <v>8699</v>
          </cell>
          <cell r="J434">
            <v>0</v>
          </cell>
        </row>
        <row r="435">
          <cell r="B435">
            <v>8700</v>
          </cell>
          <cell r="C435" t="str">
            <v>未分配利润增减变动</v>
          </cell>
          <cell r="D435">
            <v>0</v>
          </cell>
          <cell r="E435" t="str">
            <v>：</v>
          </cell>
          <cell r="F435">
            <v>0</v>
          </cell>
          <cell r="G435" t="str">
            <v>未分配利润增减变动</v>
          </cell>
          <cell r="H435">
            <v>0</v>
          </cell>
          <cell r="I435">
            <v>8700</v>
          </cell>
          <cell r="J435">
            <v>0</v>
          </cell>
        </row>
        <row r="436">
          <cell r="B436">
            <v>8701</v>
          </cell>
          <cell r="C436" t="str">
            <v>未分配利润_上年年末余额</v>
          </cell>
          <cell r="D436">
            <v>-1</v>
          </cell>
          <cell r="E436">
            <v>0</v>
          </cell>
          <cell r="F436">
            <v>5610</v>
          </cell>
          <cell r="G436" t="str">
            <v>一、上年年末余额</v>
          </cell>
          <cell r="H436">
            <v>0</v>
          </cell>
          <cell r="I436">
            <v>8701</v>
          </cell>
          <cell r="J436" t="str">
            <v>J</v>
          </cell>
        </row>
        <row r="437">
          <cell r="B437">
            <v>8702</v>
          </cell>
          <cell r="C437" t="str">
            <v>未分配利润_会计政策变更调整上年年末余额</v>
          </cell>
          <cell r="D437">
            <v>-1</v>
          </cell>
          <cell r="E437">
            <v>0</v>
          </cell>
          <cell r="F437">
            <v>5610</v>
          </cell>
          <cell r="G437" t="str">
            <v>加：会计政策变更</v>
          </cell>
          <cell r="H437">
            <v>0</v>
          </cell>
          <cell r="I437">
            <v>8702</v>
          </cell>
          <cell r="J437" t="str">
            <v>J</v>
          </cell>
        </row>
        <row r="438">
          <cell r="B438">
            <v>8703</v>
          </cell>
          <cell r="C438" t="str">
            <v>未分配利润_前期差错更正调整上年年末余额</v>
          </cell>
          <cell r="D438">
            <v>-1</v>
          </cell>
          <cell r="E438">
            <v>0</v>
          </cell>
          <cell r="F438">
            <v>5610</v>
          </cell>
          <cell r="G438" t="str">
            <v>前期差错更正</v>
          </cell>
          <cell r="H438">
            <v>0</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H439">
            <v>0</v>
          </cell>
          <cell r="I439">
            <v>8704</v>
          </cell>
          <cell r="J439" t="str">
            <v>J</v>
          </cell>
        </row>
        <row r="440">
          <cell r="B440">
            <v>8709</v>
          </cell>
          <cell r="C440" t="str">
            <v>未分配利润_其他原因调整上年年末余额</v>
          </cell>
          <cell r="D440">
            <v>-1</v>
          </cell>
          <cell r="E440">
            <v>0</v>
          </cell>
          <cell r="F440">
            <v>5610</v>
          </cell>
          <cell r="G440" t="str">
            <v>其他</v>
          </cell>
          <cell r="H440">
            <v>0</v>
          </cell>
          <cell r="I440">
            <v>8709</v>
          </cell>
          <cell r="J440" t="str">
            <v>J</v>
          </cell>
        </row>
        <row r="441">
          <cell r="B441">
            <v>8710</v>
          </cell>
          <cell r="C441" t="str">
            <v>未分配利润_本年年初余额</v>
          </cell>
          <cell r="D441">
            <v>0</v>
          </cell>
          <cell r="E441" t="str">
            <v>＝</v>
          </cell>
          <cell r="F441">
            <v>0</v>
          </cell>
          <cell r="G441" t="str">
            <v>二、本年年初余额</v>
          </cell>
          <cell r="H441">
            <v>0</v>
          </cell>
          <cell r="I441">
            <v>8710</v>
          </cell>
          <cell r="J441">
            <v>0</v>
          </cell>
        </row>
        <row r="442">
          <cell r="B442">
            <v>8753</v>
          </cell>
          <cell r="C442" t="str">
            <v>未分配利润_其他权益工具持有者投入资本</v>
          </cell>
          <cell r="D442">
            <v>-1</v>
          </cell>
          <cell r="E442" t="str">
            <v>OEI</v>
          </cell>
          <cell r="F442">
            <v>5610</v>
          </cell>
          <cell r="G442" t="str">
            <v>其他权益工具持有者投入资本</v>
          </cell>
          <cell r="H442">
            <v>0</v>
          </cell>
          <cell r="I442">
            <v>8753</v>
          </cell>
          <cell r="J442" t="str">
            <v>J</v>
          </cell>
        </row>
        <row r="443">
          <cell r="B443">
            <v>8790</v>
          </cell>
          <cell r="C443" t="str">
            <v>未分配利润_本期增减变动金额</v>
          </cell>
          <cell r="D443">
            <v>0</v>
          </cell>
          <cell r="E443" t="str">
            <v>＝</v>
          </cell>
          <cell r="F443">
            <v>0</v>
          </cell>
          <cell r="G443" t="str">
            <v>三、本期增减变动金额（减少以“-”号填列）</v>
          </cell>
          <cell r="H443">
            <v>0</v>
          </cell>
          <cell r="I443">
            <v>8790</v>
          </cell>
          <cell r="J443">
            <v>0</v>
          </cell>
        </row>
        <row r="444">
          <cell r="B444">
            <v>8721</v>
          </cell>
          <cell r="C444" t="str">
            <v>未分配利润_净利润增加权益</v>
          </cell>
          <cell r="D444">
            <v>-1</v>
          </cell>
          <cell r="E444">
            <v>0</v>
          </cell>
          <cell r="F444">
            <v>0</v>
          </cell>
          <cell r="G444" t="str">
            <v>（一）净利润</v>
          </cell>
          <cell r="H444">
            <v>0</v>
          </cell>
          <cell r="I444">
            <v>8721</v>
          </cell>
          <cell r="J444">
            <v>0</v>
          </cell>
        </row>
        <row r="445">
          <cell r="B445">
            <v>8740</v>
          </cell>
          <cell r="C445" t="str">
            <v>未分配利润_综合收益总额增加权益</v>
          </cell>
          <cell r="D445">
            <v>-1</v>
          </cell>
          <cell r="E445">
            <v>0</v>
          </cell>
          <cell r="F445">
            <v>0</v>
          </cell>
          <cell r="G445" t="str">
            <v>（一）综合收益总额</v>
          </cell>
          <cell r="H445">
            <v>0</v>
          </cell>
          <cell r="I445">
            <v>8740</v>
          </cell>
          <cell r="J445">
            <v>0</v>
          </cell>
        </row>
        <row r="446">
          <cell r="B446">
            <v>8750</v>
          </cell>
          <cell r="C446" t="str">
            <v>未分配利润_所有者投入和减少资本影响权益</v>
          </cell>
          <cell r="D446">
            <v>0</v>
          </cell>
          <cell r="E446" t="str">
            <v>＝</v>
          </cell>
          <cell r="F446">
            <v>0</v>
          </cell>
          <cell r="G446" t="str">
            <v>（二）所有者投入和减少资本</v>
          </cell>
          <cell r="H446">
            <v>0</v>
          </cell>
          <cell r="I446">
            <v>8750</v>
          </cell>
          <cell r="J446">
            <v>0</v>
          </cell>
        </row>
        <row r="447">
          <cell r="B447">
            <v>8756</v>
          </cell>
          <cell r="C447" t="str">
            <v>未分配利润_所有者其他投入和减少资本</v>
          </cell>
          <cell r="D447">
            <v>-1</v>
          </cell>
          <cell r="E447">
            <v>0</v>
          </cell>
          <cell r="F447">
            <v>5610</v>
          </cell>
          <cell r="G447" t="str">
            <v>其他</v>
          </cell>
          <cell r="H447">
            <v>0</v>
          </cell>
          <cell r="I447">
            <v>8756</v>
          </cell>
          <cell r="J447" t="str">
            <v>J</v>
          </cell>
        </row>
        <row r="448">
          <cell r="B448">
            <v>8760</v>
          </cell>
          <cell r="C448" t="str">
            <v>未分配利润_利润分配影响权益</v>
          </cell>
          <cell r="D448">
            <v>0</v>
          </cell>
          <cell r="E448" t="str">
            <v>＝</v>
          </cell>
          <cell r="F448">
            <v>0</v>
          </cell>
          <cell r="G448" t="str">
            <v>（三）利润分配</v>
          </cell>
          <cell r="H448">
            <v>0</v>
          </cell>
          <cell r="I448">
            <v>8760</v>
          </cell>
          <cell r="J448">
            <v>0</v>
          </cell>
        </row>
        <row r="449">
          <cell r="B449">
            <v>8761</v>
          </cell>
          <cell r="C449" t="str">
            <v>未分配利润_提取盈余公积</v>
          </cell>
          <cell r="D449">
            <v>-1</v>
          </cell>
          <cell r="E449">
            <v>0</v>
          </cell>
          <cell r="F449">
            <v>5610</v>
          </cell>
          <cell r="G449" t="str">
            <v>提取盈余公积</v>
          </cell>
          <cell r="H449">
            <v>0</v>
          </cell>
          <cell r="I449">
            <v>8761</v>
          </cell>
          <cell r="J449" t="str">
            <v>J</v>
          </cell>
        </row>
        <row r="450">
          <cell r="B450">
            <v>8762</v>
          </cell>
          <cell r="C450" t="str">
            <v>未分配利润_提取一般风险准备</v>
          </cell>
          <cell r="D450">
            <v>-1</v>
          </cell>
          <cell r="E450">
            <v>0</v>
          </cell>
          <cell r="F450">
            <v>5610</v>
          </cell>
          <cell r="G450" t="str">
            <v>提取一般风险准备</v>
          </cell>
          <cell r="H450">
            <v>0</v>
          </cell>
          <cell r="I450">
            <v>8762</v>
          </cell>
          <cell r="J450" t="str">
            <v>J</v>
          </cell>
        </row>
        <row r="451">
          <cell r="B451">
            <v>8763</v>
          </cell>
          <cell r="C451" t="str">
            <v>未分配利润_对所有者的分配</v>
          </cell>
          <cell r="D451">
            <v>-1</v>
          </cell>
          <cell r="E451">
            <v>0</v>
          </cell>
          <cell r="F451">
            <v>5610</v>
          </cell>
          <cell r="G451" t="str">
            <v>对所有者（或股东）的分配</v>
          </cell>
          <cell r="H451">
            <v>0</v>
          </cell>
          <cell r="I451">
            <v>8763</v>
          </cell>
          <cell r="J451" t="str">
            <v>J</v>
          </cell>
        </row>
        <row r="452">
          <cell r="B452">
            <v>8766</v>
          </cell>
          <cell r="C452" t="str">
            <v>未分配利润_其他利润分配</v>
          </cell>
          <cell r="D452">
            <v>-1</v>
          </cell>
          <cell r="E452">
            <v>0</v>
          </cell>
          <cell r="F452">
            <v>5610</v>
          </cell>
          <cell r="G452" t="str">
            <v>其他</v>
          </cell>
          <cell r="H452">
            <v>0</v>
          </cell>
          <cell r="I452">
            <v>8766</v>
          </cell>
          <cell r="J452" t="str">
            <v>J</v>
          </cell>
        </row>
        <row r="453">
          <cell r="B453">
            <v>8770</v>
          </cell>
          <cell r="C453" t="str">
            <v>未分配利润_所有者权益内部结转</v>
          </cell>
          <cell r="D453">
            <v>0</v>
          </cell>
          <cell r="E453" t="str">
            <v>＝</v>
          </cell>
          <cell r="F453">
            <v>0</v>
          </cell>
          <cell r="G453" t="str">
            <v>（四）所有者权益内部结转</v>
          </cell>
          <cell r="H453">
            <v>0</v>
          </cell>
          <cell r="I453">
            <v>8770</v>
          </cell>
          <cell r="J453">
            <v>0</v>
          </cell>
        </row>
        <row r="454">
          <cell r="B454">
            <v>8773</v>
          </cell>
          <cell r="C454" t="str">
            <v>未分配利润_盈余公积弥补亏损</v>
          </cell>
          <cell r="D454">
            <v>-1</v>
          </cell>
          <cell r="E454">
            <v>0</v>
          </cell>
          <cell r="F454">
            <v>5610</v>
          </cell>
          <cell r="G454" t="str">
            <v>盈余公积弥补亏损</v>
          </cell>
          <cell r="H454">
            <v>0</v>
          </cell>
          <cell r="I454">
            <v>8773</v>
          </cell>
          <cell r="J454" t="str">
            <v>J</v>
          </cell>
        </row>
        <row r="455">
          <cell r="B455">
            <v>8775</v>
          </cell>
          <cell r="C455" t="str">
            <v>未分配利润_设定受益计划变动额结转留存收益</v>
          </cell>
          <cell r="D455">
            <v>-1</v>
          </cell>
          <cell r="E455" t="str">
            <v>OEI</v>
          </cell>
          <cell r="F455">
            <v>5610</v>
          </cell>
          <cell r="G455" t="str">
            <v>设定受益计划变动额结转留存收益</v>
          </cell>
          <cell r="H455">
            <v>0</v>
          </cell>
          <cell r="I455">
            <v>8775</v>
          </cell>
          <cell r="J455" t="str">
            <v>J</v>
          </cell>
        </row>
        <row r="456">
          <cell r="B456">
            <v>8776</v>
          </cell>
          <cell r="C456" t="str">
            <v>未分配利润_所有者权益其他内部结转</v>
          </cell>
          <cell r="D456">
            <v>-1</v>
          </cell>
          <cell r="E456">
            <v>0</v>
          </cell>
          <cell r="F456">
            <v>5610</v>
          </cell>
          <cell r="G456" t="str">
            <v>其他</v>
          </cell>
          <cell r="H456">
            <v>0</v>
          </cell>
          <cell r="I456">
            <v>8776</v>
          </cell>
          <cell r="J456" t="str">
            <v>J</v>
          </cell>
        </row>
        <row r="457">
          <cell r="B457">
            <v>8780</v>
          </cell>
          <cell r="C457" t="str">
            <v>未分配利润_专项储备影响权益</v>
          </cell>
          <cell r="D457">
            <v>0</v>
          </cell>
          <cell r="E457" t="str">
            <v>＝</v>
          </cell>
          <cell r="F457">
            <v>0</v>
          </cell>
          <cell r="G457" t="str">
            <v>（五）专项储备</v>
          </cell>
          <cell r="H457">
            <v>0</v>
          </cell>
          <cell r="I457">
            <v>8780</v>
          </cell>
          <cell r="J457">
            <v>0</v>
          </cell>
        </row>
        <row r="458">
          <cell r="B458">
            <v>8781</v>
          </cell>
          <cell r="C458" t="str">
            <v>未分配利润_专项储备本期提取</v>
          </cell>
          <cell r="D458">
            <v>-1</v>
          </cell>
          <cell r="E458" t="str">
            <v>LOW</v>
          </cell>
          <cell r="F458">
            <v>5610</v>
          </cell>
          <cell r="G458" t="str">
            <v>本期提取</v>
          </cell>
          <cell r="H458">
            <v>0</v>
          </cell>
          <cell r="I458">
            <v>8781</v>
          </cell>
          <cell r="J458" t="str">
            <v>J</v>
          </cell>
        </row>
        <row r="459">
          <cell r="B459">
            <v>8782</v>
          </cell>
          <cell r="C459" t="str">
            <v>未分配利润_专项储备本期使用</v>
          </cell>
          <cell r="D459">
            <v>-1</v>
          </cell>
          <cell r="E459" t="str">
            <v>LOW</v>
          </cell>
          <cell r="F459">
            <v>5610</v>
          </cell>
          <cell r="G459" t="str">
            <v>本期使用</v>
          </cell>
          <cell r="H459">
            <v>0</v>
          </cell>
          <cell r="I459">
            <v>8782</v>
          </cell>
          <cell r="J459" t="str">
            <v>J</v>
          </cell>
        </row>
        <row r="460">
          <cell r="B460">
            <v>8796</v>
          </cell>
          <cell r="C460" t="str">
            <v>未分配利润_本期其他增减变动</v>
          </cell>
          <cell r="D460">
            <v>-1</v>
          </cell>
          <cell r="E460" t="str">
            <v>LOW</v>
          </cell>
          <cell r="F460">
            <v>5610</v>
          </cell>
          <cell r="G460" t="str">
            <v>（七）其他</v>
          </cell>
          <cell r="H460">
            <v>0</v>
          </cell>
          <cell r="I460">
            <v>8796</v>
          </cell>
          <cell r="J460" t="str">
            <v>J</v>
          </cell>
        </row>
        <row r="461">
          <cell r="B461">
            <v>8799</v>
          </cell>
          <cell r="C461" t="str">
            <v>未分配利润_本期期末余额</v>
          </cell>
          <cell r="D461">
            <v>0</v>
          </cell>
          <cell r="E461" t="str">
            <v>＝</v>
          </cell>
          <cell r="F461">
            <v>0</v>
          </cell>
          <cell r="G461" t="str">
            <v>四、本期期末余额</v>
          </cell>
          <cell r="H461">
            <v>0</v>
          </cell>
          <cell r="I461">
            <v>8799</v>
          </cell>
          <cell r="J461">
            <v>0</v>
          </cell>
        </row>
        <row r="462">
          <cell r="B462">
            <v>8800</v>
          </cell>
          <cell r="C462" t="str">
            <v>其他归属于母公司所有者权益增减变动</v>
          </cell>
          <cell r="D462">
            <v>0</v>
          </cell>
          <cell r="E462" t="str">
            <v>※</v>
          </cell>
          <cell r="F462">
            <v>0</v>
          </cell>
          <cell r="G462" t="str">
            <v>其他归属于母公司所有者权益增减变动</v>
          </cell>
          <cell r="H462">
            <v>0</v>
          </cell>
          <cell r="I462">
            <v>8800</v>
          </cell>
          <cell r="J462">
            <v>0</v>
          </cell>
        </row>
        <row r="463">
          <cell r="B463">
            <v>8801</v>
          </cell>
          <cell r="C463" t="str">
            <v>其他归属于母公司所有者权益_上年年末余额</v>
          </cell>
          <cell r="D463">
            <v>-1</v>
          </cell>
          <cell r="E463" t="str">
            <v>※</v>
          </cell>
          <cell r="F463">
            <v>0</v>
          </cell>
          <cell r="G463" t="str">
            <v>一、上年年末余额</v>
          </cell>
          <cell r="H463">
            <v>0</v>
          </cell>
          <cell r="I463">
            <v>8801</v>
          </cell>
          <cell r="J463">
            <v>0</v>
          </cell>
        </row>
        <row r="464">
          <cell r="B464">
            <v>8802</v>
          </cell>
          <cell r="C464" t="str">
            <v>其他归属于母公司所有者权益_会计政策变更调整上年年末余额</v>
          </cell>
          <cell r="D464">
            <v>-1</v>
          </cell>
          <cell r="E464" t="str">
            <v>※LOW</v>
          </cell>
          <cell r="F464">
            <v>0</v>
          </cell>
          <cell r="G464" t="str">
            <v>加：会计政策变更</v>
          </cell>
          <cell r="H464">
            <v>0</v>
          </cell>
          <cell r="I464">
            <v>8802</v>
          </cell>
          <cell r="J464">
            <v>0</v>
          </cell>
        </row>
        <row r="465">
          <cell r="B465">
            <v>8803</v>
          </cell>
          <cell r="C465" t="str">
            <v>其他归属于母公司所有者权益_前期差错更正调整上年年末余额</v>
          </cell>
          <cell r="D465">
            <v>-1</v>
          </cell>
          <cell r="E465" t="str">
            <v>※LOW</v>
          </cell>
          <cell r="F465">
            <v>0</v>
          </cell>
          <cell r="G465" t="str">
            <v>前期差错更正</v>
          </cell>
          <cell r="H465">
            <v>0</v>
          </cell>
          <cell r="I465">
            <v>8803</v>
          </cell>
          <cell r="J465">
            <v>0</v>
          </cell>
        </row>
        <row r="466">
          <cell r="B466">
            <v>8804</v>
          </cell>
          <cell r="C466" t="str">
            <v>其他归属于母公司所有者权益_同一控制下企业合并调整上年年末余额</v>
          </cell>
          <cell r="D466">
            <v>-1</v>
          </cell>
          <cell r="E466" t="str">
            <v>※</v>
          </cell>
          <cell r="F466">
            <v>0</v>
          </cell>
          <cell r="G466" t="str">
            <v>同一控制下企业合并</v>
          </cell>
          <cell r="H466">
            <v>0</v>
          </cell>
          <cell r="I466">
            <v>8804</v>
          </cell>
          <cell r="J466">
            <v>0</v>
          </cell>
        </row>
        <row r="467">
          <cell r="B467">
            <v>8809</v>
          </cell>
          <cell r="C467" t="str">
            <v>其他归属于母公司所有者权益_其他原因调整上年年末余额</v>
          </cell>
          <cell r="D467">
            <v>-1</v>
          </cell>
          <cell r="E467" t="str">
            <v>※LOW</v>
          </cell>
          <cell r="F467">
            <v>0</v>
          </cell>
          <cell r="G467" t="str">
            <v>其他</v>
          </cell>
          <cell r="H467">
            <v>0</v>
          </cell>
          <cell r="I467">
            <v>8809</v>
          </cell>
          <cell r="J467">
            <v>0</v>
          </cell>
        </row>
        <row r="468">
          <cell r="B468">
            <v>8810</v>
          </cell>
          <cell r="C468" t="str">
            <v>其他归属于母公司所有者权益_本年年初余额</v>
          </cell>
          <cell r="D468">
            <v>0</v>
          </cell>
          <cell r="E468" t="str">
            <v>※＝</v>
          </cell>
          <cell r="F468">
            <v>0</v>
          </cell>
          <cell r="G468" t="str">
            <v>二、本年年初余额</v>
          </cell>
          <cell r="H468">
            <v>0</v>
          </cell>
          <cell r="I468">
            <v>8810</v>
          </cell>
          <cell r="J468">
            <v>0</v>
          </cell>
        </row>
        <row r="469">
          <cell r="B469">
            <v>8890</v>
          </cell>
          <cell r="C469" t="str">
            <v>其他归属于母公司所有者权益_本期增减变动金额</v>
          </cell>
          <cell r="D469">
            <v>0</v>
          </cell>
          <cell r="E469" t="str">
            <v>※＝</v>
          </cell>
          <cell r="F469">
            <v>0</v>
          </cell>
          <cell r="G469" t="str">
            <v>三、本期增减变动金额（减少以“-”号填列）</v>
          </cell>
          <cell r="H469">
            <v>0</v>
          </cell>
          <cell r="I469">
            <v>8890</v>
          </cell>
          <cell r="J469">
            <v>0</v>
          </cell>
        </row>
        <row r="470">
          <cell r="B470">
            <v>8821</v>
          </cell>
          <cell r="C470" t="str">
            <v>其他归属于母公司所有者权益_净利润增加权益</v>
          </cell>
          <cell r="D470">
            <v>-1</v>
          </cell>
          <cell r="E470" t="str">
            <v>※LOW</v>
          </cell>
          <cell r="F470">
            <v>0</v>
          </cell>
          <cell r="G470" t="str">
            <v>（一）净利润</v>
          </cell>
          <cell r="H470">
            <v>0</v>
          </cell>
          <cell r="I470">
            <v>8821</v>
          </cell>
          <cell r="J470">
            <v>0</v>
          </cell>
        </row>
        <row r="471">
          <cell r="B471">
            <v>8830</v>
          </cell>
          <cell r="C471" t="str">
            <v>其他归属于母公司所有者权益_其他综合收益</v>
          </cell>
          <cell r="D471">
            <v>-1</v>
          </cell>
          <cell r="E471" t="str">
            <v>※LOW</v>
          </cell>
          <cell r="F471">
            <v>0</v>
          </cell>
          <cell r="G471" t="str">
            <v>（二）其他综合收益</v>
          </cell>
          <cell r="H471">
            <v>0</v>
          </cell>
          <cell r="I471">
            <v>8830</v>
          </cell>
          <cell r="J471">
            <v>0</v>
          </cell>
        </row>
        <row r="472">
          <cell r="B472">
            <v>8840</v>
          </cell>
          <cell r="C472" t="str">
            <v>其他归属于母公司所有者权益_综合收益总额增加权益</v>
          </cell>
          <cell r="D472">
            <v>-1</v>
          </cell>
          <cell r="E472" t="str">
            <v>※</v>
          </cell>
          <cell r="F472">
            <v>0</v>
          </cell>
          <cell r="G472" t="str">
            <v>（一）综合收益总额</v>
          </cell>
          <cell r="H472">
            <v>0</v>
          </cell>
          <cell r="I472">
            <v>8840</v>
          </cell>
          <cell r="J472">
            <v>0</v>
          </cell>
        </row>
        <row r="473">
          <cell r="B473">
            <v>8850</v>
          </cell>
          <cell r="C473" t="str">
            <v>其他归属于母公司所有者权益_所有者投入和减少资本影响权益</v>
          </cell>
          <cell r="D473">
            <v>0</v>
          </cell>
          <cell r="E473" t="str">
            <v>※＝</v>
          </cell>
          <cell r="F473">
            <v>0</v>
          </cell>
          <cell r="G473" t="str">
            <v>（二）所有者投入和减少资本</v>
          </cell>
          <cell r="H473">
            <v>0</v>
          </cell>
          <cell r="I473">
            <v>8850</v>
          </cell>
          <cell r="J473">
            <v>0</v>
          </cell>
        </row>
        <row r="474">
          <cell r="B474">
            <v>8851</v>
          </cell>
          <cell r="C474" t="str">
            <v>其他归属于母公司所有者权益_所有者投入资本</v>
          </cell>
          <cell r="D474">
            <v>-1</v>
          </cell>
          <cell r="E474" t="str">
            <v>※LOW</v>
          </cell>
          <cell r="F474">
            <v>0</v>
          </cell>
          <cell r="G474" t="str">
            <v>所有者投入资本</v>
          </cell>
          <cell r="H474">
            <v>0</v>
          </cell>
          <cell r="I474">
            <v>8851</v>
          </cell>
          <cell r="J474">
            <v>0</v>
          </cell>
        </row>
        <row r="475">
          <cell r="B475">
            <v>8852</v>
          </cell>
          <cell r="C475" t="str">
            <v>其他归属于母公司所有者权益_股份支付</v>
          </cell>
          <cell r="D475">
            <v>-1</v>
          </cell>
          <cell r="E475" t="str">
            <v>※LOW</v>
          </cell>
          <cell r="F475">
            <v>0</v>
          </cell>
          <cell r="G475" t="str">
            <v>股份支付计入所有者权益的金额</v>
          </cell>
          <cell r="H475">
            <v>0</v>
          </cell>
          <cell r="I475">
            <v>8852</v>
          </cell>
          <cell r="J475">
            <v>0</v>
          </cell>
        </row>
        <row r="476">
          <cell r="B476">
            <v>8853</v>
          </cell>
          <cell r="C476" t="str">
            <v>其他归属于母公司所有者权益_其他权益工具持有者投入资本</v>
          </cell>
          <cell r="D476">
            <v>-1</v>
          </cell>
          <cell r="E476" t="str">
            <v>※OEI</v>
          </cell>
          <cell r="F476">
            <v>0</v>
          </cell>
          <cell r="G476" t="str">
            <v>其他权益工具持有者投入资本</v>
          </cell>
          <cell r="H476">
            <v>0</v>
          </cell>
          <cell r="I476">
            <v>8853</v>
          </cell>
          <cell r="J476">
            <v>0</v>
          </cell>
        </row>
        <row r="477">
          <cell r="B477">
            <v>8856</v>
          </cell>
          <cell r="C477" t="str">
            <v>其他归属于母公司所有者权益_所有者其他投入和减少资本</v>
          </cell>
          <cell r="D477">
            <v>-1</v>
          </cell>
          <cell r="E477" t="str">
            <v>※LOW</v>
          </cell>
          <cell r="F477">
            <v>0</v>
          </cell>
          <cell r="G477" t="str">
            <v>其他</v>
          </cell>
          <cell r="H477">
            <v>0</v>
          </cell>
          <cell r="I477">
            <v>8856</v>
          </cell>
          <cell r="J477">
            <v>0</v>
          </cell>
        </row>
        <row r="478">
          <cell r="B478">
            <v>8860</v>
          </cell>
          <cell r="C478" t="str">
            <v>其他归属于母公司所有者权益_利润分配影响权益</v>
          </cell>
          <cell r="D478">
            <v>0</v>
          </cell>
          <cell r="E478" t="str">
            <v>※＝</v>
          </cell>
          <cell r="F478">
            <v>0</v>
          </cell>
          <cell r="G478" t="str">
            <v>（三）利润分配</v>
          </cell>
          <cell r="H478">
            <v>0</v>
          </cell>
          <cell r="I478">
            <v>8860</v>
          </cell>
          <cell r="J478">
            <v>0</v>
          </cell>
        </row>
        <row r="479">
          <cell r="B479">
            <v>8861</v>
          </cell>
          <cell r="C479" t="str">
            <v>其他归属于母公司所有者权益_提取盈余公积</v>
          </cell>
          <cell r="D479">
            <v>-1</v>
          </cell>
          <cell r="E479" t="str">
            <v>※LOW</v>
          </cell>
          <cell r="F479">
            <v>0</v>
          </cell>
          <cell r="G479" t="str">
            <v>提取盈余公积</v>
          </cell>
          <cell r="H479">
            <v>0</v>
          </cell>
          <cell r="I479">
            <v>8861</v>
          </cell>
          <cell r="J479">
            <v>0</v>
          </cell>
        </row>
        <row r="480">
          <cell r="B480">
            <v>8862</v>
          </cell>
          <cell r="C480" t="str">
            <v>其他归属于母公司所有者权益_提取一般风险准备</v>
          </cell>
          <cell r="D480">
            <v>-1</v>
          </cell>
          <cell r="E480" t="str">
            <v>※LOW</v>
          </cell>
          <cell r="F480">
            <v>0</v>
          </cell>
          <cell r="G480" t="str">
            <v>提取一般风险准备</v>
          </cell>
          <cell r="H480">
            <v>0</v>
          </cell>
          <cell r="I480">
            <v>8862</v>
          </cell>
          <cell r="J480">
            <v>0</v>
          </cell>
        </row>
        <row r="481">
          <cell r="B481">
            <v>8863</v>
          </cell>
          <cell r="C481" t="str">
            <v>其他归属于母公司所有者权益_对所有者的分配</v>
          </cell>
          <cell r="D481">
            <v>-1</v>
          </cell>
          <cell r="E481" t="str">
            <v>※LOW</v>
          </cell>
          <cell r="F481">
            <v>0</v>
          </cell>
          <cell r="G481" t="str">
            <v>对所有者（或股东）的分配</v>
          </cell>
          <cell r="H481">
            <v>0</v>
          </cell>
          <cell r="I481">
            <v>8863</v>
          </cell>
          <cell r="J481">
            <v>0</v>
          </cell>
        </row>
        <row r="482">
          <cell r="B482">
            <v>8866</v>
          </cell>
          <cell r="C482" t="str">
            <v>其他归属于母公司所有者权益_其他利润分配</v>
          </cell>
          <cell r="D482">
            <v>-1</v>
          </cell>
          <cell r="E482" t="str">
            <v>※LOW</v>
          </cell>
          <cell r="F482">
            <v>0</v>
          </cell>
          <cell r="G482" t="str">
            <v>其他</v>
          </cell>
          <cell r="H482">
            <v>0</v>
          </cell>
          <cell r="I482">
            <v>8866</v>
          </cell>
          <cell r="J482">
            <v>0</v>
          </cell>
        </row>
        <row r="483">
          <cell r="B483">
            <v>8870</v>
          </cell>
          <cell r="C483" t="str">
            <v>其他归属于母公司所有者权益_所有者权益内部结转</v>
          </cell>
          <cell r="D483">
            <v>0</v>
          </cell>
          <cell r="E483" t="str">
            <v>※＝</v>
          </cell>
          <cell r="F483">
            <v>0</v>
          </cell>
          <cell r="G483" t="str">
            <v>（四）所有者权益内部结转</v>
          </cell>
          <cell r="H483">
            <v>0</v>
          </cell>
          <cell r="I483">
            <v>8870</v>
          </cell>
          <cell r="J483">
            <v>0</v>
          </cell>
        </row>
        <row r="484">
          <cell r="B484">
            <v>8871</v>
          </cell>
          <cell r="C484" t="str">
            <v>其他归属于母公司所有者权益_资本公积转增资本</v>
          </cell>
          <cell r="D484">
            <v>-1</v>
          </cell>
          <cell r="E484" t="str">
            <v>※LOW</v>
          </cell>
          <cell r="F484">
            <v>0</v>
          </cell>
          <cell r="G484" t="str">
            <v>资本公积转增资本（或股本）</v>
          </cell>
          <cell r="H484">
            <v>0</v>
          </cell>
          <cell r="I484">
            <v>8871</v>
          </cell>
          <cell r="J484">
            <v>0</v>
          </cell>
        </row>
        <row r="485">
          <cell r="B485">
            <v>8872</v>
          </cell>
          <cell r="C485" t="str">
            <v>其他归属于母公司所有者权益_盈余公积转增资本</v>
          </cell>
          <cell r="D485">
            <v>-1</v>
          </cell>
          <cell r="E485" t="str">
            <v>※LOW</v>
          </cell>
          <cell r="F485">
            <v>0</v>
          </cell>
          <cell r="G485" t="str">
            <v>盈余公积转增资本（或股本）</v>
          </cell>
          <cell r="H485">
            <v>0</v>
          </cell>
          <cell r="I485">
            <v>8872</v>
          </cell>
          <cell r="J485">
            <v>0</v>
          </cell>
        </row>
        <row r="486">
          <cell r="B486">
            <v>8873</v>
          </cell>
          <cell r="C486" t="str">
            <v>其他归属于母公司所有者权益_盈余公积弥补亏损</v>
          </cell>
          <cell r="D486">
            <v>-1</v>
          </cell>
          <cell r="E486" t="str">
            <v>※LOW</v>
          </cell>
          <cell r="F486">
            <v>0</v>
          </cell>
          <cell r="G486" t="str">
            <v>盈余公积弥补亏损</v>
          </cell>
          <cell r="H486">
            <v>0</v>
          </cell>
          <cell r="I486">
            <v>8873</v>
          </cell>
          <cell r="J486">
            <v>0</v>
          </cell>
        </row>
        <row r="487">
          <cell r="B487">
            <v>8875</v>
          </cell>
          <cell r="C487" t="str">
            <v>其他归属于母公司所有者权益_设定受益计划变动额结转留存收益</v>
          </cell>
          <cell r="D487">
            <v>-1</v>
          </cell>
          <cell r="E487" t="str">
            <v>※OEI</v>
          </cell>
          <cell r="F487">
            <v>0</v>
          </cell>
          <cell r="G487" t="str">
            <v>设定受益计划变动额结转留存收益</v>
          </cell>
          <cell r="H487">
            <v>0</v>
          </cell>
          <cell r="I487">
            <v>8875</v>
          </cell>
          <cell r="J487">
            <v>0</v>
          </cell>
        </row>
        <row r="488">
          <cell r="B488">
            <v>8876</v>
          </cell>
          <cell r="C488" t="str">
            <v>其他归属于母公司所有者权益_所有者权益其他内部结转</v>
          </cell>
          <cell r="D488">
            <v>-1</v>
          </cell>
          <cell r="E488" t="str">
            <v>※LOW</v>
          </cell>
          <cell r="F488">
            <v>0</v>
          </cell>
          <cell r="G488" t="str">
            <v>其他</v>
          </cell>
          <cell r="H488">
            <v>0</v>
          </cell>
          <cell r="I488">
            <v>8876</v>
          </cell>
          <cell r="J488">
            <v>0</v>
          </cell>
        </row>
        <row r="489">
          <cell r="B489">
            <v>8880</v>
          </cell>
          <cell r="C489" t="str">
            <v>其他归属于母公司所有者权益_专项储备影响权益</v>
          </cell>
          <cell r="D489">
            <v>0</v>
          </cell>
          <cell r="E489" t="str">
            <v>※＝</v>
          </cell>
          <cell r="F489">
            <v>0</v>
          </cell>
          <cell r="G489" t="str">
            <v>（五）专项储备</v>
          </cell>
          <cell r="H489">
            <v>0</v>
          </cell>
          <cell r="I489">
            <v>8880</v>
          </cell>
          <cell r="J489">
            <v>0</v>
          </cell>
        </row>
        <row r="490">
          <cell r="B490">
            <v>8881</v>
          </cell>
          <cell r="C490" t="str">
            <v>其他归属于母公司所有者权益_专项储备本期提取</v>
          </cell>
          <cell r="D490">
            <v>-1</v>
          </cell>
          <cell r="E490" t="str">
            <v>※LOW</v>
          </cell>
          <cell r="F490">
            <v>0</v>
          </cell>
          <cell r="G490" t="str">
            <v>本期提取</v>
          </cell>
          <cell r="H490">
            <v>0</v>
          </cell>
          <cell r="I490">
            <v>8881</v>
          </cell>
          <cell r="J490">
            <v>0</v>
          </cell>
        </row>
        <row r="491">
          <cell r="B491">
            <v>8882</v>
          </cell>
          <cell r="C491" t="str">
            <v>其他归属于母公司所有者权益_专项储备本期使用</v>
          </cell>
          <cell r="D491">
            <v>-1</v>
          </cell>
          <cell r="E491" t="str">
            <v>※LOW</v>
          </cell>
          <cell r="F491">
            <v>0</v>
          </cell>
          <cell r="G491" t="str">
            <v>本期使用</v>
          </cell>
          <cell r="H491">
            <v>0</v>
          </cell>
          <cell r="I491">
            <v>8882</v>
          </cell>
          <cell r="J491">
            <v>0</v>
          </cell>
        </row>
        <row r="492">
          <cell r="B492">
            <v>8896</v>
          </cell>
          <cell r="C492" t="str">
            <v>其他归属于母公司所有者权益_本期其他增减变动</v>
          </cell>
          <cell r="D492">
            <v>-1</v>
          </cell>
          <cell r="E492" t="str">
            <v>※LOW</v>
          </cell>
          <cell r="F492">
            <v>0</v>
          </cell>
          <cell r="G492" t="str">
            <v>（七）其他</v>
          </cell>
          <cell r="H492">
            <v>0</v>
          </cell>
          <cell r="I492">
            <v>8896</v>
          </cell>
          <cell r="J492">
            <v>0</v>
          </cell>
        </row>
        <row r="493">
          <cell r="B493">
            <v>8899</v>
          </cell>
          <cell r="C493" t="str">
            <v>其他归属于母公司所有者权益_本期期末余额</v>
          </cell>
          <cell r="D493">
            <v>0</v>
          </cell>
          <cell r="E493" t="str">
            <v>※＝</v>
          </cell>
          <cell r="F493">
            <v>0</v>
          </cell>
          <cell r="G493" t="str">
            <v>四、本期期末余额</v>
          </cell>
          <cell r="H493">
            <v>0</v>
          </cell>
          <cell r="I493">
            <v>8899</v>
          </cell>
          <cell r="J493">
            <v>0</v>
          </cell>
        </row>
        <row r="494">
          <cell r="B494">
            <v>8900</v>
          </cell>
          <cell r="C494" t="str">
            <v>少数股东权益增减变动</v>
          </cell>
          <cell r="D494">
            <v>0</v>
          </cell>
          <cell r="E494" t="str">
            <v>※</v>
          </cell>
          <cell r="F494">
            <v>0</v>
          </cell>
          <cell r="G494" t="str">
            <v>少数股东权益增减变动</v>
          </cell>
          <cell r="H494">
            <v>0</v>
          </cell>
          <cell r="I494">
            <v>8900</v>
          </cell>
          <cell r="J494">
            <v>0</v>
          </cell>
        </row>
        <row r="495">
          <cell r="B495">
            <v>8901</v>
          </cell>
          <cell r="C495" t="str">
            <v>少数股东权益_上年年末余额</v>
          </cell>
          <cell r="D495">
            <v>-1</v>
          </cell>
          <cell r="E495" t="str">
            <v>※</v>
          </cell>
          <cell r="F495">
            <v>0</v>
          </cell>
          <cell r="G495" t="str">
            <v>一、上年年末余额</v>
          </cell>
          <cell r="H495">
            <v>0</v>
          </cell>
          <cell r="I495">
            <v>8901</v>
          </cell>
          <cell r="J495" t="str">
            <v>J</v>
          </cell>
        </row>
        <row r="496">
          <cell r="B496">
            <v>8902</v>
          </cell>
          <cell r="C496" t="str">
            <v>少数股东权益_会计政策变更调整上年年末余额</v>
          </cell>
          <cell r="D496">
            <v>-1</v>
          </cell>
          <cell r="E496" t="str">
            <v>※</v>
          </cell>
          <cell r="F496">
            <v>0</v>
          </cell>
          <cell r="G496" t="str">
            <v>加：会计政策变更</v>
          </cell>
          <cell r="H496">
            <v>0</v>
          </cell>
          <cell r="I496">
            <v>8902</v>
          </cell>
          <cell r="J496" t="str">
            <v>J</v>
          </cell>
        </row>
        <row r="497">
          <cell r="B497">
            <v>8903</v>
          </cell>
          <cell r="C497" t="str">
            <v>少数股东权益_前期差错更正调整上年年末余额</v>
          </cell>
          <cell r="D497">
            <v>-1</v>
          </cell>
          <cell r="E497" t="str">
            <v>※</v>
          </cell>
          <cell r="F497">
            <v>0</v>
          </cell>
          <cell r="G497" t="str">
            <v>前期差错更正</v>
          </cell>
          <cell r="H497">
            <v>0</v>
          </cell>
          <cell r="I497">
            <v>8903</v>
          </cell>
          <cell r="J497" t="str">
            <v>J</v>
          </cell>
        </row>
        <row r="498">
          <cell r="B498">
            <v>8904</v>
          </cell>
          <cell r="C498" t="str">
            <v>少数股东权益_同一控制下企业合并调整上年年末余额</v>
          </cell>
          <cell r="D498">
            <v>-1</v>
          </cell>
          <cell r="E498" t="str">
            <v>※</v>
          </cell>
          <cell r="F498">
            <v>0</v>
          </cell>
          <cell r="G498" t="str">
            <v>同一控制下企业合并</v>
          </cell>
          <cell r="H498">
            <v>0</v>
          </cell>
          <cell r="I498">
            <v>8904</v>
          </cell>
          <cell r="J498" t="str">
            <v>J</v>
          </cell>
        </row>
        <row r="499">
          <cell r="B499">
            <v>8909</v>
          </cell>
          <cell r="C499" t="str">
            <v>少数股东权益_其他原因调整上年年末余额</v>
          </cell>
          <cell r="D499">
            <v>-1</v>
          </cell>
          <cell r="E499" t="str">
            <v>※</v>
          </cell>
          <cell r="F499">
            <v>0</v>
          </cell>
          <cell r="G499" t="str">
            <v>其他</v>
          </cell>
          <cell r="H499">
            <v>0</v>
          </cell>
          <cell r="I499">
            <v>8909</v>
          </cell>
          <cell r="J499" t="str">
            <v>J</v>
          </cell>
        </row>
        <row r="500">
          <cell r="B500">
            <v>8910</v>
          </cell>
          <cell r="C500" t="str">
            <v>少数股东权益_本年年初余额</v>
          </cell>
          <cell r="D500">
            <v>0</v>
          </cell>
          <cell r="E500" t="str">
            <v>※＝</v>
          </cell>
          <cell r="F500">
            <v>0</v>
          </cell>
          <cell r="G500" t="str">
            <v>二、本年年初余额</v>
          </cell>
          <cell r="H500">
            <v>0</v>
          </cell>
          <cell r="I500">
            <v>8910</v>
          </cell>
          <cell r="J500">
            <v>0</v>
          </cell>
        </row>
        <row r="501">
          <cell r="B501">
            <v>8990</v>
          </cell>
          <cell r="C501" t="str">
            <v>少数股东权益_本期增减变动金额</v>
          </cell>
          <cell r="D501">
            <v>0</v>
          </cell>
          <cell r="E501" t="str">
            <v>※＝</v>
          </cell>
          <cell r="F501">
            <v>0</v>
          </cell>
          <cell r="G501" t="str">
            <v>三、本期增减变动金额（减少以“-”号填列）</v>
          </cell>
          <cell r="H501">
            <v>0</v>
          </cell>
          <cell r="I501">
            <v>8990</v>
          </cell>
          <cell r="J501">
            <v>0</v>
          </cell>
        </row>
        <row r="502">
          <cell r="B502">
            <v>8921</v>
          </cell>
          <cell r="C502" t="str">
            <v>少数股东权益_净利润</v>
          </cell>
          <cell r="D502">
            <v>-1</v>
          </cell>
          <cell r="E502" t="str">
            <v>※</v>
          </cell>
          <cell r="F502">
            <v>0</v>
          </cell>
          <cell r="G502" t="str">
            <v>（一）净利润</v>
          </cell>
          <cell r="H502">
            <v>0</v>
          </cell>
          <cell r="I502">
            <v>8921</v>
          </cell>
          <cell r="J502" t="str">
            <v>J</v>
          </cell>
        </row>
        <row r="503">
          <cell r="B503">
            <v>8930</v>
          </cell>
          <cell r="C503" t="str">
            <v>少数股东权益_其他综合收益</v>
          </cell>
          <cell r="D503">
            <v>-1</v>
          </cell>
          <cell r="E503" t="str">
            <v>※</v>
          </cell>
          <cell r="F503">
            <v>0</v>
          </cell>
          <cell r="G503" t="str">
            <v>（二）其他综合收益</v>
          </cell>
          <cell r="H503">
            <v>0</v>
          </cell>
          <cell r="I503">
            <v>8930</v>
          </cell>
          <cell r="J503" t="str">
            <v>J</v>
          </cell>
        </row>
        <row r="504">
          <cell r="B504">
            <v>8940</v>
          </cell>
          <cell r="C504" t="str">
            <v>少数股东权益_综合收益总额增加权益</v>
          </cell>
          <cell r="D504">
            <v>-1</v>
          </cell>
          <cell r="E504" t="str">
            <v>※</v>
          </cell>
          <cell r="F504">
            <v>0</v>
          </cell>
          <cell r="G504" t="str">
            <v>（一）综合收益总额</v>
          </cell>
          <cell r="H504">
            <v>0</v>
          </cell>
          <cell r="I504">
            <v>8940</v>
          </cell>
          <cell r="J504" t="str">
            <v>J</v>
          </cell>
        </row>
        <row r="505">
          <cell r="B505">
            <v>8950</v>
          </cell>
          <cell r="C505" t="str">
            <v>少数股东权益_所有者投入和减少资本影响权益</v>
          </cell>
          <cell r="D505">
            <v>0</v>
          </cell>
          <cell r="E505" t="str">
            <v>※＝</v>
          </cell>
          <cell r="F505">
            <v>0</v>
          </cell>
          <cell r="G505" t="str">
            <v>（二）所有者投入和减少资本</v>
          </cell>
          <cell r="H505">
            <v>0</v>
          </cell>
          <cell r="I505">
            <v>8950</v>
          </cell>
          <cell r="J505">
            <v>0</v>
          </cell>
        </row>
        <row r="506">
          <cell r="B506">
            <v>8951</v>
          </cell>
          <cell r="C506" t="str">
            <v>少数股东权益_所有者投入资本</v>
          </cell>
          <cell r="D506">
            <v>-1</v>
          </cell>
          <cell r="E506" t="str">
            <v>※</v>
          </cell>
          <cell r="F506">
            <v>0</v>
          </cell>
          <cell r="G506" t="str">
            <v>所有者投入资本</v>
          </cell>
          <cell r="H506">
            <v>0</v>
          </cell>
          <cell r="I506">
            <v>8951</v>
          </cell>
          <cell r="J506" t="str">
            <v>J</v>
          </cell>
        </row>
        <row r="507">
          <cell r="B507">
            <v>8952</v>
          </cell>
          <cell r="C507" t="str">
            <v>少数股东权益_股份支付</v>
          </cell>
          <cell r="D507">
            <v>-1</v>
          </cell>
          <cell r="E507" t="str">
            <v>※LOW</v>
          </cell>
          <cell r="F507">
            <v>0</v>
          </cell>
          <cell r="G507" t="str">
            <v>股份支付计入所有者权益的金额</v>
          </cell>
          <cell r="H507">
            <v>0</v>
          </cell>
          <cell r="I507">
            <v>8952</v>
          </cell>
          <cell r="J507" t="str">
            <v>J</v>
          </cell>
        </row>
        <row r="508">
          <cell r="B508">
            <v>8953</v>
          </cell>
          <cell r="C508" t="str">
            <v>少数股东权益_其他权益工具持有者投入资本</v>
          </cell>
          <cell r="D508">
            <v>-1</v>
          </cell>
          <cell r="E508" t="str">
            <v>※OEI</v>
          </cell>
          <cell r="F508">
            <v>0</v>
          </cell>
          <cell r="G508" t="str">
            <v>其他权益工具持有者投入资本</v>
          </cell>
          <cell r="H508">
            <v>0</v>
          </cell>
          <cell r="I508">
            <v>8953</v>
          </cell>
          <cell r="J508" t="str">
            <v>J</v>
          </cell>
        </row>
        <row r="509">
          <cell r="B509">
            <v>8956</v>
          </cell>
          <cell r="C509" t="str">
            <v>少数股东权益_所有者其他投入和减少资本</v>
          </cell>
          <cell r="D509">
            <v>-1</v>
          </cell>
          <cell r="E509" t="str">
            <v>※LOW</v>
          </cell>
          <cell r="F509">
            <v>0</v>
          </cell>
          <cell r="G509" t="str">
            <v>其他</v>
          </cell>
          <cell r="H509">
            <v>0</v>
          </cell>
          <cell r="I509">
            <v>8956</v>
          </cell>
          <cell r="J509" t="str">
            <v>J</v>
          </cell>
        </row>
        <row r="510">
          <cell r="B510">
            <v>8960</v>
          </cell>
          <cell r="C510" t="str">
            <v>少数股东权益_利润分配影响权益</v>
          </cell>
          <cell r="D510">
            <v>0</v>
          </cell>
          <cell r="E510" t="str">
            <v>※＝</v>
          </cell>
          <cell r="F510">
            <v>0</v>
          </cell>
          <cell r="G510" t="str">
            <v>（三）利润分配</v>
          </cell>
          <cell r="H510">
            <v>0</v>
          </cell>
          <cell r="I510">
            <v>8960</v>
          </cell>
          <cell r="J510">
            <v>0</v>
          </cell>
        </row>
        <row r="511">
          <cell r="B511">
            <v>8963</v>
          </cell>
          <cell r="C511" t="str">
            <v>少数股东权益_对所有者的分配</v>
          </cell>
          <cell r="D511">
            <v>-1</v>
          </cell>
          <cell r="E511" t="str">
            <v>※</v>
          </cell>
          <cell r="F511">
            <v>0</v>
          </cell>
          <cell r="G511" t="str">
            <v>对所有者（或股东）的分配</v>
          </cell>
          <cell r="H511">
            <v>0</v>
          </cell>
          <cell r="I511">
            <v>8963</v>
          </cell>
          <cell r="J511" t="str">
            <v>J</v>
          </cell>
        </row>
        <row r="512">
          <cell r="B512">
            <v>8966</v>
          </cell>
          <cell r="C512" t="str">
            <v>少数股东权益_其他利润分配</v>
          </cell>
          <cell r="D512">
            <v>-1</v>
          </cell>
          <cell r="E512" t="str">
            <v>※LOW</v>
          </cell>
          <cell r="F512">
            <v>0</v>
          </cell>
          <cell r="G512" t="str">
            <v>其他</v>
          </cell>
          <cell r="H512">
            <v>0</v>
          </cell>
          <cell r="I512">
            <v>8966</v>
          </cell>
          <cell r="J512" t="str">
            <v>J</v>
          </cell>
        </row>
        <row r="513">
          <cell r="B513">
            <v>8970</v>
          </cell>
          <cell r="C513" t="str">
            <v>少数股东权益_所有者权益内部结转</v>
          </cell>
          <cell r="D513">
            <v>0</v>
          </cell>
          <cell r="E513" t="str">
            <v>※＝</v>
          </cell>
          <cell r="F513">
            <v>0</v>
          </cell>
          <cell r="G513" t="str">
            <v>（四）所有者权益内部结转</v>
          </cell>
          <cell r="H513">
            <v>0</v>
          </cell>
          <cell r="I513">
            <v>8970</v>
          </cell>
          <cell r="J513">
            <v>0</v>
          </cell>
        </row>
        <row r="514">
          <cell r="B514">
            <v>8975</v>
          </cell>
          <cell r="C514" t="str">
            <v>少数股东权益_设定受益计划变动额结转留存收益</v>
          </cell>
          <cell r="D514">
            <v>-1</v>
          </cell>
          <cell r="E514" t="str">
            <v>※OEI</v>
          </cell>
          <cell r="F514">
            <v>0</v>
          </cell>
          <cell r="G514" t="str">
            <v>设定受益计划变动额结转留存收益</v>
          </cell>
          <cell r="H514">
            <v>0</v>
          </cell>
          <cell r="I514">
            <v>8975</v>
          </cell>
          <cell r="J514" t="str">
            <v>J</v>
          </cell>
        </row>
        <row r="515">
          <cell r="B515">
            <v>8976</v>
          </cell>
          <cell r="C515" t="str">
            <v>少数股东权益_所有者权益其他内部结转</v>
          </cell>
          <cell r="D515">
            <v>-1</v>
          </cell>
          <cell r="E515" t="str">
            <v>※LOW</v>
          </cell>
          <cell r="F515">
            <v>0</v>
          </cell>
          <cell r="G515" t="str">
            <v>其他</v>
          </cell>
          <cell r="H515">
            <v>0</v>
          </cell>
          <cell r="I515">
            <v>8976</v>
          </cell>
          <cell r="J515" t="str">
            <v>J</v>
          </cell>
        </row>
        <row r="516">
          <cell r="B516">
            <v>8980</v>
          </cell>
          <cell r="C516" t="str">
            <v>少数股东权益_专项储备影响权益</v>
          </cell>
          <cell r="D516">
            <v>0</v>
          </cell>
          <cell r="E516" t="str">
            <v>※＝</v>
          </cell>
          <cell r="F516">
            <v>0</v>
          </cell>
          <cell r="G516" t="str">
            <v>（五）专项储备</v>
          </cell>
          <cell r="H516">
            <v>0</v>
          </cell>
          <cell r="I516">
            <v>8980</v>
          </cell>
          <cell r="J516">
            <v>0</v>
          </cell>
        </row>
        <row r="517">
          <cell r="B517">
            <v>8981</v>
          </cell>
          <cell r="C517" t="str">
            <v>少数股东权益_专项储备本期提取</v>
          </cell>
          <cell r="D517">
            <v>-1</v>
          </cell>
          <cell r="E517" t="str">
            <v>※LOW</v>
          </cell>
          <cell r="F517">
            <v>0</v>
          </cell>
          <cell r="G517" t="str">
            <v>本期提取</v>
          </cell>
          <cell r="H517">
            <v>0</v>
          </cell>
          <cell r="I517">
            <v>8981</v>
          </cell>
          <cell r="J517" t="str">
            <v>J</v>
          </cell>
        </row>
        <row r="518">
          <cell r="B518">
            <v>8982</v>
          </cell>
          <cell r="C518" t="str">
            <v>少数股东权益_专项储备本期使用</v>
          </cell>
          <cell r="D518">
            <v>-1</v>
          </cell>
          <cell r="E518" t="str">
            <v>※LOW</v>
          </cell>
          <cell r="F518">
            <v>0</v>
          </cell>
          <cell r="G518" t="str">
            <v>本期使用</v>
          </cell>
          <cell r="H518">
            <v>0</v>
          </cell>
          <cell r="I518">
            <v>8982</v>
          </cell>
          <cell r="J518" t="str">
            <v>J</v>
          </cell>
        </row>
        <row r="519">
          <cell r="B519">
            <v>8996</v>
          </cell>
          <cell r="C519" t="str">
            <v>少数股东权益_本期其他增减变动</v>
          </cell>
          <cell r="D519">
            <v>-1</v>
          </cell>
          <cell r="E519" t="str">
            <v>※LOW</v>
          </cell>
          <cell r="F519">
            <v>0</v>
          </cell>
          <cell r="G519" t="str">
            <v>（七）其他</v>
          </cell>
          <cell r="H519">
            <v>0</v>
          </cell>
          <cell r="I519">
            <v>8996</v>
          </cell>
          <cell r="J519" t="str">
            <v>J</v>
          </cell>
        </row>
        <row r="520">
          <cell r="B520">
            <v>8999</v>
          </cell>
          <cell r="C520" t="str">
            <v>少数股东权益_本期期末余额</v>
          </cell>
          <cell r="D520">
            <v>0</v>
          </cell>
          <cell r="E520" t="str">
            <v>※＝</v>
          </cell>
          <cell r="F520">
            <v>0</v>
          </cell>
          <cell r="G520" t="str">
            <v>四、本期期末余额</v>
          </cell>
          <cell r="H520">
            <v>0</v>
          </cell>
          <cell r="I520">
            <v>8999</v>
          </cell>
          <cell r="J520">
            <v>0</v>
          </cell>
        </row>
        <row r="521">
          <cell r="B521">
            <v>7</v>
          </cell>
          <cell r="C521" t="str">
            <v>现金流量表</v>
          </cell>
          <cell r="D521">
            <v>0</v>
          </cell>
          <cell r="E521" t="str">
            <v>：</v>
          </cell>
          <cell r="F521">
            <v>0</v>
          </cell>
          <cell r="G521" t="str">
            <v>现金流量表</v>
          </cell>
          <cell r="H521">
            <v>0</v>
          </cell>
          <cell r="I521">
            <v>7</v>
          </cell>
          <cell r="J521">
            <v>0</v>
          </cell>
        </row>
        <row r="522">
          <cell r="B522">
            <v>7000</v>
          </cell>
          <cell r="C522" t="str">
            <v>经营活动现金流量项目</v>
          </cell>
          <cell r="D522">
            <v>0</v>
          </cell>
          <cell r="E522" t="str">
            <v>：</v>
          </cell>
          <cell r="F522">
            <v>0</v>
          </cell>
          <cell r="G522" t="str">
            <v>一、经营活动产生的现金流量：</v>
          </cell>
          <cell r="H522" t="str">
            <v>一、经营活动产生的现金流量：</v>
          </cell>
          <cell r="I522">
            <v>7000</v>
          </cell>
          <cell r="J522">
            <v>0</v>
          </cell>
        </row>
        <row r="523">
          <cell r="B523">
            <v>7001</v>
          </cell>
          <cell r="C523" t="str">
            <v>销售商品提供劳务收到的现金</v>
          </cell>
          <cell r="D523">
            <v>1</v>
          </cell>
          <cell r="E523">
            <v>0</v>
          </cell>
          <cell r="F523">
            <v>0</v>
          </cell>
          <cell r="G523" t="str">
            <v>销售商品、提供劳务收到的现金</v>
          </cell>
          <cell r="H523" t="str">
            <v>销售商品、提供劳务收到的现金</v>
          </cell>
          <cell r="I523">
            <v>7001</v>
          </cell>
          <cell r="J523" t="str">
            <v>J</v>
          </cell>
        </row>
        <row r="524">
          <cell r="B524">
            <v>7011</v>
          </cell>
          <cell r="C524" t="str">
            <v>客户存款和同业存放款项净增加额</v>
          </cell>
          <cell r="D524">
            <v>1</v>
          </cell>
          <cell r="E524" t="str">
            <v>△</v>
          </cell>
          <cell r="F524">
            <v>0</v>
          </cell>
          <cell r="G524" t="str">
            <v>客户存款和同业存放款项净增加额</v>
          </cell>
          <cell r="H524" t="str">
            <v>客户存款和同业存放款项净增加额</v>
          </cell>
          <cell r="I524">
            <v>7011</v>
          </cell>
          <cell r="J524" t="str">
            <v>J</v>
          </cell>
        </row>
        <row r="525">
          <cell r="B525">
            <v>7012</v>
          </cell>
          <cell r="C525" t="str">
            <v>向中央银行借款净增加额</v>
          </cell>
          <cell r="D525">
            <v>1</v>
          </cell>
          <cell r="E525" t="str">
            <v>△</v>
          </cell>
          <cell r="F525">
            <v>0</v>
          </cell>
          <cell r="G525" t="str">
            <v>向中央银行借款净增加额</v>
          </cell>
          <cell r="H525" t="str">
            <v>向中央银行借款净增加额</v>
          </cell>
          <cell r="I525">
            <v>7012</v>
          </cell>
          <cell r="J525" t="str">
            <v>J</v>
          </cell>
        </row>
        <row r="526">
          <cell r="B526">
            <v>7013</v>
          </cell>
          <cell r="C526" t="str">
            <v>向其他金融机构拆入资金净增加额</v>
          </cell>
          <cell r="D526">
            <v>1</v>
          </cell>
          <cell r="E526" t="str">
            <v>△</v>
          </cell>
          <cell r="F526">
            <v>0</v>
          </cell>
          <cell r="G526" t="str">
            <v>向其他金融机构拆入资金净增加额</v>
          </cell>
          <cell r="H526" t="str">
            <v>向其他金融机构拆入资金净增加额</v>
          </cell>
          <cell r="I526">
            <v>7013</v>
          </cell>
          <cell r="J526" t="str">
            <v>J</v>
          </cell>
        </row>
        <row r="527">
          <cell r="B527">
            <v>7014</v>
          </cell>
          <cell r="C527" t="str">
            <v>收到原保险合同保费取得的现金</v>
          </cell>
          <cell r="D527">
            <v>1</v>
          </cell>
          <cell r="E527" t="str">
            <v>△</v>
          </cell>
          <cell r="F527">
            <v>0</v>
          </cell>
          <cell r="G527" t="str">
            <v>收到原保险合同保费取得的现金</v>
          </cell>
          <cell r="H527" t="str">
            <v>收到原保险合同保费取得的现金</v>
          </cell>
          <cell r="I527">
            <v>7014</v>
          </cell>
          <cell r="J527" t="str">
            <v>J</v>
          </cell>
        </row>
        <row r="528">
          <cell r="B528">
            <v>7015</v>
          </cell>
          <cell r="C528" t="str">
            <v>收到再保险业务现金净额</v>
          </cell>
          <cell r="D528">
            <v>1</v>
          </cell>
          <cell r="E528" t="str">
            <v>△</v>
          </cell>
          <cell r="F528">
            <v>0</v>
          </cell>
          <cell r="G528" t="str">
            <v>收到再保险业务现金净额</v>
          </cell>
          <cell r="H528" t="str">
            <v>收到再保险业务现金净额</v>
          </cell>
          <cell r="I528">
            <v>7015</v>
          </cell>
          <cell r="J528" t="str">
            <v>J</v>
          </cell>
        </row>
        <row r="529">
          <cell r="B529">
            <v>7016</v>
          </cell>
          <cell r="C529" t="str">
            <v>保户储金及投资款净增加额</v>
          </cell>
          <cell r="D529">
            <v>1</v>
          </cell>
          <cell r="E529" t="str">
            <v>△</v>
          </cell>
          <cell r="F529">
            <v>0</v>
          </cell>
          <cell r="G529" t="str">
            <v>保户储金及投资款净增加额</v>
          </cell>
          <cell r="H529" t="str">
            <v>保户储金及投资款净增加额</v>
          </cell>
          <cell r="I529">
            <v>7016</v>
          </cell>
          <cell r="J529" t="str">
            <v>J</v>
          </cell>
        </row>
        <row r="530">
          <cell r="B530">
            <v>7021</v>
          </cell>
          <cell r="C530" t="str">
            <v>处置交易性金融资产净增加额</v>
          </cell>
          <cell r="D530">
            <v>1</v>
          </cell>
          <cell r="E530" t="str">
            <v>△</v>
          </cell>
          <cell r="F530">
            <v>0</v>
          </cell>
          <cell r="G530" t="str">
            <v>处置以公允价值计量且其变动计入当期损益的金融资产净增加额</v>
          </cell>
          <cell r="H530" t="str">
            <v>处置以公允价值计量且其变动计入当期损益的金融资产净增加额</v>
          </cell>
          <cell r="I530">
            <v>7021</v>
          </cell>
          <cell r="J530" t="str">
            <v>J</v>
          </cell>
        </row>
        <row r="531">
          <cell r="B531">
            <v>7023</v>
          </cell>
          <cell r="C531" t="str">
            <v>收取利息手续费及佣金的现金</v>
          </cell>
          <cell r="D531">
            <v>1</v>
          </cell>
          <cell r="E531" t="str">
            <v>△</v>
          </cell>
          <cell r="F531">
            <v>0</v>
          </cell>
          <cell r="G531" t="str">
            <v>收取利息、手续费及佣金的现金</v>
          </cell>
          <cell r="H531" t="str">
            <v>收取利息、手续费及佣金的现金</v>
          </cell>
          <cell r="I531">
            <v>7023</v>
          </cell>
          <cell r="J531" t="str">
            <v>J</v>
          </cell>
        </row>
        <row r="532">
          <cell r="B532">
            <v>7025</v>
          </cell>
          <cell r="C532" t="str">
            <v>拆入资金净增加额</v>
          </cell>
          <cell r="D532">
            <v>1</v>
          </cell>
          <cell r="E532" t="str">
            <v>△</v>
          </cell>
          <cell r="F532">
            <v>0</v>
          </cell>
          <cell r="G532" t="str">
            <v>拆入资金净增加额</v>
          </cell>
          <cell r="H532" t="str">
            <v>拆入资金净增加额</v>
          </cell>
          <cell r="I532">
            <v>7025</v>
          </cell>
          <cell r="J532" t="str">
            <v>J</v>
          </cell>
        </row>
        <row r="533">
          <cell r="B533">
            <v>7026</v>
          </cell>
          <cell r="C533" t="str">
            <v>回购业务资金净增加额</v>
          </cell>
          <cell r="D533">
            <v>1</v>
          </cell>
          <cell r="E533" t="str">
            <v>△</v>
          </cell>
          <cell r="F533">
            <v>0</v>
          </cell>
          <cell r="G533" t="str">
            <v>回购业务资金净增加额</v>
          </cell>
          <cell r="H533" t="str">
            <v>回购业务资金净增加额</v>
          </cell>
          <cell r="I533">
            <v>7026</v>
          </cell>
          <cell r="J533" t="str">
            <v>J</v>
          </cell>
        </row>
        <row r="534">
          <cell r="B534">
            <v>7031</v>
          </cell>
          <cell r="C534" t="str">
            <v>收到的税费返还</v>
          </cell>
          <cell r="D534">
            <v>1</v>
          </cell>
          <cell r="E534">
            <v>0</v>
          </cell>
          <cell r="F534">
            <v>0</v>
          </cell>
          <cell r="G534" t="str">
            <v>收到的税费返还</v>
          </cell>
          <cell r="H534" t="str">
            <v>收到的税费返还</v>
          </cell>
          <cell r="I534">
            <v>7031</v>
          </cell>
          <cell r="J534" t="str">
            <v>J</v>
          </cell>
        </row>
        <row r="535">
          <cell r="B535">
            <v>7046</v>
          </cell>
          <cell r="C535" t="str">
            <v>收到其他与经营活动有关的现金</v>
          </cell>
          <cell r="D535">
            <v>1</v>
          </cell>
          <cell r="E535">
            <v>0</v>
          </cell>
          <cell r="F535">
            <v>0</v>
          </cell>
          <cell r="G535" t="str">
            <v>收到其他与经营活动有关的现金</v>
          </cell>
          <cell r="H535" t="str">
            <v>收到其他与经营活动有关的现金</v>
          </cell>
          <cell r="I535">
            <v>7046</v>
          </cell>
          <cell r="J535" t="str">
            <v>J</v>
          </cell>
        </row>
        <row r="536">
          <cell r="B536">
            <v>7048</v>
          </cell>
          <cell r="C536" t="str">
            <v>经营活动现金流入</v>
          </cell>
          <cell r="D536">
            <v>0</v>
          </cell>
          <cell r="E536" t="str">
            <v>＝</v>
          </cell>
          <cell r="F536">
            <v>0</v>
          </cell>
          <cell r="G536" t="str">
            <v>经营活动现金流入小计</v>
          </cell>
          <cell r="H536" t="str">
            <v>经营活动现金流入小计</v>
          </cell>
          <cell r="I536">
            <v>7048</v>
          </cell>
          <cell r="J536">
            <v>0</v>
          </cell>
        </row>
        <row r="537">
          <cell r="B537">
            <v>7051</v>
          </cell>
          <cell r="C537" t="str">
            <v>购买商品接受劳务支付的现金</v>
          </cell>
          <cell r="D537">
            <v>-1</v>
          </cell>
          <cell r="E537">
            <v>0</v>
          </cell>
          <cell r="F537">
            <v>0</v>
          </cell>
          <cell r="G537" t="str">
            <v>购买商品、接受劳务支付的现金</v>
          </cell>
          <cell r="H537" t="str">
            <v>购买商品、接受劳务支付的现金</v>
          </cell>
          <cell r="I537">
            <v>7051</v>
          </cell>
          <cell r="J537" t="str">
            <v>J</v>
          </cell>
        </row>
        <row r="538">
          <cell r="B538">
            <v>7053</v>
          </cell>
          <cell r="C538" t="str">
            <v>客户贷款及垫款净增加额</v>
          </cell>
          <cell r="D538">
            <v>-1</v>
          </cell>
          <cell r="E538" t="str">
            <v>△</v>
          </cell>
          <cell r="F538">
            <v>0</v>
          </cell>
          <cell r="G538" t="str">
            <v>客户贷款及垫款净增加额</v>
          </cell>
          <cell r="H538" t="str">
            <v>客户贷款及垫款净增加额</v>
          </cell>
          <cell r="I538">
            <v>7053</v>
          </cell>
          <cell r="J538" t="str">
            <v>J</v>
          </cell>
        </row>
        <row r="539">
          <cell r="B539">
            <v>7054</v>
          </cell>
          <cell r="C539" t="str">
            <v>存放中央银行和同业款项净增加额</v>
          </cell>
          <cell r="D539">
            <v>-1</v>
          </cell>
          <cell r="E539" t="str">
            <v>△</v>
          </cell>
          <cell r="F539">
            <v>0</v>
          </cell>
          <cell r="G539" t="str">
            <v>存放中央银行和同业款项净增加额</v>
          </cell>
          <cell r="H539" t="str">
            <v>存放中央银行和同业款项净增加额</v>
          </cell>
          <cell r="I539">
            <v>7054</v>
          </cell>
          <cell r="J539" t="str">
            <v>J</v>
          </cell>
        </row>
        <row r="540">
          <cell r="B540">
            <v>7055</v>
          </cell>
          <cell r="C540" t="str">
            <v>支付原保险合同赔付款项的现金</v>
          </cell>
          <cell r="D540">
            <v>-1</v>
          </cell>
          <cell r="E540" t="str">
            <v>△</v>
          </cell>
          <cell r="F540">
            <v>0</v>
          </cell>
          <cell r="G540" t="str">
            <v>支付原保险合同赔付款项的现金</v>
          </cell>
          <cell r="H540" t="str">
            <v>支付原保险合同赔付款项的现金</v>
          </cell>
          <cell r="I540">
            <v>7055</v>
          </cell>
          <cell r="J540" t="str">
            <v>J</v>
          </cell>
        </row>
        <row r="541">
          <cell r="B541">
            <v>7056</v>
          </cell>
          <cell r="C541" t="str">
            <v>支付利息手续费及佣金的现金</v>
          </cell>
          <cell r="D541">
            <v>-1</v>
          </cell>
          <cell r="E541" t="str">
            <v>△</v>
          </cell>
          <cell r="F541">
            <v>0</v>
          </cell>
          <cell r="G541" t="str">
            <v>支付利息、手续费及佣金的现金</v>
          </cell>
          <cell r="H541" t="str">
            <v>支付利息、手续费及佣金的现金</v>
          </cell>
          <cell r="I541">
            <v>7056</v>
          </cell>
          <cell r="J541" t="str">
            <v>J</v>
          </cell>
        </row>
        <row r="542">
          <cell r="B542">
            <v>7057</v>
          </cell>
          <cell r="C542" t="str">
            <v>支付保单红利的现金</v>
          </cell>
          <cell r="D542">
            <v>-1</v>
          </cell>
          <cell r="E542" t="str">
            <v>△</v>
          </cell>
          <cell r="F542">
            <v>0</v>
          </cell>
          <cell r="G542" t="str">
            <v>支付保单红利的现金</v>
          </cell>
          <cell r="H542" t="str">
            <v>支付保单红利的现金</v>
          </cell>
          <cell r="I542">
            <v>7057</v>
          </cell>
          <cell r="J542" t="str">
            <v>J</v>
          </cell>
        </row>
        <row r="543">
          <cell r="B543">
            <v>7061</v>
          </cell>
          <cell r="C543" t="str">
            <v>支付给职工以及为职工支付的现金</v>
          </cell>
          <cell r="D543">
            <v>-1</v>
          </cell>
          <cell r="E543">
            <v>0</v>
          </cell>
          <cell r="F543">
            <v>0</v>
          </cell>
          <cell r="G543" t="str">
            <v>支付给职工以及为职工支付的现金</v>
          </cell>
          <cell r="H543" t="str">
            <v>支付给职工以及为职工支付的现金</v>
          </cell>
          <cell r="I543">
            <v>7061</v>
          </cell>
          <cell r="J543" t="str">
            <v>J</v>
          </cell>
        </row>
        <row r="544">
          <cell r="B544">
            <v>7071</v>
          </cell>
          <cell r="C544" t="str">
            <v>支付的各项税费</v>
          </cell>
          <cell r="D544">
            <v>-1</v>
          </cell>
          <cell r="E544">
            <v>0</v>
          </cell>
          <cell r="F544">
            <v>0</v>
          </cell>
          <cell r="G544" t="str">
            <v>支付的各项税费</v>
          </cell>
          <cell r="H544" t="str">
            <v>支付的各项税费</v>
          </cell>
          <cell r="I544">
            <v>7071</v>
          </cell>
          <cell r="J544" t="str">
            <v>J</v>
          </cell>
        </row>
        <row r="545">
          <cell r="B545">
            <v>7096</v>
          </cell>
          <cell r="C545" t="str">
            <v>支付其他与经营活动有关的现金</v>
          </cell>
          <cell r="D545">
            <v>-1</v>
          </cell>
          <cell r="E545">
            <v>0</v>
          </cell>
          <cell r="F545">
            <v>0</v>
          </cell>
          <cell r="G545" t="str">
            <v>支付其他与经营活动有关的现金</v>
          </cell>
          <cell r="H545" t="str">
            <v>支付其他与经营活动有关的现金</v>
          </cell>
          <cell r="I545">
            <v>7096</v>
          </cell>
          <cell r="J545" t="str">
            <v>J</v>
          </cell>
        </row>
        <row r="546">
          <cell r="B546">
            <v>7098</v>
          </cell>
          <cell r="C546" t="str">
            <v>经营活动现金流出</v>
          </cell>
          <cell r="D546">
            <v>0</v>
          </cell>
          <cell r="E546" t="str">
            <v>＝</v>
          </cell>
          <cell r="F546">
            <v>0</v>
          </cell>
          <cell r="G546" t="str">
            <v>经营活动现金流出小计</v>
          </cell>
          <cell r="H546" t="str">
            <v>经营活动现金流出小计</v>
          </cell>
          <cell r="I546">
            <v>7098</v>
          </cell>
          <cell r="J546">
            <v>0</v>
          </cell>
        </row>
        <row r="547">
          <cell r="B547">
            <v>7099</v>
          </cell>
          <cell r="C547" t="str">
            <v>经营活动产生的现金流量净额</v>
          </cell>
          <cell r="D547">
            <v>0</v>
          </cell>
          <cell r="E547" t="str">
            <v>＝</v>
          </cell>
          <cell r="F547">
            <v>0</v>
          </cell>
          <cell r="G547" t="str">
            <v>经营活动产生的现金流量净额</v>
          </cell>
          <cell r="H547" t="str">
            <v>经营活动产生的现金流量净额</v>
          </cell>
          <cell r="I547">
            <v>7099</v>
          </cell>
          <cell r="J547">
            <v>0</v>
          </cell>
        </row>
        <row r="548">
          <cell r="B548">
            <v>7100</v>
          </cell>
          <cell r="C548" t="str">
            <v>投资活动现金流量项目</v>
          </cell>
          <cell r="D548">
            <v>0</v>
          </cell>
          <cell r="E548" t="str">
            <v>：</v>
          </cell>
          <cell r="F548">
            <v>0</v>
          </cell>
          <cell r="G548" t="str">
            <v>二、投资活动产生的现金流量：</v>
          </cell>
          <cell r="H548" t="str">
            <v>二、投资活动产生的现金流量：</v>
          </cell>
          <cell r="I548">
            <v>7100</v>
          </cell>
          <cell r="J548">
            <v>0</v>
          </cell>
        </row>
        <row r="549">
          <cell r="B549">
            <v>7101</v>
          </cell>
          <cell r="C549" t="str">
            <v>收回投资收到的现金</v>
          </cell>
          <cell r="D549">
            <v>1</v>
          </cell>
          <cell r="E549">
            <v>0</v>
          </cell>
          <cell r="F549">
            <v>0</v>
          </cell>
          <cell r="G549" t="str">
            <v>收回投资收到的现金</v>
          </cell>
          <cell r="H549" t="str">
            <v>收回投资收到的现金</v>
          </cell>
          <cell r="I549">
            <v>7101</v>
          </cell>
          <cell r="J549" t="str">
            <v>J</v>
          </cell>
        </row>
        <row r="550">
          <cell r="B550">
            <v>7105</v>
          </cell>
          <cell r="C550" t="str">
            <v>取得投资收益收到的现金</v>
          </cell>
          <cell r="D550">
            <v>1</v>
          </cell>
          <cell r="E550">
            <v>0</v>
          </cell>
          <cell r="F550">
            <v>0</v>
          </cell>
          <cell r="G550" t="str">
            <v>取得投资收益收到的现金</v>
          </cell>
          <cell r="H550" t="str">
            <v>取得投资收益收到的现金</v>
          </cell>
          <cell r="I550">
            <v>7105</v>
          </cell>
          <cell r="J550" t="str">
            <v>J</v>
          </cell>
        </row>
        <row r="551">
          <cell r="B551">
            <v>7111</v>
          </cell>
          <cell r="C551" t="str">
            <v>处置固定资产无形资产长期资产收回的现金</v>
          </cell>
          <cell r="D551">
            <v>1</v>
          </cell>
          <cell r="E551">
            <v>0</v>
          </cell>
          <cell r="F551">
            <v>0</v>
          </cell>
          <cell r="G551" t="str">
            <v>处置固定资产、无形资产和其他长期资产收回的现金净额</v>
          </cell>
          <cell r="H551" t="str">
            <v>处置固定资产、无形资产和其他长期资产所收回的现金净额</v>
          </cell>
          <cell r="I551">
            <v>7111</v>
          </cell>
          <cell r="J551" t="str">
            <v>J</v>
          </cell>
        </row>
        <row r="552">
          <cell r="B552">
            <v>7121</v>
          </cell>
          <cell r="C552" t="str">
            <v>处置子公司及其他营业单位收到的现金净额</v>
          </cell>
          <cell r="D552">
            <v>1</v>
          </cell>
          <cell r="E552">
            <v>0</v>
          </cell>
          <cell r="F552">
            <v>0</v>
          </cell>
          <cell r="G552" t="str">
            <v>处置子公司及其他营业单位收到的现金净额</v>
          </cell>
          <cell r="H552" t="str">
            <v>处置子公司及其他营业单位收到的现金净额</v>
          </cell>
          <cell r="I552">
            <v>7121</v>
          </cell>
          <cell r="J552" t="str">
            <v>J</v>
          </cell>
        </row>
        <row r="553">
          <cell r="B553">
            <v>7146</v>
          </cell>
          <cell r="C553" t="str">
            <v>收到其他与投资活动有关的现金</v>
          </cell>
          <cell r="D553">
            <v>1</v>
          </cell>
          <cell r="E553">
            <v>0</v>
          </cell>
          <cell r="F553">
            <v>0</v>
          </cell>
          <cell r="G553" t="str">
            <v>收到其他与投资活动有关的现金</v>
          </cell>
          <cell r="H553" t="str">
            <v>收到其他与投资活动有关的现金</v>
          </cell>
          <cell r="I553">
            <v>7146</v>
          </cell>
          <cell r="J553" t="str">
            <v>J</v>
          </cell>
        </row>
        <row r="554">
          <cell r="B554">
            <v>7148</v>
          </cell>
          <cell r="C554" t="str">
            <v>投资活动现金流入</v>
          </cell>
          <cell r="D554">
            <v>0</v>
          </cell>
          <cell r="E554" t="str">
            <v>＝</v>
          </cell>
          <cell r="F554">
            <v>0</v>
          </cell>
          <cell r="G554" t="str">
            <v>投资活动现金流入小计</v>
          </cell>
          <cell r="H554" t="str">
            <v>投资活动现金流入小计</v>
          </cell>
          <cell r="I554">
            <v>7148</v>
          </cell>
          <cell r="J554">
            <v>0</v>
          </cell>
        </row>
        <row r="555">
          <cell r="B555">
            <v>7151</v>
          </cell>
          <cell r="C555" t="str">
            <v>购置固定资产无形资产长期资产支付的现金</v>
          </cell>
          <cell r="D555">
            <v>-1</v>
          </cell>
          <cell r="E555">
            <v>0</v>
          </cell>
          <cell r="F555">
            <v>0</v>
          </cell>
          <cell r="G555" t="str">
            <v>购置固定资产、无形资产和其他长期资产支付的现金</v>
          </cell>
          <cell r="H555" t="str">
            <v>购置固定资产、无形资产和其他长期资产支付的现金</v>
          </cell>
          <cell r="I555">
            <v>7151</v>
          </cell>
          <cell r="J555" t="str">
            <v>J</v>
          </cell>
        </row>
        <row r="556">
          <cell r="B556">
            <v>7161</v>
          </cell>
          <cell r="C556" t="str">
            <v>投资支付的现金</v>
          </cell>
          <cell r="D556">
            <v>-1</v>
          </cell>
          <cell r="E556">
            <v>0</v>
          </cell>
          <cell r="F556">
            <v>0</v>
          </cell>
          <cell r="G556" t="str">
            <v>投资支付的现金</v>
          </cell>
          <cell r="H556" t="str">
            <v>投资支付的现金</v>
          </cell>
          <cell r="I556">
            <v>7161</v>
          </cell>
          <cell r="J556" t="str">
            <v>J</v>
          </cell>
        </row>
        <row r="557">
          <cell r="B557">
            <v>7165</v>
          </cell>
          <cell r="C557" t="str">
            <v>质押贷款净增加额</v>
          </cell>
          <cell r="D557">
            <v>-1</v>
          </cell>
          <cell r="E557" t="str">
            <v>△</v>
          </cell>
          <cell r="F557">
            <v>0</v>
          </cell>
          <cell r="G557" t="str">
            <v>质押贷款净增加额</v>
          </cell>
          <cell r="H557" t="str">
            <v>质押贷款净增加额</v>
          </cell>
          <cell r="I557">
            <v>7165</v>
          </cell>
          <cell r="J557" t="str">
            <v>J</v>
          </cell>
        </row>
        <row r="558">
          <cell r="B558">
            <v>7171</v>
          </cell>
          <cell r="C558" t="str">
            <v>取得子公司及其他营业单位支付的现金净额</v>
          </cell>
          <cell r="D558">
            <v>-1</v>
          </cell>
          <cell r="E558">
            <v>0</v>
          </cell>
          <cell r="F558">
            <v>0</v>
          </cell>
          <cell r="G558" t="str">
            <v>取得子公司及其他营业单位支付的现金净额</v>
          </cell>
          <cell r="H558" t="str">
            <v>取得子公司及其他营业单位支付的现金净额</v>
          </cell>
          <cell r="I558">
            <v>7171</v>
          </cell>
          <cell r="J558" t="str">
            <v>J</v>
          </cell>
        </row>
        <row r="559">
          <cell r="B559">
            <v>7196</v>
          </cell>
          <cell r="C559" t="str">
            <v>支付其他与投资活动有关的现金</v>
          </cell>
          <cell r="D559">
            <v>-1</v>
          </cell>
          <cell r="E559">
            <v>0</v>
          </cell>
          <cell r="F559">
            <v>0</v>
          </cell>
          <cell r="G559" t="str">
            <v>支付其他与投资活动有关的现金</v>
          </cell>
          <cell r="H559" t="str">
            <v>支付其他与投资活动有关的现金</v>
          </cell>
          <cell r="I559">
            <v>7196</v>
          </cell>
          <cell r="J559" t="str">
            <v>J</v>
          </cell>
        </row>
        <row r="560">
          <cell r="B560">
            <v>7198</v>
          </cell>
          <cell r="C560" t="str">
            <v>投资活动现金流出</v>
          </cell>
          <cell r="D560">
            <v>0</v>
          </cell>
          <cell r="E560" t="str">
            <v>＝</v>
          </cell>
          <cell r="F560">
            <v>0</v>
          </cell>
          <cell r="G560" t="str">
            <v>投资活动现金流出小计</v>
          </cell>
          <cell r="H560" t="str">
            <v>投资活动现金流出小计</v>
          </cell>
          <cell r="I560">
            <v>7198</v>
          </cell>
          <cell r="J560">
            <v>0</v>
          </cell>
        </row>
        <row r="561">
          <cell r="B561">
            <v>7199</v>
          </cell>
          <cell r="C561" t="str">
            <v>投资活动产生的现金流量净额</v>
          </cell>
          <cell r="D561">
            <v>0</v>
          </cell>
          <cell r="E561" t="str">
            <v>＝</v>
          </cell>
          <cell r="F561">
            <v>0</v>
          </cell>
          <cell r="G561" t="str">
            <v>投资活动产生的现金流量净额</v>
          </cell>
          <cell r="H561" t="str">
            <v>投资活动产生的现金流量净额</v>
          </cell>
          <cell r="I561">
            <v>7199</v>
          </cell>
          <cell r="J561">
            <v>0</v>
          </cell>
        </row>
        <row r="562">
          <cell r="B562">
            <v>7200</v>
          </cell>
          <cell r="C562" t="str">
            <v>筹资活动现金流量项目</v>
          </cell>
          <cell r="D562">
            <v>0</v>
          </cell>
          <cell r="E562" t="str">
            <v>：</v>
          </cell>
          <cell r="F562">
            <v>0</v>
          </cell>
          <cell r="G562" t="str">
            <v>三、筹资活动产生的现金流量：</v>
          </cell>
          <cell r="H562" t="str">
            <v>三、筹资活动产生的现金流量：</v>
          </cell>
          <cell r="I562">
            <v>7200</v>
          </cell>
          <cell r="J562">
            <v>0</v>
          </cell>
        </row>
        <row r="563">
          <cell r="B563">
            <v>7201</v>
          </cell>
          <cell r="C563" t="str">
            <v>吸收投资收到的现金</v>
          </cell>
          <cell r="D563">
            <v>1</v>
          </cell>
          <cell r="E563">
            <v>0</v>
          </cell>
          <cell r="F563">
            <v>0</v>
          </cell>
          <cell r="G563" t="str">
            <v>吸收投资收到的现金</v>
          </cell>
          <cell r="H563" t="str">
            <v>吸收投资收到的现金</v>
          </cell>
          <cell r="I563">
            <v>7201</v>
          </cell>
          <cell r="J563" t="str">
            <v>J</v>
          </cell>
        </row>
        <row r="564">
          <cell r="B564">
            <v>7201.01</v>
          </cell>
          <cell r="C564" t="str">
            <v>子公司吸收少数股东投资收到的现金</v>
          </cell>
          <cell r="D564">
            <v>1</v>
          </cell>
          <cell r="E564" t="str">
            <v>※</v>
          </cell>
          <cell r="F564">
            <v>0</v>
          </cell>
          <cell r="G564" t="str">
            <v>其中：子公司吸收少数股东权益性投资收到的现金</v>
          </cell>
          <cell r="H564" t="str">
            <v>其中：子公司吸收少数股东投资收到的现金</v>
          </cell>
          <cell r="I564">
            <v>7201.01</v>
          </cell>
          <cell r="J564" t="str">
            <v>J</v>
          </cell>
        </row>
        <row r="565">
          <cell r="B565">
            <v>7211</v>
          </cell>
          <cell r="C565" t="str">
            <v>取得借款收到的现金</v>
          </cell>
          <cell r="D565">
            <v>1</v>
          </cell>
          <cell r="E565">
            <v>0</v>
          </cell>
          <cell r="F565">
            <v>0</v>
          </cell>
          <cell r="G565" t="str">
            <v>取得借款收到的现金</v>
          </cell>
          <cell r="H565" t="str">
            <v>取得借款所收到的现金</v>
          </cell>
          <cell r="I565">
            <v>7211</v>
          </cell>
          <cell r="J565" t="str">
            <v>J</v>
          </cell>
        </row>
        <row r="566">
          <cell r="B566">
            <v>7221</v>
          </cell>
          <cell r="C566" t="str">
            <v>发行债券收到的现金</v>
          </cell>
          <cell r="D566">
            <v>1</v>
          </cell>
          <cell r="E566">
            <v>0</v>
          </cell>
          <cell r="F566">
            <v>0</v>
          </cell>
          <cell r="G566" t="str">
            <v>发行债券收到的现金</v>
          </cell>
          <cell r="H566" t="str">
            <v>发行债券收到的现金</v>
          </cell>
          <cell r="I566">
            <v>7221</v>
          </cell>
          <cell r="J566" t="str">
            <v>J</v>
          </cell>
        </row>
        <row r="567">
          <cell r="B567">
            <v>7246</v>
          </cell>
          <cell r="C567" t="str">
            <v>收到其他与筹资活动有关的现金</v>
          </cell>
          <cell r="D567">
            <v>1</v>
          </cell>
          <cell r="E567">
            <v>0</v>
          </cell>
          <cell r="F567">
            <v>0</v>
          </cell>
          <cell r="G567" t="str">
            <v>收到其他与筹资活动有关的现金</v>
          </cell>
          <cell r="H567" t="str">
            <v>收到其他与筹资活动有关的现金</v>
          </cell>
          <cell r="I567">
            <v>7246</v>
          </cell>
          <cell r="J567" t="str">
            <v>J</v>
          </cell>
        </row>
        <row r="568">
          <cell r="B568">
            <v>7248</v>
          </cell>
          <cell r="C568" t="str">
            <v>筹资活动现金流入</v>
          </cell>
          <cell r="D568">
            <v>0</v>
          </cell>
          <cell r="E568" t="str">
            <v>＝</v>
          </cell>
          <cell r="F568">
            <v>0</v>
          </cell>
          <cell r="G568" t="str">
            <v>筹资活动现金流入小计</v>
          </cell>
          <cell r="H568" t="str">
            <v>筹资活动现金流入小计</v>
          </cell>
          <cell r="I568">
            <v>7248</v>
          </cell>
          <cell r="J568">
            <v>0</v>
          </cell>
        </row>
        <row r="569">
          <cell r="B569">
            <v>7251</v>
          </cell>
          <cell r="C569" t="str">
            <v>偿还债务支付的现金</v>
          </cell>
          <cell r="D569">
            <v>-1</v>
          </cell>
          <cell r="E569">
            <v>0</v>
          </cell>
          <cell r="F569">
            <v>0</v>
          </cell>
          <cell r="G569" t="str">
            <v>偿还债务支付的现金</v>
          </cell>
          <cell r="H569" t="str">
            <v>偿还债务所支付的现金</v>
          </cell>
          <cell r="I569">
            <v>7251</v>
          </cell>
          <cell r="J569" t="str">
            <v>J</v>
          </cell>
        </row>
        <row r="570">
          <cell r="B570">
            <v>7261</v>
          </cell>
          <cell r="C570" t="str">
            <v>分配利润偿付利息支付的现金</v>
          </cell>
          <cell r="D570">
            <v>-1</v>
          </cell>
          <cell r="E570">
            <v>0</v>
          </cell>
          <cell r="F570">
            <v>0</v>
          </cell>
          <cell r="G570" t="str">
            <v>分配股利、利润或偿付利息支付的现金</v>
          </cell>
          <cell r="H570" t="str">
            <v>分配股利、利润或偿付利息所支付的现金</v>
          </cell>
          <cell r="I570">
            <v>7261</v>
          </cell>
          <cell r="J570" t="str">
            <v>J</v>
          </cell>
        </row>
        <row r="571">
          <cell r="B571">
            <v>7261.01</v>
          </cell>
          <cell r="C571" t="str">
            <v>子公司支付少数股东的现金股利</v>
          </cell>
          <cell r="D571">
            <v>-1</v>
          </cell>
          <cell r="E571" t="str">
            <v>※</v>
          </cell>
          <cell r="F571">
            <v>0</v>
          </cell>
          <cell r="G571" t="str">
            <v>其中：子公司支付少数股东的现金股利</v>
          </cell>
          <cell r="H571" t="str">
            <v>其中：子公司支付给少数股东的股利、利润</v>
          </cell>
          <cell r="I571">
            <v>7261.01</v>
          </cell>
          <cell r="J571" t="str">
            <v>J</v>
          </cell>
        </row>
        <row r="572">
          <cell r="B572">
            <v>7296</v>
          </cell>
          <cell r="C572" t="str">
            <v>支付其他与筹资活动有关的现金</v>
          </cell>
          <cell r="D572">
            <v>-1</v>
          </cell>
          <cell r="E572">
            <v>0</v>
          </cell>
          <cell r="F572">
            <v>0</v>
          </cell>
          <cell r="G572" t="str">
            <v>支付其他与筹资活动有关的现金</v>
          </cell>
          <cell r="H572" t="str">
            <v>支付其他与筹资活动有关的现金</v>
          </cell>
          <cell r="I572">
            <v>7296</v>
          </cell>
          <cell r="J572" t="str">
            <v>J</v>
          </cell>
        </row>
        <row r="573">
          <cell r="B573">
            <v>7296.11</v>
          </cell>
          <cell r="C573" t="str">
            <v>子公司减资支付给少数股东的现金</v>
          </cell>
          <cell r="D573">
            <v>-1</v>
          </cell>
          <cell r="E573" t="str">
            <v>※</v>
          </cell>
          <cell r="F573">
            <v>0</v>
          </cell>
          <cell r="G573" t="str">
            <v>其中：子公司减资支付给少数股东的现金</v>
          </cell>
          <cell r="H573" t="str">
            <v>其中：子公司减资支付给少数股东的现金</v>
          </cell>
          <cell r="I573">
            <v>7296.11</v>
          </cell>
          <cell r="J573" t="str">
            <v>J</v>
          </cell>
        </row>
        <row r="574">
          <cell r="B574">
            <v>7298</v>
          </cell>
          <cell r="C574" t="str">
            <v>筹资活动现金流出</v>
          </cell>
          <cell r="D574">
            <v>0</v>
          </cell>
          <cell r="E574" t="str">
            <v>＝</v>
          </cell>
          <cell r="F574">
            <v>0</v>
          </cell>
          <cell r="G574" t="str">
            <v>筹资活动现金流出小计</v>
          </cell>
          <cell r="H574" t="str">
            <v>筹资活动现金流出小计</v>
          </cell>
          <cell r="I574">
            <v>7298</v>
          </cell>
          <cell r="J574">
            <v>0</v>
          </cell>
        </row>
        <row r="575">
          <cell r="B575">
            <v>7299</v>
          </cell>
          <cell r="C575" t="str">
            <v>筹资活动产生的现金流量净额</v>
          </cell>
          <cell r="D575">
            <v>0</v>
          </cell>
          <cell r="E575" t="str">
            <v>＝</v>
          </cell>
          <cell r="F575">
            <v>0</v>
          </cell>
          <cell r="G575" t="str">
            <v>筹资活动产生的现金流量净额</v>
          </cell>
          <cell r="H575" t="str">
            <v>筹资活动产生的现金流量净额</v>
          </cell>
          <cell r="I575">
            <v>7299</v>
          </cell>
          <cell r="J575">
            <v>0</v>
          </cell>
        </row>
        <row r="576">
          <cell r="B576">
            <v>7309</v>
          </cell>
          <cell r="C576" t="str">
            <v>汇率变动对现金及现金等价物的影响</v>
          </cell>
          <cell r="D576">
            <v>1</v>
          </cell>
          <cell r="E576">
            <v>0</v>
          </cell>
          <cell r="F576">
            <v>0</v>
          </cell>
          <cell r="G576" t="str">
            <v>四、汇率变动对现金及现金等价物的影响</v>
          </cell>
          <cell r="H576" t="str">
            <v>四、汇率变动对现金及现金等价物的影响</v>
          </cell>
          <cell r="I576">
            <v>7309</v>
          </cell>
          <cell r="J576" t="str">
            <v>J</v>
          </cell>
        </row>
        <row r="577">
          <cell r="B577">
            <v>7348</v>
          </cell>
          <cell r="C577" t="str">
            <v>现金及现金等价物净增加额</v>
          </cell>
          <cell r="D577">
            <v>0</v>
          </cell>
          <cell r="E577" t="str">
            <v>＝</v>
          </cell>
          <cell r="F577">
            <v>0</v>
          </cell>
          <cell r="G577" t="str">
            <v>五、现金及现金等价物净增加额</v>
          </cell>
          <cell r="H577" t="str">
            <v>五、现金及现金等价物净增加额</v>
          </cell>
          <cell r="I577">
            <v>7348</v>
          </cell>
          <cell r="J577">
            <v>0</v>
          </cell>
        </row>
        <row r="578">
          <cell r="B578">
            <v>7349</v>
          </cell>
          <cell r="C578" t="str">
            <v>期初现金及现金等价物余额</v>
          </cell>
          <cell r="D578">
            <v>1</v>
          </cell>
          <cell r="E578">
            <v>0</v>
          </cell>
          <cell r="F578">
            <v>0</v>
          </cell>
          <cell r="G578" t="str">
            <v>加：期初现金及现金等价物余额</v>
          </cell>
          <cell r="H578" t="str">
            <v>加：期初现金及现金等价物余额</v>
          </cell>
          <cell r="I578">
            <v>7349</v>
          </cell>
          <cell r="J578" t="str">
            <v>J</v>
          </cell>
        </row>
        <row r="579">
          <cell r="B579">
            <v>7399</v>
          </cell>
          <cell r="C579" t="str">
            <v>期末现金及现金等价物余额</v>
          </cell>
          <cell r="D579">
            <v>0</v>
          </cell>
          <cell r="E579" t="str">
            <v>＝</v>
          </cell>
          <cell r="F579">
            <v>0</v>
          </cell>
          <cell r="G579" t="str">
            <v>六、期末现金及现金等价物余额</v>
          </cell>
          <cell r="H579" t="str">
            <v>六、期末现金及现金等价物余额</v>
          </cell>
          <cell r="I579">
            <v>7399</v>
          </cell>
          <cell r="J579">
            <v>0</v>
          </cell>
        </row>
        <row r="580">
          <cell r="B580">
            <v>7500</v>
          </cell>
          <cell r="C580" t="str">
            <v>现金流量表补充资料</v>
          </cell>
          <cell r="D580">
            <v>0</v>
          </cell>
          <cell r="E580" t="str">
            <v>：</v>
          </cell>
          <cell r="F580">
            <v>0</v>
          </cell>
          <cell r="G580" t="str">
            <v>现金流量表补充资料</v>
          </cell>
          <cell r="H580">
            <v>0</v>
          </cell>
          <cell r="I580">
            <v>7500</v>
          </cell>
          <cell r="J580">
            <v>0</v>
          </cell>
        </row>
        <row r="581">
          <cell r="B581">
            <v>7501</v>
          </cell>
          <cell r="C581" t="str">
            <v>将净利润调节为经营活动现金流量</v>
          </cell>
          <cell r="D581">
            <v>0</v>
          </cell>
          <cell r="E581" t="str">
            <v>：</v>
          </cell>
          <cell r="F581">
            <v>0</v>
          </cell>
          <cell r="G581" t="str">
            <v>1.将净利润调节为经营活动现金流量：</v>
          </cell>
          <cell r="H581">
            <v>0</v>
          </cell>
          <cell r="I581">
            <v>7501</v>
          </cell>
          <cell r="J581">
            <v>0</v>
          </cell>
        </row>
        <row r="582">
          <cell r="B582">
            <v>7502</v>
          </cell>
          <cell r="C582" t="str">
            <v>净利润金额</v>
          </cell>
          <cell r="D582">
            <v>1</v>
          </cell>
          <cell r="E582">
            <v>0</v>
          </cell>
          <cell r="F582">
            <v>0</v>
          </cell>
          <cell r="G582" t="str">
            <v>净利润</v>
          </cell>
          <cell r="H582">
            <v>0</v>
          </cell>
          <cell r="I582">
            <v>7502</v>
          </cell>
          <cell r="J582">
            <v>0</v>
          </cell>
        </row>
        <row r="583">
          <cell r="B583">
            <v>7503</v>
          </cell>
          <cell r="C583" t="str">
            <v>资产减值准备金额</v>
          </cell>
          <cell r="D583">
            <v>1</v>
          </cell>
          <cell r="E583">
            <v>0</v>
          </cell>
          <cell r="F583">
            <v>0</v>
          </cell>
          <cell r="G583" t="str">
            <v>加：资产减值准备</v>
          </cell>
          <cell r="H583">
            <v>0</v>
          </cell>
          <cell r="I583">
            <v>7503</v>
          </cell>
          <cell r="J583">
            <v>0</v>
          </cell>
        </row>
        <row r="584">
          <cell r="B584">
            <v>7505</v>
          </cell>
          <cell r="C584" t="str">
            <v>固定资产折旧、油气资产折耗、生产性生物资产折旧</v>
          </cell>
          <cell r="D584">
            <v>1</v>
          </cell>
          <cell r="E584">
            <v>0</v>
          </cell>
          <cell r="F584">
            <v>0</v>
          </cell>
          <cell r="G584" t="str">
            <v>固定资产折旧、油气资产折耗、生产性生物资产折旧</v>
          </cell>
          <cell r="H584">
            <v>0</v>
          </cell>
          <cell r="I584">
            <v>7505</v>
          </cell>
          <cell r="J584">
            <v>0</v>
          </cell>
        </row>
        <row r="585">
          <cell r="B585">
            <v>7506</v>
          </cell>
          <cell r="C585" t="str">
            <v>无形资产摊销</v>
          </cell>
          <cell r="D585">
            <v>1</v>
          </cell>
          <cell r="E585">
            <v>0</v>
          </cell>
          <cell r="F585">
            <v>0</v>
          </cell>
          <cell r="G585" t="str">
            <v>无形资产摊销</v>
          </cell>
          <cell r="H585">
            <v>0</v>
          </cell>
          <cell r="I585">
            <v>7506</v>
          </cell>
          <cell r="J585">
            <v>0</v>
          </cell>
        </row>
        <row r="586">
          <cell r="B586">
            <v>7507</v>
          </cell>
          <cell r="C586" t="str">
            <v>长期待摊费用摊销</v>
          </cell>
          <cell r="D586">
            <v>1</v>
          </cell>
          <cell r="E586">
            <v>0</v>
          </cell>
          <cell r="F586">
            <v>0</v>
          </cell>
          <cell r="G586" t="str">
            <v>长期待摊费用摊销</v>
          </cell>
          <cell r="H586">
            <v>0</v>
          </cell>
          <cell r="I586">
            <v>7507</v>
          </cell>
          <cell r="J586">
            <v>0</v>
          </cell>
        </row>
        <row r="587">
          <cell r="B587">
            <v>7508</v>
          </cell>
          <cell r="C587" t="str">
            <v>处置固定资产、无形资产和其他长期资产的损失</v>
          </cell>
          <cell r="D587">
            <v>1</v>
          </cell>
          <cell r="E587">
            <v>0</v>
          </cell>
          <cell r="F587">
            <v>0</v>
          </cell>
          <cell r="G587" t="str">
            <v>处置固定资产、无形资产和其他长期资产的损失（收益以“－”号填列）</v>
          </cell>
          <cell r="H587">
            <v>0</v>
          </cell>
          <cell r="I587">
            <v>7508</v>
          </cell>
          <cell r="J587">
            <v>0</v>
          </cell>
        </row>
        <row r="588">
          <cell r="B588">
            <v>7509</v>
          </cell>
          <cell r="C588" t="str">
            <v>固定资产报废损失</v>
          </cell>
          <cell r="D588">
            <v>1</v>
          </cell>
          <cell r="E588">
            <v>0</v>
          </cell>
          <cell r="F588">
            <v>0</v>
          </cell>
          <cell r="G588" t="str">
            <v>固定资产报废损失（收益以“－”号填列）</v>
          </cell>
          <cell r="H588">
            <v>0</v>
          </cell>
          <cell r="I588">
            <v>7509</v>
          </cell>
          <cell r="J588">
            <v>0</v>
          </cell>
        </row>
        <row r="589">
          <cell r="B589">
            <v>7510</v>
          </cell>
          <cell r="C589" t="str">
            <v>公允价值变动损失</v>
          </cell>
          <cell r="D589">
            <v>1</v>
          </cell>
          <cell r="E589">
            <v>0</v>
          </cell>
          <cell r="F589">
            <v>0</v>
          </cell>
          <cell r="G589" t="str">
            <v>公允价值变动损失（收益以“－”号填列）</v>
          </cell>
          <cell r="H589">
            <v>0</v>
          </cell>
          <cell r="I589">
            <v>7510</v>
          </cell>
          <cell r="J589">
            <v>0</v>
          </cell>
        </row>
        <row r="590">
          <cell r="B590">
            <v>7511</v>
          </cell>
          <cell r="C590" t="str">
            <v>财务费用金额</v>
          </cell>
          <cell r="D590">
            <v>1</v>
          </cell>
          <cell r="E590">
            <v>0</v>
          </cell>
          <cell r="F590">
            <v>0</v>
          </cell>
          <cell r="G590" t="str">
            <v>财务费用（收益以“－”号填列）</v>
          </cell>
          <cell r="H590">
            <v>0</v>
          </cell>
          <cell r="I590">
            <v>7511</v>
          </cell>
          <cell r="J590">
            <v>0</v>
          </cell>
        </row>
        <row r="591">
          <cell r="B591">
            <v>7512</v>
          </cell>
          <cell r="C591" t="str">
            <v>投资损失</v>
          </cell>
          <cell r="D591">
            <v>1</v>
          </cell>
          <cell r="E591">
            <v>0</v>
          </cell>
          <cell r="F591">
            <v>0</v>
          </cell>
          <cell r="G591" t="str">
            <v>投资损失（收益以“－”号填列）</v>
          </cell>
          <cell r="H591">
            <v>0</v>
          </cell>
          <cell r="I591">
            <v>7512</v>
          </cell>
          <cell r="J591">
            <v>0</v>
          </cell>
        </row>
        <row r="592">
          <cell r="B592">
            <v>7515</v>
          </cell>
          <cell r="C592" t="str">
            <v>递延所得税资产减少</v>
          </cell>
          <cell r="D592">
            <v>1</v>
          </cell>
          <cell r="E592">
            <v>0</v>
          </cell>
          <cell r="F592">
            <v>0</v>
          </cell>
          <cell r="G592" t="str">
            <v>递延所得税资产减少（增加以“－”号填列）</v>
          </cell>
          <cell r="H592">
            <v>0</v>
          </cell>
          <cell r="I592">
            <v>7515</v>
          </cell>
          <cell r="J592">
            <v>0</v>
          </cell>
        </row>
        <row r="593">
          <cell r="B593">
            <v>7516</v>
          </cell>
          <cell r="C593" t="str">
            <v>递延所得税负债增加</v>
          </cell>
          <cell r="D593">
            <v>1</v>
          </cell>
          <cell r="E593">
            <v>0</v>
          </cell>
          <cell r="F593">
            <v>0</v>
          </cell>
          <cell r="G593" t="str">
            <v>递延所得税负债增加（减少以“－”号填列）</v>
          </cell>
          <cell r="H593">
            <v>0</v>
          </cell>
          <cell r="I593">
            <v>7516</v>
          </cell>
          <cell r="J593">
            <v>0</v>
          </cell>
        </row>
        <row r="594">
          <cell r="B594">
            <v>7517</v>
          </cell>
          <cell r="C594" t="str">
            <v>存货的减少</v>
          </cell>
          <cell r="D594">
            <v>1</v>
          </cell>
          <cell r="E594">
            <v>0</v>
          </cell>
          <cell r="F594">
            <v>0</v>
          </cell>
          <cell r="G594" t="str">
            <v>存货的减少（增加以“－”号填列）</v>
          </cell>
          <cell r="H594">
            <v>0</v>
          </cell>
          <cell r="I594">
            <v>7517</v>
          </cell>
          <cell r="J594">
            <v>0</v>
          </cell>
        </row>
        <row r="595">
          <cell r="B595">
            <v>7518</v>
          </cell>
          <cell r="C595" t="str">
            <v>经营性应收项目的减少</v>
          </cell>
          <cell r="D595">
            <v>1</v>
          </cell>
          <cell r="E595">
            <v>0</v>
          </cell>
          <cell r="F595">
            <v>0</v>
          </cell>
          <cell r="G595" t="str">
            <v>经营性应收项目的减少（增加以“－”号填列）</v>
          </cell>
          <cell r="H595">
            <v>0</v>
          </cell>
          <cell r="I595">
            <v>7518</v>
          </cell>
          <cell r="J595">
            <v>0</v>
          </cell>
        </row>
        <row r="596">
          <cell r="B596">
            <v>7519</v>
          </cell>
          <cell r="C596" t="str">
            <v>经营性应付项目的增加</v>
          </cell>
          <cell r="D596">
            <v>1</v>
          </cell>
          <cell r="E596">
            <v>0</v>
          </cell>
          <cell r="F596">
            <v>0</v>
          </cell>
          <cell r="G596" t="str">
            <v>经营性应付项目的增加（减少以“－”号填列）</v>
          </cell>
          <cell r="H596">
            <v>0</v>
          </cell>
          <cell r="I596">
            <v>7519</v>
          </cell>
          <cell r="J596">
            <v>0</v>
          </cell>
        </row>
        <row r="597">
          <cell r="B597">
            <v>7523</v>
          </cell>
          <cell r="C597" t="str">
            <v>其他将净利润调节为经营活动现金流量项目</v>
          </cell>
          <cell r="D597">
            <v>1</v>
          </cell>
          <cell r="E597">
            <v>0</v>
          </cell>
          <cell r="F597">
            <v>0</v>
          </cell>
          <cell r="G597" t="str">
            <v>其他</v>
          </cell>
          <cell r="H597">
            <v>0</v>
          </cell>
          <cell r="I597">
            <v>7523</v>
          </cell>
          <cell r="J597">
            <v>0</v>
          </cell>
        </row>
        <row r="598">
          <cell r="B598">
            <v>7525</v>
          </cell>
          <cell r="C598" t="str">
            <v>经营活动产生的现金流量净额</v>
          </cell>
          <cell r="D598">
            <v>0</v>
          </cell>
          <cell r="E598" t="str">
            <v>＝</v>
          </cell>
          <cell r="F598">
            <v>0</v>
          </cell>
          <cell r="G598" t="str">
            <v>经营活动产生的现金流量净额</v>
          </cell>
          <cell r="H598">
            <v>0</v>
          </cell>
          <cell r="I598">
            <v>7525</v>
          </cell>
          <cell r="J598">
            <v>0</v>
          </cell>
        </row>
        <row r="599">
          <cell r="B599">
            <v>7526</v>
          </cell>
          <cell r="C599" t="str">
            <v>不涉及现金收支的重大投资和筹资活动</v>
          </cell>
          <cell r="D599">
            <v>0</v>
          </cell>
          <cell r="E599" t="str">
            <v>：</v>
          </cell>
          <cell r="F599">
            <v>0</v>
          </cell>
          <cell r="G599" t="str">
            <v>2.不涉及现金收支的重大投资和筹资活动：</v>
          </cell>
          <cell r="H599">
            <v>0</v>
          </cell>
          <cell r="I599">
            <v>7526</v>
          </cell>
          <cell r="J599">
            <v>0</v>
          </cell>
        </row>
        <row r="600">
          <cell r="B600">
            <v>7527</v>
          </cell>
          <cell r="C600" t="str">
            <v>债务转为资本</v>
          </cell>
          <cell r="D600">
            <v>0</v>
          </cell>
          <cell r="E600">
            <v>0</v>
          </cell>
          <cell r="F600">
            <v>0</v>
          </cell>
          <cell r="G600" t="str">
            <v>债务转为资本</v>
          </cell>
          <cell r="H600">
            <v>0</v>
          </cell>
          <cell r="I600">
            <v>7527</v>
          </cell>
          <cell r="J600">
            <v>0</v>
          </cell>
        </row>
        <row r="601">
          <cell r="B601">
            <v>7528</v>
          </cell>
          <cell r="C601" t="str">
            <v>一年内到期的可转换公司债券</v>
          </cell>
          <cell r="D601">
            <v>0</v>
          </cell>
          <cell r="E601">
            <v>0</v>
          </cell>
          <cell r="F601">
            <v>0</v>
          </cell>
          <cell r="G601" t="str">
            <v>一年内到期的可转换公司债券</v>
          </cell>
          <cell r="H601">
            <v>0</v>
          </cell>
          <cell r="I601">
            <v>7528</v>
          </cell>
          <cell r="J601">
            <v>0</v>
          </cell>
        </row>
        <row r="602">
          <cell r="B602">
            <v>7529</v>
          </cell>
          <cell r="C602" t="str">
            <v>融资租入固定资产</v>
          </cell>
          <cell r="D602">
            <v>0</v>
          </cell>
          <cell r="E602">
            <v>0</v>
          </cell>
          <cell r="F602">
            <v>0</v>
          </cell>
          <cell r="G602" t="str">
            <v>融资租入固定资产</v>
          </cell>
          <cell r="H602">
            <v>0</v>
          </cell>
          <cell r="I602">
            <v>7529</v>
          </cell>
          <cell r="J602">
            <v>0</v>
          </cell>
        </row>
        <row r="603">
          <cell r="B603">
            <v>7533</v>
          </cell>
          <cell r="C603" t="str">
            <v>现金及现金等价物净变动情况</v>
          </cell>
          <cell r="D603">
            <v>0</v>
          </cell>
          <cell r="E603" t="str">
            <v>：</v>
          </cell>
          <cell r="F603">
            <v>0</v>
          </cell>
          <cell r="G603" t="str">
            <v>3.现金及现金等价物净变动情况：</v>
          </cell>
          <cell r="H603">
            <v>0</v>
          </cell>
          <cell r="I603">
            <v>7533</v>
          </cell>
          <cell r="J603">
            <v>0</v>
          </cell>
        </row>
        <row r="604">
          <cell r="B604">
            <v>7535</v>
          </cell>
          <cell r="C604" t="str">
            <v>现金的期末余额</v>
          </cell>
          <cell r="D604">
            <v>1</v>
          </cell>
          <cell r="E604">
            <v>0</v>
          </cell>
          <cell r="F604">
            <v>0</v>
          </cell>
          <cell r="G604" t="str">
            <v>现金的期末余额</v>
          </cell>
          <cell r="H604">
            <v>0</v>
          </cell>
          <cell r="I604">
            <v>7535</v>
          </cell>
          <cell r="J604">
            <v>0</v>
          </cell>
        </row>
        <row r="605">
          <cell r="B605">
            <v>7536</v>
          </cell>
          <cell r="C605" t="str">
            <v>减：现金的年初余额</v>
          </cell>
          <cell r="D605">
            <v>1</v>
          </cell>
          <cell r="E605">
            <v>0</v>
          </cell>
          <cell r="F605">
            <v>0</v>
          </cell>
          <cell r="G605" t="str">
            <v>减：现金的年初余额</v>
          </cell>
          <cell r="H605">
            <v>0</v>
          </cell>
          <cell r="I605">
            <v>7536</v>
          </cell>
          <cell r="J605">
            <v>0</v>
          </cell>
        </row>
        <row r="606">
          <cell r="B606">
            <v>7537</v>
          </cell>
          <cell r="C606" t="str">
            <v>加：现金等价物的期末余额</v>
          </cell>
          <cell r="D606">
            <v>1</v>
          </cell>
          <cell r="E606">
            <v>0</v>
          </cell>
          <cell r="F606">
            <v>0</v>
          </cell>
          <cell r="G606" t="str">
            <v>加：现金等价物的期末余额</v>
          </cell>
          <cell r="H606">
            <v>0</v>
          </cell>
          <cell r="I606">
            <v>7537</v>
          </cell>
          <cell r="J606">
            <v>0</v>
          </cell>
        </row>
        <row r="607">
          <cell r="B607">
            <v>7538</v>
          </cell>
          <cell r="C607" t="str">
            <v>减：现金等价物的年初余额</v>
          </cell>
          <cell r="D607">
            <v>1</v>
          </cell>
          <cell r="E607">
            <v>0</v>
          </cell>
          <cell r="F607">
            <v>0</v>
          </cell>
          <cell r="G607" t="str">
            <v>减：现金等价物的年初余额</v>
          </cell>
          <cell r="H607">
            <v>0</v>
          </cell>
          <cell r="I607">
            <v>7538</v>
          </cell>
          <cell r="J607">
            <v>0</v>
          </cell>
        </row>
        <row r="608">
          <cell r="B608">
            <v>7539</v>
          </cell>
          <cell r="C608" t="str">
            <v>现金及现金等价物净增加额</v>
          </cell>
          <cell r="D608">
            <v>1</v>
          </cell>
          <cell r="E608" t="str">
            <v>＝</v>
          </cell>
          <cell r="F608">
            <v>0</v>
          </cell>
          <cell r="G608" t="str">
            <v>现金及现金等价物净增加额</v>
          </cell>
          <cell r="H608">
            <v>0</v>
          </cell>
          <cell r="I608">
            <v>7539</v>
          </cell>
          <cell r="J608">
            <v>0</v>
          </cell>
        </row>
        <row r="609">
          <cell r="B609">
            <v>19</v>
          </cell>
          <cell r="C609" t="str">
            <v>资产负债表补充资料：资产减值准备</v>
          </cell>
          <cell r="D609">
            <v>0</v>
          </cell>
          <cell r="E609" t="str">
            <v>：</v>
          </cell>
          <cell r="F609">
            <v>0</v>
          </cell>
          <cell r="G609">
            <v>0</v>
          </cell>
          <cell r="H609">
            <v>0</v>
          </cell>
          <cell r="I609">
            <v>19</v>
          </cell>
          <cell r="J609">
            <v>0</v>
          </cell>
        </row>
        <row r="610">
          <cell r="B610">
            <v>1122.1231</v>
          </cell>
          <cell r="C610" t="str">
            <v>应收账款坏账准备</v>
          </cell>
          <cell r="D610">
            <v>-1</v>
          </cell>
          <cell r="E610">
            <v>0</v>
          </cell>
          <cell r="F610">
            <v>0</v>
          </cell>
          <cell r="G610" t="str">
            <v>应收账款坏账准备</v>
          </cell>
          <cell r="H610">
            <v>0</v>
          </cell>
          <cell r="I610">
            <v>1122.1231</v>
          </cell>
          <cell r="J610" t="str">
            <v>J</v>
          </cell>
        </row>
        <row r="611">
          <cell r="B611">
            <v>1125.1231</v>
          </cell>
          <cell r="C611" t="str">
            <v>预付款项坏账准备</v>
          </cell>
          <cell r="D611">
            <v>-1</v>
          </cell>
          <cell r="E611">
            <v>0</v>
          </cell>
          <cell r="F611">
            <v>0</v>
          </cell>
          <cell r="G611" t="str">
            <v>预付款项坏账准备</v>
          </cell>
          <cell r="H611">
            <v>0</v>
          </cell>
          <cell r="I611">
            <v>1125.1231</v>
          </cell>
          <cell r="J611" t="str">
            <v>J</v>
          </cell>
        </row>
        <row r="612">
          <cell r="B612">
            <v>1221.1231</v>
          </cell>
          <cell r="C612" t="str">
            <v>其他应收款坏账准备</v>
          </cell>
          <cell r="D612">
            <v>-1</v>
          </cell>
          <cell r="E612">
            <v>0</v>
          </cell>
          <cell r="F612">
            <v>0</v>
          </cell>
          <cell r="G612" t="str">
            <v>其他应收款坏账准备</v>
          </cell>
          <cell r="H612">
            <v>0</v>
          </cell>
          <cell r="I612">
            <v>1221.1231</v>
          </cell>
          <cell r="J612" t="str">
            <v>J</v>
          </cell>
        </row>
        <row r="613">
          <cell r="B613">
            <v>1400.1470999999999</v>
          </cell>
          <cell r="C613" t="str">
            <v>存货跌价准备</v>
          </cell>
          <cell r="D613">
            <v>-1</v>
          </cell>
          <cell r="E613">
            <v>0</v>
          </cell>
          <cell r="F613">
            <v>0</v>
          </cell>
          <cell r="G613" t="str">
            <v>存货跌价准备</v>
          </cell>
          <cell r="H613">
            <v>0</v>
          </cell>
          <cell r="I613">
            <v>1400.1470999999999</v>
          </cell>
          <cell r="J613" t="str">
            <v>J</v>
          </cell>
        </row>
        <row r="614">
          <cell r="B614">
            <v>1503.1504</v>
          </cell>
          <cell r="C614" t="str">
            <v>可供出售金融资产减值准备</v>
          </cell>
          <cell r="D614">
            <v>-1</v>
          </cell>
          <cell r="E614">
            <v>0</v>
          </cell>
          <cell r="F614">
            <v>0</v>
          </cell>
          <cell r="G614" t="str">
            <v>可供出售金融资产减值准备</v>
          </cell>
          <cell r="H614">
            <v>0</v>
          </cell>
          <cell r="I614">
            <v>1503.1504</v>
          </cell>
          <cell r="J614" t="str">
            <v>J</v>
          </cell>
        </row>
        <row r="615">
          <cell r="B615">
            <v>1501.1502</v>
          </cell>
          <cell r="C615" t="str">
            <v>持有至到期投资减值准备</v>
          </cell>
          <cell r="D615">
            <v>-1</v>
          </cell>
          <cell r="E615">
            <v>0</v>
          </cell>
          <cell r="F615">
            <v>0</v>
          </cell>
          <cell r="G615" t="str">
            <v>持有至到期投资减值准备</v>
          </cell>
          <cell r="H615">
            <v>0</v>
          </cell>
          <cell r="I615">
            <v>1501.1502</v>
          </cell>
          <cell r="J615" t="str">
            <v>J</v>
          </cell>
        </row>
        <row r="616">
          <cell r="B616">
            <v>1511.1512</v>
          </cell>
          <cell r="C616" t="str">
            <v>长期股权投资减值准备</v>
          </cell>
          <cell r="D616">
            <v>-1</v>
          </cell>
          <cell r="E616">
            <v>0</v>
          </cell>
          <cell r="F616">
            <v>0</v>
          </cell>
          <cell r="G616" t="str">
            <v>长期股权投资减值准备</v>
          </cell>
          <cell r="H616">
            <v>0</v>
          </cell>
          <cell r="I616">
            <v>1511.1512</v>
          </cell>
          <cell r="J616" t="str">
            <v>J</v>
          </cell>
        </row>
        <row r="617">
          <cell r="B617">
            <v>1521.1522</v>
          </cell>
          <cell r="C617" t="str">
            <v>投资性房地产减值准备</v>
          </cell>
          <cell r="D617">
            <v>-1</v>
          </cell>
          <cell r="E617">
            <v>0</v>
          </cell>
          <cell r="F617">
            <v>0</v>
          </cell>
          <cell r="G617" t="str">
            <v>投资性房地产减值准备</v>
          </cell>
          <cell r="H617">
            <v>0</v>
          </cell>
          <cell r="I617">
            <v>1521.1522</v>
          </cell>
          <cell r="J617" t="str">
            <v>J</v>
          </cell>
        </row>
        <row r="618">
          <cell r="B618">
            <v>1601.1603</v>
          </cell>
          <cell r="C618" t="str">
            <v>固定资产减值准备</v>
          </cell>
          <cell r="D618">
            <v>-1</v>
          </cell>
          <cell r="E618">
            <v>0</v>
          </cell>
          <cell r="F618">
            <v>0</v>
          </cell>
          <cell r="G618" t="str">
            <v>固定资产减值准备</v>
          </cell>
          <cell r="H618">
            <v>0</v>
          </cell>
          <cell r="I618">
            <v>1601.1603</v>
          </cell>
          <cell r="J618" t="str">
            <v>J</v>
          </cell>
        </row>
        <row r="619">
          <cell r="B619">
            <v>1605.1608000000001</v>
          </cell>
          <cell r="C619" t="str">
            <v>工程物资减值准备</v>
          </cell>
          <cell r="D619">
            <v>-1</v>
          </cell>
          <cell r="E619">
            <v>0</v>
          </cell>
          <cell r="F619">
            <v>0</v>
          </cell>
          <cell r="G619" t="str">
            <v>工程物资减值准备</v>
          </cell>
          <cell r="H619">
            <v>0</v>
          </cell>
          <cell r="I619">
            <v>1605.1608000000001</v>
          </cell>
          <cell r="J619" t="str">
            <v>J</v>
          </cell>
        </row>
        <row r="620">
          <cell r="B620">
            <v>1604.1606999999999</v>
          </cell>
          <cell r="C620" t="str">
            <v>在建工程减值准备</v>
          </cell>
          <cell r="D620">
            <v>-1</v>
          </cell>
          <cell r="E620">
            <v>0</v>
          </cell>
          <cell r="F620">
            <v>0</v>
          </cell>
          <cell r="G620" t="str">
            <v>在建工程减值准备</v>
          </cell>
          <cell r="H620">
            <v>0</v>
          </cell>
          <cell r="I620">
            <v>1604.1606999999999</v>
          </cell>
          <cell r="J620" t="str">
            <v>J</v>
          </cell>
        </row>
        <row r="621">
          <cell r="B621">
            <v>1621.1623999999999</v>
          </cell>
          <cell r="C621" t="str">
            <v>生产性生物资产减值准备</v>
          </cell>
          <cell r="D621">
            <v>-1</v>
          </cell>
          <cell r="E621">
            <v>0</v>
          </cell>
          <cell r="F621">
            <v>0</v>
          </cell>
          <cell r="G621" t="str">
            <v>生产性生物资产减值准备</v>
          </cell>
          <cell r="H621">
            <v>0</v>
          </cell>
          <cell r="I621">
            <v>1621.1623999999999</v>
          </cell>
          <cell r="J621" t="str">
            <v>J</v>
          </cell>
        </row>
        <row r="622">
          <cell r="B622">
            <v>1631.1632999999999</v>
          </cell>
          <cell r="C622" t="str">
            <v>油气资产减值准备</v>
          </cell>
          <cell r="D622">
            <v>-1</v>
          </cell>
          <cell r="E622">
            <v>0</v>
          </cell>
          <cell r="F622">
            <v>0</v>
          </cell>
          <cell r="G622" t="str">
            <v>油气资产减值准备</v>
          </cell>
          <cell r="H622">
            <v>0</v>
          </cell>
          <cell r="I622">
            <v>1631.1632999999999</v>
          </cell>
          <cell r="J622" t="str">
            <v>J</v>
          </cell>
        </row>
        <row r="623">
          <cell r="B623">
            <v>1701.1703</v>
          </cell>
          <cell r="C623" t="str">
            <v>无形资产减值准备</v>
          </cell>
          <cell r="D623">
            <v>-1</v>
          </cell>
          <cell r="E623">
            <v>0</v>
          </cell>
          <cell r="F623">
            <v>0</v>
          </cell>
          <cell r="G623" t="str">
            <v>无形资产减值准备</v>
          </cell>
          <cell r="H623">
            <v>0</v>
          </cell>
          <cell r="I623">
            <v>1701.1703</v>
          </cell>
          <cell r="J623" t="str">
            <v>J</v>
          </cell>
        </row>
        <row r="624">
          <cell r="B624">
            <v>1711.1712</v>
          </cell>
          <cell r="C624" t="str">
            <v>商誉减值准备</v>
          </cell>
          <cell r="D624">
            <v>-1</v>
          </cell>
          <cell r="E624">
            <v>0</v>
          </cell>
          <cell r="F624">
            <v>0</v>
          </cell>
          <cell r="G624" t="str">
            <v>商誉减值准备</v>
          </cell>
          <cell r="H624">
            <v>0</v>
          </cell>
          <cell r="I624">
            <v>1711.1712</v>
          </cell>
          <cell r="J624" t="str">
            <v>J</v>
          </cell>
        </row>
        <row r="625">
          <cell r="B625">
            <v>1991.1992</v>
          </cell>
          <cell r="C625" t="str">
            <v>其他减值准备</v>
          </cell>
          <cell r="D625">
            <v>-1</v>
          </cell>
          <cell r="E625">
            <v>0</v>
          </cell>
          <cell r="F625">
            <v>0</v>
          </cell>
          <cell r="G625" t="str">
            <v>其他</v>
          </cell>
          <cell r="H625">
            <v>0</v>
          </cell>
          <cell r="I625">
            <v>1991.1992</v>
          </cell>
          <cell r="J625">
            <v>0</v>
          </cell>
        </row>
        <row r="626">
          <cell r="B626">
            <v>1015.1001</v>
          </cell>
          <cell r="C626" t="str">
            <v>库存现金</v>
          </cell>
          <cell r="D626">
            <v>1</v>
          </cell>
          <cell r="E626">
            <v>0</v>
          </cell>
          <cell r="F626">
            <v>0</v>
          </cell>
          <cell r="G626">
            <v>0</v>
          </cell>
          <cell r="H626">
            <v>0</v>
          </cell>
          <cell r="I626">
            <v>1015.1001</v>
          </cell>
          <cell r="J626" t="str">
            <v>J</v>
          </cell>
        </row>
        <row r="627">
          <cell r="B627">
            <v>1015.1002</v>
          </cell>
          <cell r="C627" t="str">
            <v>银行存款</v>
          </cell>
          <cell r="D627">
            <v>1</v>
          </cell>
          <cell r="E627">
            <v>0</v>
          </cell>
          <cell r="F627">
            <v>0</v>
          </cell>
          <cell r="G627">
            <v>0</v>
          </cell>
          <cell r="H627">
            <v>0</v>
          </cell>
          <cell r="I627">
            <v>1015.1002</v>
          </cell>
          <cell r="J627" t="str">
            <v>J</v>
          </cell>
        </row>
        <row r="628">
          <cell r="B628">
            <v>1015.1011999999999</v>
          </cell>
          <cell r="C628" t="str">
            <v>其他货币资金</v>
          </cell>
          <cell r="D628">
            <v>1</v>
          </cell>
          <cell r="E628">
            <v>0</v>
          </cell>
          <cell r="F628">
            <v>0</v>
          </cell>
          <cell r="G628">
            <v>0</v>
          </cell>
          <cell r="H628">
            <v>0</v>
          </cell>
          <cell r="I628">
            <v>1015.1011999999999</v>
          </cell>
          <cell r="J628" t="str">
            <v>J</v>
          </cell>
        </row>
        <row r="629">
          <cell r="B629">
            <v>1400.1401000000001</v>
          </cell>
          <cell r="C629" t="str">
            <v>材料采购</v>
          </cell>
          <cell r="D629">
            <v>1</v>
          </cell>
          <cell r="E629">
            <v>0</v>
          </cell>
          <cell r="F629">
            <v>0</v>
          </cell>
          <cell r="G629">
            <v>0</v>
          </cell>
          <cell r="H629">
            <v>0</v>
          </cell>
          <cell r="I629">
            <v>1400.1401000000001</v>
          </cell>
          <cell r="J629" t="str">
            <v>J</v>
          </cell>
        </row>
        <row r="630">
          <cell r="B630">
            <v>1400.1402</v>
          </cell>
          <cell r="C630" t="str">
            <v>在途物资</v>
          </cell>
          <cell r="D630">
            <v>1</v>
          </cell>
          <cell r="E630">
            <v>0</v>
          </cell>
          <cell r="F630">
            <v>0</v>
          </cell>
          <cell r="G630">
            <v>0</v>
          </cell>
          <cell r="H630">
            <v>0</v>
          </cell>
          <cell r="I630">
            <v>1400.1402</v>
          </cell>
          <cell r="J630" t="str">
            <v>J</v>
          </cell>
        </row>
        <row r="631">
          <cell r="B631">
            <v>1400.1403</v>
          </cell>
          <cell r="C631" t="str">
            <v>原材料</v>
          </cell>
          <cell r="D631">
            <v>1</v>
          </cell>
          <cell r="E631">
            <v>0</v>
          </cell>
          <cell r="F631">
            <v>0</v>
          </cell>
          <cell r="G631">
            <v>0</v>
          </cell>
          <cell r="H631">
            <v>0</v>
          </cell>
          <cell r="I631">
            <v>1400.1403</v>
          </cell>
          <cell r="J631" t="str">
            <v>J</v>
          </cell>
        </row>
        <row r="632">
          <cell r="B632">
            <v>1400.1404</v>
          </cell>
          <cell r="C632" t="str">
            <v>材料成本差异</v>
          </cell>
          <cell r="D632">
            <v>-1</v>
          </cell>
          <cell r="E632">
            <v>0</v>
          </cell>
          <cell r="F632">
            <v>0</v>
          </cell>
          <cell r="G632">
            <v>0</v>
          </cell>
          <cell r="H632">
            <v>0</v>
          </cell>
          <cell r="I632">
            <v>1400.1404</v>
          </cell>
          <cell r="J632" t="str">
            <v>J</v>
          </cell>
        </row>
        <row r="633">
          <cell r="B633">
            <v>1400.1405</v>
          </cell>
          <cell r="C633" t="str">
            <v>库存商品</v>
          </cell>
          <cell r="D633">
            <v>1</v>
          </cell>
          <cell r="E633">
            <v>0</v>
          </cell>
          <cell r="F633">
            <v>0</v>
          </cell>
          <cell r="G633">
            <v>0</v>
          </cell>
          <cell r="H633">
            <v>0</v>
          </cell>
          <cell r="I633">
            <v>1400.1405</v>
          </cell>
          <cell r="J633" t="str">
            <v>J</v>
          </cell>
        </row>
        <row r="634">
          <cell r="B634">
            <v>1400.1405999999999</v>
          </cell>
          <cell r="C634" t="str">
            <v>发出商品</v>
          </cell>
          <cell r="D634">
            <v>1</v>
          </cell>
          <cell r="E634">
            <v>0</v>
          </cell>
          <cell r="F634">
            <v>0</v>
          </cell>
          <cell r="G634">
            <v>0</v>
          </cell>
          <cell r="H634">
            <v>0</v>
          </cell>
          <cell r="I634">
            <v>1400.1405999999999</v>
          </cell>
          <cell r="J634" t="str">
            <v>J</v>
          </cell>
        </row>
        <row r="635">
          <cell r="B635">
            <v>1400.1406999999999</v>
          </cell>
          <cell r="C635" t="str">
            <v>商品进销差价</v>
          </cell>
          <cell r="D635">
            <v>-1</v>
          </cell>
          <cell r="E635">
            <v>0</v>
          </cell>
          <cell r="F635">
            <v>0</v>
          </cell>
          <cell r="G635">
            <v>0</v>
          </cell>
          <cell r="H635">
            <v>0</v>
          </cell>
          <cell r="I635">
            <v>1400.1406999999999</v>
          </cell>
          <cell r="J635" t="str">
            <v>J</v>
          </cell>
        </row>
        <row r="636">
          <cell r="B636">
            <v>1400.1407999999999</v>
          </cell>
          <cell r="C636" t="str">
            <v>委托加工物资</v>
          </cell>
          <cell r="D636">
            <v>1</v>
          </cell>
          <cell r="E636">
            <v>0</v>
          </cell>
          <cell r="F636">
            <v>0</v>
          </cell>
          <cell r="G636">
            <v>0</v>
          </cell>
          <cell r="H636">
            <v>0</v>
          </cell>
          <cell r="I636">
            <v>1400.1407999999999</v>
          </cell>
          <cell r="J636" t="str">
            <v>J</v>
          </cell>
        </row>
        <row r="637">
          <cell r="B637">
            <v>1400.1411000000001</v>
          </cell>
          <cell r="C637" t="str">
            <v>周转材料</v>
          </cell>
          <cell r="D637">
            <v>1</v>
          </cell>
          <cell r="E637">
            <v>0</v>
          </cell>
          <cell r="F637">
            <v>0</v>
          </cell>
          <cell r="G637">
            <v>0</v>
          </cell>
          <cell r="H637">
            <v>0</v>
          </cell>
          <cell r="I637">
            <v>1400.1411000000001</v>
          </cell>
          <cell r="J637" t="str">
            <v>J</v>
          </cell>
        </row>
        <row r="638">
          <cell r="B638">
            <v>1400.5001</v>
          </cell>
          <cell r="C638" t="str">
            <v>生产成本</v>
          </cell>
          <cell r="D638">
            <v>1</v>
          </cell>
          <cell r="E638">
            <v>0</v>
          </cell>
          <cell r="F638">
            <v>0</v>
          </cell>
          <cell r="G638">
            <v>0</v>
          </cell>
          <cell r="H638">
            <v>0</v>
          </cell>
          <cell r="I638">
            <v>1400.5001</v>
          </cell>
          <cell r="J638" t="str">
            <v>J</v>
          </cell>
        </row>
        <row r="639">
          <cell r="B639">
            <v>1400.5101</v>
          </cell>
          <cell r="C639" t="str">
            <v>制造费用</v>
          </cell>
          <cell r="D639">
            <v>1</v>
          </cell>
          <cell r="E639">
            <v>0</v>
          </cell>
          <cell r="F639">
            <v>0</v>
          </cell>
          <cell r="G639">
            <v>0</v>
          </cell>
          <cell r="H639">
            <v>0</v>
          </cell>
          <cell r="I639">
            <v>1400.5101</v>
          </cell>
          <cell r="J639" t="str">
            <v>J</v>
          </cell>
        </row>
        <row r="640">
          <cell r="B640">
            <v>1400.5400999999999</v>
          </cell>
          <cell r="C640" t="str">
            <v>工程施工</v>
          </cell>
          <cell r="D640">
            <v>1</v>
          </cell>
          <cell r="E640">
            <v>0</v>
          </cell>
          <cell r="F640">
            <v>0</v>
          </cell>
          <cell r="G640">
            <v>0</v>
          </cell>
          <cell r="H640">
            <v>0</v>
          </cell>
          <cell r="I640">
            <v>1400.5400999999999</v>
          </cell>
          <cell r="J640" t="str">
            <v>J</v>
          </cell>
        </row>
        <row r="641">
          <cell r="B641">
            <v>1400.1421</v>
          </cell>
          <cell r="C641" t="str">
            <v>消耗性生物资产</v>
          </cell>
          <cell r="D641">
            <v>1</v>
          </cell>
          <cell r="E641">
            <v>0</v>
          </cell>
          <cell r="F641">
            <v>0</v>
          </cell>
          <cell r="G641">
            <v>0</v>
          </cell>
          <cell r="H641">
            <v>0</v>
          </cell>
          <cell r="I641">
            <v>1400.1421</v>
          </cell>
          <cell r="J641" t="str">
            <v>J</v>
          </cell>
        </row>
        <row r="642">
          <cell r="B642">
            <v>1621.1622</v>
          </cell>
          <cell r="C642" t="str">
            <v>生产性生物资产累计折旧</v>
          </cell>
          <cell r="D642">
            <v>-1</v>
          </cell>
          <cell r="E642">
            <v>0</v>
          </cell>
          <cell r="F642">
            <v>0</v>
          </cell>
          <cell r="G642">
            <v>0</v>
          </cell>
          <cell r="H642">
            <v>0</v>
          </cell>
          <cell r="I642">
            <v>1621.1622</v>
          </cell>
          <cell r="J642" t="str">
            <v>J</v>
          </cell>
        </row>
        <row r="643">
          <cell r="B643">
            <v>1601.1602</v>
          </cell>
          <cell r="C643" t="str">
            <v>累计折旧</v>
          </cell>
          <cell r="D643">
            <v>-1</v>
          </cell>
          <cell r="E643">
            <v>0</v>
          </cell>
          <cell r="F643">
            <v>0</v>
          </cell>
          <cell r="G643">
            <v>0</v>
          </cell>
          <cell r="H643">
            <v>0</v>
          </cell>
          <cell r="I643">
            <v>1601.1602</v>
          </cell>
          <cell r="J643" t="str">
            <v>J</v>
          </cell>
        </row>
        <row r="644">
          <cell r="B644">
            <v>1701.1702</v>
          </cell>
          <cell r="C644" t="str">
            <v>累计摊销</v>
          </cell>
          <cell r="D644">
            <v>-1</v>
          </cell>
          <cell r="E644">
            <v>0</v>
          </cell>
          <cell r="F644">
            <v>0</v>
          </cell>
          <cell r="G644">
            <v>0</v>
          </cell>
          <cell r="H644">
            <v>0</v>
          </cell>
          <cell r="I644">
            <v>1701.1702</v>
          </cell>
          <cell r="J644" t="str">
            <v>J</v>
          </cell>
        </row>
        <row r="645">
          <cell r="B645">
            <v>1996.1623</v>
          </cell>
          <cell r="C645" t="str">
            <v>公益性生物资产</v>
          </cell>
          <cell r="D645">
            <v>1</v>
          </cell>
          <cell r="E645">
            <v>0</v>
          </cell>
          <cell r="F645">
            <v>0</v>
          </cell>
          <cell r="G645">
            <v>0</v>
          </cell>
          <cell r="H645">
            <v>0</v>
          </cell>
          <cell r="I645">
            <v>1996.1623</v>
          </cell>
          <cell r="J645" t="str">
            <v>J</v>
          </cell>
        </row>
        <row r="646">
          <cell r="B646">
            <v>1631.1632</v>
          </cell>
          <cell r="C646" t="str">
            <v>累计折耗</v>
          </cell>
          <cell r="D646">
            <v>-1</v>
          </cell>
          <cell r="E646">
            <v>0</v>
          </cell>
          <cell r="F646">
            <v>0</v>
          </cell>
          <cell r="G646">
            <v>0</v>
          </cell>
          <cell r="H646">
            <v>0</v>
          </cell>
          <cell r="I646">
            <v>1631.1632</v>
          </cell>
          <cell r="J646" t="str">
            <v>J</v>
          </cell>
        </row>
        <row r="647">
          <cell r="B647">
            <v>1535</v>
          </cell>
          <cell r="C647" t="str">
            <v>对合营企业投资和对联营企业投资</v>
          </cell>
          <cell r="D647">
            <v>0</v>
          </cell>
          <cell r="E647">
            <v>0</v>
          </cell>
          <cell r="F647">
            <v>0</v>
          </cell>
          <cell r="G647">
            <v>0</v>
          </cell>
          <cell r="H647">
            <v>0</v>
          </cell>
          <cell r="I647">
            <v>1535</v>
          </cell>
          <cell r="J647">
            <v>0</v>
          </cell>
        </row>
        <row r="648">
          <cell r="B648">
            <v>1705</v>
          </cell>
          <cell r="C648" t="str">
            <v>无形资产与开发支出</v>
          </cell>
          <cell r="D648">
            <v>0</v>
          </cell>
          <cell r="E648">
            <v>0</v>
          </cell>
          <cell r="F648">
            <v>0</v>
          </cell>
          <cell r="G648">
            <v>0</v>
          </cell>
          <cell r="H648">
            <v>0</v>
          </cell>
          <cell r="I648">
            <v>1705</v>
          </cell>
          <cell r="J648">
            <v>0</v>
          </cell>
        </row>
        <row r="649">
          <cell r="B649">
            <v>1829</v>
          </cell>
          <cell r="C649" t="str">
            <v>递延所得税资产与递延所得税负债</v>
          </cell>
          <cell r="D649">
            <v>0</v>
          </cell>
          <cell r="E649">
            <v>0</v>
          </cell>
          <cell r="F649">
            <v>0</v>
          </cell>
          <cell r="G649">
            <v>0</v>
          </cell>
          <cell r="H649">
            <v>0</v>
          </cell>
          <cell r="I649">
            <v>1829</v>
          </cell>
          <cell r="J649">
            <v>0</v>
          </cell>
        </row>
        <row r="650">
          <cell r="B650">
            <v>1991</v>
          </cell>
          <cell r="C650" t="str">
            <v>资产减值准备</v>
          </cell>
          <cell r="D650">
            <v>0</v>
          </cell>
          <cell r="E650">
            <v>0</v>
          </cell>
          <cell r="F650">
            <v>0</v>
          </cell>
          <cell r="G650" t="str">
            <v>资产减值准备小计</v>
          </cell>
          <cell r="H650">
            <v>0</v>
          </cell>
          <cell r="I650">
            <v>1991</v>
          </cell>
          <cell r="J650">
            <v>0</v>
          </cell>
        </row>
        <row r="651">
          <cell r="B651">
            <v>1997</v>
          </cell>
          <cell r="C651" t="str">
            <v xml:space="preserve">所有权或使用权受到限制的资产 </v>
          </cell>
          <cell r="D651">
            <v>0</v>
          </cell>
          <cell r="E651">
            <v>0</v>
          </cell>
          <cell r="F651">
            <v>0</v>
          </cell>
          <cell r="G651">
            <v>0</v>
          </cell>
          <cell r="H651">
            <v>0</v>
          </cell>
          <cell r="I651">
            <v>1997</v>
          </cell>
          <cell r="J651">
            <v>0</v>
          </cell>
        </row>
        <row r="652">
          <cell r="B652">
            <v>1314</v>
          </cell>
          <cell r="C652" t="str">
            <v>持有待售资产和持有待售负债</v>
          </cell>
          <cell r="D652">
            <v>0</v>
          </cell>
          <cell r="E652">
            <v>0</v>
          </cell>
          <cell r="F652">
            <v>0</v>
          </cell>
          <cell r="G652">
            <v>0</v>
          </cell>
          <cell r="H652">
            <v>0</v>
          </cell>
          <cell r="I652">
            <v>1314</v>
          </cell>
          <cell r="J652">
            <v>0</v>
          </cell>
        </row>
        <row r="653">
          <cell r="B653">
            <v>1704</v>
          </cell>
          <cell r="C653" t="str">
            <v>外币货币性项目</v>
          </cell>
          <cell r="D653">
            <v>0</v>
          </cell>
          <cell r="E653">
            <v>0</v>
          </cell>
          <cell r="F653">
            <v>0</v>
          </cell>
          <cell r="G653">
            <v>0</v>
          </cell>
          <cell r="H653">
            <v>0</v>
          </cell>
          <cell r="I653">
            <v>1704</v>
          </cell>
          <cell r="J653">
            <v>0</v>
          </cell>
        </row>
        <row r="654">
          <cell r="B654">
            <v>9314</v>
          </cell>
          <cell r="C654" t="str">
            <v>所有者权益变动表项目注释</v>
          </cell>
          <cell r="D654">
            <v>0</v>
          </cell>
          <cell r="E654">
            <v>0</v>
          </cell>
          <cell r="F654">
            <v>0</v>
          </cell>
          <cell r="G654">
            <v>0</v>
          </cell>
          <cell r="H654">
            <v>0</v>
          </cell>
          <cell r="I654">
            <v>9314</v>
          </cell>
          <cell r="J654">
            <v>0</v>
          </cell>
        </row>
        <row r="655">
          <cell r="B655">
            <v>6064</v>
          </cell>
          <cell r="C655" t="str">
            <v>营业收入、营业成本</v>
          </cell>
          <cell r="D655">
            <v>0</v>
          </cell>
          <cell r="E655">
            <v>0</v>
          </cell>
          <cell r="F655">
            <v>0</v>
          </cell>
          <cell r="G655">
            <v>0</v>
          </cell>
          <cell r="H655">
            <v>0</v>
          </cell>
          <cell r="I655">
            <v>6064</v>
          </cell>
          <cell r="J655">
            <v>0</v>
          </cell>
        </row>
        <row r="656">
          <cell r="B656">
            <v>6095</v>
          </cell>
          <cell r="C656" t="str">
            <v>合同项目收入</v>
          </cell>
          <cell r="D656">
            <v>0</v>
          </cell>
          <cell r="E656">
            <v>0</v>
          </cell>
          <cell r="F656">
            <v>0</v>
          </cell>
          <cell r="G656">
            <v>0</v>
          </cell>
          <cell r="H656">
            <v>0</v>
          </cell>
          <cell r="I656">
            <v>6095</v>
          </cell>
          <cell r="J656">
            <v>0</v>
          </cell>
        </row>
        <row r="657">
          <cell r="B657">
            <v>6820</v>
          </cell>
          <cell r="C657" t="str">
            <v>基本每股收益和稀释每股收益</v>
          </cell>
          <cell r="D657">
            <v>0</v>
          </cell>
          <cell r="E657" t="str">
            <v>：</v>
          </cell>
          <cell r="F657">
            <v>0</v>
          </cell>
          <cell r="G657">
            <v>0</v>
          </cell>
          <cell r="H657">
            <v>0</v>
          </cell>
          <cell r="I657">
            <v>6820</v>
          </cell>
          <cell r="J657">
            <v>0</v>
          </cell>
        </row>
        <row r="658">
          <cell r="B658">
            <v>7400</v>
          </cell>
          <cell r="C658" t="str">
            <v>现金流量表项目注释</v>
          </cell>
          <cell r="D658">
            <v>0</v>
          </cell>
          <cell r="E658">
            <v>0</v>
          </cell>
          <cell r="F658">
            <v>0</v>
          </cell>
          <cell r="G658">
            <v>0</v>
          </cell>
          <cell r="H658">
            <v>0</v>
          </cell>
          <cell r="I658">
            <v>7400</v>
          </cell>
          <cell r="J658">
            <v>0</v>
          </cell>
        </row>
        <row r="659">
          <cell r="B659">
            <v>7500</v>
          </cell>
          <cell r="C659" t="str">
            <v>现金流量表补充资料</v>
          </cell>
          <cell r="D659">
            <v>0</v>
          </cell>
          <cell r="E659" t="str">
            <v>：</v>
          </cell>
          <cell r="F659">
            <v>0</v>
          </cell>
          <cell r="G659">
            <v>0</v>
          </cell>
          <cell r="H659">
            <v>0</v>
          </cell>
          <cell r="I659">
            <v>7500</v>
          </cell>
          <cell r="J659">
            <v>0</v>
          </cell>
        </row>
        <row r="660">
          <cell r="B660">
            <v>9010</v>
          </cell>
          <cell r="C660" t="str">
            <v>分部报告</v>
          </cell>
          <cell r="D660">
            <v>0</v>
          </cell>
          <cell r="E660">
            <v>0</v>
          </cell>
          <cell r="F660">
            <v>0</v>
          </cell>
          <cell r="G660">
            <v>0</v>
          </cell>
          <cell r="H660">
            <v>0</v>
          </cell>
          <cell r="I660">
            <v>9010</v>
          </cell>
          <cell r="J660">
            <v>0</v>
          </cell>
        </row>
        <row r="661">
          <cell r="B661">
            <v>9020</v>
          </cell>
          <cell r="C661" t="str">
            <v>资产证券化业务的会计处理</v>
          </cell>
          <cell r="D661">
            <v>0</v>
          </cell>
          <cell r="E661">
            <v>0</v>
          </cell>
          <cell r="F661">
            <v>0</v>
          </cell>
          <cell r="G661">
            <v>0</v>
          </cell>
          <cell r="H661">
            <v>0</v>
          </cell>
          <cell r="I661">
            <v>9020</v>
          </cell>
          <cell r="J661">
            <v>0</v>
          </cell>
        </row>
        <row r="662">
          <cell r="B662">
            <v>9100</v>
          </cell>
          <cell r="C662" t="str">
            <v>关联方关系及其交易</v>
          </cell>
          <cell r="D662">
            <v>0</v>
          </cell>
          <cell r="E662">
            <v>0</v>
          </cell>
          <cell r="F662">
            <v>0</v>
          </cell>
          <cell r="G662">
            <v>0</v>
          </cell>
          <cell r="H662">
            <v>0</v>
          </cell>
          <cell r="I662">
            <v>9100</v>
          </cell>
          <cell r="J662">
            <v>0</v>
          </cell>
        </row>
        <row r="663">
          <cell r="B663">
            <v>9101</v>
          </cell>
          <cell r="C663" t="str">
            <v>关联方关系</v>
          </cell>
          <cell r="D663">
            <v>0</v>
          </cell>
          <cell r="E663">
            <v>0</v>
          </cell>
          <cell r="F663">
            <v>0</v>
          </cell>
          <cell r="G663">
            <v>0</v>
          </cell>
          <cell r="H663">
            <v>0</v>
          </cell>
          <cell r="I663">
            <v>9101</v>
          </cell>
          <cell r="J663">
            <v>0</v>
          </cell>
        </row>
        <row r="664">
          <cell r="B664">
            <v>9120</v>
          </cell>
          <cell r="C664" t="str">
            <v>关联方交易</v>
          </cell>
          <cell r="D664">
            <v>0</v>
          </cell>
          <cell r="E664">
            <v>0</v>
          </cell>
          <cell r="F664">
            <v>0</v>
          </cell>
          <cell r="G664">
            <v>0</v>
          </cell>
          <cell r="H664">
            <v>0</v>
          </cell>
          <cell r="I664">
            <v>9120</v>
          </cell>
          <cell r="J664">
            <v>0</v>
          </cell>
        </row>
        <row r="665">
          <cell r="B665">
            <v>9130</v>
          </cell>
          <cell r="C665" t="str">
            <v>关联方往来款项余额</v>
          </cell>
          <cell r="D665">
            <v>0</v>
          </cell>
          <cell r="E665">
            <v>0</v>
          </cell>
          <cell r="F665">
            <v>0</v>
          </cell>
          <cell r="G665">
            <v>0</v>
          </cell>
          <cell r="H665">
            <v>0</v>
          </cell>
          <cell r="I665">
            <v>9130</v>
          </cell>
          <cell r="J665">
            <v>0</v>
          </cell>
        </row>
        <row r="666">
          <cell r="B666">
            <v>9210</v>
          </cell>
          <cell r="C666" t="str">
            <v>股份支付</v>
          </cell>
          <cell r="D666">
            <v>0</v>
          </cell>
          <cell r="E666">
            <v>0</v>
          </cell>
          <cell r="F666">
            <v>0</v>
          </cell>
          <cell r="G666">
            <v>0</v>
          </cell>
          <cell r="H666">
            <v>0</v>
          </cell>
          <cell r="I666">
            <v>9210</v>
          </cell>
          <cell r="J666">
            <v>0</v>
          </cell>
        </row>
        <row r="667">
          <cell r="B667">
            <v>9220</v>
          </cell>
          <cell r="C667" t="str">
            <v>或有事项</v>
          </cell>
          <cell r="D667">
            <v>0</v>
          </cell>
          <cell r="E667">
            <v>0</v>
          </cell>
          <cell r="F667">
            <v>0</v>
          </cell>
          <cell r="G667">
            <v>0</v>
          </cell>
          <cell r="H667">
            <v>0</v>
          </cell>
          <cell r="I667">
            <v>9220</v>
          </cell>
          <cell r="J667">
            <v>0</v>
          </cell>
        </row>
        <row r="668">
          <cell r="B668">
            <v>9250</v>
          </cell>
          <cell r="C668" t="str">
            <v>重大承诺事项</v>
          </cell>
          <cell r="D668">
            <v>0</v>
          </cell>
          <cell r="E668">
            <v>0</v>
          </cell>
          <cell r="F668">
            <v>0</v>
          </cell>
          <cell r="G668">
            <v>0</v>
          </cell>
          <cell r="H668">
            <v>0</v>
          </cell>
          <cell r="I668">
            <v>9250</v>
          </cell>
          <cell r="J668">
            <v>0</v>
          </cell>
        </row>
        <row r="669">
          <cell r="B669">
            <v>9260</v>
          </cell>
          <cell r="C669" t="str">
            <v>资产负债表日后事项</v>
          </cell>
          <cell r="D669">
            <v>0</v>
          </cell>
          <cell r="E669">
            <v>0</v>
          </cell>
          <cell r="F669">
            <v>0</v>
          </cell>
          <cell r="G669">
            <v>0</v>
          </cell>
          <cell r="H669">
            <v>0</v>
          </cell>
          <cell r="I669">
            <v>9260</v>
          </cell>
          <cell r="J669">
            <v>0</v>
          </cell>
        </row>
        <row r="670">
          <cell r="B670">
            <v>9300</v>
          </cell>
          <cell r="C670" t="str">
            <v>其他重要事项</v>
          </cell>
          <cell r="D670">
            <v>0</v>
          </cell>
          <cell r="E670">
            <v>0</v>
          </cell>
          <cell r="F670">
            <v>0</v>
          </cell>
          <cell r="G670">
            <v>0</v>
          </cell>
          <cell r="H670">
            <v>0</v>
          </cell>
          <cell r="I670">
            <v>9300</v>
          </cell>
          <cell r="J670">
            <v>0</v>
          </cell>
        </row>
        <row r="671">
          <cell r="B671">
            <v>9301</v>
          </cell>
          <cell r="C671" t="str">
            <v>非货币性资产交换</v>
          </cell>
          <cell r="D671">
            <v>0</v>
          </cell>
          <cell r="E671">
            <v>0</v>
          </cell>
          <cell r="F671">
            <v>0</v>
          </cell>
          <cell r="G671">
            <v>0</v>
          </cell>
          <cell r="H671">
            <v>0</v>
          </cell>
          <cell r="I671">
            <v>9301</v>
          </cell>
          <cell r="J671">
            <v>0</v>
          </cell>
        </row>
        <row r="672">
          <cell r="B672">
            <v>9302</v>
          </cell>
          <cell r="C672" t="str">
            <v>债务重组</v>
          </cell>
          <cell r="D672">
            <v>0</v>
          </cell>
          <cell r="E672">
            <v>0</v>
          </cell>
          <cell r="F672">
            <v>0</v>
          </cell>
          <cell r="G672">
            <v>0</v>
          </cell>
          <cell r="H672">
            <v>0</v>
          </cell>
          <cell r="I672">
            <v>9302</v>
          </cell>
          <cell r="J672">
            <v>0</v>
          </cell>
        </row>
        <row r="673">
          <cell r="B673">
            <v>9303</v>
          </cell>
          <cell r="C673" t="str">
            <v>企业合并</v>
          </cell>
          <cell r="D673">
            <v>0</v>
          </cell>
          <cell r="E673">
            <v>0</v>
          </cell>
          <cell r="F673">
            <v>0</v>
          </cell>
          <cell r="G673">
            <v>0</v>
          </cell>
          <cell r="H673">
            <v>0</v>
          </cell>
          <cell r="I673">
            <v>9303</v>
          </cell>
          <cell r="J673">
            <v>0</v>
          </cell>
        </row>
        <row r="674">
          <cell r="B674">
            <v>9305</v>
          </cell>
          <cell r="C674" t="str">
            <v>其他资产置换、转让及出售</v>
          </cell>
          <cell r="D674">
            <v>0</v>
          </cell>
          <cell r="E674">
            <v>0</v>
          </cell>
          <cell r="F674">
            <v>0</v>
          </cell>
          <cell r="G674">
            <v>0</v>
          </cell>
          <cell r="H674">
            <v>0</v>
          </cell>
          <cell r="I674">
            <v>9305</v>
          </cell>
          <cell r="J674">
            <v>0</v>
          </cell>
        </row>
        <row r="675">
          <cell r="B675">
            <v>9310</v>
          </cell>
          <cell r="C675" t="str">
            <v>租赁</v>
          </cell>
          <cell r="D675">
            <v>0</v>
          </cell>
          <cell r="E675">
            <v>0</v>
          </cell>
          <cell r="F675">
            <v>0</v>
          </cell>
          <cell r="G675">
            <v>0</v>
          </cell>
          <cell r="H675">
            <v>0</v>
          </cell>
          <cell r="I675">
            <v>9310</v>
          </cell>
          <cell r="J675">
            <v>0</v>
          </cell>
        </row>
        <row r="676">
          <cell r="B676">
            <v>9321</v>
          </cell>
          <cell r="C676" t="str">
            <v>期末发行在外的、可转换为股份的金融工具</v>
          </cell>
          <cell r="D676">
            <v>0</v>
          </cell>
          <cell r="E676">
            <v>0</v>
          </cell>
          <cell r="F676">
            <v>0</v>
          </cell>
          <cell r="G676">
            <v>0</v>
          </cell>
          <cell r="H676">
            <v>0</v>
          </cell>
          <cell r="I676">
            <v>9321</v>
          </cell>
          <cell r="J676">
            <v>0</v>
          </cell>
        </row>
        <row r="677">
          <cell r="B677">
            <v>9331</v>
          </cell>
          <cell r="C677" t="str">
            <v>公允价值</v>
          </cell>
          <cell r="D677">
            <v>0</v>
          </cell>
          <cell r="E677">
            <v>0</v>
          </cell>
          <cell r="F677">
            <v>0</v>
          </cell>
          <cell r="G677">
            <v>0</v>
          </cell>
          <cell r="H677">
            <v>0</v>
          </cell>
          <cell r="I677">
            <v>9331</v>
          </cell>
          <cell r="J677">
            <v>0</v>
          </cell>
        </row>
        <row r="678">
          <cell r="B678">
            <v>9336</v>
          </cell>
          <cell r="C678" t="str">
            <v>外币金融资产和外币金融负债</v>
          </cell>
          <cell r="D678">
            <v>0</v>
          </cell>
          <cell r="E678">
            <v>0</v>
          </cell>
          <cell r="F678">
            <v>0</v>
          </cell>
          <cell r="G678">
            <v>0</v>
          </cell>
          <cell r="H678">
            <v>0</v>
          </cell>
          <cell r="I678">
            <v>9336</v>
          </cell>
          <cell r="J678">
            <v>0</v>
          </cell>
        </row>
        <row r="679">
          <cell r="B679">
            <v>9351</v>
          </cell>
          <cell r="C679" t="str">
            <v>年金计划的主要内容及重大变化</v>
          </cell>
          <cell r="D679">
            <v>0</v>
          </cell>
          <cell r="E679">
            <v>0</v>
          </cell>
          <cell r="F679">
            <v>0</v>
          </cell>
          <cell r="G679">
            <v>0</v>
          </cell>
          <cell r="H679">
            <v>0</v>
          </cell>
          <cell r="I679">
            <v>9351</v>
          </cell>
          <cell r="J679">
            <v>0</v>
          </cell>
        </row>
        <row r="680">
          <cell r="B680">
            <v>9361</v>
          </cell>
          <cell r="C680" t="str">
            <v>借款费用</v>
          </cell>
          <cell r="D680">
            <v>0</v>
          </cell>
          <cell r="E680">
            <v>0</v>
          </cell>
          <cell r="F680">
            <v>0</v>
          </cell>
          <cell r="G680">
            <v>0</v>
          </cell>
          <cell r="H680">
            <v>0</v>
          </cell>
          <cell r="I680">
            <v>9361</v>
          </cell>
          <cell r="J680">
            <v>0</v>
          </cell>
        </row>
        <row r="681">
          <cell r="B681">
            <v>9363</v>
          </cell>
          <cell r="C681" t="str">
            <v>外币折算</v>
          </cell>
          <cell r="D681">
            <v>0</v>
          </cell>
          <cell r="E681">
            <v>0</v>
          </cell>
          <cell r="F681">
            <v>0</v>
          </cell>
          <cell r="G681">
            <v>0</v>
          </cell>
          <cell r="H681">
            <v>0</v>
          </cell>
          <cell r="I681">
            <v>9363</v>
          </cell>
          <cell r="J681">
            <v>0</v>
          </cell>
        </row>
        <row r="682">
          <cell r="B682">
            <v>9367</v>
          </cell>
          <cell r="C682" t="str">
            <v>终止经营</v>
          </cell>
          <cell r="D682">
            <v>0</v>
          </cell>
          <cell r="E682">
            <v>0</v>
          </cell>
          <cell r="F682">
            <v>0</v>
          </cell>
          <cell r="G682">
            <v>0</v>
          </cell>
          <cell r="H682">
            <v>0</v>
          </cell>
          <cell r="I682">
            <v>9367</v>
          </cell>
          <cell r="J682">
            <v>0</v>
          </cell>
        </row>
        <row r="683">
          <cell r="B683">
            <v>9390</v>
          </cell>
          <cell r="C683" t="str">
            <v>其他重要事项_其他</v>
          </cell>
          <cell r="D683">
            <v>0</v>
          </cell>
          <cell r="E683">
            <v>0</v>
          </cell>
          <cell r="F683">
            <v>0</v>
          </cell>
          <cell r="G683">
            <v>0</v>
          </cell>
          <cell r="H683">
            <v>0</v>
          </cell>
          <cell r="I683">
            <v>9390</v>
          </cell>
          <cell r="J683">
            <v>0</v>
          </cell>
        </row>
        <row r="684">
          <cell r="B684">
            <v>9509</v>
          </cell>
          <cell r="C684" t="str">
            <v>母公司反向购买下以公允价值入账的资产、负债情况</v>
          </cell>
          <cell r="D684">
            <v>0</v>
          </cell>
          <cell r="E684">
            <v>0</v>
          </cell>
          <cell r="F684">
            <v>0</v>
          </cell>
          <cell r="G684">
            <v>0</v>
          </cell>
          <cell r="H684">
            <v>0</v>
          </cell>
          <cell r="I684">
            <v>9509</v>
          </cell>
          <cell r="J684">
            <v>0</v>
          </cell>
        </row>
        <row r="685">
          <cell r="B685">
            <v>9601</v>
          </cell>
          <cell r="C685" t="str">
            <v>当期非经常性损益明细表</v>
          </cell>
          <cell r="D685">
            <v>0</v>
          </cell>
          <cell r="E685">
            <v>0</v>
          </cell>
          <cell r="F685">
            <v>0</v>
          </cell>
          <cell r="G685">
            <v>0</v>
          </cell>
          <cell r="H685">
            <v>0</v>
          </cell>
          <cell r="I685">
            <v>9601</v>
          </cell>
          <cell r="J685">
            <v>0</v>
          </cell>
        </row>
        <row r="686">
          <cell r="B686">
            <v>9611</v>
          </cell>
          <cell r="C686" t="str">
            <v>境内外会计准则下会计数据差异</v>
          </cell>
          <cell r="D686">
            <v>0</v>
          </cell>
          <cell r="E686">
            <v>0</v>
          </cell>
          <cell r="F686">
            <v>0</v>
          </cell>
          <cell r="G686">
            <v>0</v>
          </cell>
          <cell r="H686">
            <v>0</v>
          </cell>
          <cell r="I686">
            <v>9611</v>
          </cell>
          <cell r="J686">
            <v>0</v>
          </cell>
        </row>
        <row r="687">
          <cell r="B687">
            <v>9621</v>
          </cell>
          <cell r="C687" t="str">
            <v>净资产收益率和每股收益</v>
          </cell>
          <cell r="D687">
            <v>0</v>
          </cell>
          <cell r="E687">
            <v>0</v>
          </cell>
          <cell r="F687">
            <v>0</v>
          </cell>
          <cell r="G687">
            <v>0</v>
          </cell>
          <cell r="H687">
            <v>0</v>
          </cell>
          <cell r="I687">
            <v>9621</v>
          </cell>
          <cell r="J687">
            <v>0</v>
          </cell>
        </row>
        <row r="688">
          <cell r="B688">
            <v>8121</v>
          </cell>
          <cell r="C688" t="str">
            <v>实收资本_净利润增加权益</v>
          </cell>
          <cell r="D688">
            <v>-1</v>
          </cell>
          <cell r="E688" t="str">
            <v>N</v>
          </cell>
          <cell r="F688">
            <v>0</v>
          </cell>
          <cell r="G688" t="str">
            <v>（一）净利润</v>
          </cell>
          <cell r="H688">
            <v>0</v>
          </cell>
          <cell r="I688">
            <v>8121</v>
          </cell>
          <cell r="J688" t="str">
            <v>J</v>
          </cell>
        </row>
        <row r="689">
          <cell r="B689">
            <v>8130</v>
          </cell>
          <cell r="C689" t="str">
            <v>实收资本_其他综合收益增加权益</v>
          </cell>
          <cell r="D689">
            <v>-1</v>
          </cell>
          <cell r="E689" t="str">
            <v>N</v>
          </cell>
          <cell r="F689">
            <v>0</v>
          </cell>
          <cell r="G689" t="str">
            <v>（二）其他综合收益</v>
          </cell>
          <cell r="H689">
            <v>0</v>
          </cell>
          <cell r="I689">
            <v>8130</v>
          </cell>
          <cell r="J689" t="str">
            <v>J</v>
          </cell>
        </row>
        <row r="690">
          <cell r="B690">
            <v>8152</v>
          </cell>
          <cell r="C690" t="str">
            <v>实收资本_股份支付计入所有者权益的金额</v>
          </cell>
          <cell r="D690">
            <v>-1</v>
          </cell>
          <cell r="E690" t="str">
            <v>N</v>
          </cell>
          <cell r="F690">
            <v>0</v>
          </cell>
          <cell r="G690" t="str">
            <v>股份支付计入所有者权益的金额</v>
          </cell>
          <cell r="H690">
            <v>0</v>
          </cell>
          <cell r="I690">
            <v>8152</v>
          </cell>
          <cell r="J690" t="str">
            <v>J</v>
          </cell>
        </row>
        <row r="691">
          <cell r="B691">
            <v>8161</v>
          </cell>
          <cell r="C691" t="str">
            <v>实收资本_提取盈余公积影响权益</v>
          </cell>
          <cell r="D691">
            <v>-1</v>
          </cell>
          <cell r="E691" t="str">
            <v>N</v>
          </cell>
          <cell r="F691">
            <v>0</v>
          </cell>
          <cell r="G691" t="str">
            <v>提取盈余公积</v>
          </cell>
          <cell r="H691">
            <v>0</v>
          </cell>
          <cell r="I691">
            <v>8161</v>
          </cell>
          <cell r="J691" t="str">
            <v>J</v>
          </cell>
        </row>
        <row r="692">
          <cell r="B692">
            <v>8162</v>
          </cell>
          <cell r="C692" t="str">
            <v>实收资本_提取一般风险准备影响权益</v>
          </cell>
          <cell r="D692">
            <v>-1</v>
          </cell>
          <cell r="E692" t="str">
            <v>N</v>
          </cell>
          <cell r="F692">
            <v>0</v>
          </cell>
          <cell r="G692" t="str">
            <v>提取一般风险准备</v>
          </cell>
          <cell r="H692">
            <v>0</v>
          </cell>
          <cell r="I692">
            <v>8162</v>
          </cell>
          <cell r="J692" t="str">
            <v>J</v>
          </cell>
        </row>
        <row r="693">
          <cell r="B693">
            <v>8163</v>
          </cell>
          <cell r="C693" t="str">
            <v>实收资本_对所有者的分配影响权益</v>
          </cell>
          <cell r="D693">
            <v>-1</v>
          </cell>
          <cell r="E693" t="str">
            <v>N</v>
          </cell>
          <cell r="F693">
            <v>0</v>
          </cell>
          <cell r="G693" t="str">
            <v>对所有者（或股东）的分配</v>
          </cell>
          <cell r="H693">
            <v>0</v>
          </cell>
          <cell r="I693">
            <v>8163</v>
          </cell>
          <cell r="J693" t="str">
            <v>J</v>
          </cell>
        </row>
        <row r="694">
          <cell r="B694">
            <v>8166</v>
          </cell>
          <cell r="C694" t="str">
            <v>实收资本_其他利润分配影响权益</v>
          </cell>
          <cell r="D694">
            <v>-1</v>
          </cell>
          <cell r="E694" t="str">
            <v>N</v>
          </cell>
          <cell r="F694">
            <v>0</v>
          </cell>
          <cell r="G694" t="str">
            <v>其他</v>
          </cell>
          <cell r="H694">
            <v>0</v>
          </cell>
          <cell r="I694">
            <v>8166</v>
          </cell>
          <cell r="J694" t="str">
            <v>J</v>
          </cell>
        </row>
        <row r="695">
          <cell r="B695">
            <v>8173</v>
          </cell>
          <cell r="C695" t="str">
            <v>实收资本_盈余公积弥补亏损影响权益</v>
          </cell>
          <cell r="D695">
            <v>-1</v>
          </cell>
          <cell r="E695" t="str">
            <v>N</v>
          </cell>
          <cell r="F695">
            <v>0</v>
          </cell>
          <cell r="G695" t="str">
            <v>盈余公积弥补亏损</v>
          </cell>
          <cell r="H695">
            <v>0</v>
          </cell>
          <cell r="I695">
            <v>8173</v>
          </cell>
          <cell r="J695" t="str">
            <v>J</v>
          </cell>
        </row>
        <row r="696">
          <cell r="B696">
            <v>8181</v>
          </cell>
          <cell r="C696" t="str">
            <v>实收资本_专项储备本期提取</v>
          </cell>
          <cell r="D696">
            <v>-1</v>
          </cell>
          <cell r="E696" t="str">
            <v>N</v>
          </cell>
          <cell r="F696">
            <v>0</v>
          </cell>
          <cell r="G696" t="str">
            <v>本期提取</v>
          </cell>
          <cell r="H696">
            <v>0</v>
          </cell>
          <cell r="I696">
            <v>8181</v>
          </cell>
          <cell r="J696" t="str">
            <v>J</v>
          </cell>
        </row>
        <row r="697">
          <cell r="B697">
            <v>8182</v>
          </cell>
          <cell r="C697" t="str">
            <v>实收资本_专项储备本期使用</v>
          </cell>
          <cell r="D697">
            <v>-1</v>
          </cell>
          <cell r="E697" t="str">
            <v>N</v>
          </cell>
          <cell r="F697">
            <v>0</v>
          </cell>
          <cell r="G697" t="str">
            <v>本期使用</v>
          </cell>
          <cell r="H697">
            <v>0</v>
          </cell>
          <cell r="I697">
            <v>8182</v>
          </cell>
          <cell r="J697" t="str">
            <v>J</v>
          </cell>
        </row>
        <row r="698">
          <cell r="B698">
            <v>8221</v>
          </cell>
          <cell r="C698" t="str">
            <v>资本公积_净利润增加权益</v>
          </cell>
          <cell r="D698">
            <v>-1</v>
          </cell>
          <cell r="E698" t="str">
            <v>N</v>
          </cell>
          <cell r="F698">
            <v>0</v>
          </cell>
          <cell r="G698" t="str">
            <v>（一）净利润</v>
          </cell>
          <cell r="H698">
            <v>0</v>
          </cell>
          <cell r="I698">
            <v>8221</v>
          </cell>
          <cell r="J698" t="str">
            <v>J</v>
          </cell>
        </row>
        <row r="699">
          <cell r="B699">
            <v>8261</v>
          </cell>
          <cell r="C699" t="str">
            <v>资本公积_提取盈余公积影响权益</v>
          </cell>
          <cell r="D699">
            <v>-1</v>
          </cell>
          <cell r="E699" t="str">
            <v>N</v>
          </cell>
          <cell r="F699">
            <v>0</v>
          </cell>
          <cell r="G699" t="str">
            <v>提取盈余公积</v>
          </cell>
          <cell r="H699">
            <v>0</v>
          </cell>
          <cell r="I699">
            <v>8261</v>
          </cell>
          <cell r="J699" t="str">
            <v>J</v>
          </cell>
        </row>
        <row r="700">
          <cell r="B700">
            <v>8262</v>
          </cell>
          <cell r="C700" t="str">
            <v>资本公积_提取一般风险准备影响权益</v>
          </cell>
          <cell r="D700">
            <v>-1</v>
          </cell>
          <cell r="E700" t="str">
            <v>N</v>
          </cell>
          <cell r="F700">
            <v>0</v>
          </cell>
          <cell r="G700" t="str">
            <v>提取一般风险准备</v>
          </cell>
          <cell r="H700">
            <v>0</v>
          </cell>
          <cell r="I700">
            <v>8262</v>
          </cell>
          <cell r="J700" t="str">
            <v>J</v>
          </cell>
        </row>
        <row r="701">
          <cell r="B701">
            <v>8263</v>
          </cell>
          <cell r="C701" t="str">
            <v>资本公积_对所有者的分配影响权益</v>
          </cell>
          <cell r="D701">
            <v>-1</v>
          </cell>
          <cell r="E701" t="str">
            <v>N</v>
          </cell>
          <cell r="F701">
            <v>0</v>
          </cell>
          <cell r="G701" t="str">
            <v>对所有者（或股东）的分配</v>
          </cell>
          <cell r="H701">
            <v>0</v>
          </cell>
          <cell r="I701">
            <v>8263</v>
          </cell>
          <cell r="J701" t="str">
            <v>J</v>
          </cell>
        </row>
        <row r="702">
          <cell r="B702">
            <v>8272</v>
          </cell>
          <cell r="C702" t="str">
            <v>资本公积_盈余公积转增资本影响权益</v>
          </cell>
          <cell r="D702">
            <v>-1</v>
          </cell>
          <cell r="E702" t="str">
            <v>N</v>
          </cell>
          <cell r="F702">
            <v>0</v>
          </cell>
          <cell r="G702" t="str">
            <v>盈余公积转增资本（或股本）</v>
          </cell>
          <cell r="H702">
            <v>0</v>
          </cell>
          <cell r="I702">
            <v>8272</v>
          </cell>
          <cell r="J702" t="str">
            <v>J</v>
          </cell>
        </row>
        <row r="703">
          <cell r="B703">
            <v>8273</v>
          </cell>
          <cell r="C703" t="str">
            <v>资本公积_盈余公积弥补亏损影响权益</v>
          </cell>
          <cell r="D703">
            <v>-1</v>
          </cell>
          <cell r="E703" t="str">
            <v>N</v>
          </cell>
          <cell r="F703">
            <v>0</v>
          </cell>
          <cell r="G703" t="str">
            <v>盈余公积弥补亏损</v>
          </cell>
          <cell r="H703">
            <v>0</v>
          </cell>
          <cell r="I703">
            <v>8273</v>
          </cell>
          <cell r="J703" t="str">
            <v>J</v>
          </cell>
        </row>
        <row r="704">
          <cell r="B704">
            <v>8281</v>
          </cell>
          <cell r="C704" t="str">
            <v>资本公积_专项储备本期提取</v>
          </cell>
          <cell r="D704">
            <v>-1</v>
          </cell>
          <cell r="E704" t="str">
            <v>N</v>
          </cell>
          <cell r="F704">
            <v>0</v>
          </cell>
          <cell r="G704" t="str">
            <v>本期提取</v>
          </cell>
          <cell r="H704">
            <v>0</v>
          </cell>
          <cell r="I704">
            <v>8281</v>
          </cell>
          <cell r="J704" t="str">
            <v>J</v>
          </cell>
        </row>
        <row r="705">
          <cell r="B705">
            <v>8282</v>
          </cell>
          <cell r="C705" t="str">
            <v>资本公积_专项储备本期使用</v>
          </cell>
          <cell r="D705">
            <v>-1</v>
          </cell>
          <cell r="E705" t="str">
            <v>N</v>
          </cell>
          <cell r="F705">
            <v>0</v>
          </cell>
          <cell r="G705" t="str">
            <v>本期使用</v>
          </cell>
          <cell r="H705">
            <v>0</v>
          </cell>
          <cell r="I705">
            <v>8282</v>
          </cell>
          <cell r="J705" t="str">
            <v>J</v>
          </cell>
        </row>
        <row r="706">
          <cell r="B706">
            <v>8321</v>
          </cell>
          <cell r="C706" t="str">
            <v>库存股_净利润增加权益</v>
          </cell>
          <cell r="D706">
            <v>1</v>
          </cell>
          <cell r="E706" t="str">
            <v>N</v>
          </cell>
          <cell r="F706">
            <v>0</v>
          </cell>
          <cell r="G706" t="str">
            <v>（一）净利润</v>
          </cell>
          <cell r="H706">
            <v>0</v>
          </cell>
          <cell r="I706">
            <v>8321</v>
          </cell>
          <cell r="J706" t="str">
            <v>J</v>
          </cell>
        </row>
        <row r="707">
          <cell r="B707">
            <v>8330</v>
          </cell>
          <cell r="C707" t="str">
            <v>库存股_其他综合收益增加权益</v>
          </cell>
          <cell r="D707">
            <v>1</v>
          </cell>
          <cell r="E707" t="str">
            <v>N</v>
          </cell>
          <cell r="F707">
            <v>0</v>
          </cell>
          <cell r="G707" t="str">
            <v>（二）其他综合收益</v>
          </cell>
          <cell r="H707">
            <v>0</v>
          </cell>
          <cell r="I707">
            <v>8330</v>
          </cell>
          <cell r="J707" t="str">
            <v>J</v>
          </cell>
        </row>
        <row r="708">
          <cell r="B708">
            <v>8361</v>
          </cell>
          <cell r="C708" t="str">
            <v>库存股_提取盈余公积影响权益</v>
          </cell>
          <cell r="D708">
            <v>1</v>
          </cell>
          <cell r="E708" t="str">
            <v>N</v>
          </cell>
          <cell r="F708">
            <v>0</v>
          </cell>
          <cell r="G708" t="str">
            <v>提取盈余公积</v>
          </cell>
          <cell r="H708">
            <v>0</v>
          </cell>
          <cell r="I708">
            <v>8361</v>
          </cell>
          <cell r="J708" t="str">
            <v>J</v>
          </cell>
        </row>
        <row r="709">
          <cell r="B709">
            <v>8362</v>
          </cell>
          <cell r="C709" t="str">
            <v>库存股_提取一般风险准备影响权益</v>
          </cell>
          <cell r="D709">
            <v>1</v>
          </cell>
          <cell r="E709" t="str">
            <v>N</v>
          </cell>
          <cell r="F709">
            <v>0</v>
          </cell>
          <cell r="G709" t="str">
            <v>提取一般风险准备</v>
          </cell>
          <cell r="H709">
            <v>0</v>
          </cell>
          <cell r="I709">
            <v>8362</v>
          </cell>
          <cell r="J709" t="str">
            <v>J</v>
          </cell>
        </row>
        <row r="710">
          <cell r="B710">
            <v>8371</v>
          </cell>
          <cell r="C710" t="str">
            <v>库存股_资本公积转增资本影响权益</v>
          </cell>
          <cell r="D710">
            <v>1</v>
          </cell>
          <cell r="E710" t="str">
            <v>N</v>
          </cell>
          <cell r="F710">
            <v>0</v>
          </cell>
          <cell r="G710" t="str">
            <v>资本公积转增资本（或股本）</v>
          </cell>
          <cell r="H710">
            <v>0</v>
          </cell>
          <cell r="I710">
            <v>8371</v>
          </cell>
          <cell r="J710" t="str">
            <v>J</v>
          </cell>
        </row>
        <row r="711">
          <cell r="B711">
            <v>8372</v>
          </cell>
          <cell r="C711" t="str">
            <v>库存股_盈余公积转增资本影响权益</v>
          </cell>
          <cell r="D711">
            <v>1</v>
          </cell>
          <cell r="E711" t="str">
            <v>N</v>
          </cell>
          <cell r="F711">
            <v>0</v>
          </cell>
          <cell r="G711" t="str">
            <v>盈余公积转增资本（或股本）</v>
          </cell>
          <cell r="H711">
            <v>0</v>
          </cell>
          <cell r="I711">
            <v>8372</v>
          </cell>
          <cell r="J711" t="str">
            <v>J</v>
          </cell>
        </row>
        <row r="712">
          <cell r="B712">
            <v>8373</v>
          </cell>
          <cell r="C712" t="str">
            <v>库存股_盈余公积弥补亏损影响权益</v>
          </cell>
          <cell r="D712">
            <v>1</v>
          </cell>
          <cell r="E712" t="str">
            <v>N</v>
          </cell>
          <cell r="F712">
            <v>0</v>
          </cell>
          <cell r="G712" t="str">
            <v>盈余公积弥补亏损</v>
          </cell>
          <cell r="H712">
            <v>0</v>
          </cell>
          <cell r="I712">
            <v>8373</v>
          </cell>
          <cell r="J712" t="str">
            <v>J</v>
          </cell>
        </row>
        <row r="713">
          <cell r="B713">
            <v>8381</v>
          </cell>
          <cell r="C713" t="str">
            <v>库存股_专项储备本期提取</v>
          </cell>
          <cell r="D713">
            <v>1</v>
          </cell>
          <cell r="E713" t="str">
            <v>N</v>
          </cell>
          <cell r="F713">
            <v>0</v>
          </cell>
          <cell r="G713" t="str">
            <v>本期提取</v>
          </cell>
          <cell r="H713">
            <v>0</v>
          </cell>
          <cell r="I713">
            <v>8381</v>
          </cell>
          <cell r="J713" t="str">
            <v>J</v>
          </cell>
        </row>
        <row r="714">
          <cell r="B714">
            <v>8382</v>
          </cell>
          <cell r="C714" t="str">
            <v>库存股_专项储备本期使用</v>
          </cell>
          <cell r="D714">
            <v>1</v>
          </cell>
          <cell r="E714" t="str">
            <v>N</v>
          </cell>
          <cell r="F714">
            <v>0</v>
          </cell>
          <cell r="G714" t="str">
            <v>本期使用</v>
          </cell>
          <cell r="H714">
            <v>0</v>
          </cell>
          <cell r="I714">
            <v>8382</v>
          </cell>
          <cell r="J714" t="str">
            <v>J</v>
          </cell>
        </row>
        <row r="715">
          <cell r="B715">
            <v>8421</v>
          </cell>
          <cell r="C715" t="str">
            <v>专项储备_净利润增加权益</v>
          </cell>
          <cell r="D715">
            <v>-1</v>
          </cell>
          <cell r="E715" t="str">
            <v>N</v>
          </cell>
          <cell r="F715">
            <v>0</v>
          </cell>
          <cell r="G715" t="str">
            <v>（一）净利润</v>
          </cell>
          <cell r="H715">
            <v>0</v>
          </cell>
          <cell r="I715">
            <v>8421</v>
          </cell>
          <cell r="J715" t="str">
            <v>J</v>
          </cell>
        </row>
        <row r="716">
          <cell r="B716">
            <v>8430</v>
          </cell>
          <cell r="C716" t="str">
            <v>专项储备_其他综合收益增加权益</v>
          </cell>
          <cell r="D716">
            <v>-1</v>
          </cell>
          <cell r="E716" t="str">
            <v>N</v>
          </cell>
          <cell r="F716">
            <v>0</v>
          </cell>
          <cell r="G716" t="str">
            <v>（二）其他综合收益</v>
          </cell>
          <cell r="H716">
            <v>0</v>
          </cell>
          <cell r="I716">
            <v>8430</v>
          </cell>
          <cell r="J716" t="str">
            <v>J</v>
          </cell>
        </row>
        <row r="717">
          <cell r="B717">
            <v>8451</v>
          </cell>
          <cell r="C717" t="str">
            <v>专项储备_所有者投入资本增加权益</v>
          </cell>
          <cell r="D717">
            <v>-1</v>
          </cell>
          <cell r="E717" t="str">
            <v>N</v>
          </cell>
          <cell r="F717">
            <v>0</v>
          </cell>
          <cell r="G717" t="str">
            <v>所有者投入资本</v>
          </cell>
          <cell r="H717">
            <v>0</v>
          </cell>
          <cell r="I717">
            <v>8451</v>
          </cell>
          <cell r="J717" t="str">
            <v>J</v>
          </cell>
        </row>
        <row r="718">
          <cell r="B718">
            <v>8452</v>
          </cell>
          <cell r="C718" t="str">
            <v>专项储备_股份支付计入所有者权益的金额</v>
          </cell>
          <cell r="D718">
            <v>-1</v>
          </cell>
          <cell r="E718" t="str">
            <v>N</v>
          </cell>
          <cell r="F718">
            <v>0</v>
          </cell>
          <cell r="G718" t="str">
            <v>股份支付计入所有者权益的金额</v>
          </cell>
          <cell r="H718">
            <v>0</v>
          </cell>
          <cell r="I718">
            <v>8452</v>
          </cell>
          <cell r="J718" t="str">
            <v>J</v>
          </cell>
        </row>
        <row r="719">
          <cell r="B719">
            <v>8456</v>
          </cell>
          <cell r="C719" t="str">
            <v>专项储备_所有者其他投入和减少资本</v>
          </cell>
          <cell r="D719">
            <v>-1</v>
          </cell>
          <cell r="E719" t="str">
            <v>N</v>
          </cell>
          <cell r="F719">
            <v>0</v>
          </cell>
          <cell r="G719" t="str">
            <v>其他</v>
          </cell>
          <cell r="H719">
            <v>0</v>
          </cell>
          <cell r="I719">
            <v>8456</v>
          </cell>
          <cell r="J719" t="str">
            <v>J</v>
          </cell>
        </row>
        <row r="720">
          <cell r="B720">
            <v>8461</v>
          </cell>
          <cell r="C720" t="str">
            <v>专项储备_提取盈余公积影响权益</v>
          </cell>
          <cell r="D720">
            <v>-1</v>
          </cell>
          <cell r="E720" t="str">
            <v>N</v>
          </cell>
          <cell r="F720">
            <v>0</v>
          </cell>
          <cell r="G720" t="str">
            <v>提取盈余公积</v>
          </cell>
          <cell r="H720">
            <v>0</v>
          </cell>
          <cell r="I720">
            <v>8461</v>
          </cell>
          <cell r="J720" t="str">
            <v>J</v>
          </cell>
        </row>
        <row r="721">
          <cell r="B721">
            <v>8462</v>
          </cell>
          <cell r="C721" t="str">
            <v>专项储备_提取一般风险准备影响权益</v>
          </cell>
          <cell r="D721">
            <v>-1</v>
          </cell>
          <cell r="E721" t="str">
            <v>N</v>
          </cell>
          <cell r="F721">
            <v>0</v>
          </cell>
          <cell r="G721" t="str">
            <v>提取一般风险准备</v>
          </cell>
          <cell r="H721">
            <v>0</v>
          </cell>
          <cell r="I721">
            <v>8462</v>
          </cell>
          <cell r="J721" t="str">
            <v>J</v>
          </cell>
        </row>
        <row r="722">
          <cell r="B722">
            <v>8463</v>
          </cell>
          <cell r="C722" t="str">
            <v>专项储备_对所有者的分配影响权益</v>
          </cell>
          <cell r="D722">
            <v>-1</v>
          </cell>
          <cell r="E722" t="str">
            <v>N</v>
          </cell>
          <cell r="F722">
            <v>0</v>
          </cell>
          <cell r="G722" t="str">
            <v>对所有者（或股东）的分配</v>
          </cell>
          <cell r="H722">
            <v>0</v>
          </cell>
          <cell r="I722">
            <v>8463</v>
          </cell>
          <cell r="J722" t="str">
            <v>J</v>
          </cell>
        </row>
        <row r="723">
          <cell r="B723">
            <v>8466</v>
          </cell>
          <cell r="C723" t="str">
            <v>专项储备_其他利润分配影响权益</v>
          </cell>
          <cell r="D723">
            <v>-1</v>
          </cell>
          <cell r="E723" t="str">
            <v>N</v>
          </cell>
          <cell r="F723">
            <v>0</v>
          </cell>
          <cell r="G723" t="str">
            <v>其他</v>
          </cell>
          <cell r="H723">
            <v>0</v>
          </cell>
          <cell r="I723">
            <v>8466</v>
          </cell>
          <cell r="J723" t="str">
            <v>J</v>
          </cell>
        </row>
        <row r="724">
          <cell r="B724">
            <v>8471</v>
          </cell>
          <cell r="C724" t="str">
            <v>专项储备_资本公积转增资本影响权益</v>
          </cell>
          <cell r="D724">
            <v>-1</v>
          </cell>
          <cell r="E724" t="str">
            <v>N</v>
          </cell>
          <cell r="F724">
            <v>0</v>
          </cell>
          <cell r="G724" t="str">
            <v>资本公积转增资本（或股本）</v>
          </cell>
          <cell r="H724">
            <v>0</v>
          </cell>
          <cell r="I724">
            <v>8471</v>
          </cell>
          <cell r="J724" t="str">
            <v>J</v>
          </cell>
        </row>
        <row r="725">
          <cell r="B725">
            <v>8472</v>
          </cell>
          <cell r="C725" t="str">
            <v>专项储备_盈余公积转增资本影响权益</v>
          </cell>
          <cell r="D725">
            <v>-1</v>
          </cell>
          <cell r="E725" t="str">
            <v>N</v>
          </cell>
          <cell r="F725">
            <v>0</v>
          </cell>
          <cell r="G725" t="str">
            <v>盈余公积转增资本（或股本）</v>
          </cell>
          <cell r="H725">
            <v>0</v>
          </cell>
          <cell r="I725">
            <v>8472</v>
          </cell>
          <cell r="J725" t="str">
            <v>J</v>
          </cell>
        </row>
        <row r="726">
          <cell r="B726">
            <v>8473</v>
          </cell>
          <cell r="C726" t="str">
            <v>专项储备_盈余公积弥补亏损影响权益</v>
          </cell>
          <cell r="D726">
            <v>-1</v>
          </cell>
          <cell r="E726" t="str">
            <v>N</v>
          </cell>
          <cell r="F726">
            <v>0</v>
          </cell>
          <cell r="G726" t="str">
            <v>盈余公积弥补亏损</v>
          </cell>
          <cell r="H726">
            <v>0</v>
          </cell>
          <cell r="I726">
            <v>8473</v>
          </cell>
          <cell r="J726" t="str">
            <v>J</v>
          </cell>
        </row>
        <row r="727">
          <cell r="B727">
            <v>8521</v>
          </cell>
          <cell r="C727" t="str">
            <v>盈余公积_净利润增加权益</v>
          </cell>
          <cell r="D727">
            <v>-1</v>
          </cell>
          <cell r="E727" t="str">
            <v>N</v>
          </cell>
          <cell r="F727">
            <v>0</v>
          </cell>
          <cell r="G727" t="str">
            <v>（一）净利润</v>
          </cell>
          <cell r="H727">
            <v>0</v>
          </cell>
          <cell r="I727">
            <v>8521</v>
          </cell>
          <cell r="J727" t="str">
            <v>J</v>
          </cell>
        </row>
        <row r="728">
          <cell r="B728">
            <v>8530</v>
          </cell>
          <cell r="C728" t="str">
            <v>盈余公积_其他综合收益增加权益</v>
          </cell>
          <cell r="D728">
            <v>-1</v>
          </cell>
          <cell r="E728" t="str">
            <v>N</v>
          </cell>
          <cell r="F728">
            <v>0</v>
          </cell>
          <cell r="G728" t="str">
            <v>（二）其他综合收益</v>
          </cell>
          <cell r="H728">
            <v>0</v>
          </cell>
          <cell r="I728">
            <v>8530</v>
          </cell>
          <cell r="J728" t="str">
            <v>J</v>
          </cell>
        </row>
        <row r="729">
          <cell r="B729">
            <v>8551</v>
          </cell>
          <cell r="C729" t="str">
            <v>盈余公积_所有者投入资本增加权益</v>
          </cell>
          <cell r="D729">
            <v>-1</v>
          </cell>
          <cell r="E729" t="str">
            <v>N</v>
          </cell>
          <cell r="F729">
            <v>0</v>
          </cell>
          <cell r="G729" t="str">
            <v>所有者投入资本</v>
          </cell>
          <cell r="H729">
            <v>0</v>
          </cell>
          <cell r="I729">
            <v>8551</v>
          </cell>
          <cell r="J729" t="str">
            <v>J</v>
          </cell>
        </row>
        <row r="730">
          <cell r="B730">
            <v>8552</v>
          </cell>
          <cell r="C730" t="str">
            <v>盈余公积_股份支付计入所有者权益的金额</v>
          </cell>
          <cell r="D730">
            <v>-1</v>
          </cell>
          <cell r="E730" t="str">
            <v>N</v>
          </cell>
          <cell r="F730">
            <v>0</v>
          </cell>
          <cell r="G730" t="str">
            <v>股份支付计入所有者权益的金额</v>
          </cell>
          <cell r="H730">
            <v>0</v>
          </cell>
          <cell r="I730">
            <v>8552</v>
          </cell>
          <cell r="J730" t="str">
            <v>J</v>
          </cell>
        </row>
        <row r="731">
          <cell r="B731">
            <v>8562</v>
          </cell>
          <cell r="C731" t="str">
            <v>盈余公积_提取一般风险准备影响权益</v>
          </cell>
          <cell r="D731">
            <v>-1</v>
          </cell>
          <cell r="E731" t="str">
            <v>N</v>
          </cell>
          <cell r="F731">
            <v>0</v>
          </cell>
          <cell r="G731" t="str">
            <v>提取一般风险准备</v>
          </cell>
          <cell r="H731">
            <v>0</v>
          </cell>
          <cell r="I731">
            <v>8562</v>
          </cell>
          <cell r="J731" t="str">
            <v>J</v>
          </cell>
        </row>
        <row r="732">
          <cell r="B732">
            <v>8571</v>
          </cell>
          <cell r="C732" t="str">
            <v>盈余公积_资本公积转增资本影响权益</v>
          </cell>
          <cell r="D732">
            <v>-1</v>
          </cell>
          <cell r="E732" t="str">
            <v>N</v>
          </cell>
          <cell r="F732">
            <v>0</v>
          </cell>
          <cell r="G732" t="str">
            <v>资本公积转增资本（或股本）</v>
          </cell>
          <cell r="H732">
            <v>0</v>
          </cell>
          <cell r="I732">
            <v>8571</v>
          </cell>
          <cell r="J732" t="str">
            <v>J</v>
          </cell>
        </row>
        <row r="733">
          <cell r="B733">
            <v>8581</v>
          </cell>
          <cell r="C733" t="str">
            <v>盈余公积_专项储备本期提取</v>
          </cell>
          <cell r="D733">
            <v>-1</v>
          </cell>
          <cell r="E733" t="str">
            <v>N</v>
          </cell>
          <cell r="F733">
            <v>0</v>
          </cell>
          <cell r="G733" t="str">
            <v>本期提取</v>
          </cell>
          <cell r="H733">
            <v>0</v>
          </cell>
          <cell r="I733">
            <v>8581</v>
          </cell>
          <cell r="J733" t="str">
            <v>J</v>
          </cell>
        </row>
        <row r="734">
          <cell r="B734">
            <v>8582</v>
          </cell>
          <cell r="C734" t="str">
            <v>盈余公积_专项储备本期使用</v>
          </cell>
          <cell r="D734">
            <v>-1</v>
          </cell>
          <cell r="E734" t="str">
            <v>N</v>
          </cell>
          <cell r="F734">
            <v>0</v>
          </cell>
          <cell r="G734" t="str">
            <v>本期使用</v>
          </cell>
          <cell r="H734">
            <v>0</v>
          </cell>
          <cell r="I734">
            <v>8582</v>
          </cell>
          <cell r="J734" t="str">
            <v>J</v>
          </cell>
        </row>
        <row r="735">
          <cell r="B735">
            <v>8621</v>
          </cell>
          <cell r="C735" t="str">
            <v>一般风险准备_净利润增加权益</v>
          </cell>
          <cell r="D735">
            <v>-1</v>
          </cell>
          <cell r="E735" t="str">
            <v>N</v>
          </cell>
          <cell r="F735">
            <v>0</v>
          </cell>
          <cell r="G735" t="str">
            <v>（一）净利润</v>
          </cell>
          <cell r="H735">
            <v>0</v>
          </cell>
          <cell r="I735">
            <v>8621</v>
          </cell>
          <cell r="J735" t="str">
            <v>J</v>
          </cell>
        </row>
        <row r="736">
          <cell r="B736">
            <v>8630</v>
          </cell>
          <cell r="C736" t="str">
            <v>一般风险准备_其他综合收益增加权益</v>
          </cell>
          <cell r="D736">
            <v>-1</v>
          </cell>
          <cell r="E736" t="str">
            <v>N</v>
          </cell>
          <cell r="F736">
            <v>0</v>
          </cell>
          <cell r="G736" t="str">
            <v>（二）其他综合收益</v>
          </cell>
          <cell r="H736">
            <v>0</v>
          </cell>
          <cell r="I736">
            <v>8630</v>
          </cell>
          <cell r="J736" t="str">
            <v>J</v>
          </cell>
        </row>
        <row r="737">
          <cell r="B737">
            <v>8651</v>
          </cell>
          <cell r="C737" t="str">
            <v>一般风险准备_所有者投入资本增加权益</v>
          </cell>
          <cell r="D737">
            <v>-1</v>
          </cell>
          <cell r="E737" t="str">
            <v>N</v>
          </cell>
          <cell r="F737">
            <v>0</v>
          </cell>
          <cell r="G737" t="str">
            <v>所有者投入资本</v>
          </cell>
          <cell r="H737">
            <v>0</v>
          </cell>
          <cell r="I737">
            <v>8651</v>
          </cell>
          <cell r="J737" t="str">
            <v>J</v>
          </cell>
        </row>
        <row r="738">
          <cell r="B738">
            <v>8652</v>
          </cell>
          <cell r="C738" t="str">
            <v>一般风险准备_股份支付计入所有者权益的金额</v>
          </cell>
          <cell r="D738">
            <v>-1</v>
          </cell>
          <cell r="E738" t="str">
            <v>N</v>
          </cell>
          <cell r="F738">
            <v>0</v>
          </cell>
          <cell r="G738" t="str">
            <v>股份支付计入所有者权益的金额</v>
          </cell>
          <cell r="H738">
            <v>0</v>
          </cell>
          <cell r="I738">
            <v>8652</v>
          </cell>
          <cell r="J738" t="str">
            <v>J</v>
          </cell>
        </row>
        <row r="739">
          <cell r="B739">
            <v>8661</v>
          </cell>
          <cell r="C739" t="str">
            <v>一般风险准备_提取盈余公积影响权益</v>
          </cell>
          <cell r="D739">
            <v>-1</v>
          </cell>
          <cell r="E739" t="str">
            <v>N</v>
          </cell>
          <cell r="F739">
            <v>0</v>
          </cell>
          <cell r="G739" t="str">
            <v>提取盈余公积</v>
          </cell>
          <cell r="H739">
            <v>0</v>
          </cell>
          <cell r="I739">
            <v>8661</v>
          </cell>
          <cell r="J739" t="str">
            <v>J</v>
          </cell>
        </row>
        <row r="740">
          <cell r="B740">
            <v>8663</v>
          </cell>
          <cell r="C740" t="str">
            <v>一般风险准备_对所有者的分配影响权益</v>
          </cell>
          <cell r="D740">
            <v>-1</v>
          </cell>
          <cell r="E740" t="str">
            <v>N</v>
          </cell>
          <cell r="F740">
            <v>0</v>
          </cell>
          <cell r="G740" t="str">
            <v>对所有者（或股东）的分配</v>
          </cell>
          <cell r="H740">
            <v>0</v>
          </cell>
          <cell r="I740">
            <v>8663</v>
          </cell>
          <cell r="J740" t="str">
            <v>J</v>
          </cell>
        </row>
        <row r="741">
          <cell r="B741">
            <v>8671</v>
          </cell>
          <cell r="C741" t="str">
            <v>一般风险准备_资本公积转增资本影响权益</v>
          </cell>
          <cell r="D741">
            <v>-1</v>
          </cell>
          <cell r="E741" t="str">
            <v>N</v>
          </cell>
          <cell r="F741">
            <v>0</v>
          </cell>
          <cell r="G741" t="str">
            <v>资本公积转增资本（或股本）</v>
          </cell>
          <cell r="H741">
            <v>0</v>
          </cell>
          <cell r="I741">
            <v>8671</v>
          </cell>
          <cell r="J741" t="str">
            <v>J</v>
          </cell>
        </row>
        <row r="742">
          <cell r="B742">
            <v>8672</v>
          </cell>
          <cell r="C742" t="str">
            <v>一般风险准备_盈余公积转增资本影响权益</v>
          </cell>
          <cell r="D742">
            <v>-1</v>
          </cell>
          <cell r="E742" t="str">
            <v>N</v>
          </cell>
          <cell r="F742">
            <v>0</v>
          </cell>
          <cell r="G742" t="str">
            <v>盈余公积转增资本（或股本）</v>
          </cell>
          <cell r="H742">
            <v>0</v>
          </cell>
          <cell r="I742">
            <v>8672</v>
          </cell>
          <cell r="J742" t="str">
            <v>J</v>
          </cell>
        </row>
        <row r="743">
          <cell r="B743">
            <v>8673</v>
          </cell>
          <cell r="C743" t="str">
            <v>一般风险准备_盈余公积弥补亏损影响权益</v>
          </cell>
          <cell r="D743">
            <v>-1</v>
          </cell>
          <cell r="E743" t="str">
            <v>N</v>
          </cell>
          <cell r="F743">
            <v>0</v>
          </cell>
          <cell r="G743" t="str">
            <v>盈余公积弥补亏损</v>
          </cell>
          <cell r="H743">
            <v>0</v>
          </cell>
          <cell r="I743">
            <v>8673</v>
          </cell>
          <cell r="J743" t="str">
            <v>J</v>
          </cell>
        </row>
        <row r="744">
          <cell r="B744">
            <v>8681</v>
          </cell>
          <cell r="C744" t="str">
            <v>一般风险准备_专项储备本期提取</v>
          </cell>
          <cell r="D744">
            <v>-1</v>
          </cell>
          <cell r="E744" t="str">
            <v>N</v>
          </cell>
          <cell r="F744">
            <v>0</v>
          </cell>
          <cell r="G744" t="str">
            <v>本期提取</v>
          </cell>
          <cell r="H744">
            <v>0</v>
          </cell>
          <cell r="I744">
            <v>8681</v>
          </cell>
          <cell r="J744" t="str">
            <v>J</v>
          </cell>
        </row>
        <row r="745">
          <cell r="B745">
            <v>8682</v>
          </cell>
          <cell r="C745" t="str">
            <v>一般风险准备_专项储备本期使用</v>
          </cell>
          <cell r="D745">
            <v>-1</v>
          </cell>
          <cell r="E745" t="str">
            <v>N</v>
          </cell>
          <cell r="F745">
            <v>0</v>
          </cell>
          <cell r="G745" t="str">
            <v>本期使用</v>
          </cell>
          <cell r="H745">
            <v>0</v>
          </cell>
          <cell r="I745">
            <v>8682</v>
          </cell>
          <cell r="J745" t="str">
            <v>J</v>
          </cell>
        </row>
        <row r="746">
          <cell r="B746">
            <v>8730</v>
          </cell>
          <cell r="C746" t="str">
            <v>未分配利润_其他综合收益增加权益</v>
          </cell>
          <cell r="D746">
            <v>-1</v>
          </cell>
          <cell r="E746" t="str">
            <v>N</v>
          </cell>
          <cell r="F746">
            <v>0</v>
          </cell>
          <cell r="G746" t="str">
            <v>（二）其他综合收益</v>
          </cell>
          <cell r="H746">
            <v>0</v>
          </cell>
          <cell r="I746">
            <v>8730</v>
          </cell>
          <cell r="J746">
            <v>0</v>
          </cell>
        </row>
        <row r="747">
          <cell r="B747">
            <v>8751</v>
          </cell>
          <cell r="C747" t="str">
            <v>未分配利润_所有者投入资本增加权益</v>
          </cell>
          <cell r="D747">
            <v>-1</v>
          </cell>
          <cell r="E747" t="str">
            <v>N</v>
          </cell>
          <cell r="F747">
            <v>0</v>
          </cell>
          <cell r="G747" t="str">
            <v>所有者投入资本</v>
          </cell>
          <cell r="H747">
            <v>0</v>
          </cell>
          <cell r="I747">
            <v>8751</v>
          </cell>
          <cell r="J747" t="str">
            <v>J</v>
          </cell>
        </row>
        <row r="748">
          <cell r="B748">
            <v>8752</v>
          </cell>
          <cell r="C748" t="str">
            <v>未分配利润_股份支付计入所有者权益的金额</v>
          </cell>
          <cell r="D748">
            <v>-1</v>
          </cell>
          <cell r="E748" t="str">
            <v>N</v>
          </cell>
          <cell r="F748">
            <v>0</v>
          </cell>
          <cell r="G748" t="str">
            <v>股份支付计入所有者权益的金额</v>
          </cell>
          <cell r="H748">
            <v>0</v>
          </cell>
          <cell r="I748">
            <v>8752</v>
          </cell>
          <cell r="J748" t="str">
            <v>J</v>
          </cell>
        </row>
        <row r="749">
          <cell r="B749">
            <v>8771</v>
          </cell>
          <cell r="C749" t="str">
            <v>未分配利润_资本公积转增资本影响权益</v>
          </cell>
          <cell r="D749">
            <v>-1</v>
          </cell>
          <cell r="E749" t="str">
            <v>N</v>
          </cell>
          <cell r="F749">
            <v>0</v>
          </cell>
          <cell r="G749" t="str">
            <v>资本公积转增资本（或股本）</v>
          </cell>
          <cell r="H749">
            <v>0</v>
          </cell>
          <cell r="I749">
            <v>8771</v>
          </cell>
          <cell r="J749" t="str">
            <v>J</v>
          </cell>
        </row>
        <row r="750">
          <cell r="B750">
            <v>8772</v>
          </cell>
          <cell r="C750" t="str">
            <v>未分配利润_盈余公积转增资本影响权益</v>
          </cell>
          <cell r="D750">
            <v>-1</v>
          </cell>
          <cell r="E750" t="str">
            <v>N</v>
          </cell>
          <cell r="F750">
            <v>0</v>
          </cell>
          <cell r="G750" t="str">
            <v>盈余公积转增资本（或股本）</v>
          </cell>
          <cell r="H750">
            <v>0</v>
          </cell>
          <cell r="I750">
            <v>8772</v>
          </cell>
          <cell r="J750" t="str">
            <v>J</v>
          </cell>
        </row>
        <row r="751">
          <cell r="B751">
            <v>8961</v>
          </cell>
          <cell r="C751" t="str">
            <v>少数股东权益_提取盈余公积影响权益</v>
          </cell>
          <cell r="D751">
            <v>-1</v>
          </cell>
          <cell r="E751" t="str">
            <v>※N</v>
          </cell>
          <cell r="F751">
            <v>0</v>
          </cell>
          <cell r="G751" t="str">
            <v>提取盈余公积</v>
          </cell>
          <cell r="H751">
            <v>0</v>
          </cell>
          <cell r="I751">
            <v>8961</v>
          </cell>
          <cell r="J751" t="str">
            <v>J</v>
          </cell>
        </row>
        <row r="752">
          <cell r="B752">
            <v>8962</v>
          </cell>
          <cell r="C752" t="str">
            <v>少数股东权益_提取一般风险准备影响权益</v>
          </cell>
          <cell r="D752">
            <v>-1</v>
          </cell>
          <cell r="E752" t="str">
            <v>※N</v>
          </cell>
          <cell r="F752">
            <v>0</v>
          </cell>
          <cell r="G752" t="str">
            <v>提取一般风险准备</v>
          </cell>
          <cell r="H752">
            <v>0</v>
          </cell>
          <cell r="I752">
            <v>8962</v>
          </cell>
          <cell r="J752" t="str">
            <v>J</v>
          </cell>
        </row>
        <row r="753">
          <cell r="B753">
            <v>8971</v>
          </cell>
          <cell r="C753" t="str">
            <v>少数股东权益_资本公积转增资本影响权益</v>
          </cell>
          <cell r="D753">
            <v>-1</v>
          </cell>
          <cell r="E753" t="str">
            <v>※N</v>
          </cell>
          <cell r="F753">
            <v>0</v>
          </cell>
          <cell r="G753" t="str">
            <v>资本公积转增资本（或股本）</v>
          </cell>
          <cell r="H753">
            <v>0</v>
          </cell>
          <cell r="I753">
            <v>8971</v>
          </cell>
          <cell r="J753" t="str">
            <v>J</v>
          </cell>
        </row>
        <row r="754">
          <cell r="B754">
            <v>8972</v>
          </cell>
          <cell r="C754" t="str">
            <v>少数股东权益_盈余公积转增资本影响权益</v>
          </cell>
          <cell r="D754">
            <v>-1</v>
          </cell>
          <cell r="E754" t="str">
            <v>※N</v>
          </cell>
          <cell r="F754">
            <v>0</v>
          </cell>
          <cell r="G754" t="str">
            <v>盈余公积转增资本（或股本）</v>
          </cell>
          <cell r="H754">
            <v>0</v>
          </cell>
          <cell r="I754">
            <v>8972</v>
          </cell>
          <cell r="J754" t="str">
            <v>J</v>
          </cell>
        </row>
        <row r="755">
          <cell r="B755">
            <v>8973</v>
          </cell>
          <cell r="C755" t="str">
            <v>少数股东权益_盈余公积弥补亏损影响权益</v>
          </cell>
          <cell r="D755">
            <v>-1</v>
          </cell>
          <cell r="E755" t="str">
            <v>※N</v>
          </cell>
          <cell r="F755">
            <v>0</v>
          </cell>
          <cell r="G755" t="str">
            <v>盈余公积弥补亏损</v>
          </cell>
          <cell r="H755">
            <v>0</v>
          </cell>
          <cell r="I755">
            <v>8973</v>
          </cell>
          <cell r="J755" t="str">
            <v>J</v>
          </cell>
        </row>
        <row r="756">
          <cell r="B756">
            <v>8140</v>
          </cell>
          <cell r="C756" t="str">
            <v>实收资本_综合收益总额增加权益</v>
          </cell>
          <cell r="D756">
            <v>-1</v>
          </cell>
          <cell r="E756">
            <v>0</v>
          </cell>
          <cell r="F756">
            <v>0</v>
          </cell>
          <cell r="G756" t="str">
            <v>（一）综合收益总额</v>
          </cell>
          <cell r="H756">
            <v>0</v>
          </cell>
          <cell r="I756">
            <v>8140</v>
          </cell>
          <cell r="J756" t="str">
            <v>J</v>
          </cell>
        </row>
        <row r="757">
          <cell r="B757">
            <v>8160</v>
          </cell>
          <cell r="C757" t="str">
            <v>实收资本_利润分配影响权益</v>
          </cell>
          <cell r="D757">
            <v>0</v>
          </cell>
          <cell r="E757" t="str">
            <v>＝</v>
          </cell>
          <cell r="F757">
            <v>0</v>
          </cell>
          <cell r="G757" t="str">
            <v>（三）利润分配</v>
          </cell>
          <cell r="H757">
            <v>0</v>
          </cell>
          <cell r="I757">
            <v>8160</v>
          </cell>
          <cell r="J757">
            <v>0</v>
          </cell>
        </row>
        <row r="758">
          <cell r="B758">
            <v>8180</v>
          </cell>
          <cell r="C758" t="str">
            <v>实收资本_专项储备影响权益</v>
          </cell>
          <cell r="D758">
            <v>0</v>
          </cell>
          <cell r="E758" t="str">
            <v>＝</v>
          </cell>
          <cell r="F758">
            <v>0</v>
          </cell>
          <cell r="G758" t="str">
            <v>（五）专项储备</v>
          </cell>
          <cell r="H758">
            <v>0</v>
          </cell>
          <cell r="I758">
            <v>8180</v>
          </cell>
          <cell r="J758">
            <v>0</v>
          </cell>
        </row>
        <row r="759">
          <cell r="B759">
            <v>8280</v>
          </cell>
          <cell r="C759" t="str">
            <v>资本公积_专项储备影响权益</v>
          </cell>
          <cell r="D759">
            <v>0</v>
          </cell>
          <cell r="E759" t="str">
            <v>＝</v>
          </cell>
          <cell r="F759">
            <v>0</v>
          </cell>
          <cell r="G759" t="str">
            <v>（五）专项储备</v>
          </cell>
          <cell r="H759">
            <v>0</v>
          </cell>
          <cell r="I759">
            <v>8280</v>
          </cell>
          <cell r="J759">
            <v>0</v>
          </cell>
        </row>
        <row r="760">
          <cell r="B760">
            <v>8340</v>
          </cell>
          <cell r="C760" t="str">
            <v>库存股_综合收益总额增加权益</v>
          </cell>
          <cell r="D760">
            <v>1</v>
          </cell>
          <cell r="E760">
            <v>0</v>
          </cell>
          <cell r="F760">
            <v>0</v>
          </cell>
          <cell r="G760" t="str">
            <v>（一）综合收益总额</v>
          </cell>
          <cell r="H760">
            <v>0</v>
          </cell>
          <cell r="I760">
            <v>8340</v>
          </cell>
          <cell r="J760" t="str">
            <v>J</v>
          </cell>
        </row>
        <row r="761">
          <cell r="B761">
            <v>8380</v>
          </cell>
          <cell r="C761" t="str">
            <v>库存股_专项储备影响权益</v>
          </cell>
          <cell r="D761">
            <v>0</v>
          </cell>
          <cell r="E761" t="str">
            <v>＝</v>
          </cell>
          <cell r="F761">
            <v>0</v>
          </cell>
          <cell r="G761" t="str">
            <v>（五）专项储备</v>
          </cell>
          <cell r="H761">
            <v>0</v>
          </cell>
          <cell r="I761">
            <v>8380</v>
          </cell>
          <cell r="J761">
            <v>0</v>
          </cell>
        </row>
        <row r="762">
          <cell r="B762">
            <v>8440</v>
          </cell>
          <cell r="C762" t="str">
            <v>专项储备_综合收益总额增加权益</v>
          </cell>
          <cell r="D762">
            <v>-1</v>
          </cell>
          <cell r="E762">
            <v>0</v>
          </cell>
          <cell r="F762">
            <v>0</v>
          </cell>
          <cell r="G762" t="str">
            <v>（一）综合收益总额</v>
          </cell>
          <cell r="H762">
            <v>0</v>
          </cell>
          <cell r="I762">
            <v>8440</v>
          </cell>
          <cell r="J762" t="str">
            <v>J</v>
          </cell>
        </row>
        <row r="763">
          <cell r="B763">
            <v>8450</v>
          </cell>
          <cell r="C763" t="str">
            <v>专项储备_所有者投入和减少资本影响权益</v>
          </cell>
          <cell r="D763">
            <v>0</v>
          </cell>
          <cell r="E763" t="str">
            <v>＝</v>
          </cell>
          <cell r="F763">
            <v>0</v>
          </cell>
          <cell r="G763" t="str">
            <v>（二）所有者投入和减少资本</v>
          </cell>
          <cell r="H763">
            <v>0</v>
          </cell>
          <cell r="I763">
            <v>8450</v>
          </cell>
          <cell r="J763">
            <v>0</v>
          </cell>
        </row>
        <row r="764">
          <cell r="B764">
            <v>8460</v>
          </cell>
          <cell r="C764" t="str">
            <v>专项储备_利润分配影响权益</v>
          </cell>
          <cell r="D764">
            <v>0</v>
          </cell>
          <cell r="E764" t="str">
            <v>＝</v>
          </cell>
          <cell r="F764">
            <v>0</v>
          </cell>
          <cell r="G764" t="str">
            <v>（三）利润分配</v>
          </cell>
          <cell r="H764">
            <v>0</v>
          </cell>
          <cell r="I764">
            <v>8460</v>
          </cell>
          <cell r="J764">
            <v>0</v>
          </cell>
        </row>
        <row r="765">
          <cell r="B765">
            <v>8540</v>
          </cell>
          <cell r="C765" t="str">
            <v>盈余公积_综合收益总额增加权益</v>
          </cell>
          <cell r="D765">
            <v>-1</v>
          </cell>
          <cell r="E765">
            <v>0</v>
          </cell>
          <cell r="F765">
            <v>0</v>
          </cell>
          <cell r="G765" t="str">
            <v>（一）综合收益总额</v>
          </cell>
          <cell r="H765">
            <v>0</v>
          </cell>
          <cell r="I765">
            <v>8540</v>
          </cell>
          <cell r="J765" t="str">
            <v>J</v>
          </cell>
        </row>
        <row r="766">
          <cell r="B766">
            <v>8580</v>
          </cell>
          <cell r="C766" t="str">
            <v>盈余公积_专项储备影响权益</v>
          </cell>
          <cell r="D766">
            <v>0</v>
          </cell>
          <cell r="E766" t="str">
            <v>＝</v>
          </cell>
          <cell r="F766">
            <v>0</v>
          </cell>
          <cell r="G766" t="str">
            <v>（五）专项储备</v>
          </cell>
          <cell r="H766">
            <v>0</v>
          </cell>
          <cell r="I766">
            <v>8580</v>
          </cell>
          <cell r="J766">
            <v>0</v>
          </cell>
        </row>
        <row r="767">
          <cell r="B767">
            <v>8640</v>
          </cell>
          <cell r="C767" t="str">
            <v>一般风险准备_综合收益总额增加权益</v>
          </cell>
          <cell r="D767">
            <v>-1</v>
          </cell>
          <cell r="E767">
            <v>0</v>
          </cell>
          <cell r="F767">
            <v>0</v>
          </cell>
          <cell r="G767" t="str">
            <v>（一）综合收益总额</v>
          </cell>
          <cell r="H767">
            <v>0</v>
          </cell>
          <cell r="I767">
            <v>8640</v>
          </cell>
          <cell r="J767" t="str">
            <v>J</v>
          </cell>
        </row>
        <row r="768">
          <cell r="B768">
            <v>8680</v>
          </cell>
          <cell r="C768" t="str">
            <v>一般风险准备_专项储备影响权益</v>
          </cell>
          <cell r="D768">
            <v>0</v>
          </cell>
          <cell r="E768" t="str">
            <v>＝</v>
          </cell>
          <cell r="F768">
            <v>0</v>
          </cell>
          <cell r="G768" t="str">
            <v>（五）专项储备</v>
          </cell>
          <cell r="H768">
            <v>0</v>
          </cell>
          <cell r="I768">
            <v>8680</v>
          </cell>
          <cell r="J768">
            <v>0</v>
          </cell>
        </row>
        <row r="769">
          <cell r="B769" t="str">
            <v>8a00</v>
          </cell>
          <cell r="C769" t="str">
            <v>其他权益工具增减变动</v>
          </cell>
          <cell r="D769">
            <v>0</v>
          </cell>
          <cell r="E769" t="str">
            <v>：OEI</v>
          </cell>
          <cell r="F769">
            <v>0</v>
          </cell>
          <cell r="G769" t="str">
            <v>其他权益工具增减变动</v>
          </cell>
          <cell r="H769">
            <v>0</v>
          </cell>
          <cell r="I769" t="str">
            <v>8a00</v>
          </cell>
          <cell r="J769">
            <v>0</v>
          </cell>
        </row>
        <row r="770">
          <cell r="B770" t="str">
            <v>8a01</v>
          </cell>
          <cell r="C770" t="str">
            <v>其他权益工具_上年年末余额</v>
          </cell>
          <cell r="D770">
            <v>-1</v>
          </cell>
          <cell r="E770" t="str">
            <v>OEI</v>
          </cell>
          <cell r="F770">
            <v>0</v>
          </cell>
          <cell r="G770" t="str">
            <v>一、上年年末余额</v>
          </cell>
          <cell r="H770">
            <v>0</v>
          </cell>
          <cell r="I770" t="str">
            <v>8a01</v>
          </cell>
          <cell r="J770">
            <v>0</v>
          </cell>
        </row>
        <row r="771">
          <cell r="B771" t="str">
            <v>8a02</v>
          </cell>
          <cell r="C771" t="str">
            <v>其他权益工具_会计政策变更调整上年年末余额</v>
          </cell>
          <cell r="D771">
            <v>-1</v>
          </cell>
          <cell r="E771" t="str">
            <v>OEI</v>
          </cell>
          <cell r="F771">
            <v>0</v>
          </cell>
          <cell r="G771" t="str">
            <v>加：会计政策变更</v>
          </cell>
          <cell r="H771">
            <v>0</v>
          </cell>
          <cell r="I771" t="str">
            <v>8a02</v>
          </cell>
          <cell r="J771">
            <v>0</v>
          </cell>
        </row>
        <row r="772">
          <cell r="B772" t="str">
            <v>8a03</v>
          </cell>
          <cell r="C772" t="str">
            <v>其他权益工具_前期差错更正调整上年年末余额</v>
          </cell>
          <cell r="D772">
            <v>-1</v>
          </cell>
          <cell r="E772" t="str">
            <v>OEI</v>
          </cell>
          <cell r="F772">
            <v>0</v>
          </cell>
          <cell r="G772" t="str">
            <v>前期差错更正</v>
          </cell>
          <cell r="H772">
            <v>0</v>
          </cell>
          <cell r="I772" t="str">
            <v>8a03</v>
          </cell>
          <cell r="J772">
            <v>0</v>
          </cell>
        </row>
        <row r="773">
          <cell r="B773" t="str">
            <v>8a04</v>
          </cell>
          <cell r="C773" t="str">
            <v>其他权益工具_同一控制下企业合并调整上年年末余额</v>
          </cell>
          <cell r="D773">
            <v>-1</v>
          </cell>
          <cell r="E773" t="str">
            <v>※OEI</v>
          </cell>
          <cell r="F773">
            <v>0</v>
          </cell>
          <cell r="G773" t="str">
            <v>同一控制下企业合并</v>
          </cell>
          <cell r="H773">
            <v>0</v>
          </cell>
          <cell r="I773" t="str">
            <v>8a04</v>
          </cell>
          <cell r="J773">
            <v>0</v>
          </cell>
        </row>
        <row r="774">
          <cell r="B774" t="str">
            <v>8a09</v>
          </cell>
          <cell r="C774" t="str">
            <v>其他权益工具_其他原因调整上年年末余额</v>
          </cell>
          <cell r="D774">
            <v>-1</v>
          </cell>
          <cell r="E774" t="str">
            <v>OEI</v>
          </cell>
          <cell r="F774">
            <v>0</v>
          </cell>
          <cell r="G774" t="str">
            <v>其他</v>
          </cell>
          <cell r="H774">
            <v>0</v>
          </cell>
          <cell r="I774" t="str">
            <v>8a09</v>
          </cell>
          <cell r="J774">
            <v>0</v>
          </cell>
        </row>
        <row r="775">
          <cell r="B775" t="str">
            <v>8a10</v>
          </cell>
          <cell r="C775" t="str">
            <v>其他权益工具_本年年初余额</v>
          </cell>
          <cell r="D775">
            <v>0</v>
          </cell>
          <cell r="E775" t="str">
            <v>OEI＝</v>
          </cell>
          <cell r="F775">
            <v>0</v>
          </cell>
          <cell r="G775" t="str">
            <v>二、本年年初余额</v>
          </cell>
          <cell r="H775">
            <v>0</v>
          </cell>
          <cell r="I775" t="str">
            <v>8a10</v>
          </cell>
          <cell r="J775">
            <v>0</v>
          </cell>
        </row>
        <row r="776">
          <cell r="B776" t="str">
            <v>8a90</v>
          </cell>
          <cell r="C776" t="str">
            <v>其他权益工具_本期增减变动金额</v>
          </cell>
          <cell r="D776">
            <v>0</v>
          </cell>
          <cell r="E776" t="str">
            <v>OEI＝</v>
          </cell>
          <cell r="F776">
            <v>0</v>
          </cell>
          <cell r="G776" t="str">
            <v>三、本期增减变动金额（减少以“-”号填列）</v>
          </cell>
          <cell r="H776">
            <v>0</v>
          </cell>
          <cell r="I776" t="str">
            <v>8a90</v>
          </cell>
          <cell r="J776">
            <v>0</v>
          </cell>
        </row>
        <row r="777">
          <cell r="B777" t="str">
            <v>8a40</v>
          </cell>
          <cell r="C777" t="str">
            <v>其他权益工具_综合收益总额增加权益</v>
          </cell>
          <cell r="D777">
            <v>0</v>
          </cell>
          <cell r="E777" t="str">
            <v>OEI</v>
          </cell>
          <cell r="F777">
            <v>0</v>
          </cell>
          <cell r="G777" t="str">
            <v>（一）综合收益总额</v>
          </cell>
          <cell r="H777">
            <v>0</v>
          </cell>
          <cell r="I777" t="str">
            <v>8a40</v>
          </cell>
          <cell r="J777">
            <v>0</v>
          </cell>
        </row>
        <row r="778">
          <cell r="B778" t="str">
            <v>8a50</v>
          </cell>
          <cell r="C778" t="str">
            <v>其他权益工具_所有者投入和减少资本影响权益</v>
          </cell>
          <cell r="D778">
            <v>0</v>
          </cell>
          <cell r="E778" t="str">
            <v>OEI＝</v>
          </cell>
          <cell r="F778">
            <v>0</v>
          </cell>
          <cell r="G778" t="str">
            <v>（二）所有者投入和减少资本</v>
          </cell>
          <cell r="H778">
            <v>0</v>
          </cell>
          <cell r="I778" t="str">
            <v>8a50</v>
          </cell>
          <cell r="J778">
            <v>0</v>
          </cell>
        </row>
        <row r="779">
          <cell r="B779" t="str">
            <v>8a51</v>
          </cell>
          <cell r="C779" t="str">
            <v>其他权益工具_所有者投入资本</v>
          </cell>
          <cell r="D779">
            <v>-1</v>
          </cell>
          <cell r="E779" t="str">
            <v>OEI</v>
          </cell>
          <cell r="F779">
            <v>0</v>
          </cell>
          <cell r="G779" t="str">
            <v>所有者投入资本</v>
          </cell>
          <cell r="H779">
            <v>0</v>
          </cell>
          <cell r="I779" t="str">
            <v>8a51</v>
          </cell>
          <cell r="J779">
            <v>0</v>
          </cell>
        </row>
        <row r="780">
          <cell r="B780" t="str">
            <v>8a52</v>
          </cell>
          <cell r="C780" t="str">
            <v>其他权益工具_股份支付</v>
          </cell>
          <cell r="D780">
            <v>-1</v>
          </cell>
          <cell r="E780" t="str">
            <v>OEI</v>
          </cell>
          <cell r="F780">
            <v>0</v>
          </cell>
          <cell r="G780" t="str">
            <v>股份支付计入所有者权益的金额</v>
          </cell>
          <cell r="H780">
            <v>0</v>
          </cell>
          <cell r="I780" t="str">
            <v>8a52</v>
          </cell>
          <cell r="J780">
            <v>0</v>
          </cell>
        </row>
        <row r="781">
          <cell r="B781" t="str">
            <v>8a53</v>
          </cell>
          <cell r="C781" t="str">
            <v>其他权益工具_其他权益工具持有者投入资本</v>
          </cell>
          <cell r="D781">
            <v>-1</v>
          </cell>
          <cell r="E781" t="str">
            <v>OEI</v>
          </cell>
          <cell r="F781">
            <v>0</v>
          </cell>
          <cell r="G781" t="str">
            <v>其他权益工具持有者投入资本</v>
          </cell>
          <cell r="H781">
            <v>0</v>
          </cell>
          <cell r="I781" t="str">
            <v>8a53</v>
          </cell>
          <cell r="J781">
            <v>0</v>
          </cell>
        </row>
        <row r="782">
          <cell r="B782" t="str">
            <v>8a56</v>
          </cell>
          <cell r="C782" t="str">
            <v>其他权益工具_所有者其他投入和减少资本</v>
          </cell>
          <cell r="D782">
            <v>-1</v>
          </cell>
          <cell r="E782" t="str">
            <v>OEI</v>
          </cell>
          <cell r="F782">
            <v>0</v>
          </cell>
          <cell r="G782" t="str">
            <v>其他</v>
          </cell>
          <cell r="H782">
            <v>0</v>
          </cell>
          <cell r="I782" t="str">
            <v>8a56</v>
          </cell>
          <cell r="J782">
            <v>0</v>
          </cell>
        </row>
        <row r="783">
          <cell r="B783" t="str">
            <v>8a60</v>
          </cell>
          <cell r="C783" t="str">
            <v>其他权益工具_利润分配影响权益</v>
          </cell>
          <cell r="D783">
            <v>0</v>
          </cell>
          <cell r="E783" t="str">
            <v>OEI＝</v>
          </cell>
          <cell r="F783">
            <v>0</v>
          </cell>
          <cell r="G783" t="str">
            <v>（三）利润分配</v>
          </cell>
          <cell r="H783">
            <v>0</v>
          </cell>
          <cell r="I783" t="str">
            <v>8a60</v>
          </cell>
          <cell r="J783">
            <v>0</v>
          </cell>
        </row>
        <row r="784">
          <cell r="B784" t="str">
            <v>8a61</v>
          </cell>
          <cell r="C784" t="str">
            <v>其他权益工具_提取盈余公积</v>
          </cell>
          <cell r="D784">
            <v>-1</v>
          </cell>
          <cell r="E784" t="str">
            <v>OEI</v>
          </cell>
          <cell r="F784">
            <v>0</v>
          </cell>
          <cell r="G784" t="str">
            <v>提取盈余公积</v>
          </cell>
          <cell r="H784">
            <v>0</v>
          </cell>
          <cell r="I784" t="str">
            <v>8a61</v>
          </cell>
          <cell r="J784">
            <v>0</v>
          </cell>
        </row>
        <row r="785">
          <cell r="B785" t="str">
            <v>8a62</v>
          </cell>
          <cell r="C785" t="str">
            <v>其他权益工具_提取一般风险准备</v>
          </cell>
          <cell r="D785">
            <v>-1</v>
          </cell>
          <cell r="E785" t="str">
            <v>OEI</v>
          </cell>
          <cell r="F785">
            <v>0</v>
          </cell>
          <cell r="G785" t="str">
            <v>提取一般风险准备</v>
          </cell>
          <cell r="H785">
            <v>0</v>
          </cell>
          <cell r="I785" t="str">
            <v>8a62</v>
          </cell>
          <cell r="J785">
            <v>0</v>
          </cell>
        </row>
        <row r="786">
          <cell r="B786" t="str">
            <v>8a63</v>
          </cell>
          <cell r="C786" t="str">
            <v>其他权益工具_对所有者的分配</v>
          </cell>
          <cell r="D786">
            <v>-1</v>
          </cell>
          <cell r="E786" t="str">
            <v>OEI</v>
          </cell>
          <cell r="F786">
            <v>0</v>
          </cell>
          <cell r="G786" t="str">
            <v>对所有者（或股东）的分配</v>
          </cell>
          <cell r="H786">
            <v>0</v>
          </cell>
          <cell r="I786" t="str">
            <v>8a63</v>
          </cell>
          <cell r="J786">
            <v>0</v>
          </cell>
        </row>
        <row r="787">
          <cell r="B787" t="str">
            <v>8a66</v>
          </cell>
          <cell r="C787" t="str">
            <v>其他权益工具_其他利润分配</v>
          </cell>
          <cell r="D787">
            <v>-1</v>
          </cell>
          <cell r="E787" t="str">
            <v>OEI</v>
          </cell>
          <cell r="F787">
            <v>0</v>
          </cell>
          <cell r="G787" t="str">
            <v>其他</v>
          </cell>
          <cell r="H787">
            <v>0</v>
          </cell>
          <cell r="I787" t="str">
            <v>8a66</v>
          </cell>
          <cell r="J787">
            <v>0</v>
          </cell>
        </row>
        <row r="788">
          <cell r="B788" t="str">
            <v>8a70</v>
          </cell>
          <cell r="C788" t="str">
            <v>其他权益工具_所有者权益内部结转</v>
          </cell>
          <cell r="D788">
            <v>0</v>
          </cell>
          <cell r="E788" t="str">
            <v>OEI＝</v>
          </cell>
          <cell r="F788">
            <v>0</v>
          </cell>
          <cell r="G788" t="str">
            <v>（四）所有者权益内部结转</v>
          </cell>
          <cell r="H788">
            <v>0</v>
          </cell>
          <cell r="I788" t="str">
            <v>8a70</v>
          </cell>
          <cell r="J788">
            <v>0</v>
          </cell>
        </row>
        <row r="789">
          <cell r="B789" t="str">
            <v>8a71</v>
          </cell>
          <cell r="C789" t="str">
            <v>其他权益工具_资本公积转增资本</v>
          </cell>
          <cell r="D789">
            <v>-1</v>
          </cell>
          <cell r="E789" t="str">
            <v>OEI</v>
          </cell>
          <cell r="F789">
            <v>0</v>
          </cell>
          <cell r="G789" t="str">
            <v>资本公积转增资本（或股本）</v>
          </cell>
          <cell r="H789">
            <v>0</v>
          </cell>
          <cell r="I789" t="str">
            <v>8a71</v>
          </cell>
          <cell r="J789">
            <v>0</v>
          </cell>
        </row>
        <row r="790">
          <cell r="B790" t="str">
            <v>8a72</v>
          </cell>
          <cell r="C790" t="str">
            <v>其他权益工具_盈余公积转增资本</v>
          </cell>
          <cell r="D790">
            <v>-1</v>
          </cell>
          <cell r="E790" t="str">
            <v>OEI</v>
          </cell>
          <cell r="F790">
            <v>0</v>
          </cell>
          <cell r="G790" t="str">
            <v>盈余公积转增资本（或股本）</v>
          </cell>
          <cell r="H790">
            <v>0</v>
          </cell>
          <cell r="I790" t="str">
            <v>8a72</v>
          </cell>
          <cell r="J790">
            <v>0</v>
          </cell>
        </row>
        <row r="791">
          <cell r="B791" t="str">
            <v>8a73</v>
          </cell>
          <cell r="C791" t="str">
            <v>其他权益工具_盈余公积弥补亏损</v>
          </cell>
          <cell r="D791">
            <v>-1</v>
          </cell>
          <cell r="E791" t="str">
            <v>OEI</v>
          </cell>
          <cell r="F791">
            <v>0</v>
          </cell>
          <cell r="G791" t="str">
            <v>盈余公积弥补亏损</v>
          </cell>
          <cell r="H791">
            <v>0</v>
          </cell>
          <cell r="I791" t="str">
            <v>8a73</v>
          </cell>
          <cell r="J791">
            <v>0</v>
          </cell>
        </row>
        <row r="792">
          <cell r="B792" t="str">
            <v>8a75</v>
          </cell>
          <cell r="C792" t="str">
            <v>其他权益工具_设定受益计划变动额结转留存收益</v>
          </cell>
          <cell r="D792">
            <v>-1</v>
          </cell>
          <cell r="E792" t="str">
            <v>OEI</v>
          </cell>
          <cell r="F792">
            <v>0</v>
          </cell>
          <cell r="G792" t="str">
            <v>设定受益计划变动额结转留存收益</v>
          </cell>
          <cell r="H792">
            <v>0</v>
          </cell>
          <cell r="I792" t="str">
            <v>8a75</v>
          </cell>
          <cell r="J792">
            <v>0</v>
          </cell>
        </row>
        <row r="793">
          <cell r="B793" t="str">
            <v>8a76</v>
          </cell>
          <cell r="C793" t="str">
            <v>其他权益工具_所有者权益其他内部结转</v>
          </cell>
          <cell r="D793">
            <v>-1</v>
          </cell>
          <cell r="E793" t="str">
            <v>OEI</v>
          </cell>
          <cell r="F793">
            <v>0</v>
          </cell>
          <cell r="G793" t="str">
            <v>其他</v>
          </cell>
          <cell r="H793">
            <v>0</v>
          </cell>
          <cell r="I793" t="str">
            <v>8a76</v>
          </cell>
          <cell r="J793">
            <v>0</v>
          </cell>
        </row>
        <row r="794">
          <cell r="B794" t="str">
            <v>8a80</v>
          </cell>
          <cell r="C794" t="str">
            <v>其他权益工具_专项储备影响权益</v>
          </cell>
          <cell r="D794">
            <v>0</v>
          </cell>
          <cell r="E794" t="str">
            <v>OEI＝</v>
          </cell>
          <cell r="F794">
            <v>0</v>
          </cell>
          <cell r="G794" t="str">
            <v>（五）专项储备</v>
          </cell>
          <cell r="H794">
            <v>0</v>
          </cell>
          <cell r="I794" t="str">
            <v>8a80</v>
          </cell>
          <cell r="J794">
            <v>0</v>
          </cell>
        </row>
        <row r="795">
          <cell r="B795" t="str">
            <v>8a81</v>
          </cell>
          <cell r="C795" t="str">
            <v>其他权益工具_专项储备本期提取</v>
          </cell>
          <cell r="D795">
            <v>-1</v>
          </cell>
          <cell r="E795" t="str">
            <v>OEI</v>
          </cell>
          <cell r="F795">
            <v>0</v>
          </cell>
          <cell r="G795" t="str">
            <v>本期提取</v>
          </cell>
          <cell r="H795">
            <v>0</v>
          </cell>
          <cell r="I795" t="str">
            <v>8a81</v>
          </cell>
          <cell r="J795">
            <v>0</v>
          </cell>
        </row>
        <row r="796">
          <cell r="B796" t="str">
            <v>8a82</v>
          </cell>
          <cell r="C796" t="str">
            <v>其他权益工具_专项储备本期使用</v>
          </cell>
          <cell r="D796">
            <v>-1</v>
          </cell>
          <cell r="E796" t="str">
            <v>OEI</v>
          </cell>
          <cell r="F796">
            <v>0</v>
          </cell>
          <cell r="G796" t="str">
            <v>本期使用</v>
          </cell>
          <cell r="H796">
            <v>0</v>
          </cell>
          <cell r="I796" t="str">
            <v>8a82</v>
          </cell>
          <cell r="J796">
            <v>0</v>
          </cell>
        </row>
        <row r="797">
          <cell r="B797" t="str">
            <v>8a96</v>
          </cell>
          <cell r="C797" t="str">
            <v>其他权益工具_本期其他增减变动</v>
          </cell>
          <cell r="D797">
            <v>-1</v>
          </cell>
          <cell r="E797" t="str">
            <v>OEI</v>
          </cell>
          <cell r="F797">
            <v>0</v>
          </cell>
          <cell r="G797" t="str">
            <v>（七）其他</v>
          </cell>
          <cell r="H797">
            <v>0</v>
          </cell>
          <cell r="I797" t="str">
            <v>8a96</v>
          </cell>
          <cell r="J797">
            <v>0</v>
          </cell>
        </row>
        <row r="798">
          <cell r="B798" t="str">
            <v>8a99</v>
          </cell>
          <cell r="C798" t="str">
            <v>其他权益工具_本期期末余额</v>
          </cell>
          <cell r="D798">
            <v>0</v>
          </cell>
          <cell r="E798" t="str">
            <v>OEI＝</v>
          </cell>
          <cell r="F798">
            <v>0</v>
          </cell>
          <cell r="G798" t="str">
            <v>四、本期期末余额</v>
          </cell>
          <cell r="H798">
            <v>0</v>
          </cell>
          <cell r="I798" t="str">
            <v>8a99</v>
          </cell>
          <cell r="J798">
            <v>0</v>
          </cell>
        </row>
        <row r="799">
          <cell r="B799">
            <v>7400</v>
          </cell>
          <cell r="C799" t="str">
            <v>现金流量调整</v>
          </cell>
          <cell r="D799">
            <v>1</v>
          </cell>
          <cell r="E799">
            <v>0</v>
          </cell>
          <cell r="F799">
            <v>0</v>
          </cell>
          <cell r="G799" t="str">
            <v>现金流量调整</v>
          </cell>
          <cell r="H799">
            <v>0</v>
          </cell>
          <cell r="I799">
            <v>7400</v>
          </cell>
          <cell r="J799">
            <v>0</v>
          </cell>
        </row>
        <row r="800">
          <cell r="B800">
            <v>9325</v>
          </cell>
          <cell r="C800" t="str">
            <v>金融工具及风险管理</v>
          </cell>
          <cell r="D800">
            <v>0</v>
          </cell>
          <cell r="E800">
            <v>0</v>
          </cell>
          <cell r="F800">
            <v>0</v>
          </cell>
          <cell r="G800">
            <v>0</v>
          </cell>
          <cell r="H800">
            <v>0</v>
          </cell>
          <cell r="I800">
            <v>9325</v>
          </cell>
          <cell r="J800">
            <v>0</v>
          </cell>
        </row>
        <row r="801">
          <cell r="B801">
            <v>9690</v>
          </cell>
          <cell r="C801" t="str">
            <v>补充资料</v>
          </cell>
          <cell r="D801">
            <v>0</v>
          </cell>
          <cell r="E801">
            <v>0</v>
          </cell>
          <cell r="F801">
            <v>0</v>
          </cell>
          <cell r="G801">
            <v>0</v>
          </cell>
          <cell r="H801">
            <v>0</v>
          </cell>
          <cell r="I801">
            <v>9690</v>
          </cell>
          <cell r="J801">
            <v>0</v>
          </cell>
        </row>
        <row r="802">
          <cell r="B802">
            <v>1521.1523</v>
          </cell>
          <cell r="C802" t="str">
            <v>投资性房地产累计折旧</v>
          </cell>
          <cell r="D802">
            <v>-1</v>
          </cell>
          <cell r="E802">
            <v>0</v>
          </cell>
          <cell r="F802">
            <v>0</v>
          </cell>
          <cell r="G802">
            <v>0</v>
          </cell>
          <cell r="H802">
            <v>0</v>
          </cell>
          <cell r="I802">
            <v>1521.1523</v>
          </cell>
          <cell r="J802" t="str">
            <v>J</v>
          </cell>
        </row>
        <row r="803">
          <cell r="B803">
            <v>6829.5110000000004</v>
          </cell>
          <cell r="C803" t="str">
            <v>少数股东其他综合收益_重新计量设定受益计划变动额</v>
          </cell>
          <cell r="D803">
            <v>1</v>
          </cell>
          <cell r="E803" t="str">
            <v>※</v>
          </cell>
          <cell r="F803">
            <v>0</v>
          </cell>
          <cell r="G803">
            <v>0</v>
          </cell>
          <cell r="H803">
            <v>0</v>
          </cell>
          <cell r="I803">
            <v>6829.5110000000004</v>
          </cell>
          <cell r="J803" t="str">
            <v>J</v>
          </cell>
        </row>
        <row r="804">
          <cell r="B804">
            <v>6829.5119999999997</v>
          </cell>
          <cell r="C804" t="str">
            <v>少数股东其他综合收益_权益法下不能转损益的其他综合收益</v>
          </cell>
          <cell r="D804">
            <v>1</v>
          </cell>
          <cell r="E804" t="str">
            <v>※</v>
          </cell>
          <cell r="F804">
            <v>0</v>
          </cell>
          <cell r="G804">
            <v>0</v>
          </cell>
          <cell r="H804">
            <v>0</v>
          </cell>
          <cell r="I804">
            <v>6829.5119999999997</v>
          </cell>
          <cell r="J804" t="str">
            <v>J</v>
          </cell>
        </row>
        <row r="805">
          <cell r="B805">
            <v>6829.5190000000002</v>
          </cell>
          <cell r="C805" t="str">
            <v>少数股东其他综合收益_其他以后不能重分类进损益的其他综合收益</v>
          </cell>
          <cell r="D805">
            <v>1</v>
          </cell>
          <cell r="E805" t="str">
            <v>※</v>
          </cell>
          <cell r="F805">
            <v>0</v>
          </cell>
          <cell r="G805">
            <v>0</v>
          </cell>
          <cell r="H805">
            <v>0</v>
          </cell>
          <cell r="I805">
            <v>6829.5190000000002</v>
          </cell>
          <cell r="J805" t="str">
            <v>J</v>
          </cell>
        </row>
        <row r="806">
          <cell r="B806">
            <v>6829.5309999999999</v>
          </cell>
          <cell r="C806" t="str">
            <v>少数股东其他综合收益_权益法下可转损益的其他综合收益</v>
          </cell>
          <cell r="D806">
            <v>1</v>
          </cell>
          <cell r="E806" t="str">
            <v>※</v>
          </cell>
          <cell r="F806">
            <v>0</v>
          </cell>
          <cell r="G806">
            <v>0</v>
          </cell>
          <cell r="H806">
            <v>0</v>
          </cell>
          <cell r="I806">
            <v>6829.5309999999999</v>
          </cell>
          <cell r="J806" t="str">
            <v>J</v>
          </cell>
        </row>
        <row r="807">
          <cell r="B807">
            <v>6829.5320000000002</v>
          </cell>
          <cell r="C807" t="str">
            <v>少数股东其他综合收益_可供出售金融资产公允价值变动损益</v>
          </cell>
          <cell r="D807">
            <v>1</v>
          </cell>
          <cell r="E807" t="str">
            <v>※</v>
          </cell>
          <cell r="F807">
            <v>0</v>
          </cell>
          <cell r="G807">
            <v>0</v>
          </cell>
          <cell r="H807">
            <v>0</v>
          </cell>
          <cell r="I807">
            <v>6829.5320000000002</v>
          </cell>
          <cell r="J807" t="str">
            <v>J</v>
          </cell>
        </row>
        <row r="808">
          <cell r="B808">
            <v>6829.5330000000004</v>
          </cell>
          <cell r="C808" t="str">
            <v>少数股东其他综合收益_持有至到期投资重分类为可供出售金融资产损益</v>
          </cell>
          <cell r="D808">
            <v>1</v>
          </cell>
          <cell r="E808" t="str">
            <v>※</v>
          </cell>
          <cell r="F808">
            <v>0</v>
          </cell>
          <cell r="G808">
            <v>0</v>
          </cell>
          <cell r="H808">
            <v>0</v>
          </cell>
          <cell r="I808">
            <v>6829.5330000000004</v>
          </cell>
          <cell r="J808" t="str">
            <v>J</v>
          </cell>
        </row>
        <row r="809">
          <cell r="B809">
            <v>6829.5339999999997</v>
          </cell>
          <cell r="C809" t="str">
            <v>少数股东其他综合收益_现金流量套期损益的有效部分</v>
          </cell>
          <cell r="D809">
            <v>1</v>
          </cell>
          <cell r="E809" t="str">
            <v>※</v>
          </cell>
          <cell r="F809">
            <v>0</v>
          </cell>
          <cell r="G809">
            <v>0</v>
          </cell>
          <cell r="H809">
            <v>0</v>
          </cell>
          <cell r="I809">
            <v>6829.5339999999997</v>
          </cell>
          <cell r="J809" t="str">
            <v>J</v>
          </cell>
        </row>
        <row r="810">
          <cell r="B810">
            <v>6829.5349999999999</v>
          </cell>
          <cell r="C810" t="str">
            <v>少数股东其他综合收益_外币财务报表折算差额</v>
          </cell>
          <cell r="D810">
            <v>1</v>
          </cell>
          <cell r="E810" t="str">
            <v>※</v>
          </cell>
          <cell r="F810">
            <v>0</v>
          </cell>
          <cell r="G810">
            <v>0</v>
          </cell>
          <cell r="H810">
            <v>0</v>
          </cell>
          <cell r="I810">
            <v>6829.5349999999999</v>
          </cell>
          <cell r="J810" t="str">
            <v>J</v>
          </cell>
        </row>
        <row r="811">
          <cell r="B811">
            <v>6829.5360000000001</v>
          </cell>
          <cell r="C811" t="str">
            <v>少数股东其他综合收益_自用房地产或作为存货的房地产转换为以公允价值计量的投资性房地产在转换日公允价值大于账面价值部分</v>
          </cell>
          <cell r="D811">
            <v>1</v>
          </cell>
          <cell r="E811" t="str">
            <v>※</v>
          </cell>
          <cell r="F811">
            <v>0</v>
          </cell>
          <cell r="G811">
            <v>0</v>
          </cell>
          <cell r="H811">
            <v>0</v>
          </cell>
          <cell r="I811">
            <v>6829.5360000000001</v>
          </cell>
          <cell r="J811" t="str">
            <v>J</v>
          </cell>
        </row>
        <row r="812">
          <cell r="B812">
            <v>6829.5370000000003</v>
          </cell>
          <cell r="C812" t="str">
            <v>少数股东其他综合收益_多次交易分步处置子公司股权构成一揽子交易的丧失控制权之前各次交易处置价款与对应净资产账面价值份额的差额</v>
          </cell>
          <cell r="D812">
            <v>1</v>
          </cell>
          <cell r="E812" t="str">
            <v>※</v>
          </cell>
          <cell r="F812">
            <v>0</v>
          </cell>
          <cell r="G812">
            <v>0</v>
          </cell>
          <cell r="H812">
            <v>0</v>
          </cell>
          <cell r="I812">
            <v>6829.5370000000003</v>
          </cell>
          <cell r="J812" t="str">
            <v>J</v>
          </cell>
        </row>
        <row r="813">
          <cell r="B813">
            <v>6829.5389999999998</v>
          </cell>
          <cell r="C813" t="str">
            <v>少数股东其他综合收益_其他以后将重分类进损益的其他综合收益</v>
          </cell>
          <cell r="D813">
            <v>1</v>
          </cell>
          <cell r="E813" t="str">
            <v>※</v>
          </cell>
          <cell r="F813">
            <v>0</v>
          </cell>
          <cell r="G813">
            <v>0</v>
          </cell>
          <cell r="H813">
            <v>0</v>
          </cell>
          <cell r="I813">
            <v>6829.5389999999998</v>
          </cell>
          <cell r="J813" t="str">
            <v>J</v>
          </cell>
        </row>
        <row r="814">
          <cell r="B814">
            <v>6181</v>
          </cell>
          <cell r="C814" t="str">
            <v>其他收益</v>
          </cell>
          <cell r="D814">
            <v>-1</v>
          </cell>
          <cell r="E814">
            <v>0</v>
          </cell>
          <cell r="F814">
            <v>6480</v>
          </cell>
          <cell r="G814" t="str">
            <v>加：其他收益</v>
          </cell>
          <cell r="H814" t="str">
            <v>加：其他收益</v>
          </cell>
          <cell r="I814">
            <v>6181</v>
          </cell>
          <cell r="J814" t="str">
            <v>J</v>
          </cell>
        </row>
        <row r="815">
          <cell r="B815">
            <v>6810</v>
          </cell>
          <cell r="C815" t="str">
            <v>归属所有者的净利润_X</v>
          </cell>
          <cell r="D815">
            <v>0</v>
          </cell>
          <cell r="E815">
            <v>0</v>
          </cell>
          <cell r="F815">
            <v>0</v>
          </cell>
          <cell r="G815" t="str">
            <v>（一）归属所有者的净利润</v>
          </cell>
          <cell r="H815" t="str">
            <v>（一）归属所有者的净利润</v>
          </cell>
          <cell r="I815">
            <v>6810</v>
          </cell>
          <cell r="J815">
            <v>0</v>
          </cell>
        </row>
        <row r="816">
          <cell r="B816">
            <v>6815</v>
          </cell>
          <cell r="C816" t="str">
            <v>来自持续经营和终止经营的净利润_X</v>
          </cell>
          <cell r="D816">
            <v>0</v>
          </cell>
          <cell r="E816">
            <v>0</v>
          </cell>
          <cell r="F816">
            <v>0</v>
          </cell>
          <cell r="G816" t="str">
            <v>（二）来自持续经营和终止经营的净利润</v>
          </cell>
          <cell r="H816" t="str">
            <v>（二）来自持续经营和终止经营的净利润</v>
          </cell>
          <cell r="I816">
            <v>6815</v>
          </cell>
          <cell r="J816">
            <v>0</v>
          </cell>
        </row>
        <row r="817">
          <cell r="B817">
            <v>6816</v>
          </cell>
          <cell r="C817" t="str">
            <v>持续经营净利润</v>
          </cell>
          <cell r="D817">
            <v>1</v>
          </cell>
          <cell r="E817">
            <v>0</v>
          </cell>
          <cell r="F817">
            <v>0</v>
          </cell>
          <cell r="G817" t="str">
            <v>（一）持续经营净利润（净亏损以“-”号填列）</v>
          </cell>
          <cell r="H817" t="str">
            <v>其中：持续经营净利润（净亏损以“-”号填列）</v>
          </cell>
          <cell r="I817">
            <v>6816</v>
          </cell>
          <cell r="J817">
            <v>0</v>
          </cell>
        </row>
        <row r="818">
          <cell r="B818">
            <v>6817</v>
          </cell>
          <cell r="C818" t="str">
            <v>终止经营净利润</v>
          </cell>
          <cell r="D818">
            <v>1</v>
          </cell>
          <cell r="E818">
            <v>0</v>
          </cell>
          <cell r="F818">
            <v>0</v>
          </cell>
          <cell r="G818" t="str">
            <v>（二）终止经营净利润（净亏损以“-”号填列）</v>
          </cell>
          <cell r="H818" t="str">
            <v>终止经营净利润（净亏损以“-”号填列）</v>
          </cell>
          <cell r="I818">
            <v>6817</v>
          </cell>
          <cell r="J818">
            <v>0</v>
          </cell>
        </row>
        <row r="819">
          <cell r="B819">
            <v>9371</v>
          </cell>
          <cell r="C819" t="str">
            <v>政府补助</v>
          </cell>
          <cell r="D819">
            <v>0</v>
          </cell>
          <cell r="E819">
            <v>0</v>
          </cell>
          <cell r="F819">
            <v>0</v>
          </cell>
          <cell r="G819">
            <v>0</v>
          </cell>
          <cell r="H819">
            <v>0</v>
          </cell>
          <cell r="I819">
            <v>9371</v>
          </cell>
          <cell r="J819">
            <v>0</v>
          </cell>
        </row>
        <row r="820">
          <cell r="B820">
            <v>6171</v>
          </cell>
          <cell r="C820" t="str">
            <v>资产处置收益</v>
          </cell>
          <cell r="D820">
            <v>-1</v>
          </cell>
          <cell r="E820">
            <v>0</v>
          </cell>
          <cell r="F820">
            <v>6440</v>
          </cell>
          <cell r="G820" t="str">
            <v>资产处置收益(损失以“-”号填列）</v>
          </cell>
          <cell r="H820" t="str">
            <v>资产处置收益(损失以“-”号填列）</v>
          </cell>
          <cell r="I820">
            <v>6171</v>
          </cell>
          <cell r="J820" t="str">
            <v>J</v>
          </cell>
        </row>
        <row r="821">
          <cell r="B821">
            <v>6830</v>
          </cell>
          <cell r="C821" t="str">
            <v>净利润按所有权归属分类</v>
          </cell>
          <cell r="D821">
            <v>0</v>
          </cell>
          <cell r="E821" t="str">
            <v>※</v>
          </cell>
          <cell r="F821">
            <v>0</v>
          </cell>
          <cell r="G821">
            <v>0</v>
          </cell>
          <cell r="H821" t="str">
            <v>（二）按所有权归属分类：</v>
          </cell>
          <cell r="I821">
            <v>6830</v>
          </cell>
          <cell r="J821">
            <v>0</v>
          </cell>
        </row>
        <row r="822">
          <cell r="B822">
            <v>6835</v>
          </cell>
          <cell r="C822" t="str">
            <v>净利润按经营持续性分类</v>
          </cell>
          <cell r="D822">
            <v>0</v>
          </cell>
          <cell r="E822" t="str">
            <v>※</v>
          </cell>
          <cell r="F822">
            <v>0</v>
          </cell>
          <cell r="G822">
            <v>0</v>
          </cell>
          <cell r="H822" t="str">
            <v>（一）按经营持续性分类：</v>
          </cell>
          <cell r="I822">
            <v>6835</v>
          </cell>
          <cell r="J822">
            <v>0</v>
          </cell>
        </row>
        <row r="823">
          <cell r="B823">
            <v>1123</v>
          </cell>
          <cell r="C823" t="str">
            <v>应收票据及应收账款</v>
          </cell>
          <cell r="D823">
            <v>1</v>
          </cell>
          <cell r="E823">
            <v>0</v>
          </cell>
          <cell r="F823">
            <v>0</v>
          </cell>
          <cell r="G823" t="str">
            <v>应收票据及应收账款</v>
          </cell>
          <cell r="H823" t="str">
            <v>应收票据及应收账款</v>
          </cell>
          <cell r="I823">
            <v>1123</v>
          </cell>
          <cell r="J823" t="str">
            <v>J</v>
          </cell>
        </row>
        <row r="824">
          <cell r="B824">
            <v>2203</v>
          </cell>
          <cell r="C824" t="str">
            <v>应付票据及应付账款</v>
          </cell>
          <cell r="D824">
            <v>-1</v>
          </cell>
          <cell r="E824">
            <v>0</v>
          </cell>
          <cell r="F824">
            <v>0</v>
          </cell>
          <cell r="G824" t="str">
            <v>应付票据及应付账款</v>
          </cell>
          <cell r="H824" t="str">
            <v>应付票据及应付账款</v>
          </cell>
          <cell r="I824">
            <v>2203</v>
          </cell>
          <cell r="J824" t="str">
            <v>J</v>
          </cell>
        </row>
        <row r="825">
          <cell r="B825" t="str">
            <v>6603_01</v>
          </cell>
          <cell r="C825" t="str">
            <v>财务费用_利息费用</v>
          </cell>
          <cell r="D825">
            <v>1</v>
          </cell>
          <cell r="E825">
            <v>0</v>
          </cell>
          <cell r="F825">
            <v>0</v>
          </cell>
          <cell r="G825" t="str">
            <v>其中：利息费用</v>
          </cell>
          <cell r="H825" t="str">
            <v>其中：利息费用</v>
          </cell>
          <cell r="I825" t="str">
            <v>6603_01</v>
          </cell>
          <cell r="J825" t="str">
            <v>J</v>
          </cell>
        </row>
        <row r="826">
          <cell r="B826" t="str">
            <v>6603_06</v>
          </cell>
          <cell r="C826" t="str">
            <v>财务费用_利息收入</v>
          </cell>
          <cell r="D826">
            <v>-1</v>
          </cell>
          <cell r="E826">
            <v>0</v>
          </cell>
          <cell r="F826">
            <v>0</v>
          </cell>
          <cell r="G826" t="str">
            <v xml:space="preserve">      利息收入</v>
          </cell>
          <cell r="H826" t="str">
            <v xml:space="preserve">      利息收入</v>
          </cell>
          <cell r="I826" t="str">
            <v>6603_06</v>
          </cell>
          <cell r="J826" t="str">
            <v>J</v>
          </cell>
        </row>
        <row r="827">
          <cell r="B827">
            <v>6606</v>
          </cell>
          <cell r="C827" t="str">
            <v>研发费用</v>
          </cell>
          <cell r="D827">
            <v>1</v>
          </cell>
          <cell r="E827">
            <v>0</v>
          </cell>
          <cell r="F827">
            <v>6370</v>
          </cell>
          <cell r="G827" t="str">
            <v>研发费用</v>
          </cell>
          <cell r="H827" t="str">
            <v>研发费用</v>
          </cell>
          <cell r="I827">
            <v>6606</v>
          </cell>
          <cell r="J827" t="str">
            <v>J</v>
          </cell>
        </row>
        <row r="828">
          <cell r="B828">
            <v>1220</v>
          </cell>
          <cell r="C828" t="str">
            <v>其他应收款（报表项目）</v>
          </cell>
          <cell r="D828">
            <v>1</v>
          </cell>
          <cell r="E828">
            <v>0</v>
          </cell>
          <cell r="F828">
            <v>0</v>
          </cell>
          <cell r="G828" t="str">
            <v>其他应收款</v>
          </cell>
          <cell r="H828" t="str">
            <v>其他应收款</v>
          </cell>
          <cell r="I828">
            <v>1220</v>
          </cell>
          <cell r="J828">
            <v>0</v>
          </cell>
        </row>
        <row r="829">
          <cell r="B829">
            <v>1611</v>
          </cell>
          <cell r="C829" t="str">
            <v>固定资产（报表项目）</v>
          </cell>
          <cell r="D829">
            <v>1</v>
          </cell>
          <cell r="E829">
            <v>0</v>
          </cell>
          <cell r="F829">
            <v>0</v>
          </cell>
          <cell r="G829" t="str">
            <v>固定资产</v>
          </cell>
          <cell r="H829" t="str">
            <v>固定资产</v>
          </cell>
          <cell r="I829">
            <v>1611</v>
          </cell>
          <cell r="J829">
            <v>0</v>
          </cell>
        </row>
        <row r="830">
          <cell r="B830">
            <v>1616</v>
          </cell>
          <cell r="C830" t="str">
            <v>在建工程（报表项目）</v>
          </cell>
          <cell r="D830">
            <v>1</v>
          </cell>
          <cell r="E830">
            <v>0</v>
          </cell>
          <cell r="F830">
            <v>0</v>
          </cell>
          <cell r="G830" t="str">
            <v>在建工程</v>
          </cell>
          <cell r="H830" t="str">
            <v>在建工程</v>
          </cell>
          <cell r="I830">
            <v>1616</v>
          </cell>
          <cell r="J830">
            <v>0</v>
          </cell>
        </row>
        <row r="831">
          <cell r="B831">
            <v>2246</v>
          </cell>
          <cell r="C831" t="str">
            <v>其他应付款（报表项目）</v>
          </cell>
          <cell r="D831">
            <v>-1</v>
          </cell>
          <cell r="E831">
            <v>0</v>
          </cell>
          <cell r="F831">
            <v>0</v>
          </cell>
          <cell r="G831" t="str">
            <v>其他应付款</v>
          </cell>
          <cell r="H831" t="str">
            <v>其他应付款</v>
          </cell>
          <cell r="I831">
            <v>2246</v>
          </cell>
          <cell r="J831">
            <v>0</v>
          </cell>
        </row>
        <row r="832">
          <cell r="B832">
            <v>2706</v>
          </cell>
          <cell r="C832" t="str">
            <v>长期应付款（报表项目）</v>
          </cell>
          <cell r="D832">
            <v>-1</v>
          </cell>
          <cell r="E832">
            <v>0</v>
          </cell>
          <cell r="F832">
            <v>0</v>
          </cell>
          <cell r="G832" t="str">
            <v>长期应付款</v>
          </cell>
          <cell r="H832" t="str">
            <v>长期应付款</v>
          </cell>
          <cell r="I832">
            <v>2706</v>
          </cell>
          <cell r="J832">
            <v>0</v>
          </cell>
        </row>
      </sheetData>
      <sheetData sheetId="1">
        <row r="5">
          <cell r="F5">
            <v>43465</v>
          </cell>
        </row>
        <row r="6">
          <cell r="F6">
            <v>43100</v>
          </cell>
        </row>
        <row r="7">
          <cell r="F7" t="str">
            <v>2018年度</v>
          </cell>
        </row>
        <row r="8">
          <cell r="F8" t="str">
            <v>2017年度</v>
          </cell>
        </row>
      </sheetData>
      <sheetData sheetId="2"/>
      <sheetData sheetId="3">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E9">
            <v>0</v>
          </cell>
          <cell r="F9">
            <v>0</v>
          </cell>
          <cell r="G9">
            <v>0</v>
          </cell>
          <cell r="H9">
            <v>2000</v>
          </cell>
          <cell r="I9" t="str">
            <v>流动负债：</v>
          </cell>
          <cell r="J9">
            <v>0</v>
          </cell>
          <cell r="K9">
            <v>0</v>
          </cell>
          <cell r="L9">
            <v>0</v>
          </cell>
        </row>
        <row r="10">
          <cell r="C10">
            <v>1015</v>
          </cell>
          <cell r="D10" t="str">
            <v>货币资金</v>
          </cell>
          <cell r="E10">
            <v>0</v>
          </cell>
          <cell r="F10">
            <v>50750127.640000001</v>
          </cell>
          <cell r="G10">
            <v>25336264.57</v>
          </cell>
          <cell r="H10">
            <v>2001</v>
          </cell>
          <cell r="I10" t="str">
            <v>短期借款</v>
          </cell>
          <cell r="J10">
            <v>0</v>
          </cell>
          <cell r="K10">
            <v>25000000</v>
          </cell>
          <cell r="L10">
            <v>17000000</v>
          </cell>
        </row>
        <row r="11">
          <cell r="C11">
            <v>1021</v>
          </cell>
          <cell r="D11" t="str">
            <v>结算备付金</v>
          </cell>
          <cell r="E11">
            <v>0</v>
          </cell>
          <cell r="F11">
            <v>0</v>
          </cell>
          <cell r="G11">
            <v>0</v>
          </cell>
          <cell r="H11">
            <v>2004</v>
          </cell>
          <cell r="I11" t="str">
            <v>向中央银行借款</v>
          </cell>
          <cell r="J11">
            <v>0</v>
          </cell>
          <cell r="K11">
            <v>0</v>
          </cell>
          <cell r="L11">
            <v>0</v>
          </cell>
        </row>
        <row r="12">
          <cell r="C12">
            <v>1302</v>
          </cell>
          <cell r="D12" t="str">
            <v>拆出资金</v>
          </cell>
          <cell r="E12">
            <v>0</v>
          </cell>
          <cell r="F12">
            <v>0</v>
          </cell>
          <cell r="G12">
            <v>0</v>
          </cell>
          <cell r="H12">
            <v>2010</v>
          </cell>
          <cell r="I12" t="str">
            <v>吸收存款及同业存放</v>
          </cell>
          <cell r="J12">
            <v>0</v>
          </cell>
          <cell r="K12">
            <v>0</v>
          </cell>
          <cell r="L12">
            <v>0</v>
          </cell>
        </row>
        <row r="13">
          <cell r="C13">
            <v>0</v>
          </cell>
          <cell r="D13">
            <v>0</v>
          </cell>
          <cell r="E13">
            <v>0</v>
          </cell>
          <cell r="F13">
            <v>0</v>
          </cell>
          <cell r="G13">
            <v>0</v>
          </cell>
          <cell r="H13">
            <v>2003</v>
          </cell>
          <cell r="I13" t="str">
            <v>拆入资金</v>
          </cell>
          <cell r="J13">
            <v>0</v>
          </cell>
          <cell r="K13">
            <v>0</v>
          </cell>
          <cell r="L13">
            <v>0</v>
          </cell>
        </row>
        <row r="14">
          <cell r="C14">
            <v>1101</v>
          </cell>
          <cell r="D14" t="str">
            <v>以公允价值计量且其变动计入当期损益的金融资产</v>
          </cell>
          <cell r="E14">
            <v>0</v>
          </cell>
          <cell r="F14">
            <v>0</v>
          </cell>
          <cell r="G14">
            <v>0</v>
          </cell>
          <cell r="H14">
            <v>2101</v>
          </cell>
          <cell r="I14" t="str">
            <v>以公允价值计量且其变动计入当期损益的金融负债</v>
          </cell>
          <cell r="J14">
            <v>0</v>
          </cell>
          <cell r="K14">
            <v>0</v>
          </cell>
          <cell r="L14">
            <v>0</v>
          </cell>
        </row>
        <row r="15">
          <cell r="C15">
            <v>1115</v>
          </cell>
          <cell r="D15" t="str">
            <v>衍生金融资产</v>
          </cell>
          <cell r="E15">
            <v>0</v>
          </cell>
          <cell r="F15">
            <v>0</v>
          </cell>
          <cell r="G15">
            <v>0</v>
          </cell>
          <cell r="H15">
            <v>2115</v>
          </cell>
          <cell r="I15" t="str">
            <v>衍生金融负债</v>
          </cell>
          <cell r="J15">
            <v>0</v>
          </cell>
          <cell r="K15">
            <v>0</v>
          </cell>
          <cell r="L15">
            <v>0</v>
          </cell>
        </row>
        <row r="16">
          <cell r="C16">
            <v>1123</v>
          </cell>
          <cell r="D16" t="str">
            <v>应收票据及应收账款</v>
          </cell>
          <cell r="E16">
            <v>0</v>
          </cell>
          <cell r="F16">
            <v>342264905.88</v>
          </cell>
          <cell r="G16">
            <v>287339266.75999999</v>
          </cell>
          <cell r="H16">
            <v>2203</v>
          </cell>
          <cell r="I16" t="str">
            <v>应付票据及应付账款</v>
          </cell>
          <cell r="J16">
            <v>0</v>
          </cell>
          <cell r="K16">
            <v>140437246.63999999</v>
          </cell>
          <cell r="L16">
            <v>119050596.31999999</v>
          </cell>
        </row>
        <row r="17">
          <cell r="C17">
            <v>1121</v>
          </cell>
          <cell r="D17" t="str">
            <v>其中：应收票据</v>
          </cell>
          <cell r="E17">
            <v>0</v>
          </cell>
          <cell r="F17">
            <v>1000000</v>
          </cell>
          <cell r="G17">
            <v>1140000</v>
          </cell>
          <cell r="H17">
            <v>2201</v>
          </cell>
          <cell r="I17" t="str">
            <v>其中：应付票据</v>
          </cell>
          <cell r="J17">
            <v>0</v>
          </cell>
          <cell r="K17">
            <v>0</v>
          </cell>
          <cell r="L17">
            <v>0</v>
          </cell>
        </row>
        <row r="18">
          <cell r="C18">
            <v>1122</v>
          </cell>
          <cell r="D18" t="str">
            <v>其中：应收账款</v>
          </cell>
          <cell r="E18">
            <v>0</v>
          </cell>
          <cell r="F18">
            <v>341264905.88</v>
          </cell>
          <cell r="G18">
            <v>286199266.75999999</v>
          </cell>
          <cell r="H18">
            <v>2202</v>
          </cell>
          <cell r="I18" t="str">
            <v>其中：应付账款</v>
          </cell>
          <cell r="J18">
            <v>0</v>
          </cell>
          <cell r="K18">
            <v>140437246.63999999</v>
          </cell>
          <cell r="L18">
            <v>119050596.31999999</v>
          </cell>
        </row>
        <row r="19">
          <cell r="C19">
            <v>1125</v>
          </cell>
          <cell r="D19" t="str">
            <v>预付款项</v>
          </cell>
          <cell r="E19">
            <v>0</v>
          </cell>
          <cell r="F19">
            <v>18525361.829999998</v>
          </cell>
          <cell r="G19">
            <v>9352722.6999999993</v>
          </cell>
          <cell r="H19">
            <v>2205</v>
          </cell>
          <cell r="I19" t="str">
            <v>预收款项</v>
          </cell>
          <cell r="J19">
            <v>0</v>
          </cell>
          <cell r="K19">
            <v>62353862.049999997</v>
          </cell>
          <cell r="L19">
            <v>43673465.719999999</v>
          </cell>
        </row>
        <row r="20">
          <cell r="C20">
            <v>1127</v>
          </cell>
          <cell r="D20" t="str">
            <v>应收保费</v>
          </cell>
          <cell r="E20">
            <v>0</v>
          </cell>
          <cell r="F20">
            <v>0</v>
          </cell>
          <cell r="G20">
            <v>0</v>
          </cell>
          <cell r="H20">
            <v>2111</v>
          </cell>
          <cell r="I20" t="str">
            <v>卖出回购金融资产款</v>
          </cell>
          <cell r="J20">
            <v>0</v>
          </cell>
          <cell r="K20">
            <v>0</v>
          </cell>
          <cell r="L20">
            <v>0</v>
          </cell>
        </row>
        <row r="21">
          <cell r="C21">
            <v>1211</v>
          </cell>
          <cell r="D21" t="str">
            <v>应收分保账款</v>
          </cell>
          <cell r="E21">
            <v>0</v>
          </cell>
          <cell r="F21">
            <v>0</v>
          </cell>
          <cell r="G21">
            <v>0</v>
          </cell>
          <cell r="H21">
            <v>2240</v>
          </cell>
          <cell r="I21" t="str">
            <v>应付手续费及佣金</v>
          </cell>
          <cell r="J21">
            <v>0</v>
          </cell>
          <cell r="K21">
            <v>0</v>
          </cell>
          <cell r="L21">
            <v>0</v>
          </cell>
        </row>
        <row r="22">
          <cell r="C22">
            <v>1212</v>
          </cell>
          <cell r="D22" t="str">
            <v>应收分保准备金</v>
          </cell>
          <cell r="E22">
            <v>0</v>
          </cell>
          <cell r="F22">
            <v>0</v>
          </cell>
          <cell r="G22">
            <v>0</v>
          </cell>
          <cell r="H22">
            <v>0</v>
          </cell>
          <cell r="I22">
            <v>0</v>
          </cell>
          <cell r="J22">
            <v>0</v>
          </cell>
          <cell r="K22">
            <v>0</v>
          </cell>
          <cell r="L22">
            <v>0</v>
          </cell>
        </row>
        <row r="23">
          <cell r="C23">
            <v>1220</v>
          </cell>
          <cell r="D23" t="str">
            <v>其他应收款（报表项目）</v>
          </cell>
          <cell r="E23">
            <v>0</v>
          </cell>
          <cell r="F23">
            <v>8761740.1199999992</v>
          </cell>
          <cell r="G23">
            <v>7271224</v>
          </cell>
          <cell r="H23">
            <v>2211</v>
          </cell>
          <cell r="I23" t="str">
            <v>应付职工薪酬</v>
          </cell>
          <cell r="J23">
            <v>0</v>
          </cell>
          <cell r="K23">
            <v>73396048.829999998</v>
          </cell>
          <cell r="L23">
            <v>63235387.090000004</v>
          </cell>
        </row>
        <row r="24">
          <cell r="C24">
            <v>1132</v>
          </cell>
          <cell r="D24" t="str">
            <v>其中：应收利息</v>
          </cell>
          <cell r="E24">
            <v>0</v>
          </cell>
          <cell r="F24">
            <v>0</v>
          </cell>
          <cell r="G24">
            <v>0</v>
          </cell>
          <cell r="H24">
            <v>2221</v>
          </cell>
          <cell r="I24" t="str">
            <v>应交税费</v>
          </cell>
          <cell r="J24">
            <v>0</v>
          </cell>
          <cell r="K24">
            <v>15328590.75</v>
          </cell>
          <cell r="L24">
            <v>13807685.859999999</v>
          </cell>
        </row>
        <row r="25">
          <cell r="C25">
            <v>1131</v>
          </cell>
          <cell r="D25" t="str">
            <v>其中：应收股利</v>
          </cell>
          <cell r="E25">
            <v>0</v>
          </cell>
          <cell r="F25">
            <v>0</v>
          </cell>
          <cell r="G25">
            <v>0</v>
          </cell>
          <cell r="H25">
            <v>2246</v>
          </cell>
          <cell r="I25" t="str">
            <v>其他应付款（报表项目）</v>
          </cell>
          <cell r="J25">
            <v>0</v>
          </cell>
          <cell r="K25">
            <v>15379594.42</v>
          </cell>
          <cell r="L25">
            <v>17046075.09</v>
          </cell>
        </row>
        <row r="26">
          <cell r="C26">
            <v>1221</v>
          </cell>
          <cell r="D26" t="str">
            <v>其中：其他应收款</v>
          </cell>
          <cell r="E26">
            <v>0</v>
          </cell>
          <cell r="F26">
            <v>8761740.1199999992</v>
          </cell>
          <cell r="G26">
            <v>7271224</v>
          </cell>
          <cell r="H26">
            <v>2231</v>
          </cell>
          <cell r="I26" t="str">
            <v>其中：应付利息</v>
          </cell>
          <cell r="J26">
            <v>0</v>
          </cell>
          <cell r="K26">
            <v>0</v>
          </cell>
          <cell r="L26">
            <v>0</v>
          </cell>
        </row>
        <row r="27">
          <cell r="C27">
            <v>1111</v>
          </cell>
          <cell r="D27" t="str">
            <v>买入返售金融资产</v>
          </cell>
          <cell r="E27">
            <v>0</v>
          </cell>
          <cell r="F27">
            <v>0</v>
          </cell>
          <cell r="G27">
            <v>0</v>
          </cell>
          <cell r="H27">
            <v>0</v>
          </cell>
          <cell r="I27">
            <v>0</v>
          </cell>
          <cell r="J27">
            <v>0</v>
          </cell>
          <cell r="K27">
            <v>0</v>
          </cell>
          <cell r="L27">
            <v>0</v>
          </cell>
        </row>
        <row r="28">
          <cell r="C28">
            <v>1400</v>
          </cell>
          <cell r="D28" t="str">
            <v>存货</v>
          </cell>
          <cell r="E28">
            <v>0</v>
          </cell>
          <cell r="F28">
            <v>25371569.420000002</v>
          </cell>
          <cell r="G28">
            <v>28645775.129999999</v>
          </cell>
          <cell r="H28">
            <v>2232</v>
          </cell>
          <cell r="I28" t="str">
            <v>其中：应付股利</v>
          </cell>
          <cell r="J28">
            <v>0</v>
          </cell>
          <cell r="K28">
            <v>0</v>
          </cell>
          <cell r="L28">
            <v>0</v>
          </cell>
        </row>
        <row r="29">
          <cell r="C29">
            <v>0</v>
          </cell>
          <cell r="D29">
            <v>0</v>
          </cell>
          <cell r="E29">
            <v>0</v>
          </cell>
          <cell r="F29">
            <v>0</v>
          </cell>
          <cell r="G29">
            <v>0</v>
          </cell>
          <cell r="H29">
            <v>2241</v>
          </cell>
          <cell r="I29" t="str">
            <v>其中：其他应付款</v>
          </cell>
          <cell r="J29">
            <v>0</v>
          </cell>
          <cell r="K29">
            <v>15379594.42</v>
          </cell>
          <cell r="L29">
            <v>17046075.09</v>
          </cell>
        </row>
        <row r="30">
          <cell r="C30">
            <v>0</v>
          </cell>
          <cell r="D30">
            <v>0</v>
          </cell>
          <cell r="E30">
            <v>0</v>
          </cell>
          <cell r="F30">
            <v>0</v>
          </cell>
          <cell r="G30">
            <v>0</v>
          </cell>
          <cell r="H30">
            <v>2261</v>
          </cell>
          <cell r="I30" t="str">
            <v>应付分保账款</v>
          </cell>
          <cell r="J30">
            <v>0</v>
          </cell>
          <cell r="K30">
            <v>0</v>
          </cell>
          <cell r="L30">
            <v>0</v>
          </cell>
        </row>
        <row r="31">
          <cell r="C31">
            <v>0</v>
          </cell>
          <cell r="D31">
            <v>0</v>
          </cell>
          <cell r="E31">
            <v>0</v>
          </cell>
          <cell r="F31">
            <v>0</v>
          </cell>
          <cell r="G31">
            <v>0</v>
          </cell>
          <cell r="H31">
            <v>2310</v>
          </cell>
          <cell r="I31" t="str">
            <v>保险合同准备金</v>
          </cell>
          <cell r="J31">
            <v>0</v>
          </cell>
          <cell r="K31">
            <v>0</v>
          </cell>
          <cell r="L31">
            <v>0</v>
          </cell>
        </row>
        <row r="32">
          <cell r="C32">
            <v>0</v>
          </cell>
          <cell r="D32">
            <v>0</v>
          </cell>
          <cell r="E32">
            <v>0</v>
          </cell>
          <cell r="F32">
            <v>0</v>
          </cell>
          <cell r="G32">
            <v>0</v>
          </cell>
          <cell r="H32">
            <v>2311</v>
          </cell>
          <cell r="I32" t="str">
            <v>代理买卖证券款</v>
          </cell>
          <cell r="J32">
            <v>0</v>
          </cell>
          <cell r="K32">
            <v>0</v>
          </cell>
          <cell r="L32">
            <v>0</v>
          </cell>
        </row>
        <row r="33">
          <cell r="C33">
            <v>0</v>
          </cell>
          <cell r="D33">
            <v>0</v>
          </cell>
          <cell r="E33">
            <v>0</v>
          </cell>
          <cell r="F33">
            <v>0</v>
          </cell>
          <cell r="G33">
            <v>0</v>
          </cell>
          <cell r="H33">
            <v>2312</v>
          </cell>
          <cell r="I33" t="str">
            <v>代理承销证券款</v>
          </cell>
          <cell r="J33">
            <v>0</v>
          </cell>
          <cell r="K33">
            <v>0</v>
          </cell>
          <cell r="L33">
            <v>0</v>
          </cell>
        </row>
        <row r="34">
          <cell r="C34">
            <v>1315</v>
          </cell>
          <cell r="D34" t="str">
            <v>持有待售资产</v>
          </cell>
          <cell r="E34">
            <v>0</v>
          </cell>
          <cell r="F34">
            <v>0</v>
          </cell>
          <cell r="G34">
            <v>0</v>
          </cell>
          <cell r="H34">
            <v>2315</v>
          </cell>
          <cell r="I34" t="str">
            <v>持有待售负债</v>
          </cell>
          <cell r="J34">
            <v>0</v>
          </cell>
          <cell r="K34">
            <v>0</v>
          </cell>
          <cell r="L34">
            <v>0</v>
          </cell>
        </row>
        <row r="35">
          <cell r="C35">
            <v>1495</v>
          </cell>
          <cell r="D35" t="str">
            <v>一年内到期的非流动资产</v>
          </cell>
          <cell r="E35">
            <v>0</v>
          </cell>
          <cell r="F35">
            <v>0</v>
          </cell>
          <cell r="G35">
            <v>0</v>
          </cell>
          <cell r="H35">
            <v>2395</v>
          </cell>
          <cell r="I35" t="str">
            <v>一年内到期的非流动负债</v>
          </cell>
          <cell r="J35">
            <v>0</v>
          </cell>
          <cell r="K35">
            <v>0</v>
          </cell>
          <cell r="L35">
            <v>0</v>
          </cell>
        </row>
        <row r="36">
          <cell r="C36">
            <v>1496</v>
          </cell>
          <cell r="D36" t="str">
            <v>其他流动资产</v>
          </cell>
          <cell r="E36">
            <v>0</v>
          </cell>
          <cell r="F36">
            <v>0</v>
          </cell>
          <cell r="G36">
            <v>0</v>
          </cell>
          <cell r="H36">
            <v>2396</v>
          </cell>
          <cell r="I36" t="str">
            <v>其他流动负债</v>
          </cell>
          <cell r="J36">
            <v>0</v>
          </cell>
          <cell r="K36">
            <v>0</v>
          </cell>
          <cell r="L36">
            <v>0</v>
          </cell>
        </row>
        <row r="37">
          <cell r="C37">
            <v>1498</v>
          </cell>
          <cell r="D37" t="str">
            <v>流动资产合计</v>
          </cell>
          <cell r="E37">
            <v>0</v>
          </cell>
          <cell r="F37">
            <v>445673704.88999999</v>
          </cell>
          <cell r="G37">
            <v>357945253.16000003</v>
          </cell>
          <cell r="H37">
            <v>2498</v>
          </cell>
          <cell r="I37" t="str">
            <v>流动负债合计</v>
          </cell>
          <cell r="J37">
            <v>0</v>
          </cell>
          <cell r="K37">
            <v>331895342.69</v>
          </cell>
          <cell r="L37">
            <v>273813210.07999998</v>
          </cell>
        </row>
        <row r="38">
          <cell r="C38">
            <v>1500</v>
          </cell>
          <cell r="D38" t="str">
            <v>非流动资产：</v>
          </cell>
          <cell r="E38">
            <v>0</v>
          </cell>
          <cell r="F38">
            <v>0</v>
          </cell>
          <cell r="G38">
            <v>0</v>
          </cell>
          <cell r="H38">
            <v>2500</v>
          </cell>
          <cell r="I38" t="str">
            <v>非流动负债：</v>
          </cell>
          <cell r="J38">
            <v>0</v>
          </cell>
          <cell r="K38">
            <v>0</v>
          </cell>
          <cell r="L38">
            <v>0</v>
          </cell>
        </row>
        <row r="39">
          <cell r="C39">
            <v>1600</v>
          </cell>
          <cell r="D39" t="str">
            <v>发放贷款及垫款</v>
          </cell>
          <cell r="E39">
            <v>0</v>
          </cell>
          <cell r="F39">
            <v>0</v>
          </cell>
          <cell r="G39">
            <v>0</v>
          </cell>
          <cell r="H39">
            <v>0</v>
          </cell>
          <cell r="I39">
            <v>0</v>
          </cell>
          <cell r="J39">
            <v>0</v>
          </cell>
          <cell r="K39">
            <v>0</v>
          </cell>
          <cell r="L39">
            <v>0</v>
          </cell>
        </row>
        <row r="40">
          <cell r="C40">
            <v>1503</v>
          </cell>
          <cell r="D40" t="str">
            <v>可供出售金融资产</v>
          </cell>
          <cell r="E40">
            <v>0</v>
          </cell>
          <cell r="F40">
            <v>0</v>
          </cell>
          <cell r="G40">
            <v>0</v>
          </cell>
          <cell r="H40">
            <v>2501</v>
          </cell>
          <cell r="I40" t="str">
            <v>长期借款</v>
          </cell>
          <cell r="J40">
            <v>0</v>
          </cell>
          <cell r="K40">
            <v>0</v>
          </cell>
          <cell r="L40">
            <v>0</v>
          </cell>
        </row>
        <row r="41">
          <cell r="C41">
            <v>1501</v>
          </cell>
          <cell r="D41" t="str">
            <v>持有至到期投资</v>
          </cell>
          <cell r="E41">
            <v>0</v>
          </cell>
          <cell r="F41">
            <v>0</v>
          </cell>
          <cell r="G41">
            <v>0</v>
          </cell>
          <cell r="H41">
            <v>0</v>
          </cell>
          <cell r="I41">
            <v>0</v>
          </cell>
          <cell r="J41">
            <v>0</v>
          </cell>
          <cell r="K41">
            <v>0</v>
          </cell>
          <cell r="L41">
            <v>0</v>
          </cell>
        </row>
        <row r="42">
          <cell r="C42">
            <v>1531</v>
          </cell>
          <cell r="D42" t="str">
            <v>长期应收款</v>
          </cell>
          <cell r="E42">
            <v>0</v>
          </cell>
          <cell r="F42">
            <v>0</v>
          </cell>
          <cell r="G42">
            <v>0</v>
          </cell>
          <cell r="H42">
            <v>2502</v>
          </cell>
          <cell r="I42" t="str">
            <v>应付债券</v>
          </cell>
          <cell r="J42">
            <v>0</v>
          </cell>
          <cell r="K42">
            <v>0</v>
          </cell>
          <cell r="L42">
            <v>0</v>
          </cell>
        </row>
        <row r="43">
          <cell r="C43">
            <v>1515</v>
          </cell>
          <cell r="D43" t="str">
            <v>设定受益计划净资产</v>
          </cell>
          <cell r="E43">
            <v>0</v>
          </cell>
          <cell r="F43">
            <v>0</v>
          </cell>
          <cell r="G43">
            <v>0</v>
          </cell>
          <cell r="H43">
            <v>2502.11</v>
          </cell>
          <cell r="I43" t="str">
            <v>其中：优先股</v>
          </cell>
          <cell r="J43">
            <v>0</v>
          </cell>
          <cell r="K43">
            <v>0</v>
          </cell>
          <cell r="L43">
            <v>0</v>
          </cell>
        </row>
        <row r="44">
          <cell r="C44">
            <v>0</v>
          </cell>
          <cell r="D44">
            <v>0</v>
          </cell>
          <cell r="E44">
            <v>0</v>
          </cell>
          <cell r="F44">
            <v>0</v>
          </cell>
          <cell r="G44">
            <v>0</v>
          </cell>
          <cell r="H44">
            <v>2502.31</v>
          </cell>
          <cell r="I44" t="str">
            <v xml:space="preserve">      永续债</v>
          </cell>
          <cell r="J44">
            <v>0</v>
          </cell>
          <cell r="K44">
            <v>0</v>
          </cell>
          <cell r="L44">
            <v>0</v>
          </cell>
        </row>
        <row r="45">
          <cell r="C45">
            <v>1511</v>
          </cell>
          <cell r="D45" t="str">
            <v>长期股权投资</v>
          </cell>
          <cell r="E45">
            <v>0</v>
          </cell>
          <cell r="F45">
            <v>3842443.32</v>
          </cell>
          <cell r="G45">
            <v>1996171.61</v>
          </cell>
          <cell r="H45">
            <v>2706</v>
          </cell>
          <cell r="I45" t="str">
            <v>长期应付款（报表项目）</v>
          </cell>
          <cell r="J45">
            <v>0</v>
          </cell>
          <cell r="K45">
            <v>0</v>
          </cell>
          <cell r="L45">
            <v>0</v>
          </cell>
        </row>
        <row r="46">
          <cell r="C46">
            <v>1521</v>
          </cell>
          <cell r="D46" t="str">
            <v>投资性房地产</v>
          </cell>
          <cell r="E46">
            <v>0</v>
          </cell>
          <cell r="F46">
            <v>2669786.61</v>
          </cell>
          <cell r="G46">
            <v>2817760.17</v>
          </cell>
          <cell r="H46">
            <v>2701</v>
          </cell>
          <cell r="I46" t="str">
            <v>其中：长期应付款</v>
          </cell>
          <cell r="J46">
            <v>0</v>
          </cell>
          <cell r="K46">
            <v>0</v>
          </cell>
          <cell r="L46">
            <v>0</v>
          </cell>
        </row>
        <row r="47">
          <cell r="C47">
            <v>1611</v>
          </cell>
          <cell r="D47" t="str">
            <v>固定资产（报表项目）</v>
          </cell>
          <cell r="E47">
            <v>0</v>
          </cell>
          <cell r="F47">
            <v>2078152.2</v>
          </cell>
          <cell r="G47">
            <v>2359977.84</v>
          </cell>
          <cell r="H47">
            <v>2711</v>
          </cell>
          <cell r="I47" t="str">
            <v>其中：专项应付款</v>
          </cell>
          <cell r="J47">
            <v>0</v>
          </cell>
          <cell r="K47">
            <v>0</v>
          </cell>
          <cell r="L47">
            <v>0</v>
          </cell>
        </row>
        <row r="48">
          <cell r="C48">
            <v>1601</v>
          </cell>
          <cell r="D48" t="str">
            <v>其中：固定资产</v>
          </cell>
          <cell r="E48">
            <v>0</v>
          </cell>
          <cell r="F48">
            <v>2078152.2</v>
          </cell>
          <cell r="G48">
            <v>2359977.84</v>
          </cell>
          <cell r="H48">
            <v>2715</v>
          </cell>
          <cell r="I48" t="str">
            <v>长期应付职工薪酬</v>
          </cell>
          <cell r="J48">
            <v>0</v>
          </cell>
          <cell r="K48">
            <v>0</v>
          </cell>
          <cell r="L48">
            <v>0</v>
          </cell>
        </row>
        <row r="49">
          <cell r="C49">
            <v>1606</v>
          </cell>
          <cell r="D49" t="str">
            <v>其中：固定资产清理</v>
          </cell>
          <cell r="E49">
            <v>0</v>
          </cell>
          <cell r="F49">
            <v>0</v>
          </cell>
          <cell r="G49">
            <v>0</v>
          </cell>
          <cell r="H49">
            <v>2801</v>
          </cell>
          <cell r="I49" t="str">
            <v>预计负债</v>
          </cell>
          <cell r="J49">
            <v>0</v>
          </cell>
          <cell r="K49">
            <v>0</v>
          </cell>
          <cell r="L49">
            <v>0</v>
          </cell>
        </row>
        <row r="50">
          <cell r="C50">
            <v>1616</v>
          </cell>
          <cell r="D50" t="str">
            <v>在建工程（报表项目）</v>
          </cell>
          <cell r="E50">
            <v>0</v>
          </cell>
          <cell r="F50">
            <v>0</v>
          </cell>
          <cell r="G50">
            <v>0</v>
          </cell>
          <cell r="H50">
            <v>2401</v>
          </cell>
          <cell r="I50" t="str">
            <v>递延收益</v>
          </cell>
          <cell r="J50">
            <v>0</v>
          </cell>
          <cell r="K50">
            <v>0</v>
          </cell>
          <cell r="L50">
            <v>0</v>
          </cell>
        </row>
        <row r="51">
          <cell r="C51">
            <v>1604</v>
          </cell>
          <cell r="D51" t="str">
            <v>其中：在建工程</v>
          </cell>
          <cell r="E51">
            <v>0</v>
          </cell>
          <cell r="F51">
            <v>0</v>
          </cell>
          <cell r="G51">
            <v>0</v>
          </cell>
          <cell r="H51">
            <v>2901</v>
          </cell>
          <cell r="I51" t="str">
            <v>递延所得税负债</v>
          </cell>
          <cell r="J51">
            <v>0</v>
          </cell>
          <cell r="K51">
            <v>0</v>
          </cell>
          <cell r="L51">
            <v>0</v>
          </cell>
        </row>
        <row r="52">
          <cell r="C52">
            <v>1605</v>
          </cell>
          <cell r="D52" t="str">
            <v>其中：工程物资</v>
          </cell>
          <cell r="E52">
            <v>0</v>
          </cell>
          <cell r="F52">
            <v>0</v>
          </cell>
          <cell r="G52">
            <v>0</v>
          </cell>
          <cell r="H52">
            <v>2996</v>
          </cell>
          <cell r="I52" t="str">
            <v>其他非流动负债</v>
          </cell>
          <cell r="J52">
            <v>0</v>
          </cell>
          <cell r="K52">
            <v>0</v>
          </cell>
          <cell r="L52">
            <v>0</v>
          </cell>
        </row>
        <row r="53">
          <cell r="C53">
            <v>1621</v>
          </cell>
          <cell r="D53" t="str">
            <v>生产性生物资产</v>
          </cell>
          <cell r="E53">
            <v>0</v>
          </cell>
          <cell r="F53">
            <v>0</v>
          </cell>
          <cell r="G53">
            <v>0</v>
          </cell>
          <cell r="H53">
            <v>2998</v>
          </cell>
          <cell r="I53" t="str">
            <v>非流动负债合计</v>
          </cell>
          <cell r="J53">
            <v>0</v>
          </cell>
          <cell r="K53">
            <v>0</v>
          </cell>
          <cell r="L53">
            <v>0</v>
          </cell>
        </row>
        <row r="54">
          <cell r="C54">
            <v>1631</v>
          </cell>
          <cell r="D54" t="str">
            <v>油气资产</v>
          </cell>
          <cell r="E54">
            <v>0</v>
          </cell>
          <cell r="F54">
            <v>0</v>
          </cell>
          <cell r="G54">
            <v>0</v>
          </cell>
          <cell r="H54">
            <v>2999</v>
          </cell>
          <cell r="I54" t="str">
            <v>负债合计</v>
          </cell>
          <cell r="J54">
            <v>0</v>
          </cell>
          <cell r="K54">
            <v>331895342.69</v>
          </cell>
          <cell r="L54">
            <v>273813210.07999998</v>
          </cell>
        </row>
        <row r="55">
          <cell r="C55">
            <v>1701</v>
          </cell>
          <cell r="D55" t="str">
            <v>无形资产</v>
          </cell>
          <cell r="E55">
            <v>0</v>
          </cell>
          <cell r="F55">
            <v>155734.57999999999</v>
          </cell>
          <cell r="G55">
            <v>96620.01</v>
          </cell>
          <cell r="H55">
            <v>4000</v>
          </cell>
          <cell r="I55" t="str">
            <v>所有者权益(或股东权益)：</v>
          </cell>
          <cell r="J55">
            <v>0</v>
          </cell>
          <cell r="K55">
            <v>0</v>
          </cell>
          <cell r="L55">
            <v>0</v>
          </cell>
        </row>
        <row r="56">
          <cell r="C56">
            <v>1700</v>
          </cell>
          <cell r="D56" t="str">
            <v>开发支出</v>
          </cell>
          <cell r="E56">
            <v>0</v>
          </cell>
          <cell r="F56">
            <v>0</v>
          </cell>
          <cell r="G56">
            <v>0</v>
          </cell>
          <cell r="H56">
            <v>4001</v>
          </cell>
          <cell r="I56" t="str">
            <v>实收资本（或股本）</v>
          </cell>
          <cell r="J56">
            <v>0</v>
          </cell>
          <cell r="K56">
            <v>20000000</v>
          </cell>
          <cell r="L56">
            <v>20000000</v>
          </cell>
        </row>
        <row r="57">
          <cell r="C57">
            <v>1711</v>
          </cell>
          <cell r="D57" t="str">
            <v>商誉</v>
          </cell>
          <cell r="E57">
            <v>0</v>
          </cell>
          <cell r="F57">
            <v>0</v>
          </cell>
          <cell r="G57">
            <v>0</v>
          </cell>
          <cell r="H57">
            <v>4015</v>
          </cell>
          <cell r="I57" t="str">
            <v>其他权益工具</v>
          </cell>
          <cell r="J57">
            <v>0</v>
          </cell>
          <cell r="K57">
            <v>0</v>
          </cell>
          <cell r="L57">
            <v>0</v>
          </cell>
        </row>
        <row r="58">
          <cell r="C58">
            <v>0</v>
          </cell>
          <cell r="D58">
            <v>0</v>
          </cell>
          <cell r="E58">
            <v>0</v>
          </cell>
          <cell r="F58">
            <v>0</v>
          </cell>
          <cell r="G58">
            <v>0</v>
          </cell>
          <cell r="H58">
            <v>4015.11</v>
          </cell>
          <cell r="I58" t="str">
            <v>其中：优先股</v>
          </cell>
          <cell r="J58">
            <v>0</v>
          </cell>
          <cell r="K58">
            <v>0</v>
          </cell>
          <cell r="L58">
            <v>0</v>
          </cell>
        </row>
        <row r="59">
          <cell r="C59">
            <v>0</v>
          </cell>
          <cell r="D59">
            <v>0</v>
          </cell>
          <cell r="E59">
            <v>0</v>
          </cell>
          <cell r="F59">
            <v>0</v>
          </cell>
          <cell r="G59">
            <v>0</v>
          </cell>
          <cell r="H59">
            <v>4015.31</v>
          </cell>
          <cell r="I59" t="str">
            <v xml:space="preserve">      永续债</v>
          </cell>
          <cell r="J59">
            <v>0</v>
          </cell>
          <cell r="K59">
            <v>0</v>
          </cell>
          <cell r="L59">
            <v>0</v>
          </cell>
        </row>
        <row r="60">
          <cell r="C60">
            <v>0</v>
          </cell>
          <cell r="D60">
            <v>0</v>
          </cell>
          <cell r="E60">
            <v>0</v>
          </cell>
          <cell r="F60">
            <v>0</v>
          </cell>
          <cell r="G60">
            <v>0</v>
          </cell>
          <cell r="H60">
            <v>4002</v>
          </cell>
          <cell r="I60" t="str">
            <v>资本公积</v>
          </cell>
          <cell r="J60">
            <v>0</v>
          </cell>
          <cell r="K60">
            <v>0</v>
          </cell>
          <cell r="L60">
            <v>0</v>
          </cell>
        </row>
        <row r="61">
          <cell r="C61">
            <v>1801</v>
          </cell>
          <cell r="D61" t="str">
            <v>长期待摊费用</v>
          </cell>
          <cell r="E61">
            <v>0</v>
          </cell>
          <cell r="F61">
            <v>0</v>
          </cell>
          <cell r="G61">
            <v>0</v>
          </cell>
          <cell r="H61">
            <v>4201</v>
          </cell>
          <cell r="I61" t="str">
            <v>减：库存股</v>
          </cell>
          <cell r="J61">
            <v>0</v>
          </cell>
          <cell r="K61">
            <v>0</v>
          </cell>
          <cell r="L61">
            <v>0</v>
          </cell>
        </row>
        <row r="62">
          <cell r="C62">
            <v>1811</v>
          </cell>
          <cell r="D62" t="str">
            <v>递延所得税资产</v>
          </cell>
          <cell r="E62">
            <v>0</v>
          </cell>
          <cell r="F62">
            <v>7344229.4000000004</v>
          </cell>
          <cell r="G62">
            <v>6262034.5899999999</v>
          </cell>
          <cell r="H62">
            <v>4215</v>
          </cell>
          <cell r="I62" t="str">
            <v>其他综合收益</v>
          </cell>
          <cell r="J62">
            <v>0</v>
          </cell>
          <cell r="K62">
            <v>0</v>
          </cell>
          <cell r="L62">
            <v>0</v>
          </cell>
        </row>
        <row r="63">
          <cell r="C63">
            <v>1996</v>
          </cell>
          <cell r="D63" t="str">
            <v>其他非流动资产</v>
          </cell>
          <cell r="E63">
            <v>0</v>
          </cell>
          <cell r="F63">
            <v>0</v>
          </cell>
          <cell r="G63">
            <v>0</v>
          </cell>
          <cell r="H63">
            <v>4301</v>
          </cell>
          <cell r="I63" t="str">
            <v>专项储备</v>
          </cell>
          <cell r="J63">
            <v>0</v>
          </cell>
          <cell r="K63">
            <v>0</v>
          </cell>
          <cell r="L63">
            <v>0</v>
          </cell>
        </row>
        <row r="64">
          <cell r="C64">
            <v>0</v>
          </cell>
          <cell r="D64">
            <v>0</v>
          </cell>
          <cell r="E64">
            <v>0</v>
          </cell>
          <cell r="F64">
            <v>0</v>
          </cell>
          <cell r="G64">
            <v>0</v>
          </cell>
          <cell r="H64">
            <v>4101</v>
          </cell>
          <cell r="I64" t="str">
            <v>盈余公积</v>
          </cell>
          <cell r="J64">
            <v>0</v>
          </cell>
          <cell r="K64">
            <v>10000000</v>
          </cell>
          <cell r="L64">
            <v>10000000</v>
          </cell>
        </row>
        <row r="65">
          <cell r="C65">
            <v>0</v>
          </cell>
          <cell r="D65">
            <v>0</v>
          </cell>
          <cell r="E65">
            <v>0</v>
          </cell>
          <cell r="F65">
            <v>0</v>
          </cell>
          <cell r="G65">
            <v>0</v>
          </cell>
          <cell r="H65">
            <v>4102</v>
          </cell>
          <cell r="I65" t="str">
            <v>一般风险准备</v>
          </cell>
          <cell r="J65">
            <v>0</v>
          </cell>
          <cell r="K65">
            <v>0</v>
          </cell>
          <cell r="L65">
            <v>0</v>
          </cell>
        </row>
        <row r="66">
          <cell r="C66">
            <v>0</v>
          </cell>
          <cell r="D66">
            <v>0</v>
          </cell>
          <cell r="E66">
            <v>0</v>
          </cell>
          <cell r="F66">
            <v>0</v>
          </cell>
          <cell r="G66">
            <v>0</v>
          </cell>
          <cell r="H66">
            <v>4200</v>
          </cell>
          <cell r="I66" t="str">
            <v>未分配利润</v>
          </cell>
          <cell r="J66">
            <v>0</v>
          </cell>
          <cell r="K66">
            <v>99868708.310000002</v>
          </cell>
          <cell r="L66">
            <v>67664607.299999997</v>
          </cell>
        </row>
        <row r="67">
          <cell r="C67">
            <v>0</v>
          </cell>
          <cell r="D67">
            <v>0</v>
          </cell>
          <cell r="E67">
            <v>0</v>
          </cell>
          <cell r="F67">
            <v>0</v>
          </cell>
          <cell r="G67">
            <v>0</v>
          </cell>
          <cell r="H67">
            <v>4298</v>
          </cell>
          <cell r="I67" t="str">
            <v>归属于母公司所有者权益合计</v>
          </cell>
          <cell r="J67">
            <v>0</v>
          </cell>
          <cell r="K67">
            <v>129868708.31</v>
          </cell>
          <cell r="L67">
            <v>97664607.299999997</v>
          </cell>
        </row>
        <row r="68">
          <cell r="C68">
            <v>0</v>
          </cell>
          <cell r="D68">
            <v>0</v>
          </cell>
          <cell r="E68">
            <v>0</v>
          </cell>
          <cell r="F68">
            <v>0</v>
          </cell>
          <cell r="G68">
            <v>0</v>
          </cell>
          <cell r="H68">
            <v>4398</v>
          </cell>
          <cell r="I68" t="str">
            <v>少数股东权益</v>
          </cell>
          <cell r="J68">
            <v>0</v>
          </cell>
          <cell r="K68">
            <v>0</v>
          </cell>
          <cell r="L68">
            <v>0</v>
          </cell>
        </row>
        <row r="69">
          <cell r="C69">
            <v>1998</v>
          </cell>
          <cell r="D69" t="str">
            <v>非流动资产合计</v>
          </cell>
          <cell r="E69">
            <v>0</v>
          </cell>
          <cell r="F69">
            <v>16090346.109999999</v>
          </cell>
          <cell r="G69">
            <v>13532564.220000001</v>
          </cell>
          <cell r="H69">
            <v>4999</v>
          </cell>
          <cell r="I69" t="str">
            <v>所有者权益（或股东权益）合计</v>
          </cell>
          <cell r="J69">
            <v>0</v>
          </cell>
          <cell r="K69">
            <v>129868708.31</v>
          </cell>
          <cell r="L69">
            <v>97664607.299999997</v>
          </cell>
        </row>
        <row r="70">
          <cell r="C70">
            <v>1999</v>
          </cell>
          <cell r="D70" t="str">
            <v>资产总计</v>
          </cell>
          <cell r="E70">
            <v>0</v>
          </cell>
          <cell r="F70">
            <v>461764051</v>
          </cell>
          <cell r="G70">
            <v>371477817.38</v>
          </cell>
          <cell r="H70">
            <v>5000</v>
          </cell>
          <cell r="I70" t="str">
            <v>负债和所有者权益（或股东权益）总计</v>
          </cell>
          <cell r="J70">
            <v>0</v>
          </cell>
          <cell r="K70">
            <v>461764051</v>
          </cell>
          <cell r="L70">
            <v>371477817.38</v>
          </cell>
        </row>
        <row r="73">
          <cell r="C73" t="str">
            <v>ItemId3</v>
          </cell>
          <cell r="D73" t="str">
            <v>补充资料：资产减值准备</v>
          </cell>
          <cell r="E73">
            <v>0</v>
          </cell>
          <cell r="F73" t="str">
            <v>期末余额</v>
          </cell>
          <cell r="G73" t="str">
            <v>年初余额</v>
          </cell>
        </row>
        <row r="74">
          <cell r="C74">
            <v>1122.1231</v>
          </cell>
          <cell r="D74" t="str">
            <v>应收账款坏账准备</v>
          </cell>
          <cell r="E74">
            <v>0</v>
          </cell>
          <cell r="F74">
            <v>0</v>
          </cell>
          <cell r="G74">
            <v>0</v>
          </cell>
        </row>
        <row r="75">
          <cell r="C75">
            <v>1125.1231</v>
          </cell>
          <cell r="D75" t="str">
            <v>预付款项坏账准备</v>
          </cell>
          <cell r="E75">
            <v>0</v>
          </cell>
          <cell r="F75">
            <v>0</v>
          </cell>
          <cell r="G75">
            <v>0</v>
          </cell>
        </row>
        <row r="76">
          <cell r="C76">
            <v>1221.1231</v>
          </cell>
          <cell r="D76" t="str">
            <v>其他应收款坏账准备</v>
          </cell>
          <cell r="E76">
            <v>0</v>
          </cell>
          <cell r="F76">
            <v>0</v>
          </cell>
          <cell r="G76">
            <v>0</v>
          </cell>
        </row>
        <row r="77">
          <cell r="C77">
            <v>1400.1470999999999</v>
          </cell>
          <cell r="D77" t="str">
            <v>存货跌价准备</v>
          </cell>
          <cell r="E77">
            <v>0</v>
          </cell>
          <cell r="F77">
            <v>0</v>
          </cell>
          <cell r="G77">
            <v>0</v>
          </cell>
        </row>
        <row r="78">
          <cell r="C78">
            <v>1503.1504</v>
          </cell>
          <cell r="D78" t="str">
            <v>可供出售金融资产减值准备</v>
          </cell>
          <cell r="E78">
            <v>0</v>
          </cell>
          <cell r="F78">
            <v>0</v>
          </cell>
          <cell r="G78">
            <v>0</v>
          </cell>
        </row>
        <row r="79">
          <cell r="C79">
            <v>1501.1502</v>
          </cell>
          <cell r="D79" t="str">
            <v>持有至到期投资减值准备</v>
          </cell>
          <cell r="E79">
            <v>0</v>
          </cell>
          <cell r="F79">
            <v>0</v>
          </cell>
          <cell r="G79">
            <v>0</v>
          </cell>
        </row>
        <row r="80">
          <cell r="C80">
            <v>1511.1512</v>
          </cell>
          <cell r="D80" t="str">
            <v>长期股权投资减值准备</v>
          </cell>
          <cell r="E80">
            <v>0</v>
          </cell>
          <cell r="F80">
            <v>0</v>
          </cell>
          <cell r="G80">
            <v>0</v>
          </cell>
        </row>
        <row r="81">
          <cell r="C81">
            <v>1521.1522</v>
          </cell>
          <cell r="D81" t="str">
            <v>投资性房地产减值准备</v>
          </cell>
          <cell r="E81">
            <v>0</v>
          </cell>
          <cell r="F81">
            <v>0</v>
          </cell>
          <cell r="G81">
            <v>0</v>
          </cell>
        </row>
        <row r="82">
          <cell r="C82">
            <v>1601.1603</v>
          </cell>
          <cell r="D82" t="str">
            <v>固定资产减值准备</v>
          </cell>
          <cell r="E82">
            <v>0</v>
          </cell>
          <cell r="F82">
            <v>0</v>
          </cell>
          <cell r="G82">
            <v>0</v>
          </cell>
        </row>
        <row r="83">
          <cell r="C83">
            <v>1605.1608000000001</v>
          </cell>
          <cell r="D83" t="str">
            <v>工程物资减值准备</v>
          </cell>
          <cell r="E83">
            <v>0</v>
          </cell>
          <cell r="F83">
            <v>0</v>
          </cell>
          <cell r="G83">
            <v>0</v>
          </cell>
        </row>
        <row r="84">
          <cell r="C84">
            <v>1604.1606999999999</v>
          </cell>
          <cell r="D84" t="str">
            <v>在建工程减值准备</v>
          </cell>
          <cell r="E84">
            <v>0</v>
          </cell>
          <cell r="F84">
            <v>0</v>
          </cell>
          <cell r="G84">
            <v>0</v>
          </cell>
        </row>
        <row r="85">
          <cell r="C85">
            <v>1621.1623999999999</v>
          </cell>
          <cell r="D85" t="str">
            <v>生产性生物资产减值准备</v>
          </cell>
          <cell r="E85">
            <v>0</v>
          </cell>
          <cell r="F85">
            <v>0</v>
          </cell>
          <cell r="G85">
            <v>0</v>
          </cell>
        </row>
        <row r="86">
          <cell r="C86">
            <v>1631.1632999999999</v>
          </cell>
          <cell r="D86" t="str">
            <v>油气资产减值准备</v>
          </cell>
          <cell r="E86">
            <v>0</v>
          </cell>
          <cell r="F86">
            <v>0</v>
          </cell>
          <cell r="G86">
            <v>0</v>
          </cell>
        </row>
        <row r="87">
          <cell r="C87">
            <v>1701.1703</v>
          </cell>
          <cell r="D87" t="str">
            <v>无形资产减值准备</v>
          </cell>
          <cell r="E87">
            <v>0</v>
          </cell>
          <cell r="F87">
            <v>0</v>
          </cell>
          <cell r="G87">
            <v>0</v>
          </cell>
        </row>
        <row r="88">
          <cell r="C88">
            <v>1711.1712</v>
          </cell>
          <cell r="D88" t="str">
            <v>商誉减值准备</v>
          </cell>
          <cell r="E88">
            <v>0</v>
          </cell>
          <cell r="F88">
            <v>0</v>
          </cell>
          <cell r="G88">
            <v>0</v>
          </cell>
        </row>
        <row r="89">
          <cell r="C89">
            <v>1991.1992</v>
          </cell>
          <cell r="D89" t="str">
            <v>其他</v>
          </cell>
          <cell r="E89">
            <v>0</v>
          </cell>
          <cell r="F89">
            <v>0</v>
          </cell>
          <cell r="G89">
            <v>0</v>
          </cell>
        </row>
        <row r="90">
          <cell r="C90">
            <v>1991</v>
          </cell>
          <cell r="D90" t="str">
            <v>资产减值准备小计</v>
          </cell>
          <cell r="E90">
            <v>0</v>
          </cell>
          <cell r="F90">
            <v>0</v>
          </cell>
          <cell r="G90">
            <v>0</v>
          </cell>
        </row>
      </sheetData>
      <sheetData sheetId="4">
        <row r="8">
          <cell r="B8" t="str">
            <v>项目编号</v>
          </cell>
          <cell r="C8" t="str">
            <v>项       目</v>
          </cell>
          <cell r="D8" t="str">
            <v>附注</v>
          </cell>
          <cell r="E8" t="str">
            <v>本期金额</v>
          </cell>
          <cell r="F8" t="str">
            <v>上期金额</v>
          </cell>
        </row>
        <row r="9">
          <cell r="B9">
            <v>6098</v>
          </cell>
          <cell r="C9" t="str">
            <v>一、营业总收入</v>
          </cell>
          <cell r="D9">
            <v>0</v>
          </cell>
          <cell r="E9">
            <v>278399770.05000001</v>
          </cell>
          <cell r="F9">
            <v>220586258.78</v>
          </cell>
        </row>
        <row r="10">
          <cell r="B10">
            <v>6001</v>
          </cell>
          <cell r="C10" t="str">
            <v>一、营业收入</v>
          </cell>
          <cell r="D10">
            <v>0</v>
          </cell>
          <cell r="E10">
            <v>278399770.05000001</v>
          </cell>
          <cell r="F10">
            <v>220586258.78</v>
          </cell>
        </row>
        <row r="11">
          <cell r="B11">
            <v>6011</v>
          </cell>
          <cell r="C11" t="str">
            <v>利息收入</v>
          </cell>
          <cell r="D11">
            <v>0</v>
          </cell>
          <cell r="E11">
            <v>0</v>
          </cell>
          <cell r="F11">
            <v>0</v>
          </cell>
        </row>
        <row r="12">
          <cell r="B12">
            <v>6030</v>
          </cell>
          <cell r="C12" t="str">
            <v>已赚保费</v>
          </cell>
          <cell r="D12">
            <v>0</v>
          </cell>
          <cell r="E12">
            <v>0</v>
          </cell>
          <cell r="F12">
            <v>0</v>
          </cell>
        </row>
        <row r="13">
          <cell r="B13">
            <v>6021</v>
          </cell>
          <cell r="C13" t="str">
            <v>手续费及佣金收入</v>
          </cell>
          <cell r="D13">
            <v>0</v>
          </cell>
          <cell r="E13">
            <v>0</v>
          </cell>
          <cell r="F13">
            <v>0</v>
          </cell>
        </row>
        <row r="14">
          <cell r="B14">
            <v>6598</v>
          </cell>
          <cell r="C14" t="str">
            <v>二、营业总成本</v>
          </cell>
          <cell r="D14">
            <v>0</v>
          </cell>
          <cell r="E14">
            <v>242600397.83000001</v>
          </cell>
          <cell r="F14">
            <v>190408228.68000001</v>
          </cell>
        </row>
        <row r="15">
          <cell r="B15">
            <v>6401</v>
          </cell>
          <cell r="C15" t="str">
            <v>减：营业成本</v>
          </cell>
          <cell r="D15">
            <v>0</v>
          </cell>
          <cell r="E15">
            <v>195168201.77000001</v>
          </cell>
          <cell r="F15">
            <v>144723238.53999999</v>
          </cell>
        </row>
        <row r="16">
          <cell r="B16">
            <v>6411</v>
          </cell>
          <cell r="C16" t="str">
            <v>利息支出</v>
          </cell>
          <cell r="D16">
            <v>0</v>
          </cell>
          <cell r="E16">
            <v>0</v>
          </cell>
          <cell r="F16">
            <v>0</v>
          </cell>
        </row>
        <row r="17">
          <cell r="B17">
            <v>6421</v>
          </cell>
          <cell r="C17" t="str">
            <v>手续费及佣金支出</v>
          </cell>
          <cell r="D17">
            <v>0</v>
          </cell>
          <cell r="E17">
            <v>0</v>
          </cell>
          <cell r="F17">
            <v>0</v>
          </cell>
        </row>
        <row r="18">
          <cell r="B18">
            <v>6531</v>
          </cell>
          <cell r="C18" t="str">
            <v>退保金</v>
          </cell>
          <cell r="D18">
            <v>0</v>
          </cell>
          <cell r="E18">
            <v>0</v>
          </cell>
          <cell r="F18">
            <v>0</v>
          </cell>
        </row>
        <row r="19">
          <cell r="B19">
            <v>6510</v>
          </cell>
          <cell r="C19" t="str">
            <v>赔付支出净额</v>
          </cell>
          <cell r="D19">
            <v>0</v>
          </cell>
          <cell r="E19">
            <v>0</v>
          </cell>
          <cell r="F19">
            <v>0</v>
          </cell>
        </row>
        <row r="20">
          <cell r="B20">
            <v>6505</v>
          </cell>
          <cell r="C20" t="str">
            <v>提取保险合同准备金净额</v>
          </cell>
          <cell r="D20">
            <v>0</v>
          </cell>
          <cell r="E20">
            <v>0</v>
          </cell>
          <cell r="F20">
            <v>0</v>
          </cell>
        </row>
        <row r="21">
          <cell r="B21">
            <v>6521</v>
          </cell>
          <cell r="C21" t="str">
            <v>保单红利支出</v>
          </cell>
          <cell r="D21">
            <v>0</v>
          </cell>
          <cell r="E21">
            <v>0</v>
          </cell>
          <cell r="F21">
            <v>0</v>
          </cell>
        </row>
        <row r="22">
          <cell r="B22">
            <v>6542</v>
          </cell>
          <cell r="C22" t="str">
            <v>分保费用</v>
          </cell>
          <cell r="D22">
            <v>0</v>
          </cell>
          <cell r="E22">
            <v>0</v>
          </cell>
          <cell r="F22">
            <v>0</v>
          </cell>
        </row>
        <row r="23">
          <cell r="B23">
            <v>6600</v>
          </cell>
          <cell r="C23" t="str">
            <v>税金及附加</v>
          </cell>
          <cell r="D23">
            <v>0</v>
          </cell>
          <cell r="E23">
            <v>1989674.85</v>
          </cell>
          <cell r="F23">
            <v>1374637.17</v>
          </cell>
        </row>
        <row r="24">
          <cell r="B24">
            <v>6601</v>
          </cell>
          <cell r="C24" t="str">
            <v>销售费用</v>
          </cell>
          <cell r="D24">
            <v>0</v>
          </cell>
          <cell r="E24">
            <v>5769720.54</v>
          </cell>
          <cell r="F24">
            <v>5102040.05</v>
          </cell>
        </row>
        <row r="25">
          <cell r="B25">
            <v>6602</v>
          </cell>
          <cell r="C25" t="str">
            <v>管理费用</v>
          </cell>
          <cell r="D25">
            <v>0</v>
          </cell>
          <cell r="E25">
            <v>17628347.629999999</v>
          </cell>
          <cell r="F25">
            <v>28250590.460000001</v>
          </cell>
        </row>
        <row r="26">
          <cell r="B26">
            <v>6606</v>
          </cell>
          <cell r="C26" t="str">
            <v>研发费用</v>
          </cell>
          <cell r="D26">
            <v>0</v>
          </cell>
          <cell r="E26">
            <v>14268249.01</v>
          </cell>
          <cell r="F26">
            <v>0</v>
          </cell>
        </row>
        <row r="27">
          <cell r="B27">
            <v>6603</v>
          </cell>
          <cell r="C27" t="str">
            <v>财务费用</v>
          </cell>
          <cell r="D27">
            <v>0</v>
          </cell>
          <cell r="E27">
            <v>540171.96</v>
          </cell>
          <cell r="F27">
            <v>549960.47</v>
          </cell>
        </row>
        <row r="28">
          <cell r="B28" t="str">
            <v>6603_01</v>
          </cell>
          <cell r="C28" t="str">
            <v>其中：利息费用</v>
          </cell>
          <cell r="D28">
            <v>0</v>
          </cell>
          <cell r="E28">
            <v>947952.4</v>
          </cell>
          <cell r="F28">
            <v>0</v>
          </cell>
        </row>
        <row r="29">
          <cell r="B29" t="str">
            <v>6603_06</v>
          </cell>
          <cell r="C29" t="str">
            <v xml:space="preserve">      利息收入</v>
          </cell>
          <cell r="D29">
            <v>0</v>
          </cell>
          <cell r="E29">
            <v>130203.83</v>
          </cell>
          <cell r="F29">
            <v>0</v>
          </cell>
        </row>
        <row r="30">
          <cell r="B30">
            <v>6671</v>
          </cell>
          <cell r="C30" t="str">
            <v>资产减值损失</v>
          </cell>
          <cell r="D30">
            <v>0</v>
          </cell>
          <cell r="E30">
            <v>7236032.0700000003</v>
          </cell>
          <cell r="F30">
            <v>10407761.99</v>
          </cell>
        </row>
        <row r="31">
          <cell r="B31">
            <v>6181</v>
          </cell>
          <cell r="C31" t="str">
            <v>加：其他收益</v>
          </cell>
          <cell r="D31">
            <v>0</v>
          </cell>
          <cell r="E31">
            <v>0</v>
          </cell>
          <cell r="F31">
            <v>307549.59999999998</v>
          </cell>
        </row>
        <row r="32">
          <cell r="B32">
            <v>6111</v>
          </cell>
          <cell r="C32" t="str">
            <v>投资收益（损失以“-”号填列）</v>
          </cell>
          <cell r="D32">
            <v>0</v>
          </cell>
          <cell r="E32">
            <v>316271.71000000002</v>
          </cell>
          <cell r="F32">
            <v>395610.58</v>
          </cell>
        </row>
        <row r="33">
          <cell r="B33">
            <v>6111.01</v>
          </cell>
          <cell r="C33" t="str">
            <v>其中：对联营企业和合营企业的投资收益</v>
          </cell>
          <cell r="D33">
            <v>0</v>
          </cell>
          <cell r="E33">
            <v>316271.71000000002</v>
          </cell>
          <cell r="F33">
            <v>0</v>
          </cell>
        </row>
        <row r="34">
          <cell r="B34">
            <v>6161</v>
          </cell>
          <cell r="C34" t="str">
            <v>汇兑收益（损失以“-”号填列）</v>
          </cell>
          <cell r="D34">
            <v>0</v>
          </cell>
          <cell r="E34">
            <v>0</v>
          </cell>
          <cell r="F34">
            <v>0</v>
          </cell>
        </row>
        <row r="35">
          <cell r="B35">
            <v>6101</v>
          </cell>
          <cell r="C35" t="str">
            <v>公允价值变动收益（损失以“-”号填列）</v>
          </cell>
          <cell r="D35">
            <v>0</v>
          </cell>
          <cell r="E35">
            <v>0</v>
          </cell>
          <cell r="F35">
            <v>0</v>
          </cell>
        </row>
        <row r="36">
          <cell r="B36">
            <v>6171</v>
          </cell>
          <cell r="C36" t="str">
            <v>资产处置收益(损失以“-”号填列）</v>
          </cell>
          <cell r="D36">
            <v>0</v>
          </cell>
          <cell r="E36">
            <v>0</v>
          </cell>
          <cell r="F36">
            <v>-4307.87</v>
          </cell>
        </row>
        <row r="37">
          <cell r="B37">
            <v>6689</v>
          </cell>
          <cell r="C37" t="str">
            <v>二、营业利润（亏损以“-”号填列）</v>
          </cell>
          <cell r="D37">
            <v>0</v>
          </cell>
          <cell r="E37">
            <v>36115643.93</v>
          </cell>
          <cell r="F37">
            <v>30876882.41</v>
          </cell>
        </row>
        <row r="38">
          <cell r="B38">
            <v>6710</v>
          </cell>
          <cell r="C38" t="str">
            <v>加：营业外收入</v>
          </cell>
          <cell r="D38">
            <v>0</v>
          </cell>
          <cell r="E38">
            <v>444502.67</v>
          </cell>
          <cell r="F38">
            <v>0</v>
          </cell>
        </row>
        <row r="39">
          <cell r="B39">
            <v>6711</v>
          </cell>
          <cell r="C39" t="str">
            <v>减：营业外支出</v>
          </cell>
          <cell r="D39">
            <v>0</v>
          </cell>
          <cell r="E39">
            <v>62471.05</v>
          </cell>
          <cell r="F39">
            <v>28562.41</v>
          </cell>
        </row>
        <row r="40">
          <cell r="B40">
            <v>6788</v>
          </cell>
          <cell r="C40" t="str">
            <v>三、利润总额（亏损总额以“-”号填列）</v>
          </cell>
          <cell r="D40">
            <v>0</v>
          </cell>
          <cell r="E40">
            <v>36497675.549999997</v>
          </cell>
          <cell r="F40">
            <v>30848320</v>
          </cell>
        </row>
        <row r="41">
          <cell r="B41">
            <v>6791</v>
          </cell>
          <cell r="C41" t="str">
            <v>减：所得税费用</v>
          </cell>
          <cell r="D41">
            <v>0</v>
          </cell>
          <cell r="E41">
            <v>4293574.54</v>
          </cell>
          <cell r="F41">
            <v>4470355.75</v>
          </cell>
        </row>
        <row r="42">
          <cell r="B42">
            <v>6799</v>
          </cell>
          <cell r="C42" t="str">
            <v>四、净利润（净亏损以“-”号填列）</v>
          </cell>
          <cell r="D42">
            <v>0</v>
          </cell>
          <cell r="E42">
            <v>32204101.010000002</v>
          </cell>
          <cell r="F42">
            <v>26377964.25</v>
          </cell>
        </row>
        <row r="43">
          <cell r="B43">
            <v>6835</v>
          </cell>
          <cell r="C43" t="str">
            <v>（一）按经营持续性分类：</v>
          </cell>
          <cell r="D43">
            <v>0</v>
          </cell>
          <cell r="E43">
            <v>0</v>
          </cell>
          <cell r="F43">
            <v>0</v>
          </cell>
        </row>
        <row r="44">
          <cell r="B44">
            <v>6816</v>
          </cell>
          <cell r="C44" t="str">
            <v>其中：持续经营净利润（净亏损以“-”号填列）</v>
          </cell>
          <cell r="D44">
            <v>0</v>
          </cell>
          <cell r="E44">
            <v>0</v>
          </cell>
          <cell r="F44">
            <v>0</v>
          </cell>
        </row>
        <row r="45">
          <cell r="B45">
            <v>6817</v>
          </cell>
          <cell r="C45" t="str">
            <v>终止经营净利润（净亏损以“-”号填列）</v>
          </cell>
          <cell r="D45">
            <v>0</v>
          </cell>
          <cell r="E45">
            <v>0</v>
          </cell>
          <cell r="F45">
            <v>0</v>
          </cell>
        </row>
        <row r="46">
          <cell r="B46">
            <v>6830</v>
          </cell>
          <cell r="C46" t="str">
            <v>（二）按所有权归属分类：</v>
          </cell>
          <cell r="D46">
            <v>0</v>
          </cell>
          <cell r="E46">
            <v>0</v>
          </cell>
          <cell r="F46">
            <v>0</v>
          </cell>
        </row>
        <row r="47">
          <cell r="B47">
            <v>6812</v>
          </cell>
          <cell r="C47" t="str">
            <v>其中：少数股东损益（净亏损以“-”号填列）</v>
          </cell>
          <cell r="D47">
            <v>0</v>
          </cell>
          <cell r="E47">
            <v>0</v>
          </cell>
          <cell r="F47">
            <v>0</v>
          </cell>
        </row>
        <row r="48">
          <cell r="B48">
            <v>6811</v>
          </cell>
          <cell r="C48" t="str">
            <v>归属于母公司股东的净利润（净亏损以“-”号填列）</v>
          </cell>
          <cell r="D48">
            <v>0</v>
          </cell>
          <cell r="E48">
            <v>32204101.010000002</v>
          </cell>
          <cell r="F48">
            <v>26377964.25</v>
          </cell>
        </row>
        <row r="49">
          <cell r="B49">
            <v>6829</v>
          </cell>
          <cell r="C49" t="str">
            <v>五、其他综合收益的税后净额</v>
          </cell>
          <cell r="D49">
            <v>0</v>
          </cell>
          <cell r="E49">
            <v>0</v>
          </cell>
          <cell r="F49">
            <v>0</v>
          </cell>
        </row>
        <row r="50">
          <cell r="B50">
            <v>6829.2</v>
          </cell>
          <cell r="C50" t="str">
            <v>归属于母公司股东的其他综合收益的税后净额</v>
          </cell>
          <cell r="D50">
            <v>0</v>
          </cell>
          <cell r="E50">
            <v>0</v>
          </cell>
          <cell r="F50">
            <v>0</v>
          </cell>
        </row>
        <row r="51">
          <cell r="B51">
            <v>6829.21</v>
          </cell>
          <cell r="C51" t="str">
            <v>（一）不能重分类进损益的其他综合收益</v>
          </cell>
          <cell r="D51">
            <v>0</v>
          </cell>
          <cell r="E51">
            <v>0</v>
          </cell>
          <cell r="F51">
            <v>0</v>
          </cell>
        </row>
        <row r="52">
          <cell r="B52">
            <v>6829.2110000000002</v>
          </cell>
          <cell r="C52" t="str">
            <v>1、重新计量设定受益计划变动额</v>
          </cell>
          <cell r="D52">
            <v>0</v>
          </cell>
          <cell r="E52">
            <v>0</v>
          </cell>
          <cell r="F52">
            <v>0</v>
          </cell>
        </row>
        <row r="53">
          <cell r="B53">
            <v>6829.2120000000004</v>
          </cell>
          <cell r="C53" t="str">
            <v>2、权益法下不能转损益的其他综合收益</v>
          </cell>
          <cell r="D53">
            <v>0</v>
          </cell>
          <cell r="E53">
            <v>0</v>
          </cell>
          <cell r="F53">
            <v>0</v>
          </cell>
        </row>
        <row r="54">
          <cell r="B54">
            <v>6829.2190000000001</v>
          </cell>
          <cell r="C54" t="str">
            <v>3、其他</v>
          </cell>
          <cell r="D54">
            <v>0</v>
          </cell>
          <cell r="E54">
            <v>0</v>
          </cell>
          <cell r="F54">
            <v>0</v>
          </cell>
        </row>
        <row r="55">
          <cell r="B55">
            <v>6829.23</v>
          </cell>
          <cell r="C55" t="str">
            <v>（二）将重分类进损益的其他综合收益</v>
          </cell>
          <cell r="D55">
            <v>0</v>
          </cell>
          <cell r="E55">
            <v>0</v>
          </cell>
          <cell r="F55">
            <v>0</v>
          </cell>
        </row>
        <row r="56">
          <cell r="B56">
            <v>6829.2309999999998</v>
          </cell>
          <cell r="C56" t="str">
            <v>1、权益法下可转损益的其他综合收益</v>
          </cell>
          <cell r="D56">
            <v>0</v>
          </cell>
          <cell r="E56">
            <v>0</v>
          </cell>
          <cell r="F56">
            <v>0</v>
          </cell>
        </row>
        <row r="57">
          <cell r="B57">
            <v>6829.232</v>
          </cell>
          <cell r="C57" t="str">
            <v>2、可供出售金融资产公允价值变动损益</v>
          </cell>
          <cell r="D57">
            <v>0</v>
          </cell>
          <cell r="E57">
            <v>0</v>
          </cell>
          <cell r="F57">
            <v>0</v>
          </cell>
        </row>
        <row r="58">
          <cell r="B58">
            <v>6829.2330000000002</v>
          </cell>
          <cell r="C58" t="str">
            <v>3、持有至到期投资重分类为可供出售金融资产损益</v>
          </cell>
          <cell r="D58">
            <v>0</v>
          </cell>
          <cell r="E58">
            <v>0</v>
          </cell>
          <cell r="F58">
            <v>0</v>
          </cell>
        </row>
        <row r="59">
          <cell r="B59">
            <v>6829.2340000000004</v>
          </cell>
          <cell r="C59" t="str">
            <v>4、现金流量套期损益的有效部分</v>
          </cell>
          <cell r="D59">
            <v>0</v>
          </cell>
          <cell r="E59">
            <v>0</v>
          </cell>
          <cell r="F59">
            <v>0</v>
          </cell>
        </row>
        <row r="60">
          <cell r="B60">
            <v>6829.2349999999997</v>
          </cell>
          <cell r="C60" t="str">
            <v>5、外币财务报表折算差额</v>
          </cell>
          <cell r="D60">
            <v>0</v>
          </cell>
          <cell r="E60">
            <v>0</v>
          </cell>
          <cell r="F60">
            <v>0</v>
          </cell>
        </row>
        <row r="61">
          <cell r="B61">
            <v>6829.2359999999999</v>
          </cell>
          <cell r="C61" t="str">
            <v>6、自用房地产或作为存货的房地产转换为以公允价值计量的投资性房地产在转换日公允价值大于账面价值部分</v>
          </cell>
          <cell r="D61">
            <v>0</v>
          </cell>
          <cell r="E61">
            <v>0</v>
          </cell>
          <cell r="F61">
            <v>0</v>
          </cell>
        </row>
        <row r="62">
          <cell r="B62">
            <v>6829.2370000000001</v>
          </cell>
          <cell r="C62" t="str">
            <v>7、多次交易分步处置子公司股权构成一揽子交易的，丧失控制权之前各次交易处置价款与对应净资产账面价值份额的差额</v>
          </cell>
          <cell r="D62">
            <v>0</v>
          </cell>
          <cell r="E62">
            <v>0</v>
          </cell>
          <cell r="F62">
            <v>0</v>
          </cell>
        </row>
        <row r="63">
          <cell r="B63">
            <v>6829.2389999999996</v>
          </cell>
          <cell r="C63" t="str">
            <v>8、其他</v>
          </cell>
          <cell r="D63">
            <v>0</v>
          </cell>
          <cell r="E63">
            <v>0</v>
          </cell>
          <cell r="F63">
            <v>0</v>
          </cell>
        </row>
        <row r="64">
          <cell r="B64">
            <v>6829.5</v>
          </cell>
          <cell r="C64" t="str">
            <v>归属于少数股东的其他综合收益的税后净额</v>
          </cell>
          <cell r="D64">
            <v>0</v>
          </cell>
          <cell r="E64">
            <v>0</v>
          </cell>
          <cell r="F64">
            <v>0</v>
          </cell>
        </row>
        <row r="65">
          <cell r="B65">
            <v>6839</v>
          </cell>
          <cell r="C65" t="str">
            <v>六、综合收益总额</v>
          </cell>
          <cell r="D65">
            <v>0</v>
          </cell>
          <cell r="E65">
            <v>32204101.010000002</v>
          </cell>
          <cell r="F65">
            <v>26377964.25</v>
          </cell>
        </row>
        <row r="66">
          <cell r="B66">
            <v>6841</v>
          </cell>
          <cell r="C66" t="str">
            <v>归属于母公司股东的综合收益总额</v>
          </cell>
          <cell r="D66">
            <v>0</v>
          </cell>
          <cell r="E66">
            <v>32204101.010000002</v>
          </cell>
          <cell r="F66">
            <v>26377964.25</v>
          </cell>
        </row>
        <row r="67">
          <cell r="B67">
            <v>6842</v>
          </cell>
          <cell r="C67" t="str">
            <v>归属于少数股东的综合收益总额</v>
          </cell>
          <cell r="D67">
            <v>0</v>
          </cell>
          <cell r="E67">
            <v>0</v>
          </cell>
          <cell r="F67">
            <v>0</v>
          </cell>
        </row>
        <row r="68">
          <cell r="B68">
            <v>6820</v>
          </cell>
          <cell r="C68" t="str">
            <v>七、每股收益：</v>
          </cell>
          <cell r="D68">
            <v>0</v>
          </cell>
          <cell r="E68">
            <v>0</v>
          </cell>
          <cell r="F68">
            <v>0</v>
          </cell>
        </row>
        <row r="69">
          <cell r="B69">
            <v>6821</v>
          </cell>
          <cell r="C69" t="str">
            <v>（一）基本每股收益</v>
          </cell>
          <cell r="D69">
            <v>0</v>
          </cell>
          <cell r="E69">
            <v>0</v>
          </cell>
          <cell r="F69">
            <v>0</v>
          </cell>
        </row>
        <row r="70">
          <cell r="B70">
            <v>6822</v>
          </cell>
          <cell r="C70" t="str">
            <v>（二）稀释每股收益</v>
          </cell>
          <cell r="D70">
            <v>0</v>
          </cell>
          <cell r="E70">
            <v>0</v>
          </cell>
          <cell r="F70">
            <v>0</v>
          </cell>
        </row>
      </sheetData>
      <sheetData sheetId="5">
        <row r="8">
          <cell r="B8" t="str">
            <v>项目编号</v>
          </cell>
          <cell r="C8" t="str">
            <v>项       目</v>
          </cell>
          <cell r="D8" t="str">
            <v>附注</v>
          </cell>
          <cell r="E8" t="str">
            <v>本期金额</v>
          </cell>
          <cell r="F8" t="str">
            <v>上期金额</v>
          </cell>
        </row>
        <row r="9">
          <cell r="B9">
            <v>7000</v>
          </cell>
          <cell r="C9" t="str">
            <v>一、经营活动产生的现金流量：</v>
          </cell>
          <cell r="D9">
            <v>0</v>
          </cell>
          <cell r="E9">
            <v>0</v>
          </cell>
          <cell r="F9">
            <v>0</v>
          </cell>
        </row>
        <row r="10">
          <cell r="B10">
            <v>7001</v>
          </cell>
          <cell r="C10" t="str">
            <v>销售商品、提供劳务收到的现金</v>
          </cell>
          <cell r="D10">
            <v>0</v>
          </cell>
          <cell r="E10">
            <v>252507568.93000001</v>
          </cell>
          <cell r="F10">
            <v>175290454.91</v>
          </cell>
        </row>
        <row r="11">
          <cell r="B11">
            <v>7011</v>
          </cell>
          <cell r="C11" t="str">
            <v>客户存款和同业存放款项净增加额</v>
          </cell>
          <cell r="D11">
            <v>0</v>
          </cell>
          <cell r="E11">
            <v>0</v>
          </cell>
          <cell r="F11">
            <v>0</v>
          </cell>
        </row>
        <row r="12">
          <cell r="B12">
            <v>7012</v>
          </cell>
          <cell r="C12" t="str">
            <v>向中央银行借款净增加额</v>
          </cell>
          <cell r="D12">
            <v>0</v>
          </cell>
          <cell r="E12">
            <v>0</v>
          </cell>
          <cell r="F12">
            <v>0</v>
          </cell>
        </row>
        <row r="13">
          <cell r="B13">
            <v>7013</v>
          </cell>
          <cell r="C13" t="str">
            <v>向其他金融机构拆入资金净增加额</v>
          </cell>
          <cell r="D13">
            <v>0</v>
          </cell>
          <cell r="E13">
            <v>0</v>
          </cell>
          <cell r="F13">
            <v>0</v>
          </cell>
        </row>
        <row r="14">
          <cell r="B14">
            <v>7014</v>
          </cell>
          <cell r="C14" t="str">
            <v>收到原保险合同保费取得的现金</v>
          </cell>
          <cell r="D14">
            <v>0</v>
          </cell>
          <cell r="E14">
            <v>0</v>
          </cell>
          <cell r="F14">
            <v>0</v>
          </cell>
        </row>
        <row r="15">
          <cell r="B15">
            <v>7015</v>
          </cell>
          <cell r="C15" t="str">
            <v>收到再保险业务现金净额</v>
          </cell>
          <cell r="D15">
            <v>0</v>
          </cell>
          <cell r="E15">
            <v>0</v>
          </cell>
          <cell r="F15">
            <v>0</v>
          </cell>
        </row>
        <row r="16">
          <cell r="B16">
            <v>7016</v>
          </cell>
          <cell r="C16" t="str">
            <v>保户储金及投资款净增加额</v>
          </cell>
          <cell r="D16">
            <v>0</v>
          </cell>
          <cell r="E16">
            <v>0</v>
          </cell>
          <cell r="F16">
            <v>0</v>
          </cell>
        </row>
        <row r="17">
          <cell r="B17">
            <v>7021</v>
          </cell>
          <cell r="C17" t="str">
            <v>处置以公允价值计量且其变动计入当期损益的金融资产净增加额</v>
          </cell>
          <cell r="D17">
            <v>0</v>
          </cell>
          <cell r="E17">
            <v>0</v>
          </cell>
          <cell r="F17">
            <v>0</v>
          </cell>
        </row>
        <row r="18">
          <cell r="B18">
            <v>7023</v>
          </cell>
          <cell r="C18" t="str">
            <v>收取利息、手续费及佣金的现金</v>
          </cell>
          <cell r="D18">
            <v>0</v>
          </cell>
          <cell r="E18">
            <v>0</v>
          </cell>
          <cell r="F18">
            <v>0</v>
          </cell>
        </row>
        <row r="19">
          <cell r="B19">
            <v>7025</v>
          </cell>
          <cell r="C19" t="str">
            <v>拆入资金净增加额</v>
          </cell>
          <cell r="D19">
            <v>0</v>
          </cell>
          <cell r="E19">
            <v>0</v>
          </cell>
          <cell r="F19">
            <v>0</v>
          </cell>
        </row>
        <row r="20">
          <cell r="B20">
            <v>7026</v>
          </cell>
          <cell r="C20" t="str">
            <v>回购业务资金净增加额</v>
          </cell>
          <cell r="D20">
            <v>0</v>
          </cell>
          <cell r="E20">
            <v>0</v>
          </cell>
          <cell r="F20">
            <v>0</v>
          </cell>
        </row>
        <row r="21">
          <cell r="B21">
            <v>7031</v>
          </cell>
          <cell r="C21" t="str">
            <v>收到的税费返还</v>
          </cell>
          <cell r="D21">
            <v>0</v>
          </cell>
          <cell r="E21">
            <v>0</v>
          </cell>
          <cell r="F21">
            <v>0</v>
          </cell>
        </row>
        <row r="22">
          <cell r="B22">
            <v>7046</v>
          </cell>
          <cell r="C22" t="str">
            <v>收到其他与经营活动有关的现金</v>
          </cell>
          <cell r="D22">
            <v>0</v>
          </cell>
          <cell r="E22">
            <v>1367039</v>
          </cell>
          <cell r="F22">
            <v>3592739.5</v>
          </cell>
        </row>
        <row r="23">
          <cell r="B23">
            <v>7048</v>
          </cell>
          <cell r="C23" t="str">
            <v>经营活动现金流入小计</v>
          </cell>
          <cell r="D23">
            <v>0</v>
          </cell>
          <cell r="E23">
            <v>253874607.93000001</v>
          </cell>
          <cell r="F23">
            <v>178883194.41</v>
          </cell>
        </row>
        <row r="24">
          <cell r="B24">
            <v>7051</v>
          </cell>
          <cell r="C24" t="str">
            <v>购买商品、接受劳务支付的现金</v>
          </cell>
          <cell r="D24">
            <v>0</v>
          </cell>
          <cell r="E24">
            <v>107740507.59999999</v>
          </cell>
          <cell r="F24">
            <v>73135511.400000006</v>
          </cell>
        </row>
        <row r="25">
          <cell r="B25">
            <v>7053</v>
          </cell>
          <cell r="C25" t="str">
            <v>客户贷款及垫款净增加额</v>
          </cell>
          <cell r="D25">
            <v>0</v>
          </cell>
          <cell r="E25">
            <v>0</v>
          </cell>
          <cell r="F25">
            <v>0</v>
          </cell>
        </row>
        <row r="26">
          <cell r="B26">
            <v>7054</v>
          </cell>
          <cell r="C26" t="str">
            <v>存放中央银行和同业款项净增加额</v>
          </cell>
          <cell r="D26">
            <v>0</v>
          </cell>
          <cell r="E26">
            <v>0</v>
          </cell>
          <cell r="F26">
            <v>0</v>
          </cell>
        </row>
        <row r="27">
          <cell r="B27">
            <v>7055</v>
          </cell>
          <cell r="C27" t="str">
            <v>支付原保险合同赔付款项的现金</v>
          </cell>
          <cell r="D27">
            <v>0</v>
          </cell>
          <cell r="E27">
            <v>0</v>
          </cell>
          <cell r="F27">
            <v>0</v>
          </cell>
        </row>
        <row r="28">
          <cell r="B28">
            <v>7056</v>
          </cell>
          <cell r="C28" t="str">
            <v>支付利息、手续费及佣金的现金</v>
          </cell>
          <cell r="D28">
            <v>0</v>
          </cell>
          <cell r="E28">
            <v>0</v>
          </cell>
          <cell r="F28">
            <v>0</v>
          </cell>
        </row>
        <row r="29">
          <cell r="B29">
            <v>7057</v>
          </cell>
          <cell r="C29" t="str">
            <v>支付保单红利的现金</v>
          </cell>
          <cell r="D29">
            <v>0</v>
          </cell>
          <cell r="E29">
            <v>0</v>
          </cell>
          <cell r="F29">
            <v>0</v>
          </cell>
        </row>
        <row r="30">
          <cell r="B30">
            <v>7061</v>
          </cell>
          <cell r="C30" t="str">
            <v>支付给职工以及为职工支付的现金</v>
          </cell>
          <cell r="D30">
            <v>0</v>
          </cell>
          <cell r="E30">
            <v>90117925.260000005</v>
          </cell>
          <cell r="F30">
            <v>72527673.659999996</v>
          </cell>
        </row>
        <row r="31">
          <cell r="B31">
            <v>7071</v>
          </cell>
          <cell r="C31" t="str">
            <v>支付的各项税费</v>
          </cell>
          <cell r="D31">
            <v>0</v>
          </cell>
          <cell r="E31">
            <v>20025458.170000002</v>
          </cell>
          <cell r="F31">
            <v>15000861.83</v>
          </cell>
        </row>
        <row r="32">
          <cell r="B32">
            <v>7096</v>
          </cell>
          <cell r="C32" t="str">
            <v>支付其他与经营活动有关的现金</v>
          </cell>
          <cell r="D32">
            <v>0</v>
          </cell>
          <cell r="E32">
            <v>15033110.42</v>
          </cell>
          <cell r="F32">
            <v>13227499.68</v>
          </cell>
        </row>
        <row r="33">
          <cell r="B33">
            <v>7098</v>
          </cell>
          <cell r="C33" t="str">
            <v>经营活动现金流出小计</v>
          </cell>
          <cell r="D33">
            <v>0</v>
          </cell>
          <cell r="E33">
            <v>232917001.44999999</v>
          </cell>
          <cell r="F33">
            <v>173891546.56999999</v>
          </cell>
        </row>
        <row r="34">
          <cell r="B34">
            <v>7099</v>
          </cell>
          <cell r="C34" t="str">
            <v>经营活动产生的现金流量净额</v>
          </cell>
          <cell r="D34">
            <v>0</v>
          </cell>
          <cell r="E34">
            <v>20957606.48</v>
          </cell>
          <cell r="F34">
            <v>4991647.84</v>
          </cell>
        </row>
        <row r="35">
          <cell r="B35">
            <v>7100</v>
          </cell>
          <cell r="C35" t="str">
            <v>二、投资活动产生的现金流量：</v>
          </cell>
          <cell r="D35">
            <v>0</v>
          </cell>
          <cell r="E35">
            <v>0</v>
          </cell>
          <cell r="F35">
            <v>0</v>
          </cell>
        </row>
        <row r="36">
          <cell r="B36">
            <v>7101</v>
          </cell>
          <cell r="C36" t="str">
            <v>收回投资收到的现金</v>
          </cell>
          <cell r="D36">
            <v>0</v>
          </cell>
          <cell r="E36">
            <v>40000000</v>
          </cell>
          <cell r="F36">
            <v>0</v>
          </cell>
        </row>
        <row r="37">
          <cell r="B37">
            <v>7105</v>
          </cell>
          <cell r="C37" t="str">
            <v>取得投资收益收到的现金</v>
          </cell>
          <cell r="D37">
            <v>0</v>
          </cell>
          <cell r="E37">
            <v>331426.67</v>
          </cell>
          <cell r="F37">
            <v>0</v>
          </cell>
        </row>
        <row r="38">
          <cell r="B38">
            <v>7111</v>
          </cell>
          <cell r="C38" t="str">
            <v>处置固定资产、无形资产和其他长期资产收回的现金净额</v>
          </cell>
          <cell r="D38">
            <v>0</v>
          </cell>
          <cell r="E38">
            <v>2912.62</v>
          </cell>
          <cell r="F38">
            <v>13092</v>
          </cell>
        </row>
        <row r="39">
          <cell r="B39">
            <v>7121</v>
          </cell>
          <cell r="C39" t="str">
            <v>处置子公司及其他营业单位收到的现金净额</v>
          </cell>
          <cell r="D39">
            <v>0</v>
          </cell>
          <cell r="E39">
            <v>0</v>
          </cell>
          <cell r="F39">
            <v>0</v>
          </cell>
        </row>
        <row r="40">
          <cell r="B40">
            <v>7146</v>
          </cell>
          <cell r="C40" t="str">
            <v>收到其他与投资活动有关的现金</v>
          </cell>
          <cell r="D40">
            <v>0</v>
          </cell>
          <cell r="E40">
            <v>0</v>
          </cell>
          <cell r="F40">
            <v>0</v>
          </cell>
        </row>
        <row r="41">
          <cell r="B41">
            <v>7148</v>
          </cell>
          <cell r="C41" t="str">
            <v>投资活动现金流入小计</v>
          </cell>
          <cell r="D41">
            <v>0</v>
          </cell>
          <cell r="E41">
            <v>40334339.289999999</v>
          </cell>
          <cell r="F41">
            <v>13092</v>
          </cell>
        </row>
        <row r="42">
          <cell r="B42">
            <v>7151</v>
          </cell>
          <cell r="C42" t="str">
            <v>购置固定资产、无形资产和其他长期资产支付的现金</v>
          </cell>
          <cell r="D42">
            <v>0</v>
          </cell>
          <cell r="E42">
            <v>905835.7</v>
          </cell>
          <cell r="F42">
            <v>1246888.71</v>
          </cell>
        </row>
        <row r="43">
          <cell r="B43">
            <v>7161</v>
          </cell>
          <cell r="C43" t="str">
            <v>投资支付的现金</v>
          </cell>
          <cell r="D43">
            <v>0</v>
          </cell>
          <cell r="E43">
            <v>41530000</v>
          </cell>
          <cell r="F43">
            <v>0</v>
          </cell>
        </row>
        <row r="44">
          <cell r="B44">
            <v>7165</v>
          </cell>
          <cell r="C44" t="str">
            <v>质押贷款净增加额</v>
          </cell>
          <cell r="D44">
            <v>0</v>
          </cell>
          <cell r="E44">
            <v>0</v>
          </cell>
          <cell r="F44">
            <v>0</v>
          </cell>
        </row>
        <row r="45">
          <cell r="B45">
            <v>7171</v>
          </cell>
          <cell r="C45" t="str">
            <v>取得子公司及其他营业单位支付的现金净额</v>
          </cell>
          <cell r="D45">
            <v>0</v>
          </cell>
          <cell r="E45">
            <v>0</v>
          </cell>
          <cell r="F45">
            <v>0</v>
          </cell>
        </row>
        <row r="46">
          <cell r="B46">
            <v>7196</v>
          </cell>
          <cell r="C46" t="str">
            <v>支付其他与投资活动有关的现金</v>
          </cell>
          <cell r="D46">
            <v>0</v>
          </cell>
          <cell r="E46">
            <v>0</v>
          </cell>
          <cell r="F46">
            <v>0</v>
          </cell>
        </row>
        <row r="47">
          <cell r="B47">
            <v>7198</v>
          </cell>
          <cell r="C47" t="str">
            <v>投资活动现金流出小计</v>
          </cell>
          <cell r="D47">
            <v>0</v>
          </cell>
          <cell r="E47">
            <v>42435835.700000003</v>
          </cell>
          <cell r="F47">
            <v>1246888.71</v>
          </cell>
        </row>
        <row r="48">
          <cell r="B48">
            <v>7199</v>
          </cell>
          <cell r="C48" t="str">
            <v>投资活动产生的现金流量净额</v>
          </cell>
          <cell r="D48">
            <v>0</v>
          </cell>
          <cell r="E48">
            <v>-2101496.41</v>
          </cell>
          <cell r="F48">
            <v>-1233796.71</v>
          </cell>
        </row>
        <row r="49">
          <cell r="B49">
            <v>7200</v>
          </cell>
          <cell r="C49" t="str">
            <v>三、筹资活动产生的现金流量：</v>
          </cell>
          <cell r="D49">
            <v>0</v>
          </cell>
          <cell r="E49">
            <v>0</v>
          </cell>
          <cell r="F49">
            <v>0</v>
          </cell>
        </row>
        <row r="50">
          <cell r="B50">
            <v>7201</v>
          </cell>
          <cell r="C50" t="str">
            <v>吸收投资收到的现金</v>
          </cell>
          <cell r="D50">
            <v>0</v>
          </cell>
          <cell r="E50">
            <v>0</v>
          </cell>
          <cell r="F50">
            <v>0</v>
          </cell>
        </row>
        <row r="51">
          <cell r="B51">
            <v>7201.01</v>
          </cell>
          <cell r="C51" t="str">
            <v>其中：子公司吸收少数股东权益性投资收到的现金</v>
          </cell>
          <cell r="D51">
            <v>0</v>
          </cell>
          <cell r="E51">
            <v>0</v>
          </cell>
          <cell r="F51">
            <v>0</v>
          </cell>
        </row>
        <row r="52">
          <cell r="B52">
            <v>7211</v>
          </cell>
          <cell r="C52" t="str">
            <v>取得借款收到的现金</v>
          </cell>
          <cell r="D52">
            <v>0</v>
          </cell>
          <cell r="E52">
            <v>25000000</v>
          </cell>
          <cell r="F52">
            <v>17000000</v>
          </cell>
        </row>
        <row r="53">
          <cell r="B53">
            <v>7221</v>
          </cell>
          <cell r="C53" t="str">
            <v>发行债券收到的现金</v>
          </cell>
          <cell r="D53">
            <v>0</v>
          </cell>
          <cell r="E53">
            <v>0</v>
          </cell>
          <cell r="F53">
            <v>0</v>
          </cell>
        </row>
        <row r="54">
          <cell r="B54">
            <v>7246</v>
          </cell>
          <cell r="C54" t="str">
            <v>收到其他与筹资活动有关的现金</v>
          </cell>
          <cell r="D54">
            <v>0</v>
          </cell>
          <cell r="E54">
            <v>0</v>
          </cell>
          <cell r="F54">
            <v>0</v>
          </cell>
        </row>
        <row r="55">
          <cell r="B55">
            <v>7248</v>
          </cell>
          <cell r="C55" t="str">
            <v>筹资活动现金流入小计</v>
          </cell>
          <cell r="D55">
            <v>0</v>
          </cell>
          <cell r="E55">
            <v>25000000</v>
          </cell>
          <cell r="F55">
            <v>17000000</v>
          </cell>
        </row>
        <row r="56">
          <cell r="B56">
            <v>7251</v>
          </cell>
          <cell r="C56" t="str">
            <v>偿还债务支付的现金</v>
          </cell>
          <cell r="D56">
            <v>0</v>
          </cell>
          <cell r="E56">
            <v>17000000</v>
          </cell>
          <cell r="F56">
            <v>10006661.539999999</v>
          </cell>
        </row>
        <row r="57">
          <cell r="B57">
            <v>7261</v>
          </cell>
          <cell r="C57" t="str">
            <v>分配股利、利润或偿付利息支付的现金</v>
          </cell>
          <cell r="D57">
            <v>0</v>
          </cell>
          <cell r="E57">
            <v>947952.4</v>
          </cell>
          <cell r="F57">
            <v>10335695.279999999</v>
          </cell>
        </row>
        <row r="58">
          <cell r="B58">
            <v>7261.01</v>
          </cell>
          <cell r="C58" t="str">
            <v>其中：子公司支付少数股东的现金股利</v>
          </cell>
          <cell r="D58">
            <v>0</v>
          </cell>
          <cell r="E58">
            <v>0</v>
          </cell>
          <cell r="F58">
            <v>0</v>
          </cell>
        </row>
        <row r="59">
          <cell r="B59">
            <v>7296</v>
          </cell>
          <cell r="C59" t="str">
            <v>支付其他与筹资活动有关的现金</v>
          </cell>
          <cell r="D59">
            <v>0</v>
          </cell>
          <cell r="E59">
            <v>0</v>
          </cell>
          <cell r="F59">
            <v>0</v>
          </cell>
        </row>
        <row r="60">
          <cell r="B60">
            <v>7296.11</v>
          </cell>
          <cell r="C60" t="str">
            <v>其中：子公司减资支付给少数股东的现金</v>
          </cell>
          <cell r="D60">
            <v>0</v>
          </cell>
          <cell r="E60">
            <v>0</v>
          </cell>
          <cell r="F60">
            <v>0</v>
          </cell>
        </row>
        <row r="61">
          <cell r="B61">
            <v>7298</v>
          </cell>
          <cell r="C61" t="str">
            <v>筹资活动现金流出小计</v>
          </cell>
          <cell r="D61">
            <v>0</v>
          </cell>
          <cell r="E61">
            <v>17947952.399999999</v>
          </cell>
          <cell r="F61">
            <v>20342356.82</v>
          </cell>
        </row>
        <row r="62">
          <cell r="B62">
            <v>7299</v>
          </cell>
          <cell r="C62" t="str">
            <v>筹资活动产生的现金流量净额</v>
          </cell>
          <cell r="D62">
            <v>0</v>
          </cell>
          <cell r="E62">
            <v>7052047.5999999996</v>
          </cell>
          <cell r="F62">
            <v>-3342356.82</v>
          </cell>
        </row>
        <row r="63">
          <cell r="B63">
            <v>7309</v>
          </cell>
          <cell r="C63" t="str">
            <v>四、汇率变动对现金及现金等价物的影响</v>
          </cell>
          <cell r="D63">
            <v>0</v>
          </cell>
          <cell r="E63">
            <v>0</v>
          </cell>
          <cell r="F63">
            <v>0</v>
          </cell>
        </row>
        <row r="64">
          <cell r="B64">
            <v>7348</v>
          </cell>
          <cell r="C64" t="str">
            <v>五、现金及现金等价物净增加额</v>
          </cell>
          <cell r="D64">
            <v>0</v>
          </cell>
          <cell r="E64">
            <v>25908157.670000002</v>
          </cell>
          <cell r="F64">
            <v>415494.31</v>
          </cell>
        </row>
        <row r="65">
          <cell r="B65">
            <v>7349</v>
          </cell>
          <cell r="C65" t="str">
            <v>加：期初现金及现金等价物余额</v>
          </cell>
          <cell r="D65">
            <v>0</v>
          </cell>
          <cell r="E65">
            <v>24448149.870000001</v>
          </cell>
          <cell r="F65">
            <v>24032655.559999999</v>
          </cell>
        </row>
        <row r="66">
          <cell r="B66">
            <v>7399</v>
          </cell>
          <cell r="C66" t="str">
            <v>六、期末现金及现金等价物余额</v>
          </cell>
          <cell r="D66">
            <v>0</v>
          </cell>
          <cell r="E66">
            <v>50356307.539999999</v>
          </cell>
          <cell r="F66">
            <v>24448149.870000001</v>
          </cell>
        </row>
        <row r="70">
          <cell r="B70">
            <v>0</v>
          </cell>
          <cell r="C70" t="str">
            <v>补充资料</v>
          </cell>
          <cell r="D70">
            <v>0</v>
          </cell>
          <cell r="E70" t="str">
            <v>本年金额</v>
          </cell>
          <cell r="F70" t="str">
            <v>上年金额</v>
          </cell>
        </row>
        <row r="71">
          <cell r="B71">
            <v>7501</v>
          </cell>
          <cell r="C71" t="str">
            <v>1.将净利润调节为经营活动现金流量：</v>
          </cell>
          <cell r="D71">
            <v>0</v>
          </cell>
          <cell r="E71">
            <v>0</v>
          </cell>
          <cell r="F71">
            <v>0</v>
          </cell>
        </row>
        <row r="72">
          <cell r="B72">
            <v>7502</v>
          </cell>
          <cell r="C72" t="str">
            <v>净利润</v>
          </cell>
          <cell r="D72">
            <v>0</v>
          </cell>
          <cell r="E72">
            <v>32204101.010000002</v>
          </cell>
          <cell r="F72">
            <v>26377964.25</v>
          </cell>
        </row>
        <row r="73">
          <cell r="B73">
            <v>7503</v>
          </cell>
          <cell r="C73" t="str">
            <v>加：资产减值准备</v>
          </cell>
          <cell r="D73">
            <v>0</v>
          </cell>
          <cell r="E73">
            <v>6981598.7199999997</v>
          </cell>
          <cell r="F73">
            <v>10407761.99</v>
          </cell>
        </row>
        <row r="74">
          <cell r="B74">
            <v>7505</v>
          </cell>
          <cell r="C74" t="str">
            <v>固定资产折旧、油气资产折耗、生产性生物资产折旧</v>
          </cell>
          <cell r="D74">
            <v>0</v>
          </cell>
          <cell r="E74">
            <v>1105464.18</v>
          </cell>
          <cell r="F74">
            <v>1053637.08</v>
          </cell>
        </row>
        <row r="75">
          <cell r="B75">
            <v>7506</v>
          </cell>
          <cell r="C75" t="str">
            <v>无形资产摊销</v>
          </cell>
          <cell r="D75">
            <v>0</v>
          </cell>
          <cell r="E75">
            <v>105672.48</v>
          </cell>
          <cell r="F75">
            <v>172564.1</v>
          </cell>
        </row>
        <row r="76">
          <cell r="B76">
            <v>7507</v>
          </cell>
          <cell r="C76" t="str">
            <v>长期待摊费用摊销</v>
          </cell>
          <cell r="D76">
            <v>0</v>
          </cell>
          <cell r="E76">
            <v>0</v>
          </cell>
          <cell r="F76">
            <v>0</v>
          </cell>
        </row>
        <row r="77">
          <cell r="B77">
            <v>7508</v>
          </cell>
          <cell r="C77" t="str">
            <v>处置固定资产、无形资产和其他长期资产的损失（收益以“－”号填列）</v>
          </cell>
          <cell r="D77">
            <v>0</v>
          </cell>
          <cell r="E77">
            <v>0</v>
          </cell>
          <cell r="F77">
            <v>4307.87</v>
          </cell>
        </row>
        <row r="78">
          <cell r="B78">
            <v>7509</v>
          </cell>
          <cell r="C78" t="str">
            <v>固定资产报废损失（收益以“－”号填列）</v>
          </cell>
          <cell r="D78">
            <v>0</v>
          </cell>
          <cell r="E78">
            <v>62471.05</v>
          </cell>
          <cell r="F78">
            <v>7462.41</v>
          </cell>
        </row>
        <row r="79">
          <cell r="B79">
            <v>7510</v>
          </cell>
          <cell r="C79" t="str">
            <v>公允价值变动损失（收益以“－”号填列）</v>
          </cell>
          <cell r="D79">
            <v>0</v>
          </cell>
          <cell r="E79">
            <v>0</v>
          </cell>
          <cell r="F79">
            <v>0</v>
          </cell>
        </row>
        <row r="80">
          <cell r="B80">
            <v>7511</v>
          </cell>
          <cell r="C80" t="str">
            <v>财务费用（收益以“－”号填列）</v>
          </cell>
          <cell r="D80">
            <v>0</v>
          </cell>
          <cell r="E80">
            <v>947952.4</v>
          </cell>
          <cell r="F80">
            <v>621427.49</v>
          </cell>
        </row>
        <row r="81">
          <cell r="B81">
            <v>7512</v>
          </cell>
          <cell r="C81" t="str">
            <v>投资损失（收益以“－”号填列）</v>
          </cell>
          <cell r="D81">
            <v>0</v>
          </cell>
          <cell r="E81">
            <v>-624383.41</v>
          </cell>
          <cell r="F81">
            <v>-395610.58</v>
          </cell>
        </row>
        <row r="82">
          <cell r="B82">
            <v>7515</v>
          </cell>
          <cell r="C82" t="str">
            <v>递延所得税资产减少（增加以“－”号填列）</v>
          </cell>
          <cell r="D82">
            <v>0</v>
          </cell>
          <cell r="E82">
            <v>-1047239.81</v>
          </cell>
          <cell r="F82">
            <v>-1561164.29</v>
          </cell>
        </row>
        <row r="83">
          <cell r="B83">
            <v>7516</v>
          </cell>
          <cell r="C83" t="str">
            <v>递延所得税负债增加（减少以“－”号填列）</v>
          </cell>
          <cell r="D83">
            <v>0</v>
          </cell>
          <cell r="E83">
            <v>0</v>
          </cell>
          <cell r="F83">
            <v>0</v>
          </cell>
        </row>
        <row r="84">
          <cell r="B84">
            <v>7517</v>
          </cell>
          <cell r="C84" t="str">
            <v>存货的减少（增加以“－”号填列）</v>
          </cell>
          <cell r="D84">
            <v>0</v>
          </cell>
          <cell r="E84">
            <v>-9065179.5</v>
          </cell>
          <cell r="F84">
            <v>-6572357.5800000001</v>
          </cell>
        </row>
        <row r="85">
          <cell r="B85">
            <v>7518</v>
          </cell>
          <cell r="C85" t="str">
            <v>经营性应收项目的减少（增加以“－”号填列）</v>
          </cell>
          <cell r="D85">
            <v>0</v>
          </cell>
          <cell r="E85">
            <v>-66550787.18</v>
          </cell>
          <cell r="F85">
            <v>-67049395.170000002</v>
          </cell>
        </row>
        <row r="86">
          <cell r="B86">
            <v>7519</v>
          </cell>
          <cell r="C86" t="str">
            <v>经营性应付项目的增加（减少以“－”号填列）</v>
          </cell>
          <cell r="D86">
            <v>0</v>
          </cell>
          <cell r="E86">
            <v>56955511.509999998</v>
          </cell>
          <cell r="F86">
            <v>41672460.710000001</v>
          </cell>
        </row>
        <row r="87">
          <cell r="B87">
            <v>7523</v>
          </cell>
          <cell r="C87" t="str">
            <v>其他</v>
          </cell>
          <cell r="D87">
            <v>0</v>
          </cell>
          <cell r="E87">
            <v>0</v>
          </cell>
          <cell r="F87">
            <v>252589.56</v>
          </cell>
        </row>
        <row r="88">
          <cell r="B88">
            <v>7525</v>
          </cell>
          <cell r="C88" t="str">
            <v>经营活动产生的现金流量净额</v>
          </cell>
          <cell r="D88">
            <v>0</v>
          </cell>
          <cell r="E88">
            <v>21075181.449999999</v>
          </cell>
          <cell r="F88">
            <v>4991647.84</v>
          </cell>
        </row>
        <row r="89">
          <cell r="B89">
            <v>7526</v>
          </cell>
          <cell r="C89" t="str">
            <v>2.不涉及现金收支的重大投资和筹资活动：</v>
          </cell>
          <cell r="D89">
            <v>0</v>
          </cell>
          <cell r="E89">
            <v>0</v>
          </cell>
          <cell r="F89">
            <v>0</v>
          </cell>
        </row>
        <row r="90">
          <cell r="B90">
            <v>7527</v>
          </cell>
          <cell r="C90" t="str">
            <v>债务转为资本</v>
          </cell>
          <cell r="D90">
            <v>0</v>
          </cell>
          <cell r="E90">
            <v>0</v>
          </cell>
          <cell r="F90">
            <v>0</v>
          </cell>
        </row>
        <row r="91">
          <cell r="B91">
            <v>7528</v>
          </cell>
          <cell r="C91" t="str">
            <v>一年内到期的可转换公司债券</v>
          </cell>
          <cell r="D91">
            <v>0</v>
          </cell>
          <cell r="E91">
            <v>0</v>
          </cell>
          <cell r="F91">
            <v>0</v>
          </cell>
        </row>
        <row r="92">
          <cell r="B92">
            <v>7529</v>
          </cell>
          <cell r="C92" t="str">
            <v>融资租入固定资产</v>
          </cell>
          <cell r="D92">
            <v>0</v>
          </cell>
          <cell r="E92">
            <v>0</v>
          </cell>
          <cell r="F92">
            <v>0</v>
          </cell>
        </row>
        <row r="93">
          <cell r="B93">
            <v>7533</v>
          </cell>
          <cell r="C93" t="str">
            <v>3.现金及现金等价物净变动情况：</v>
          </cell>
          <cell r="D93">
            <v>0</v>
          </cell>
          <cell r="E93">
            <v>0</v>
          </cell>
          <cell r="F93">
            <v>0</v>
          </cell>
        </row>
        <row r="94">
          <cell r="B94">
            <v>7535</v>
          </cell>
          <cell r="C94" t="str">
            <v>现金的期末余额</v>
          </cell>
          <cell r="D94">
            <v>0</v>
          </cell>
          <cell r="E94">
            <v>50356307.539999999</v>
          </cell>
          <cell r="F94">
            <v>24448149.870000001</v>
          </cell>
        </row>
        <row r="95">
          <cell r="B95">
            <v>7536</v>
          </cell>
          <cell r="C95" t="str">
            <v>减：现金的年初余额</v>
          </cell>
          <cell r="D95">
            <v>0</v>
          </cell>
          <cell r="E95">
            <v>24448149.870000001</v>
          </cell>
          <cell r="F95">
            <v>24032655.559999999</v>
          </cell>
        </row>
        <row r="96">
          <cell r="B96">
            <v>7537</v>
          </cell>
          <cell r="C96" t="str">
            <v>加：现金等价物的期末余额</v>
          </cell>
          <cell r="D96">
            <v>0</v>
          </cell>
          <cell r="E96">
            <v>0</v>
          </cell>
          <cell r="F96">
            <v>0</v>
          </cell>
        </row>
        <row r="97">
          <cell r="B97">
            <v>7538</v>
          </cell>
          <cell r="C97" t="str">
            <v>减：现金等价物的年初余额</v>
          </cell>
          <cell r="D97">
            <v>0</v>
          </cell>
          <cell r="E97">
            <v>0</v>
          </cell>
          <cell r="F97">
            <v>0</v>
          </cell>
        </row>
        <row r="98">
          <cell r="B98">
            <v>7539</v>
          </cell>
          <cell r="C98" t="str">
            <v>现金及现金等价物净增加额</v>
          </cell>
          <cell r="D98">
            <v>0</v>
          </cell>
          <cell r="E98">
            <v>25908157.670000002</v>
          </cell>
          <cell r="F98">
            <v>415494.31</v>
          </cell>
        </row>
      </sheetData>
      <sheetData sheetId="6">
        <row r="2">
          <cell r="B2">
            <v>0</v>
          </cell>
          <cell r="C2">
            <v>0</v>
          </cell>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row>
        <row r="4">
          <cell r="B4">
            <v>0</v>
          </cell>
          <cell r="C4" t="str">
            <v>2018年度</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t="str">
            <v>会企04表</v>
          </cell>
        </row>
        <row r="5">
          <cell r="B5">
            <v>0</v>
          </cell>
          <cell r="C5" t="str">
            <v>编制单位：江苏纬信工程咨询有限公司</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t="str">
            <v>单位：元   币种：人民币</v>
          </cell>
          <cell r="AB5">
            <v>0</v>
          </cell>
          <cell r="AC5">
            <v>0</v>
          </cell>
          <cell r="AD5">
            <v>0</v>
          </cell>
          <cell r="AE5">
            <v>0</v>
          </cell>
        </row>
        <row r="6">
          <cell r="B6">
            <v>0</v>
          </cell>
          <cell r="C6">
            <v>0</v>
          </cell>
          <cell r="D6" t="str">
            <v>本期金额</v>
          </cell>
          <cell r="E6">
            <v>0</v>
          </cell>
          <cell r="F6">
            <v>0</v>
          </cell>
          <cell r="G6">
            <v>0</v>
          </cell>
          <cell r="H6">
            <v>0</v>
          </cell>
          <cell r="I6">
            <v>0</v>
          </cell>
          <cell r="J6">
            <v>0</v>
          </cell>
          <cell r="K6">
            <v>0</v>
          </cell>
          <cell r="L6">
            <v>0</v>
          </cell>
          <cell r="M6">
            <v>0</v>
          </cell>
          <cell r="N6">
            <v>0</v>
          </cell>
          <cell r="O6">
            <v>0</v>
          </cell>
          <cell r="P6">
            <v>0</v>
          </cell>
          <cell r="Q6">
            <v>0</v>
          </cell>
          <cell r="R6" t="str">
            <v>上年同期金额</v>
          </cell>
          <cell r="S6">
            <v>0</v>
          </cell>
          <cell r="T6">
            <v>0</v>
          </cell>
          <cell r="U6">
            <v>0</v>
          </cell>
          <cell r="V6">
            <v>0</v>
          </cell>
          <cell r="W6">
            <v>0</v>
          </cell>
          <cell r="X6">
            <v>0</v>
          </cell>
          <cell r="Y6">
            <v>0</v>
          </cell>
          <cell r="Z6">
            <v>0</v>
          </cell>
          <cell r="AA6">
            <v>0</v>
          </cell>
          <cell r="AB6">
            <v>0</v>
          </cell>
          <cell r="AC6">
            <v>0</v>
          </cell>
          <cell r="AD6">
            <v>0</v>
          </cell>
          <cell r="AE6">
            <v>0</v>
          </cell>
        </row>
        <row r="7">
          <cell r="B7">
            <v>0</v>
          </cell>
          <cell r="C7">
            <v>0</v>
          </cell>
          <cell r="D7" t="str">
            <v>归属于母公司所有者权益</v>
          </cell>
          <cell r="E7">
            <v>0</v>
          </cell>
          <cell r="F7">
            <v>0</v>
          </cell>
          <cell r="G7">
            <v>0</v>
          </cell>
          <cell r="H7">
            <v>0</v>
          </cell>
          <cell r="I7">
            <v>0</v>
          </cell>
          <cell r="J7">
            <v>0</v>
          </cell>
          <cell r="K7">
            <v>0</v>
          </cell>
          <cell r="L7">
            <v>0</v>
          </cell>
          <cell r="M7">
            <v>0</v>
          </cell>
          <cell r="N7">
            <v>0</v>
          </cell>
          <cell r="O7">
            <v>0</v>
          </cell>
          <cell r="P7">
            <v>0</v>
          </cell>
          <cell r="Q7">
            <v>0</v>
          </cell>
          <cell r="R7" t="str">
            <v>归属于母公司所有者权益</v>
          </cell>
          <cell r="S7">
            <v>0</v>
          </cell>
          <cell r="T7">
            <v>0</v>
          </cell>
          <cell r="U7">
            <v>0</v>
          </cell>
          <cell r="V7">
            <v>0</v>
          </cell>
          <cell r="W7">
            <v>0</v>
          </cell>
          <cell r="X7">
            <v>0</v>
          </cell>
          <cell r="Y7">
            <v>0</v>
          </cell>
          <cell r="Z7">
            <v>0</v>
          </cell>
          <cell r="AA7">
            <v>0</v>
          </cell>
          <cell r="AB7">
            <v>0</v>
          </cell>
          <cell r="AC7">
            <v>0</v>
          </cell>
          <cell r="AD7">
            <v>0</v>
          </cell>
          <cell r="AE7">
            <v>0</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20000000</v>
          </cell>
          <cell r="E9">
            <v>0</v>
          </cell>
          <cell r="F9">
            <v>0</v>
          </cell>
          <cell r="G9">
            <v>0</v>
          </cell>
          <cell r="H9">
            <v>0</v>
          </cell>
          <cell r="I9">
            <v>0</v>
          </cell>
          <cell r="J9">
            <v>0</v>
          </cell>
          <cell r="K9">
            <v>0</v>
          </cell>
          <cell r="L9">
            <v>10000000</v>
          </cell>
          <cell r="M9">
            <v>0</v>
          </cell>
          <cell r="N9">
            <v>67664607.299999997</v>
          </cell>
          <cell r="O9">
            <v>0</v>
          </cell>
          <cell r="P9">
            <v>0</v>
          </cell>
          <cell r="Q9">
            <v>97664607.299999997</v>
          </cell>
          <cell r="R9">
            <v>20000000</v>
          </cell>
          <cell r="S9">
            <v>0</v>
          </cell>
          <cell r="T9">
            <v>0</v>
          </cell>
          <cell r="U9">
            <v>0</v>
          </cell>
          <cell r="V9">
            <v>0</v>
          </cell>
          <cell r="W9">
            <v>0</v>
          </cell>
          <cell r="X9">
            <v>0</v>
          </cell>
          <cell r="Y9">
            <v>0</v>
          </cell>
          <cell r="Z9">
            <v>7495453.8300000001</v>
          </cell>
          <cell r="AA9">
            <v>0</v>
          </cell>
          <cell r="AB9">
            <v>53505457.009999998</v>
          </cell>
          <cell r="AC9">
            <v>0</v>
          </cell>
          <cell r="AD9">
            <v>0</v>
          </cell>
          <cell r="AE9">
            <v>81000910.840000004</v>
          </cell>
        </row>
        <row r="10">
          <cell r="B10" t="str">
            <v>02</v>
          </cell>
          <cell r="C10" t="str">
            <v>加：会计政策变更</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20000000</v>
          </cell>
          <cell r="E14">
            <v>0</v>
          </cell>
          <cell r="F14">
            <v>0</v>
          </cell>
          <cell r="G14">
            <v>0</v>
          </cell>
          <cell r="H14">
            <v>0</v>
          </cell>
          <cell r="I14">
            <v>0</v>
          </cell>
          <cell r="J14">
            <v>0</v>
          </cell>
          <cell r="K14">
            <v>0</v>
          </cell>
          <cell r="L14">
            <v>10000000</v>
          </cell>
          <cell r="M14">
            <v>0</v>
          </cell>
          <cell r="N14">
            <v>67664607.299999997</v>
          </cell>
          <cell r="O14">
            <v>0</v>
          </cell>
          <cell r="P14">
            <v>0</v>
          </cell>
          <cell r="Q14">
            <v>97664607.299999997</v>
          </cell>
          <cell r="R14">
            <v>20000000</v>
          </cell>
          <cell r="S14">
            <v>0</v>
          </cell>
          <cell r="T14">
            <v>0</v>
          </cell>
          <cell r="U14">
            <v>0</v>
          </cell>
          <cell r="V14">
            <v>0</v>
          </cell>
          <cell r="W14">
            <v>0</v>
          </cell>
          <cell r="X14">
            <v>0</v>
          </cell>
          <cell r="Y14">
            <v>0</v>
          </cell>
          <cell r="Z14">
            <v>7495453.8300000001</v>
          </cell>
          <cell r="AA14">
            <v>0</v>
          </cell>
          <cell r="AB14">
            <v>53505457.009999998</v>
          </cell>
          <cell r="AC14">
            <v>0</v>
          </cell>
          <cell r="AD14">
            <v>0</v>
          </cell>
          <cell r="AE14">
            <v>81000910.840000004</v>
          </cell>
        </row>
        <row r="15">
          <cell r="B15" t="str">
            <v>90</v>
          </cell>
          <cell r="C15" t="str">
            <v>三、本年增减变动金额（减少以“－”号填列）</v>
          </cell>
          <cell r="D15">
            <v>0</v>
          </cell>
          <cell r="E15">
            <v>0</v>
          </cell>
          <cell r="F15">
            <v>0</v>
          </cell>
          <cell r="G15">
            <v>0</v>
          </cell>
          <cell r="H15">
            <v>0</v>
          </cell>
          <cell r="I15">
            <v>0</v>
          </cell>
          <cell r="J15">
            <v>0</v>
          </cell>
          <cell r="K15">
            <v>0</v>
          </cell>
          <cell r="L15">
            <v>0</v>
          </cell>
          <cell r="M15">
            <v>0</v>
          </cell>
          <cell r="N15">
            <v>32204101.010000002</v>
          </cell>
          <cell r="O15">
            <v>0</v>
          </cell>
          <cell r="P15">
            <v>0</v>
          </cell>
          <cell r="Q15">
            <v>32204101.010000002</v>
          </cell>
          <cell r="R15">
            <v>0</v>
          </cell>
          <cell r="S15">
            <v>0</v>
          </cell>
          <cell r="T15">
            <v>0</v>
          </cell>
          <cell r="U15">
            <v>0</v>
          </cell>
          <cell r="V15">
            <v>0</v>
          </cell>
          <cell r="W15">
            <v>0</v>
          </cell>
          <cell r="X15">
            <v>0</v>
          </cell>
          <cell r="Y15">
            <v>0</v>
          </cell>
          <cell r="Z15">
            <v>2504546.17</v>
          </cell>
          <cell r="AA15">
            <v>0</v>
          </cell>
          <cell r="AB15">
            <v>14159150.289999999</v>
          </cell>
          <cell r="AC15">
            <v>0</v>
          </cell>
          <cell r="AD15">
            <v>0</v>
          </cell>
          <cell r="AE15">
            <v>16663696.460000001</v>
          </cell>
        </row>
        <row r="16">
          <cell r="B16" t="str">
            <v>21</v>
          </cell>
          <cell r="C16" t="str">
            <v>（一）净利润</v>
          </cell>
          <cell r="D16">
            <v>0</v>
          </cell>
          <cell r="E16">
            <v>0</v>
          </cell>
          <cell r="F16">
            <v>0</v>
          </cell>
          <cell r="G16">
            <v>0</v>
          </cell>
          <cell r="H16">
            <v>0</v>
          </cell>
          <cell r="I16">
            <v>0</v>
          </cell>
          <cell r="J16">
            <v>0</v>
          </cell>
          <cell r="K16">
            <v>0</v>
          </cell>
          <cell r="L16">
            <v>0</v>
          </cell>
          <cell r="M16">
            <v>0</v>
          </cell>
          <cell r="N16">
            <v>32204101.010000002</v>
          </cell>
          <cell r="O16">
            <v>0</v>
          </cell>
          <cell r="P16">
            <v>0</v>
          </cell>
          <cell r="Q16">
            <v>32204101.010000002</v>
          </cell>
          <cell r="R16">
            <v>0</v>
          </cell>
          <cell r="S16">
            <v>0</v>
          </cell>
          <cell r="T16">
            <v>0</v>
          </cell>
          <cell r="U16">
            <v>0</v>
          </cell>
          <cell r="V16">
            <v>0</v>
          </cell>
          <cell r="W16">
            <v>0</v>
          </cell>
          <cell r="X16">
            <v>0</v>
          </cell>
          <cell r="Y16">
            <v>0</v>
          </cell>
          <cell r="Z16">
            <v>0</v>
          </cell>
          <cell r="AA16">
            <v>0</v>
          </cell>
          <cell r="AB16">
            <v>26377964.25</v>
          </cell>
          <cell r="AC16">
            <v>0</v>
          </cell>
          <cell r="AD16">
            <v>0</v>
          </cell>
          <cell r="AE16">
            <v>26377964.25</v>
          </cell>
        </row>
        <row r="17">
          <cell r="B17" t="str">
            <v>30</v>
          </cell>
          <cell r="C17" t="str">
            <v>（二）其他综合收益</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D18">
            <v>0</v>
          </cell>
          <cell r="E18">
            <v>0</v>
          </cell>
          <cell r="F18">
            <v>0</v>
          </cell>
          <cell r="G18">
            <v>0</v>
          </cell>
          <cell r="H18">
            <v>0</v>
          </cell>
          <cell r="I18">
            <v>0</v>
          </cell>
          <cell r="J18">
            <v>0</v>
          </cell>
          <cell r="K18">
            <v>0</v>
          </cell>
          <cell r="L18">
            <v>0</v>
          </cell>
          <cell r="M18">
            <v>0</v>
          </cell>
          <cell r="N18">
            <v>32204101.010000002</v>
          </cell>
          <cell r="O18">
            <v>0</v>
          </cell>
          <cell r="P18">
            <v>0</v>
          </cell>
          <cell r="Q18">
            <v>32204101.010000002</v>
          </cell>
          <cell r="R18">
            <v>0</v>
          </cell>
          <cell r="S18">
            <v>0</v>
          </cell>
          <cell r="T18">
            <v>0</v>
          </cell>
          <cell r="U18">
            <v>0</v>
          </cell>
          <cell r="V18">
            <v>0</v>
          </cell>
          <cell r="W18">
            <v>0</v>
          </cell>
          <cell r="X18">
            <v>0</v>
          </cell>
          <cell r="Y18">
            <v>0</v>
          </cell>
          <cell r="Z18">
            <v>0</v>
          </cell>
          <cell r="AA18">
            <v>0</v>
          </cell>
          <cell r="AB18">
            <v>26377964.25</v>
          </cell>
          <cell r="AC18">
            <v>0</v>
          </cell>
          <cell r="AD18">
            <v>0</v>
          </cell>
          <cell r="AE18">
            <v>26377964.25</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row>
        <row r="20">
          <cell r="B20" t="str">
            <v>51</v>
          </cell>
          <cell r="C20" t="str">
            <v>1．股东投入的普通股</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row r="21">
          <cell r="B21" t="str">
            <v>53</v>
          </cell>
          <cell r="C21" t="str">
            <v>2．其他权益工具持有者投入资本</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row>
        <row r="23">
          <cell r="B23" t="str">
            <v>56</v>
          </cell>
          <cell r="C23" t="str">
            <v>4．其他</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2504546.17</v>
          </cell>
          <cell r="AA24">
            <v>0</v>
          </cell>
          <cell r="AB24">
            <v>-12218813.960000001</v>
          </cell>
          <cell r="AC24">
            <v>0</v>
          </cell>
          <cell r="AD24">
            <v>0</v>
          </cell>
          <cell r="AE24">
            <v>-9714267.7899999991</v>
          </cell>
        </row>
        <row r="25">
          <cell r="B25" t="str">
            <v>61</v>
          </cell>
          <cell r="C25" t="str">
            <v>1．提取盈余公积</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2504546.17</v>
          </cell>
          <cell r="AA25">
            <v>0</v>
          </cell>
          <cell r="AB25">
            <v>-2504546.17</v>
          </cell>
          <cell r="AC25">
            <v>0</v>
          </cell>
          <cell r="AD25">
            <v>0</v>
          </cell>
          <cell r="AE25">
            <v>0</v>
          </cell>
        </row>
        <row r="26">
          <cell r="B26" t="str">
            <v>62</v>
          </cell>
          <cell r="C26" t="str">
            <v>2．提取一般风险准备</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3．对股东（或所有者）的分配</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-9714267.7899999991</v>
          </cell>
          <cell r="AC27">
            <v>0</v>
          </cell>
          <cell r="AD27">
            <v>0</v>
          </cell>
          <cell r="AE27">
            <v>-9714267.7899999991</v>
          </cell>
        </row>
        <row r="28">
          <cell r="B28" t="str">
            <v>66</v>
          </cell>
          <cell r="C28" t="str">
            <v>4．其他</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4．设定受益计划变动额结转留存收益</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row>
        <row r="36">
          <cell r="B36" t="str">
            <v>81</v>
          </cell>
          <cell r="C36" t="str">
            <v>1．本期提取</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row>
        <row r="37">
          <cell r="B37" t="str">
            <v>82</v>
          </cell>
          <cell r="C37" t="str">
            <v>2．本期使用（以负号填列）</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20000000</v>
          </cell>
          <cell r="E39">
            <v>0</v>
          </cell>
          <cell r="F39">
            <v>0</v>
          </cell>
          <cell r="G39">
            <v>0</v>
          </cell>
          <cell r="H39">
            <v>0</v>
          </cell>
          <cell r="I39">
            <v>0</v>
          </cell>
          <cell r="J39">
            <v>0</v>
          </cell>
          <cell r="K39">
            <v>0</v>
          </cell>
          <cell r="L39">
            <v>10000000</v>
          </cell>
          <cell r="M39">
            <v>0</v>
          </cell>
          <cell r="N39">
            <v>99868708.310000002</v>
          </cell>
          <cell r="O39">
            <v>0</v>
          </cell>
          <cell r="P39">
            <v>0</v>
          </cell>
          <cell r="Q39">
            <v>129868708.31</v>
          </cell>
          <cell r="R39">
            <v>20000000</v>
          </cell>
          <cell r="S39">
            <v>0</v>
          </cell>
          <cell r="T39">
            <v>0</v>
          </cell>
          <cell r="U39">
            <v>0</v>
          </cell>
          <cell r="V39">
            <v>0</v>
          </cell>
          <cell r="W39">
            <v>0</v>
          </cell>
          <cell r="X39">
            <v>0</v>
          </cell>
          <cell r="Y39">
            <v>0</v>
          </cell>
          <cell r="Z39">
            <v>10000000</v>
          </cell>
          <cell r="AA39">
            <v>0</v>
          </cell>
          <cell r="AB39">
            <v>67664607.299999997</v>
          </cell>
          <cell r="AC39">
            <v>0</v>
          </cell>
          <cell r="AD39">
            <v>0</v>
          </cell>
          <cell r="AE39">
            <v>97664607.299999997</v>
          </cell>
        </row>
      </sheetData>
      <sheetData sheetId="7">
        <row r="7">
          <cell r="D7">
            <v>36837713.509999998</v>
          </cell>
        </row>
      </sheetData>
      <sheetData sheetId="8"/>
      <sheetData sheetId="9"/>
      <sheetData sheetId="10"/>
      <sheetData sheetId="11">
        <row r="6">
          <cell r="D6">
            <v>0</v>
          </cell>
          <cell r="E6">
            <v>0</v>
          </cell>
          <cell r="F6" t="str">
            <v>本期</v>
          </cell>
          <cell r="G6" t="str">
            <v>本期</v>
          </cell>
          <cell r="H6" t="str">
            <v>本期</v>
          </cell>
          <cell r="I6" t="str">
            <v>本期</v>
          </cell>
          <cell r="J6" t="str">
            <v>上期</v>
          </cell>
          <cell r="K6" t="str">
            <v>上期</v>
          </cell>
          <cell r="L6" t="str">
            <v>上期</v>
          </cell>
          <cell r="M6" t="str">
            <v>上期</v>
          </cell>
        </row>
        <row r="7">
          <cell r="D7">
            <v>0</v>
          </cell>
          <cell r="E7">
            <v>0</v>
          </cell>
          <cell r="F7" t="str">
            <v>本期</v>
          </cell>
          <cell r="G7">
            <v>0</v>
          </cell>
          <cell r="H7">
            <v>0</v>
          </cell>
          <cell r="I7">
            <v>0</v>
          </cell>
          <cell r="J7" t="str">
            <v>上期</v>
          </cell>
          <cell r="K7">
            <v>0</v>
          </cell>
          <cell r="L7">
            <v>0</v>
          </cell>
          <cell r="M7">
            <v>0</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row>
        <row r="9">
          <cell r="D9">
            <v>1</v>
          </cell>
          <cell r="E9" t="str">
            <v>资产负债表</v>
          </cell>
          <cell r="F9">
            <v>0</v>
          </cell>
          <cell r="G9">
            <v>0</v>
          </cell>
          <cell r="H9">
            <v>0</v>
          </cell>
          <cell r="I9">
            <v>0</v>
          </cell>
          <cell r="J9">
            <v>0</v>
          </cell>
          <cell r="K9">
            <v>0</v>
          </cell>
          <cell r="L9">
            <v>0</v>
          </cell>
          <cell r="M9">
            <v>0</v>
          </cell>
        </row>
        <row r="10">
          <cell r="D10">
            <v>1000</v>
          </cell>
          <cell r="E10" t="str">
            <v>流动资产项目</v>
          </cell>
          <cell r="F10">
            <v>0</v>
          </cell>
          <cell r="G10">
            <v>0</v>
          </cell>
          <cell r="H10">
            <v>0</v>
          </cell>
          <cell r="I10">
            <v>0</v>
          </cell>
          <cell r="J10">
            <v>0</v>
          </cell>
          <cell r="K10">
            <v>0</v>
          </cell>
          <cell r="L10">
            <v>0</v>
          </cell>
          <cell r="M10">
            <v>0</v>
          </cell>
        </row>
        <row r="11">
          <cell r="D11">
            <v>1015</v>
          </cell>
          <cell r="E11" t="str">
            <v>货币资金</v>
          </cell>
          <cell r="F11">
            <v>50750127.640000001</v>
          </cell>
          <cell r="G11">
            <v>0</v>
          </cell>
          <cell r="H11">
            <v>0</v>
          </cell>
          <cell r="I11">
            <v>50750127.640000001</v>
          </cell>
          <cell r="J11">
            <v>25336264.57</v>
          </cell>
          <cell r="K11">
            <v>0</v>
          </cell>
          <cell r="L11">
            <v>0</v>
          </cell>
          <cell r="M11">
            <v>25336264.57</v>
          </cell>
        </row>
        <row r="12">
          <cell r="D12">
            <v>1021</v>
          </cell>
          <cell r="E12" t="str">
            <v>结算备付金</v>
          </cell>
          <cell r="F12">
            <v>0</v>
          </cell>
          <cell r="G12">
            <v>0</v>
          </cell>
          <cell r="H12">
            <v>0</v>
          </cell>
          <cell r="I12">
            <v>0</v>
          </cell>
          <cell r="J12">
            <v>0</v>
          </cell>
          <cell r="K12">
            <v>0</v>
          </cell>
          <cell r="L12">
            <v>0</v>
          </cell>
          <cell r="M12">
            <v>0</v>
          </cell>
        </row>
        <row r="13">
          <cell r="D13">
            <v>1302</v>
          </cell>
          <cell r="E13" t="str">
            <v>拆出资金</v>
          </cell>
          <cell r="F13">
            <v>0</v>
          </cell>
          <cell r="G13">
            <v>0</v>
          </cell>
          <cell r="H13">
            <v>0</v>
          </cell>
          <cell r="I13">
            <v>0</v>
          </cell>
          <cell r="J13">
            <v>0</v>
          </cell>
          <cell r="K13">
            <v>0</v>
          </cell>
          <cell r="L13">
            <v>0</v>
          </cell>
          <cell r="M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row>
        <row r="15">
          <cell r="D15">
            <v>1115</v>
          </cell>
          <cell r="E15" t="str">
            <v>衍生金融资产</v>
          </cell>
          <cell r="F15">
            <v>0</v>
          </cell>
          <cell r="G15">
            <v>0</v>
          </cell>
          <cell r="H15">
            <v>0</v>
          </cell>
          <cell r="I15">
            <v>0</v>
          </cell>
          <cell r="J15">
            <v>0</v>
          </cell>
          <cell r="K15">
            <v>0</v>
          </cell>
          <cell r="L15">
            <v>0</v>
          </cell>
          <cell r="M15">
            <v>0</v>
          </cell>
        </row>
        <row r="16">
          <cell r="D16">
            <v>1123</v>
          </cell>
          <cell r="E16" t="str">
            <v>应收票据及应收账款</v>
          </cell>
          <cell r="F16">
            <v>342264905.88</v>
          </cell>
          <cell r="G16">
            <v>-312115.78999999998</v>
          </cell>
          <cell r="H16">
            <v>-265828.36</v>
          </cell>
          <cell r="I16">
            <v>342218618.44999999</v>
          </cell>
          <cell r="J16">
            <v>287339266.75999999</v>
          </cell>
          <cell r="K16">
            <v>0</v>
          </cell>
          <cell r="L16">
            <v>0</v>
          </cell>
          <cell r="M16">
            <v>287339266.75999999</v>
          </cell>
        </row>
        <row r="17">
          <cell r="D17">
            <v>1121</v>
          </cell>
          <cell r="E17" t="str">
            <v>应收票据</v>
          </cell>
          <cell r="F17">
            <v>1000000</v>
          </cell>
          <cell r="G17">
            <v>0</v>
          </cell>
          <cell r="H17">
            <v>0</v>
          </cell>
          <cell r="I17">
            <v>1000000</v>
          </cell>
          <cell r="J17">
            <v>1140000</v>
          </cell>
          <cell r="K17">
            <v>0</v>
          </cell>
          <cell r="L17">
            <v>0</v>
          </cell>
          <cell r="M17">
            <v>1140000</v>
          </cell>
        </row>
        <row r="18">
          <cell r="D18">
            <v>1122</v>
          </cell>
          <cell r="E18" t="str">
            <v>应收账款</v>
          </cell>
          <cell r="F18">
            <v>341264905.88</v>
          </cell>
          <cell r="G18">
            <v>-312115.78999999998</v>
          </cell>
          <cell r="H18">
            <v>-265828.36</v>
          </cell>
          <cell r="I18">
            <v>341218618.44999999</v>
          </cell>
          <cell r="J18">
            <v>286199266.75999999</v>
          </cell>
          <cell r="K18">
            <v>0</v>
          </cell>
          <cell r="L18">
            <v>0</v>
          </cell>
          <cell r="M18">
            <v>286199266.75999999</v>
          </cell>
        </row>
        <row r="19">
          <cell r="D19">
            <v>1125</v>
          </cell>
          <cell r="E19" t="str">
            <v>预付款项</v>
          </cell>
          <cell r="F19">
            <v>18525361.829999998</v>
          </cell>
          <cell r="G19">
            <v>-4144385.3</v>
          </cell>
          <cell r="H19">
            <v>0</v>
          </cell>
          <cell r="I19">
            <v>14380976.529999999</v>
          </cell>
          <cell r="J19">
            <v>9352722.6999999993</v>
          </cell>
          <cell r="K19">
            <v>0</v>
          </cell>
          <cell r="L19">
            <v>0</v>
          </cell>
          <cell r="M19">
            <v>9352722.6999999993</v>
          </cell>
        </row>
        <row r="20">
          <cell r="D20">
            <v>1127</v>
          </cell>
          <cell r="E20" t="str">
            <v>应收保费</v>
          </cell>
          <cell r="F20">
            <v>0</v>
          </cell>
          <cell r="G20">
            <v>0</v>
          </cell>
          <cell r="H20">
            <v>0</v>
          </cell>
          <cell r="I20">
            <v>0</v>
          </cell>
          <cell r="J20">
            <v>0</v>
          </cell>
          <cell r="K20">
            <v>0</v>
          </cell>
          <cell r="L20">
            <v>0</v>
          </cell>
          <cell r="M20">
            <v>0</v>
          </cell>
        </row>
        <row r="21">
          <cell r="D21">
            <v>1211</v>
          </cell>
          <cell r="E21" t="str">
            <v>应收分保账款</v>
          </cell>
          <cell r="F21">
            <v>0</v>
          </cell>
          <cell r="G21">
            <v>0</v>
          </cell>
          <cell r="H21">
            <v>0</v>
          </cell>
          <cell r="I21">
            <v>0</v>
          </cell>
          <cell r="J21">
            <v>0</v>
          </cell>
          <cell r="K21">
            <v>0</v>
          </cell>
          <cell r="L21">
            <v>0</v>
          </cell>
          <cell r="M21">
            <v>0</v>
          </cell>
        </row>
        <row r="22">
          <cell r="D22">
            <v>1212</v>
          </cell>
          <cell r="E22" t="str">
            <v>应收分保合同准备金</v>
          </cell>
          <cell r="F22">
            <v>0</v>
          </cell>
          <cell r="G22">
            <v>0</v>
          </cell>
          <cell r="H22">
            <v>0</v>
          </cell>
          <cell r="I22">
            <v>0</v>
          </cell>
          <cell r="J22">
            <v>0</v>
          </cell>
          <cell r="K22">
            <v>0</v>
          </cell>
          <cell r="L22">
            <v>0</v>
          </cell>
          <cell r="M22">
            <v>0</v>
          </cell>
        </row>
        <row r="23">
          <cell r="D23">
            <v>1220</v>
          </cell>
          <cell r="E23" t="str">
            <v>其他应收款（报表项目）</v>
          </cell>
          <cell r="F23">
            <v>8761740.1199999992</v>
          </cell>
          <cell r="G23">
            <v>0</v>
          </cell>
          <cell r="H23">
            <v>354516.51</v>
          </cell>
          <cell r="I23">
            <v>8407223.6099999994</v>
          </cell>
          <cell r="J23">
            <v>7271224</v>
          </cell>
          <cell r="K23">
            <v>0</v>
          </cell>
          <cell r="L23">
            <v>0</v>
          </cell>
          <cell r="M23">
            <v>7271224</v>
          </cell>
        </row>
        <row r="24">
          <cell r="D24">
            <v>1132</v>
          </cell>
          <cell r="E24" t="str">
            <v>应收利息</v>
          </cell>
          <cell r="F24">
            <v>0</v>
          </cell>
          <cell r="G24">
            <v>0</v>
          </cell>
          <cell r="H24">
            <v>0</v>
          </cell>
          <cell r="I24">
            <v>0</v>
          </cell>
          <cell r="J24">
            <v>0</v>
          </cell>
          <cell r="K24">
            <v>0</v>
          </cell>
          <cell r="L24">
            <v>0</v>
          </cell>
          <cell r="M24">
            <v>0</v>
          </cell>
        </row>
        <row r="25">
          <cell r="D25">
            <v>1131</v>
          </cell>
          <cell r="E25" t="str">
            <v>应收股利</v>
          </cell>
          <cell r="F25">
            <v>0</v>
          </cell>
          <cell r="G25">
            <v>0</v>
          </cell>
          <cell r="H25">
            <v>0</v>
          </cell>
          <cell r="I25">
            <v>0</v>
          </cell>
          <cell r="J25">
            <v>0</v>
          </cell>
          <cell r="K25">
            <v>0</v>
          </cell>
          <cell r="L25">
            <v>0</v>
          </cell>
          <cell r="M25">
            <v>0</v>
          </cell>
        </row>
        <row r="26">
          <cell r="D26">
            <v>1221</v>
          </cell>
          <cell r="E26" t="str">
            <v>其他应收款</v>
          </cell>
          <cell r="F26">
            <v>8761740.1199999992</v>
          </cell>
          <cell r="G26">
            <v>0</v>
          </cell>
          <cell r="H26">
            <v>354516.51</v>
          </cell>
          <cell r="I26">
            <v>8407223.6099999994</v>
          </cell>
          <cell r="J26">
            <v>7271224</v>
          </cell>
          <cell r="K26">
            <v>0</v>
          </cell>
          <cell r="L26">
            <v>0</v>
          </cell>
          <cell r="M26">
            <v>7271224</v>
          </cell>
        </row>
        <row r="27">
          <cell r="D27">
            <v>1111</v>
          </cell>
          <cell r="E27" t="str">
            <v>买入返售金融资产</v>
          </cell>
          <cell r="F27">
            <v>0</v>
          </cell>
          <cell r="G27">
            <v>0</v>
          </cell>
          <cell r="H27">
            <v>0</v>
          </cell>
          <cell r="I27">
            <v>0</v>
          </cell>
          <cell r="J27">
            <v>0</v>
          </cell>
          <cell r="K27">
            <v>0</v>
          </cell>
          <cell r="L27">
            <v>0</v>
          </cell>
          <cell r="M27">
            <v>0</v>
          </cell>
        </row>
        <row r="28">
          <cell r="D28">
            <v>1400</v>
          </cell>
          <cell r="E28" t="str">
            <v>存货</v>
          </cell>
          <cell r="F28">
            <v>25371569.420000002</v>
          </cell>
          <cell r="G28">
            <v>11369808.15</v>
          </cell>
          <cell r="H28">
            <v>11395.01</v>
          </cell>
          <cell r="I28">
            <v>36729982.560000002</v>
          </cell>
          <cell r="J28">
            <v>28645775.129999999</v>
          </cell>
          <cell r="K28">
            <v>0</v>
          </cell>
          <cell r="L28">
            <v>0</v>
          </cell>
          <cell r="M28">
            <v>28645775.129999999</v>
          </cell>
        </row>
        <row r="29">
          <cell r="D29">
            <v>1315</v>
          </cell>
          <cell r="E29" t="str">
            <v>持有待售资产</v>
          </cell>
          <cell r="F29">
            <v>0</v>
          </cell>
          <cell r="G29">
            <v>0</v>
          </cell>
          <cell r="H29">
            <v>0</v>
          </cell>
          <cell r="I29">
            <v>0</v>
          </cell>
          <cell r="J29">
            <v>0</v>
          </cell>
          <cell r="K29">
            <v>0</v>
          </cell>
          <cell r="L29">
            <v>0</v>
          </cell>
          <cell r="M29">
            <v>0</v>
          </cell>
        </row>
        <row r="30">
          <cell r="D30">
            <v>1495</v>
          </cell>
          <cell r="E30" t="str">
            <v>一年内到期的非流动资产</v>
          </cell>
          <cell r="F30">
            <v>0</v>
          </cell>
          <cell r="G30">
            <v>0</v>
          </cell>
          <cell r="H30">
            <v>0</v>
          </cell>
          <cell r="I30">
            <v>0</v>
          </cell>
          <cell r="J30">
            <v>0</v>
          </cell>
          <cell r="K30">
            <v>0</v>
          </cell>
          <cell r="L30">
            <v>0</v>
          </cell>
          <cell r="M30">
            <v>0</v>
          </cell>
        </row>
        <row r="31">
          <cell r="D31">
            <v>1496</v>
          </cell>
          <cell r="E31" t="str">
            <v>其他流动资产</v>
          </cell>
          <cell r="F31">
            <v>0</v>
          </cell>
          <cell r="G31">
            <v>850</v>
          </cell>
          <cell r="H31">
            <v>0</v>
          </cell>
          <cell r="I31">
            <v>850</v>
          </cell>
          <cell r="J31">
            <v>0</v>
          </cell>
          <cell r="K31">
            <v>0</v>
          </cell>
          <cell r="L31">
            <v>0</v>
          </cell>
          <cell r="M31">
            <v>0</v>
          </cell>
        </row>
        <row r="32">
          <cell r="D32">
            <v>1498</v>
          </cell>
          <cell r="E32" t="str">
            <v>流动资产</v>
          </cell>
          <cell r="F32">
            <v>445673704.88999999</v>
          </cell>
          <cell r="G32">
            <v>6914157.0599999996</v>
          </cell>
          <cell r="H32">
            <v>100083.16</v>
          </cell>
          <cell r="I32">
            <v>452487778.79000002</v>
          </cell>
          <cell r="J32">
            <v>357945253.16000003</v>
          </cell>
          <cell r="K32">
            <v>0</v>
          </cell>
          <cell r="L32">
            <v>0</v>
          </cell>
          <cell r="M32">
            <v>357945253.16000003</v>
          </cell>
        </row>
        <row r="33">
          <cell r="D33">
            <v>1500</v>
          </cell>
          <cell r="E33" t="str">
            <v>非流动资产项目</v>
          </cell>
          <cell r="F33">
            <v>0</v>
          </cell>
          <cell r="G33">
            <v>0</v>
          </cell>
          <cell r="H33">
            <v>0</v>
          </cell>
          <cell r="I33">
            <v>0</v>
          </cell>
          <cell r="J33">
            <v>0</v>
          </cell>
          <cell r="K33">
            <v>0</v>
          </cell>
          <cell r="L33">
            <v>0</v>
          </cell>
          <cell r="M33">
            <v>0</v>
          </cell>
        </row>
        <row r="34">
          <cell r="D34">
            <v>1600</v>
          </cell>
          <cell r="E34" t="str">
            <v>发放委托贷款及垫款</v>
          </cell>
          <cell r="F34">
            <v>0</v>
          </cell>
          <cell r="G34">
            <v>0</v>
          </cell>
          <cell r="H34">
            <v>0</v>
          </cell>
          <cell r="I34">
            <v>0</v>
          </cell>
          <cell r="J34">
            <v>0</v>
          </cell>
          <cell r="K34">
            <v>0</v>
          </cell>
          <cell r="L34">
            <v>0</v>
          </cell>
          <cell r="M34">
            <v>0</v>
          </cell>
        </row>
        <row r="35">
          <cell r="D35">
            <v>1503</v>
          </cell>
          <cell r="E35" t="str">
            <v>可供出售金融资产</v>
          </cell>
          <cell r="F35">
            <v>0</v>
          </cell>
          <cell r="G35">
            <v>0</v>
          </cell>
          <cell r="H35">
            <v>0</v>
          </cell>
          <cell r="I35">
            <v>0</v>
          </cell>
          <cell r="J35">
            <v>0</v>
          </cell>
          <cell r="K35">
            <v>0</v>
          </cell>
          <cell r="L35">
            <v>0</v>
          </cell>
          <cell r="M35">
            <v>0</v>
          </cell>
        </row>
        <row r="36">
          <cell r="D36">
            <v>1501</v>
          </cell>
          <cell r="E36" t="str">
            <v>持有至到期投资</v>
          </cell>
          <cell r="F36">
            <v>0</v>
          </cell>
          <cell r="G36">
            <v>0</v>
          </cell>
          <cell r="H36">
            <v>0</v>
          </cell>
          <cell r="I36">
            <v>0</v>
          </cell>
          <cell r="J36">
            <v>0</v>
          </cell>
          <cell r="K36">
            <v>0</v>
          </cell>
          <cell r="L36">
            <v>0</v>
          </cell>
          <cell r="M36">
            <v>0</v>
          </cell>
        </row>
        <row r="37">
          <cell r="D37">
            <v>1531</v>
          </cell>
          <cell r="E37" t="str">
            <v>长期应收款</v>
          </cell>
          <cell r="F37">
            <v>0</v>
          </cell>
          <cell r="G37">
            <v>0</v>
          </cell>
          <cell r="H37">
            <v>0</v>
          </cell>
          <cell r="I37">
            <v>0</v>
          </cell>
          <cell r="J37">
            <v>0</v>
          </cell>
          <cell r="K37">
            <v>0</v>
          </cell>
          <cell r="L37">
            <v>0</v>
          </cell>
          <cell r="M37">
            <v>0</v>
          </cell>
        </row>
        <row r="38">
          <cell r="D38">
            <v>1515</v>
          </cell>
          <cell r="E38" t="str">
            <v>设定受益计划净资产</v>
          </cell>
          <cell r="F38">
            <v>0</v>
          </cell>
          <cell r="G38">
            <v>0</v>
          </cell>
          <cell r="H38">
            <v>0</v>
          </cell>
          <cell r="I38">
            <v>0</v>
          </cell>
          <cell r="J38">
            <v>0</v>
          </cell>
          <cell r="K38">
            <v>0</v>
          </cell>
          <cell r="L38">
            <v>0</v>
          </cell>
          <cell r="M38">
            <v>0</v>
          </cell>
        </row>
        <row r="39">
          <cell r="D39">
            <v>1511</v>
          </cell>
          <cell r="E39" t="str">
            <v>长期股权投资</v>
          </cell>
          <cell r="F39">
            <v>3842443.32</v>
          </cell>
          <cell r="G39">
            <v>-23314.97</v>
          </cell>
          <cell r="H39">
            <v>0</v>
          </cell>
          <cell r="I39">
            <v>3819128.35</v>
          </cell>
          <cell r="J39">
            <v>1996171.61</v>
          </cell>
          <cell r="K39">
            <v>0</v>
          </cell>
          <cell r="L39">
            <v>0</v>
          </cell>
          <cell r="M39">
            <v>1996171.61</v>
          </cell>
        </row>
        <row r="40">
          <cell r="D40">
            <v>1521</v>
          </cell>
          <cell r="E40" t="str">
            <v>投资性房地产</v>
          </cell>
          <cell r="F40">
            <v>2669786.61</v>
          </cell>
          <cell r="G40">
            <v>0</v>
          </cell>
          <cell r="H40">
            <v>0</v>
          </cell>
          <cell r="I40">
            <v>2669786.61</v>
          </cell>
          <cell r="J40">
            <v>2817760.17</v>
          </cell>
          <cell r="K40">
            <v>0</v>
          </cell>
          <cell r="L40">
            <v>0</v>
          </cell>
          <cell r="M40">
            <v>2817760.17</v>
          </cell>
        </row>
        <row r="41">
          <cell r="D41">
            <v>1611</v>
          </cell>
          <cell r="E41" t="str">
            <v>固定资产（报表项目）</v>
          </cell>
          <cell r="F41">
            <v>2078152.2</v>
          </cell>
          <cell r="G41">
            <v>0</v>
          </cell>
          <cell r="H41">
            <v>0</v>
          </cell>
          <cell r="I41">
            <v>2078152.2</v>
          </cell>
          <cell r="J41">
            <v>2359977.84</v>
          </cell>
          <cell r="K41">
            <v>0</v>
          </cell>
          <cell r="L41">
            <v>0</v>
          </cell>
          <cell r="M41">
            <v>2359977.84</v>
          </cell>
        </row>
        <row r="42">
          <cell r="D42">
            <v>1601</v>
          </cell>
          <cell r="E42" t="str">
            <v>固定资产</v>
          </cell>
          <cell r="F42">
            <v>2078152.2</v>
          </cell>
          <cell r="G42">
            <v>0</v>
          </cell>
          <cell r="H42">
            <v>0</v>
          </cell>
          <cell r="I42">
            <v>2078152.2</v>
          </cell>
          <cell r="J42">
            <v>2359977.84</v>
          </cell>
          <cell r="K42">
            <v>0</v>
          </cell>
          <cell r="L42">
            <v>0</v>
          </cell>
          <cell r="M42">
            <v>2359977.84</v>
          </cell>
        </row>
        <row r="43">
          <cell r="D43">
            <v>1606</v>
          </cell>
          <cell r="E43" t="str">
            <v>固定资产清理</v>
          </cell>
          <cell r="F43">
            <v>0</v>
          </cell>
          <cell r="G43">
            <v>0</v>
          </cell>
          <cell r="H43">
            <v>0</v>
          </cell>
          <cell r="I43">
            <v>0</v>
          </cell>
          <cell r="J43">
            <v>0</v>
          </cell>
          <cell r="K43">
            <v>0</v>
          </cell>
          <cell r="L43">
            <v>0</v>
          </cell>
          <cell r="M43">
            <v>0</v>
          </cell>
        </row>
        <row r="44">
          <cell r="D44">
            <v>1616</v>
          </cell>
          <cell r="E44" t="str">
            <v>在建工程（报表项目）</v>
          </cell>
          <cell r="F44">
            <v>0</v>
          </cell>
          <cell r="G44">
            <v>0</v>
          </cell>
          <cell r="H44">
            <v>0</v>
          </cell>
          <cell r="I44">
            <v>0</v>
          </cell>
          <cell r="J44">
            <v>0</v>
          </cell>
          <cell r="K44">
            <v>0</v>
          </cell>
          <cell r="L44">
            <v>0</v>
          </cell>
          <cell r="M44">
            <v>0</v>
          </cell>
        </row>
        <row r="45">
          <cell r="D45">
            <v>1604</v>
          </cell>
          <cell r="E45" t="str">
            <v>在建工程</v>
          </cell>
          <cell r="F45">
            <v>0</v>
          </cell>
          <cell r="G45">
            <v>0</v>
          </cell>
          <cell r="H45">
            <v>0</v>
          </cell>
          <cell r="I45">
            <v>0</v>
          </cell>
          <cell r="J45">
            <v>0</v>
          </cell>
          <cell r="K45">
            <v>0</v>
          </cell>
          <cell r="L45">
            <v>0</v>
          </cell>
          <cell r="M45">
            <v>0</v>
          </cell>
        </row>
        <row r="46">
          <cell r="D46">
            <v>1605</v>
          </cell>
          <cell r="E46" t="str">
            <v>工程物资</v>
          </cell>
          <cell r="F46">
            <v>0</v>
          </cell>
          <cell r="G46">
            <v>0</v>
          </cell>
          <cell r="H46">
            <v>0</v>
          </cell>
          <cell r="I46">
            <v>0</v>
          </cell>
          <cell r="J46">
            <v>0</v>
          </cell>
          <cell r="K46">
            <v>0</v>
          </cell>
          <cell r="L46">
            <v>0</v>
          </cell>
          <cell r="M46">
            <v>0</v>
          </cell>
        </row>
        <row r="47">
          <cell r="D47">
            <v>1621</v>
          </cell>
          <cell r="E47" t="str">
            <v>生产性生物资产</v>
          </cell>
          <cell r="F47">
            <v>0</v>
          </cell>
          <cell r="G47">
            <v>0</v>
          </cell>
          <cell r="H47">
            <v>0</v>
          </cell>
          <cell r="I47">
            <v>0</v>
          </cell>
          <cell r="J47">
            <v>0</v>
          </cell>
          <cell r="K47">
            <v>0</v>
          </cell>
          <cell r="L47">
            <v>0</v>
          </cell>
          <cell r="M47">
            <v>0</v>
          </cell>
        </row>
        <row r="48">
          <cell r="D48">
            <v>1631</v>
          </cell>
          <cell r="E48" t="str">
            <v>油气资产</v>
          </cell>
          <cell r="F48">
            <v>0</v>
          </cell>
          <cell r="G48">
            <v>0</v>
          </cell>
          <cell r="H48">
            <v>0</v>
          </cell>
          <cell r="I48">
            <v>0</v>
          </cell>
          <cell r="J48">
            <v>0</v>
          </cell>
          <cell r="K48">
            <v>0</v>
          </cell>
          <cell r="L48">
            <v>0</v>
          </cell>
          <cell r="M48">
            <v>0</v>
          </cell>
        </row>
        <row r="49">
          <cell r="D49">
            <v>1701</v>
          </cell>
          <cell r="E49" t="str">
            <v>无形资产</v>
          </cell>
          <cell r="F49">
            <v>155734.57999999999</v>
          </cell>
          <cell r="G49">
            <v>0</v>
          </cell>
          <cell r="H49">
            <v>0</v>
          </cell>
          <cell r="I49">
            <v>155734.57999999999</v>
          </cell>
          <cell r="J49">
            <v>96620.01</v>
          </cell>
          <cell r="K49">
            <v>0</v>
          </cell>
          <cell r="L49">
            <v>0</v>
          </cell>
          <cell r="M49">
            <v>96620.01</v>
          </cell>
        </row>
        <row r="50">
          <cell r="D50">
            <v>1700</v>
          </cell>
          <cell r="E50" t="str">
            <v>开发支出</v>
          </cell>
          <cell r="F50">
            <v>0</v>
          </cell>
          <cell r="G50">
            <v>0</v>
          </cell>
          <cell r="H50">
            <v>0</v>
          </cell>
          <cell r="I50">
            <v>0</v>
          </cell>
          <cell r="J50">
            <v>0</v>
          </cell>
          <cell r="K50">
            <v>0</v>
          </cell>
          <cell r="L50">
            <v>0</v>
          </cell>
          <cell r="M50">
            <v>0</v>
          </cell>
        </row>
        <row r="51">
          <cell r="D51">
            <v>1711</v>
          </cell>
          <cell r="E51" t="str">
            <v>商誉</v>
          </cell>
          <cell r="F51">
            <v>0</v>
          </cell>
          <cell r="G51">
            <v>0</v>
          </cell>
          <cell r="H51">
            <v>0</v>
          </cell>
          <cell r="I51">
            <v>0</v>
          </cell>
          <cell r="J51">
            <v>0</v>
          </cell>
          <cell r="K51">
            <v>0</v>
          </cell>
          <cell r="L51">
            <v>0</v>
          </cell>
          <cell r="M51">
            <v>0</v>
          </cell>
        </row>
        <row r="52">
          <cell r="D52">
            <v>1801</v>
          </cell>
          <cell r="E52" t="str">
            <v>长期待摊费用</v>
          </cell>
          <cell r="F52">
            <v>0</v>
          </cell>
          <cell r="G52">
            <v>0</v>
          </cell>
          <cell r="H52">
            <v>0</v>
          </cell>
          <cell r="I52">
            <v>0</v>
          </cell>
          <cell r="J52">
            <v>0</v>
          </cell>
          <cell r="K52">
            <v>0</v>
          </cell>
          <cell r="L52">
            <v>0</v>
          </cell>
          <cell r="M52">
            <v>0</v>
          </cell>
        </row>
        <row r="53">
          <cell r="D53">
            <v>1811</v>
          </cell>
          <cell r="E53" t="str">
            <v>递延所得税资产</v>
          </cell>
          <cell r="F53">
            <v>7344229.4000000004</v>
          </cell>
          <cell r="G53">
            <v>-34955</v>
          </cell>
          <cell r="H53">
            <v>0</v>
          </cell>
          <cell r="I53">
            <v>7309274.4000000004</v>
          </cell>
          <cell r="J53">
            <v>6262034.5899999999</v>
          </cell>
          <cell r="K53">
            <v>0</v>
          </cell>
          <cell r="L53">
            <v>0</v>
          </cell>
          <cell r="M53">
            <v>6262034.5899999999</v>
          </cell>
        </row>
        <row r="54">
          <cell r="D54">
            <v>1996</v>
          </cell>
          <cell r="E54" t="str">
            <v>其他非流动资产</v>
          </cell>
          <cell r="F54">
            <v>0</v>
          </cell>
          <cell r="G54">
            <v>0</v>
          </cell>
          <cell r="H54">
            <v>0</v>
          </cell>
          <cell r="I54">
            <v>0</v>
          </cell>
          <cell r="J54">
            <v>0</v>
          </cell>
          <cell r="K54">
            <v>0</v>
          </cell>
          <cell r="L54">
            <v>0</v>
          </cell>
          <cell r="M54">
            <v>0</v>
          </cell>
        </row>
        <row r="55">
          <cell r="D55">
            <v>1998</v>
          </cell>
          <cell r="E55" t="str">
            <v>非流动资产</v>
          </cell>
          <cell r="F55">
            <v>16090346.109999999</v>
          </cell>
          <cell r="G55">
            <v>-58269.97</v>
          </cell>
          <cell r="H55">
            <v>0</v>
          </cell>
          <cell r="I55">
            <v>16032076.140000001</v>
          </cell>
          <cell r="J55">
            <v>13532564.220000001</v>
          </cell>
          <cell r="K55">
            <v>0</v>
          </cell>
          <cell r="L55">
            <v>0</v>
          </cell>
          <cell r="M55">
            <v>13532564.220000001</v>
          </cell>
        </row>
        <row r="56">
          <cell r="D56">
            <v>1999</v>
          </cell>
          <cell r="E56" t="str">
            <v>资产</v>
          </cell>
          <cell r="F56">
            <v>461764051</v>
          </cell>
          <cell r="G56">
            <v>6855887.0899999999</v>
          </cell>
          <cell r="H56">
            <v>100083.16</v>
          </cell>
          <cell r="I56">
            <v>468519854.93000001</v>
          </cell>
          <cell r="J56">
            <v>371477817.38</v>
          </cell>
          <cell r="K56">
            <v>0</v>
          </cell>
          <cell r="L56">
            <v>0</v>
          </cell>
          <cell r="M56">
            <v>371477817.38</v>
          </cell>
        </row>
        <row r="57">
          <cell r="D57">
            <v>2000</v>
          </cell>
          <cell r="E57" t="str">
            <v>流动负债项目</v>
          </cell>
          <cell r="F57">
            <v>0</v>
          </cell>
          <cell r="G57">
            <v>0</v>
          </cell>
          <cell r="H57">
            <v>0</v>
          </cell>
          <cell r="I57">
            <v>0</v>
          </cell>
          <cell r="J57">
            <v>0</v>
          </cell>
          <cell r="K57">
            <v>0</v>
          </cell>
          <cell r="L57">
            <v>0</v>
          </cell>
          <cell r="M57">
            <v>0</v>
          </cell>
        </row>
        <row r="58">
          <cell r="D58">
            <v>2001</v>
          </cell>
          <cell r="E58" t="str">
            <v>短期借款</v>
          </cell>
          <cell r="F58">
            <v>25000000</v>
          </cell>
          <cell r="G58">
            <v>0</v>
          </cell>
          <cell r="H58">
            <v>0</v>
          </cell>
          <cell r="I58">
            <v>25000000</v>
          </cell>
          <cell r="J58">
            <v>17000000</v>
          </cell>
          <cell r="K58">
            <v>0</v>
          </cell>
          <cell r="L58">
            <v>0</v>
          </cell>
          <cell r="M58">
            <v>17000000</v>
          </cell>
        </row>
        <row r="59">
          <cell r="D59">
            <v>2004</v>
          </cell>
          <cell r="E59" t="str">
            <v>向中央银行借款</v>
          </cell>
          <cell r="F59">
            <v>0</v>
          </cell>
          <cell r="G59">
            <v>0</v>
          </cell>
          <cell r="H59">
            <v>0</v>
          </cell>
          <cell r="I59">
            <v>0</v>
          </cell>
          <cell r="J59">
            <v>0</v>
          </cell>
          <cell r="K59">
            <v>0</v>
          </cell>
          <cell r="L59">
            <v>0</v>
          </cell>
          <cell r="M59">
            <v>0</v>
          </cell>
        </row>
        <row r="60">
          <cell r="D60">
            <v>2010</v>
          </cell>
          <cell r="E60" t="str">
            <v>吸收存款及同业存放</v>
          </cell>
          <cell r="F60">
            <v>0</v>
          </cell>
          <cell r="G60">
            <v>0</v>
          </cell>
          <cell r="H60">
            <v>0</v>
          </cell>
          <cell r="I60">
            <v>0</v>
          </cell>
          <cell r="J60">
            <v>0</v>
          </cell>
          <cell r="K60">
            <v>0</v>
          </cell>
          <cell r="L60">
            <v>0</v>
          </cell>
          <cell r="M60">
            <v>0</v>
          </cell>
        </row>
        <row r="61">
          <cell r="D61">
            <v>2003</v>
          </cell>
          <cell r="E61" t="str">
            <v>拆入资金</v>
          </cell>
          <cell r="F61">
            <v>0</v>
          </cell>
          <cell r="G61">
            <v>0</v>
          </cell>
          <cell r="H61">
            <v>0</v>
          </cell>
          <cell r="I61">
            <v>0</v>
          </cell>
          <cell r="J61">
            <v>0</v>
          </cell>
          <cell r="K61">
            <v>0</v>
          </cell>
          <cell r="L61">
            <v>0</v>
          </cell>
          <cell r="M61">
            <v>0</v>
          </cell>
        </row>
        <row r="62">
          <cell r="D62">
            <v>2101</v>
          </cell>
          <cell r="E62" t="str">
            <v>以公允价值计量且其变动计入当期损益的金融负债</v>
          </cell>
          <cell r="F62">
            <v>0</v>
          </cell>
          <cell r="G62">
            <v>0</v>
          </cell>
          <cell r="H62">
            <v>0</v>
          </cell>
          <cell r="I62">
            <v>0</v>
          </cell>
          <cell r="J62">
            <v>0</v>
          </cell>
          <cell r="K62">
            <v>0</v>
          </cell>
          <cell r="L62">
            <v>0</v>
          </cell>
          <cell r="M62">
            <v>0</v>
          </cell>
        </row>
        <row r="63">
          <cell r="D63">
            <v>2115</v>
          </cell>
          <cell r="E63" t="str">
            <v>衍生金融负债</v>
          </cell>
          <cell r="F63">
            <v>0</v>
          </cell>
          <cell r="G63">
            <v>0</v>
          </cell>
          <cell r="H63">
            <v>0</v>
          </cell>
          <cell r="I63">
            <v>0</v>
          </cell>
          <cell r="J63">
            <v>0</v>
          </cell>
          <cell r="K63">
            <v>0</v>
          </cell>
          <cell r="L63">
            <v>0</v>
          </cell>
          <cell r="M63">
            <v>0</v>
          </cell>
        </row>
        <row r="64">
          <cell r="D64">
            <v>2203</v>
          </cell>
          <cell r="E64" t="str">
            <v>应付票据及应付账款</v>
          </cell>
          <cell r="F64">
            <v>140437246.63999999</v>
          </cell>
          <cell r="G64">
            <v>0</v>
          </cell>
          <cell r="H64">
            <v>6230386.4800000004</v>
          </cell>
          <cell r="I64">
            <v>146667633.12</v>
          </cell>
          <cell r="J64">
            <v>119050596.31999999</v>
          </cell>
          <cell r="K64">
            <v>0</v>
          </cell>
          <cell r="L64">
            <v>0</v>
          </cell>
          <cell r="M64">
            <v>119050596.31999999</v>
          </cell>
        </row>
        <row r="65">
          <cell r="D65">
            <v>2201</v>
          </cell>
          <cell r="E65" t="str">
            <v>应付票据</v>
          </cell>
          <cell r="F65">
            <v>0</v>
          </cell>
          <cell r="G65">
            <v>0</v>
          </cell>
          <cell r="H65">
            <v>0</v>
          </cell>
          <cell r="I65">
            <v>0</v>
          </cell>
          <cell r="J65">
            <v>0</v>
          </cell>
          <cell r="K65">
            <v>0</v>
          </cell>
          <cell r="L65">
            <v>0</v>
          </cell>
          <cell r="M65">
            <v>0</v>
          </cell>
        </row>
        <row r="66">
          <cell r="D66">
            <v>2202</v>
          </cell>
          <cell r="E66" t="str">
            <v>应付账款</v>
          </cell>
          <cell r="F66">
            <v>140437246.63999999</v>
          </cell>
          <cell r="G66">
            <v>0</v>
          </cell>
          <cell r="H66">
            <v>6230386.4800000004</v>
          </cell>
          <cell r="I66">
            <v>146667633.12</v>
          </cell>
          <cell r="J66">
            <v>119050596.31999999</v>
          </cell>
          <cell r="K66">
            <v>0</v>
          </cell>
          <cell r="L66">
            <v>0</v>
          </cell>
          <cell r="M66">
            <v>119050596.31999999</v>
          </cell>
        </row>
        <row r="67">
          <cell r="D67">
            <v>2205</v>
          </cell>
          <cell r="E67" t="str">
            <v>预收款项</v>
          </cell>
          <cell r="F67">
            <v>62353862.049999997</v>
          </cell>
          <cell r="G67">
            <v>0</v>
          </cell>
          <cell r="H67">
            <v>169393.53</v>
          </cell>
          <cell r="I67">
            <v>62523255.579999998</v>
          </cell>
          <cell r="J67">
            <v>43673465.719999999</v>
          </cell>
          <cell r="K67">
            <v>0</v>
          </cell>
          <cell r="L67">
            <v>0</v>
          </cell>
          <cell r="M67">
            <v>43673465.719999999</v>
          </cell>
        </row>
        <row r="68">
          <cell r="D68">
            <v>2111</v>
          </cell>
          <cell r="E68" t="str">
            <v>卖出回购金融资产款</v>
          </cell>
          <cell r="F68">
            <v>0</v>
          </cell>
          <cell r="G68">
            <v>0</v>
          </cell>
          <cell r="H68">
            <v>0</v>
          </cell>
          <cell r="I68">
            <v>0</v>
          </cell>
          <cell r="J68">
            <v>0</v>
          </cell>
          <cell r="K68">
            <v>0</v>
          </cell>
          <cell r="L68">
            <v>0</v>
          </cell>
          <cell r="M68">
            <v>0</v>
          </cell>
        </row>
        <row r="69">
          <cell r="D69">
            <v>2240</v>
          </cell>
          <cell r="E69" t="str">
            <v>应付手续费及佣金</v>
          </cell>
          <cell r="F69">
            <v>0</v>
          </cell>
          <cell r="G69">
            <v>0</v>
          </cell>
          <cell r="H69">
            <v>0</v>
          </cell>
          <cell r="I69">
            <v>0</v>
          </cell>
          <cell r="J69">
            <v>0</v>
          </cell>
          <cell r="K69">
            <v>0</v>
          </cell>
          <cell r="L69">
            <v>0</v>
          </cell>
          <cell r="M69">
            <v>0</v>
          </cell>
        </row>
        <row r="70">
          <cell r="D70">
            <v>2211</v>
          </cell>
          <cell r="E70" t="str">
            <v>应付职工薪酬</v>
          </cell>
          <cell r="F70">
            <v>73396048.829999998</v>
          </cell>
          <cell r="G70">
            <v>0</v>
          </cell>
          <cell r="H70">
            <v>3241921.74</v>
          </cell>
          <cell r="I70">
            <v>76637970.569999993</v>
          </cell>
          <cell r="J70">
            <v>63235387.090000004</v>
          </cell>
          <cell r="K70">
            <v>0</v>
          </cell>
          <cell r="L70">
            <v>0</v>
          </cell>
          <cell r="M70">
            <v>63235387.090000004</v>
          </cell>
        </row>
        <row r="71">
          <cell r="D71">
            <v>2221</v>
          </cell>
          <cell r="E71" t="str">
            <v>应交税费</v>
          </cell>
          <cell r="F71">
            <v>15328590.75</v>
          </cell>
          <cell r="G71">
            <v>35977.800000000003</v>
          </cell>
          <cell r="H71">
            <v>718448.26</v>
          </cell>
          <cell r="I71">
            <v>16011061.210000001</v>
          </cell>
          <cell r="J71">
            <v>13807685.859999999</v>
          </cell>
          <cell r="K71">
            <v>0</v>
          </cell>
          <cell r="L71">
            <v>0</v>
          </cell>
          <cell r="M71">
            <v>13807685.859999999</v>
          </cell>
        </row>
        <row r="72">
          <cell r="D72">
            <v>2246</v>
          </cell>
          <cell r="E72" t="str">
            <v>其他应付款（报表项目）</v>
          </cell>
          <cell r="F72">
            <v>15379594.42</v>
          </cell>
          <cell r="G72">
            <v>3450793.31</v>
          </cell>
          <cell r="H72">
            <v>0</v>
          </cell>
          <cell r="I72">
            <v>11928801.109999999</v>
          </cell>
          <cell r="J72">
            <v>17046075.09</v>
          </cell>
          <cell r="K72">
            <v>0</v>
          </cell>
          <cell r="L72">
            <v>0</v>
          </cell>
          <cell r="M72">
            <v>17046075.09</v>
          </cell>
        </row>
        <row r="73">
          <cell r="D73">
            <v>2231</v>
          </cell>
          <cell r="E73" t="str">
            <v>应付利息</v>
          </cell>
          <cell r="F73">
            <v>0</v>
          </cell>
          <cell r="G73">
            <v>0</v>
          </cell>
          <cell r="H73">
            <v>0</v>
          </cell>
          <cell r="I73">
            <v>0</v>
          </cell>
          <cell r="J73">
            <v>0</v>
          </cell>
          <cell r="K73">
            <v>0</v>
          </cell>
          <cell r="L73">
            <v>0</v>
          </cell>
          <cell r="M73">
            <v>0</v>
          </cell>
        </row>
        <row r="74">
          <cell r="D74">
            <v>2232</v>
          </cell>
          <cell r="E74" t="str">
            <v>应付股利</v>
          </cell>
          <cell r="F74">
            <v>0</v>
          </cell>
          <cell r="G74">
            <v>0</v>
          </cell>
          <cell r="H74">
            <v>0</v>
          </cell>
          <cell r="I74">
            <v>0</v>
          </cell>
          <cell r="J74">
            <v>0</v>
          </cell>
          <cell r="K74">
            <v>0</v>
          </cell>
          <cell r="L74">
            <v>0</v>
          </cell>
          <cell r="M74">
            <v>0</v>
          </cell>
        </row>
        <row r="75">
          <cell r="D75">
            <v>2241</v>
          </cell>
          <cell r="E75" t="str">
            <v>其他应付款</v>
          </cell>
          <cell r="F75">
            <v>15379594.42</v>
          </cell>
          <cell r="G75">
            <v>3450793.31</v>
          </cell>
          <cell r="H75">
            <v>0</v>
          </cell>
          <cell r="I75">
            <v>11928801.109999999</v>
          </cell>
          <cell r="J75">
            <v>17046075.09</v>
          </cell>
          <cell r="K75">
            <v>0</v>
          </cell>
          <cell r="L75">
            <v>0</v>
          </cell>
          <cell r="M75">
            <v>17046075.09</v>
          </cell>
        </row>
        <row r="76">
          <cell r="D76">
            <v>2261</v>
          </cell>
          <cell r="E76" t="str">
            <v>应付分保账款</v>
          </cell>
          <cell r="F76">
            <v>0</v>
          </cell>
          <cell r="G76">
            <v>0</v>
          </cell>
          <cell r="H76">
            <v>0</v>
          </cell>
          <cell r="I76">
            <v>0</v>
          </cell>
          <cell r="J76">
            <v>0</v>
          </cell>
          <cell r="K76">
            <v>0</v>
          </cell>
          <cell r="L76">
            <v>0</v>
          </cell>
          <cell r="M76">
            <v>0</v>
          </cell>
        </row>
        <row r="77">
          <cell r="D77">
            <v>2310</v>
          </cell>
          <cell r="E77" t="str">
            <v>保险合同准备金</v>
          </cell>
          <cell r="F77">
            <v>0</v>
          </cell>
          <cell r="G77">
            <v>0</v>
          </cell>
          <cell r="H77">
            <v>0</v>
          </cell>
          <cell r="I77">
            <v>0</v>
          </cell>
          <cell r="J77">
            <v>0</v>
          </cell>
          <cell r="K77">
            <v>0</v>
          </cell>
          <cell r="L77">
            <v>0</v>
          </cell>
          <cell r="M77">
            <v>0</v>
          </cell>
        </row>
        <row r="78">
          <cell r="D78">
            <v>2311</v>
          </cell>
          <cell r="E78" t="str">
            <v>代理买卖证券款</v>
          </cell>
          <cell r="F78">
            <v>0</v>
          </cell>
          <cell r="G78">
            <v>0</v>
          </cell>
          <cell r="H78">
            <v>0</v>
          </cell>
          <cell r="I78">
            <v>0</v>
          </cell>
          <cell r="J78">
            <v>0</v>
          </cell>
          <cell r="K78">
            <v>0</v>
          </cell>
          <cell r="L78">
            <v>0</v>
          </cell>
          <cell r="M78">
            <v>0</v>
          </cell>
        </row>
        <row r="79">
          <cell r="D79">
            <v>2312</v>
          </cell>
          <cell r="E79" t="str">
            <v>代理承销证券款</v>
          </cell>
          <cell r="F79">
            <v>0</v>
          </cell>
          <cell r="G79">
            <v>0</v>
          </cell>
          <cell r="H79">
            <v>0</v>
          </cell>
          <cell r="I79">
            <v>0</v>
          </cell>
          <cell r="J79">
            <v>0</v>
          </cell>
          <cell r="K79">
            <v>0</v>
          </cell>
          <cell r="L79">
            <v>0</v>
          </cell>
          <cell r="M79">
            <v>0</v>
          </cell>
        </row>
        <row r="80">
          <cell r="D80">
            <v>2315</v>
          </cell>
          <cell r="E80" t="str">
            <v>持有待售负债</v>
          </cell>
          <cell r="F80">
            <v>0</v>
          </cell>
          <cell r="G80">
            <v>0</v>
          </cell>
          <cell r="H80">
            <v>0</v>
          </cell>
          <cell r="I80">
            <v>0</v>
          </cell>
          <cell r="J80">
            <v>0</v>
          </cell>
          <cell r="K80">
            <v>0</v>
          </cell>
          <cell r="L80">
            <v>0</v>
          </cell>
          <cell r="M80">
            <v>0</v>
          </cell>
        </row>
        <row r="81">
          <cell r="D81">
            <v>2395</v>
          </cell>
          <cell r="E81" t="str">
            <v>一年内到期的非流动负债</v>
          </cell>
          <cell r="F81">
            <v>0</v>
          </cell>
          <cell r="G81">
            <v>0</v>
          </cell>
          <cell r="H81">
            <v>0</v>
          </cell>
          <cell r="I81">
            <v>0</v>
          </cell>
          <cell r="J81">
            <v>0</v>
          </cell>
          <cell r="K81">
            <v>0</v>
          </cell>
          <cell r="L81">
            <v>0</v>
          </cell>
          <cell r="M81">
            <v>0</v>
          </cell>
        </row>
        <row r="82">
          <cell r="D82">
            <v>2396</v>
          </cell>
          <cell r="E82" t="str">
            <v>其他流动负债</v>
          </cell>
          <cell r="F82">
            <v>0</v>
          </cell>
          <cell r="G82">
            <v>0</v>
          </cell>
          <cell r="H82">
            <v>0</v>
          </cell>
          <cell r="I82">
            <v>0</v>
          </cell>
          <cell r="J82">
            <v>0</v>
          </cell>
          <cell r="K82">
            <v>0</v>
          </cell>
          <cell r="L82">
            <v>0</v>
          </cell>
          <cell r="M82">
            <v>0</v>
          </cell>
        </row>
        <row r="83">
          <cell r="D83">
            <v>2498</v>
          </cell>
          <cell r="E83" t="str">
            <v>流动负债</v>
          </cell>
          <cell r="F83">
            <v>331895342.69</v>
          </cell>
          <cell r="G83">
            <v>3486771.11</v>
          </cell>
          <cell r="H83">
            <v>10360150.01</v>
          </cell>
          <cell r="I83">
            <v>338768721.58999997</v>
          </cell>
          <cell r="J83">
            <v>273813210.07999998</v>
          </cell>
          <cell r="K83">
            <v>0</v>
          </cell>
          <cell r="L83">
            <v>0</v>
          </cell>
          <cell r="M83">
            <v>273813210.07999998</v>
          </cell>
        </row>
        <row r="84">
          <cell r="D84">
            <v>2500</v>
          </cell>
          <cell r="E84" t="str">
            <v>非流动负债项目</v>
          </cell>
          <cell r="F84">
            <v>0</v>
          </cell>
          <cell r="G84">
            <v>0</v>
          </cell>
          <cell r="H84">
            <v>0</v>
          </cell>
          <cell r="I84">
            <v>0</v>
          </cell>
          <cell r="J84">
            <v>0</v>
          </cell>
          <cell r="K84">
            <v>0</v>
          </cell>
          <cell r="L84">
            <v>0</v>
          </cell>
          <cell r="M84">
            <v>0</v>
          </cell>
        </row>
        <row r="85">
          <cell r="D85">
            <v>2501</v>
          </cell>
          <cell r="E85" t="str">
            <v>长期借款</v>
          </cell>
          <cell r="F85">
            <v>0</v>
          </cell>
          <cell r="G85">
            <v>0</v>
          </cell>
          <cell r="H85">
            <v>0</v>
          </cell>
          <cell r="I85">
            <v>0</v>
          </cell>
          <cell r="J85">
            <v>0</v>
          </cell>
          <cell r="K85">
            <v>0</v>
          </cell>
          <cell r="L85">
            <v>0</v>
          </cell>
          <cell r="M85">
            <v>0</v>
          </cell>
        </row>
        <row r="86">
          <cell r="D86">
            <v>2502</v>
          </cell>
          <cell r="E86" t="str">
            <v>应付债券</v>
          </cell>
          <cell r="F86">
            <v>0</v>
          </cell>
          <cell r="G86">
            <v>0</v>
          </cell>
          <cell r="H86">
            <v>0</v>
          </cell>
          <cell r="I86">
            <v>0</v>
          </cell>
          <cell r="J86">
            <v>0</v>
          </cell>
          <cell r="K86">
            <v>0</v>
          </cell>
          <cell r="L86">
            <v>0</v>
          </cell>
          <cell r="M86">
            <v>0</v>
          </cell>
        </row>
        <row r="87">
          <cell r="D87">
            <v>2502.11</v>
          </cell>
          <cell r="E87" t="str">
            <v>应付债券_优先股</v>
          </cell>
          <cell r="F87">
            <v>0</v>
          </cell>
          <cell r="G87">
            <v>0</v>
          </cell>
          <cell r="H87">
            <v>0</v>
          </cell>
          <cell r="I87">
            <v>0</v>
          </cell>
          <cell r="J87">
            <v>0</v>
          </cell>
          <cell r="K87">
            <v>0</v>
          </cell>
          <cell r="L87">
            <v>0</v>
          </cell>
          <cell r="M87">
            <v>0</v>
          </cell>
        </row>
        <row r="88">
          <cell r="D88">
            <v>2502.31</v>
          </cell>
          <cell r="E88" t="str">
            <v>应付债券_永续债</v>
          </cell>
          <cell r="F88">
            <v>0</v>
          </cell>
          <cell r="G88">
            <v>0</v>
          </cell>
          <cell r="H88">
            <v>0</v>
          </cell>
          <cell r="I88">
            <v>0</v>
          </cell>
          <cell r="J88">
            <v>0</v>
          </cell>
          <cell r="K88">
            <v>0</v>
          </cell>
          <cell r="L88">
            <v>0</v>
          </cell>
          <cell r="M88">
            <v>0</v>
          </cell>
        </row>
        <row r="89">
          <cell r="D89">
            <v>2706</v>
          </cell>
          <cell r="E89" t="str">
            <v>长期应付款（报表项目）</v>
          </cell>
          <cell r="F89">
            <v>0</v>
          </cell>
          <cell r="G89">
            <v>0</v>
          </cell>
          <cell r="H89">
            <v>0</v>
          </cell>
          <cell r="I89">
            <v>0</v>
          </cell>
          <cell r="J89">
            <v>0</v>
          </cell>
          <cell r="K89">
            <v>0</v>
          </cell>
          <cell r="L89">
            <v>0</v>
          </cell>
          <cell r="M89">
            <v>0</v>
          </cell>
        </row>
        <row r="90">
          <cell r="D90">
            <v>2701</v>
          </cell>
          <cell r="E90" t="str">
            <v>长期应付款</v>
          </cell>
          <cell r="F90">
            <v>0</v>
          </cell>
          <cell r="G90">
            <v>0</v>
          </cell>
          <cell r="H90">
            <v>0</v>
          </cell>
          <cell r="I90">
            <v>0</v>
          </cell>
          <cell r="J90">
            <v>0</v>
          </cell>
          <cell r="K90">
            <v>0</v>
          </cell>
          <cell r="L90">
            <v>0</v>
          </cell>
          <cell r="M90">
            <v>0</v>
          </cell>
        </row>
        <row r="91">
          <cell r="D91">
            <v>2711</v>
          </cell>
          <cell r="E91" t="str">
            <v>专项应付款</v>
          </cell>
          <cell r="F91">
            <v>0</v>
          </cell>
          <cell r="G91">
            <v>0</v>
          </cell>
          <cell r="H91">
            <v>0</v>
          </cell>
          <cell r="I91">
            <v>0</v>
          </cell>
          <cell r="J91">
            <v>0</v>
          </cell>
          <cell r="K91">
            <v>0</v>
          </cell>
          <cell r="L91">
            <v>0</v>
          </cell>
          <cell r="M91">
            <v>0</v>
          </cell>
        </row>
        <row r="92">
          <cell r="D92">
            <v>2715</v>
          </cell>
          <cell r="E92" t="str">
            <v>长期应付职工薪酬</v>
          </cell>
          <cell r="F92">
            <v>0</v>
          </cell>
          <cell r="G92">
            <v>0</v>
          </cell>
          <cell r="H92">
            <v>0</v>
          </cell>
          <cell r="I92">
            <v>0</v>
          </cell>
          <cell r="J92">
            <v>0</v>
          </cell>
          <cell r="K92">
            <v>0</v>
          </cell>
          <cell r="L92">
            <v>0</v>
          </cell>
          <cell r="M92">
            <v>0</v>
          </cell>
        </row>
        <row r="93">
          <cell r="D93">
            <v>2801</v>
          </cell>
          <cell r="E93" t="str">
            <v>预计负债</v>
          </cell>
          <cell r="F93">
            <v>0</v>
          </cell>
          <cell r="G93">
            <v>0</v>
          </cell>
          <cell r="H93">
            <v>0</v>
          </cell>
          <cell r="I93">
            <v>0</v>
          </cell>
          <cell r="J93">
            <v>0</v>
          </cell>
          <cell r="K93">
            <v>0</v>
          </cell>
          <cell r="L93">
            <v>0</v>
          </cell>
          <cell r="M93">
            <v>0</v>
          </cell>
        </row>
        <row r="94">
          <cell r="D94">
            <v>2401</v>
          </cell>
          <cell r="E94" t="str">
            <v>递延收益</v>
          </cell>
          <cell r="F94">
            <v>0</v>
          </cell>
          <cell r="G94">
            <v>0</v>
          </cell>
          <cell r="H94">
            <v>0</v>
          </cell>
          <cell r="I94">
            <v>0</v>
          </cell>
          <cell r="J94">
            <v>0</v>
          </cell>
          <cell r="K94">
            <v>0</v>
          </cell>
          <cell r="L94">
            <v>0</v>
          </cell>
          <cell r="M94">
            <v>0</v>
          </cell>
        </row>
        <row r="95">
          <cell r="D95">
            <v>2901</v>
          </cell>
          <cell r="E95" t="str">
            <v>递延所得税负债</v>
          </cell>
          <cell r="F95">
            <v>0</v>
          </cell>
          <cell r="G95">
            <v>0</v>
          </cell>
          <cell r="H95">
            <v>0</v>
          </cell>
          <cell r="I95">
            <v>0</v>
          </cell>
          <cell r="J95">
            <v>0</v>
          </cell>
          <cell r="K95">
            <v>0</v>
          </cell>
          <cell r="L95">
            <v>0</v>
          </cell>
          <cell r="M95">
            <v>0</v>
          </cell>
        </row>
        <row r="96">
          <cell r="D96">
            <v>2996</v>
          </cell>
          <cell r="E96" t="str">
            <v>其他非流动负债</v>
          </cell>
          <cell r="F96">
            <v>0</v>
          </cell>
          <cell r="G96">
            <v>0</v>
          </cell>
          <cell r="H96">
            <v>0</v>
          </cell>
          <cell r="I96">
            <v>0</v>
          </cell>
          <cell r="J96">
            <v>0</v>
          </cell>
          <cell r="K96">
            <v>0</v>
          </cell>
          <cell r="L96">
            <v>0</v>
          </cell>
          <cell r="M96">
            <v>0</v>
          </cell>
        </row>
        <row r="97">
          <cell r="D97">
            <v>2998</v>
          </cell>
          <cell r="E97" t="str">
            <v>非流动负债</v>
          </cell>
          <cell r="F97">
            <v>0</v>
          </cell>
          <cell r="G97">
            <v>0</v>
          </cell>
          <cell r="H97">
            <v>0</v>
          </cell>
          <cell r="I97">
            <v>0</v>
          </cell>
          <cell r="J97">
            <v>0</v>
          </cell>
          <cell r="K97">
            <v>0</v>
          </cell>
          <cell r="L97">
            <v>0</v>
          </cell>
          <cell r="M97">
            <v>0</v>
          </cell>
        </row>
        <row r="98">
          <cell r="D98">
            <v>2999</v>
          </cell>
          <cell r="E98" t="str">
            <v>负债</v>
          </cell>
          <cell r="F98">
            <v>331895342.69</v>
          </cell>
          <cell r="G98">
            <v>3486771.11</v>
          </cell>
          <cell r="H98">
            <v>10360150.01</v>
          </cell>
          <cell r="I98">
            <v>338768721.58999997</v>
          </cell>
          <cell r="J98">
            <v>273813210.07999998</v>
          </cell>
          <cell r="K98">
            <v>0</v>
          </cell>
          <cell r="L98">
            <v>0</v>
          </cell>
          <cell r="M98">
            <v>273813210.07999998</v>
          </cell>
        </row>
        <row r="99">
          <cell r="D99">
            <v>4000</v>
          </cell>
          <cell r="E99" t="str">
            <v>所有者权益项目</v>
          </cell>
          <cell r="F99">
            <v>0</v>
          </cell>
          <cell r="G99">
            <v>0</v>
          </cell>
          <cell r="H99">
            <v>0</v>
          </cell>
          <cell r="I99">
            <v>0</v>
          </cell>
          <cell r="J99">
            <v>0</v>
          </cell>
          <cell r="K99">
            <v>0</v>
          </cell>
          <cell r="L99">
            <v>0</v>
          </cell>
          <cell r="M99">
            <v>0</v>
          </cell>
        </row>
        <row r="100">
          <cell r="D100">
            <v>4001</v>
          </cell>
          <cell r="E100" t="str">
            <v>实收资本</v>
          </cell>
          <cell r="F100">
            <v>20000000</v>
          </cell>
          <cell r="G100">
            <v>0</v>
          </cell>
          <cell r="H100">
            <v>0</v>
          </cell>
          <cell r="I100">
            <v>20000000</v>
          </cell>
          <cell r="J100">
            <v>20000000</v>
          </cell>
          <cell r="K100">
            <v>0</v>
          </cell>
          <cell r="L100">
            <v>0</v>
          </cell>
          <cell r="M100">
            <v>20000000</v>
          </cell>
        </row>
        <row r="101">
          <cell r="D101">
            <v>4015</v>
          </cell>
          <cell r="E101" t="str">
            <v>其他权益工具</v>
          </cell>
          <cell r="F101">
            <v>0</v>
          </cell>
          <cell r="G101">
            <v>0</v>
          </cell>
          <cell r="H101">
            <v>0</v>
          </cell>
          <cell r="I101">
            <v>0</v>
          </cell>
          <cell r="J101">
            <v>0</v>
          </cell>
          <cell r="K101">
            <v>0</v>
          </cell>
          <cell r="L101">
            <v>0</v>
          </cell>
          <cell r="M101">
            <v>0</v>
          </cell>
        </row>
        <row r="102">
          <cell r="D102">
            <v>4015.11</v>
          </cell>
          <cell r="E102" t="str">
            <v>其他权益工具_优先股</v>
          </cell>
          <cell r="F102">
            <v>0</v>
          </cell>
          <cell r="G102">
            <v>0</v>
          </cell>
          <cell r="H102">
            <v>0</v>
          </cell>
          <cell r="I102">
            <v>0</v>
          </cell>
          <cell r="J102">
            <v>0</v>
          </cell>
          <cell r="K102">
            <v>0</v>
          </cell>
          <cell r="L102">
            <v>0</v>
          </cell>
          <cell r="M102">
            <v>0</v>
          </cell>
        </row>
        <row r="103">
          <cell r="D103">
            <v>4015.31</v>
          </cell>
          <cell r="E103" t="str">
            <v>其他权益工具_永续债</v>
          </cell>
          <cell r="F103">
            <v>0</v>
          </cell>
          <cell r="G103">
            <v>0</v>
          </cell>
          <cell r="H103">
            <v>0</v>
          </cell>
          <cell r="I103">
            <v>0</v>
          </cell>
          <cell r="J103">
            <v>0</v>
          </cell>
          <cell r="K103">
            <v>0</v>
          </cell>
          <cell r="L103">
            <v>0</v>
          </cell>
          <cell r="M103">
            <v>0</v>
          </cell>
        </row>
        <row r="104">
          <cell r="D104">
            <v>4002</v>
          </cell>
          <cell r="E104" t="str">
            <v>资本公积</v>
          </cell>
          <cell r="F104">
            <v>0</v>
          </cell>
          <cell r="G104">
            <v>0</v>
          </cell>
          <cell r="H104">
            <v>0</v>
          </cell>
          <cell r="I104">
            <v>0</v>
          </cell>
          <cell r="J104">
            <v>0</v>
          </cell>
          <cell r="K104">
            <v>0</v>
          </cell>
          <cell r="L104">
            <v>0</v>
          </cell>
          <cell r="M104">
            <v>0</v>
          </cell>
        </row>
        <row r="105">
          <cell r="D105">
            <v>4201</v>
          </cell>
          <cell r="E105" t="str">
            <v>库存股</v>
          </cell>
          <cell r="F105">
            <v>0</v>
          </cell>
          <cell r="G105">
            <v>0</v>
          </cell>
          <cell r="H105">
            <v>0</v>
          </cell>
          <cell r="I105">
            <v>0</v>
          </cell>
          <cell r="J105">
            <v>0</v>
          </cell>
          <cell r="K105">
            <v>0</v>
          </cell>
          <cell r="L105">
            <v>0</v>
          </cell>
          <cell r="M105">
            <v>0</v>
          </cell>
        </row>
        <row r="106">
          <cell r="D106">
            <v>4215</v>
          </cell>
          <cell r="E106" t="str">
            <v>其他综合收益</v>
          </cell>
          <cell r="F106">
            <v>0</v>
          </cell>
          <cell r="G106">
            <v>0</v>
          </cell>
          <cell r="H106">
            <v>0</v>
          </cell>
          <cell r="I106">
            <v>0</v>
          </cell>
          <cell r="J106">
            <v>0</v>
          </cell>
          <cell r="K106">
            <v>0</v>
          </cell>
          <cell r="L106">
            <v>0</v>
          </cell>
          <cell r="M106">
            <v>0</v>
          </cell>
        </row>
        <row r="107">
          <cell r="D107">
            <v>4301</v>
          </cell>
          <cell r="E107" t="str">
            <v>专项储备</v>
          </cell>
          <cell r="F107">
            <v>0</v>
          </cell>
          <cell r="G107">
            <v>0</v>
          </cell>
          <cell r="H107">
            <v>0</v>
          </cell>
          <cell r="I107">
            <v>0</v>
          </cell>
          <cell r="J107">
            <v>0</v>
          </cell>
          <cell r="K107">
            <v>0</v>
          </cell>
          <cell r="L107">
            <v>0</v>
          </cell>
          <cell r="M107">
            <v>0</v>
          </cell>
        </row>
        <row r="108">
          <cell r="D108">
            <v>4101</v>
          </cell>
          <cell r="E108" t="str">
            <v>盈余公积</v>
          </cell>
          <cell r="F108">
            <v>10000000</v>
          </cell>
          <cell r="G108">
            <v>0</v>
          </cell>
          <cell r="H108">
            <v>0</v>
          </cell>
          <cell r="I108">
            <v>10000000</v>
          </cell>
          <cell r="J108">
            <v>10000000</v>
          </cell>
          <cell r="K108">
            <v>0</v>
          </cell>
          <cell r="L108">
            <v>0</v>
          </cell>
          <cell r="M108">
            <v>10000000</v>
          </cell>
        </row>
        <row r="109">
          <cell r="D109">
            <v>4102</v>
          </cell>
          <cell r="E109" t="str">
            <v>一般风险准备</v>
          </cell>
          <cell r="F109">
            <v>0</v>
          </cell>
          <cell r="G109">
            <v>0</v>
          </cell>
          <cell r="H109">
            <v>0</v>
          </cell>
          <cell r="I109">
            <v>0</v>
          </cell>
          <cell r="J109">
            <v>0</v>
          </cell>
          <cell r="K109">
            <v>0</v>
          </cell>
          <cell r="L109">
            <v>0</v>
          </cell>
          <cell r="M109">
            <v>0</v>
          </cell>
        </row>
        <row r="110">
          <cell r="D110">
            <v>4200</v>
          </cell>
          <cell r="E110" t="str">
            <v>未分配利润</v>
          </cell>
          <cell r="F110">
            <v>99868708.310000002</v>
          </cell>
          <cell r="G110">
            <v>568894.69999999995</v>
          </cell>
          <cell r="H110">
            <v>451319.73</v>
          </cell>
          <cell r="I110">
            <v>99751133.340000004</v>
          </cell>
          <cell r="J110">
            <v>67664607.299999997</v>
          </cell>
          <cell r="K110">
            <v>0</v>
          </cell>
          <cell r="L110">
            <v>0</v>
          </cell>
          <cell r="M110">
            <v>67664607.299999997</v>
          </cell>
        </row>
        <row r="111">
          <cell r="D111">
            <v>4210</v>
          </cell>
          <cell r="E111" t="str">
            <v>外币报表折算差额</v>
          </cell>
          <cell r="F111">
            <v>0</v>
          </cell>
          <cell r="G111">
            <v>0</v>
          </cell>
          <cell r="H111">
            <v>0</v>
          </cell>
          <cell r="I111">
            <v>0</v>
          </cell>
          <cell r="J111">
            <v>0</v>
          </cell>
          <cell r="K111">
            <v>0</v>
          </cell>
          <cell r="L111">
            <v>0</v>
          </cell>
          <cell r="M111">
            <v>0</v>
          </cell>
        </row>
        <row r="112">
          <cell r="D112">
            <v>4298</v>
          </cell>
          <cell r="E112" t="str">
            <v>归属于母公司所有者权益</v>
          </cell>
          <cell r="F112">
            <v>129868708.31</v>
          </cell>
          <cell r="G112">
            <v>568894.69999999995</v>
          </cell>
          <cell r="H112">
            <v>451319.73</v>
          </cell>
          <cell r="I112">
            <v>129751133.34</v>
          </cell>
          <cell r="J112">
            <v>97664607.299999997</v>
          </cell>
          <cell r="K112">
            <v>0</v>
          </cell>
          <cell r="L112">
            <v>0</v>
          </cell>
          <cell r="M112">
            <v>97664607.299999997</v>
          </cell>
        </row>
        <row r="113">
          <cell r="D113">
            <v>4398</v>
          </cell>
          <cell r="E113" t="str">
            <v>少数股东权益</v>
          </cell>
          <cell r="F113">
            <v>0</v>
          </cell>
          <cell r="G113">
            <v>0</v>
          </cell>
          <cell r="H113">
            <v>0</v>
          </cell>
          <cell r="I113">
            <v>0</v>
          </cell>
          <cell r="J113">
            <v>0</v>
          </cell>
          <cell r="K113">
            <v>0</v>
          </cell>
          <cell r="L113">
            <v>0</v>
          </cell>
          <cell r="M113">
            <v>0</v>
          </cell>
        </row>
        <row r="114">
          <cell r="D114">
            <v>4999</v>
          </cell>
          <cell r="E114" t="str">
            <v>所有者权益</v>
          </cell>
          <cell r="F114">
            <v>129868708.31</v>
          </cell>
          <cell r="G114">
            <v>568894.69999999995</v>
          </cell>
          <cell r="H114">
            <v>451319.73</v>
          </cell>
          <cell r="I114">
            <v>129751133.34</v>
          </cell>
          <cell r="J114">
            <v>97664607.299999997</v>
          </cell>
          <cell r="K114">
            <v>0</v>
          </cell>
          <cell r="L114">
            <v>0</v>
          </cell>
          <cell r="M114">
            <v>97664607.299999997</v>
          </cell>
        </row>
        <row r="115">
          <cell r="D115">
            <v>5000</v>
          </cell>
          <cell r="E115" t="str">
            <v>负债和所有者权益</v>
          </cell>
          <cell r="F115">
            <v>461764051</v>
          </cell>
          <cell r="G115">
            <v>4055665.81</v>
          </cell>
          <cell r="H115">
            <v>10811469.74</v>
          </cell>
          <cell r="I115">
            <v>468519854.93000001</v>
          </cell>
          <cell r="J115">
            <v>371477817.38</v>
          </cell>
          <cell r="K115">
            <v>0</v>
          </cell>
          <cell r="L115">
            <v>0</v>
          </cell>
          <cell r="M115">
            <v>371477817.38</v>
          </cell>
        </row>
        <row r="116">
          <cell r="D116">
            <v>6</v>
          </cell>
          <cell r="E116" t="str">
            <v>利润表</v>
          </cell>
          <cell r="F116">
            <v>0</v>
          </cell>
          <cell r="G116">
            <v>0</v>
          </cell>
          <cell r="H116">
            <v>0</v>
          </cell>
          <cell r="I116">
            <v>0</v>
          </cell>
          <cell r="J116">
            <v>0</v>
          </cell>
          <cell r="K116">
            <v>0</v>
          </cell>
          <cell r="L116">
            <v>0</v>
          </cell>
          <cell r="M116">
            <v>0</v>
          </cell>
        </row>
        <row r="117">
          <cell r="D117">
            <v>6098</v>
          </cell>
          <cell r="E117" t="str">
            <v>营业总收入</v>
          </cell>
          <cell r="F117">
            <v>278399770.05000001</v>
          </cell>
          <cell r="G117">
            <v>0</v>
          </cell>
          <cell r="H117">
            <v>-454254.07</v>
          </cell>
          <cell r="I117">
            <v>277945515.98000002</v>
          </cell>
          <cell r="J117">
            <v>220586258.78</v>
          </cell>
          <cell r="K117">
            <v>0</v>
          </cell>
          <cell r="L117">
            <v>0</v>
          </cell>
          <cell r="M117">
            <v>220586258.78</v>
          </cell>
        </row>
        <row r="118">
          <cell r="D118">
            <v>6001</v>
          </cell>
          <cell r="E118" t="str">
            <v>营业收入</v>
          </cell>
          <cell r="F118">
            <v>278399770.05000001</v>
          </cell>
          <cell r="G118">
            <v>0</v>
          </cell>
          <cell r="H118">
            <v>-454254.07</v>
          </cell>
          <cell r="I118">
            <v>277945515.98000002</v>
          </cell>
          <cell r="J118">
            <v>220586258.78</v>
          </cell>
          <cell r="K118">
            <v>0</v>
          </cell>
          <cell r="L118">
            <v>0</v>
          </cell>
          <cell r="M118">
            <v>220586258.78</v>
          </cell>
        </row>
        <row r="119">
          <cell r="D119">
            <v>6011</v>
          </cell>
          <cell r="E119" t="str">
            <v>利息收入</v>
          </cell>
          <cell r="F119">
            <v>0</v>
          </cell>
          <cell r="G119">
            <v>0</v>
          </cell>
          <cell r="H119">
            <v>0</v>
          </cell>
          <cell r="I119">
            <v>0</v>
          </cell>
          <cell r="J119">
            <v>0</v>
          </cell>
          <cell r="K119">
            <v>0</v>
          </cell>
          <cell r="L119">
            <v>0</v>
          </cell>
          <cell r="M119">
            <v>0</v>
          </cell>
        </row>
        <row r="120">
          <cell r="D120">
            <v>6030</v>
          </cell>
          <cell r="E120" t="str">
            <v>已赚保费</v>
          </cell>
          <cell r="F120">
            <v>0</v>
          </cell>
          <cell r="G120">
            <v>0</v>
          </cell>
          <cell r="H120">
            <v>0</v>
          </cell>
          <cell r="I120">
            <v>0</v>
          </cell>
          <cell r="J120">
            <v>0</v>
          </cell>
          <cell r="K120">
            <v>0</v>
          </cell>
          <cell r="L120">
            <v>0</v>
          </cell>
          <cell r="M120">
            <v>0</v>
          </cell>
        </row>
        <row r="121">
          <cell r="D121">
            <v>6021</v>
          </cell>
          <cell r="E121" t="str">
            <v>手续费及佣金收入</v>
          </cell>
          <cell r="F121">
            <v>0</v>
          </cell>
          <cell r="G121">
            <v>0</v>
          </cell>
          <cell r="H121">
            <v>0</v>
          </cell>
          <cell r="I121">
            <v>0</v>
          </cell>
          <cell r="J121">
            <v>0</v>
          </cell>
          <cell r="K121">
            <v>0</v>
          </cell>
          <cell r="L121">
            <v>0</v>
          </cell>
          <cell r="M121">
            <v>0</v>
          </cell>
        </row>
        <row r="122">
          <cell r="D122">
            <v>6598</v>
          </cell>
          <cell r="E122" t="str">
            <v>营业总成本</v>
          </cell>
          <cell r="F122">
            <v>242600397.83000001</v>
          </cell>
          <cell r="G122">
            <v>-611041.11</v>
          </cell>
          <cell r="H122">
            <v>13000</v>
          </cell>
          <cell r="I122">
            <v>241976356.72</v>
          </cell>
          <cell r="J122">
            <v>190408228.68000001</v>
          </cell>
          <cell r="K122">
            <v>0</v>
          </cell>
          <cell r="L122">
            <v>0</v>
          </cell>
          <cell r="M122">
            <v>190408228.68000001</v>
          </cell>
        </row>
        <row r="123">
          <cell r="D123">
            <v>6401</v>
          </cell>
          <cell r="E123" t="str">
            <v>营业成本</v>
          </cell>
          <cell r="F123">
            <v>195168201.77000001</v>
          </cell>
          <cell r="G123">
            <v>-524413.80000000005</v>
          </cell>
          <cell r="H123">
            <v>0</v>
          </cell>
          <cell r="I123">
            <v>194643787.97</v>
          </cell>
          <cell r="J123">
            <v>144723238.53999999</v>
          </cell>
          <cell r="K123">
            <v>0</v>
          </cell>
          <cell r="L123">
            <v>0</v>
          </cell>
          <cell r="M123">
            <v>144723238.53999999</v>
          </cell>
        </row>
        <row r="124">
          <cell r="D124">
            <v>6411</v>
          </cell>
          <cell r="E124" t="str">
            <v>利息支出</v>
          </cell>
          <cell r="F124">
            <v>0</v>
          </cell>
          <cell r="G124">
            <v>0</v>
          </cell>
          <cell r="H124">
            <v>0</v>
          </cell>
          <cell r="I124">
            <v>0</v>
          </cell>
          <cell r="J124">
            <v>0</v>
          </cell>
          <cell r="K124">
            <v>0</v>
          </cell>
          <cell r="L124">
            <v>0</v>
          </cell>
          <cell r="M124">
            <v>0</v>
          </cell>
        </row>
        <row r="125">
          <cell r="D125">
            <v>6421</v>
          </cell>
          <cell r="E125" t="str">
            <v>手续费及佣金支出</v>
          </cell>
          <cell r="F125">
            <v>0</v>
          </cell>
          <cell r="G125">
            <v>0</v>
          </cell>
          <cell r="H125">
            <v>0</v>
          </cell>
          <cell r="I125">
            <v>0</v>
          </cell>
          <cell r="J125">
            <v>0</v>
          </cell>
          <cell r="K125">
            <v>0</v>
          </cell>
          <cell r="L125">
            <v>0</v>
          </cell>
          <cell r="M125">
            <v>0</v>
          </cell>
        </row>
        <row r="126">
          <cell r="D126">
            <v>6531</v>
          </cell>
          <cell r="E126" t="str">
            <v>退保金</v>
          </cell>
          <cell r="F126">
            <v>0</v>
          </cell>
          <cell r="G126">
            <v>0</v>
          </cell>
          <cell r="H126">
            <v>0</v>
          </cell>
          <cell r="I126">
            <v>0</v>
          </cell>
          <cell r="J126">
            <v>0</v>
          </cell>
          <cell r="K126">
            <v>0</v>
          </cell>
          <cell r="L126">
            <v>0</v>
          </cell>
          <cell r="M126">
            <v>0</v>
          </cell>
        </row>
        <row r="127">
          <cell r="D127">
            <v>6510</v>
          </cell>
          <cell r="E127" t="str">
            <v>赔付支出净额</v>
          </cell>
          <cell r="F127">
            <v>0</v>
          </cell>
          <cell r="G127">
            <v>0</v>
          </cell>
          <cell r="H127">
            <v>0</v>
          </cell>
          <cell r="I127">
            <v>0</v>
          </cell>
          <cell r="J127">
            <v>0</v>
          </cell>
          <cell r="K127">
            <v>0</v>
          </cell>
          <cell r="L127">
            <v>0</v>
          </cell>
          <cell r="M127">
            <v>0</v>
          </cell>
        </row>
        <row r="128">
          <cell r="D128">
            <v>6505</v>
          </cell>
          <cell r="E128" t="str">
            <v>提取保险合同准备金净额</v>
          </cell>
          <cell r="F128">
            <v>0</v>
          </cell>
          <cell r="G128">
            <v>0</v>
          </cell>
          <cell r="H128">
            <v>0</v>
          </cell>
          <cell r="I128">
            <v>0</v>
          </cell>
          <cell r="J128">
            <v>0</v>
          </cell>
          <cell r="K128">
            <v>0</v>
          </cell>
          <cell r="L128">
            <v>0</v>
          </cell>
          <cell r="M128">
            <v>0</v>
          </cell>
        </row>
        <row r="129">
          <cell r="D129">
            <v>6521</v>
          </cell>
          <cell r="E129" t="str">
            <v>保单红利支出</v>
          </cell>
          <cell r="F129">
            <v>0</v>
          </cell>
          <cell r="G129">
            <v>0</v>
          </cell>
          <cell r="H129">
            <v>0</v>
          </cell>
          <cell r="I129">
            <v>0</v>
          </cell>
          <cell r="J129">
            <v>0</v>
          </cell>
          <cell r="K129">
            <v>0</v>
          </cell>
          <cell r="L129">
            <v>0</v>
          </cell>
          <cell r="M129">
            <v>0</v>
          </cell>
        </row>
        <row r="130">
          <cell r="D130">
            <v>6542</v>
          </cell>
          <cell r="E130" t="str">
            <v>分保费用</v>
          </cell>
          <cell r="F130">
            <v>0</v>
          </cell>
          <cell r="G130">
            <v>0</v>
          </cell>
          <cell r="H130">
            <v>0</v>
          </cell>
          <cell r="I130">
            <v>0</v>
          </cell>
          <cell r="J130">
            <v>0</v>
          </cell>
          <cell r="K130">
            <v>0</v>
          </cell>
          <cell r="L130">
            <v>0</v>
          </cell>
          <cell r="M130">
            <v>0</v>
          </cell>
        </row>
        <row r="131">
          <cell r="D131">
            <v>6600</v>
          </cell>
          <cell r="E131" t="str">
            <v>税金及附加</v>
          </cell>
          <cell r="F131">
            <v>1989674.85</v>
          </cell>
          <cell r="G131">
            <v>0</v>
          </cell>
          <cell r="H131">
            <v>0</v>
          </cell>
          <cell r="I131">
            <v>1989674.85</v>
          </cell>
          <cell r="J131">
            <v>1374637.17</v>
          </cell>
          <cell r="K131">
            <v>0</v>
          </cell>
          <cell r="L131">
            <v>0</v>
          </cell>
          <cell r="M131">
            <v>1374637.17</v>
          </cell>
        </row>
        <row r="132">
          <cell r="D132">
            <v>6601</v>
          </cell>
          <cell r="E132" t="str">
            <v>销售费用</v>
          </cell>
          <cell r="F132">
            <v>5769720.54</v>
          </cell>
          <cell r="G132">
            <v>19321.52</v>
          </cell>
          <cell r="H132">
            <v>13000</v>
          </cell>
          <cell r="I132">
            <v>5776042.0599999996</v>
          </cell>
          <cell r="J132">
            <v>5102040.05</v>
          </cell>
          <cell r="K132">
            <v>0</v>
          </cell>
          <cell r="L132">
            <v>0</v>
          </cell>
          <cell r="M132">
            <v>5102040.05</v>
          </cell>
        </row>
        <row r="133">
          <cell r="D133">
            <v>6602</v>
          </cell>
          <cell r="E133" t="str">
            <v>管理费用</v>
          </cell>
          <cell r="F133">
            <v>17628347.629999999</v>
          </cell>
          <cell r="G133">
            <v>-182942.15</v>
          </cell>
          <cell r="H133">
            <v>0</v>
          </cell>
          <cell r="I133">
            <v>17445405.48</v>
          </cell>
          <cell r="J133">
            <v>28250590.460000001</v>
          </cell>
          <cell r="K133">
            <v>0</v>
          </cell>
          <cell r="L133">
            <v>0</v>
          </cell>
          <cell r="M133">
            <v>28250590.460000001</v>
          </cell>
        </row>
        <row r="134">
          <cell r="D134">
            <v>6606</v>
          </cell>
          <cell r="E134" t="str">
            <v>研发费用</v>
          </cell>
          <cell r="F134">
            <v>14268249.01</v>
          </cell>
          <cell r="G134">
            <v>0</v>
          </cell>
          <cell r="H134">
            <v>0</v>
          </cell>
          <cell r="I134">
            <v>14268249.01</v>
          </cell>
          <cell r="J134">
            <v>0</v>
          </cell>
          <cell r="K134">
            <v>0</v>
          </cell>
          <cell r="L134">
            <v>0</v>
          </cell>
          <cell r="M134">
            <v>0</v>
          </cell>
        </row>
        <row r="135">
          <cell r="D135">
            <v>6603</v>
          </cell>
          <cell r="E135" t="str">
            <v>财务费用</v>
          </cell>
          <cell r="F135">
            <v>540171.96</v>
          </cell>
          <cell r="G135">
            <v>331426.67</v>
          </cell>
          <cell r="H135">
            <v>0</v>
          </cell>
          <cell r="I135">
            <v>871598.63</v>
          </cell>
          <cell r="J135">
            <v>549960.47</v>
          </cell>
          <cell r="K135">
            <v>0</v>
          </cell>
          <cell r="L135">
            <v>0</v>
          </cell>
          <cell r="M135">
            <v>549960.47</v>
          </cell>
        </row>
        <row r="136">
          <cell r="D136" t="str">
            <v>6603_01</v>
          </cell>
          <cell r="E136" t="str">
            <v>财务费用_利息费用</v>
          </cell>
          <cell r="F136">
            <v>947952.4</v>
          </cell>
          <cell r="G136">
            <v>0</v>
          </cell>
          <cell r="H136">
            <v>0</v>
          </cell>
          <cell r="I136">
            <v>947952.4</v>
          </cell>
          <cell r="J136">
            <v>0</v>
          </cell>
          <cell r="K136">
            <v>0</v>
          </cell>
          <cell r="L136">
            <v>0</v>
          </cell>
          <cell r="M136">
            <v>0</v>
          </cell>
        </row>
        <row r="137">
          <cell r="D137" t="str">
            <v>6603_06</v>
          </cell>
          <cell r="E137" t="str">
            <v>财务费用_利息收入</v>
          </cell>
          <cell r="F137">
            <v>130203.83</v>
          </cell>
          <cell r="G137">
            <v>0</v>
          </cell>
          <cell r="H137">
            <v>0</v>
          </cell>
          <cell r="I137">
            <v>130203.83</v>
          </cell>
          <cell r="J137">
            <v>0</v>
          </cell>
          <cell r="K137">
            <v>0</v>
          </cell>
          <cell r="L137">
            <v>0</v>
          </cell>
          <cell r="M137">
            <v>0</v>
          </cell>
        </row>
        <row r="138">
          <cell r="D138">
            <v>6671</v>
          </cell>
          <cell r="E138" t="str">
            <v>资产减值损失</v>
          </cell>
          <cell r="F138">
            <v>7236032.0700000003</v>
          </cell>
          <cell r="G138">
            <v>-254433.35</v>
          </cell>
          <cell r="H138">
            <v>0</v>
          </cell>
          <cell r="I138">
            <v>6981598.7199999997</v>
          </cell>
          <cell r="J138">
            <v>10407761.99</v>
          </cell>
          <cell r="K138">
            <v>0</v>
          </cell>
          <cell r="L138">
            <v>0</v>
          </cell>
          <cell r="M138">
            <v>10407761.99</v>
          </cell>
        </row>
        <row r="139">
          <cell r="D139">
            <v>6181</v>
          </cell>
          <cell r="E139" t="str">
            <v>其他收益</v>
          </cell>
          <cell r="F139">
            <v>0</v>
          </cell>
          <cell r="G139">
            <v>0</v>
          </cell>
          <cell r="H139">
            <v>584462.1</v>
          </cell>
          <cell r="I139">
            <v>584462.1</v>
          </cell>
          <cell r="J139">
            <v>307549.59999999998</v>
          </cell>
          <cell r="K139">
            <v>0</v>
          </cell>
          <cell r="L139">
            <v>0</v>
          </cell>
          <cell r="M139">
            <v>307549.59999999998</v>
          </cell>
        </row>
        <row r="140">
          <cell r="D140">
            <v>6111</v>
          </cell>
          <cell r="E140" t="str">
            <v>投资收益</v>
          </cell>
          <cell r="F140">
            <v>316271.71000000002</v>
          </cell>
          <cell r="G140">
            <v>0</v>
          </cell>
          <cell r="H140">
            <v>308111.7</v>
          </cell>
          <cell r="I140">
            <v>624383.41</v>
          </cell>
          <cell r="J140">
            <v>395610.58</v>
          </cell>
          <cell r="K140">
            <v>0</v>
          </cell>
          <cell r="L140">
            <v>0</v>
          </cell>
          <cell r="M140">
            <v>395610.58</v>
          </cell>
        </row>
        <row r="141">
          <cell r="D141">
            <v>6111.01</v>
          </cell>
          <cell r="E141" t="str">
            <v>对联营企业和合营企业的投资收益</v>
          </cell>
          <cell r="F141">
            <v>316271.71000000002</v>
          </cell>
          <cell r="G141">
            <v>0</v>
          </cell>
          <cell r="H141">
            <v>-23314.97</v>
          </cell>
          <cell r="I141">
            <v>292956.74</v>
          </cell>
          <cell r="J141">
            <v>0</v>
          </cell>
          <cell r="K141">
            <v>0</v>
          </cell>
          <cell r="L141">
            <v>0</v>
          </cell>
          <cell r="M141">
            <v>0</v>
          </cell>
        </row>
        <row r="142">
          <cell r="D142">
            <v>6161</v>
          </cell>
          <cell r="E142" t="str">
            <v>汇兑收益</v>
          </cell>
          <cell r="F142">
            <v>0</v>
          </cell>
          <cell r="G142">
            <v>0</v>
          </cell>
          <cell r="H142">
            <v>0</v>
          </cell>
          <cell r="I142">
            <v>0</v>
          </cell>
          <cell r="J142">
            <v>0</v>
          </cell>
          <cell r="K142">
            <v>0</v>
          </cell>
          <cell r="L142">
            <v>0</v>
          </cell>
          <cell r="M142">
            <v>0</v>
          </cell>
        </row>
        <row r="143">
          <cell r="D143">
            <v>6101</v>
          </cell>
          <cell r="E143" t="str">
            <v>公允价值变动收益</v>
          </cell>
          <cell r="F143">
            <v>0</v>
          </cell>
          <cell r="G143">
            <v>0</v>
          </cell>
          <cell r="H143">
            <v>0</v>
          </cell>
          <cell r="I143">
            <v>0</v>
          </cell>
          <cell r="J143">
            <v>0</v>
          </cell>
          <cell r="K143">
            <v>0</v>
          </cell>
          <cell r="L143">
            <v>0</v>
          </cell>
          <cell r="M143">
            <v>0</v>
          </cell>
        </row>
        <row r="144">
          <cell r="D144">
            <v>6171</v>
          </cell>
          <cell r="E144" t="str">
            <v>资产处置收益</v>
          </cell>
          <cell r="F144">
            <v>0</v>
          </cell>
          <cell r="G144">
            <v>0</v>
          </cell>
          <cell r="H144">
            <v>0</v>
          </cell>
          <cell r="I144">
            <v>0</v>
          </cell>
          <cell r="J144">
            <v>-4307.87</v>
          </cell>
          <cell r="K144">
            <v>0</v>
          </cell>
          <cell r="L144">
            <v>0</v>
          </cell>
          <cell r="M144">
            <v>-4307.87</v>
          </cell>
        </row>
        <row r="145">
          <cell r="D145">
            <v>6689</v>
          </cell>
          <cell r="E145" t="str">
            <v>营业利润</v>
          </cell>
          <cell r="F145">
            <v>36115643.93</v>
          </cell>
          <cell r="G145">
            <v>-611041.11</v>
          </cell>
          <cell r="H145">
            <v>451319.73</v>
          </cell>
          <cell r="I145">
            <v>37178004.770000003</v>
          </cell>
          <cell r="J145">
            <v>30876882.41</v>
          </cell>
          <cell r="K145">
            <v>0</v>
          </cell>
          <cell r="L145">
            <v>0</v>
          </cell>
          <cell r="M145">
            <v>30876882.41</v>
          </cell>
        </row>
        <row r="146">
          <cell r="D146">
            <v>6710</v>
          </cell>
          <cell r="E146" t="str">
            <v>营业外收入</v>
          </cell>
          <cell r="F146">
            <v>444502.67</v>
          </cell>
          <cell r="G146">
            <v>444502.67</v>
          </cell>
          <cell r="H146">
            <v>0</v>
          </cell>
          <cell r="I146">
            <v>0</v>
          </cell>
          <cell r="J146">
            <v>0</v>
          </cell>
          <cell r="K146">
            <v>0</v>
          </cell>
          <cell r="L146">
            <v>0</v>
          </cell>
          <cell r="M146">
            <v>0</v>
          </cell>
        </row>
        <row r="147">
          <cell r="D147">
            <v>6711</v>
          </cell>
          <cell r="E147" t="str">
            <v>营业外支出</v>
          </cell>
          <cell r="F147">
            <v>62471.05</v>
          </cell>
          <cell r="G147">
            <v>0</v>
          </cell>
          <cell r="H147">
            <v>0</v>
          </cell>
          <cell r="I147">
            <v>62471.05</v>
          </cell>
          <cell r="J147">
            <v>28562.41</v>
          </cell>
          <cell r="K147">
            <v>0</v>
          </cell>
          <cell r="L147">
            <v>0</v>
          </cell>
          <cell r="M147">
            <v>28562.41</v>
          </cell>
        </row>
        <row r="148">
          <cell r="D148">
            <v>6788</v>
          </cell>
          <cell r="E148" t="str">
            <v>利润总额</v>
          </cell>
          <cell r="F148">
            <v>36497675.549999997</v>
          </cell>
          <cell r="G148">
            <v>-166538.44</v>
          </cell>
          <cell r="H148">
            <v>451319.73</v>
          </cell>
          <cell r="I148">
            <v>37115533.719999999</v>
          </cell>
          <cell r="J148">
            <v>30848320</v>
          </cell>
          <cell r="K148">
            <v>0</v>
          </cell>
          <cell r="L148">
            <v>0</v>
          </cell>
          <cell r="M148">
            <v>30848320</v>
          </cell>
        </row>
        <row r="149">
          <cell r="D149">
            <v>6791</v>
          </cell>
          <cell r="E149" t="str">
            <v>所得税费用</v>
          </cell>
          <cell r="F149">
            <v>4293574.54</v>
          </cell>
          <cell r="G149">
            <v>735433.14</v>
          </cell>
          <cell r="H149">
            <v>0</v>
          </cell>
          <cell r="I149">
            <v>5029007.68</v>
          </cell>
          <cell r="J149">
            <v>4470355.75</v>
          </cell>
          <cell r="K149">
            <v>0</v>
          </cell>
          <cell r="L149">
            <v>0</v>
          </cell>
          <cell r="M149">
            <v>4470355.75</v>
          </cell>
        </row>
        <row r="150">
          <cell r="D150">
            <v>6799</v>
          </cell>
          <cell r="E150" t="str">
            <v>净利润</v>
          </cell>
          <cell r="F150">
            <v>32204101.010000002</v>
          </cell>
          <cell r="G150">
            <v>568894.69999999995</v>
          </cell>
          <cell r="H150">
            <v>451319.73</v>
          </cell>
          <cell r="I150">
            <v>32086526.039999999</v>
          </cell>
          <cell r="J150">
            <v>26377964.25</v>
          </cell>
          <cell r="K150">
            <v>0</v>
          </cell>
          <cell r="L150">
            <v>0</v>
          </cell>
          <cell r="M150">
            <v>26377964.25</v>
          </cell>
        </row>
        <row r="151">
          <cell r="D151">
            <v>6835</v>
          </cell>
          <cell r="E151" t="str">
            <v>净利润按经营持续性分类</v>
          </cell>
          <cell r="F151">
            <v>0</v>
          </cell>
          <cell r="G151">
            <v>0</v>
          </cell>
          <cell r="H151">
            <v>0</v>
          </cell>
          <cell r="I151">
            <v>0</v>
          </cell>
          <cell r="J151">
            <v>0</v>
          </cell>
          <cell r="K151">
            <v>0</v>
          </cell>
          <cell r="L151">
            <v>0</v>
          </cell>
          <cell r="M151">
            <v>0</v>
          </cell>
        </row>
        <row r="152">
          <cell r="D152">
            <v>6816</v>
          </cell>
          <cell r="E152" t="str">
            <v>持续经营净利润</v>
          </cell>
          <cell r="F152">
            <v>0</v>
          </cell>
          <cell r="G152">
            <v>0</v>
          </cell>
          <cell r="H152">
            <v>0</v>
          </cell>
          <cell r="I152">
            <v>0</v>
          </cell>
          <cell r="J152">
            <v>0</v>
          </cell>
          <cell r="K152">
            <v>0</v>
          </cell>
          <cell r="L152">
            <v>0</v>
          </cell>
          <cell r="M152">
            <v>0</v>
          </cell>
        </row>
        <row r="153">
          <cell r="D153">
            <v>6817</v>
          </cell>
          <cell r="E153" t="str">
            <v>终止经营净利润</v>
          </cell>
          <cell r="F153">
            <v>0</v>
          </cell>
          <cell r="G153">
            <v>0</v>
          </cell>
          <cell r="H153">
            <v>0</v>
          </cell>
          <cell r="I153">
            <v>0</v>
          </cell>
          <cell r="J153">
            <v>0</v>
          </cell>
          <cell r="K153">
            <v>0</v>
          </cell>
          <cell r="L153">
            <v>0</v>
          </cell>
          <cell r="M153">
            <v>0</v>
          </cell>
        </row>
        <row r="154">
          <cell r="D154">
            <v>6830</v>
          </cell>
          <cell r="E154" t="str">
            <v>净利润按所有权归属分类</v>
          </cell>
          <cell r="F154">
            <v>0</v>
          </cell>
          <cell r="G154">
            <v>0</v>
          </cell>
          <cell r="H154">
            <v>0</v>
          </cell>
          <cell r="I154">
            <v>0</v>
          </cell>
          <cell r="J154">
            <v>0</v>
          </cell>
          <cell r="K154">
            <v>0</v>
          </cell>
          <cell r="L154">
            <v>0</v>
          </cell>
          <cell r="M154">
            <v>0</v>
          </cell>
        </row>
        <row r="155">
          <cell r="D155">
            <v>6812</v>
          </cell>
          <cell r="E155" t="str">
            <v>少数股东损益</v>
          </cell>
          <cell r="F155">
            <v>0</v>
          </cell>
          <cell r="G155">
            <v>0</v>
          </cell>
          <cell r="H155">
            <v>0</v>
          </cell>
          <cell r="I155">
            <v>0</v>
          </cell>
          <cell r="J155">
            <v>0</v>
          </cell>
          <cell r="K155">
            <v>0</v>
          </cell>
          <cell r="L155">
            <v>0</v>
          </cell>
          <cell r="M155">
            <v>0</v>
          </cell>
        </row>
        <row r="156">
          <cell r="D156">
            <v>6811</v>
          </cell>
          <cell r="E156" t="str">
            <v>归属于母公司所有者的净利润</v>
          </cell>
          <cell r="F156">
            <v>32204101.010000002</v>
          </cell>
          <cell r="G156">
            <v>568894.69999999995</v>
          </cell>
          <cell r="H156">
            <v>451319.73</v>
          </cell>
          <cell r="I156">
            <v>32086526.039999999</v>
          </cell>
          <cell r="J156">
            <v>26377964.25</v>
          </cell>
          <cell r="K156">
            <v>0</v>
          </cell>
          <cell r="L156">
            <v>0</v>
          </cell>
          <cell r="M156">
            <v>26377964.25</v>
          </cell>
        </row>
        <row r="157">
          <cell r="D157">
            <v>6829</v>
          </cell>
          <cell r="E157" t="str">
            <v>其他综合收益的税后净额</v>
          </cell>
          <cell r="F157">
            <v>0</v>
          </cell>
          <cell r="G157">
            <v>0</v>
          </cell>
          <cell r="H157">
            <v>0</v>
          </cell>
          <cell r="I157">
            <v>0</v>
          </cell>
          <cell r="J157">
            <v>0</v>
          </cell>
          <cell r="K157">
            <v>0</v>
          </cell>
          <cell r="L157">
            <v>0</v>
          </cell>
          <cell r="M157">
            <v>0</v>
          </cell>
        </row>
        <row r="158">
          <cell r="D158">
            <v>6829.2</v>
          </cell>
          <cell r="E158" t="str">
            <v>归属于母公司所有者的其他综合收益的税后净额</v>
          </cell>
          <cell r="F158">
            <v>0</v>
          </cell>
          <cell r="G158">
            <v>0</v>
          </cell>
          <cell r="H158">
            <v>0</v>
          </cell>
          <cell r="I158">
            <v>0</v>
          </cell>
          <cell r="J158">
            <v>0</v>
          </cell>
          <cell r="K158">
            <v>0</v>
          </cell>
          <cell r="L158">
            <v>0</v>
          </cell>
          <cell r="M158">
            <v>0</v>
          </cell>
        </row>
        <row r="159">
          <cell r="D159">
            <v>6829.21</v>
          </cell>
          <cell r="E159" t="str">
            <v>以后不能重分类进损益的其他综合收益</v>
          </cell>
          <cell r="F159">
            <v>0</v>
          </cell>
          <cell r="G159">
            <v>0</v>
          </cell>
          <cell r="H159">
            <v>0</v>
          </cell>
          <cell r="I159">
            <v>0</v>
          </cell>
          <cell r="J159">
            <v>0</v>
          </cell>
          <cell r="K159">
            <v>0</v>
          </cell>
          <cell r="L159">
            <v>0</v>
          </cell>
          <cell r="M159">
            <v>0</v>
          </cell>
        </row>
        <row r="160">
          <cell r="D160">
            <v>6829.2110000000002</v>
          </cell>
          <cell r="E160" t="str">
            <v>重新计量设定受益计划变动额</v>
          </cell>
          <cell r="F160">
            <v>0</v>
          </cell>
          <cell r="G160">
            <v>0</v>
          </cell>
          <cell r="H160">
            <v>0</v>
          </cell>
          <cell r="I160">
            <v>0</v>
          </cell>
          <cell r="J160">
            <v>0</v>
          </cell>
          <cell r="K160">
            <v>0</v>
          </cell>
          <cell r="L160">
            <v>0</v>
          </cell>
          <cell r="M160">
            <v>0</v>
          </cell>
        </row>
        <row r="161">
          <cell r="D161">
            <v>6829.2120000000004</v>
          </cell>
          <cell r="E161" t="str">
            <v>权益法下不能转损益的其他综合收益</v>
          </cell>
          <cell r="F161">
            <v>0</v>
          </cell>
          <cell r="G161">
            <v>0</v>
          </cell>
          <cell r="H161">
            <v>0</v>
          </cell>
          <cell r="I161">
            <v>0</v>
          </cell>
          <cell r="J161">
            <v>0</v>
          </cell>
          <cell r="K161">
            <v>0</v>
          </cell>
          <cell r="L161">
            <v>0</v>
          </cell>
          <cell r="M161">
            <v>0</v>
          </cell>
        </row>
        <row r="162">
          <cell r="D162">
            <v>6829.2190000000001</v>
          </cell>
          <cell r="E162" t="str">
            <v>其他以后不能重分类进损益的其他综合收益</v>
          </cell>
          <cell r="F162">
            <v>0</v>
          </cell>
          <cell r="G162">
            <v>0</v>
          </cell>
          <cell r="H162">
            <v>0</v>
          </cell>
          <cell r="I162">
            <v>0</v>
          </cell>
          <cell r="J162">
            <v>0</v>
          </cell>
          <cell r="K162">
            <v>0</v>
          </cell>
          <cell r="L162">
            <v>0</v>
          </cell>
          <cell r="M162">
            <v>0</v>
          </cell>
        </row>
        <row r="163">
          <cell r="D163">
            <v>6829.23</v>
          </cell>
          <cell r="E163" t="str">
            <v>以后将重分类进损益的其他综合收益</v>
          </cell>
          <cell r="F163">
            <v>0</v>
          </cell>
          <cell r="G163">
            <v>0</v>
          </cell>
          <cell r="H163">
            <v>0</v>
          </cell>
          <cell r="I163">
            <v>0</v>
          </cell>
          <cell r="J163">
            <v>0</v>
          </cell>
          <cell r="K163">
            <v>0</v>
          </cell>
          <cell r="L163">
            <v>0</v>
          </cell>
          <cell r="M163">
            <v>0</v>
          </cell>
        </row>
        <row r="164">
          <cell r="D164">
            <v>6829.2309999999998</v>
          </cell>
          <cell r="E164" t="str">
            <v>权益法下可转损益的其他综合收益</v>
          </cell>
          <cell r="F164">
            <v>0</v>
          </cell>
          <cell r="G164">
            <v>0</v>
          </cell>
          <cell r="H164">
            <v>0</v>
          </cell>
          <cell r="I164">
            <v>0</v>
          </cell>
          <cell r="J164">
            <v>0</v>
          </cell>
          <cell r="K164">
            <v>0</v>
          </cell>
          <cell r="L164">
            <v>0</v>
          </cell>
          <cell r="M164">
            <v>0</v>
          </cell>
        </row>
        <row r="165">
          <cell r="D165">
            <v>6829.232</v>
          </cell>
          <cell r="E165" t="str">
            <v>可供出售金融资产公允价值变动损益</v>
          </cell>
          <cell r="F165">
            <v>0</v>
          </cell>
          <cell r="G165">
            <v>0</v>
          </cell>
          <cell r="H165">
            <v>0</v>
          </cell>
          <cell r="I165">
            <v>0</v>
          </cell>
          <cell r="J165">
            <v>0</v>
          </cell>
          <cell r="K165">
            <v>0</v>
          </cell>
          <cell r="L165">
            <v>0</v>
          </cell>
          <cell r="M165">
            <v>0</v>
          </cell>
        </row>
        <row r="166">
          <cell r="D166">
            <v>6829.2330000000002</v>
          </cell>
          <cell r="E166" t="str">
            <v>持有至到期投资重分类为可供出售金融资产损益</v>
          </cell>
          <cell r="F166">
            <v>0</v>
          </cell>
          <cell r="G166">
            <v>0</v>
          </cell>
          <cell r="H166">
            <v>0</v>
          </cell>
          <cell r="I166">
            <v>0</v>
          </cell>
          <cell r="J166">
            <v>0</v>
          </cell>
          <cell r="K166">
            <v>0</v>
          </cell>
          <cell r="L166">
            <v>0</v>
          </cell>
          <cell r="M166">
            <v>0</v>
          </cell>
        </row>
        <row r="167">
          <cell r="D167">
            <v>6829.2340000000004</v>
          </cell>
          <cell r="E167" t="str">
            <v>现金流量套期损益的有效部分</v>
          </cell>
          <cell r="F167">
            <v>0</v>
          </cell>
          <cell r="G167">
            <v>0</v>
          </cell>
          <cell r="H167">
            <v>0</v>
          </cell>
          <cell r="I167">
            <v>0</v>
          </cell>
          <cell r="J167">
            <v>0</v>
          </cell>
          <cell r="K167">
            <v>0</v>
          </cell>
          <cell r="L167">
            <v>0</v>
          </cell>
          <cell r="M167">
            <v>0</v>
          </cell>
        </row>
        <row r="168">
          <cell r="D168">
            <v>6829.2349999999997</v>
          </cell>
          <cell r="E168" t="str">
            <v>外币财务报表折算差额</v>
          </cell>
          <cell r="F168">
            <v>0</v>
          </cell>
          <cell r="G168">
            <v>0</v>
          </cell>
          <cell r="H168">
            <v>0</v>
          </cell>
          <cell r="I168">
            <v>0</v>
          </cell>
          <cell r="J168">
            <v>0</v>
          </cell>
          <cell r="K168">
            <v>0</v>
          </cell>
          <cell r="L168">
            <v>0</v>
          </cell>
          <cell r="M168">
            <v>0</v>
          </cell>
        </row>
        <row r="169">
          <cell r="D169">
            <v>6829.2359999999999</v>
          </cell>
          <cell r="E169" t="str">
            <v>自用房地产或作为存货的房地产转换为以公允价值计量的投资性房地产在转换日公允价值大于账面价值部分</v>
          </cell>
          <cell r="F169">
            <v>0</v>
          </cell>
          <cell r="G169">
            <v>0</v>
          </cell>
          <cell r="H169">
            <v>0</v>
          </cell>
          <cell r="I169">
            <v>0</v>
          </cell>
          <cell r="J169">
            <v>0</v>
          </cell>
          <cell r="K169">
            <v>0</v>
          </cell>
          <cell r="L169">
            <v>0</v>
          </cell>
          <cell r="M169">
            <v>0</v>
          </cell>
        </row>
        <row r="170">
          <cell r="D170">
            <v>6829.2370000000001</v>
          </cell>
          <cell r="E170" t="str">
            <v>多次交易分步处置子公司股权构成一揽子交易的丧失控制权之前各次交易处置价款与对应净资产账面价值份额的差额</v>
          </cell>
          <cell r="F170">
            <v>0</v>
          </cell>
          <cell r="G170">
            <v>0</v>
          </cell>
          <cell r="H170">
            <v>0</v>
          </cell>
          <cell r="I170">
            <v>0</v>
          </cell>
          <cell r="J170">
            <v>0</v>
          </cell>
          <cell r="K170">
            <v>0</v>
          </cell>
          <cell r="L170">
            <v>0</v>
          </cell>
          <cell r="M170">
            <v>0</v>
          </cell>
        </row>
        <row r="171">
          <cell r="D171">
            <v>6829.2389999999996</v>
          </cell>
          <cell r="E171" t="str">
            <v>其他以后将重分类进损益的其他综合收益</v>
          </cell>
          <cell r="F171">
            <v>0</v>
          </cell>
          <cell r="G171">
            <v>0</v>
          </cell>
          <cell r="H171">
            <v>0</v>
          </cell>
          <cell r="I171">
            <v>0</v>
          </cell>
          <cell r="J171">
            <v>0</v>
          </cell>
          <cell r="K171">
            <v>0</v>
          </cell>
          <cell r="L171">
            <v>0</v>
          </cell>
          <cell r="M171">
            <v>0</v>
          </cell>
        </row>
        <row r="172">
          <cell r="D172">
            <v>6829.5</v>
          </cell>
          <cell r="E172" t="str">
            <v>归属于少数股东的其他综合收益的税后净额</v>
          </cell>
          <cell r="F172">
            <v>0</v>
          </cell>
          <cell r="G172">
            <v>0</v>
          </cell>
          <cell r="H172">
            <v>0</v>
          </cell>
          <cell r="I172">
            <v>0</v>
          </cell>
          <cell r="J172">
            <v>0</v>
          </cell>
          <cell r="K172">
            <v>0</v>
          </cell>
          <cell r="L172">
            <v>0</v>
          </cell>
          <cell r="M172">
            <v>0</v>
          </cell>
        </row>
        <row r="173">
          <cell r="D173">
            <v>6839</v>
          </cell>
          <cell r="E173" t="str">
            <v>综合收益总额</v>
          </cell>
          <cell r="F173">
            <v>32204101.010000002</v>
          </cell>
          <cell r="G173">
            <v>568894.69999999995</v>
          </cell>
          <cell r="H173">
            <v>451319.73</v>
          </cell>
          <cell r="I173">
            <v>32086526.039999999</v>
          </cell>
          <cell r="J173">
            <v>26377964.25</v>
          </cell>
          <cell r="K173">
            <v>0</v>
          </cell>
          <cell r="L173">
            <v>0</v>
          </cell>
          <cell r="M173">
            <v>26377964.25</v>
          </cell>
        </row>
        <row r="174">
          <cell r="D174">
            <v>6841</v>
          </cell>
          <cell r="E174" t="str">
            <v>归属于母公司所有者的综合收益总额</v>
          </cell>
          <cell r="F174">
            <v>32204101.010000002</v>
          </cell>
          <cell r="G174">
            <v>568894.69999999995</v>
          </cell>
          <cell r="H174">
            <v>451319.73</v>
          </cell>
          <cell r="I174">
            <v>32086526.039999999</v>
          </cell>
          <cell r="J174">
            <v>26377964.25</v>
          </cell>
          <cell r="K174">
            <v>0</v>
          </cell>
          <cell r="L174">
            <v>0</v>
          </cell>
          <cell r="M174">
            <v>26377964.25</v>
          </cell>
        </row>
        <row r="175">
          <cell r="D175">
            <v>6842</v>
          </cell>
          <cell r="E175" t="str">
            <v>归属于少数股东的综合收益总额</v>
          </cell>
          <cell r="F175">
            <v>0</v>
          </cell>
          <cell r="G175">
            <v>0</v>
          </cell>
          <cell r="H175">
            <v>0</v>
          </cell>
          <cell r="I175">
            <v>0</v>
          </cell>
          <cell r="J175">
            <v>0</v>
          </cell>
          <cell r="K175">
            <v>0</v>
          </cell>
          <cell r="L175">
            <v>0</v>
          </cell>
          <cell r="M175">
            <v>0</v>
          </cell>
        </row>
        <row r="176">
          <cell r="D176">
            <v>6820</v>
          </cell>
          <cell r="E176" t="str">
            <v>每股收益</v>
          </cell>
          <cell r="F176">
            <v>0</v>
          </cell>
          <cell r="G176">
            <v>0</v>
          </cell>
          <cell r="H176">
            <v>0</v>
          </cell>
          <cell r="I176">
            <v>0</v>
          </cell>
          <cell r="J176">
            <v>0</v>
          </cell>
          <cell r="K176">
            <v>0</v>
          </cell>
          <cell r="L176">
            <v>0</v>
          </cell>
          <cell r="M176">
            <v>0</v>
          </cell>
        </row>
        <row r="177">
          <cell r="D177">
            <v>6821</v>
          </cell>
          <cell r="E177" t="str">
            <v>基本每股收益</v>
          </cell>
          <cell r="F177">
            <v>0</v>
          </cell>
          <cell r="G177">
            <v>0</v>
          </cell>
          <cell r="H177">
            <v>0</v>
          </cell>
          <cell r="I177">
            <v>0</v>
          </cell>
          <cell r="J177">
            <v>0</v>
          </cell>
          <cell r="K177">
            <v>0</v>
          </cell>
          <cell r="L177">
            <v>0</v>
          </cell>
          <cell r="M177">
            <v>0</v>
          </cell>
        </row>
        <row r="178">
          <cell r="D178">
            <v>6822</v>
          </cell>
          <cell r="E178" t="str">
            <v>稀释每股收益</v>
          </cell>
          <cell r="F178">
            <v>0</v>
          </cell>
          <cell r="G178">
            <v>0</v>
          </cell>
          <cell r="H178">
            <v>0</v>
          </cell>
          <cell r="I178">
            <v>0</v>
          </cell>
          <cell r="J178">
            <v>0</v>
          </cell>
          <cell r="K178">
            <v>0</v>
          </cell>
          <cell r="L178">
            <v>0</v>
          </cell>
          <cell r="M178">
            <v>0</v>
          </cell>
        </row>
        <row r="179">
          <cell r="D179">
            <v>6710.11</v>
          </cell>
          <cell r="E179" t="str">
            <v>营业外收入_非流动资产处置利得</v>
          </cell>
          <cell r="F179">
            <v>0</v>
          </cell>
          <cell r="G179">
            <v>0</v>
          </cell>
          <cell r="H179">
            <v>0</v>
          </cell>
          <cell r="I179">
            <v>0</v>
          </cell>
          <cell r="J179">
            <v>0</v>
          </cell>
          <cell r="K179">
            <v>0</v>
          </cell>
          <cell r="L179">
            <v>0</v>
          </cell>
          <cell r="M179">
            <v>0</v>
          </cell>
        </row>
        <row r="180">
          <cell r="D180">
            <v>6711.01</v>
          </cell>
          <cell r="E180" t="str">
            <v>非流动资产处置损失</v>
          </cell>
          <cell r="F180">
            <v>0</v>
          </cell>
          <cell r="G180">
            <v>0</v>
          </cell>
          <cell r="H180">
            <v>0</v>
          </cell>
          <cell r="I180">
            <v>0</v>
          </cell>
          <cell r="J180">
            <v>0</v>
          </cell>
          <cell r="K180">
            <v>0</v>
          </cell>
          <cell r="L180">
            <v>0</v>
          </cell>
          <cell r="M180">
            <v>0</v>
          </cell>
        </row>
        <row r="181">
          <cell r="D181">
            <v>6805</v>
          </cell>
          <cell r="E181" t="str">
            <v>同一控制下企业合并的被合并方在合并前实现的净利润</v>
          </cell>
          <cell r="F181">
            <v>0</v>
          </cell>
          <cell r="G181">
            <v>0</v>
          </cell>
          <cell r="H181">
            <v>0</v>
          </cell>
          <cell r="I181">
            <v>0</v>
          </cell>
          <cell r="J181">
            <v>0</v>
          </cell>
          <cell r="K181">
            <v>0</v>
          </cell>
          <cell r="L181">
            <v>0</v>
          </cell>
          <cell r="M181">
            <v>0</v>
          </cell>
        </row>
        <row r="182">
          <cell r="D182">
            <v>8</v>
          </cell>
          <cell r="E182" t="str">
            <v>所有者权益变动表</v>
          </cell>
          <cell r="F182">
            <v>0</v>
          </cell>
          <cell r="G182">
            <v>0</v>
          </cell>
          <cell r="H182">
            <v>0</v>
          </cell>
          <cell r="I182">
            <v>0</v>
          </cell>
          <cell r="J182">
            <v>0</v>
          </cell>
          <cell r="K182">
            <v>0</v>
          </cell>
          <cell r="L182">
            <v>0</v>
          </cell>
          <cell r="M182">
            <v>0</v>
          </cell>
        </row>
        <row r="183">
          <cell r="D183">
            <v>8000</v>
          </cell>
          <cell r="E183" t="str">
            <v>所有者权益增减变动</v>
          </cell>
          <cell r="F183">
            <v>0</v>
          </cell>
          <cell r="G183">
            <v>0</v>
          </cell>
          <cell r="H183">
            <v>0</v>
          </cell>
          <cell r="I183">
            <v>0</v>
          </cell>
          <cell r="J183">
            <v>0</v>
          </cell>
          <cell r="K183">
            <v>0</v>
          </cell>
          <cell r="L183">
            <v>0</v>
          </cell>
          <cell r="M183">
            <v>0</v>
          </cell>
        </row>
        <row r="184">
          <cell r="D184">
            <v>8001</v>
          </cell>
          <cell r="E184" t="str">
            <v>所有者权益_上年年末余额</v>
          </cell>
          <cell r="F184">
            <v>97664607.299999997</v>
          </cell>
          <cell r="G184">
            <v>0</v>
          </cell>
          <cell r="H184">
            <v>0</v>
          </cell>
          <cell r="I184">
            <v>97664607.299999997</v>
          </cell>
          <cell r="J184">
            <v>81000910.840000004</v>
          </cell>
          <cell r="K184">
            <v>0</v>
          </cell>
          <cell r="L184">
            <v>0</v>
          </cell>
          <cell r="M184">
            <v>81000910.840000004</v>
          </cell>
        </row>
        <row r="185">
          <cell r="D185">
            <v>8002</v>
          </cell>
          <cell r="E185" t="str">
            <v>所有者权益_会计政策变更调整上年年末余额</v>
          </cell>
          <cell r="F185">
            <v>0</v>
          </cell>
          <cell r="G185">
            <v>0</v>
          </cell>
          <cell r="H185">
            <v>0</v>
          </cell>
          <cell r="I185">
            <v>0</v>
          </cell>
          <cell r="J185">
            <v>0</v>
          </cell>
          <cell r="K185">
            <v>0</v>
          </cell>
          <cell r="L185">
            <v>0</v>
          </cell>
          <cell r="M185">
            <v>0</v>
          </cell>
        </row>
        <row r="186">
          <cell r="D186">
            <v>8003</v>
          </cell>
          <cell r="E186" t="str">
            <v>所有者权益_前期差错更正调整上年年末余额</v>
          </cell>
          <cell r="F186">
            <v>0</v>
          </cell>
          <cell r="G186">
            <v>0</v>
          </cell>
          <cell r="H186">
            <v>0</v>
          </cell>
          <cell r="I186">
            <v>0</v>
          </cell>
          <cell r="J186">
            <v>0</v>
          </cell>
          <cell r="K186">
            <v>0</v>
          </cell>
          <cell r="L186">
            <v>0</v>
          </cell>
          <cell r="M186">
            <v>0</v>
          </cell>
        </row>
        <row r="187">
          <cell r="D187">
            <v>8004</v>
          </cell>
          <cell r="E187" t="str">
            <v>所有者权益_同一控制下企业合并调整上年年末余额</v>
          </cell>
          <cell r="F187">
            <v>0</v>
          </cell>
          <cell r="G187">
            <v>0</v>
          </cell>
          <cell r="H187">
            <v>0</v>
          </cell>
          <cell r="I187">
            <v>0</v>
          </cell>
          <cell r="J187">
            <v>0</v>
          </cell>
          <cell r="K187">
            <v>0</v>
          </cell>
          <cell r="L187">
            <v>0</v>
          </cell>
          <cell r="M187">
            <v>0</v>
          </cell>
        </row>
        <row r="188">
          <cell r="D188">
            <v>8009</v>
          </cell>
          <cell r="E188" t="str">
            <v>所有者权益_其他原因调整上年年末余额</v>
          </cell>
          <cell r="F188">
            <v>0</v>
          </cell>
          <cell r="G188">
            <v>0</v>
          </cell>
          <cell r="H188">
            <v>0</v>
          </cell>
          <cell r="I188">
            <v>0</v>
          </cell>
          <cell r="J188">
            <v>0</v>
          </cell>
          <cell r="K188">
            <v>0</v>
          </cell>
          <cell r="L188">
            <v>0</v>
          </cell>
          <cell r="M188">
            <v>0</v>
          </cell>
        </row>
        <row r="189">
          <cell r="D189">
            <v>8010</v>
          </cell>
          <cell r="E189" t="str">
            <v>所有者权益_本年年初余额</v>
          </cell>
          <cell r="F189">
            <v>97664607.299999997</v>
          </cell>
          <cell r="G189">
            <v>0</v>
          </cell>
          <cell r="H189">
            <v>0</v>
          </cell>
          <cell r="I189">
            <v>97664607.299999997</v>
          </cell>
          <cell r="J189">
            <v>81000910.840000004</v>
          </cell>
          <cell r="K189">
            <v>0</v>
          </cell>
          <cell r="L189">
            <v>0</v>
          </cell>
          <cell r="M189">
            <v>81000910.840000004</v>
          </cell>
        </row>
        <row r="190">
          <cell r="D190">
            <v>8090</v>
          </cell>
          <cell r="E190" t="str">
            <v>所有者权益_本期增减变动金额</v>
          </cell>
          <cell r="F190">
            <v>32204101.010000002</v>
          </cell>
          <cell r="G190">
            <v>568894.69999999995</v>
          </cell>
          <cell r="H190">
            <v>451319.73</v>
          </cell>
          <cell r="I190">
            <v>32086526.039999999</v>
          </cell>
          <cell r="J190">
            <v>16663696.460000001</v>
          </cell>
          <cell r="K190">
            <v>0</v>
          </cell>
          <cell r="L190">
            <v>0</v>
          </cell>
          <cell r="M190">
            <v>16663696.460000001</v>
          </cell>
        </row>
        <row r="191">
          <cell r="D191">
            <v>8021</v>
          </cell>
          <cell r="E191" t="str">
            <v>所有者权益_净利润增加权益</v>
          </cell>
          <cell r="F191">
            <v>32204101.010000002</v>
          </cell>
          <cell r="G191">
            <v>568894.69999999995</v>
          </cell>
          <cell r="H191">
            <v>451319.73</v>
          </cell>
          <cell r="I191">
            <v>32086526.039999999</v>
          </cell>
          <cell r="J191">
            <v>26377964.25</v>
          </cell>
          <cell r="K191">
            <v>0</v>
          </cell>
          <cell r="L191">
            <v>0</v>
          </cell>
          <cell r="M191">
            <v>26377964.25</v>
          </cell>
        </row>
        <row r="192">
          <cell r="D192">
            <v>8030</v>
          </cell>
          <cell r="E192" t="str">
            <v>所有者权益_其他综合收益增加权益</v>
          </cell>
          <cell r="F192">
            <v>0</v>
          </cell>
          <cell r="G192">
            <v>0</v>
          </cell>
          <cell r="H192">
            <v>0</v>
          </cell>
          <cell r="I192">
            <v>0</v>
          </cell>
          <cell r="J192">
            <v>0</v>
          </cell>
          <cell r="K192">
            <v>0</v>
          </cell>
          <cell r="L192">
            <v>0</v>
          </cell>
          <cell r="M192">
            <v>0</v>
          </cell>
        </row>
        <row r="193">
          <cell r="D193">
            <v>8040</v>
          </cell>
          <cell r="E193" t="str">
            <v>所有者权益_综合收益总额增加权益</v>
          </cell>
          <cell r="F193">
            <v>32204101.010000002</v>
          </cell>
          <cell r="G193">
            <v>568894.69999999995</v>
          </cell>
          <cell r="H193">
            <v>451319.73</v>
          </cell>
          <cell r="I193">
            <v>32086526.039999999</v>
          </cell>
          <cell r="J193">
            <v>26377964.25</v>
          </cell>
          <cell r="K193">
            <v>0</v>
          </cell>
          <cell r="L193">
            <v>0</v>
          </cell>
          <cell r="M193">
            <v>26377964.25</v>
          </cell>
        </row>
        <row r="194">
          <cell r="D194">
            <v>8050</v>
          </cell>
          <cell r="E194" t="str">
            <v>所有者权益_所有者投入和减少资本影响权益</v>
          </cell>
          <cell r="F194">
            <v>0</v>
          </cell>
          <cell r="G194">
            <v>0</v>
          </cell>
          <cell r="H194">
            <v>0</v>
          </cell>
          <cell r="I194">
            <v>0</v>
          </cell>
          <cell r="J194">
            <v>0</v>
          </cell>
          <cell r="K194">
            <v>0</v>
          </cell>
          <cell r="L194">
            <v>0</v>
          </cell>
          <cell r="M194">
            <v>0</v>
          </cell>
        </row>
        <row r="195">
          <cell r="D195">
            <v>8051</v>
          </cell>
          <cell r="E195" t="str">
            <v>所有者权益_所有者投入资本增加权益</v>
          </cell>
          <cell r="F195">
            <v>0</v>
          </cell>
          <cell r="G195">
            <v>0</v>
          </cell>
          <cell r="H195">
            <v>0</v>
          </cell>
          <cell r="I195">
            <v>0</v>
          </cell>
          <cell r="J195">
            <v>0</v>
          </cell>
          <cell r="K195">
            <v>0</v>
          </cell>
          <cell r="L195">
            <v>0</v>
          </cell>
          <cell r="M195">
            <v>0</v>
          </cell>
        </row>
        <row r="196">
          <cell r="D196">
            <v>8053</v>
          </cell>
          <cell r="E196" t="str">
            <v>所有者权益_其他权益工具持有者投入资本</v>
          </cell>
          <cell r="F196">
            <v>0</v>
          </cell>
          <cell r="G196">
            <v>0</v>
          </cell>
          <cell r="H196">
            <v>0</v>
          </cell>
          <cell r="I196">
            <v>0</v>
          </cell>
          <cell r="J196">
            <v>0</v>
          </cell>
          <cell r="K196">
            <v>0</v>
          </cell>
          <cell r="L196">
            <v>0</v>
          </cell>
          <cell r="M196">
            <v>0</v>
          </cell>
        </row>
        <row r="197">
          <cell r="D197">
            <v>8052</v>
          </cell>
          <cell r="E197" t="str">
            <v>所有者权益_股份支付计入所有者权益的金额</v>
          </cell>
          <cell r="F197">
            <v>0</v>
          </cell>
          <cell r="G197">
            <v>0</v>
          </cell>
          <cell r="H197">
            <v>0</v>
          </cell>
          <cell r="I197">
            <v>0</v>
          </cell>
          <cell r="J197">
            <v>0</v>
          </cell>
          <cell r="K197">
            <v>0</v>
          </cell>
          <cell r="L197">
            <v>0</v>
          </cell>
          <cell r="M197">
            <v>0</v>
          </cell>
        </row>
        <row r="198">
          <cell r="D198">
            <v>8056</v>
          </cell>
          <cell r="E198" t="str">
            <v>所有者权益_所有者其他投入和减少资本</v>
          </cell>
          <cell r="F198">
            <v>0</v>
          </cell>
          <cell r="G198">
            <v>0</v>
          </cell>
          <cell r="H198">
            <v>0</v>
          </cell>
          <cell r="I198">
            <v>0</v>
          </cell>
          <cell r="J198">
            <v>0</v>
          </cell>
          <cell r="K198">
            <v>0</v>
          </cell>
          <cell r="L198">
            <v>0</v>
          </cell>
          <cell r="M198">
            <v>0</v>
          </cell>
        </row>
        <row r="199">
          <cell r="D199">
            <v>8060</v>
          </cell>
          <cell r="E199" t="str">
            <v>所有者权益_利润分配影响权益</v>
          </cell>
          <cell r="F199">
            <v>0</v>
          </cell>
          <cell r="G199">
            <v>0</v>
          </cell>
          <cell r="H199">
            <v>0</v>
          </cell>
          <cell r="I199">
            <v>0</v>
          </cell>
          <cell r="J199">
            <v>-9714267.7899999991</v>
          </cell>
          <cell r="K199">
            <v>0</v>
          </cell>
          <cell r="L199">
            <v>0</v>
          </cell>
          <cell r="M199">
            <v>-9714267.7899999991</v>
          </cell>
        </row>
        <row r="200">
          <cell r="D200">
            <v>8061</v>
          </cell>
          <cell r="E200" t="str">
            <v>所有者权益_提取盈余公积影响权益</v>
          </cell>
          <cell r="F200">
            <v>0</v>
          </cell>
          <cell r="G200">
            <v>0</v>
          </cell>
          <cell r="H200">
            <v>0</v>
          </cell>
          <cell r="I200">
            <v>0</v>
          </cell>
          <cell r="J200">
            <v>0</v>
          </cell>
          <cell r="K200">
            <v>0</v>
          </cell>
          <cell r="L200">
            <v>0</v>
          </cell>
          <cell r="M200">
            <v>0</v>
          </cell>
        </row>
        <row r="201">
          <cell r="D201">
            <v>8062</v>
          </cell>
          <cell r="E201" t="str">
            <v>所有者权益_提取一般风险准备影响权益</v>
          </cell>
          <cell r="F201">
            <v>0</v>
          </cell>
          <cell r="G201">
            <v>0</v>
          </cell>
          <cell r="H201">
            <v>0</v>
          </cell>
          <cell r="I201">
            <v>0</v>
          </cell>
          <cell r="J201">
            <v>0</v>
          </cell>
          <cell r="K201">
            <v>0</v>
          </cell>
          <cell r="L201">
            <v>0</v>
          </cell>
          <cell r="M201">
            <v>0</v>
          </cell>
        </row>
        <row r="202">
          <cell r="D202">
            <v>8063</v>
          </cell>
          <cell r="E202" t="str">
            <v>所有者权益_对所有者的分配影响权益</v>
          </cell>
          <cell r="F202">
            <v>0</v>
          </cell>
          <cell r="G202">
            <v>0</v>
          </cell>
          <cell r="H202">
            <v>0</v>
          </cell>
          <cell r="I202">
            <v>0</v>
          </cell>
          <cell r="J202">
            <v>-9714267.7899999991</v>
          </cell>
          <cell r="K202">
            <v>0</v>
          </cell>
          <cell r="L202">
            <v>0</v>
          </cell>
          <cell r="M202">
            <v>-9714267.7899999991</v>
          </cell>
        </row>
        <row r="203">
          <cell r="D203">
            <v>8066</v>
          </cell>
          <cell r="E203" t="str">
            <v>所有者权益_其他利润分配影响权益</v>
          </cell>
          <cell r="F203">
            <v>0</v>
          </cell>
          <cell r="G203">
            <v>0</v>
          </cell>
          <cell r="H203">
            <v>0</v>
          </cell>
          <cell r="I203">
            <v>0</v>
          </cell>
          <cell r="J203">
            <v>0</v>
          </cell>
          <cell r="K203">
            <v>0</v>
          </cell>
          <cell r="L203">
            <v>0</v>
          </cell>
          <cell r="M203">
            <v>0</v>
          </cell>
        </row>
        <row r="204">
          <cell r="D204">
            <v>8070</v>
          </cell>
          <cell r="E204" t="str">
            <v>所有者权益_所有者权益内部结转</v>
          </cell>
          <cell r="F204">
            <v>0</v>
          </cell>
          <cell r="G204">
            <v>0</v>
          </cell>
          <cell r="H204">
            <v>0</v>
          </cell>
          <cell r="I204">
            <v>0</v>
          </cell>
          <cell r="J204">
            <v>0</v>
          </cell>
          <cell r="K204">
            <v>0</v>
          </cell>
          <cell r="L204">
            <v>0</v>
          </cell>
          <cell r="M204">
            <v>0</v>
          </cell>
        </row>
        <row r="205">
          <cell r="D205">
            <v>8071</v>
          </cell>
          <cell r="E205" t="str">
            <v>所有者权益_资本公积转增资本影响权益</v>
          </cell>
          <cell r="F205">
            <v>0</v>
          </cell>
          <cell r="G205">
            <v>0</v>
          </cell>
          <cell r="H205">
            <v>0</v>
          </cell>
          <cell r="I205">
            <v>0</v>
          </cell>
          <cell r="J205">
            <v>0</v>
          </cell>
          <cell r="K205">
            <v>0</v>
          </cell>
          <cell r="L205">
            <v>0</v>
          </cell>
          <cell r="M205">
            <v>0</v>
          </cell>
        </row>
        <row r="206">
          <cell r="D206">
            <v>8072</v>
          </cell>
          <cell r="E206" t="str">
            <v>所有者权益_盈余公积转增资本影响权益</v>
          </cell>
          <cell r="F206">
            <v>0</v>
          </cell>
          <cell r="G206">
            <v>0</v>
          </cell>
          <cell r="H206">
            <v>0</v>
          </cell>
          <cell r="I206">
            <v>0</v>
          </cell>
          <cell r="J206">
            <v>0</v>
          </cell>
          <cell r="K206">
            <v>0</v>
          </cell>
          <cell r="L206">
            <v>0</v>
          </cell>
          <cell r="M206">
            <v>0</v>
          </cell>
        </row>
        <row r="207">
          <cell r="D207">
            <v>8073</v>
          </cell>
          <cell r="E207" t="str">
            <v>所有者权益_盈余公积弥补亏损影响权益</v>
          </cell>
          <cell r="F207">
            <v>0</v>
          </cell>
          <cell r="G207">
            <v>0</v>
          </cell>
          <cell r="H207">
            <v>0</v>
          </cell>
          <cell r="I207">
            <v>0</v>
          </cell>
          <cell r="J207">
            <v>0</v>
          </cell>
          <cell r="K207">
            <v>0</v>
          </cell>
          <cell r="L207">
            <v>0</v>
          </cell>
          <cell r="M207">
            <v>0</v>
          </cell>
        </row>
        <row r="208">
          <cell r="D208">
            <v>8075</v>
          </cell>
          <cell r="E208" t="str">
            <v>所有者权益_设定受益计划变动额结转留存收益</v>
          </cell>
          <cell r="F208">
            <v>0</v>
          </cell>
          <cell r="G208">
            <v>0</v>
          </cell>
          <cell r="H208">
            <v>0</v>
          </cell>
          <cell r="I208">
            <v>0</v>
          </cell>
          <cell r="J208">
            <v>0</v>
          </cell>
          <cell r="K208">
            <v>0</v>
          </cell>
          <cell r="L208">
            <v>0</v>
          </cell>
          <cell r="M208">
            <v>0</v>
          </cell>
        </row>
        <row r="209">
          <cell r="D209">
            <v>8076</v>
          </cell>
          <cell r="E209" t="str">
            <v>所有者权益_所有者权益其他内部结转</v>
          </cell>
          <cell r="F209">
            <v>0</v>
          </cell>
          <cell r="G209">
            <v>0</v>
          </cell>
          <cell r="H209">
            <v>0</v>
          </cell>
          <cell r="I209">
            <v>0</v>
          </cell>
          <cell r="J209">
            <v>0</v>
          </cell>
          <cell r="K209">
            <v>0</v>
          </cell>
          <cell r="L209">
            <v>0</v>
          </cell>
          <cell r="M209">
            <v>0</v>
          </cell>
        </row>
        <row r="210">
          <cell r="D210">
            <v>8080</v>
          </cell>
          <cell r="E210" t="str">
            <v>所有者权益_专项储备影响权益</v>
          </cell>
          <cell r="F210">
            <v>0</v>
          </cell>
          <cell r="G210">
            <v>0</v>
          </cell>
          <cell r="H210">
            <v>0</v>
          </cell>
          <cell r="I210">
            <v>0</v>
          </cell>
          <cell r="J210">
            <v>0</v>
          </cell>
          <cell r="K210">
            <v>0</v>
          </cell>
          <cell r="L210">
            <v>0</v>
          </cell>
          <cell r="M210">
            <v>0</v>
          </cell>
        </row>
        <row r="211">
          <cell r="D211">
            <v>8081</v>
          </cell>
          <cell r="E211" t="str">
            <v>所有者权益_专项储备本期提取</v>
          </cell>
          <cell r="F211">
            <v>0</v>
          </cell>
          <cell r="G211">
            <v>0</v>
          </cell>
          <cell r="H211">
            <v>0</v>
          </cell>
          <cell r="I211">
            <v>0</v>
          </cell>
          <cell r="J211">
            <v>0</v>
          </cell>
          <cell r="K211">
            <v>0</v>
          </cell>
          <cell r="L211">
            <v>0</v>
          </cell>
          <cell r="M211">
            <v>0</v>
          </cell>
        </row>
        <row r="212">
          <cell r="D212">
            <v>8082</v>
          </cell>
          <cell r="E212" t="str">
            <v>所有者权益_专项储备本期使用</v>
          </cell>
          <cell r="F212">
            <v>0</v>
          </cell>
          <cell r="G212">
            <v>0</v>
          </cell>
          <cell r="H212">
            <v>0</v>
          </cell>
          <cell r="I212">
            <v>0</v>
          </cell>
          <cell r="J212">
            <v>0</v>
          </cell>
          <cell r="K212">
            <v>0</v>
          </cell>
          <cell r="L212">
            <v>0</v>
          </cell>
          <cell r="M212">
            <v>0</v>
          </cell>
        </row>
        <row r="213">
          <cell r="D213">
            <v>8096</v>
          </cell>
          <cell r="E213" t="str">
            <v>所有者权益_本期其他增减变动</v>
          </cell>
          <cell r="F213">
            <v>0</v>
          </cell>
          <cell r="G213">
            <v>0</v>
          </cell>
          <cell r="H213">
            <v>0</v>
          </cell>
          <cell r="I213">
            <v>0</v>
          </cell>
          <cell r="J213">
            <v>0</v>
          </cell>
          <cell r="K213">
            <v>0</v>
          </cell>
          <cell r="L213">
            <v>0</v>
          </cell>
          <cell r="M213">
            <v>0</v>
          </cell>
        </row>
        <row r="214">
          <cell r="D214">
            <v>8099</v>
          </cell>
          <cell r="E214" t="str">
            <v>所有者权益_本期期末余额</v>
          </cell>
          <cell r="F214">
            <v>129868708.31</v>
          </cell>
          <cell r="G214">
            <v>568894.69999999995</v>
          </cell>
          <cell r="H214">
            <v>451319.73</v>
          </cell>
          <cell r="I214">
            <v>129751133.34</v>
          </cell>
          <cell r="J214">
            <v>97664607.299999997</v>
          </cell>
          <cell r="K214">
            <v>0</v>
          </cell>
          <cell r="L214">
            <v>0</v>
          </cell>
          <cell r="M214">
            <v>97664607.299999997</v>
          </cell>
        </row>
        <row r="215">
          <cell r="D215">
            <v>8100</v>
          </cell>
          <cell r="E215" t="str">
            <v>实收资本增减变动</v>
          </cell>
          <cell r="F215">
            <v>0</v>
          </cell>
          <cell r="G215">
            <v>0</v>
          </cell>
          <cell r="H215">
            <v>0</v>
          </cell>
          <cell r="I215">
            <v>0</v>
          </cell>
          <cell r="J215">
            <v>0</v>
          </cell>
          <cell r="K215">
            <v>0</v>
          </cell>
          <cell r="L215">
            <v>0</v>
          </cell>
          <cell r="M215">
            <v>0</v>
          </cell>
        </row>
        <row r="216">
          <cell r="D216">
            <v>8101</v>
          </cell>
          <cell r="E216" t="str">
            <v>实收资本_上年年末余额</v>
          </cell>
          <cell r="F216">
            <v>20000000</v>
          </cell>
          <cell r="G216">
            <v>0</v>
          </cell>
          <cell r="H216">
            <v>0</v>
          </cell>
          <cell r="I216">
            <v>20000000</v>
          </cell>
          <cell r="J216">
            <v>20000000</v>
          </cell>
          <cell r="K216">
            <v>0</v>
          </cell>
          <cell r="L216">
            <v>0</v>
          </cell>
          <cell r="M216">
            <v>20000000</v>
          </cell>
        </row>
        <row r="217">
          <cell r="D217">
            <v>8102</v>
          </cell>
          <cell r="E217" t="str">
            <v>实收资本_会计政策变更调整上年年末余额</v>
          </cell>
          <cell r="F217">
            <v>0</v>
          </cell>
          <cell r="G217">
            <v>0</v>
          </cell>
          <cell r="H217">
            <v>0</v>
          </cell>
          <cell r="I217">
            <v>0</v>
          </cell>
          <cell r="J217">
            <v>0</v>
          </cell>
          <cell r="K217">
            <v>0</v>
          </cell>
          <cell r="L217">
            <v>0</v>
          </cell>
          <cell r="M217">
            <v>0</v>
          </cell>
        </row>
        <row r="218">
          <cell r="D218">
            <v>8103</v>
          </cell>
          <cell r="E218" t="str">
            <v>实收资本_前期差错更正调整上年年末余额</v>
          </cell>
          <cell r="F218">
            <v>0</v>
          </cell>
          <cell r="G218">
            <v>0</v>
          </cell>
          <cell r="H218">
            <v>0</v>
          </cell>
          <cell r="I218">
            <v>0</v>
          </cell>
          <cell r="J218">
            <v>0</v>
          </cell>
          <cell r="K218">
            <v>0</v>
          </cell>
          <cell r="L218">
            <v>0</v>
          </cell>
          <cell r="M218">
            <v>0</v>
          </cell>
        </row>
        <row r="219">
          <cell r="D219">
            <v>8104</v>
          </cell>
          <cell r="E219" t="str">
            <v>实收资本_同一控制下企业合并调整上年年末余额</v>
          </cell>
          <cell r="F219">
            <v>0</v>
          </cell>
          <cell r="G219">
            <v>0</v>
          </cell>
          <cell r="H219">
            <v>0</v>
          </cell>
          <cell r="I219">
            <v>0</v>
          </cell>
          <cell r="J219">
            <v>0</v>
          </cell>
          <cell r="K219">
            <v>0</v>
          </cell>
          <cell r="L219">
            <v>0</v>
          </cell>
          <cell r="M219">
            <v>0</v>
          </cell>
        </row>
        <row r="220">
          <cell r="D220">
            <v>8109</v>
          </cell>
          <cell r="E220" t="str">
            <v>实收资本_其他原因调整上年年末余额</v>
          </cell>
          <cell r="F220">
            <v>0</v>
          </cell>
          <cell r="G220">
            <v>0</v>
          </cell>
          <cell r="H220">
            <v>0</v>
          </cell>
          <cell r="I220">
            <v>0</v>
          </cell>
          <cell r="J220">
            <v>0</v>
          </cell>
          <cell r="K220">
            <v>0</v>
          </cell>
          <cell r="L220">
            <v>0</v>
          </cell>
          <cell r="M220">
            <v>0</v>
          </cell>
        </row>
        <row r="221">
          <cell r="D221">
            <v>8110</v>
          </cell>
          <cell r="E221" t="str">
            <v>实收资本_本年年初余额</v>
          </cell>
          <cell r="F221">
            <v>20000000</v>
          </cell>
          <cell r="G221">
            <v>0</v>
          </cell>
          <cell r="H221">
            <v>0</v>
          </cell>
          <cell r="I221">
            <v>20000000</v>
          </cell>
          <cell r="J221">
            <v>20000000</v>
          </cell>
          <cell r="K221">
            <v>0</v>
          </cell>
          <cell r="L221">
            <v>0</v>
          </cell>
          <cell r="M221">
            <v>20000000</v>
          </cell>
        </row>
        <row r="222">
          <cell r="D222">
            <v>8190</v>
          </cell>
          <cell r="E222" t="str">
            <v>实收资本_本期增减变动金额</v>
          </cell>
          <cell r="F222">
            <v>0</v>
          </cell>
          <cell r="G222">
            <v>0</v>
          </cell>
          <cell r="H222">
            <v>0</v>
          </cell>
          <cell r="I222">
            <v>0</v>
          </cell>
          <cell r="J222">
            <v>0</v>
          </cell>
          <cell r="K222">
            <v>0</v>
          </cell>
          <cell r="L222">
            <v>0</v>
          </cell>
          <cell r="M222">
            <v>0</v>
          </cell>
        </row>
        <row r="223">
          <cell r="D223">
            <v>8121</v>
          </cell>
          <cell r="E223" t="str">
            <v>实收资本_净利润增加权益</v>
          </cell>
          <cell r="F223">
            <v>0</v>
          </cell>
          <cell r="G223">
            <v>0</v>
          </cell>
          <cell r="H223">
            <v>0</v>
          </cell>
          <cell r="I223">
            <v>0</v>
          </cell>
          <cell r="J223">
            <v>0</v>
          </cell>
          <cell r="K223">
            <v>0</v>
          </cell>
          <cell r="L223">
            <v>0</v>
          </cell>
          <cell r="M223">
            <v>0</v>
          </cell>
        </row>
        <row r="224">
          <cell r="D224">
            <v>8130</v>
          </cell>
          <cell r="E224" t="str">
            <v>实收资本_其他综合收益增加权益</v>
          </cell>
          <cell r="F224">
            <v>0</v>
          </cell>
          <cell r="G224">
            <v>0</v>
          </cell>
          <cell r="H224">
            <v>0</v>
          </cell>
          <cell r="I224">
            <v>0</v>
          </cell>
          <cell r="J224">
            <v>0</v>
          </cell>
          <cell r="K224">
            <v>0</v>
          </cell>
          <cell r="L224">
            <v>0</v>
          </cell>
          <cell r="M224">
            <v>0</v>
          </cell>
        </row>
        <row r="225">
          <cell r="D225">
            <v>8140</v>
          </cell>
          <cell r="E225" t="str">
            <v>实收资本_综合收益总额增加权益</v>
          </cell>
          <cell r="F225">
            <v>0</v>
          </cell>
          <cell r="G225">
            <v>0</v>
          </cell>
          <cell r="H225">
            <v>0</v>
          </cell>
          <cell r="I225">
            <v>0</v>
          </cell>
          <cell r="J225">
            <v>0</v>
          </cell>
          <cell r="K225">
            <v>0</v>
          </cell>
          <cell r="L225">
            <v>0</v>
          </cell>
          <cell r="M225">
            <v>0</v>
          </cell>
        </row>
        <row r="226">
          <cell r="D226">
            <v>8150</v>
          </cell>
          <cell r="E226" t="str">
            <v>实收资本_所有者投入和减少资本影响权益</v>
          </cell>
          <cell r="F226">
            <v>0</v>
          </cell>
          <cell r="G226">
            <v>0</v>
          </cell>
          <cell r="H226">
            <v>0</v>
          </cell>
          <cell r="I226">
            <v>0</v>
          </cell>
          <cell r="J226">
            <v>0</v>
          </cell>
          <cell r="K226">
            <v>0</v>
          </cell>
          <cell r="L226">
            <v>0</v>
          </cell>
          <cell r="M226">
            <v>0</v>
          </cell>
        </row>
        <row r="227">
          <cell r="D227">
            <v>8151</v>
          </cell>
          <cell r="E227" t="str">
            <v>实收资本_所有者投入资本</v>
          </cell>
          <cell r="F227">
            <v>0</v>
          </cell>
          <cell r="G227">
            <v>0</v>
          </cell>
          <cell r="H227">
            <v>0</v>
          </cell>
          <cell r="I227">
            <v>0</v>
          </cell>
          <cell r="J227">
            <v>0</v>
          </cell>
          <cell r="K227">
            <v>0</v>
          </cell>
          <cell r="L227">
            <v>0</v>
          </cell>
          <cell r="M227">
            <v>0</v>
          </cell>
        </row>
        <row r="228">
          <cell r="D228">
            <v>8153</v>
          </cell>
          <cell r="E228" t="str">
            <v>实收资本_其他权益工具持有者投入资本</v>
          </cell>
          <cell r="F228">
            <v>0</v>
          </cell>
          <cell r="G228">
            <v>0</v>
          </cell>
          <cell r="H228">
            <v>0</v>
          </cell>
          <cell r="I228">
            <v>0</v>
          </cell>
          <cell r="J228">
            <v>0</v>
          </cell>
          <cell r="K228">
            <v>0</v>
          </cell>
          <cell r="L228">
            <v>0</v>
          </cell>
          <cell r="M228">
            <v>0</v>
          </cell>
        </row>
        <row r="229">
          <cell r="D229">
            <v>8152</v>
          </cell>
          <cell r="E229" t="str">
            <v>实收资本_股份支付计入所有者权益的金额</v>
          </cell>
          <cell r="F229">
            <v>0</v>
          </cell>
          <cell r="G229">
            <v>0</v>
          </cell>
          <cell r="H229">
            <v>0</v>
          </cell>
          <cell r="I229">
            <v>0</v>
          </cell>
          <cell r="J229">
            <v>0</v>
          </cell>
          <cell r="K229">
            <v>0</v>
          </cell>
          <cell r="L229">
            <v>0</v>
          </cell>
          <cell r="M229">
            <v>0</v>
          </cell>
        </row>
        <row r="230">
          <cell r="D230">
            <v>8156</v>
          </cell>
          <cell r="E230" t="str">
            <v>实收资本_所有者其他投入和减少资本</v>
          </cell>
          <cell r="F230">
            <v>0</v>
          </cell>
          <cell r="G230">
            <v>0</v>
          </cell>
          <cell r="H230">
            <v>0</v>
          </cell>
          <cell r="I230">
            <v>0</v>
          </cell>
          <cell r="J230">
            <v>0</v>
          </cell>
          <cell r="K230">
            <v>0</v>
          </cell>
          <cell r="L230">
            <v>0</v>
          </cell>
          <cell r="M230">
            <v>0</v>
          </cell>
        </row>
        <row r="231">
          <cell r="D231">
            <v>8160</v>
          </cell>
          <cell r="E231" t="str">
            <v>实收资本_利润分配影响权益</v>
          </cell>
          <cell r="F231">
            <v>0</v>
          </cell>
          <cell r="G231">
            <v>0</v>
          </cell>
          <cell r="H231">
            <v>0</v>
          </cell>
          <cell r="I231">
            <v>0</v>
          </cell>
          <cell r="J231">
            <v>0</v>
          </cell>
          <cell r="K231">
            <v>0</v>
          </cell>
          <cell r="L231">
            <v>0</v>
          </cell>
          <cell r="M231">
            <v>0</v>
          </cell>
        </row>
        <row r="232">
          <cell r="D232">
            <v>8161</v>
          </cell>
          <cell r="E232" t="str">
            <v>实收资本_提取盈余公积影响权益</v>
          </cell>
          <cell r="F232">
            <v>0</v>
          </cell>
          <cell r="G232">
            <v>0</v>
          </cell>
          <cell r="H232">
            <v>0</v>
          </cell>
          <cell r="I232">
            <v>0</v>
          </cell>
          <cell r="J232">
            <v>0</v>
          </cell>
          <cell r="K232">
            <v>0</v>
          </cell>
          <cell r="L232">
            <v>0</v>
          </cell>
          <cell r="M232">
            <v>0</v>
          </cell>
        </row>
        <row r="233">
          <cell r="D233">
            <v>8162</v>
          </cell>
          <cell r="E233" t="str">
            <v>实收资本_提取一般风险准备影响权益</v>
          </cell>
          <cell r="F233">
            <v>0</v>
          </cell>
          <cell r="G233">
            <v>0</v>
          </cell>
          <cell r="H233">
            <v>0</v>
          </cell>
          <cell r="I233">
            <v>0</v>
          </cell>
          <cell r="J233">
            <v>0</v>
          </cell>
          <cell r="K233">
            <v>0</v>
          </cell>
          <cell r="L233">
            <v>0</v>
          </cell>
          <cell r="M233">
            <v>0</v>
          </cell>
        </row>
        <row r="234">
          <cell r="D234">
            <v>8163</v>
          </cell>
          <cell r="E234" t="str">
            <v>实收资本_对所有者的分配影响权益</v>
          </cell>
          <cell r="F234">
            <v>0</v>
          </cell>
          <cell r="G234">
            <v>0</v>
          </cell>
          <cell r="H234">
            <v>0</v>
          </cell>
          <cell r="I234">
            <v>0</v>
          </cell>
          <cell r="J234">
            <v>0</v>
          </cell>
          <cell r="K234">
            <v>0</v>
          </cell>
          <cell r="L234">
            <v>0</v>
          </cell>
          <cell r="M234">
            <v>0</v>
          </cell>
        </row>
        <row r="235">
          <cell r="D235">
            <v>8166</v>
          </cell>
          <cell r="E235" t="str">
            <v>实收资本_其他利润分配影响权益</v>
          </cell>
          <cell r="F235">
            <v>0</v>
          </cell>
          <cell r="G235">
            <v>0</v>
          </cell>
          <cell r="H235">
            <v>0</v>
          </cell>
          <cell r="I235">
            <v>0</v>
          </cell>
          <cell r="J235">
            <v>0</v>
          </cell>
          <cell r="K235">
            <v>0</v>
          </cell>
          <cell r="L235">
            <v>0</v>
          </cell>
          <cell r="M235">
            <v>0</v>
          </cell>
        </row>
        <row r="236">
          <cell r="D236">
            <v>8170</v>
          </cell>
          <cell r="E236" t="str">
            <v>实收资本_所有者权益内部结转</v>
          </cell>
          <cell r="F236">
            <v>0</v>
          </cell>
          <cell r="G236">
            <v>0</v>
          </cell>
          <cell r="H236">
            <v>0</v>
          </cell>
          <cell r="I236">
            <v>0</v>
          </cell>
          <cell r="J236">
            <v>0</v>
          </cell>
          <cell r="K236">
            <v>0</v>
          </cell>
          <cell r="L236">
            <v>0</v>
          </cell>
          <cell r="M236">
            <v>0</v>
          </cell>
        </row>
        <row r="237">
          <cell r="D237">
            <v>8171</v>
          </cell>
          <cell r="E237" t="str">
            <v>实收资本_资本公积转增</v>
          </cell>
          <cell r="F237">
            <v>0</v>
          </cell>
          <cell r="G237">
            <v>0</v>
          </cell>
          <cell r="H237">
            <v>0</v>
          </cell>
          <cell r="I237">
            <v>0</v>
          </cell>
          <cell r="J237">
            <v>0</v>
          </cell>
          <cell r="K237">
            <v>0</v>
          </cell>
          <cell r="L237">
            <v>0</v>
          </cell>
          <cell r="M237">
            <v>0</v>
          </cell>
        </row>
        <row r="238">
          <cell r="D238">
            <v>8172</v>
          </cell>
          <cell r="E238" t="str">
            <v>实收资本_盈余公积转增</v>
          </cell>
          <cell r="F238">
            <v>0</v>
          </cell>
          <cell r="G238">
            <v>0</v>
          </cell>
          <cell r="H238">
            <v>0</v>
          </cell>
          <cell r="I238">
            <v>0</v>
          </cell>
          <cell r="J238">
            <v>0</v>
          </cell>
          <cell r="K238">
            <v>0</v>
          </cell>
          <cell r="L238">
            <v>0</v>
          </cell>
          <cell r="M238">
            <v>0</v>
          </cell>
        </row>
        <row r="239">
          <cell r="D239">
            <v>8173</v>
          </cell>
          <cell r="E239" t="str">
            <v>实收资本_盈余公积弥补亏损影响权益</v>
          </cell>
          <cell r="F239">
            <v>0</v>
          </cell>
          <cell r="G239">
            <v>0</v>
          </cell>
          <cell r="H239">
            <v>0</v>
          </cell>
          <cell r="I239">
            <v>0</v>
          </cell>
          <cell r="J239">
            <v>0</v>
          </cell>
          <cell r="K239">
            <v>0</v>
          </cell>
          <cell r="L239">
            <v>0</v>
          </cell>
          <cell r="M239">
            <v>0</v>
          </cell>
        </row>
        <row r="240">
          <cell r="D240">
            <v>8175</v>
          </cell>
          <cell r="E240" t="str">
            <v>实收资本_设定受益计划变动额结转留存收益</v>
          </cell>
          <cell r="F240">
            <v>0</v>
          </cell>
          <cell r="G240">
            <v>0</v>
          </cell>
          <cell r="H240">
            <v>0</v>
          </cell>
          <cell r="I240">
            <v>0</v>
          </cell>
          <cell r="J240">
            <v>0</v>
          </cell>
          <cell r="K240">
            <v>0</v>
          </cell>
          <cell r="L240">
            <v>0</v>
          </cell>
          <cell r="M240">
            <v>0</v>
          </cell>
        </row>
        <row r="241">
          <cell r="D241">
            <v>8176</v>
          </cell>
          <cell r="E241" t="str">
            <v>实收资本_所有者权益其他内部结转</v>
          </cell>
          <cell r="F241">
            <v>0</v>
          </cell>
          <cell r="G241">
            <v>0</v>
          </cell>
          <cell r="H241">
            <v>0</v>
          </cell>
          <cell r="I241">
            <v>0</v>
          </cell>
          <cell r="J241">
            <v>0</v>
          </cell>
          <cell r="K241">
            <v>0</v>
          </cell>
          <cell r="L241">
            <v>0</v>
          </cell>
          <cell r="M241">
            <v>0</v>
          </cell>
        </row>
        <row r="242">
          <cell r="D242">
            <v>8180</v>
          </cell>
          <cell r="E242" t="str">
            <v>实收资本_专项储备影响权益</v>
          </cell>
          <cell r="F242">
            <v>0</v>
          </cell>
          <cell r="G242">
            <v>0</v>
          </cell>
          <cell r="H242">
            <v>0</v>
          </cell>
          <cell r="I242">
            <v>0</v>
          </cell>
          <cell r="J242">
            <v>0</v>
          </cell>
          <cell r="K242">
            <v>0</v>
          </cell>
          <cell r="L242">
            <v>0</v>
          </cell>
          <cell r="M242">
            <v>0</v>
          </cell>
        </row>
        <row r="243">
          <cell r="D243">
            <v>8181</v>
          </cell>
          <cell r="E243" t="str">
            <v>实收资本_专项储备本期提取</v>
          </cell>
          <cell r="F243">
            <v>0</v>
          </cell>
          <cell r="G243">
            <v>0</v>
          </cell>
          <cell r="H243">
            <v>0</v>
          </cell>
          <cell r="I243">
            <v>0</v>
          </cell>
          <cell r="J243">
            <v>0</v>
          </cell>
          <cell r="K243">
            <v>0</v>
          </cell>
          <cell r="L243">
            <v>0</v>
          </cell>
          <cell r="M243">
            <v>0</v>
          </cell>
        </row>
        <row r="244">
          <cell r="D244">
            <v>8182</v>
          </cell>
          <cell r="E244" t="str">
            <v>实收资本_专项储备本期使用</v>
          </cell>
          <cell r="F244">
            <v>0</v>
          </cell>
          <cell r="G244">
            <v>0</v>
          </cell>
          <cell r="H244">
            <v>0</v>
          </cell>
          <cell r="I244">
            <v>0</v>
          </cell>
          <cell r="J244">
            <v>0</v>
          </cell>
          <cell r="K244">
            <v>0</v>
          </cell>
          <cell r="L244">
            <v>0</v>
          </cell>
          <cell r="M244">
            <v>0</v>
          </cell>
        </row>
        <row r="245">
          <cell r="D245">
            <v>8196</v>
          </cell>
          <cell r="E245" t="str">
            <v>实收资本_本期其他增减变动</v>
          </cell>
          <cell r="F245">
            <v>0</v>
          </cell>
          <cell r="G245">
            <v>0</v>
          </cell>
          <cell r="H245">
            <v>0</v>
          </cell>
          <cell r="I245">
            <v>0</v>
          </cell>
          <cell r="J245">
            <v>0</v>
          </cell>
          <cell r="K245">
            <v>0</v>
          </cell>
          <cell r="L245">
            <v>0</v>
          </cell>
          <cell r="M245">
            <v>0</v>
          </cell>
        </row>
        <row r="246">
          <cell r="D246">
            <v>8199</v>
          </cell>
          <cell r="E246" t="str">
            <v>实收资本_本期期末余额</v>
          </cell>
          <cell r="F246">
            <v>20000000</v>
          </cell>
          <cell r="G246">
            <v>0</v>
          </cell>
          <cell r="H246">
            <v>0</v>
          </cell>
          <cell r="I246">
            <v>20000000</v>
          </cell>
          <cell r="J246">
            <v>20000000</v>
          </cell>
          <cell r="K246">
            <v>0</v>
          </cell>
          <cell r="L246">
            <v>0</v>
          </cell>
          <cell r="M246">
            <v>20000000</v>
          </cell>
        </row>
        <row r="247">
          <cell r="D247" t="str">
            <v>8b00</v>
          </cell>
          <cell r="E247" t="str">
            <v>其他权益工具（优先股）增减变动</v>
          </cell>
          <cell r="F247">
            <v>0</v>
          </cell>
          <cell r="G247">
            <v>0</v>
          </cell>
          <cell r="H247">
            <v>0</v>
          </cell>
          <cell r="I247">
            <v>0</v>
          </cell>
          <cell r="J247">
            <v>0</v>
          </cell>
          <cell r="K247">
            <v>0</v>
          </cell>
          <cell r="L247">
            <v>0</v>
          </cell>
          <cell r="M247">
            <v>0</v>
          </cell>
        </row>
        <row r="248">
          <cell r="D248" t="str">
            <v>8b01</v>
          </cell>
          <cell r="E248" t="str">
            <v>其他权益工具（优先股）_上年年末余额</v>
          </cell>
          <cell r="F248">
            <v>0</v>
          </cell>
          <cell r="G248">
            <v>0</v>
          </cell>
          <cell r="H248">
            <v>0</v>
          </cell>
          <cell r="I248">
            <v>0</v>
          </cell>
          <cell r="J248">
            <v>0</v>
          </cell>
          <cell r="K248">
            <v>0</v>
          </cell>
          <cell r="L248">
            <v>0</v>
          </cell>
          <cell r="M248">
            <v>0</v>
          </cell>
        </row>
        <row r="249">
          <cell r="D249" t="str">
            <v>8b02</v>
          </cell>
          <cell r="E249" t="str">
            <v>其他权益工具（优先股）_会计政策变更调整上年年末余额</v>
          </cell>
          <cell r="F249">
            <v>0</v>
          </cell>
          <cell r="G249">
            <v>0</v>
          </cell>
          <cell r="H249">
            <v>0</v>
          </cell>
          <cell r="I249">
            <v>0</v>
          </cell>
          <cell r="J249">
            <v>0</v>
          </cell>
          <cell r="K249">
            <v>0</v>
          </cell>
          <cell r="L249">
            <v>0</v>
          </cell>
          <cell r="M249">
            <v>0</v>
          </cell>
        </row>
        <row r="250">
          <cell r="D250" t="str">
            <v>8b03</v>
          </cell>
          <cell r="E250" t="str">
            <v>其他权益工具（优先股）_前期差错更正调整上年年末余额</v>
          </cell>
          <cell r="F250">
            <v>0</v>
          </cell>
          <cell r="G250">
            <v>0</v>
          </cell>
          <cell r="H250">
            <v>0</v>
          </cell>
          <cell r="I250">
            <v>0</v>
          </cell>
          <cell r="J250">
            <v>0</v>
          </cell>
          <cell r="K250">
            <v>0</v>
          </cell>
          <cell r="L250">
            <v>0</v>
          </cell>
          <cell r="M250">
            <v>0</v>
          </cell>
        </row>
        <row r="251">
          <cell r="D251" t="str">
            <v>8b04</v>
          </cell>
          <cell r="E251" t="str">
            <v>其他权益工具（优先股）_同一控制下企业合并调整上年年末余额</v>
          </cell>
          <cell r="F251">
            <v>0</v>
          </cell>
          <cell r="G251">
            <v>0</v>
          </cell>
          <cell r="H251">
            <v>0</v>
          </cell>
          <cell r="I251">
            <v>0</v>
          </cell>
          <cell r="J251">
            <v>0</v>
          </cell>
          <cell r="K251">
            <v>0</v>
          </cell>
          <cell r="L251">
            <v>0</v>
          </cell>
          <cell r="M251">
            <v>0</v>
          </cell>
        </row>
        <row r="252">
          <cell r="D252" t="str">
            <v>8b09</v>
          </cell>
          <cell r="E252" t="str">
            <v>其他权益工具（优先股）_其他原因调整上年年末余额</v>
          </cell>
          <cell r="F252">
            <v>0</v>
          </cell>
          <cell r="G252">
            <v>0</v>
          </cell>
          <cell r="H252">
            <v>0</v>
          </cell>
          <cell r="I252">
            <v>0</v>
          </cell>
          <cell r="J252">
            <v>0</v>
          </cell>
          <cell r="K252">
            <v>0</v>
          </cell>
          <cell r="L252">
            <v>0</v>
          </cell>
          <cell r="M252">
            <v>0</v>
          </cell>
        </row>
        <row r="253">
          <cell r="D253" t="str">
            <v>8b10</v>
          </cell>
          <cell r="E253" t="str">
            <v>其他权益工具（优先股）_本年年初余额</v>
          </cell>
          <cell r="F253">
            <v>0</v>
          </cell>
          <cell r="G253">
            <v>0</v>
          </cell>
          <cell r="H253">
            <v>0</v>
          </cell>
          <cell r="I253">
            <v>0</v>
          </cell>
          <cell r="J253">
            <v>0</v>
          </cell>
          <cell r="K253">
            <v>0</v>
          </cell>
          <cell r="L253">
            <v>0</v>
          </cell>
          <cell r="M253">
            <v>0</v>
          </cell>
        </row>
        <row r="254">
          <cell r="D254" t="str">
            <v>8b90</v>
          </cell>
          <cell r="E254" t="str">
            <v>其他权益工具（优先股）_本期增减变动金额</v>
          </cell>
          <cell r="F254">
            <v>0</v>
          </cell>
          <cell r="G254">
            <v>0</v>
          </cell>
          <cell r="H254">
            <v>0</v>
          </cell>
          <cell r="I254">
            <v>0</v>
          </cell>
          <cell r="J254">
            <v>0</v>
          </cell>
          <cell r="K254">
            <v>0</v>
          </cell>
          <cell r="L254">
            <v>0</v>
          </cell>
          <cell r="M254">
            <v>0</v>
          </cell>
        </row>
        <row r="255">
          <cell r="D255" t="str">
            <v>8b40</v>
          </cell>
          <cell r="E255" t="str">
            <v>其他权益工具（优先股）_综合收益总额增加权益</v>
          </cell>
          <cell r="F255">
            <v>0</v>
          </cell>
          <cell r="G255">
            <v>0</v>
          </cell>
          <cell r="H255">
            <v>0</v>
          </cell>
          <cell r="I255">
            <v>0</v>
          </cell>
          <cell r="J255">
            <v>0</v>
          </cell>
          <cell r="K255">
            <v>0</v>
          </cell>
          <cell r="L255">
            <v>0</v>
          </cell>
          <cell r="M255">
            <v>0</v>
          </cell>
        </row>
        <row r="256">
          <cell r="D256" t="str">
            <v>8b50</v>
          </cell>
          <cell r="E256" t="str">
            <v>其他权益工具（优先股）_所有者投入和减少资本影响权益</v>
          </cell>
          <cell r="F256">
            <v>0</v>
          </cell>
          <cell r="G256">
            <v>0</v>
          </cell>
          <cell r="H256">
            <v>0</v>
          </cell>
          <cell r="I256">
            <v>0</v>
          </cell>
          <cell r="J256">
            <v>0</v>
          </cell>
          <cell r="K256">
            <v>0</v>
          </cell>
          <cell r="L256">
            <v>0</v>
          </cell>
          <cell r="M256">
            <v>0</v>
          </cell>
        </row>
        <row r="257">
          <cell r="D257" t="str">
            <v>8b51</v>
          </cell>
          <cell r="E257" t="str">
            <v>其他权益工具（优先股）_所有者投入资本</v>
          </cell>
          <cell r="F257">
            <v>0</v>
          </cell>
          <cell r="G257">
            <v>0</v>
          </cell>
          <cell r="H257">
            <v>0</v>
          </cell>
          <cell r="I257">
            <v>0</v>
          </cell>
          <cell r="J257">
            <v>0</v>
          </cell>
          <cell r="K257">
            <v>0</v>
          </cell>
          <cell r="L257">
            <v>0</v>
          </cell>
          <cell r="M257">
            <v>0</v>
          </cell>
        </row>
        <row r="258">
          <cell r="D258" t="str">
            <v>8b53</v>
          </cell>
          <cell r="E258" t="str">
            <v>其他权益工具（优先股）_其他权益工具持有者投入资本</v>
          </cell>
          <cell r="F258">
            <v>0</v>
          </cell>
          <cell r="G258">
            <v>0</v>
          </cell>
          <cell r="H258">
            <v>0</v>
          </cell>
          <cell r="I258">
            <v>0</v>
          </cell>
          <cell r="J258">
            <v>0</v>
          </cell>
          <cell r="K258">
            <v>0</v>
          </cell>
          <cell r="L258">
            <v>0</v>
          </cell>
          <cell r="M258">
            <v>0</v>
          </cell>
        </row>
        <row r="259">
          <cell r="D259" t="str">
            <v>8b52</v>
          </cell>
          <cell r="E259" t="str">
            <v>其他权益工具（优先股）_股份支付</v>
          </cell>
          <cell r="F259">
            <v>0</v>
          </cell>
          <cell r="G259">
            <v>0</v>
          </cell>
          <cell r="H259">
            <v>0</v>
          </cell>
          <cell r="I259">
            <v>0</v>
          </cell>
          <cell r="J259">
            <v>0</v>
          </cell>
          <cell r="K259">
            <v>0</v>
          </cell>
          <cell r="L259">
            <v>0</v>
          </cell>
          <cell r="M259">
            <v>0</v>
          </cell>
        </row>
        <row r="260">
          <cell r="D260" t="str">
            <v>8b56</v>
          </cell>
          <cell r="E260" t="str">
            <v>其他权益工具（优先股）_所有者其他投入和减少资本</v>
          </cell>
          <cell r="F260">
            <v>0</v>
          </cell>
          <cell r="G260">
            <v>0</v>
          </cell>
          <cell r="H260">
            <v>0</v>
          </cell>
          <cell r="I260">
            <v>0</v>
          </cell>
          <cell r="J260">
            <v>0</v>
          </cell>
          <cell r="K260">
            <v>0</v>
          </cell>
          <cell r="L260">
            <v>0</v>
          </cell>
          <cell r="M260">
            <v>0</v>
          </cell>
        </row>
        <row r="261">
          <cell r="D261" t="str">
            <v>8b60</v>
          </cell>
          <cell r="E261" t="str">
            <v>其他权益工具（优先股）_利润分配影响权益</v>
          </cell>
          <cell r="F261">
            <v>0</v>
          </cell>
          <cell r="G261">
            <v>0</v>
          </cell>
          <cell r="H261">
            <v>0</v>
          </cell>
          <cell r="I261">
            <v>0</v>
          </cell>
          <cell r="J261">
            <v>0</v>
          </cell>
          <cell r="K261">
            <v>0</v>
          </cell>
          <cell r="L261">
            <v>0</v>
          </cell>
          <cell r="M261">
            <v>0</v>
          </cell>
        </row>
        <row r="262">
          <cell r="D262" t="str">
            <v>8b61</v>
          </cell>
          <cell r="E262" t="str">
            <v>其他权益工具（优先股）_提取盈余公积</v>
          </cell>
          <cell r="F262">
            <v>0</v>
          </cell>
          <cell r="G262">
            <v>0</v>
          </cell>
          <cell r="H262">
            <v>0</v>
          </cell>
          <cell r="I262">
            <v>0</v>
          </cell>
          <cell r="J262">
            <v>0</v>
          </cell>
          <cell r="K262">
            <v>0</v>
          </cell>
          <cell r="L262">
            <v>0</v>
          </cell>
          <cell r="M262">
            <v>0</v>
          </cell>
        </row>
        <row r="263">
          <cell r="D263" t="str">
            <v>8b62</v>
          </cell>
          <cell r="E263" t="str">
            <v>其他权益工具（优先股）_提取一般风险准备</v>
          </cell>
          <cell r="F263">
            <v>0</v>
          </cell>
          <cell r="G263">
            <v>0</v>
          </cell>
          <cell r="H263">
            <v>0</v>
          </cell>
          <cell r="I263">
            <v>0</v>
          </cell>
          <cell r="J263">
            <v>0</v>
          </cell>
          <cell r="K263">
            <v>0</v>
          </cell>
          <cell r="L263">
            <v>0</v>
          </cell>
          <cell r="M263">
            <v>0</v>
          </cell>
        </row>
        <row r="264">
          <cell r="D264" t="str">
            <v>8b63</v>
          </cell>
          <cell r="E264" t="str">
            <v>其他权益工具（优先股）_对所有者的分配</v>
          </cell>
          <cell r="F264">
            <v>0</v>
          </cell>
          <cell r="G264">
            <v>0</v>
          </cell>
          <cell r="H264">
            <v>0</v>
          </cell>
          <cell r="I264">
            <v>0</v>
          </cell>
          <cell r="J264">
            <v>0</v>
          </cell>
          <cell r="K264">
            <v>0</v>
          </cell>
          <cell r="L264">
            <v>0</v>
          </cell>
          <cell r="M264">
            <v>0</v>
          </cell>
        </row>
        <row r="265">
          <cell r="D265" t="str">
            <v>8b66</v>
          </cell>
          <cell r="E265" t="str">
            <v>其他权益工具（优先股）_其他利润分配</v>
          </cell>
          <cell r="F265">
            <v>0</v>
          </cell>
          <cell r="G265">
            <v>0</v>
          </cell>
          <cell r="H265">
            <v>0</v>
          </cell>
          <cell r="I265">
            <v>0</v>
          </cell>
          <cell r="J265">
            <v>0</v>
          </cell>
          <cell r="K265">
            <v>0</v>
          </cell>
          <cell r="L265">
            <v>0</v>
          </cell>
          <cell r="M265">
            <v>0</v>
          </cell>
        </row>
        <row r="266">
          <cell r="D266" t="str">
            <v>8b70</v>
          </cell>
          <cell r="E266" t="str">
            <v>其他权益工具（优先股）_所有者权益内部结转</v>
          </cell>
          <cell r="F266">
            <v>0</v>
          </cell>
          <cell r="G266">
            <v>0</v>
          </cell>
          <cell r="H266">
            <v>0</v>
          </cell>
          <cell r="I266">
            <v>0</v>
          </cell>
          <cell r="J266">
            <v>0</v>
          </cell>
          <cell r="K266">
            <v>0</v>
          </cell>
          <cell r="L266">
            <v>0</v>
          </cell>
          <cell r="M266">
            <v>0</v>
          </cell>
        </row>
        <row r="267">
          <cell r="D267" t="str">
            <v>8b71</v>
          </cell>
          <cell r="E267" t="str">
            <v>其他权益工具（优先股）_资本公积转增资本</v>
          </cell>
          <cell r="F267">
            <v>0</v>
          </cell>
          <cell r="G267">
            <v>0</v>
          </cell>
          <cell r="H267">
            <v>0</v>
          </cell>
          <cell r="I267">
            <v>0</v>
          </cell>
          <cell r="J267">
            <v>0</v>
          </cell>
          <cell r="K267">
            <v>0</v>
          </cell>
          <cell r="L267">
            <v>0</v>
          </cell>
          <cell r="M267">
            <v>0</v>
          </cell>
        </row>
        <row r="268">
          <cell r="D268" t="str">
            <v>8b72</v>
          </cell>
          <cell r="E268" t="str">
            <v>其他权益工具（优先股）_盈余公积转增资本</v>
          </cell>
          <cell r="F268">
            <v>0</v>
          </cell>
          <cell r="G268">
            <v>0</v>
          </cell>
          <cell r="H268">
            <v>0</v>
          </cell>
          <cell r="I268">
            <v>0</v>
          </cell>
          <cell r="J268">
            <v>0</v>
          </cell>
          <cell r="K268">
            <v>0</v>
          </cell>
          <cell r="L268">
            <v>0</v>
          </cell>
          <cell r="M268">
            <v>0</v>
          </cell>
        </row>
        <row r="269">
          <cell r="D269" t="str">
            <v>8b73</v>
          </cell>
          <cell r="E269" t="str">
            <v>其他权益工具（优先股）_盈余公积弥补亏损</v>
          </cell>
          <cell r="F269">
            <v>0</v>
          </cell>
          <cell r="G269">
            <v>0</v>
          </cell>
          <cell r="H269">
            <v>0</v>
          </cell>
          <cell r="I269">
            <v>0</v>
          </cell>
          <cell r="J269">
            <v>0</v>
          </cell>
          <cell r="K269">
            <v>0</v>
          </cell>
          <cell r="L269">
            <v>0</v>
          </cell>
          <cell r="M269">
            <v>0</v>
          </cell>
        </row>
        <row r="270">
          <cell r="D270" t="str">
            <v>8b75</v>
          </cell>
          <cell r="E270" t="str">
            <v>其他权益工具（优先股）_设定受益计划变动额结转留存收益</v>
          </cell>
          <cell r="F270">
            <v>0</v>
          </cell>
          <cell r="G270">
            <v>0</v>
          </cell>
          <cell r="H270">
            <v>0</v>
          </cell>
          <cell r="I270">
            <v>0</v>
          </cell>
          <cell r="J270">
            <v>0</v>
          </cell>
          <cell r="K270">
            <v>0</v>
          </cell>
          <cell r="L270">
            <v>0</v>
          </cell>
          <cell r="M270">
            <v>0</v>
          </cell>
        </row>
        <row r="271">
          <cell r="D271" t="str">
            <v>8b76</v>
          </cell>
          <cell r="E271" t="str">
            <v>其他权益工具（优先股）_所有者权益其他内部结转</v>
          </cell>
          <cell r="F271">
            <v>0</v>
          </cell>
          <cell r="G271">
            <v>0</v>
          </cell>
          <cell r="H271">
            <v>0</v>
          </cell>
          <cell r="I271">
            <v>0</v>
          </cell>
          <cell r="J271">
            <v>0</v>
          </cell>
          <cell r="K271">
            <v>0</v>
          </cell>
          <cell r="L271">
            <v>0</v>
          </cell>
          <cell r="M271">
            <v>0</v>
          </cell>
        </row>
        <row r="272">
          <cell r="D272" t="str">
            <v>8b80</v>
          </cell>
          <cell r="E272" t="str">
            <v>其他权益工具（优先股）_专项储备影响权益</v>
          </cell>
          <cell r="F272">
            <v>0</v>
          </cell>
          <cell r="G272">
            <v>0</v>
          </cell>
          <cell r="H272">
            <v>0</v>
          </cell>
          <cell r="I272">
            <v>0</v>
          </cell>
          <cell r="J272">
            <v>0</v>
          </cell>
          <cell r="K272">
            <v>0</v>
          </cell>
          <cell r="L272">
            <v>0</v>
          </cell>
          <cell r="M272">
            <v>0</v>
          </cell>
        </row>
        <row r="273">
          <cell r="D273" t="str">
            <v>8b81</v>
          </cell>
          <cell r="E273" t="str">
            <v>其他权益工具（优先股）_专项储备本期提取</v>
          </cell>
          <cell r="F273">
            <v>0</v>
          </cell>
          <cell r="G273">
            <v>0</v>
          </cell>
          <cell r="H273">
            <v>0</v>
          </cell>
          <cell r="I273">
            <v>0</v>
          </cell>
          <cell r="J273">
            <v>0</v>
          </cell>
          <cell r="K273">
            <v>0</v>
          </cell>
          <cell r="L273">
            <v>0</v>
          </cell>
          <cell r="M273">
            <v>0</v>
          </cell>
        </row>
        <row r="274">
          <cell r="D274" t="str">
            <v>8b82</v>
          </cell>
          <cell r="E274" t="str">
            <v>其他权益工具（优先股）_专项储备本期使用</v>
          </cell>
          <cell r="F274">
            <v>0</v>
          </cell>
          <cell r="G274">
            <v>0</v>
          </cell>
          <cell r="H274">
            <v>0</v>
          </cell>
          <cell r="I274">
            <v>0</v>
          </cell>
          <cell r="J274">
            <v>0</v>
          </cell>
          <cell r="K274">
            <v>0</v>
          </cell>
          <cell r="L274">
            <v>0</v>
          </cell>
          <cell r="M274">
            <v>0</v>
          </cell>
        </row>
        <row r="275">
          <cell r="D275" t="str">
            <v>8b96</v>
          </cell>
          <cell r="E275" t="str">
            <v>其他权益工具（优先股）_本期其他增减变动</v>
          </cell>
          <cell r="F275">
            <v>0</v>
          </cell>
          <cell r="G275">
            <v>0</v>
          </cell>
          <cell r="H275">
            <v>0</v>
          </cell>
          <cell r="I275">
            <v>0</v>
          </cell>
          <cell r="J275">
            <v>0</v>
          </cell>
          <cell r="K275">
            <v>0</v>
          </cell>
          <cell r="L275">
            <v>0</v>
          </cell>
          <cell r="M275">
            <v>0</v>
          </cell>
        </row>
        <row r="276">
          <cell r="D276" t="str">
            <v>8b99</v>
          </cell>
          <cell r="E276" t="str">
            <v>其他权益工具（优先股）_本期期末余额</v>
          </cell>
          <cell r="F276">
            <v>0</v>
          </cell>
          <cell r="G276">
            <v>0</v>
          </cell>
          <cell r="H276">
            <v>0</v>
          </cell>
          <cell r="I276">
            <v>0</v>
          </cell>
          <cell r="J276">
            <v>0</v>
          </cell>
          <cell r="K276">
            <v>0</v>
          </cell>
          <cell r="L276">
            <v>0</v>
          </cell>
          <cell r="M276">
            <v>0</v>
          </cell>
        </row>
        <row r="277">
          <cell r="D277" t="str">
            <v>8c00</v>
          </cell>
          <cell r="E277" t="str">
            <v>其他权益工具（永续债）增减变动</v>
          </cell>
          <cell r="F277">
            <v>0</v>
          </cell>
          <cell r="G277">
            <v>0</v>
          </cell>
          <cell r="H277">
            <v>0</v>
          </cell>
          <cell r="I277">
            <v>0</v>
          </cell>
          <cell r="J277">
            <v>0</v>
          </cell>
          <cell r="K277">
            <v>0</v>
          </cell>
          <cell r="L277">
            <v>0</v>
          </cell>
          <cell r="M277">
            <v>0</v>
          </cell>
        </row>
        <row r="278">
          <cell r="D278" t="str">
            <v>8c01</v>
          </cell>
          <cell r="E278" t="str">
            <v>其他权益工具（永续债）_上年年末余额</v>
          </cell>
          <cell r="F278">
            <v>0</v>
          </cell>
          <cell r="G278">
            <v>0</v>
          </cell>
          <cell r="H278">
            <v>0</v>
          </cell>
          <cell r="I278">
            <v>0</v>
          </cell>
          <cell r="J278">
            <v>0</v>
          </cell>
          <cell r="K278">
            <v>0</v>
          </cell>
          <cell r="L278">
            <v>0</v>
          </cell>
          <cell r="M278">
            <v>0</v>
          </cell>
        </row>
        <row r="279">
          <cell r="D279" t="str">
            <v>8c02</v>
          </cell>
          <cell r="E279" t="str">
            <v>其他权益工具（永续债）_会计政策变更调整上年年末余额</v>
          </cell>
          <cell r="F279">
            <v>0</v>
          </cell>
          <cell r="G279">
            <v>0</v>
          </cell>
          <cell r="H279">
            <v>0</v>
          </cell>
          <cell r="I279">
            <v>0</v>
          </cell>
          <cell r="J279">
            <v>0</v>
          </cell>
          <cell r="K279">
            <v>0</v>
          </cell>
          <cell r="L279">
            <v>0</v>
          </cell>
          <cell r="M279">
            <v>0</v>
          </cell>
        </row>
        <row r="280">
          <cell r="D280" t="str">
            <v>8c03</v>
          </cell>
          <cell r="E280" t="str">
            <v>其他权益工具（永续债）_前期差错更正调整上年年末余额</v>
          </cell>
          <cell r="F280">
            <v>0</v>
          </cell>
          <cell r="G280">
            <v>0</v>
          </cell>
          <cell r="H280">
            <v>0</v>
          </cell>
          <cell r="I280">
            <v>0</v>
          </cell>
          <cell r="J280">
            <v>0</v>
          </cell>
          <cell r="K280">
            <v>0</v>
          </cell>
          <cell r="L280">
            <v>0</v>
          </cell>
          <cell r="M280">
            <v>0</v>
          </cell>
        </row>
        <row r="281">
          <cell r="D281" t="str">
            <v>8c04</v>
          </cell>
          <cell r="E281" t="str">
            <v>其他权益工具（永续债）_同一控制下企业合并调整上年年末余额</v>
          </cell>
          <cell r="F281">
            <v>0</v>
          </cell>
          <cell r="G281">
            <v>0</v>
          </cell>
          <cell r="H281">
            <v>0</v>
          </cell>
          <cell r="I281">
            <v>0</v>
          </cell>
          <cell r="J281">
            <v>0</v>
          </cell>
          <cell r="K281">
            <v>0</v>
          </cell>
          <cell r="L281">
            <v>0</v>
          </cell>
          <cell r="M281">
            <v>0</v>
          </cell>
        </row>
        <row r="282">
          <cell r="D282" t="str">
            <v>8c09</v>
          </cell>
          <cell r="E282" t="str">
            <v>其他权益工具（永续债）_其他原因调整上年年末余额</v>
          </cell>
          <cell r="F282">
            <v>0</v>
          </cell>
          <cell r="G282">
            <v>0</v>
          </cell>
          <cell r="H282">
            <v>0</v>
          </cell>
          <cell r="I282">
            <v>0</v>
          </cell>
          <cell r="J282">
            <v>0</v>
          </cell>
          <cell r="K282">
            <v>0</v>
          </cell>
          <cell r="L282">
            <v>0</v>
          </cell>
          <cell r="M282">
            <v>0</v>
          </cell>
        </row>
        <row r="283">
          <cell r="D283" t="str">
            <v>8c10</v>
          </cell>
          <cell r="E283" t="str">
            <v>其他权益工具（永续债）_本年年初余额</v>
          </cell>
          <cell r="F283">
            <v>0</v>
          </cell>
          <cell r="G283">
            <v>0</v>
          </cell>
          <cell r="H283">
            <v>0</v>
          </cell>
          <cell r="I283">
            <v>0</v>
          </cell>
          <cell r="J283">
            <v>0</v>
          </cell>
          <cell r="K283">
            <v>0</v>
          </cell>
          <cell r="L283">
            <v>0</v>
          </cell>
          <cell r="M283">
            <v>0</v>
          </cell>
        </row>
        <row r="284">
          <cell r="D284" t="str">
            <v>8c90</v>
          </cell>
          <cell r="E284" t="str">
            <v>其他权益工具（永续债）_本期增减变动金额</v>
          </cell>
          <cell r="F284">
            <v>0</v>
          </cell>
          <cell r="G284">
            <v>0</v>
          </cell>
          <cell r="H284">
            <v>0</v>
          </cell>
          <cell r="I284">
            <v>0</v>
          </cell>
          <cell r="J284">
            <v>0</v>
          </cell>
          <cell r="K284">
            <v>0</v>
          </cell>
          <cell r="L284">
            <v>0</v>
          </cell>
          <cell r="M284">
            <v>0</v>
          </cell>
        </row>
        <row r="285">
          <cell r="D285" t="str">
            <v>8c40</v>
          </cell>
          <cell r="E285" t="str">
            <v>其他权益工具（永续债）_综合收益总额增加权益</v>
          </cell>
          <cell r="F285">
            <v>0</v>
          </cell>
          <cell r="G285">
            <v>0</v>
          </cell>
          <cell r="H285">
            <v>0</v>
          </cell>
          <cell r="I285">
            <v>0</v>
          </cell>
          <cell r="J285">
            <v>0</v>
          </cell>
          <cell r="K285">
            <v>0</v>
          </cell>
          <cell r="L285">
            <v>0</v>
          </cell>
          <cell r="M285">
            <v>0</v>
          </cell>
        </row>
        <row r="286">
          <cell r="D286" t="str">
            <v>8c50</v>
          </cell>
          <cell r="E286" t="str">
            <v>其他权益工具（永续债）_所有者投入和减少资本影响权益</v>
          </cell>
          <cell r="F286">
            <v>0</v>
          </cell>
          <cell r="G286">
            <v>0</v>
          </cell>
          <cell r="H286">
            <v>0</v>
          </cell>
          <cell r="I286">
            <v>0</v>
          </cell>
          <cell r="J286">
            <v>0</v>
          </cell>
          <cell r="K286">
            <v>0</v>
          </cell>
          <cell r="L286">
            <v>0</v>
          </cell>
          <cell r="M286">
            <v>0</v>
          </cell>
        </row>
        <row r="287">
          <cell r="D287" t="str">
            <v>8c51</v>
          </cell>
          <cell r="E287" t="str">
            <v>其他权益工具（永续债）_所有者投入资本</v>
          </cell>
          <cell r="F287">
            <v>0</v>
          </cell>
          <cell r="G287">
            <v>0</v>
          </cell>
          <cell r="H287">
            <v>0</v>
          </cell>
          <cell r="I287">
            <v>0</v>
          </cell>
          <cell r="J287">
            <v>0</v>
          </cell>
          <cell r="K287">
            <v>0</v>
          </cell>
          <cell r="L287">
            <v>0</v>
          </cell>
          <cell r="M287">
            <v>0</v>
          </cell>
        </row>
        <row r="288">
          <cell r="D288" t="str">
            <v>8c53</v>
          </cell>
          <cell r="E288" t="str">
            <v>其他权益工具（永续债）_其他权益工具持有者投入资本</v>
          </cell>
          <cell r="F288">
            <v>0</v>
          </cell>
          <cell r="G288">
            <v>0</v>
          </cell>
          <cell r="H288">
            <v>0</v>
          </cell>
          <cell r="I288">
            <v>0</v>
          </cell>
          <cell r="J288">
            <v>0</v>
          </cell>
          <cell r="K288">
            <v>0</v>
          </cell>
          <cell r="L288">
            <v>0</v>
          </cell>
          <cell r="M288">
            <v>0</v>
          </cell>
        </row>
        <row r="289">
          <cell r="D289" t="str">
            <v>8c52</v>
          </cell>
          <cell r="E289" t="str">
            <v>其他权益工具（永续债）_股份支付</v>
          </cell>
          <cell r="F289">
            <v>0</v>
          </cell>
          <cell r="G289">
            <v>0</v>
          </cell>
          <cell r="H289">
            <v>0</v>
          </cell>
          <cell r="I289">
            <v>0</v>
          </cell>
          <cell r="J289">
            <v>0</v>
          </cell>
          <cell r="K289">
            <v>0</v>
          </cell>
          <cell r="L289">
            <v>0</v>
          </cell>
          <cell r="M289">
            <v>0</v>
          </cell>
        </row>
        <row r="290">
          <cell r="D290" t="str">
            <v>8c56</v>
          </cell>
          <cell r="E290" t="str">
            <v>其他权益工具（永续债）_所有者其他投入和减少资本</v>
          </cell>
          <cell r="F290">
            <v>0</v>
          </cell>
          <cell r="G290">
            <v>0</v>
          </cell>
          <cell r="H290">
            <v>0</v>
          </cell>
          <cell r="I290">
            <v>0</v>
          </cell>
          <cell r="J290">
            <v>0</v>
          </cell>
          <cell r="K290">
            <v>0</v>
          </cell>
          <cell r="L290">
            <v>0</v>
          </cell>
          <cell r="M290">
            <v>0</v>
          </cell>
        </row>
        <row r="291">
          <cell r="D291" t="str">
            <v>8c60</v>
          </cell>
          <cell r="E291" t="str">
            <v>其他权益工具（永续债）_利润分配影响权益</v>
          </cell>
          <cell r="F291">
            <v>0</v>
          </cell>
          <cell r="G291">
            <v>0</v>
          </cell>
          <cell r="H291">
            <v>0</v>
          </cell>
          <cell r="I291">
            <v>0</v>
          </cell>
          <cell r="J291">
            <v>0</v>
          </cell>
          <cell r="K291">
            <v>0</v>
          </cell>
          <cell r="L291">
            <v>0</v>
          </cell>
          <cell r="M291">
            <v>0</v>
          </cell>
        </row>
        <row r="292">
          <cell r="D292" t="str">
            <v>8c61</v>
          </cell>
          <cell r="E292" t="str">
            <v>其他权益工具（永续债）_提取盈余公积</v>
          </cell>
          <cell r="F292">
            <v>0</v>
          </cell>
          <cell r="G292">
            <v>0</v>
          </cell>
          <cell r="H292">
            <v>0</v>
          </cell>
          <cell r="I292">
            <v>0</v>
          </cell>
          <cell r="J292">
            <v>0</v>
          </cell>
          <cell r="K292">
            <v>0</v>
          </cell>
          <cell r="L292">
            <v>0</v>
          </cell>
          <cell r="M292">
            <v>0</v>
          </cell>
        </row>
        <row r="293">
          <cell r="D293" t="str">
            <v>8c62</v>
          </cell>
          <cell r="E293" t="str">
            <v>其他权益工具（永续债）_提取一般风险准备</v>
          </cell>
          <cell r="F293">
            <v>0</v>
          </cell>
          <cell r="G293">
            <v>0</v>
          </cell>
          <cell r="H293">
            <v>0</v>
          </cell>
          <cell r="I293">
            <v>0</v>
          </cell>
          <cell r="J293">
            <v>0</v>
          </cell>
          <cell r="K293">
            <v>0</v>
          </cell>
          <cell r="L293">
            <v>0</v>
          </cell>
          <cell r="M293">
            <v>0</v>
          </cell>
        </row>
        <row r="294">
          <cell r="D294" t="str">
            <v>8c63</v>
          </cell>
          <cell r="E294" t="str">
            <v>其他权益工具（永续债）_对所有者的分配</v>
          </cell>
          <cell r="F294">
            <v>0</v>
          </cell>
          <cell r="G294">
            <v>0</v>
          </cell>
          <cell r="H294">
            <v>0</v>
          </cell>
          <cell r="I294">
            <v>0</v>
          </cell>
          <cell r="J294">
            <v>0</v>
          </cell>
          <cell r="K294">
            <v>0</v>
          </cell>
          <cell r="L294">
            <v>0</v>
          </cell>
          <cell r="M294">
            <v>0</v>
          </cell>
        </row>
        <row r="295">
          <cell r="D295" t="str">
            <v>8c66</v>
          </cell>
          <cell r="E295" t="str">
            <v>其他权益工具（永续债）_其他利润分配</v>
          </cell>
          <cell r="F295">
            <v>0</v>
          </cell>
          <cell r="G295">
            <v>0</v>
          </cell>
          <cell r="H295">
            <v>0</v>
          </cell>
          <cell r="I295">
            <v>0</v>
          </cell>
          <cell r="J295">
            <v>0</v>
          </cell>
          <cell r="K295">
            <v>0</v>
          </cell>
          <cell r="L295">
            <v>0</v>
          </cell>
          <cell r="M295">
            <v>0</v>
          </cell>
        </row>
        <row r="296">
          <cell r="D296" t="str">
            <v>8c70</v>
          </cell>
          <cell r="E296" t="str">
            <v>其他权益工具（永续债）_所有者权益内部结转</v>
          </cell>
          <cell r="F296">
            <v>0</v>
          </cell>
          <cell r="G296">
            <v>0</v>
          </cell>
          <cell r="H296">
            <v>0</v>
          </cell>
          <cell r="I296">
            <v>0</v>
          </cell>
          <cell r="J296">
            <v>0</v>
          </cell>
          <cell r="K296">
            <v>0</v>
          </cell>
          <cell r="L296">
            <v>0</v>
          </cell>
          <cell r="M296">
            <v>0</v>
          </cell>
        </row>
        <row r="297">
          <cell r="D297" t="str">
            <v>8c71</v>
          </cell>
          <cell r="E297" t="str">
            <v>其他权益工具（永续债）_资本公积转增资本</v>
          </cell>
          <cell r="F297">
            <v>0</v>
          </cell>
          <cell r="G297">
            <v>0</v>
          </cell>
          <cell r="H297">
            <v>0</v>
          </cell>
          <cell r="I297">
            <v>0</v>
          </cell>
          <cell r="J297">
            <v>0</v>
          </cell>
          <cell r="K297">
            <v>0</v>
          </cell>
          <cell r="L297">
            <v>0</v>
          </cell>
          <cell r="M297">
            <v>0</v>
          </cell>
        </row>
        <row r="298">
          <cell r="D298" t="str">
            <v>8c72</v>
          </cell>
          <cell r="E298" t="str">
            <v>其他权益工具（永续债）_盈余公积转增资本</v>
          </cell>
          <cell r="F298">
            <v>0</v>
          </cell>
          <cell r="G298">
            <v>0</v>
          </cell>
          <cell r="H298">
            <v>0</v>
          </cell>
          <cell r="I298">
            <v>0</v>
          </cell>
          <cell r="J298">
            <v>0</v>
          </cell>
          <cell r="K298">
            <v>0</v>
          </cell>
          <cell r="L298">
            <v>0</v>
          </cell>
          <cell r="M298">
            <v>0</v>
          </cell>
        </row>
        <row r="299">
          <cell r="D299" t="str">
            <v>8c73</v>
          </cell>
          <cell r="E299" t="str">
            <v>其他权益工具（永续债）_盈余公积弥补亏损</v>
          </cell>
          <cell r="F299">
            <v>0</v>
          </cell>
          <cell r="G299">
            <v>0</v>
          </cell>
          <cell r="H299">
            <v>0</v>
          </cell>
          <cell r="I299">
            <v>0</v>
          </cell>
          <cell r="J299">
            <v>0</v>
          </cell>
          <cell r="K299">
            <v>0</v>
          </cell>
          <cell r="L299">
            <v>0</v>
          </cell>
          <cell r="M299">
            <v>0</v>
          </cell>
        </row>
        <row r="300">
          <cell r="D300" t="str">
            <v>8c75</v>
          </cell>
          <cell r="E300" t="str">
            <v>其他权益工具（永续债）_设定受益计划变动额结转留存收益</v>
          </cell>
          <cell r="F300">
            <v>0</v>
          </cell>
          <cell r="G300">
            <v>0</v>
          </cell>
          <cell r="H300">
            <v>0</v>
          </cell>
          <cell r="I300">
            <v>0</v>
          </cell>
          <cell r="J300">
            <v>0</v>
          </cell>
          <cell r="K300">
            <v>0</v>
          </cell>
          <cell r="L300">
            <v>0</v>
          </cell>
          <cell r="M300">
            <v>0</v>
          </cell>
        </row>
        <row r="301">
          <cell r="D301" t="str">
            <v>8c76</v>
          </cell>
          <cell r="E301" t="str">
            <v>其他权益工具（永续债）_所有者权益其他内部结转</v>
          </cell>
          <cell r="F301">
            <v>0</v>
          </cell>
          <cell r="G301">
            <v>0</v>
          </cell>
          <cell r="H301">
            <v>0</v>
          </cell>
          <cell r="I301">
            <v>0</v>
          </cell>
          <cell r="J301">
            <v>0</v>
          </cell>
          <cell r="K301">
            <v>0</v>
          </cell>
          <cell r="L301">
            <v>0</v>
          </cell>
          <cell r="M301">
            <v>0</v>
          </cell>
        </row>
        <row r="302">
          <cell r="D302" t="str">
            <v>8c80</v>
          </cell>
          <cell r="E302" t="str">
            <v>其他权益工具（永续债）_专项储备影响权益</v>
          </cell>
          <cell r="F302">
            <v>0</v>
          </cell>
          <cell r="G302">
            <v>0</v>
          </cell>
          <cell r="H302">
            <v>0</v>
          </cell>
          <cell r="I302">
            <v>0</v>
          </cell>
          <cell r="J302">
            <v>0</v>
          </cell>
          <cell r="K302">
            <v>0</v>
          </cell>
          <cell r="L302">
            <v>0</v>
          </cell>
          <cell r="M302">
            <v>0</v>
          </cell>
        </row>
        <row r="303">
          <cell r="D303" t="str">
            <v>8c81</v>
          </cell>
          <cell r="E303" t="str">
            <v>其他权益工具（永续债）_专项储备本期提取</v>
          </cell>
          <cell r="F303">
            <v>0</v>
          </cell>
          <cell r="G303">
            <v>0</v>
          </cell>
          <cell r="H303">
            <v>0</v>
          </cell>
          <cell r="I303">
            <v>0</v>
          </cell>
          <cell r="J303">
            <v>0</v>
          </cell>
          <cell r="K303">
            <v>0</v>
          </cell>
          <cell r="L303">
            <v>0</v>
          </cell>
          <cell r="M303">
            <v>0</v>
          </cell>
        </row>
        <row r="304">
          <cell r="D304" t="str">
            <v>8c82</v>
          </cell>
          <cell r="E304" t="str">
            <v>其他权益工具（永续债）_专项储备本期使用</v>
          </cell>
          <cell r="F304">
            <v>0</v>
          </cell>
          <cell r="G304">
            <v>0</v>
          </cell>
          <cell r="H304">
            <v>0</v>
          </cell>
          <cell r="I304">
            <v>0</v>
          </cell>
          <cell r="J304">
            <v>0</v>
          </cell>
          <cell r="K304">
            <v>0</v>
          </cell>
          <cell r="L304">
            <v>0</v>
          </cell>
          <cell r="M304">
            <v>0</v>
          </cell>
        </row>
        <row r="305">
          <cell r="D305" t="str">
            <v>8c96</v>
          </cell>
          <cell r="E305" t="str">
            <v>其他权益工具（永续债）_本期其他增减变动</v>
          </cell>
          <cell r="F305">
            <v>0</v>
          </cell>
          <cell r="G305">
            <v>0</v>
          </cell>
          <cell r="H305">
            <v>0</v>
          </cell>
          <cell r="I305">
            <v>0</v>
          </cell>
          <cell r="J305">
            <v>0</v>
          </cell>
          <cell r="K305">
            <v>0</v>
          </cell>
          <cell r="L305">
            <v>0</v>
          </cell>
          <cell r="M305">
            <v>0</v>
          </cell>
        </row>
        <row r="306">
          <cell r="D306" t="str">
            <v>8c99</v>
          </cell>
          <cell r="E306" t="str">
            <v>其他权益工具（永续债）_本期期末余额</v>
          </cell>
          <cell r="F306">
            <v>0</v>
          </cell>
          <cell r="G306">
            <v>0</v>
          </cell>
          <cell r="H306">
            <v>0</v>
          </cell>
          <cell r="I306">
            <v>0</v>
          </cell>
          <cell r="J306">
            <v>0</v>
          </cell>
          <cell r="K306">
            <v>0</v>
          </cell>
          <cell r="L306">
            <v>0</v>
          </cell>
          <cell r="M306">
            <v>0</v>
          </cell>
        </row>
        <row r="307">
          <cell r="D307" t="str">
            <v>8d00</v>
          </cell>
          <cell r="E307" t="str">
            <v>其他权益工具（其他）增减变动</v>
          </cell>
          <cell r="F307">
            <v>0</v>
          </cell>
          <cell r="G307">
            <v>0</v>
          </cell>
          <cell r="H307">
            <v>0</v>
          </cell>
          <cell r="I307">
            <v>0</v>
          </cell>
          <cell r="J307">
            <v>0</v>
          </cell>
          <cell r="K307">
            <v>0</v>
          </cell>
          <cell r="L307">
            <v>0</v>
          </cell>
          <cell r="M307">
            <v>0</v>
          </cell>
        </row>
        <row r="308">
          <cell r="D308" t="str">
            <v>8d01</v>
          </cell>
          <cell r="E308" t="str">
            <v>其他权益工具（其他）_上年年末余额</v>
          </cell>
          <cell r="F308">
            <v>0</v>
          </cell>
          <cell r="G308">
            <v>0</v>
          </cell>
          <cell r="H308">
            <v>0</v>
          </cell>
          <cell r="I308">
            <v>0</v>
          </cell>
          <cell r="J308">
            <v>0</v>
          </cell>
          <cell r="K308">
            <v>0</v>
          </cell>
          <cell r="L308">
            <v>0</v>
          </cell>
          <cell r="M308">
            <v>0</v>
          </cell>
        </row>
        <row r="309">
          <cell r="D309" t="str">
            <v>8d02</v>
          </cell>
          <cell r="E309" t="str">
            <v>其他权益工具（其他）_会计政策变更调整上年年末余额</v>
          </cell>
          <cell r="F309">
            <v>0</v>
          </cell>
          <cell r="G309">
            <v>0</v>
          </cell>
          <cell r="H309">
            <v>0</v>
          </cell>
          <cell r="I309">
            <v>0</v>
          </cell>
          <cell r="J309">
            <v>0</v>
          </cell>
          <cell r="K309">
            <v>0</v>
          </cell>
          <cell r="L309">
            <v>0</v>
          </cell>
          <cell r="M309">
            <v>0</v>
          </cell>
        </row>
        <row r="310">
          <cell r="D310" t="str">
            <v>8d03</v>
          </cell>
          <cell r="E310" t="str">
            <v>其他权益工具（其他）_前期差错更正调整上年年末余额</v>
          </cell>
          <cell r="F310">
            <v>0</v>
          </cell>
          <cell r="G310">
            <v>0</v>
          </cell>
          <cell r="H310">
            <v>0</v>
          </cell>
          <cell r="I310">
            <v>0</v>
          </cell>
          <cell r="J310">
            <v>0</v>
          </cell>
          <cell r="K310">
            <v>0</v>
          </cell>
          <cell r="L310">
            <v>0</v>
          </cell>
          <cell r="M310">
            <v>0</v>
          </cell>
        </row>
        <row r="311">
          <cell r="D311" t="str">
            <v>8d04</v>
          </cell>
          <cell r="E311" t="str">
            <v>其他权益工具（其他）_同一控制下企业合并调整上年年末余额</v>
          </cell>
          <cell r="F311">
            <v>0</v>
          </cell>
          <cell r="G311">
            <v>0</v>
          </cell>
          <cell r="H311">
            <v>0</v>
          </cell>
          <cell r="I311">
            <v>0</v>
          </cell>
          <cell r="J311">
            <v>0</v>
          </cell>
          <cell r="K311">
            <v>0</v>
          </cell>
          <cell r="L311">
            <v>0</v>
          </cell>
          <cell r="M311">
            <v>0</v>
          </cell>
        </row>
        <row r="312">
          <cell r="D312" t="str">
            <v>8d09</v>
          </cell>
          <cell r="E312" t="str">
            <v>其他权益工具（其他）_其他原因调整上年年末余额</v>
          </cell>
          <cell r="F312">
            <v>0</v>
          </cell>
          <cell r="G312">
            <v>0</v>
          </cell>
          <cell r="H312">
            <v>0</v>
          </cell>
          <cell r="I312">
            <v>0</v>
          </cell>
          <cell r="J312">
            <v>0</v>
          </cell>
          <cell r="K312">
            <v>0</v>
          </cell>
          <cell r="L312">
            <v>0</v>
          </cell>
          <cell r="M312">
            <v>0</v>
          </cell>
        </row>
        <row r="313">
          <cell r="D313" t="str">
            <v>8d10</v>
          </cell>
          <cell r="E313" t="str">
            <v>其他权益工具（其他）_本年年初余额</v>
          </cell>
          <cell r="F313">
            <v>0</v>
          </cell>
          <cell r="G313">
            <v>0</v>
          </cell>
          <cell r="H313">
            <v>0</v>
          </cell>
          <cell r="I313">
            <v>0</v>
          </cell>
          <cell r="J313">
            <v>0</v>
          </cell>
          <cell r="K313">
            <v>0</v>
          </cell>
          <cell r="L313">
            <v>0</v>
          </cell>
          <cell r="M313">
            <v>0</v>
          </cell>
        </row>
        <row r="314">
          <cell r="D314" t="str">
            <v>8d90</v>
          </cell>
          <cell r="E314" t="str">
            <v>其他权益工具（其他）_本期增减变动金额</v>
          </cell>
          <cell r="F314">
            <v>0</v>
          </cell>
          <cell r="G314">
            <v>0</v>
          </cell>
          <cell r="H314">
            <v>0</v>
          </cell>
          <cell r="I314">
            <v>0</v>
          </cell>
          <cell r="J314">
            <v>0</v>
          </cell>
          <cell r="K314">
            <v>0</v>
          </cell>
          <cell r="L314">
            <v>0</v>
          </cell>
          <cell r="M314">
            <v>0</v>
          </cell>
        </row>
        <row r="315">
          <cell r="D315" t="str">
            <v>8d40</v>
          </cell>
          <cell r="E315" t="str">
            <v>其他权益工具（其他）_综合收益总额增加权益</v>
          </cell>
          <cell r="F315">
            <v>0</v>
          </cell>
          <cell r="G315">
            <v>0</v>
          </cell>
          <cell r="H315">
            <v>0</v>
          </cell>
          <cell r="I315">
            <v>0</v>
          </cell>
          <cell r="J315">
            <v>0</v>
          </cell>
          <cell r="K315">
            <v>0</v>
          </cell>
          <cell r="L315">
            <v>0</v>
          </cell>
          <cell r="M315">
            <v>0</v>
          </cell>
        </row>
        <row r="316">
          <cell r="D316" t="str">
            <v>8d50</v>
          </cell>
          <cell r="E316" t="str">
            <v>其他权益工具（其他）_所有者投入和减少资本影响权益</v>
          </cell>
          <cell r="F316">
            <v>0</v>
          </cell>
          <cell r="G316">
            <v>0</v>
          </cell>
          <cell r="H316">
            <v>0</v>
          </cell>
          <cell r="I316">
            <v>0</v>
          </cell>
          <cell r="J316">
            <v>0</v>
          </cell>
          <cell r="K316">
            <v>0</v>
          </cell>
          <cell r="L316">
            <v>0</v>
          </cell>
          <cell r="M316">
            <v>0</v>
          </cell>
        </row>
        <row r="317">
          <cell r="D317" t="str">
            <v>8d51</v>
          </cell>
          <cell r="E317" t="str">
            <v>其他权益工具（其他）_所有者投入资本</v>
          </cell>
          <cell r="F317">
            <v>0</v>
          </cell>
          <cell r="G317">
            <v>0</v>
          </cell>
          <cell r="H317">
            <v>0</v>
          </cell>
          <cell r="I317">
            <v>0</v>
          </cell>
          <cell r="J317">
            <v>0</v>
          </cell>
          <cell r="K317">
            <v>0</v>
          </cell>
          <cell r="L317">
            <v>0</v>
          </cell>
          <cell r="M317">
            <v>0</v>
          </cell>
        </row>
        <row r="318">
          <cell r="D318" t="str">
            <v>8d53</v>
          </cell>
          <cell r="E318" t="str">
            <v>其他权益工具（其他）_其他权益工具持有者投入资本</v>
          </cell>
          <cell r="F318">
            <v>0</v>
          </cell>
          <cell r="G318">
            <v>0</v>
          </cell>
          <cell r="H318">
            <v>0</v>
          </cell>
          <cell r="I318">
            <v>0</v>
          </cell>
          <cell r="J318">
            <v>0</v>
          </cell>
          <cell r="K318">
            <v>0</v>
          </cell>
          <cell r="L318">
            <v>0</v>
          </cell>
          <cell r="M318">
            <v>0</v>
          </cell>
        </row>
        <row r="319">
          <cell r="D319" t="str">
            <v>8d52</v>
          </cell>
          <cell r="E319" t="str">
            <v>其他权益工具（其他）_股份支付</v>
          </cell>
          <cell r="F319">
            <v>0</v>
          </cell>
          <cell r="G319">
            <v>0</v>
          </cell>
          <cell r="H319">
            <v>0</v>
          </cell>
          <cell r="I319">
            <v>0</v>
          </cell>
          <cell r="J319">
            <v>0</v>
          </cell>
          <cell r="K319">
            <v>0</v>
          </cell>
          <cell r="L319">
            <v>0</v>
          </cell>
          <cell r="M319">
            <v>0</v>
          </cell>
        </row>
        <row r="320">
          <cell r="D320" t="str">
            <v>8d56</v>
          </cell>
          <cell r="E320" t="str">
            <v>其他权益工具（其他）_所有者其他投入和减少资本</v>
          </cell>
          <cell r="F320">
            <v>0</v>
          </cell>
          <cell r="G320">
            <v>0</v>
          </cell>
          <cell r="H320">
            <v>0</v>
          </cell>
          <cell r="I320">
            <v>0</v>
          </cell>
          <cell r="J320">
            <v>0</v>
          </cell>
          <cell r="K320">
            <v>0</v>
          </cell>
          <cell r="L320">
            <v>0</v>
          </cell>
          <cell r="M320">
            <v>0</v>
          </cell>
        </row>
        <row r="321">
          <cell r="D321" t="str">
            <v>8d60</v>
          </cell>
          <cell r="E321" t="str">
            <v>其他权益工具（其他）_利润分配影响权益</v>
          </cell>
          <cell r="F321">
            <v>0</v>
          </cell>
          <cell r="G321">
            <v>0</v>
          </cell>
          <cell r="H321">
            <v>0</v>
          </cell>
          <cell r="I321">
            <v>0</v>
          </cell>
          <cell r="J321">
            <v>0</v>
          </cell>
          <cell r="K321">
            <v>0</v>
          </cell>
          <cell r="L321">
            <v>0</v>
          </cell>
          <cell r="M321">
            <v>0</v>
          </cell>
        </row>
        <row r="322">
          <cell r="D322" t="str">
            <v>8d61</v>
          </cell>
          <cell r="E322" t="str">
            <v>其他权益工具（其他）_提取盈余公积</v>
          </cell>
          <cell r="F322">
            <v>0</v>
          </cell>
          <cell r="G322">
            <v>0</v>
          </cell>
          <cell r="H322">
            <v>0</v>
          </cell>
          <cell r="I322">
            <v>0</v>
          </cell>
          <cell r="J322">
            <v>0</v>
          </cell>
          <cell r="K322">
            <v>0</v>
          </cell>
          <cell r="L322">
            <v>0</v>
          </cell>
          <cell r="M322">
            <v>0</v>
          </cell>
        </row>
        <row r="323">
          <cell r="D323" t="str">
            <v>8d62</v>
          </cell>
          <cell r="E323" t="str">
            <v>其他权益工具（其他）_提取一般风险准备</v>
          </cell>
          <cell r="F323">
            <v>0</v>
          </cell>
          <cell r="G323">
            <v>0</v>
          </cell>
          <cell r="H323">
            <v>0</v>
          </cell>
          <cell r="I323">
            <v>0</v>
          </cell>
          <cell r="J323">
            <v>0</v>
          </cell>
          <cell r="K323">
            <v>0</v>
          </cell>
          <cell r="L323">
            <v>0</v>
          </cell>
          <cell r="M323">
            <v>0</v>
          </cell>
        </row>
        <row r="324">
          <cell r="D324" t="str">
            <v>8d63</v>
          </cell>
          <cell r="E324" t="str">
            <v>其他权益工具（其他）_对所有者的分配</v>
          </cell>
          <cell r="F324">
            <v>0</v>
          </cell>
          <cell r="G324">
            <v>0</v>
          </cell>
          <cell r="H324">
            <v>0</v>
          </cell>
          <cell r="I324">
            <v>0</v>
          </cell>
          <cell r="J324">
            <v>0</v>
          </cell>
          <cell r="K324">
            <v>0</v>
          </cell>
          <cell r="L324">
            <v>0</v>
          </cell>
          <cell r="M324">
            <v>0</v>
          </cell>
        </row>
        <row r="325">
          <cell r="D325" t="str">
            <v>8d66</v>
          </cell>
          <cell r="E325" t="str">
            <v>其他权益工具（其他）_其他利润分配</v>
          </cell>
          <cell r="F325">
            <v>0</v>
          </cell>
          <cell r="G325">
            <v>0</v>
          </cell>
          <cell r="H325">
            <v>0</v>
          </cell>
          <cell r="I325">
            <v>0</v>
          </cell>
          <cell r="J325">
            <v>0</v>
          </cell>
          <cell r="K325">
            <v>0</v>
          </cell>
          <cell r="L325">
            <v>0</v>
          </cell>
          <cell r="M325">
            <v>0</v>
          </cell>
        </row>
        <row r="326">
          <cell r="D326" t="str">
            <v>8d70</v>
          </cell>
          <cell r="E326" t="str">
            <v>其他权益工具（其他）_所有者权益内部结转</v>
          </cell>
          <cell r="F326">
            <v>0</v>
          </cell>
          <cell r="G326">
            <v>0</v>
          </cell>
          <cell r="H326">
            <v>0</v>
          </cell>
          <cell r="I326">
            <v>0</v>
          </cell>
          <cell r="J326">
            <v>0</v>
          </cell>
          <cell r="K326">
            <v>0</v>
          </cell>
          <cell r="L326">
            <v>0</v>
          </cell>
          <cell r="M326">
            <v>0</v>
          </cell>
        </row>
        <row r="327">
          <cell r="D327" t="str">
            <v>8d71</v>
          </cell>
          <cell r="E327" t="str">
            <v>其他权益工具（其他）_资本公积转增资本</v>
          </cell>
          <cell r="F327">
            <v>0</v>
          </cell>
          <cell r="G327">
            <v>0</v>
          </cell>
          <cell r="H327">
            <v>0</v>
          </cell>
          <cell r="I327">
            <v>0</v>
          </cell>
          <cell r="J327">
            <v>0</v>
          </cell>
          <cell r="K327">
            <v>0</v>
          </cell>
          <cell r="L327">
            <v>0</v>
          </cell>
          <cell r="M327">
            <v>0</v>
          </cell>
        </row>
        <row r="328">
          <cell r="D328" t="str">
            <v>8d72</v>
          </cell>
          <cell r="E328" t="str">
            <v>其他权益工具（其他）_盈余公积转增资本</v>
          </cell>
          <cell r="F328">
            <v>0</v>
          </cell>
          <cell r="G328">
            <v>0</v>
          </cell>
          <cell r="H328">
            <v>0</v>
          </cell>
          <cell r="I328">
            <v>0</v>
          </cell>
          <cell r="J328">
            <v>0</v>
          </cell>
          <cell r="K328">
            <v>0</v>
          </cell>
          <cell r="L328">
            <v>0</v>
          </cell>
          <cell r="M328">
            <v>0</v>
          </cell>
        </row>
        <row r="329">
          <cell r="D329" t="str">
            <v>8d73</v>
          </cell>
          <cell r="E329" t="str">
            <v>其他权益工具（其他）_盈余公积弥补亏损</v>
          </cell>
          <cell r="F329">
            <v>0</v>
          </cell>
          <cell r="G329">
            <v>0</v>
          </cell>
          <cell r="H329">
            <v>0</v>
          </cell>
          <cell r="I329">
            <v>0</v>
          </cell>
          <cell r="J329">
            <v>0</v>
          </cell>
          <cell r="K329">
            <v>0</v>
          </cell>
          <cell r="L329">
            <v>0</v>
          </cell>
          <cell r="M329">
            <v>0</v>
          </cell>
        </row>
        <row r="330">
          <cell r="D330" t="str">
            <v>8d75</v>
          </cell>
          <cell r="E330" t="str">
            <v>其他权益工具（其他）_设定受益计划变动额结转留存收益</v>
          </cell>
          <cell r="F330">
            <v>0</v>
          </cell>
          <cell r="G330">
            <v>0</v>
          </cell>
          <cell r="H330">
            <v>0</v>
          </cell>
          <cell r="I330">
            <v>0</v>
          </cell>
          <cell r="J330">
            <v>0</v>
          </cell>
          <cell r="K330">
            <v>0</v>
          </cell>
          <cell r="L330">
            <v>0</v>
          </cell>
          <cell r="M330">
            <v>0</v>
          </cell>
        </row>
        <row r="331">
          <cell r="D331" t="str">
            <v>8d76</v>
          </cell>
          <cell r="E331" t="str">
            <v>其他权益工具（其他）_所有者权益其他内部结转</v>
          </cell>
          <cell r="F331">
            <v>0</v>
          </cell>
          <cell r="G331">
            <v>0</v>
          </cell>
          <cell r="H331">
            <v>0</v>
          </cell>
          <cell r="I331">
            <v>0</v>
          </cell>
          <cell r="J331">
            <v>0</v>
          </cell>
          <cell r="K331">
            <v>0</v>
          </cell>
          <cell r="L331">
            <v>0</v>
          </cell>
          <cell r="M331">
            <v>0</v>
          </cell>
        </row>
        <row r="332">
          <cell r="D332" t="str">
            <v>8d80</v>
          </cell>
          <cell r="E332" t="str">
            <v>其他权益工具（其他）_专项储备影响权益</v>
          </cell>
          <cell r="F332">
            <v>0</v>
          </cell>
          <cell r="G332">
            <v>0</v>
          </cell>
          <cell r="H332">
            <v>0</v>
          </cell>
          <cell r="I332">
            <v>0</v>
          </cell>
          <cell r="J332">
            <v>0</v>
          </cell>
          <cell r="K332">
            <v>0</v>
          </cell>
          <cell r="L332">
            <v>0</v>
          </cell>
          <cell r="M332">
            <v>0</v>
          </cell>
        </row>
        <row r="333">
          <cell r="D333" t="str">
            <v>8d81</v>
          </cell>
          <cell r="E333" t="str">
            <v>其他权益工具（其他）_专项储备本期提取</v>
          </cell>
          <cell r="F333">
            <v>0</v>
          </cell>
          <cell r="G333">
            <v>0</v>
          </cell>
          <cell r="H333">
            <v>0</v>
          </cell>
          <cell r="I333">
            <v>0</v>
          </cell>
          <cell r="J333">
            <v>0</v>
          </cell>
          <cell r="K333">
            <v>0</v>
          </cell>
          <cell r="L333">
            <v>0</v>
          </cell>
          <cell r="M333">
            <v>0</v>
          </cell>
        </row>
        <row r="334">
          <cell r="D334" t="str">
            <v>8d82</v>
          </cell>
          <cell r="E334" t="str">
            <v>其他权益工具（其他）_专项储备本期使用</v>
          </cell>
          <cell r="F334">
            <v>0</v>
          </cell>
          <cell r="G334">
            <v>0</v>
          </cell>
          <cell r="H334">
            <v>0</v>
          </cell>
          <cell r="I334">
            <v>0</v>
          </cell>
          <cell r="J334">
            <v>0</v>
          </cell>
          <cell r="K334">
            <v>0</v>
          </cell>
          <cell r="L334">
            <v>0</v>
          </cell>
          <cell r="M334">
            <v>0</v>
          </cell>
        </row>
        <row r="335">
          <cell r="D335" t="str">
            <v>8d96</v>
          </cell>
          <cell r="E335" t="str">
            <v>其他权益工具（其他）_本期其他增减变动</v>
          </cell>
          <cell r="F335">
            <v>0</v>
          </cell>
          <cell r="G335">
            <v>0</v>
          </cell>
          <cell r="H335">
            <v>0</v>
          </cell>
          <cell r="I335">
            <v>0</v>
          </cell>
          <cell r="J335">
            <v>0</v>
          </cell>
          <cell r="K335">
            <v>0</v>
          </cell>
          <cell r="L335">
            <v>0</v>
          </cell>
          <cell r="M335">
            <v>0</v>
          </cell>
        </row>
        <row r="336">
          <cell r="D336" t="str">
            <v>8d99</v>
          </cell>
          <cell r="E336" t="str">
            <v>其他权益工具（其他）_本期期末余额</v>
          </cell>
          <cell r="F336">
            <v>0</v>
          </cell>
          <cell r="G336">
            <v>0</v>
          </cell>
          <cell r="H336">
            <v>0</v>
          </cell>
          <cell r="I336">
            <v>0</v>
          </cell>
          <cell r="J336">
            <v>0</v>
          </cell>
          <cell r="K336">
            <v>0</v>
          </cell>
          <cell r="L336">
            <v>0</v>
          </cell>
          <cell r="M336">
            <v>0</v>
          </cell>
        </row>
        <row r="337">
          <cell r="D337">
            <v>8200</v>
          </cell>
          <cell r="E337" t="str">
            <v>资本公积增减变动</v>
          </cell>
          <cell r="F337">
            <v>0</v>
          </cell>
          <cell r="G337">
            <v>0</v>
          </cell>
          <cell r="H337">
            <v>0</v>
          </cell>
          <cell r="I337">
            <v>0</v>
          </cell>
          <cell r="J337">
            <v>0</v>
          </cell>
          <cell r="K337">
            <v>0</v>
          </cell>
          <cell r="L337">
            <v>0</v>
          </cell>
          <cell r="M337">
            <v>0</v>
          </cell>
        </row>
        <row r="338">
          <cell r="D338">
            <v>8201</v>
          </cell>
          <cell r="E338" t="str">
            <v>资本公积_上年年末余额</v>
          </cell>
          <cell r="F338">
            <v>0</v>
          </cell>
          <cell r="G338">
            <v>0</v>
          </cell>
          <cell r="H338">
            <v>0</v>
          </cell>
          <cell r="I338">
            <v>0</v>
          </cell>
          <cell r="J338">
            <v>0</v>
          </cell>
          <cell r="K338">
            <v>0</v>
          </cell>
          <cell r="L338">
            <v>0</v>
          </cell>
          <cell r="M338">
            <v>0</v>
          </cell>
        </row>
        <row r="339">
          <cell r="D339">
            <v>8202</v>
          </cell>
          <cell r="E339" t="str">
            <v>资本公积_会计政策变更调整上年年末余额</v>
          </cell>
          <cell r="F339">
            <v>0</v>
          </cell>
          <cell r="G339">
            <v>0</v>
          </cell>
          <cell r="H339">
            <v>0</v>
          </cell>
          <cell r="I339">
            <v>0</v>
          </cell>
          <cell r="J339">
            <v>0</v>
          </cell>
          <cell r="K339">
            <v>0</v>
          </cell>
          <cell r="L339">
            <v>0</v>
          </cell>
          <cell r="M339">
            <v>0</v>
          </cell>
        </row>
        <row r="340">
          <cell r="D340">
            <v>8203</v>
          </cell>
          <cell r="E340" t="str">
            <v>资本公积_前期差错更正调整上年年末余额</v>
          </cell>
          <cell r="F340">
            <v>0</v>
          </cell>
          <cell r="G340">
            <v>0</v>
          </cell>
          <cell r="H340">
            <v>0</v>
          </cell>
          <cell r="I340">
            <v>0</v>
          </cell>
          <cell r="J340">
            <v>0</v>
          </cell>
          <cell r="K340">
            <v>0</v>
          </cell>
          <cell r="L340">
            <v>0</v>
          </cell>
          <cell r="M340">
            <v>0</v>
          </cell>
        </row>
        <row r="341">
          <cell r="D341">
            <v>8204</v>
          </cell>
          <cell r="E341" t="str">
            <v>资本公积_同一控制下企业合并调整上年年末余额</v>
          </cell>
          <cell r="F341">
            <v>0</v>
          </cell>
          <cell r="G341">
            <v>0</v>
          </cell>
          <cell r="H341">
            <v>0</v>
          </cell>
          <cell r="I341">
            <v>0</v>
          </cell>
          <cell r="J341">
            <v>0</v>
          </cell>
          <cell r="K341">
            <v>0</v>
          </cell>
          <cell r="L341">
            <v>0</v>
          </cell>
          <cell r="M341">
            <v>0</v>
          </cell>
        </row>
        <row r="342">
          <cell r="D342">
            <v>8209</v>
          </cell>
          <cell r="E342" t="str">
            <v>资本公积_其他原因调整上年年末余额</v>
          </cell>
          <cell r="F342">
            <v>0</v>
          </cell>
          <cell r="G342">
            <v>0</v>
          </cell>
          <cell r="H342">
            <v>0</v>
          </cell>
          <cell r="I342">
            <v>0</v>
          </cell>
          <cell r="J342">
            <v>0</v>
          </cell>
          <cell r="K342">
            <v>0</v>
          </cell>
          <cell r="L342">
            <v>0</v>
          </cell>
          <cell r="M342">
            <v>0</v>
          </cell>
        </row>
        <row r="343">
          <cell r="D343">
            <v>8210</v>
          </cell>
          <cell r="E343" t="str">
            <v>资本公积_本年年初余额</v>
          </cell>
          <cell r="F343">
            <v>0</v>
          </cell>
          <cell r="G343">
            <v>0</v>
          </cell>
          <cell r="H343">
            <v>0</v>
          </cell>
          <cell r="I343">
            <v>0</v>
          </cell>
          <cell r="J343">
            <v>0</v>
          </cell>
          <cell r="K343">
            <v>0</v>
          </cell>
          <cell r="L343">
            <v>0</v>
          </cell>
          <cell r="M343">
            <v>0</v>
          </cell>
        </row>
        <row r="344">
          <cell r="D344">
            <v>8290</v>
          </cell>
          <cell r="E344" t="str">
            <v>资本公积_本期增减变动金额</v>
          </cell>
          <cell r="F344">
            <v>0</v>
          </cell>
          <cell r="G344">
            <v>0</v>
          </cell>
          <cell r="H344">
            <v>0</v>
          </cell>
          <cell r="I344">
            <v>0</v>
          </cell>
          <cell r="J344">
            <v>0</v>
          </cell>
          <cell r="K344">
            <v>0</v>
          </cell>
          <cell r="L344">
            <v>0</v>
          </cell>
          <cell r="M344">
            <v>0</v>
          </cell>
        </row>
        <row r="345">
          <cell r="D345">
            <v>8221</v>
          </cell>
          <cell r="E345" t="str">
            <v>资本公积_净利润增加权益</v>
          </cell>
          <cell r="F345">
            <v>0</v>
          </cell>
          <cell r="G345">
            <v>0</v>
          </cell>
          <cell r="H345">
            <v>0</v>
          </cell>
          <cell r="I345">
            <v>0</v>
          </cell>
          <cell r="J345">
            <v>0</v>
          </cell>
          <cell r="K345">
            <v>0</v>
          </cell>
          <cell r="L345">
            <v>0</v>
          </cell>
          <cell r="M345">
            <v>0</v>
          </cell>
        </row>
        <row r="346">
          <cell r="D346">
            <v>8230</v>
          </cell>
          <cell r="E346" t="str">
            <v>资本公积_其他综合收益</v>
          </cell>
          <cell r="F346">
            <v>0</v>
          </cell>
          <cell r="G346">
            <v>0</v>
          </cell>
          <cell r="H346">
            <v>0</v>
          </cell>
          <cell r="I346">
            <v>0</v>
          </cell>
          <cell r="J346">
            <v>0</v>
          </cell>
          <cell r="K346">
            <v>0</v>
          </cell>
          <cell r="L346">
            <v>0</v>
          </cell>
          <cell r="M346">
            <v>0</v>
          </cell>
        </row>
        <row r="347">
          <cell r="D347">
            <v>8240</v>
          </cell>
          <cell r="E347" t="str">
            <v>资本公积_综合收益总额增加权益</v>
          </cell>
          <cell r="F347">
            <v>0</v>
          </cell>
          <cell r="G347">
            <v>0</v>
          </cell>
          <cell r="H347">
            <v>0</v>
          </cell>
          <cell r="I347">
            <v>0</v>
          </cell>
          <cell r="J347">
            <v>0</v>
          </cell>
          <cell r="K347">
            <v>0</v>
          </cell>
          <cell r="L347">
            <v>0</v>
          </cell>
          <cell r="M347">
            <v>0</v>
          </cell>
        </row>
        <row r="348">
          <cell r="D348">
            <v>8250</v>
          </cell>
          <cell r="E348" t="str">
            <v>资本公积_所有者投入和减少资本影响权益</v>
          </cell>
          <cell r="F348">
            <v>0</v>
          </cell>
          <cell r="G348">
            <v>0</v>
          </cell>
          <cell r="H348">
            <v>0</v>
          </cell>
          <cell r="I348">
            <v>0</v>
          </cell>
          <cell r="J348">
            <v>0</v>
          </cell>
          <cell r="K348">
            <v>0</v>
          </cell>
          <cell r="L348">
            <v>0</v>
          </cell>
          <cell r="M348">
            <v>0</v>
          </cell>
        </row>
        <row r="349">
          <cell r="D349">
            <v>8251</v>
          </cell>
          <cell r="E349" t="str">
            <v>资本公积_所有者投入资本</v>
          </cell>
          <cell r="F349">
            <v>0</v>
          </cell>
          <cell r="G349">
            <v>0</v>
          </cell>
          <cell r="H349">
            <v>0</v>
          </cell>
          <cell r="I349">
            <v>0</v>
          </cell>
          <cell r="J349">
            <v>0</v>
          </cell>
          <cell r="K349">
            <v>0</v>
          </cell>
          <cell r="L349">
            <v>0</v>
          </cell>
          <cell r="M349">
            <v>0</v>
          </cell>
        </row>
        <row r="350">
          <cell r="D350">
            <v>8253</v>
          </cell>
          <cell r="E350" t="str">
            <v>资本公积_其他权益工具持有者投入资本</v>
          </cell>
          <cell r="F350">
            <v>0</v>
          </cell>
          <cell r="G350">
            <v>0</v>
          </cell>
          <cell r="H350">
            <v>0</v>
          </cell>
          <cell r="I350">
            <v>0</v>
          </cell>
          <cell r="J350">
            <v>0</v>
          </cell>
          <cell r="K350">
            <v>0</v>
          </cell>
          <cell r="L350">
            <v>0</v>
          </cell>
          <cell r="M350">
            <v>0</v>
          </cell>
        </row>
        <row r="351">
          <cell r="D351">
            <v>8252</v>
          </cell>
          <cell r="E351" t="str">
            <v>资本公积_股份支付</v>
          </cell>
          <cell r="F351">
            <v>0</v>
          </cell>
          <cell r="G351">
            <v>0</v>
          </cell>
          <cell r="H351">
            <v>0</v>
          </cell>
          <cell r="I351">
            <v>0</v>
          </cell>
          <cell r="J351">
            <v>0</v>
          </cell>
          <cell r="K351">
            <v>0</v>
          </cell>
          <cell r="L351">
            <v>0</v>
          </cell>
          <cell r="M351">
            <v>0</v>
          </cell>
        </row>
        <row r="352">
          <cell r="D352">
            <v>8256</v>
          </cell>
          <cell r="E352" t="str">
            <v>资本公积_所有者其他投入和减少资本</v>
          </cell>
          <cell r="F352">
            <v>0</v>
          </cell>
          <cell r="G352">
            <v>0</v>
          </cell>
          <cell r="H352">
            <v>0</v>
          </cell>
          <cell r="I352">
            <v>0</v>
          </cell>
          <cell r="J352">
            <v>0</v>
          </cell>
          <cell r="K352">
            <v>0</v>
          </cell>
          <cell r="L352">
            <v>0</v>
          </cell>
          <cell r="M352">
            <v>0</v>
          </cell>
        </row>
        <row r="353">
          <cell r="D353">
            <v>8260</v>
          </cell>
          <cell r="E353" t="str">
            <v>资本公积_利润分配影响权益</v>
          </cell>
          <cell r="F353">
            <v>0</v>
          </cell>
          <cell r="G353">
            <v>0</v>
          </cell>
          <cell r="H353">
            <v>0</v>
          </cell>
          <cell r="I353">
            <v>0</v>
          </cell>
          <cell r="J353">
            <v>0</v>
          </cell>
          <cell r="K353">
            <v>0</v>
          </cell>
          <cell r="L353">
            <v>0</v>
          </cell>
          <cell r="M353">
            <v>0</v>
          </cell>
        </row>
        <row r="354">
          <cell r="D354">
            <v>8261</v>
          </cell>
          <cell r="E354" t="str">
            <v>资本公积_提取盈余公积影响权益</v>
          </cell>
          <cell r="F354">
            <v>0</v>
          </cell>
          <cell r="G354">
            <v>0</v>
          </cell>
          <cell r="H354">
            <v>0</v>
          </cell>
          <cell r="I354">
            <v>0</v>
          </cell>
          <cell r="J354">
            <v>0</v>
          </cell>
          <cell r="K354">
            <v>0</v>
          </cell>
          <cell r="L354">
            <v>0</v>
          </cell>
          <cell r="M354">
            <v>0</v>
          </cell>
        </row>
        <row r="355">
          <cell r="D355">
            <v>8262</v>
          </cell>
          <cell r="E355" t="str">
            <v>资本公积_提取一般风险准备影响权益</v>
          </cell>
          <cell r="F355">
            <v>0</v>
          </cell>
          <cell r="G355">
            <v>0</v>
          </cell>
          <cell r="H355">
            <v>0</v>
          </cell>
          <cell r="I355">
            <v>0</v>
          </cell>
          <cell r="J355">
            <v>0</v>
          </cell>
          <cell r="K355">
            <v>0</v>
          </cell>
          <cell r="L355">
            <v>0</v>
          </cell>
          <cell r="M355">
            <v>0</v>
          </cell>
        </row>
        <row r="356">
          <cell r="D356">
            <v>8263</v>
          </cell>
          <cell r="E356" t="str">
            <v>资本公积_对所有者的分配影响权益</v>
          </cell>
          <cell r="F356">
            <v>0</v>
          </cell>
          <cell r="G356">
            <v>0</v>
          </cell>
          <cell r="H356">
            <v>0</v>
          </cell>
          <cell r="I356">
            <v>0</v>
          </cell>
          <cell r="J356">
            <v>0</v>
          </cell>
          <cell r="K356">
            <v>0</v>
          </cell>
          <cell r="L356">
            <v>0</v>
          </cell>
          <cell r="M356">
            <v>0</v>
          </cell>
        </row>
        <row r="357">
          <cell r="D357">
            <v>8266</v>
          </cell>
          <cell r="E357" t="str">
            <v>资本公积_其他利润分配</v>
          </cell>
          <cell r="F357">
            <v>0</v>
          </cell>
          <cell r="G357">
            <v>0</v>
          </cell>
          <cell r="H357">
            <v>0</v>
          </cell>
          <cell r="I357">
            <v>0</v>
          </cell>
          <cell r="J357">
            <v>0</v>
          </cell>
          <cell r="K357">
            <v>0</v>
          </cell>
          <cell r="L357">
            <v>0</v>
          </cell>
          <cell r="M357">
            <v>0</v>
          </cell>
        </row>
        <row r="358">
          <cell r="D358">
            <v>8270</v>
          </cell>
          <cell r="E358" t="str">
            <v>资本公积_所有者权益内部结转</v>
          </cell>
          <cell r="F358">
            <v>0</v>
          </cell>
          <cell r="G358">
            <v>0</v>
          </cell>
          <cell r="H358">
            <v>0</v>
          </cell>
          <cell r="I358">
            <v>0</v>
          </cell>
          <cell r="J358">
            <v>0</v>
          </cell>
          <cell r="K358">
            <v>0</v>
          </cell>
          <cell r="L358">
            <v>0</v>
          </cell>
          <cell r="M358">
            <v>0</v>
          </cell>
        </row>
        <row r="359">
          <cell r="D359">
            <v>8271</v>
          </cell>
          <cell r="E359" t="str">
            <v>资本公积_转增资本</v>
          </cell>
          <cell r="F359">
            <v>0</v>
          </cell>
          <cell r="G359">
            <v>0</v>
          </cell>
          <cell r="H359">
            <v>0</v>
          </cell>
          <cell r="I359">
            <v>0</v>
          </cell>
          <cell r="J359">
            <v>0</v>
          </cell>
          <cell r="K359">
            <v>0</v>
          </cell>
          <cell r="L359">
            <v>0</v>
          </cell>
          <cell r="M359">
            <v>0</v>
          </cell>
        </row>
        <row r="360">
          <cell r="D360">
            <v>8272</v>
          </cell>
          <cell r="E360" t="str">
            <v>资本公积_盈余公积转增资本影响权益</v>
          </cell>
          <cell r="F360">
            <v>0</v>
          </cell>
          <cell r="G360">
            <v>0</v>
          </cell>
          <cell r="H360">
            <v>0</v>
          </cell>
          <cell r="I360">
            <v>0</v>
          </cell>
          <cell r="J360">
            <v>0</v>
          </cell>
          <cell r="K360">
            <v>0</v>
          </cell>
          <cell r="L360">
            <v>0</v>
          </cell>
          <cell r="M360">
            <v>0</v>
          </cell>
        </row>
        <row r="361">
          <cell r="D361">
            <v>8273</v>
          </cell>
          <cell r="E361" t="str">
            <v>资本公积_盈余公积弥补亏损影响权益</v>
          </cell>
          <cell r="F361">
            <v>0</v>
          </cell>
          <cell r="G361">
            <v>0</v>
          </cell>
          <cell r="H361">
            <v>0</v>
          </cell>
          <cell r="I361">
            <v>0</v>
          </cell>
          <cell r="J361">
            <v>0</v>
          </cell>
          <cell r="K361">
            <v>0</v>
          </cell>
          <cell r="L361">
            <v>0</v>
          </cell>
          <cell r="M361">
            <v>0</v>
          </cell>
        </row>
        <row r="362">
          <cell r="D362">
            <v>8275</v>
          </cell>
          <cell r="E362" t="str">
            <v>资本公积_设定受益计划变动额结转留存收益</v>
          </cell>
          <cell r="F362">
            <v>0</v>
          </cell>
          <cell r="G362">
            <v>0</v>
          </cell>
          <cell r="H362">
            <v>0</v>
          </cell>
          <cell r="I362">
            <v>0</v>
          </cell>
          <cell r="J362">
            <v>0</v>
          </cell>
          <cell r="K362">
            <v>0</v>
          </cell>
          <cell r="L362">
            <v>0</v>
          </cell>
          <cell r="M362">
            <v>0</v>
          </cell>
        </row>
        <row r="363">
          <cell r="D363">
            <v>8276</v>
          </cell>
          <cell r="E363" t="str">
            <v>资本公积_所有者权益其他内部结转</v>
          </cell>
          <cell r="F363">
            <v>0</v>
          </cell>
          <cell r="G363">
            <v>0</v>
          </cell>
          <cell r="H363">
            <v>0</v>
          </cell>
          <cell r="I363">
            <v>0</v>
          </cell>
          <cell r="J363">
            <v>0</v>
          </cell>
          <cell r="K363">
            <v>0</v>
          </cell>
          <cell r="L363">
            <v>0</v>
          </cell>
          <cell r="M363">
            <v>0</v>
          </cell>
        </row>
        <row r="364">
          <cell r="D364">
            <v>8280</v>
          </cell>
          <cell r="E364" t="str">
            <v>资本公积_专项储备影响权益</v>
          </cell>
          <cell r="F364">
            <v>0</v>
          </cell>
          <cell r="G364">
            <v>0</v>
          </cell>
          <cell r="H364">
            <v>0</v>
          </cell>
          <cell r="I364">
            <v>0</v>
          </cell>
          <cell r="J364">
            <v>0</v>
          </cell>
          <cell r="K364">
            <v>0</v>
          </cell>
          <cell r="L364">
            <v>0</v>
          </cell>
          <cell r="M364">
            <v>0</v>
          </cell>
        </row>
        <row r="365">
          <cell r="D365">
            <v>8281</v>
          </cell>
          <cell r="E365" t="str">
            <v>资本公积_专项储备本期提取</v>
          </cell>
          <cell r="F365">
            <v>0</v>
          </cell>
          <cell r="G365">
            <v>0</v>
          </cell>
          <cell r="H365">
            <v>0</v>
          </cell>
          <cell r="I365">
            <v>0</v>
          </cell>
          <cell r="J365">
            <v>0</v>
          </cell>
          <cell r="K365">
            <v>0</v>
          </cell>
          <cell r="L365">
            <v>0</v>
          </cell>
          <cell r="M365">
            <v>0</v>
          </cell>
        </row>
        <row r="366">
          <cell r="D366">
            <v>8282</v>
          </cell>
          <cell r="E366" t="str">
            <v>资本公积_专项储备本期使用</v>
          </cell>
          <cell r="F366">
            <v>0</v>
          </cell>
          <cell r="G366">
            <v>0</v>
          </cell>
          <cell r="H366">
            <v>0</v>
          </cell>
          <cell r="I366">
            <v>0</v>
          </cell>
          <cell r="J366">
            <v>0</v>
          </cell>
          <cell r="K366">
            <v>0</v>
          </cell>
          <cell r="L366">
            <v>0</v>
          </cell>
          <cell r="M366">
            <v>0</v>
          </cell>
        </row>
        <row r="367">
          <cell r="D367">
            <v>8296</v>
          </cell>
          <cell r="E367" t="str">
            <v>资本公积_本期其他增减变动</v>
          </cell>
          <cell r="F367">
            <v>0</v>
          </cell>
          <cell r="G367">
            <v>0</v>
          </cell>
          <cell r="H367">
            <v>0</v>
          </cell>
          <cell r="I367">
            <v>0</v>
          </cell>
          <cell r="J367">
            <v>0</v>
          </cell>
          <cell r="K367">
            <v>0</v>
          </cell>
          <cell r="L367">
            <v>0</v>
          </cell>
          <cell r="M367">
            <v>0</v>
          </cell>
        </row>
        <row r="368">
          <cell r="D368">
            <v>8299</v>
          </cell>
          <cell r="E368" t="str">
            <v>资本公积_本期期末余额</v>
          </cell>
          <cell r="F368">
            <v>0</v>
          </cell>
          <cell r="G368">
            <v>0</v>
          </cell>
          <cell r="H368">
            <v>0</v>
          </cell>
          <cell r="I368">
            <v>0</v>
          </cell>
          <cell r="J368">
            <v>0</v>
          </cell>
          <cell r="K368">
            <v>0</v>
          </cell>
          <cell r="L368">
            <v>0</v>
          </cell>
          <cell r="M368">
            <v>0</v>
          </cell>
        </row>
        <row r="369">
          <cell r="D369">
            <v>8300</v>
          </cell>
          <cell r="E369" t="str">
            <v>库存股增减变动</v>
          </cell>
          <cell r="F369">
            <v>0</v>
          </cell>
          <cell r="G369">
            <v>0</v>
          </cell>
          <cell r="H369">
            <v>0</v>
          </cell>
          <cell r="I369">
            <v>0</v>
          </cell>
          <cell r="J369">
            <v>0</v>
          </cell>
          <cell r="K369">
            <v>0</v>
          </cell>
          <cell r="L369">
            <v>0</v>
          </cell>
          <cell r="M369">
            <v>0</v>
          </cell>
        </row>
        <row r="370">
          <cell r="D370">
            <v>8301</v>
          </cell>
          <cell r="E370" t="str">
            <v>库存股_上年年末余额</v>
          </cell>
          <cell r="F370">
            <v>0</v>
          </cell>
          <cell r="G370">
            <v>0</v>
          </cell>
          <cell r="H370">
            <v>0</v>
          </cell>
          <cell r="I370">
            <v>0</v>
          </cell>
          <cell r="J370">
            <v>0</v>
          </cell>
          <cell r="K370">
            <v>0</v>
          </cell>
          <cell r="L370">
            <v>0</v>
          </cell>
          <cell r="M370">
            <v>0</v>
          </cell>
        </row>
        <row r="371">
          <cell r="D371">
            <v>8302</v>
          </cell>
          <cell r="E371" t="str">
            <v>库存股_会计政策变更调整上年年末余额</v>
          </cell>
          <cell r="F371">
            <v>0</v>
          </cell>
          <cell r="G371">
            <v>0</v>
          </cell>
          <cell r="H371">
            <v>0</v>
          </cell>
          <cell r="I371">
            <v>0</v>
          </cell>
          <cell r="J371">
            <v>0</v>
          </cell>
          <cell r="K371">
            <v>0</v>
          </cell>
          <cell r="L371">
            <v>0</v>
          </cell>
          <cell r="M371">
            <v>0</v>
          </cell>
        </row>
        <row r="372">
          <cell r="D372">
            <v>8303</v>
          </cell>
          <cell r="E372" t="str">
            <v>库存股_前期差错更正调整上年年末余额</v>
          </cell>
          <cell r="F372">
            <v>0</v>
          </cell>
          <cell r="G372">
            <v>0</v>
          </cell>
          <cell r="H372">
            <v>0</v>
          </cell>
          <cell r="I372">
            <v>0</v>
          </cell>
          <cell r="J372">
            <v>0</v>
          </cell>
          <cell r="K372">
            <v>0</v>
          </cell>
          <cell r="L372">
            <v>0</v>
          </cell>
          <cell r="M372">
            <v>0</v>
          </cell>
        </row>
        <row r="373">
          <cell r="D373">
            <v>8304</v>
          </cell>
          <cell r="E373" t="str">
            <v>库存股_同一控制下企业合并调整上年年末余额</v>
          </cell>
          <cell r="F373">
            <v>0</v>
          </cell>
          <cell r="G373">
            <v>0</v>
          </cell>
          <cell r="H373">
            <v>0</v>
          </cell>
          <cell r="I373">
            <v>0</v>
          </cell>
          <cell r="J373">
            <v>0</v>
          </cell>
          <cell r="K373">
            <v>0</v>
          </cell>
          <cell r="L373">
            <v>0</v>
          </cell>
          <cell r="M373">
            <v>0</v>
          </cell>
        </row>
        <row r="374">
          <cell r="D374">
            <v>8309</v>
          </cell>
          <cell r="E374" t="str">
            <v>库存股_其他原因调整上年年末余额</v>
          </cell>
          <cell r="F374">
            <v>0</v>
          </cell>
          <cell r="G374">
            <v>0</v>
          </cell>
          <cell r="H374">
            <v>0</v>
          </cell>
          <cell r="I374">
            <v>0</v>
          </cell>
          <cell r="J374">
            <v>0</v>
          </cell>
          <cell r="K374">
            <v>0</v>
          </cell>
          <cell r="L374">
            <v>0</v>
          </cell>
          <cell r="M374">
            <v>0</v>
          </cell>
        </row>
        <row r="375">
          <cell r="D375">
            <v>8310</v>
          </cell>
          <cell r="E375" t="str">
            <v>库存股_本年年初余额</v>
          </cell>
          <cell r="F375">
            <v>0</v>
          </cell>
          <cell r="G375">
            <v>0</v>
          </cell>
          <cell r="H375">
            <v>0</v>
          </cell>
          <cell r="I375">
            <v>0</v>
          </cell>
          <cell r="J375">
            <v>0</v>
          </cell>
          <cell r="K375">
            <v>0</v>
          </cell>
          <cell r="L375">
            <v>0</v>
          </cell>
          <cell r="M375">
            <v>0</v>
          </cell>
        </row>
        <row r="376">
          <cell r="D376">
            <v>8390</v>
          </cell>
          <cell r="E376" t="str">
            <v>库存股_本期增减变动金额</v>
          </cell>
          <cell r="F376">
            <v>0</v>
          </cell>
          <cell r="G376">
            <v>0</v>
          </cell>
          <cell r="H376">
            <v>0</v>
          </cell>
          <cell r="I376">
            <v>0</v>
          </cell>
          <cell r="J376">
            <v>0</v>
          </cell>
          <cell r="K376">
            <v>0</v>
          </cell>
          <cell r="L376">
            <v>0</v>
          </cell>
          <cell r="M376">
            <v>0</v>
          </cell>
        </row>
        <row r="377">
          <cell r="D377">
            <v>8321</v>
          </cell>
          <cell r="E377" t="str">
            <v>库存股_净利润增加权益</v>
          </cell>
          <cell r="F377">
            <v>0</v>
          </cell>
          <cell r="G377">
            <v>0</v>
          </cell>
          <cell r="H377">
            <v>0</v>
          </cell>
          <cell r="I377">
            <v>0</v>
          </cell>
          <cell r="J377">
            <v>0</v>
          </cell>
          <cell r="K377">
            <v>0</v>
          </cell>
          <cell r="L377">
            <v>0</v>
          </cell>
          <cell r="M377">
            <v>0</v>
          </cell>
        </row>
        <row r="378">
          <cell r="D378">
            <v>8330</v>
          </cell>
          <cell r="E378" t="str">
            <v>库存股_其他综合收益增加权益</v>
          </cell>
          <cell r="F378">
            <v>0</v>
          </cell>
          <cell r="G378">
            <v>0</v>
          </cell>
          <cell r="H378">
            <v>0</v>
          </cell>
          <cell r="I378">
            <v>0</v>
          </cell>
          <cell r="J378">
            <v>0</v>
          </cell>
          <cell r="K378">
            <v>0</v>
          </cell>
          <cell r="L378">
            <v>0</v>
          </cell>
          <cell r="M378">
            <v>0</v>
          </cell>
        </row>
        <row r="379">
          <cell r="D379">
            <v>8340</v>
          </cell>
          <cell r="E379" t="str">
            <v>库存股_综合收益总额增加权益</v>
          </cell>
          <cell r="F379">
            <v>0</v>
          </cell>
          <cell r="G379">
            <v>0</v>
          </cell>
          <cell r="H379">
            <v>0</v>
          </cell>
          <cell r="I379">
            <v>0</v>
          </cell>
          <cell r="J379">
            <v>0</v>
          </cell>
          <cell r="K379">
            <v>0</v>
          </cell>
          <cell r="L379">
            <v>0</v>
          </cell>
          <cell r="M379">
            <v>0</v>
          </cell>
        </row>
        <row r="380">
          <cell r="D380">
            <v>8350</v>
          </cell>
          <cell r="E380" t="str">
            <v>库存股_所有者投入和减少资本影响权益</v>
          </cell>
          <cell r="F380">
            <v>0</v>
          </cell>
          <cell r="G380">
            <v>0</v>
          </cell>
          <cell r="H380">
            <v>0</v>
          </cell>
          <cell r="I380">
            <v>0</v>
          </cell>
          <cell r="J380">
            <v>0</v>
          </cell>
          <cell r="K380">
            <v>0</v>
          </cell>
          <cell r="L380">
            <v>0</v>
          </cell>
          <cell r="M380">
            <v>0</v>
          </cell>
        </row>
        <row r="381">
          <cell r="D381">
            <v>8351</v>
          </cell>
          <cell r="E381" t="str">
            <v>库存股_所有者投入资本</v>
          </cell>
          <cell r="F381">
            <v>0</v>
          </cell>
          <cell r="G381">
            <v>0</v>
          </cell>
          <cell r="H381">
            <v>0</v>
          </cell>
          <cell r="I381">
            <v>0</v>
          </cell>
          <cell r="J381">
            <v>0</v>
          </cell>
          <cell r="K381">
            <v>0</v>
          </cell>
          <cell r="L381">
            <v>0</v>
          </cell>
          <cell r="M381">
            <v>0</v>
          </cell>
        </row>
        <row r="382">
          <cell r="D382">
            <v>8353</v>
          </cell>
          <cell r="E382" t="str">
            <v>库存股_其他权益工具持有者投入资本</v>
          </cell>
          <cell r="F382">
            <v>0</v>
          </cell>
          <cell r="G382">
            <v>0</v>
          </cell>
          <cell r="H382">
            <v>0</v>
          </cell>
          <cell r="I382">
            <v>0</v>
          </cell>
          <cell r="J382">
            <v>0</v>
          </cell>
          <cell r="K382">
            <v>0</v>
          </cell>
          <cell r="L382">
            <v>0</v>
          </cell>
          <cell r="M382">
            <v>0</v>
          </cell>
        </row>
        <row r="383">
          <cell r="D383">
            <v>8352</v>
          </cell>
          <cell r="E383" t="str">
            <v>库存股_股份支付</v>
          </cell>
          <cell r="F383">
            <v>0</v>
          </cell>
          <cell r="G383">
            <v>0</v>
          </cell>
          <cell r="H383">
            <v>0</v>
          </cell>
          <cell r="I383">
            <v>0</v>
          </cell>
          <cell r="J383">
            <v>0</v>
          </cell>
          <cell r="K383">
            <v>0</v>
          </cell>
          <cell r="L383">
            <v>0</v>
          </cell>
          <cell r="M383">
            <v>0</v>
          </cell>
        </row>
        <row r="384">
          <cell r="D384">
            <v>8356</v>
          </cell>
          <cell r="E384" t="str">
            <v>库存股_所有者其他投入和减少资本</v>
          </cell>
          <cell r="F384">
            <v>0</v>
          </cell>
          <cell r="G384">
            <v>0</v>
          </cell>
          <cell r="H384">
            <v>0</v>
          </cell>
          <cell r="I384">
            <v>0</v>
          </cell>
          <cell r="J384">
            <v>0</v>
          </cell>
          <cell r="K384">
            <v>0</v>
          </cell>
          <cell r="L384">
            <v>0</v>
          </cell>
          <cell r="M384">
            <v>0</v>
          </cell>
        </row>
        <row r="385">
          <cell r="D385">
            <v>8360</v>
          </cell>
          <cell r="E385" t="str">
            <v>库存股_利润分配影响权益</v>
          </cell>
          <cell r="F385">
            <v>0</v>
          </cell>
          <cell r="G385">
            <v>0</v>
          </cell>
          <cell r="H385">
            <v>0</v>
          </cell>
          <cell r="I385">
            <v>0</v>
          </cell>
          <cell r="J385">
            <v>0</v>
          </cell>
          <cell r="K385">
            <v>0</v>
          </cell>
          <cell r="L385">
            <v>0</v>
          </cell>
          <cell r="M385">
            <v>0</v>
          </cell>
        </row>
        <row r="386">
          <cell r="D386">
            <v>8361</v>
          </cell>
          <cell r="E386" t="str">
            <v>库存股_提取盈余公积影响权益</v>
          </cell>
          <cell r="F386">
            <v>0</v>
          </cell>
          <cell r="G386">
            <v>0</v>
          </cell>
          <cell r="H386">
            <v>0</v>
          </cell>
          <cell r="I386">
            <v>0</v>
          </cell>
          <cell r="J386">
            <v>0</v>
          </cell>
          <cell r="K386">
            <v>0</v>
          </cell>
          <cell r="L386">
            <v>0</v>
          </cell>
          <cell r="M386">
            <v>0</v>
          </cell>
        </row>
        <row r="387">
          <cell r="D387">
            <v>8362</v>
          </cell>
          <cell r="E387" t="str">
            <v>库存股_提取一般风险准备影响权益</v>
          </cell>
          <cell r="F387">
            <v>0</v>
          </cell>
          <cell r="G387">
            <v>0</v>
          </cell>
          <cell r="H387">
            <v>0</v>
          </cell>
          <cell r="I387">
            <v>0</v>
          </cell>
          <cell r="J387">
            <v>0</v>
          </cell>
          <cell r="K387">
            <v>0</v>
          </cell>
          <cell r="L387">
            <v>0</v>
          </cell>
          <cell r="M387">
            <v>0</v>
          </cell>
        </row>
        <row r="388">
          <cell r="D388">
            <v>8363</v>
          </cell>
          <cell r="E388" t="str">
            <v>库存股_对所有者的分配</v>
          </cell>
          <cell r="F388">
            <v>0</v>
          </cell>
          <cell r="G388">
            <v>0</v>
          </cell>
          <cell r="H388">
            <v>0</v>
          </cell>
          <cell r="I388">
            <v>0</v>
          </cell>
          <cell r="J388">
            <v>0</v>
          </cell>
          <cell r="K388">
            <v>0</v>
          </cell>
          <cell r="L388">
            <v>0</v>
          </cell>
          <cell r="M388">
            <v>0</v>
          </cell>
        </row>
        <row r="389">
          <cell r="D389">
            <v>8366</v>
          </cell>
          <cell r="E389" t="str">
            <v>库存股_其他利润分配</v>
          </cell>
          <cell r="F389">
            <v>0</v>
          </cell>
          <cell r="G389">
            <v>0</v>
          </cell>
          <cell r="H389">
            <v>0</v>
          </cell>
          <cell r="I389">
            <v>0</v>
          </cell>
          <cell r="J389">
            <v>0</v>
          </cell>
          <cell r="K389">
            <v>0</v>
          </cell>
          <cell r="L389">
            <v>0</v>
          </cell>
          <cell r="M389">
            <v>0</v>
          </cell>
        </row>
        <row r="390">
          <cell r="D390">
            <v>8370</v>
          </cell>
          <cell r="E390" t="str">
            <v>库存股_所有者权益内部结转</v>
          </cell>
          <cell r="F390">
            <v>0</v>
          </cell>
          <cell r="G390">
            <v>0</v>
          </cell>
          <cell r="H390">
            <v>0</v>
          </cell>
          <cell r="I390">
            <v>0</v>
          </cell>
          <cell r="J390">
            <v>0</v>
          </cell>
          <cell r="K390">
            <v>0</v>
          </cell>
          <cell r="L390">
            <v>0</v>
          </cell>
          <cell r="M390">
            <v>0</v>
          </cell>
        </row>
        <row r="391">
          <cell r="D391">
            <v>8371</v>
          </cell>
          <cell r="E391" t="str">
            <v>库存股_资本公积转增资本影响权益</v>
          </cell>
          <cell r="F391">
            <v>0</v>
          </cell>
          <cell r="G391">
            <v>0</v>
          </cell>
          <cell r="H391">
            <v>0</v>
          </cell>
          <cell r="I391">
            <v>0</v>
          </cell>
          <cell r="J391">
            <v>0</v>
          </cell>
          <cell r="K391">
            <v>0</v>
          </cell>
          <cell r="L391">
            <v>0</v>
          </cell>
          <cell r="M391">
            <v>0</v>
          </cell>
        </row>
        <row r="392">
          <cell r="D392">
            <v>8372</v>
          </cell>
          <cell r="E392" t="str">
            <v>库存股_盈余公积转增资本影响权益</v>
          </cell>
          <cell r="F392">
            <v>0</v>
          </cell>
          <cell r="G392">
            <v>0</v>
          </cell>
          <cell r="H392">
            <v>0</v>
          </cell>
          <cell r="I392">
            <v>0</v>
          </cell>
          <cell r="J392">
            <v>0</v>
          </cell>
          <cell r="K392">
            <v>0</v>
          </cell>
          <cell r="L392">
            <v>0</v>
          </cell>
          <cell r="M392">
            <v>0</v>
          </cell>
        </row>
        <row r="393">
          <cell r="D393">
            <v>8373</v>
          </cell>
          <cell r="E393" t="str">
            <v>库存股_盈余公积弥补亏损影响权益</v>
          </cell>
          <cell r="F393">
            <v>0</v>
          </cell>
          <cell r="G393">
            <v>0</v>
          </cell>
          <cell r="H393">
            <v>0</v>
          </cell>
          <cell r="I393">
            <v>0</v>
          </cell>
          <cell r="J393">
            <v>0</v>
          </cell>
          <cell r="K393">
            <v>0</v>
          </cell>
          <cell r="L393">
            <v>0</v>
          </cell>
          <cell r="M393">
            <v>0</v>
          </cell>
        </row>
        <row r="394">
          <cell r="D394">
            <v>8375</v>
          </cell>
          <cell r="E394" t="str">
            <v>库存股_设定受益计划变动额结转留存收益</v>
          </cell>
          <cell r="F394">
            <v>0</v>
          </cell>
          <cell r="G394">
            <v>0</v>
          </cell>
          <cell r="H394">
            <v>0</v>
          </cell>
          <cell r="I394">
            <v>0</v>
          </cell>
          <cell r="J394">
            <v>0</v>
          </cell>
          <cell r="K394">
            <v>0</v>
          </cell>
          <cell r="L394">
            <v>0</v>
          </cell>
          <cell r="M394">
            <v>0</v>
          </cell>
        </row>
        <row r="395">
          <cell r="D395">
            <v>8376</v>
          </cell>
          <cell r="E395" t="str">
            <v>库存股_所有者权益其他内部结转</v>
          </cell>
          <cell r="F395">
            <v>0</v>
          </cell>
          <cell r="G395">
            <v>0</v>
          </cell>
          <cell r="H395">
            <v>0</v>
          </cell>
          <cell r="I395">
            <v>0</v>
          </cell>
          <cell r="J395">
            <v>0</v>
          </cell>
          <cell r="K395">
            <v>0</v>
          </cell>
          <cell r="L395">
            <v>0</v>
          </cell>
          <cell r="M395">
            <v>0</v>
          </cell>
        </row>
        <row r="396">
          <cell r="D396">
            <v>8380</v>
          </cell>
          <cell r="E396" t="str">
            <v>库存股_专项储备影响权益</v>
          </cell>
          <cell r="F396">
            <v>0</v>
          </cell>
          <cell r="G396">
            <v>0</v>
          </cell>
          <cell r="H396">
            <v>0</v>
          </cell>
          <cell r="I396">
            <v>0</v>
          </cell>
          <cell r="J396">
            <v>0</v>
          </cell>
          <cell r="K396">
            <v>0</v>
          </cell>
          <cell r="L396">
            <v>0</v>
          </cell>
          <cell r="M396">
            <v>0</v>
          </cell>
        </row>
        <row r="397">
          <cell r="D397">
            <v>8381</v>
          </cell>
          <cell r="E397" t="str">
            <v>库存股_专项储备本期提取</v>
          </cell>
          <cell r="F397">
            <v>0</v>
          </cell>
          <cell r="G397">
            <v>0</v>
          </cell>
          <cell r="H397">
            <v>0</v>
          </cell>
          <cell r="I397">
            <v>0</v>
          </cell>
          <cell r="J397">
            <v>0</v>
          </cell>
          <cell r="K397">
            <v>0</v>
          </cell>
          <cell r="L397">
            <v>0</v>
          </cell>
          <cell r="M397">
            <v>0</v>
          </cell>
        </row>
        <row r="398">
          <cell r="D398">
            <v>8382</v>
          </cell>
          <cell r="E398" t="str">
            <v>库存股_专项储备本期使用</v>
          </cell>
          <cell r="F398">
            <v>0</v>
          </cell>
          <cell r="G398">
            <v>0</v>
          </cell>
          <cell r="H398">
            <v>0</v>
          </cell>
          <cell r="I398">
            <v>0</v>
          </cell>
          <cell r="J398">
            <v>0</v>
          </cell>
          <cell r="K398">
            <v>0</v>
          </cell>
          <cell r="L398">
            <v>0</v>
          </cell>
          <cell r="M398">
            <v>0</v>
          </cell>
        </row>
        <row r="399">
          <cell r="D399">
            <v>8396</v>
          </cell>
          <cell r="E399" t="str">
            <v>库存股_本期其他增减变动</v>
          </cell>
          <cell r="F399">
            <v>0</v>
          </cell>
          <cell r="G399">
            <v>0</v>
          </cell>
          <cell r="H399">
            <v>0</v>
          </cell>
          <cell r="I399">
            <v>0</v>
          </cell>
          <cell r="J399">
            <v>0</v>
          </cell>
          <cell r="K399">
            <v>0</v>
          </cell>
          <cell r="L399">
            <v>0</v>
          </cell>
          <cell r="M399">
            <v>0</v>
          </cell>
        </row>
        <row r="400">
          <cell r="D400">
            <v>8399</v>
          </cell>
          <cell r="E400" t="str">
            <v>库存股_本期期末余额</v>
          </cell>
          <cell r="F400">
            <v>0</v>
          </cell>
          <cell r="G400">
            <v>0</v>
          </cell>
          <cell r="H400">
            <v>0</v>
          </cell>
          <cell r="I400">
            <v>0</v>
          </cell>
          <cell r="J400">
            <v>0</v>
          </cell>
          <cell r="K400">
            <v>0</v>
          </cell>
          <cell r="L400">
            <v>0</v>
          </cell>
          <cell r="M400">
            <v>0</v>
          </cell>
        </row>
        <row r="401">
          <cell r="D401" t="str">
            <v>8g00</v>
          </cell>
          <cell r="E401" t="str">
            <v>其他综合收益增减变动</v>
          </cell>
          <cell r="F401">
            <v>0</v>
          </cell>
          <cell r="G401">
            <v>0</v>
          </cell>
          <cell r="H401">
            <v>0</v>
          </cell>
          <cell r="I401">
            <v>0</v>
          </cell>
          <cell r="J401">
            <v>0</v>
          </cell>
          <cell r="K401">
            <v>0</v>
          </cell>
          <cell r="L401">
            <v>0</v>
          </cell>
          <cell r="M401">
            <v>0</v>
          </cell>
        </row>
        <row r="402">
          <cell r="D402" t="str">
            <v>8g01</v>
          </cell>
          <cell r="E402" t="str">
            <v>其他综合收益_上年年末余额</v>
          </cell>
          <cell r="F402">
            <v>0</v>
          </cell>
          <cell r="G402">
            <v>0</v>
          </cell>
          <cell r="H402">
            <v>0</v>
          </cell>
          <cell r="I402">
            <v>0</v>
          </cell>
          <cell r="J402">
            <v>0</v>
          </cell>
          <cell r="K402">
            <v>0</v>
          </cell>
          <cell r="L402">
            <v>0</v>
          </cell>
          <cell r="M402">
            <v>0</v>
          </cell>
        </row>
        <row r="403">
          <cell r="D403" t="str">
            <v>8g02</v>
          </cell>
          <cell r="E403" t="str">
            <v>其他综合收益_会计政策变更调整上年年末余额</v>
          </cell>
          <cell r="F403">
            <v>0</v>
          </cell>
          <cell r="G403">
            <v>0</v>
          </cell>
          <cell r="H403">
            <v>0</v>
          </cell>
          <cell r="I403">
            <v>0</v>
          </cell>
          <cell r="J403">
            <v>0</v>
          </cell>
          <cell r="K403">
            <v>0</v>
          </cell>
          <cell r="L403">
            <v>0</v>
          </cell>
          <cell r="M403">
            <v>0</v>
          </cell>
        </row>
        <row r="404">
          <cell r="D404" t="str">
            <v>8g03</v>
          </cell>
          <cell r="E404" t="str">
            <v>其他综合收益_前期差错更正调整上年年末余额</v>
          </cell>
          <cell r="F404">
            <v>0</v>
          </cell>
          <cell r="G404">
            <v>0</v>
          </cell>
          <cell r="H404">
            <v>0</v>
          </cell>
          <cell r="I404">
            <v>0</v>
          </cell>
          <cell r="J404">
            <v>0</v>
          </cell>
          <cell r="K404">
            <v>0</v>
          </cell>
          <cell r="L404">
            <v>0</v>
          </cell>
          <cell r="M404">
            <v>0</v>
          </cell>
        </row>
        <row r="405">
          <cell r="D405" t="str">
            <v>8g04</v>
          </cell>
          <cell r="E405" t="str">
            <v>其他综合收益_同一控制下企业合并调整上年年末余额</v>
          </cell>
          <cell r="F405">
            <v>0</v>
          </cell>
          <cell r="G405">
            <v>0</v>
          </cell>
          <cell r="H405">
            <v>0</v>
          </cell>
          <cell r="I405">
            <v>0</v>
          </cell>
          <cell r="J405">
            <v>0</v>
          </cell>
          <cell r="K405">
            <v>0</v>
          </cell>
          <cell r="L405">
            <v>0</v>
          </cell>
          <cell r="M405">
            <v>0</v>
          </cell>
        </row>
        <row r="406">
          <cell r="D406" t="str">
            <v>8g09</v>
          </cell>
          <cell r="E406" t="str">
            <v>其他综合收益_其他原因调整上年年末余额</v>
          </cell>
          <cell r="F406">
            <v>0</v>
          </cell>
          <cell r="G406">
            <v>0</v>
          </cell>
          <cell r="H406">
            <v>0</v>
          </cell>
          <cell r="I406">
            <v>0</v>
          </cell>
          <cell r="J406">
            <v>0</v>
          </cell>
          <cell r="K406">
            <v>0</v>
          </cell>
          <cell r="L406">
            <v>0</v>
          </cell>
          <cell r="M406">
            <v>0</v>
          </cell>
        </row>
        <row r="407">
          <cell r="D407" t="str">
            <v>8g10</v>
          </cell>
          <cell r="E407" t="str">
            <v>其他综合收益_本年年初余额</v>
          </cell>
          <cell r="F407">
            <v>0</v>
          </cell>
          <cell r="G407">
            <v>0</v>
          </cell>
          <cell r="H407">
            <v>0</v>
          </cell>
          <cell r="I407">
            <v>0</v>
          </cell>
          <cell r="J407">
            <v>0</v>
          </cell>
          <cell r="K407">
            <v>0</v>
          </cell>
          <cell r="L407">
            <v>0</v>
          </cell>
          <cell r="M407">
            <v>0</v>
          </cell>
        </row>
        <row r="408">
          <cell r="D408" t="str">
            <v>8g90</v>
          </cell>
          <cell r="E408" t="str">
            <v>其他综合收益_本期增减变动金额</v>
          </cell>
          <cell r="F408">
            <v>0</v>
          </cell>
          <cell r="G408">
            <v>0</v>
          </cell>
          <cell r="H408">
            <v>0</v>
          </cell>
          <cell r="I408">
            <v>0</v>
          </cell>
          <cell r="J408">
            <v>0</v>
          </cell>
          <cell r="K408">
            <v>0</v>
          </cell>
          <cell r="L408">
            <v>0</v>
          </cell>
          <cell r="M408">
            <v>0</v>
          </cell>
        </row>
        <row r="409">
          <cell r="D409" t="str">
            <v>8g40</v>
          </cell>
          <cell r="E409" t="str">
            <v>其他综合收益_综合收益总额增加权益</v>
          </cell>
          <cell r="F409">
            <v>0</v>
          </cell>
          <cell r="G409">
            <v>0</v>
          </cell>
          <cell r="H409">
            <v>0</v>
          </cell>
          <cell r="I409">
            <v>0</v>
          </cell>
          <cell r="J409">
            <v>0</v>
          </cell>
          <cell r="K409">
            <v>0</v>
          </cell>
          <cell r="L409">
            <v>0</v>
          </cell>
          <cell r="M409">
            <v>0</v>
          </cell>
        </row>
        <row r="410">
          <cell r="D410" t="str">
            <v>8g50</v>
          </cell>
          <cell r="E410" t="str">
            <v>其他综合收益_所有者投入和减少资本影响权益</v>
          </cell>
          <cell r="F410">
            <v>0</v>
          </cell>
          <cell r="G410">
            <v>0</v>
          </cell>
          <cell r="H410">
            <v>0</v>
          </cell>
          <cell r="I410">
            <v>0</v>
          </cell>
          <cell r="J410">
            <v>0</v>
          </cell>
          <cell r="K410">
            <v>0</v>
          </cell>
          <cell r="L410">
            <v>0</v>
          </cell>
          <cell r="M410">
            <v>0</v>
          </cell>
        </row>
        <row r="411">
          <cell r="D411" t="str">
            <v>8g51</v>
          </cell>
          <cell r="E411" t="str">
            <v>其他综合收益_所有者投入资本</v>
          </cell>
          <cell r="F411">
            <v>0</v>
          </cell>
          <cell r="G411">
            <v>0</v>
          </cell>
          <cell r="H411">
            <v>0</v>
          </cell>
          <cell r="I411">
            <v>0</v>
          </cell>
          <cell r="J411">
            <v>0</v>
          </cell>
          <cell r="K411">
            <v>0</v>
          </cell>
          <cell r="L411">
            <v>0</v>
          </cell>
          <cell r="M411">
            <v>0</v>
          </cell>
        </row>
        <row r="412">
          <cell r="D412" t="str">
            <v>8g53</v>
          </cell>
          <cell r="E412" t="str">
            <v>其他综合收益_其他权益工具持有者投入资本</v>
          </cell>
          <cell r="F412">
            <v>0</v>
          </cell>
          <cell r="G412">
            <v>0</v>
          </cell>
          <cell r="H412">
            <v>0</v>
          </cell>
          <cell r="I412">
            <v>0</v>
          </cell>
          <cell r="J412">
            <v>0</v>
          </cell>
          <cell r="K412">
            <v>0</v>
          </cell>
          <cell r="L412">
            <v>0</v>
          </cell>
          <cell r="M412">
            <v>0</v>
          </cell>
        </row>
        <row r="413">
          <cell r="D413" t="str">
            <v>8g52</v>
          </cell>
          <cell r="E413" t="str">
            <v>其他综合收益_股份支付</v>
          </cell>
          <cell r="F413">
            <v>0</v>
          </cell>
          <cell r="G413">
            <v>0</v>
          </cell>
          <cell r="H413">
            <v>0</v>
          </cell>
          <cell r="I413">
            <v>0</v>
          </cell>
          <cell r="J413">
            <v>0</v>
          </cell>
          <cell r="K413">
            <v>0</v>
          </cell>
          <cell r="L413">
            <v>0</v>
          </cell>
          <cell r="M413">
            <v>0</v>
          </cell>
        </row>
        <row r="414">
          <cell r="D414" t="str">
            <v>8g56</v>
          </cell>
          <cell r="E414" t="str">
            <v>其他综合收益_所有者其他投入和减少资本</v>
          </cell>
          <cell r="F414">
            <v>0</v>
          </cell>
          <cell r="G414">
            <v>0</v>
          </cell>
          <cell r="H414">
            <v>0</v>
          </cell>
          <cell r="I414">
            <v>0</v>
          </cell>
          <cell r="J414">
            <v>0</v>
          </cell>
          <cell r="K414">
            <v>0</v>
          </cell>
          <cell r="L414">
            <v>0</v>
          </cell>
          <cell r="M414">
            <v>0</v>
          </cell>
        </row>
        <row r="415">
          <cell r="D415" t="str">
            <v>8g60</v>
          </cell>
          <cell r="E415" t="str">
            <v>其他综合收益_利润分配影响权益</v>
          </cell>
          <cell r="F415">
            <v>0</v>
          </cell>
          <cell r="G415">
            <v>0</v>
          </cell>
          <cell r="H415">
            <v>0</v>
          </cell>
          <cell r="I415">
            <v>0</v>
          </cell>
          <cell r="J415">
            <v>0</v>
          </cell>
          <cell r="K415">
            <v>0</v>
          </cell>
          <cell r="L415">
            <v>0</v>
          </cell>
          <cell r="M415">
            <v>0</v>
          </cell>
        </row>
        <row r="416">
          <cell r="D416" t="str">
            <v>8g61</v>
          </cell>
          <cell r="E416" t="str">
            <v>其他综合收益_提取盈余公积</v>
          </cell>
          <cell r="F416">
            <v>0</v>
          </cell>
          <cell r="G416">
            <v>0</v>
          </cell>
          <cell r="H416">
            <v>0</v>
          </cell>
          <cell r="I416">
            <v>0</v>
          </cell>
          <cell r="J416">
            <v>0</v>
          </cell>
          <cell r="K416">
            <v>0</v>
          </cell>
          <cell r="L416">
            <v>0</v>
          </cell>
          <cell r="M416">
            <v>0</v>
          </cell>
        </row>
        <row r="417">
          <cell r="D417" t="str">
            <v>8g62</v>
          </cell>
          <cell r="E417" t="str">
            <v>其他综合收益_提取一般风险准备</v>
          </cell>
          <cell r="F417">
            <v>0</v>
          </cell>
          <cell r="G417">
            <v>0</v>
          </cell>
          <cell r="H417">
            <v>0</v>
          </cell>
          <cell r="I417">
            <v>0</v>
          </cell>
          <cell r="J417">
            <v>0</v>
          </cell>
          <cell r="K417">
            <v>0</v>
          </cell>
          <cell r="L417">
            <v>0</v>
          </cell>
          <cell r="M417">
            <v>0</v>
          </cell>
        </row>
        <row r="418">
          <cell r="D418" t="str">
            <v>8g63</v>
          </cell>
          <cell r="E418" t="str">
            <v>其他综合收益_对所有者的分配</v>
          </cell>
          <cell r="F418">
            <v>0</v>
          </cell>
          <cell r="G418">
            <v>0</v>
          </cell>
          <cell r="H418">
            <v>0</v>
          </cell>
          <cell r="I418">
            <v>0</v>
          </cell>
          <cell r="J418">
            <v>0</v>
          </cell>
          <cell r="K418">
            <v>0</v>
          </cell>
          <cell r="L418">
            <v>0</v>
          </cell>
          <cell r="M418">
            <v>0</v>
          </cell>
        </row>
        <row r="419">
          <cell r="D419" t="str">
            <v>8g66</v>
          </cell>
          <cell r="E419" t="str">
            <v>其他综合收益_其他利润分配</v>
          </cell>
          <cell r="F419">
            <v>0</v>
          </cell>
          <cell r="G419">
            <v>0</v>
          </cell>
          <cell r="H419">
            <v>0</v>
          </cell>
          <cell r="I419">
            <v>0</v>
          </cell>
          <cell r="J419">
            <v>0</v>
          </cell>
          <cell r="K419">
            <v>0</v>
          </cell>
          <cell r="L419">
            <v>0</v>
          </cell>
          <cell r="M419">
            <v>0</v>
          </cell>
        </row>
        <row r="420">
          <cell r="D420" t="str">
            <v>8g70</v>
          </cell>
          <cell r="E420" t="str">
            <v>其他综合收益_所有者权益内部结转</v>
          </cell>
          <cell r="F420">
            <v>0</v>
          </cell>
          <cell r="G420">
            <v>0</v>
          </cell>
          <cell r="H420">
            <v>0</v>
          </cell>
          <cell r="I420">
            <v>0</v>
          </cell>
          <cell r="J420">
            <v>0</v>
          </cell>
          <cell r="K420">
            <v>0</v>
          </cell>
          <cell r="L420">
            <v>0</v>
          </cell>
          <cell r="M420">
            <v>0</v>
          </cell>
        </row>
        <row r="421">
          <cell r="D421" t="str">
            <v>8g71</v>
          </cell>
          <cell r="E421" t="str">
            <v>其他综合收益_资本公积转增资本</v>
          </cell>
          <cell r="F421">
            <v>0</v>
          </cell>
          <cell r="G421">
            <v>0</v>
          </cell>
          <cell r="H421">
            <v>0</v>
          </cell>
          <cell r="I421">
            <v>0</v>
          </cell>
          <cell r="J421">
            <v>0</v>
          </cell>
          <cell r="K421">
            <v>0</v>
          </cell>
          <cell r="L421">
            <v>0</v>
          </cell>
          <cell r="M421">
            <v>0</v>
          </cell>
        </row>
        <row r="422">
          <cell r="D422" t="str">
            <v>8g72</v>
          </cell>
          <cell r="E422" t="str">
            <v>其他综合收益_盈余公积转增资本</v>
          </cell>
          <cell r="F422">
            <v>0</v>
          </cell>
          <cell r="G422">
            <v>0</v>
          </cell>
          <cell r="H422">
            <v>0</v>
          </cell>
          <cell r="I422">
            <v>0</v>
          </cell>
          <cell r="J422">
            <v>0</v>
          </cell>
          <cell r="K422">
            <v>0</v>
          </cell>
          <cell r="L422">
            <v>0</v>
          </cell>
          <cell r="M422">
            <v>0</v>
          </cell>
        </row>
        <row r="423">
          <cell r="D423" t="str">
            <v>8g73</v>
          </cell>
          <cell r="E423" t="str">
            <v>其他综合收益_盈余公积弥补亏损</v>
          </cell>
          <cell r="F423">
            <v>0</v>
          </cell>
          <cell r="G423">
            <v>0</v>
          </cell>
          <cell r="H423">
            <v>0</v>
          </cell>
          <cell r="I423">
            <v>0</v>
          </cell>
          <cell r="J423">
            <v>0</v>
          </cell>
          <cell r="K423">
            <v>0</v>
          </cell>
          <cell r="L423">
            <v>0</v>
          </cell>
          <cell r="M423">
            <v>0</v>
          </cell>
        </row>
        <row r="424">
          <cell r="D424" t="str">
            <v>8g75</v>
          </cell>
          <cell r="E424" t="str">
            <v>其他综合收益_设定受益计划变动额结转留存收益</v>
          </cell>
          <cell r="F424">
            <v>0</v>
          </cell>
          <cell r="G424">
            <v>0</v>
          </cell>
          <cell r="H424">
            <v>0</v>
          </cell>
          <cell r="I424">
            <v>0</v>
          </cell>
          <cell r="J424">
            <v>0</v>
          </cell>
          <cell r="K424">
            <v>0</v>
          </cell>
          <cell r="L424">
            <v>0</v>
          </cell>
          <cell r="M424">
            <v>0</v>
          </cell>
        </row>
        <row r="425">
          <cell r="D425" t="str">
            <v>8g76</v>
          </cell>
          <cell r="E425" t="str">
            <v>其他综合收益_所有者权益其他内部结转</v>
          </cell>
          <cell r="F425">
            <v>0</v>
          </cell>
          <cell r="G425">
            <v>0</v>
          </cell>
          <cell r="H425">
            <v>0</v>
          </cell>
          <cell r="I425">
            <v>0</v>
          </cell>
          <cell r="J425">
            <v>0</v>
          </cell>
          <cell r="K425">
            <v>0</v>
          </cell>
          <cell r="L425">
            <v>0</v>
          </cell>
          <cell r="M425">
            <v>0</v>
          </cell>
        </row>
        <row r="426">
          <cell r="D426" t="str">
            <v>8g80</v>
          </cell>
          <cell r="E426" t="str">
            <v>其他综合收益_专项储备影响权益</v>
          </cell>
          <cell r="F426">
            <v>0</v>
          </cell>
          <cell r="G426">
            <v>0</v>
          </cell>
          <cell r="H426">
            <v>0</v>
          </cell>
          <cell r="I426">
            <v>0</v>
          </cell>
          <cell r="J426">
            <v>0</v>
          </cell>
          <cell r="K426">
            <v>0</v>
          </cell>
          <cell r="L426">
            <v>0</v>
          </cell>
          <cell r="M426">
            <v>0</v>
          </cell>
        </row>
        <row r="427">
          <cell r="D427" t="str">
            <v>8g81</v>
          </cell>
          <cell r="E427" t="str">
            <v>其他综合收益_专项储备本期提取</v>
          </cell>
          <cell r="F427">
            <v>0</v>
          </cell>
          <cell r="G427">
            <v>0</v>
          </cell>
          <cell r="H427">
            <v>0</v>
          </cell>
          <cell r="I427">
            <v>0</v>
          </cell>
          <cell r="J427">
            <v>0</v>
          </cell>
          <cell r="K427">
            <v>0</v>
          </cell>
          <cell r="L427">
            <v>0</v>
          </cell>
          <cell r="M427">
            <v>0</v>
          </cell>
        </row>
        <row r="428">
          <cell r="D428" t="str">
            <v>8g82</v>
          </cell>
          <cell r="E428" t="str">
            <v>其他综合收益_专项储备本期使用</v>
          </cell>
          <cell r="F428">
            <v>0</v>
          </cell>
          <cell r="G428">
            <v>0</v>
          </cell>
          <cell r="H428">
            <v>0</v>
          </cell>
          <cell r="I428">
            <v>0</v>
          </cell>
          <cell r="J428">
            <v>0</v>
          </cell>
          <cell r="K428">
            <v>0</v>
          </cell>
          <cell r="L428">
            <v>0</v>
          </cell>
          <cell r="M428">
            <v>0</v>
          </cell>
        </row>
        <row r="429">
          <cell r="D429" t="str">
            <v>8g96</v>
          </cell>
          <cell r="E429" t="str">
            <v>其他综合收益_本期其他增减变动</v>
          </cell>
          <cell r="F429">
            <v>0</v>
          </cell>
          <cell r="G429">
            <v>0</v>
          </cell>
          <cell r="H429">
            <v>0</v>
          </cell>
          <cell r="I429">
            <v>0</v>
          </cell>
          <cell r="J429">
            <v>0</v>
          </cell>
          <cell r="K429">
            <v>0</v>
          </cell>
          <cell r="L429">
            <v>0</v>
          </cell>
          <cell r="M429">
            <v>0</v>
          </cell>
        </row>
        <row r="430">
          <cell r="D430" t="str">
            <v>8g99</v>
          </cell>
          <cell r="E430" t="str">
            <v>其他综合收益_本期期末余额</v>
          </cell>
          <cell r="F430">
            <v>0</v>
          </cell>
          <cell r="G430">
            <v>0</v>
          </cell>
          <cell r="H430">
            <v>0</v>
          </cell>
          <cell r="I430">
            <v>0</v>
          </cell>
          <cell r="J430">
            <v>0</v>
          </cell>
          <cell r="K430">
            <v>0</v>
          </cell>
          <cell r="L430">
            <v>0</v>
          </cell>
          <cell r="M430">
            <v>0</v>
          </cell>
        </row>
        <row r="431">
          <cell r="D431">
            <v>8400</v>
          </cell>
          <cell r="E431" t="str">
            <v>专项储备增减变动</v>
          </cell>
          <cell r="F431">
            <v>0</v>
          </cell>
          <cell r="G431">
            <v>0</v>
          </cell>
          <cell r="H431">
            <v>0</v>
          </cell>
          <cell r="I431">
            <v>0</v>
          </cell>
          <cell r="J431">
            <v>0</v>
          </cell>
          <cell r="K431">
            <v>0</v>
          </cell>
          <cell r="L431">
            <v>0</v>
          </cell>
          <cell r="M431">
            <v>0</v>
          </cell>
        </row>
        <row r="432">
          <cell r="D432">
            <v>8401</v>
          </cell>
          <cell r="E432" t="str">
            <v>专项储备_上年年末余额</v>
          </cell>
          <cell r="F432">
            <v>0</v>
          </cell>
          <cell r="G432">
            <v>0</v>
          </cell>
          <cell r="H432">
            <v>0</v>
          </cell>
          <cell r="I432">
            <v>0</v>
          </cell>
          <cell r="J432">
            <v>0</v>
          </cell>
          <cell r="K432">
            <v>0</v>
          </cell>
          <cell r="L432">
            <v>0</v>
          </cell>
          <cell r="M432">
            <v>0</v>
          </cell>
        </row>
        <row r="433">
          <cell r="D433">
            <v>8402</v>
          </cell>
          <cell r="E433" t="str">
            <v>专项储备_会计政策变更调整上年年末余额</v>
          </cell>
          <cell r="F433">
            <v>0</v>
          </cell>
          <cell r="G433">
            <v>0</v>
          </cell>
          <cell r="H433">
            <v>0</v>
          </cell>
          <cell r="I433">
            <v>0</v>
          </cell>
          <cell r="J433">
            <v>0</v>
          </cell>
          <cell r="K433">
            <v>0</v>
          </cell>
          <cell r="L433">
            <v>0</v>
          </cell>
          <cell r="M433">
            <v>0</v>
          </cell>
        </row>
        <row r="434">
          <cell r="D434">
            <v>8403</v>
          </cell>
          <cell r="E434" t="str">
            <v>专项储备_前期差错更正调整上年年末余额</v>
          </cell>
          <cell r="F434">
            <v>0</v>
          </cell>
          <cell r="G434">
            <v>0</v>
          </cell>
          <cell r="H434">
            <v>0</v>
          </cell>
          <cell r="I434">
            <v>0</v>
          </cell>
          <cell r="J434">
            <v>0</v>
          </cell>
          <cell r="K434">
            <v>0</v>
          </cell>
          <cell r="L434">
            <v>0</v>
          </cell>
          <cell r="M434">
            <v>0</v>
          </cell>
        </row>
        <row r="435">
          <cell r="D435">
            <v>8404</v>
          </cell>
          <cell r="E435" t="str">
            <v>专项储备_同一控制下企业合并调整上年年末余额</v>
          </cell>
          <cell r="F435">
            <v>0</v>
          </cell>
          <cell r="G435">
            <v>0</v>
          </cell>
          <cell r="H435">
            <v>0</v>
          </cell>
          <cell r="I435">
            <v>0</v>
          </cell>
          <cell r="J435">
            <v>0</v>
          </cell>
          <cell r="K435">
            <v>0</v>
          </cell>
          <cell r="L435">
            <v>0</v>
          </cell>
          <cell r="M435">
            <v>0</v>
          </cell>
        </row>
        <row r="436">
          <cell r="D436">
            <v>8409</v>
          </cell>
          <cell r="E436" t="str">
            <v>专项储备_其他原因调整上年年末余额</v>
          </cell>
          <cell r="F436">
            <v>0</v>
          </cell>
          <cell r="G436">
            <v>0</v>
          </cell>
          <cell r="H436">
            <v>0</v>
          </cell>
          <cell r="I436">
            <v>0</v>
          </cell>
          <cell r="J436">
            <v>0</v>
          </cell>
          <cell r="K436">
            <v>0</v>
          </cell>
          <cell r="L436">
            <v>0</v>
          </cell>
          <cell r="M436">
            <v>0</v>
          </cell>
        </row>
        <row r="437">
          <cell r="D437">
            <v>8410</v>
          </cell>
          <cell r="E437" t="str">
            <v>专项储备_本年年初余额</v>
          </cell>
          <cell r="F437">
            <v>0</v>
          </cell>
          <cell r="G437">
            <v>0</v>
          </cell>
          <cell r="H437">
            <v>0</v>
          </cell>
          <cell r="I437">
            <v>0</v>
          </cell>
          <cell r="J437">
            <v>0</v>
          </cell>
          <cell r="K437">
            <v>0</v>
          </cell>
          <cell r="L437">
            <v>0</v>
          </cell>
          <cell r="M437">
            <v>0</v>
          </cell>
        </row>
        <row r="438">
          <cell r="D438">
            <v>8490</v>
          </cell>
          <cell r="E438" t="str">
            <v>专项储备_本期增减变动金额</v>
          </cell>
          <cell r="F438">
            <v>0</v>
          </cell>
          <cell r="G438">
            <v>0</v>
          </cell>
          <cell r="H438">
            <v>0</v>
          </cell>
          <cell r="I438">
            <v>0</v>
          </cell>
          <cell r="J438">
            <v>0</v>
          </cell>
          <cell r="K438">
            <v>0</v>
          </cell>
          <cell r="L438">
            <v>0</v>
          </cell>
          <cell r="M438">
            <v>0</v>
          </cell>
        </row>
        <row r="439">
          <cell r="D439">
            <v>8421</v>
          </cell>
          <cell r="E439" t="str">
            <v>专项储备_净利润增加权益</v>
          </cell>
          <cell r="F439">
            <v>0</v>
          </cell>
          <cell r="G439">
            <v>0</v>
          </cell>
          <cell r="H439">
            <v>0</v>
          </cell>
          <cell r="I439">
            <v>0</v>
          </cell>
          <cell r="J439">
            <v>0</v>
          </cell>
          <cell r="K439">
            <v>0</v>
          </cell>
          <cell r="L439">
            <v>0</v>
          </cell>
          <cell r="M439">
            <v>0</v>
          </cell>
        </row>
        <row r="440">
          <cell r="D440">
            <v>8430</v>
          </cell>
          <cell r="E440" t="str">
            <v>专项储备_其他综合收益增加权益</v>
          </cell>
          <cell r="F440">
            <v>0</v>
          </cell>
          <cell r="G440">
            <v>0</v>
          </cell>
          <cell r="H440">
            <v>0</v>
          </cell>
          <cell r="I440">
            <v>0</v>
          </cell>
          <cell r="J440">
            <v>0</v>
          </cell>
          <cell r="K440">
            <v>0</v>
          </cell>
          <cell r="L440">
            <v>0</v>
          </cell>
          <cell r="M440">
            <v>0</v>
          </cell>
        </row>
        <row r="441">
          <cell r="D441">
            <v>8440</v>
          </cell>
          <cell r="E441" t="str">
            <v>专项储备_综合收益总额增加权益</v>
          </cell>
          <cell r="F441">
            <v>0</v>
          </cell>
          <cell r="G441">
            <v>0</v>
          </cell>
          <cell r="H441">
            <v>0</v>
          </cell>
          <cell r="I441">
            <v>0</v>
          </cell>
          <cell r="J441">
            <v>0</v>
          </cell>
          <cell r="K441">
            <v>0</v>
          </cell>
          <cell r="L441">
            <v>0</v>
          </cell>
          <cell r="M441">
            <v>0</v>
          </cell>
        </row>
        <row r="442">
          <cell r="D442">
            <v>8450</v>
          </cell>
          <cell r="E442" t="str">
            <v>专项储备_所有者投入和减少资本影响权益</v>
          </cell>
          <cell r="F442">
            <v>0</v>
          </cell>
          <cell r="G442">
            <v>0</v>
          </cell>
          <cell r="H442">
            <v>0</v>
          </cell>
          <cell r="I442">
            <v>0</v>
          </cell>
          <cell r="J442">
            <v>0</v>
          </cell>
          <cell r="K442">
            <v>0</v>
          </cell>
          <cell r="L442">
            <v>0</v>
          </cell>
          <cell r="M442">
            <v>0</v>
          </cell>
        </row>
        <row r="443">
          <cell r="D443">
            <v>8451</v>
          </cell>
          <cell r="E443" t="str">
            <v>专项储备_所有者投入资本增加权益</v>
          </cell>
          <cell r="F443">
            <v>0</v>
          </cell>
          <cell r="G443">
            <v>0</v>
          </cell>
          <cell r="H443">
            <v>0</v>
          </cell>
          <cell r="I443">
            <v>0</v>
          </cell>
          <cell r="J443">
            <v>0</v>
          </cell>
          <cell r="K443">
            <v>0</v>
          </cell>
          <cell r="L443">
            <v>0</v>
          </cell>
          <cell r="M443">
            <v>0</v>
          </cell>
        </row>
        <row r="444">
          <cell r="D444">
            <v>8453</v>
          </cell>
          <cell r="E444" t="str">
            <v>专项储备_其他权益工具持有者投入资本</v>
          </cell>
          <cell r="F444">
            <v>0</v>
          </cell>
          <cell r="G444">
            <v>0</v>
          </cell>
          <cell r="H444">
            <v>0</v>
          </cell>
          <cell r="I444">
            <v>0</v>
          </cell>
          <cell r="J444">
            <v>0</v>
          </cell>
          <cell r="K444">
            <v>0</v>
          </cell>
          <cell r="L444">
            <v>0</v>
          </cell>
          <cell r="M444">
            <v>0</v>
          </cell>
        </row>
        <row r="445">
          <cell r="D445">
            <v>8452</v>
          </cell>
          <cell r="E445" t="str">
            <v>专项储备_股份支付计入所有者权益的金额</v>
          </cell>
          <cell r="F445">
            <v>0</v>
          </cell>
          <cell r="G445">
            <v>0</v>
          </cell>
          <cell r="H445">
            <v>0</v>
          </cell>
          <cell r="I445">
            <v>0</v>
          </cell>
          <cell r="J445">
            <v>0</v>
          </cell>
          <cell r="K445">
            <v>0</v>
          </cell>
          <cell r="L445">
            <v>0</v>
          </cell>
          <cell r="M445">
            <v>0</v>
          </cell>
        </row>
        <row r="446">
          <cell r="D446">
            <v>8456</v>
          </cell>
          <cell r="E446" t="str">
            <v>专项储备_所有者其他投入和减少资本</v>
          </cell>
          <cell r="F446">
            <v>0</v>
          </cell>
          <cell r="G446">
            <v>0</v>
          </cell>
          <cell r="H446">
            <v>0</v>
          </cell>
          <cell r="I446">
            <v>0</v>
          </cell>
          <cell r="J446">
            <v>0</v>
          </cell>
          <cell r="K446">
            <v>0</v>
          </cell>
          <cell r="L446">
            <v>0</v>
          </cell>
          <cell r="M446">
            <v>0</v>
          </cell>
        </row>
        <row r="447">
          <cell r="D447">
            <v>8460</v>
          </cell>
          <cell r="E447" t="str">
            <v>专项储备_利润分配影响权益</v>
          </cell>
          <cell r="F447">
            <v>0</v>
          </cell>
          <cell r="G447">
            <v>0</v>
          </cell>
          <cell r="H447">
            <v>0</v>
          </cell>
          <cell r="I447">
            <v>0</v>
          </cell>
          <cell r="J447">
            <v>0</v>
          </cell>
          <cell r="K447">
            <v>0</v>
          </cell>
          <cell r="L447">
            <v>0</v>
          </cell>
          <cell r="M447">
            <v>0</v>
          </cell>
        </row>
        <row r="448">
          <cell r="D448">
            <v>8461</v>
          </cell>
          <cell r="E448" t="str">
            <v>专项储备_提取盈余公积影响权益</v>
          </cell>
          <cell r="F448">
            <v>0</v>
          </cell>
          <cell r="G448">
            <v>0</v>
          </cell>
          <cell r="H448">
            <v>0</v>
          </cell>
          <cell r="I448">
            <v>0</v>
          </cell>
          <cell r="J448">
            <v>0</v>
          </cell>
          <cell r="K448">
            <v>0</v>
          </cell>
          <cell r="L448">
            <v>0</v>
          </cell>
          <cell r="M448">
            <v>0</v>
          </cell>
        </row>
        <row r="449">
          <cell r="D449">
            <v>8462</v>
          </cell>
          <cell r="E449" t="str">
            <v>专项储备_提取一般风险准备影响权益</v>
          </cell>
          <cell r="F449">
            <v>0</v>
          </cell>
          <cell r="G449">
            <v>0</v>
          </cell>
          <cell r="H449">
            <v>0</v>
          </cell>
          <cell r="I449">
            <v>0</v>
          </cell>
          <cell r="J449">
            <v>0</v>
          </cell>
          <cell r="K449">
            <v>0</v>
          </cell>
          <cell r="L449">
            <v>0</v>
          </cell>
          <cell r="M449">
            <v>0</v>
          </cell>
        </row>
        <row r="450">
          <cell r="D450">
            <v>8463</v>
          </cell>
          <cell r="E450" t="str">
            <v>专项储备_对所有者的分配影响权益</v>
          </cell>
          <cell r="F450">
            <v>0</v>
          </cell>
          <cell r="G450">
            <v>0</v>
          </cell>
          <cell r="H450">
            <v>0</v>
          </cell>
          <cell r="I450">
            <v>0</v>
          </cell>
          <cell r="J450">
            <v>0</v>
          </cell>
          <cell r="K450">
            <v>0</v>
          </cell>
          <cell r="L450">
            <v>0</v>
          </cell>
          <cell r="M450">
            <v>0</v>
          </cell>
        </row>
        <row r="451">
          <cell r="D451">
            <v>8466</v>
          </cell>
          <cell r="E451" t="str">
            <v>专项储备_其他利润分配影响权益</v>
          </cell>
          <cell r="F451">
            <v>0</v>
          </cell>
          <cell r="G451">
            <v>0</v>
          </cell>
          <cell r="H451">
            <v>0</v>
          </cell>
          <cell r="I451">
            <v>0</v>
          </cell>
          <cell r="J451">
            <v>0</v>
          </cell>
          <cell r="K451">
            <v>0</v>
          </cell>
          <cell r="L451">
            <v>0</v>
          </cell>
          <cell r="M451">
            <v>0</v>
          </cell>
        </row>
        <row r="452">
          <cell r="D452">
            <v>8470</v>
          </cell>
          <cell r="E452" t="str">
            <v>专项储备_所有者权益内部结转</v>
          </cell>
          <cell r="F452">
            <v>0</v>
          </cell>
          <cell r="G452">
            <v>0</v>
          </cell>
          <cell r="H452">
            <v>0</v>
          </cell>
          <cell r="I452">
            <v>0</v>
          </cell>
          <cell r="J452">
            <v>0</v>
          </cell>
          <cell r="K452">
            <v>0</v>
          </cell>
          <cell r="L452">
            <v>0</v>
          </cell>
          <cell r="M452">
            <v>0</v>
          </cell>
        </row>
        <row r="453">
          <cell r="D453">
            <v>8471</v>
          </cell>
          <cell r="E453" t="str">
            <v>专项储备_资本公积转增资本影响权益</v>
          </cell>
          <cell r="F453">
            <v>0</v>
          </cell>
          <cell r="G453">
            <v>0</v>
          </cell>
          <cell r="H453">
            <v>0</v>
          </cell>
          <cell r="I453">
            <v>0</v>
          </cell>
          <cell r="J453">
            <v>0</v>
          </cell>
          <cell r="K453">
            <v>0</v>
          </cell>
          <cell r="L453">
            <v>0</v>
          </cell>
          <cell r="M453">
            <v>0</v>
          </cell>
        </row>
        <row r="454">
          <cell r="D454">
            <v>8472</v>
          </cell>
          <cell r="E454" t="str">
            <v>专项储备_盈余公积转增资本影响权益</v>
          </cell>
          <cell r="F454">
            <v>0</v>
          </cell>
          <cell r="G454">
            <v>0</v>
          </cell>
          <cell r="H454">
            <v>0</v>
          </cell>
          <cell r="I454">
            <v>0</v>
          </cell>
          <cell r="J454">
            <v>0</v>
          </cell>
          <cell r="K454">
            <v>0</v>
          </cell>
          <cell r="L454">
            <v>0</v>
          </cell>
          <cell r="M454">
            <v>0</v>
          </cell>
        </row>
        <row r="455">
          <cell r="D455">
            <v>8473</v>
          </cell>
          <cell r="E455" t="str">
            <v>专项储备_盈余公积弥补亏损影响权益</v>
          </cell>
          <cell r="F455">
            <v>0</v>
          </cell>
          <cell r="G455">
            <v>0</v>
          </cell>
          <cell r="H455">
            <v>0</v>
          </cell>
          <cell r="I455">
            <v>0</v>
          </cell>
          <cell r="J455">
            <v>0</v>
          </cell>
          <cell r="K455">
            <v>0</v>
          </cell>
          <cell r="L455">
            <v>0</v>
          </cell>
          <cell r="M455">
            <v>0</v>
          </cell>
        </row>
        <row r="456">
          <cell r="D456">
            <v>8475</v>
          </cell>
          <cell r="E456" t="str">
            <v>专项储备_设定受益计划变动额结转留存收益</v>
          </cell>
          <cell r="F456">
            <v>0</v>
          </cell>
          <cell r="G456">
            <v>0</v>
          </cell>
          <cell r="H456">
            <v>0</v>
          </cell>
          <cell r="I456">
            <v>0</v>
          </cell>
          <cell r="J456">
            <v>0</v>
          </cell>
          <cell r="K456">
            <v>0</v>
          </cell>
          <cell r="L456">
            <v>0</v>
          </cell>
          <cell r="M456">
            <v>0</v>
          </cell>
        </row>
        <row r="457">
          <cell r="D457">
            <v>8476</v>
          </cell>
          <cell r="E457" t="str">
            <v>专项储备_所有者权益其他内部结转</v>
          </cell>
          <cell r="F457">
            <v>0</v>
          </cell>
          <cell r="G457">
            <v>0</v>
          </cell>
          <cell r="H457">
            <v>0</v>
          </cell>
          <cell r="I457">
            <v>0</v>
          </cell>
          <cell r="J457">
            <v>0</v>
          </cell>
          <cell r="K457">
            <v>0</v>
          </cell>
          <cell r="L457">
            <v>0</v>
          </cell>
          <cell r="M457">
            <v>0</v>
          </cell>
        </row>
        <row r="458">
          <cell r="D458">
            <v>8480</v>
          </cell>
          <cell r="E458" t="str">
            <v>专项储备_专项储备影响权益</v>
          </cell>
          <cell r="F458">
            <v>0</v>
          </cell>
          <cell r="G458">
            <v>0</v>
          </cell>
          <cell r="H458">
            <v>0</v>
          </cell>
          <cell r="I458">
            <v>0</v>
          </cell>
          <cell r="J458">
            <v>0</v>
          </cell>
          <cell r="K458">
            <v>0</v>
          </cell>
          <cell r="L458">
            <v>0</v>
          </cell>
          <cell r="M458">
            <v>0</v>
          </cell>
        </row>
        <row r="459">
          <cell r="D459">
            <v>8481</v>
          </cell>
          <cell r="E459" t="str">
            <v>专项储备_本期提取</v>
          </cell>
          <cell r="F459">
            <v>0</v>
          </cell>
          <cell r="G459">
            <v>0</v>
          </cell>
          <cell r="H459">
            <v>0</v>
          </cell>
          <cell r="I459">
            <v>0</v>
          </cell>
          <cell r="J459">
            <v>0</v>
          </cell>
          <cell r="K459">
            <v>0</v>
          </cell>
          <cell r="L459">
            <v>0</v>
          </cell>
          <cell r="M459">
            <v>0</v>
          </cell>
        </row>
        <row r="460">
          <cell r="D460">
            <v>8482</v>
          </cell>
          <cell r="E460" t="str">
            <v>专项储备_本期使用</v>
          </cell>
          <cell r="F460">
            <v>0</v>
          </cell>
          <cell r="G460">
            <v>0</v>
          </cell>
          <cell r="H460">
            <v>0</v>
          </cell>
          <cell r="I460">
            <v>0</v>
          </cell>
          <cell r="J460">
            <v>0</v>
          </cell>
          <cell r="K460">
            <v>0</v>
          </cell>
          <cell r="L460">
            <v>0</v>
          </cell>
          <cell r="M460">
            <v>0</v>
          </cell>
        </row>
        <row r="461">
          <cell r="D461">
            <v>8496</v>
          </cell>
          <cell r="E461" t="str">
            <v>专项储备_本期其他增减变动</v>
          </cell>
          <cell r="F461">
            <v>0</v>
          </cell>
          <cell r="G461">
            <v>0</v>
          </cell>
          <cell r="H461">
            <v>0</v>
          </cell>
          <cell r="I461">
            <v>0</v>
          </cell>
          <cell r="J461">
            <v>0</v>
          </cell>
          <cell r="K461">
            <v>0</v>
          </cell>
          <cell r="L461">
            <v>0</v>
          </cell>
          <cell r="M461">
            <v>0</v>
          </cell>
        </row>
        <row r="462">
          <cell r="D462">
            <v>8499</v>
          </cell>
          <cell r="E462" t="str">
            <v>专项储备_本期期末余额</v>
          </cell>
          <cell r="F462">
            <v>0</v>
          </cell>
          <cell r="G462">
            <v>0</v>
          </cell>
          <cell r="H462">
            <v>0</v>
          </cell>
          <cell r="I462">
            <v>0</v>
          </cell>
          <cell r="J462">
            <v>0</v>
          </cell>
          <cell r="K462">
            <v>0</v>
          </cell>
          <cell r="L462">
            <v>0</v>
          </cell>
          <cell r="M462">
            <v>0</v>
          </cell>
        </row>
        <row r="463">
          <cell r="D463">
            <v>8500</v>
          </cell>
          <cell r="E463" t="str">
            <v>盈余公积增减变动</v>
          </cell>
          <cell r="F463">
            <v>0</v>
          </cell>
          <cell r="G463">
            <v>0</v>
          </cell>
          <cell r="H463">
            <v>0</v>
          </cell>
          <cell r="I463">
            <v>0</v>
          </cell>
          <cell r="J463">
            <v>0</v>
          </cell>
          <cell r="K463">
            <v>0</v>
          </cell>
          <cell r="L463">
            <v>0</v>
          </cell>
          <cell r="M463">
            <v>0</v>
          </cell>
        </row>
        <row r="464">
          <cell r="D464">
            <v>8501</v>
          </cell>
          <cell r="E464" t="str">
            <v>盈余公积_上年年末余额</v>
          </cell>
          <cell r="F464">
            <v>10000000</v>
          </cell>
          <cell r="G464">
            <v>0</v>
          </cell>
          <cell r="H464">
            <v>0</v>
          </cell>
          <cell r="I464">
            <v>10000000</v>
          </cell>
          <cell r="J464">
            <v>7495453.8300000001</v>
          </cell>
          <cell r="K464">
            <v>0</v>
          </cell>
          <cell r="L464">
            <v>0</v>
          </cell>
          <cell r="M464">
            <v>7495453.8300000001</v>
          </cell>
        </row>
        <row r="465">
          <cell r="D465">
            <v>8502</v>
          </cell>
          <cell r="E465" t="str">
            <v>盈余公积_会计政策变更调整上年年末余额</v>
          </cell>
          <cell r="F465">
            <v>0</v>
          </cell>
          <cell r="G465">
            <v>0</v>
          </cell>
          <cell r="H465">
            <v>0</v>
          </cell>
          <cell r="I465">
            <v>0</v>
          </cell>
          <cell r="J465">
            <v>0</v>
          </cell>
          <cell r="K465">
            <v>0</v>
          </cell>
          <cell r="L465">
            <v>0</v>
          </cell>
          <cell r="M465">
            <v>0</v>
          </cell>
        </row>
        <row r="466">
          <cell r="D466">
            <v>8503</v>
          </cell>
          <cell r="E466" t="str">
            <v>盈余公积_前期差错更正调整上年年末余额</v>
          </cell>
          <cell r="F466">
            <v>0</v>
          </cell>
          <cell r="G466">
            <v>0</v>
          </cell>
          <cell r="H466">
            <v>0</v>
          </cell>
          <cell r="I466">
            <v>0</v>
          </cell>
          <cell r="J466">
            <v>0</v>
          </cell>
          <cell r="K466">
            <v>0</v>
          </cell>
          <cell r="L466">
            <v>0</v>
          </cell>
          <cell r="M466">
            <v>0</v>
          </cell>
        </row>
        <row r="467">
          <cell r="D467">
            <v>8504</v>
          </cell>
          <cell r="E467" t="str">
            <v>盈余公积_同一控制下企业合并调整上年年末余额</v>
          </cell>
          <cell r="F467">
            <v>0</v>
          </cell>
          <cell r="G467">
            <v>0</v>
          </cell>
          <cell r="H467">
            <v>0</v>
          </cell>
          <cell r="I467">
            <v>0</v>
          </cell>
          <cell r="J467">
            <v>0</v>
          </cell>
          <cell r="K467">
            <v>0</v>
          </cell>
          <cell r="L467">
            <v>0</v>
          </cell>
          <cell r="M467">
            <v>0</v>
          </cell>
        </row>
        <row r="468">
          <cell r="D468">
            <v>8509</v>
          </cell>
          <cell r="E468" t="str">
            <v>盈余公积_其他原因调整上年年末余额</v>
          </cell>
          <cell r="F468">
            <v>0</v>
          </cell>
          <cell r="G468">
            <v>0</v>
          </cell>
          <cell r="H468">
            <v>0</v>
          </cell>
          <cell r="I468">
            <v>0</v>
          </cell>
          <cell r="J468">
            <v>0</v>
          </cell>
          <cell r="K468">
            <v>0</v>
          </cell>
          <cell r="L468">
            <v>0</v>
          </cell>
          <cell r="M468">
            <v>0</v>
          </cell>
        </row>
        <row r="469">
          <cell r="D469">
            <v>8510</v>
          </cell>
          <cell r="E469" t="str">
            <v>盈余公积_本年年初余额</v>
          </cell>
          <cell r="F469">
            <v>10000000</v>
          </cell>
          <cell r="G469">
            <v>0</v>
          </cell>
          <cell r="H469">
            <v>0</v>
          </cell>
          <cell r="I469">
            <v>10000000</v>
          </cell>
          <cell r="J469">
            <v>7495453.8300000001</v>
          </cell>
          <cell r="K469">
            <v>0</v>
          </cell>
          <cell r="L469">
            <v>0</v>
          </cell>
          <cell r="M469">
            <v>7495453.8300000001</v>
          </cell>
        </row>
        <row r="470">
          <cell r="D470">
            <v>8590</v>
          </cell>
          <cell r="E470" t="str">
            <v>盈余公积_本期增减变动金额</v>
          </cell>
          <cell r="F470">
            <v>0</v>
          </cell>
          <cell r="G470">
            <v>0</v>
          </cell>
          <cell r="H470">
            <v>0</v>
          </cell>
          <cell r="I470">
            <v>0</v>
          </cell>
          <cell r="J470">
            <v>2504546.17</v>
          </cell>
          <cell r="K470">
            <v>0</v>
          </cell>
          <cell r="L470">
            <v>0</v>
          </cell>
          <cell r="M470">
            <v>2504546.17</v>
          </cell>
        </row>
        <row r="471">
          <cell r="D471">
            <v>8521</v>
          </cell>
          <cell r="E471" t="str">
            <v>盈余公积_净利润增加权益</v>
          </cell>
          <cell r="F471">
            <v>0</v>
          </cell>
          <cell r="G471">
            <v>0</v>
          </cell>
          <cell r="H471">
            <v>0</v>
          </cell>
          <cell r="I471">
            <v>0</v>
          </cell>
          <cell r="J471">
            <v>0</v>
          </cell>
          <cell r="K471">
            <v>0</v>
          </cell>
          <cell r="L471">
            <v>0</v>
          </cell>
          <cell r="M471">
            <v>0</v>
          </cell>
        </row>
        <row r="472">
          <cell r="D472">
            <v>8530</v>
          </cell>
          <cell r="E472" t="str">
            <v>盈余公积_其他综合收益增加权益</v>
          </cell>
          <cell r="F472">
            <v>0</v>
          </cell>
          <cell r="G472">
            <v>0</v>
          </cell>
          <cell r="H472">
            <v>0</v>
          </cell>
          <cell r="I472">
            <v>0</v>
          </cell>
          <cell r="J472">
            <v>0</v>
          </cell>
          <cell r="K472">
            <v>0</v>
          </cell>
          <cell r="L472">
            <v>0</v>
          </cell>
          <cell r="M472">
            <v>0</v>
          </cell>
        </row>
        <row r="473">
          <cell r="D473">
            <v>8540</v>
          </cell>
          <cell r="E473" t="str">
            <v>盈余公积_综合收益总额增加权益</v>
          </cell>
          <cell r="F473">
            <v>0</v>
          </cell>
          <cell r="G473">
            <v>0</v>
          </cell>
          <cell r="H473">
            <v>0</v>
          </cell>
          <cell r="I473">
            <v>0</v>
          </cell>
          <cell r="J473">
            <v>0</v>
          </cell>
          <cell r="K473">
            <v>0</v>
          </cell>
          <cell r="L473">
            <v>0</v>
          </cell>
          <cell r="M473">
            <v>0</v>
          </cell>
        </row>
        <row r="474">
          <cell r="D474">
            <v>8550</v>
          </cell>
          <cell r="E474" t="str">
            <v>盈余公积_所有者投入和减少资本影响权益</v>
          </cell>
          <cell r="F474">
            <v>0</v>
          </cell>
          <cell r="G474">
            <v>0</v>
          </cell>
          <cell r="H474">
            <v>0</v>
          </cell>
          <cell r="I474">
            <v>0</v>
          </cell>
          <cell r="J474">
            <v>0</v>
          </cell>
          <cell r="K474">
            <v>0</v>
          </cell>
          <cell r="L474">
            <v>0</v>
          </cell>
          <cell r="M474">
            <v>0</v>
          </cell>
        </row>
        <row r="475">
          <cell r="D475">
            <v>8551</v>
          </cell>
          <cell r="E475" t="str">
            <v>盈余公积_所有者投入资本增加权益</v>
          </cell>
          <cell r="F475">
            <v>0</v>
          </cell>
          <cell r="G475">
            <v>0</v>
          </cell>
          <cell r="H475">
            <v>0</v>
          </cell>
          <cell r="I475">
            <v>0</v>
          </cell>
          <cell r="J475">
            <v>0</v>
          </cell>
          <cell r="K475">
            <v>0</v>
          </cell>
          <cell r="L475">
            <v>0</v>
          </cell>
          <cell r="M475">
            <v>0</v>
          </cell>
        </row>
        <row r="476">
          <cell r="D476">
            <v>8553</v>
          </cell>
          <cell r="E476" t="str">
            <v>盈余公积_其他权益工具持有者投入资本</v>
          </cell>
          <cell r="F476">
            <v>0</v>
          </cell>
          <cell r="G476">
            <v>0</v>
          </cell>
          <cell r="H476">
            <v>0</v>
          </cell>
          <cell r="I476">
            <v>0</v>
          </cell>
          <cell r="J476">
            <v>0</v>
          </cell>
          <cell r="K476">
            <v>0</v>
          </cell>
          <cell r="L476">
            <v>0</v>
          </cell>
          <cell r="M476">
            <v>0</v>
          </cell>
        </row>
        <row r="477">
          <cell r="D477">
            <v>8552</v>
          </cell>
          <cell r="E477" t="str">
            <v>盈余公积_股份支付计入所有者权益的金额</v>
          </cell>
          <cell r="F477">
            <v>0</v>
          </cell>
          <cell r="G477">
            <v>0</v>
          </cell>
          <cell r="H477">
            <v>0</v>
          </cell>
          <cell r="I477">
            <v>0</v>
          </cell>
          <cell r="J477">
            <v>0</v>
          </cell>
          <cell r="K477">
            <v>0</v>
          </cell>
          <cell r="L477">
            <v>0</v>
          </cell>
          <cell r="M477">
            <v>0</v>
          </cell>
        </row>
        <row r="478">
          <cell r="D478">
            <v>8556</v>
          </cell>
          <cell r="E478" t="str">
            <v>盈余公积_所有者其他投入和减少资本</v>
          </cell>
          <cell r="F478">
            <v>0</v>
          </cell>
          <cell r="G478">
            <v>0</v>
          </cell>
          <cell r="H478">
            <v>0</v>
          </cell>
          <cell r="I478">
            <v>0</v>
          </cell>
          <cell r="J478">
            <v>0</v>
          </cell>
          <cell r="K478">
            <v>0</v>
          </cell>
          <cell r="L478">
            <v>0</v>
          </cell>
          <cell r="M478">
            <v>0</v>
          </cell>
        </row>
        <row r="479">
          <cell r="D479">
            <v>8560</v>
          </cell>
          <cell r="E479" t="str">
            <v>盈余公积_利润分配影响权益</v>
          </cell>
          <cell r="F479">
            <v>0</v>
          </cell>
          <cell r="G479">
            <v>0</v>
          </cell>
          <cell r="H479">
            <v>0</v>
          </cell>
          <cell r="I479">
            <v>0</v>
          </cell>
          <cell r="J479">
            <v>2504546.17</v>
          </cell>
          <cell r="K479">
            <v>0</v>
          </cell>
          <cell r="L479">
            <v>0</v>
          </cell>
          <cell r="M479">
            <v>2504546.17</v>
          </cell>
        </row>
        <row r="480">
          <cell r="D480">
            <v>8561</v>
          </cell>
          <cell r="E480" t="str">
            <v>盈余公积_提取</v>
          </cell>
          <cell r="F480">
            <v>0</v>
          </cell>
          <cell r="G480">
            <v>0</v>
          </cell>
          <cell r="H480">
            <v>0</v>
          </cell>
          <cell r="I480">
            <v>0</v>
          </cell>
          <cell r="J480">
            <v>2504546.17</v>
          </cell>
          <cell r="K480">
            <v>0</v>
          </cell>
          <cell r="L480">
            <v>0</v>
          </cell>
          <cell r="M480">
            <v>2504546.17</v>
          </cell>
        </row>
        <row r="481">
          <cell r="D481">
            <v>8562</v>
          </cell>
          <cell r="E481" t="str">
            <v>盈余公积_提取一般风险准备影响权益</v>
          </cell>
          <cell r="F481">
            <v>0</v>
          </cell>
          <cell r="G481">
            <v>0</v>
          </cell>
          <cell r="H481">
            <v>0</v>
          </cell>
          <cell r="I481">
            <v>0</v>
          </cell>
          <cell r="J481">
            <v>0</v>
          </cell>
          <cell r="K481">
            <v>0</v>
          </cell>
          <cell r="L481">
            <v>0</v>
          </cell>
          <cell r="M481">
            <v>0</v>
          </cell>
        </row>
        <row r="482">
          <cell r="D482">
            <v>8563</v>
          </cell>
          <cell r="E482" t="str">
            <v>盈余公积_对所有者的分配</v>
          </cell>
          <cell r="F482">
            <v>0</v>
          </cell>
          <cell r="G482">
            <v>0</v>
          </cell>
          <cell r="H482">
            <v>0</v>
          </cell>
          <cell r="I482">
            <v>0</v>
          </cell>
          <cell r="J482">
            <v>0</v>
          </cell>
          <cell r="K482">
            <v>0</v>
          </cell>
          <cell r="L482">
            <v>0</v>
          </cell>
          <cell r="M482">
            <v>0</v>
          </cell>
        </row>
        <row r="483">
          <cell r="D483">
            <v>8566</v>
          </cell>
          <cell r="E483" t="str">
            <v>盈余公积_其他利润分配</v>
          </cell>
          <cell r="F483">
            <v>0</v>
          </cell>
          <cell r="G483">
            <v>0</v>
          </cell>
          <cell r="H483">
            <v>0</v>
          </cell>
          <cell r="I483">
            <v>0</v>
          </cell>
          <cell r="J483">
            <v>0</v>
          </cell>
          <cell r="K483">
            <v>0</v>
          </cell>
          <cell r="L483">
            <v>0</v>
          </cell>
          <cell r="M483">
            <v>0</v>
          </cell>
        </row>
        <row r="484">
          <cell r="D484">
            <v>8570</v>
          </cell>
          <cell r="E484" t="str">
            <v>盈余公积_所有者权益内部结转</v>
          </cell>
          <cell r="F484">
            <v>0</v>
          </cell>
          <cell r="G484">
            <v>0</v>
          </cell>
          <cell r="H484">
            <v>0</v>
          </cell>
          <cell r="I484">
            <v>0</v>
          </cell>
          <cell r="J484">
            <v>0</v>
          </cell>
          <cell r="K484">
            <v>0</v>
          </cell>
          <cell r="L484">
            <v>0</v>
          </cell>
          <cell r="M484">
            <v>0</v>
          </cell>
        </row>
        <row r="485">
          <cell r="D485">
            <v>8571</v>
          </cell>
          <cell r="E485" t="str">
            <v>盈余公积_资本公积转增资本影响权益</v>
          </cell>
          <cell r="F485">
            <v>0</v>
          </cell>
          <cell r="G485">
            <v>0</v>
          </cell>
          <cell r="H485">
            <v>0</v>
          </cell>
          <cell r="I485">
            <v>0</v>
          </cell>
          <cell r="J485">
            <v>0</v>
          </cell>
          <cell r="K485">
            <v>0</v>
          </cell>
          <cell r="L485">
            <v>0</v>
          </cell>
          <cell r="M485">
            <v>0</v>
          </cell>
        </row>
        <row r="486">
          <cell r="D486">
            <v>8572</v>
          </cell>
          <cell r="E486" t="str">
            <v>盈余公积_转增资本</v>
          </cell>
          <cell r="F486">
            <v>0</v>
          </cell>
          <cell r="G486">
            <v>0</v>
          </cell>
          <cell r="H486">
            <v>0</v>
          </cell>
          <cell r="I486">
            <v>0</v>
          </cell>
          <cell r="J486">
            <v>0</v>
          </cell>
          <cell r="K486">
            <v>0</v>
          </cell>
          <cell r="L486">
            <v>0</v>
          </cell>
          <cell r="M486">
            <v>0</v>
          </cell>
        </row>
        <row r="487">
          <cell r="D487">
            <v>8573</v>
          </cell>
          <cell r="E487" t="str">
            <v>盈余公积_弥补亏损</v>
          </cell>
          <cell r="F487">
            <v>0</v>
          </cell>
          <cell r="G487">
            <v>0</v>
          </cell>
          <cell r="H487">
            <v>0</v>
          </cell>
          <cell r="I487">
            <v>0</v>
          </cell>
          <cell r="J487">
            <v>0</v>
          </cell>
          <cell r="K487">
            <v>0</v>
          </cell>
          <cell r="L487">
            <v>0</v>
          </cell>
          <cell r="M487">
            <v>0</v>
          </cell>
        </row>
        <row r="488">
          <cell r="D488">
            <v>8575</v>
          </cell>
          <cell r="E488" t="str">
            <v>盈余公积_设定受益计划变动额结转留存收益</v>
          </cell>
          <cell r="F488">
            <v>0</v>
          </cell>
          <cell r="G488">
            <v>0</v>
          </cell>
          <cell r="H488">
            <v>0</v>
          </cell>
          <cell r="I488">
            <v>0</v>
          </cell>
          <cell r="J488">
            <v>0</v>
          </cell>
          <cell r="K488">
            <v>0</v>
          </cell>
          <cell r="L488">
            <v>0</v>
          </cell>
          <cell r="M488">
            <v>0</v>
          </cell>
        </row>
        <row r="489">
          <cell r="D489">
            <v>8576</v>
          </cell>
          <cell r="E489" t="str">
            <v>盈余公积_所有者权益其他内部结转</v>
          </cell>
          <cell r="F489">
            <v>0</v>
          </cell>
          <cell r="G489">
            <v>0</v>
          </cell>
          <cell r="H489">
            <v>0</v>
          </cell>
          <cell r="I489">
            <v>0</v>
          </cell>
          <cell r="J489">
            <v>0</v>
          </cell>
          <cell r="K489">
            <v>0</v>
          </cell>
          <cell r="L489">
            <v>0</v>
          </cell>
          <cell r="M489">
            <v>0</v>
          </cell>
        </row>
        <row r="490">
          <cell r="D490">
            <v>8580</v>
          </cell>
          <cell r="E490" t="str">
            <v>盈余公积_专项储备影响权益</v>
          </cell>
          <cell r="F490">
            <v>0</v>
          </cell>
          <cell r="G490">
            <v>0</v>
          </cell>
          <cell r="H490">
            <v>0</v>
          </cell>
          <cell r="I490">
            <v>0</v>
          </cell>
          <cell r="J490">
            <v>0</v>
          </cell>
          <cell r="K490">
            <v>0</v>
          </cell>
          <cell r="L490">
            <v>0</v>
          </cell>
          <cell r="M490">
            <v>0</v>
          </cell>
        </row>
        <row r="491">
          <cell r="D491">
            <v>8581</v>
          </cell>
          <cell r="E491" t="str">
            <v>盈余公积_专项储备本期提取</v>
          </cell>
          <cell r="F491">
            <v>0</v>
          </cell>
          <cell r="G491">
            <v>0</v>
          </cell>
          <cell r="H491">
            <v>0</v>
          </cell>
          <cell r="I491">
            <v>0</v>
          </cell>
          <cell r="J491">
            <v>0</v>
          </cell>
          <cell r="K491">
            <v>0</v>
          </cell>
          <cell r="L491">
            <v>0</v>
          </cell>
          <cell r="M491">
            <v>0</v>
          </cell>
        </row>
        <row r="492">
          <cell r="D492">
            <v>8582</v>
          </cell>
          <cell r="E492" t="str">
            <v>盈余公积_专项储备本期使用</v>
          </cell>
          <cell r="F492">
            <v>0</v>
          </cell>
          <cell r="G492">
            <v>0</v>
          </cell>
          <cell r="H492">
            <v>0</v>
          </cell>
          <cell r="I492">
            <v>0</v>
          </cell>
          <cell r="J492">
            <v>0</v>
          </cell>
          <cell r="K492">
            <v>0</v>
          </cell>
          <cell r="L492">
            <v>0</v>
          </cell>
          <cell r="M492">
            <v>0</v>
          </cell>
        </row>
        <row r="493">
          <cell r="D493">
            <v>8596</v>
          </cell>
          <cell r="E493" t="str">
            <v>盈余公积_本期其他增减变动</v>
          </cell>
          <cell r="F493">
            <v>0</v>
          </cell>
          <cell r="G493">
            <v>0</v>
          </cell>
          <cell r="H493">
            <v>0</v>
          </cell>
          <cell r="I493">
            <v>0</v>
          </cell>
          <cell r="J493">
            <v>0</v>
          </cell>
          <cell r="K493">
            <v>0</v>
          </cell>
          <cell r="L493">
            <v>0</v>
          </cell>
          <cell r="M493">
            <v>0</v>
          </cell>
        </row>
        <row r="494">
          <cell r="D494">
            <v>8599</v>
          </cell>
          <cell r="E494" t="str">
            <v>盈余公积_本期期末余额</v>
          </cell>
          <cell r="F494">
            <v>10000000</v>
          </cell>
          <cell r="G494">
            <v>0</v>
          </cell>
          <cell r="H494">
            <v>0</v>
          </cell>
          <cell r="I494">
            <v>10000000</v>
          </cell>
          <cell r="J494">
            <v>10000000</v>
          </cell>
          <cell r="K494">
            <v>0</v>
          </cell>
          <cell r="L494">
            <v>0</v>
          </cell>
          <cell r="M494">
            <v>10000000</v>
          </cell>
        </row>
        <row r="495">
          <cell r="D495">
            <v>8600</v>
          </cell>
          <cell r="E495" t="str">
            <v>一般风险准备增减变动</v>
          </cell>
          <cell r="F495">
            <v>0</v>
          </cell>
          <cell r="G495">
            <v>0</v>
          </cell>
          <cell r="H495">
            <v>0</v>
          </cell>
          <cell r="I495">
            <v>0</v>
          </cell>
          <cell r="J495">
            <v>0</v>
          </cell>
          <cell r="K495">
            <v>0</v>
          </cell>
          <cell r="L495">
            <v>0</v>
          </cell>
          <cell r="M495">
            <v>0</v>
          </cell>
        </row>
        <row r="496">
          <cell r="D496">
            <v>8601</v>
          </cell>
          <cell r="E496" t="str">
            <v>一般风险准备_上年年末余额</v>
          </cell>
          <cell r="F496">
            <v>0</v>
          </cell>
          <cell r="G496">
            <v>0</v>
          </cell>
          <cell r="H496">
            <v>0</v>
          </cell>
          <cell r="I496">
            <v>0</v>
          </cell>
          <cell r="J496">
            <v>0</v>
          </cell>
          <cell r="K496">
            <v>0</v>
          </cell>
          <cell r="L496">
            <v>0</v>
          </cell>
          <cell r="M496">
            <v>0</v>
          </cell>
        </row>
        <row r="497">
          <cell r="D497">
            <v>8602</v>
          </cell>
          <cell r="E497" t="str">
            <v>一般风险准备_会计政策变更调整上年年末余额</v>
          </cell>
          <cell r="F497">
            <v>0</v>
          </cell>
          <cell r="G497">
            <v>0</v>
          </cell>
          <cell r="H497">
            <v>0</v>
          </cell>
          <cell r="I497">
            <v>0</v>
          </cell>
          <cell r="J497">
            <v>0</v>
          </cell>
          <cell r="K497">
            <v>0</v>
          </cell>
          <cell r="L497">
            <v>0</v>
          </cell>
          <cell r="M497">
            <v>0</v>
          </cell>
        </row>
        <row r="498">
          <cell r="D498">
            <v>8603</v>
          </cell>
          <cell r="E498" t="str">
            <v>一般风险准备_前期差错更正调整上年年末余额</v>
          </cell>
          <cell r="F498">
            <v>0</v>
          </cell>
          <cell r="G498">
            <v>0</v>
          </cell>
          <cell r="H498">
            <v>0</v>
          </cell>
          <cell r="I498">
            <v>0</v>
          </cell>
          <cell r="J498">
            <v>0</v>
          </cell>
          <cell r="K498">
            <v>0</v>
          </cell>
          <cell r="L498">
            <v>0</v>
          </cell>
          <cell r="M498">
            <v>0</v>
          </cell>
        </row>
        <row r="499">
          <cell r="D499">
            <v>8604</v>
          </cell>
          <cell r="E499" t="str">
            <v>一般风险准备_同一控制下企业合并调整上年年末余额</v>
          </cell>
          <cell r="F499">
            <v>0</v>
          </cell>
          <cell r="G499">
            <v>0</v>
          </cell>
          <cell r="H499">
            <v>0</v>
          </cell>
          <cell r="I499">
            <v>0</v>
          </cell>
          <cell r="J499">
            <v>0</v>
          </cell>
          <cell r="K499">
            <v>0</v>
          </cell>
          <cell r="L499">
            <v>0</v>
          </cell>
          <cell r="M499">
            <v>0</v>
          </cell>
        </row>
        <row r="500">
          <cell r="D500">
            <v>8609</v>
          </cell>
          <cell r="E500" t="str">
            <v>一般风险准备_其他原因调整上年年末余额</v>
          </cell>
          <cell r="F500">
            <v>0</v>
          </cell>
          <cell r="G500">
            <v>0</v>
          </cell>
          <cell r="H500">
            <v>0</v>
          </cell>
          <cell r="I500">
            <v>0</v>
          </cell>
          <cell r="J500">
            <v>0</v>
          </cell>
          <cell r="K500">
            <v>0</v>
          </cell>
          <cell r="L500">
            <v>0</v>
          </cell>
          <cell r="M500">
            <v>0</v>
          </cell>
        </row>
        <row r="501">
          <cell r="D501">
            <v>8610</v>
          </cell>
          <cell r="E501" t="str">
            <v>一般风险准备_本年年初余额</v>
          </cell>
          <cell r="F501">
            <v>0</v>
          </cell>
          <cell r="G501">
            <v>0</v>
          </cell>
          <cell r="H501">
            <v>0</v>
          </cell>
          <cell r="I501">
            <v>0</v>
          </cell>
          <cell r="J501">
            <v>0</v>
          </cell>
          <cell r="K501">
            <v>0</v>
          </cell>
          <cell r="L501">
            <v>0</v>
          </cell>
          <cell r="M501">
            <v>0</v>
          </cell>
        </row>
        <row r="502">
          <cell r="D502">
            <v>8690</v>
          </cell>
          <cell r="E502" t="str">
            <v>一般风险准备_本期增减变动金额</v>
          </cell>
          <cell r="F502">
            <v>0</v>
          </cell>
          <cell r="G502">
            <v>0</v>
          </cell>
          <cell r="H502">
            <v>0</v>
          </cell>
          <cell r="I502">
            <v>0</v>
          </cell>
          <cell r="J502">
            <v>0</v>
          </cell>
          <cell r="K502">
            <v>0</v>
          </cell>
          <cell r="L502">
            <v>0</v>
          </cell>
          <cell r="M502">
            <v>0</v>
          </cell>
        </row>
        <row r="503">
          <cell r="D503">
            <v>8621</v>
          </cell>
          <cell r="E503" t="str">
            <v>一般风险准备_净利润增加权益</v>
          </cell>
          <cell r="F503">
            <v>0</v>
          </cell>
          <cell r="G503">
            <v>0</v>
          </cell>
          <cell r="H503">
            <v>0</v>
          </cell>
          <cell r="I503">
            <v>0</v>
          </cell>
          <cell r="J503">
            <v>0</v>
          </cell>
          <cell r="K503">
            <v>0</v>
          </cell>
          <cell r="L503">
            <v>0</v>
          </cell>
          <cell r="M503">
            <v>0</v>
          </cell>
        </row>
        <row r="504">
          <cell r="D504">
            <v>8630</v>
          </cell>
          <cell r="E504" t="str">
            <v>一般风险准备_其他综合收益增加权益</v>
          </cell>
          <cell r="F504">
            <v>0</v>
          </cell>
          <cell r="G504">
            <v>0</v>
          </cell>
          <cell r="H504">
            <v>0</v>
          </cell>
          <cell r="I504">
            <v>0</v>
          </cell>
          <cell r="J504">
            <v>0</v>
          </cell>
          <cell r="K504">
            <v>0</v>
          </cell>
          <cell r="L504">
            <v>0</v>
          </cell>
          <cell r="M504">
            <v>0</v>
          </cell>
        </row>
        <row r="505">
          <cell r="D505">
            <v>8640</v>
          </cell>
          <cell r="E505" t="str">
            <v>一般风险准备_综合收益总额增加权益</v>
          </cell>
          <cell r="F505">
            <v>0</v>
          </cell>
          <cell r="G505">
            <v>0</v>
          </cell>
          <cell r="H505">
            <v>0</v>
          </cell>
          <cell r="I505">
            <v>0</v>
          </cell>
          <cell r="J505">
            <v>0</v>
          </cell>
          <cell r="K505">
            <v>0</v>
          </cell>
          <cell r="L505">
            <v>0</v>
          </cell>
          <cell r="M505">
            <v>0</v>
          </cell>
        </row>
        <row r="506">
          <cell r="D506">
            <v>8650</v>
          </cell>
          <cell r="E506" t="str">
            <v>一般风险准备_所有者投入和减少资本影响权益</v>
          </cell>
          <cell r="F506">
            <v>0</v>
          </cell>
          <cell r="G506">
            <v>0</v>
          </cell>
          <cell r="H506">
            <v>0</v>
          </cell>
          <cell r="I506">
            <v>0</v>
          </cell>
          <cell r="J506">
            <v>0</v>
          </cell>
          <cell r="K506">
            <v>0</v>
          </cell>
          <cell r="L506">
            <v>0</v>
          </cell>
          <cell r="M506">
            <v>0</v>
          </cell>
        </row>
        <row r="507">
          <cell r="D507">
            <v>8651</v>
          </cell>
          <cell r="E507" t="str">
            <v>一般风险准备_所有者投入资本增加权益</v>
          </cell>
          <cell r="F507">
            <v>0</v>
          </cell>
          <cell r="G507">
            <v>0</v>
          </cell>
          <cell r="H507">
            <v>0</v>
          </cell>
          <cell r="I507">
            <v>0</v>
          </cell>
          <cell r="J507">
            <v>0</v>
          </cell>
          <cell r="K507">
            <v>0</v>
          </cell>
          <cell r="L507">
            <v>0</v>
          </cell>
          <cell r="M507">
            <v>0</v>
          </cell>
        </row>
        <row r="508">
          <cell r="D508">
            <v>8653</v>
          </cell>
          <cell r="E508" t="str">
            <v>一般风险准备_其他权益工具持有者投入资本</v>
          </cell>
          <cell r="F508">
            <v>0</v>
          </cell>
          <cell r="G508">
            <v>0</v>
          </cell>
          <cell r="H508">
            <v>0</v>
          </cell>
          <cell r="I508">
            <v>0</v>
          </cell>
          <cell r="J508">
            <v>0</v>
          </cell>
          <cell r="K508">
            <v>0</v>
          </cell>
          <cell r="L508">
            <v>0</v>
          </cell>
          <cell r="M508">
            <v>0</v>
          </cell>
        </row>
        <row r="509">
          <cell r="D509">
            <v>8652</v>
          </cell>
          <cell r="E509" t="str">
            <v>一般风险准备_股份支付计入所有者权益的金额</v>
          </cell>
          <cell r="F509">
            <v>0</v>
          </cell>
          <cell r="G509">
            <v>0</v>
          </cell>
          <cell r="H509">
            <v>0</v>
          </cell>
          <cell r="I509">
            <v>0</v>
          </cell>
          <cell r="J509">
            <v>0</v>
          </cell>
          <cell r="K509">
            <v>0</v>
          </cell>
          <cell r="L509">
            <v>0</v>
          </cell>
          <cell r="M509">
            <v>0</v>
          </cell>
        </row>
        <row r="510">
          <cell r="D510">
            <v>8656</v>
          </cell>
          <cell r="E510" t="str">
            <v>一般风险准备_所有者其他投入和减少资本</v>
          </cell>
          <cell r="F510">
            <v>0</v>
          </cell>
          <cell r="G510">
            <v>0</v>
          </cell>
          <cell r="H510">
            <v>0</v>
          </cell>
          <cell r="I510">
            <v>0</v>
          </cell>
          <cell r="J510">
            <v>0</v>
          </cell>
          <cell r="K510">
            <v>0</v>
          </cell>
          <cell r="L510">
            <v>0</v>
          </cell>
          <cell r="M510">
            <v>0</v>
          </cell>
        </row>
        <row r="511">
          <cell r="D511">
            <v>8660</v>
          </cell>
          <cell r="E511" t="str">
            <v>一般风险准备_利润分配影响权益</v>
          </cell>
          <cell r="F511">
            <v>0</v>
          </cell>
          <cell r="G511">
            <v>0</v>
          </cell>
          <cell r="H511">
            <v>0</v>
          </cell>
          <cell r="I511">
            <v>0</v>
          </cell>
          <cell r="J511">
            <v>0</v>
          </cell>
          <cell r="K511">
            <v>0</v>
          </cell>
          <cell r="L511">
            <v>0</v>
          </cell>
          <cell r="M511">
            <v>0</v>
          </cell>
        </row>
        <row r="512">
          <cell r="D512">
            <v>8661</v>
          </cell>
          <cell r="E512" t="str">
            <v>一般风险准备_提取盈余公积影响权益</v>
          </cell>
          <cell r="F512">
            <v>0</v>
          </cell>
          <cell r="G512">
            <v>0</v>
          </cell>
          <cell r="H512">
            <v>0</v>
          </cell>
          <cell r="I512">
            <v>0</v>
          </cell>
          <cell r="J512">
            <v>0</v>
          </cell>
          <cell r="K512">
            <v>0</v>
          </cell>
          <cell r="L512">
            <v>0</v>
          </cell>
          <cell r="M512">
            <v>0</v>
          </cell>
        </row>
        <row r="513">
          <cell r="D513">
            <v>8662</v>
          </cell>
          <cell r="E513" t="str">
            <v>一般风险准备_提取</v>
          </cell>
          <cell r="F513">
            <v>0</v>
          </cell>
          <cell r="G513">
            <v>0</v>
          </cell>
          <cell r="H513">
            <v>0</v>
          </cell>
          <cell r="I513">
            <v>0</v>
          </cell>
          <cell r="J513">
            <v>0</v>
          </cell>
          <cell r="K513">
            <v>0</v>
          </cell>
          <cell r="L513">
            <v>0</v>
          </cell>
          <cell r="M513">
            <v>0</v>
          </cell>
        </row>
        <row r="514">
          <cell r="D514">
            <v>8663</v>
          </cell>
          <cell r="E514" t="str">
            <v>一般风险准备_对所有者的分配影响权益</v>
          </cell>
          <cell r="F514">
            <v>0</v>
          </cell>
          <cell r="G514">
            <v>0</v>
          </cell>
          <cell r="H514">
            <v>0</v>
          </cell>
          <cell r="I514">
            <v>0</v>
          </cell>
          <cell r="J514">
            <v>0</v>
          </cell>
          <cell r="K514">
            <v>0</v>
          </cell>
          <cell r="L514">
            <v>0</v>
          </cell>
          <cell r="M514">
            <v>0</v>
          </cell>
        </row>
        <row r="515">
          <cell r="D515">
            <v>8666</v>
          </cell>
          <cell r="E515" t="str">
            <v>一般风险准备_其他利润分配</v>
          </cell>
          <cell r="F515">
            <v>0</v>
          </cell>
          <cell r="G515">
            <v>0</v>
          </cell>
          <cell r="H515">
            <v>0</v>
          </cell>
          <cell r="I515">
            <v>0</v>
          </cell>
          <cell r="J515">
            <v>0</v>
          </cell>
          <cell r="K515">
            <v>0</v>
          </cell>
          <cell r="L515">
            <v>0</v>
          </cell>
          <cell r="M515">
            <v>0</v>
          </cell>
        </row>
        <row r="516">
          <cell r="D516">
            <v>8670</v>
          </cell>
          <cell r="E516" t="str">
            <v>一般风险准备_所有者权益内部结转</v>
          </cell>
          <cell r="F516">
            <v>0</v>
          </cell>
          <cell r="G516">
            <v>0</v>
          </cell>
          <cell r="H516">
            <v>0</v>
          </cell>
          <cell r="I516">
            <v>0</v>
          </cell>
          <cell r="J516">
            <v>0</v>
          </cell>
          <cell r="K516">
            <v>0</v>
          </cell>
          <cell r="L516">
            <v>0</v>
          </cell>
          <cell r="M516">
            <v>0</v>
          </cell>
        </row>
        <row r="517">
          <cell r="D517">
            <v>8671</v>
          </cell>
          <cell r="E517" t="str">
            <v>一般风险准备_资本公积转增资本影响权益</v>
          </cell>
          <cell r="F517">
            <v>0</v>
          </cell>
          <cell r="G517">
            <v>0</v>
          </cell>
          <cell r="H517">
            <v>0</v>
          </cell>
          <cell r="I517">
            <v>0</v>
          </cell>
          <cell r="J517">
            <v>0</v>
          </cell>
          <cell r="K517">
            <v>0</v>
          </cell>
          <cell r="L517">
            <v>0</v>
          </cell>
          <cell r="M517">
            <v>0</v>
          </cell>
        </row>
        <row r="518">
          <cell r="D518">
            <v>8672</v>
          </cell>
          <cell r="E518" t="str">
            <v>一般风险准备_盈余公积转增资本影响权益</v>
          </cell>
          <cell r="F518">
            <v>0</v>
          </cell>
          <cell r="G518">
            <v>0</v>
          </cell>
          <cell r="H518">
            <v>0</v>
          </cell>
          <cell r="I518">
            <v>0</v>
          </cell>
          <cell r="J518">
            <v>0</v>
          </cell>
          <cell r="K518">
            <v>0</v>
          </cell>
          <cell r="L518">
            <v>0</v>
          </cell>
          <cell r="M518">
            <v>0</v>
          </cell>
        </row>
        <row r="519">
          <cell r="D519">
            <v>8673</v>
          </cell>
          <cell r="E519" t="str">
            <v>一般风险准备_盈余公积弥补亏损影响权益</v>
          </cell>
          <cell r="F519">
            <v>0</v>
          </cell>
          <cell r="G519">
            <v>0</v>
          </cell>
          <cell r="H519">
            <v>0</v>
          </cell>
          <cell r="I519">
            <v>0</v>
          </cell>
          <cell r="J519">
            <v>0</v>
          </cell>
          <cell r="K519">
            <v>0</v>
          </cell>
          <cell r="L519">
            <v>0</v>
          </cell>
          <cell r="M519">
            <v>0</v>
          </cell>
        </row>
        <row r="520">
          <cell r="D520">
            <v>8675</v>
          </cell>
          <cell r="E520" t="str">
            <v>一般风险准备_设定受益计划变动额结转留存收益</v>
          </cell>
          <cell r="F520">
            <v>0</v>
          </cell>
          <cell r="G520">
            <v>0</v>
          </cell>
          <cell r="H520">
            <v>0</v>
          </cell>
          <cell r="I520">
            <v>0</v>
          </cell>
          <cell r="J520">
            <v>0</v>
          </cell>
          <cell r="K520">
            <v>0</v>
          </cell>
          <cell r="L520">
            <v>0</v>
          </cell>
          <cell r="M520">
            <v>0</v>
          </cell>
        </row>
        <row r="521">
          <cell r="D521">
            <v>8676</v>
          </cell>
          <cell r="E521" t="str">
            <v>一般风险准备_所有者权益其他内部结转</v>
          </cell>
          <cell r="F521">
            <v>0</v>
          </cell>
          <cell r="G521">
            <v>0</v>
          </cell>
          <cell r="H521">
            <v>0</v>
          </cell>
          <cell r="I521">
            <v>0</v>
          </cell>
          <cell r="J521">
            <v>0</v>
          </cell>
          <cell r="K521">
            <v>0</v>
          </cell>
          <cell r="L521">
            <v>0</v>
          </cell>
          <cell r="M521">
            <v>0</v>
          </cell>
        </row>
        <row r="522">
          <cell r="D522">
            <v>8680</v>
          </cell>
          <cell r="E522" t="str">
            <v>一般风险准备_专项储备影响权益</v>
          </cell>
          <cell r="F522">
            <v>0</v>
          </cell>
          <cell r="G522">
            <v>0</v>
          </cell>
          <cell r="H522">
            <v>0</v>
          </cell>
          <cell r="I522">
            <v>0</v>
          </cell>
          <cell r="J522">
            <v>0</v>
          </cell>
          <cell r="K522">
            <v>0</v>
          </cell>
          <cell r="L522">
            <v>0</v>
          </cell>
          <cell r="M522">
            <v>0</v>
          </cell>
        </row>
        <row r="523">
          <cell r="D523">
            <v>8681</v>
          </cell>
          <cell r="E523" t="str">
            <v>一般风险准备_专项储备本期提取</v>
          </cell>
          <cell r="F523">
            <v>0</v>
          </cell>
          <cell r="G523">
            <v>0</v>
          </cell>
          <cell r="H523">
            <v>0</v>
          </cell>
          <cell r="I523">
            <v>0</v>
          </cell>
          <cell r="J523">
            <v>0</v>
          </cell>
          <cell r="K523">
            <v>0</v>
          </cell>
          <cell r="L523">
            <v>0</v>
          </cell>
          <cell r="M523">
            <v>0</v>
          </cell>
        </row>
        <row r="524">
          <cell r="D524">
            <v>8682</v>
          </cell>
          <cell r="E524" t="str">
            <v>一般风险准备_专项储备本期使用</v>
          </cell>
          <cell r="F524">
            <v>0</v>
          </cell>
          <cell r="G524">
            <v>0</v>
          </cell>
          <cell r="H524">
            <v>0</v>
          </cell>
          <cell r="I524">
            <v>0</v>
          </cell>
          <cell r="J524">
            <v>0</v>
          </cell>
          <cell r="K524">
            <v>0</v>
          </cell>
          <cell r="L524">
            <v>0</v>
          </cell>
          <cell r="M524">
            <v>0</v>
          </cell>
        </row>
        <row r="525">
          <cell r="D525">
            <v>8696</v>
          </cell>
          <cell r="E525" t="str">
            <v>一般风险准备_本期其他增减变动</v>
          </cell>
          <cell r="F525">
            <v>0</v>
          </cell>
          <cell r="G525">
            <v>0</v>
          </cell>
          <cell r="H525">
            <v>0</v>
          </cell>
          <cell r="I525">
            <v>0</v>
          </cell>
          <cell r="J525">
            <v>0</v>
          </cell>
          <cell r="K525">
            <v>0</v>
          </cell>
          <cell r="L525">
            <v>0</v>
          </cell>
          <cell r="M525">
            <v>0</v>
          </cell>
        </row>
        <row r="526">
          <cell r="D526">
            <v>8699</v>
          </cell>
          <cell r="E526" t="str">
            <v>一般风险准备_本期期末余额</v>
          </cell>
          <cell r="F526">
            <v>0</v>
          </cell>
          <cell r="G526">
            <v>0</v>
          </cell>
          <cell r="H526">
            <v>0</v>
          </cell>
          <cell r="I526">
            <v>0</v>
          </cell>
          <cell r="J526">
            <v>0</v>
          </cell>
          <cell r="K526">
            <v>0</v>
          </cell>
          <cell r="L526">
            <v>0</v>
          </cell>
          <cell r="M526">
            <v>0</v>
          </cell>
        </row>
        <row r="527">
          <cell r="D527">
            <v>8700</v>
          </cell>
          <cell r="E527" t="str">
            <v>未分配利润增减变动</v>
          </cell>
          <cell r="F527">
            <v>0</v>
          </cell>
          <cell r="G527">
            <v>0</v>
          </cell>
          <cell r="H527">
            <v>0</v>
          </cell>
          <cell r="I527">
            <v>0</v>
          </cell>
          <cell r="J527">
            <v>0</v>
          </cell>
          <cell r="K527">
            <v>0</v>
          </cell>
          <cell r="L527">
            <v>0</v>
          </cell>
          <cell r="M527">
            <v>0</v>
          </cell>
        </row>
        <row r="528">
          <cell r="D528">
            <v>8701</v>
          </cell>
          <cell r="E528" t="str">
            <v>未分配利润_上年年末余额</v>
          </cell>
          <cell r="F528">
            <v>67664607.299999997</v>
          </cell>
          <cell r="G528">
            <v>0</v>
          </cell>
          <cell r="H528">
            <v>0</v>
          </cell>
          <cell r="I528">
            <v>67664607.299999997</v>
          </cell>
          <cell r="J528">
            <v>53505457.009999998</v>
          </cell>
          <cell r="K528">
            <v>0</v>
          </cell>
          <cell r="L528">
            <v>0</v>
          </cell>
          <cell r="M528">
            <v>53505457.009999998</v>
          </cell>
        </row>
        <row r="529">
          <cell r="D529">
            <v>8702</v>
          </cell>
          <cell r="E529" t="str">
            <v>未分配利润_会计政策变更调整上年年末余额</v>
          </cell>
          <cell r="F529">
            <v>0</v>
          </cell>
          <cell r="G529">
            <v>0</v>
          </cell>
          <cell r="H529">
            <v>0</v>
          </cell>
          <cell r="I529">
            <v>0</v>
          </cell>
          <cell r="J529">
            <v>0</v>
          </cell>
          <cell r="K529">
            <v>0</v>
          </cell>
          <cell r="L529">
            <v>0</v>
          </cell>
          <cell r="M529">
            <v>0</v>
          </cell>
        </row>
        <row r="530">
          <cell r="D530">
            <v>8703</v>
          </cell>
          <cell r="E530" t="str">
            <v>未分配利润_前期差错更正调整上年年末余额</v>
          </cell>
          <cell r="F530">
            <v>0</v>
          </cell>
          <cell r="G530">
            <v>0</v>
          </cell>
          <cell r="H530">
            <v>0</v>
          </cell>
          <cell r="I530">
            <v>0</v>
          </cell>
          <cell r="J530">
            <v>0</v>
          </cell>
          <cell r="K530">
            <v>0</v>
          </cell>
          <cell r="L530">
            <v>0</v>
          </cell>
          <cell r="M530">
            <v>0</v>
          </cell>
        </row>
        <row r="531">
          <cell r="D531">
            <v>8704</v>
          </cell>
          <cell r="E531" t="str">
            <v>未分配利润_同一控制下企业合并调整上年年末余额</v>
          </cell>
          <cell r="F531">
            <v>0</v>
          </cell>
          <cell r="G531">
            <v>0</v>
          </cell>
          <cell r="H531">
            <v>0</v>
          </cell>
          <cell r="I531">
            <v>0</v>
          </cell>
          <cell r="J531">
            <v>0</v>
          </cell>
          <cell r="K531">
            <v>0</v>
          </cell>
          <cell r="L531">
            <v>0</v>
          </cell>
          <cell r="M531">
            <v>0</v>
          </cell>
        </row>
        <row r="532">
          <cell r="D532">
            <v>8709</v>
          </cell>
          <cell r="E532" t="str">
            <v>未分配利润_其他原因调整上年年末余额</v>
          </cell>
          <cell r="F532">
            <v>0</v>
          </cell>
          <cell r="G532">
            <v>0</v>
          </cell>
          <cell r="H532">
            <v>0</v>
          </cell>
          <cell r="I532">
            <v>0</v>
          </cell>
          <cell r="J532">
            <v>0</v>
          </cell>
          <cell r="K532">
            <v>0</v>
          </cell>
          <cell r="L532">
            <v>0</v>
          </cell>
          <cell r="M532">
            <v>0</v>
          </cell>
        </row>
        <row r="533">
          <cell r="D533">
            <v>8710</v>
          </cell>
          <cell r="E533" t="str">
            <v>未分配利润_本年年初余额</v>
          </cell>
          <cell r="F533">
            <v>67664607.299999997</v>
          </cell>
          <cell r="G533">
            <v>0</v>
          </cell>
          <cell r="H533">
            <v>0</v>
          </cell>
          <cell r="I533">
            <v>67664607.299999997</v>
          </cell>
          <cell r="J533">
            <v>53505457.009999998</v>
          </cell>
          <cell r="K533">
            <v>0</v>
          </cell>
          <cell r="L533">
            <v>0</v>
          </cell>
          <cell r="M533">
            <v>53505457.009999998</v>
          </cell>
        </row>
        <row r="534">
          <cell r="D534">
            <v>8790</v>
          </cell>
          <cell r="E534" t="str">
            <v>未分配利润_本期增减变动金额</v>
          </cell>
          <cell r="F534">
            <v>32204101.010000002</v>
          </cell>
          <cell r="G534">
            <v>568894.69999999995</v>
          </cell>
          <cell r="H534">
            <v>451319.73</v>
          </cell>
          <cell r="I534">
            <v>32086526.039999999</v>
          </cell>
          <cell r="J534">
            <v>14159150.289999999</v>
          </cell>
          <cell r="K534">
            <v>0</v>
          </cell>
          <cell r="L534">
            <v>0</v>
          </cell>
          <cell r="M534">
            <v>14159150.289999999</v>
          </cell>
        </row>
        <row r="535">
          <cell r="D535">
            <v>8721</v>
          </cell>
          <cell r="E535" t="str">
            <v>未分配利润_净利润增加权益</v>
          </cell>
          <cell r="F535">
            <v>32204101.010000002</v>
          </cell>
          <cell r="G535">
            <v>568894.69999999995</v>
          </cell>
          <cell r="H535">
            <v>451319.73</v>
          </cell>
          <cell r="I535">
            <v>32086526.039999999</v>
          </cell>
          <cell r="J535">
            <v>26377964.25</v>
          </cell>
          <cell r="K535">
            <v>0</v>
          </cell>
          <cell r="L535">
            <v>0</v>
          </cell>
          <cell r="M535">
            <v>26377964.25</v>
          </cell>
        </row>
        <row r="536">
          <cell r="D536">
            <v>8730</v>
          </cell>
          <cell r="E536" t="str">
            <v>未分配利润_其他综合收益增加权益</v>
          </cell>
          <cell r="F536">
            <v>0</v>
          </cell>
          <cell r="G536">
            <v>0</v>
          </cell>
          <cell r="H536">
            <v>0</v>
          </cell>
          <cell r="I536">
            <v>0</v>
          </cell>
          <cell r="J536">
            <v>0</v>
          </cell>
          <cell r="K536">
            <v>0</v>
          </cell>
          <cell r="L536">
            <v>0</v>
          </cell>
          <cell r="M536">
            <v>0</v>
          </cell>
        </row>
        <row r="537">
          <cell r="D537">
            <v>8740</v>
          </cell>
          <cell r="E537" t="str">
            <v>未分配利润_综合收益总额增加权益</v>
          </cell>
          <cell r="F537">
            <v>32204101.010000002</v>
          </cell>
          <cell r="G537">
            <v>568894.69999999995</v>
          </cell>
          <cell r="H537">
            <v>451319.73</v>
          </cell>
          <cell r="I537">
            <v>32086526.039999999</v>
          </cell>
          <cell r="J537">
            <v>26377964.25</v>
          </cell>
          <cell r="K537">
            <v>0</v>
          </cell>
          <cell r="L537">
            <v>0</v>
          </cell>
          <cell r="M537">
            <v>26377964.25</v>
          </cell>
        </row>
        <row r="538">
          <cell r="D538">
            <v>8750</v>
          </cell>
          <cell r="E538" t="str">
            <v>未分配利润_所有者投入和减少资本影响权益</v>
          </cell>
          <cell r="F538">
            <v>0</v>
          </cell>
          <cell r="G538">
            <v>0</v>
          </cell>
          <cell r="H538">
            <v>0</v>
          </cell>
          <cell r="I538">
            <v>0</v>
          </cell>
          <cell r="J538">
            <v>0</v>
          </cell>
          <cell r="K538">
            <v>0</v>
          </cell>
          <cell r="L538">
            <v>0</v>
          </cell>
          <cell r="M538">
            <v>0</v>
          </cell>
        </row>
        <row r="539">
          <cell r="D539">
            <v>8751</v>
          </cell>
          <cell r="E539" t="str">
            <v>未分配利润_所有者投入资本增加权益</v>
          </cell>
          <cell r="F539">
            <v>0</v>
          </cell>
          <cell r="G539">
            <v>0</v>
          </cell>
          <cell r="H539">
            <v>0</v>
          </cell>
          <cell r="I539">
            <v>0</v>
          </cell>
          <cell r="J539">
            <v>0</v>
          </cell>
          <cell r="K539">
            <v>0</v>
          </cell>
          <cell r="L539">
            <v>0</v>
          </cell>
          <cell r="M539">
            <v>0</v>
          </cell>
        </row>
        <row r="540">
          <cell r="D540">
            <v>8753</v>
          </cell>
          <cell r="E540" t="str">
            <v>未分配利润_其他权益工具持有者投入资本</v>
          </cell>
          <cell r="F540">
            <v>0</v>
          </cell>
          <cell r="G540">
            <v>0</v>
          </cell>
          <cell r="H540">
            <v>0</v>
          </cell>
          <cell r="I540">
            <v>0</v>
          </cell>
          <cell r="J540">
            <v>0</v>
          </cell>
          <cell r="K540">
            <v>0</v>
          </cell>
          <cell r="L540">
            <v>0</v>
          </cell>
          <cell r="M540">
            <v>0</v>
          </cell>
        </row>
        <row r="541">
          <cell r="D541">
            <v>8752</v>
          </cell>
          <cell r="E541" t="str">
            <v>未分配利润_股份支付计入所有者权益的金额</v>
          </cell>
          <cell r="F541">
            <v>0</v>
          </cell>
          <cell r="G541">
            <v>0</v>
          </cell>
          <cell r="H541">
            <v>0</v>
          </cell>
          <cell r="I541">
            <v>0</v>
          </cell>
          <cell r="J541">
            <v>0</v>
          </cell>
          <cell r="K541">
            <v>0</v>
          </cell>
          <cell r="L541">
            <v>0</v>
          </cell>
          <cell r="M541">
            <v>0</v>
          </cell>
        </row>
        <row r="542">
          <cell r="D542">
            <v>8756</v>
          </cell>
          <cell r="E542" t="str">
            <v>未分配利润_所有者其他投入和减少资本</v>
          </cell>
          <cell r="F542">
            <v>0</v>
          </cell>
          <cell r="G542">
            <v>0</v>
          </cell>
          <cell r="H542">
            <v>0</v>
          </cell>
          <cell r="I542">
            <v>0</v>
          </cell>
          <cell r="J542">
            <v>0</v>
          </cell>
          <cell r="K542">
            <v>0</v>
          </cell>
          <cell r="L542">
            <v>0</v>
          </cell>
          <cell r="M542">
            <v>0</v>
          </cell>
        </row>
        <row r="543">
          <cell r="D543">
            <v>8760</v>
          </cell>
          <cell r="E543" t="str">
            <v>未分配利润_利润分配影响权益</v>
          </cell>
          <cell r="F543">
            <v>0</v>
          </cell>
          <cell r="G543">
            <v>0</v>
          </cell>
          <cell r="H543">
            <v>0</v>
          </cell>
          <cell r="I543">
            <v>0</v>
          </cell>
          <cell r="J543">
            <v>-12218813.960000001</v>
          </cell>
          <cell r="K543">
            <v>0</v>
          </cell>
          <cell r="L543">
            <v>0</v>
          </cell>
          <cell r="M543">
            <v>-12218813.960000001</v>
          </cell>
        </row>
        <row r="544">
          <cell r="D544">
            <v>8761</v>
          </cell>
          <cell r="E544" t="str">
            <v>未分配利润_提取盈余公积</v>
          </cell>
          <cell r="F544">
            <v>0</v>
          </cell>
          <cell r="G544">
            <v>0</v>
          </cell>
          <cell r="H544">
            <v>0</v>
          </cell>
          <cell r="I544">
            <v>0</v>
          </cell>
          <cell r="J544">
            <v>-2504546.17</v>
          </cell>
          <cell r="K544">
            <v>0</v>
          </cell>
          <cell r="L544">
            <v>0</v>
          </cell>
          <cell r="M544">
            <v>-2504546.17</v>
          </cell>
        </row>
        <row r="545">
          <cell r="D545">
            <v>8762</v>
          </cell>
          <cell r="E545" t="str">
            <v>未分配利润_提取一般风险准备</v>
          </cell>
          <cell r="F545">
            <v>0</v>
          </cell>
          <cell r="G545">
            <v>0</v>
          </cell>
          <cell r="H545">
            <v>0</v>
          </cell>
          <cell r="I545">
            <v>0</v>
          </cell>
          <cell r="J545">
            <v>0</v>
          </cell>
          <cell r="K545">
            <v>0</v>
          </cell>
          <cell r="L545">
            <v>0</v>
          </cell>
          <cell r="M545">
            <v>0</v>
          </cell>
        </row>
        <row r="546">
          <cell r="D546">
            <v>8763</v>
          </cell>
          <cell r="E546" t="str">
            <v>未分配利润_对所有者的分配</v>
          </cell>
          <cell r="F546">
            <v>0</v>
          </cell>
          <cell r="G546">
            <v>0</v>
          </cell>
          <cell r="H546">
            <v>0</v>
          </cell>
          <cell r="I546">
            <v>0</v>
          </cell>
          <cell r="J546">
            <v>-9714267.7899999991</v>
          </cell>
          <cell r="K546">
            <v>0</v>
          </cell>
          <cell r="L546">
            <v>0</v>
          </cell>
          <cell r="M546">
            <v>-9714267.7899999991</v>
          </cell>
        </row>
        <row r="547">
          <cell r="D547">
            <v>8766</v>
          </cell>
          <cell r="E547" t="str">
            <v>未分配利润_其他利润分配</v>
          </cell>
          <cell r="F547">
            <v>0</v>
          </cell>
          <cell r="G547">
            <v>0</v>
          </cell>
          <cell r="H547">
            <v>0</v>
          </cell>
          <cell r="I547">
            <v>0</v>
          </cell>
          <cell r="J547">
            <v>0</v>
          </cell>
          <cell r="K547">
            <v>0</v>
          </cell>
          <cell r="L547">
            <v>0</v>
          </cell>
          <cell r="M547">
            <v>0</v>
          </cell>
        </row>
        <row r="548">
          <cell r="D548">
            <v>8770</v>
          </cell>
          <cell r="E548" t="str">
            <v>未分配利润_所有者权益内部结转</v>
          </cell>
          <cell r="F548">
            <v>0</v>
          </cell>
          <cell r="G548">
            <v>0</v>
          </cell>
          <cell r="H548">
            <v>0</v>
          </cell>
          <cell r="I548">
            <v>0</v>
          </cell>
          <cell r="J548">
            <v>0</v>
          </cell>
          <cell r="K548">
            <v>0</v>
          </cell>
          <cell r="L548">
            <v>0</v>
          </cell>
          <cell r="M548">
            <v>0</v>
          </cell>
        </row>
        <row r="549">
          <cell r="D549">
            <v>8771</v>
          </cell>
          <cell r="E549" t="str">
            <v>未分配利润_资本公积转增资本影响权益</v>
          </cell>
          <cell r="F549">
            <v>0</v>
          </cell>
          <cell r="G549">
            <v>0</v>
          </cell>
          <cell r="H549">
            <v>0</v>
          </cell>
          <cell r="I549">
            <v>0</v>
          </cell>
          <cell r="J549">
            <v>0</v>
          </cell>
          <cell r="K549">
            <v>0</v>
          </cell>
          <cell r="L549">
            <v>0</v>
          </cell>
          <cell r="M549">
            <v>0</v>
          </cell>
        </row>
        <row r="550">
          <cell r="D550">
            <v>8772</v>
          </cell>
          <cell r="E550" t="str">
            <v>未分配利润_盈余公积转增资本影响权益</v>
          </cell>
          <cell r="F550">
            <v>0</v>
          </cell>
          <cell r="G550">
            <v>0</v>
          </cell>
          <cell r="H550">
            <v>0</v>
          </cell>
          <cell r="I550">
            <v>0</v>
          </cell>
          <cell r="J550">
            <v>0</v>
          </cell>
          <cell r="K550">
            <v>0</v>
          </cell>
          <cell r="L550">
            <v>0</v>
          </cell>
          <cell r="M550">
            <v>0</v>
          </cell>
        </row>
        <row r="551">
          <cell r="D551">
            <v>8773</v>
          </cell>
          <cell r="E551" t="str">
            <v>未分配利润_盈余公积弥补亏损</v>
          </cell>
          <cell r="F551">
            <v>0</v>
          </cell>
          <cell r="G551">
            <v>0</v>
          </cell>
          <cell r="H551">
            <v>0</v>
          </cell>
          <cell r="I551">
            <v>0</v>
          </cell>
          <cell r="J551">
            <v>0</v>
          </cell>
          <cell r="K551">
            <v>0</v>
          </cell>
          <cell r="L551">
            <v>0</v>
          </cell>
          <cell r="M551">
            <v>0</v>
          </cell>
        </row>
        <row r="552">
          <cell r="D552">
            <v>8775</v>
          </cell>
          <cell r="E552" t="str">
            <v>未分配利润_设定受益计划变动额结转留存收益</v>
          </cell>
          <cell r="F552">
            <v>0</v>
          </cell>
          <cell r="G552">
            <v>0</v>
          </cell>
          <cell r="H552">
            <v>0</v>
          </cell>
          <cell r="I552">
            <v>0</v>
          </cell>
          <cell r="J552">
            <v>0</v>
          </cell>
          <cell r="K552">
            <v>0</v>
          </cell>
          <cell r="L552">
            <v>0</v>
          </cell>
          <cell r="M552">
            <v>0</v>
          </cell>
        </row>
        <row r="553">
          <cell r="D553">
            <v>8776</v>
          </cell>
          <cell r="E553" t="str">
            <v>未分配利润_所有者权益其他内部结转</v>
          </cell>
          <cell r="F553">
            <v>0</v>
          </cell>
          <cell r="G553">
            <v>0</v>
          </cell>
          <cell r="H553">
            <v>0</v>
          </cell>
          <cell r="I553">
            <v>0</v>
          </cell>
          <cell r="J553">
            <v>0</v>
          </cell>
          <cell r="K553">
            <v>0</v>
          </cell>
          <cell r="L553">
            <v>0</v>
          </cell>
          <cell r="M553">
            <v>0</v>
          </cell>
        </row>
        <row r="554">
          <cell r="D554">
            <v>8780</v>
          </cell>
          <cell r="E554" t="str">
            <v>未分配利润_专项储备影响权益</v>
          </cell>
          <cell r="F554">
            <v>0</v>
          </cell>
          <cell r="G554">
            <v>0</v>
          </cell>
          <cell r="H554">
            <v>0</v>
          </cell>
          <cell r="I554">
            <v>0</v>
          </cell>
          <cell r="J554">
            <v>0</v>
          </cell>
          <cell r="K554">
            <v>0</v>
          </cell>
          <cell r="L554">
            <v>0</v>
          </cell>
          <cell r="M554">
            <v>0</v>
          </cell>
        </row>
        <row r="555">
          <cell r="D555">
            <v>8781</v>
          </cell>
          <cell r="E555" t="str">
            <v>未分配利润_专项储备本期提取</v>
          </cell>
          <cell r="F555">
            <v>0</v>
          </cell>
          <cell r="G555">
            <v>0</v>
          </cell>
          <cell r="H555">
            <v>0</v>
          </cell>
          <cell r="I555">
            <v>0</v>
          </cell>
          <cell r="J555">
            <v>0</v>
          </cell>
          <cell r="K555">
            <v>0</v>
          </cell>
          <cell r="L555">
            <v>0</v>
          </cell>
          <cell r="M555">
            <v>0</v>
          </cell>
        </row>
        <row r="556">
          <cell r="D556">
            <v>8782</v>
          </cell>
          <cell r="E556" t="str">
            <v>未分配利润_专项储备本期使用</v>
          </cell>
          <cell r="F556">
            <v>0</v>
          </cell>
          <cell r="G556">
            <v>0</v>
          </cell>
          <cell r="H556">
            <v>0</v>
          </cell>
          <cell r="I556">
            <v>0</v>
          </cell>
          <cell r="J556">
            <v>0</v>
          </cell>
          <cell r="K556">
            <v>0</v>
          </cell>
          <cell r="L556">
            <v>0</v>
          </cell>
          <cell r="M556">
            <v>0</v>
          </cell>
        </row>
        <row r="557">
          <cell r="D557">
            <v>8796</v>
          </cell>
          <cell r="E557" t="str">
            <v>未分配利润_本期其他增减变动</v>
          </cell>
          <cell r="F557">
            <v>0</v>
          </cell>
          <cell r="G557">
            <v>0</v>
          </cell>
          <cell r="H557">
            <v>0</v>
          </cell>
          <cell r="I557">
            <v>0</v>
          </cell>
          <cell r="J557">
            <v>0</v>
          </cell>
          <cell r="K557">
            <v>0</v>
          </cell>
          <cell r="L557">
            <v>0</v>
          </cell>
          <cell r="M557">
            <v>0</v>
          </cell>
        </row>
        <row r="558">
          <cell r="D558">
            <v>8799</v>
          </cell>
          <cell r="E558" t="str">
            <v>未分配利润_本期期末余额</v>
          </cell>
          <cell r="F558">
            <v>99868708.310000002</v>
          </cell>
          <cell r="G558">
            <v>568894.69999999995</v>
          </cell>
          <cell r="H558">
            <v>451319.73</v>
          </cell>
          <cell r="I558">
            <v>99751133.340000004</v>
          </cell>
          <cell r="J558">
            <v>67664607.299999997</v>
          </cell>
          <cell r="K558">
            <v>0</v>
          </cell>
          <cell r="L558">
            <v>0</v>
          </cell>
          <cell r="M558">
            <v>67664607.299999997</v>
          </cell>
        </row>
        <row r="559">
          <cell r="D559">
            <v>8800</v>
          </cell>
          <cell r="E559" t="str">
            <v>其他归属于母公司所有者权益增减变动</v>
          </cell>
          <cell r="F559">
            <v>0</v>
          </cell>
          <cell r="G559">
            <v>0</v>
          </cell>
          <cell r="H559">
            <v>0</v>
          </cell>
          <cell r="I559">
            <v>0</v>
          </cell>
          <cell r="J559">
            <v>0</v>
          </cell>
          <cell r="K559">
            <v>0</v>
          </cell>
          <cell r="L559">
            <v>0</v>
          </cell>
          <cell r="M559">
            <v>0</v>
          </cell>
        </row>
        <row r="560">
          <cell r="D560">
            <v>8801</v>
          </cell>
          <cell r="E560" t="str">
            <v>其他归属于母公司所有者权益_上年年末余额</v>
          </cell>
          <cell r="F560">
            <v>0</v>
          </cell>
          <cell r="G560">
            <v>0</v>
          </cell>
          <cell r="H560">
            <v>0</v>
          </cell>
          <cell r="I560">
            <v>0</v>
          </cell>
          <cell r="J560">
            <v>0</v>
          </cell>
          <cell r="K560">
            <v>0</v>
          </cell>
          <cell r="L560">
            <v>0</v>
          </cell>
          <cell r="M560">
            <v>0</v>
          </cell>
        </row>
        <row r="561">
          <cell r="D561">
            <v>8802</v>
          </cell>
          <cell r="E561" t="str">
            <v>其他归属于母公司所有者权益_会计政策变更调整上年年末余额</v>
          </cell>
          <cell r="F561">
            <v>0</v>
          </cell>
          <cell r="G561">
            <v>0</v>
          </cell>
          <cell r="H561">
            <v>0</v>
          </cell>
          <cell r="I561">
            <v>0</v>
          </cell>
          <cell r="J561">
            <v>0</v>
          </cell>
          <cell r="K561">
            <v>0</v>
          </cell>
          <cell r="L561">
            <v>0</v>
          </cell>
          <cell r="M561">
            <v>0</v>
          </cell>
        </row>
        <row r="562">
          <cell r="D562">
            <v>8803</v>
          </cell>
          <cell r="E562" t="str">
            <v>其他归属于母公司所有者权益_前期差错更正调整上年年末余额</v>
          </cell>
          <cell r="F562">
            <v>0</v>
          </cell>
          <cell r="G562">
            <v>0</v>
          </cell>
          <cell r="H562">
            <v>0</v>
          </cell>
          <cell r="I562">
            <v>0</v>
          </cell>
          <cell r="J562">
            <v>0</v>
          </cell>
          <cell r="K562">
            <v>0</v>
          </cell>
          <cell r="L562">
            <v>0</v>
          </cell>
          <cell r="M562">
            <v>0</v>
          </cell>
        </row>
        <row r="563">
          <cell r="D563">
            <v>8804</v>
          </cell>
          <cell r="E563" t="str">
            <v>其他归属于母公司所有者权益_同一控制下企业合并调整上年年末余额</v>
          </cell>
          <cell r="F563">
            <v>0</v>
          </cell>
          <cell r="G563">
            <v>0</v>
          </cell>
          <cell r="H563">
            <v>0</v>
          </cell>
          <cell r="I563">
            <v>0</v>
          </cell>
          <cell r="J563">
            <v>0</v>
          </cell>
          <cell r="K563">
            <v>0</v>
          </cell>
          <cell r="L563">
            <v>0</v>
          </cell>
          <cell r="M563">
            <v>0</v>
          </cell>
        </row>
        <row r="564">
          <cell r="D564">
            <v>8809</v>
          </cell>
          <cell r="E564" t="str">
            <v>其他归属于母公司所有者权益_其他原因调整上年年末余额</v>
          </cell>
          <cell r="F564">
            <v>0</v>
          </cell>
          <cell r="G564">
            <v>0</v>
          </cell>
          <cell r="H564">
            <v>0</v>
          </cell>
          <cell r="I564">
            <v>0</v>
          </cell>
          <cell r="J564">
            <v>0</v>
          </cell>
          <cell r="K564">
            <v>0</v>
          </cell>
          <cell r="L564">
            <v>0</v>
          </cell>
          <cell r="M564">
            <v>0</v>
          </cell>
        </row>
        <row r="565">
          <cell r="D565">
            <v>8810</v>
          </cell>
          <cell r="E565" t="str">
            <v>其他归属于母公司所有者权益_本年年初余额</v>
          </cell>
          <cell r="F565">
            <v>0</v>
          </cell>
          <cell r="G565">
            <v>0</v>
          </cell>
          <cell r="H565">
            <v>0</v>
          </cell>
          <cell r="I565">
            <v>0</v>
          </cell>
          <cell r="J565">
            <v>0</v>
          </cell>
          <cell r="K565">
            <v>0</v>
          </cell>
          <cell r="L565">
            <v>0</v>
          </cell>
          <cell r="M565">
            <v>0</v>
          </cell>
        </row>
        <row r="566">
          <cell r="D566">
            <v>8890</v>
          </cell>
          <cell r="E566" t="str">
            <v>其他归属于母公司所有者权益_本期增减变动金额</v>
          </cell>
          <cell r="F566">
            <v>0</v>
          </cell>
          <cell r="G566">
            <v>0</v>
          </cell>
          <cell r="H566">
            <v>0</v>
          </cell>
          <cell r="I566">
            <v>0</v>
          </cell>
          <cell r="J566">
            <v>0</v>
          </cell>
          <cell r="K566">
            <v>0</v>
          </cell>
          <cell r="L566">
            <v>0</v>
          </cell>
          <cell r="M566">
            <v>0</v>
          </cell>
        </row>
        <row r="567">
          <cell r="D567">
            <v>8821</v>
          </cell>
          <cell r="E567" t="str">
            <v>其他归属于母公司所有者权益_净利润增加权益</v>
          </cell>
          <cell r="F567">
            <v>0</v>
          </cell>
          <cell r="G567">
            <v>0</v>
          </cell>
          <cell r="H567">
            <v>0</v>
          </cell>
          <cell r="I567">
            <v>0</v>
          </cell>
          <cell r="J567">
            <v>0</v>
          </cell>
          <cell r="K567">
            <v>0</v>
          </cell>
          <cell r="L567">
            <v>0</v>
          </cell>
          <cell r="M567">
            <v>0</v>
          </cell>
        </row>
        <row r="568">
          <cell r="D568">
            <v>8830</v>
          </cell>
          <cell r="E568" t="str">
            <v>其他归属于母公司所有者权益_其他综合收益</v>
          </cell>
          <cell r="F568">
            <v>0</v>
          </cell>
          <cell r="G568">
            <v>0</v>
          </cell>
          <cell r="H568">
            <v>0</v>
          </cell>
          <cell r="I568">
            <v>0</v>
          </cell>
          <cell r="J568">
            <v>0</v>
          </cell>
          <cell r="K568">
            <v>0</v>
          </cell>
          <cell r="L568">
            <v>0</v>
          </cell>
          <cell r="M568">
            <v>0</v>
          </cell>
        </row>
        <row r="569">
          <cell r="D569">
            <v>8840</v>
          </cell>
          <cell r="E569" t="str">
            <v>其他归属于母公司所有者权益_综合收益总额增加权益</v>
          </cell>
          <cell r="F569">
            <v>0</v>
          </cell>
          <cell r="G569">
            <v>0</v>
          </cell>
          <cell r="H569">
            <v>0</v>
          </cell>
          <cell r="I569">
            <v>0</v>
          </cell>
          <cell r="J569">
            <v>0</v>
          </cell>
          <cell r="K569">
            <v>0</v>
          </cell>
          <cell r="L569">
            <v>0</v>
          </cell>
          <cell r="M569">
            <v>0</v>
          </cell>
        </row>
        <row r="570">
          <cell r="D570">
            <v>8850</v>
          </cell>
          <cell r="E570" t="str">
            <v>其他归属于母公司所有者权益_所有者投入和减少资本影响权益</v>
          </cell>
          <cell r="F570">
            <v>0</v>
          </cell>
          <cell r="G570">
            <v>0</v>
          </cell>
          <cell r="H570">
            <v>0</v>
          </cell>
          <cell r="I570">
            <v>0</v>
          </cell>
          <cell r="J570">
            <v>0</v>
          </cell>
          <cell r="K570">
            <v>0</v>
          </cell>
          <cell r="L570">
            <v>0</v>
          </cell>
          <cell r="M570">
            <v>0</v>
          </cell>
        </row>
        <row r="571">
          <cell r="D571">
            <v>8851</v>
          </cell>
          <cell r="E571" t="str">
            <v>其他归属于母公司所有者权益_所有者投入资本</v>
          </cell>
          <cell r="F571">
            <v>0</v>
          </cell>
          <cell r="G571">
            <v>0</v>
          </cell>
          <cell r="H571">
            <v>0</v>
          </cell>
          <cell r="I571">
            <v>0</v>
          </cell>
          <cell r="J571">
            <v>0</v>
          </cell>
          <cell r="K571">
            <v>0</v>
          </cell>
          <cell r="L571">
            <v>0</v>
          </cell>
          <cell r="M571">
            <v>0</v>
          </cell>
        </row>
        <row r="572">
          <cell r="D572">
            <v>8853</v>
          </cell>
          <cell r="E572" t="str">
            <v>其他归属于母公司所有者权益_其他权益工具持有者投入资本</v>
          </cell>
          <cell r="F572">
            <v>0</v>
          </cell>
          <cell r="G572">
            <v>0</v>
          </cell>
          <cell r="H572">
            <v>0</v>
          </cell>
          <cell r="I572">
            <v>0</v>
          </cell>
          <cell r="J572">
            <v>0</v>
          </cell>
          <cell r="K572">
            <v>0</v>
          </cell>
          <cell r="L572">
            <v>0</v>
          </cell>
          <cell r="M572">
            <v>0</v>
          </cell>
        </row>
        <row r="573">
          <cell r="D573">
            <v>8852</v>
          </cell>
          <cell r="E573" t="str">
            <v>其他归属于母公司所有者权益_股份支付</v>
          </cell>
          <cell r="F573">
            <v>0</v>
          </cell>
          <cell r="G573">
            <v>0</v>
          </cell>
          <cell r="H573">
            <v>0</v>
          </cell>
          <cell r="I573">
            <v>0</v>
          </cell>
          <cell r="J573">
            <v>0</v>
          </cell>
          <cell r="K573">
            <v>0</v>
          </cell>
          <cell r="L573">
            <v>0</v>
          </cell>
          <cell r="M573">
            <v>0</v>
          </cell>
        </row>
        <row r="574">
          <cell r="D574">
            <v>8856</v>
          </cell>
          <cell r="E574" t="str">
            <v>其他归属于母公司所有者权益_所有者其他投入和减少资本</v>
          </cell>
          <cell r="F574">
            <v>0</v>
          </cell>
          <cell r="G574">
            <v>0</v>
          </cell>
          <cell r="H574">
            <v>0</v>
          </cell>
          <cell r="I574">
            <v>0</v>
          </cell>
          <cell r="J574">
            <v>0</v>
          </cell>
          <cell r="K574">
            <v>0</v>
          </cell>
          <cell r="L574">
            <v>0</v>
          </cell>
          <cell r="M574">
            <v>0</v>
          </cell>
        </row>
        <row r="575">
          <cell r="D575">
            <v>8860</v>
          </cell>
          <cell r="E575" t="str">
            <v>其他归属于母公司所有者权益_利润分配影响权益</v>
          </cell>
          <cell r="F575">
            <v>0</v>
          </cell>
          <cell r="G575">
            <v>0</v>
          </cell>
          <cell r="H575">
            <v>0</v>
          </cell>
          <cell r="I575">
            <v>0</v>
          </cell>
          <cell r="J575">
            <v>0</v>
          </cell>
          <cell r="K575">
            <v>0</v>
          </cell>
          <cell r="L575">
            <v>0</v>
          </cell>
          <cell r="M575">
            <v>0</v>
          </cell>
        </row>
        <row r="576">
          <cell r="D576">
            <v>8861</v>
          </cell>
          <cell r="E576" t="str">
            <v>其他归属于母公司所有者权益_提取盈余公积</v>
          </cell>
          <cell r="F576">
            <v>0</v>
          </cell>
          <cell r="G576">
            <v>0</v>
          </cell>
          <cell r="H576">
            <v>0</v>
          </cell>
          <cell r="I576">
            <v>0</v>
          </cell>
          <cell r="J576">
            <v>0</v>
          </cell>
          <cell r="K576">
            <v>0</v>
          </cell>
          <cell r="L576">
            <v>0</v>
          </cell>
          <cell r="M576">
            <v>0</v>
          </cell>
        </row>
        <row r="577">
          <cell r="D577">
            <v>8862</v>
          </cell>
          <cell r="E577" t="str">
            <v>其他归属于母公司所有者权益_提取一般风险准备</v>
          </cell>
          <cell r="F577">
            <v>0</v>
          </cell>
          <cell r="G577">
            <v>0</v>
          </cell>
          <cell r="H577">
            <v>0</v>
          </cell>
          <cell r="I577">
            <v>0</v>
          </cell>
          <cell r="J577">
            <v>0</v>
          </cell>
          <cell r="K577">
            <v>0</v>
          </cell>
          <cell r="L577">
            <v>0</v>
          </cell>
          <cell r="M577">
            <v>0</v>
          </cell>
        </row>
        <row r="578">
          <cell r="D578">
            <v>8863</v>
          </cell>
          <cell r="E578" t="str">
            <v>其他归属于母公司所有者权益_对所有者的分配</v>
          </cell>
          <cell r="F578">
            <v>0</v>
          </cell>
          <cell r="G578">
            <v>0</v>
          </cell>
          <cell r="H578">
            <v>0</v>
          </cell>
          <cell r="I578">
            <v>0</v>
          </cell>
          <cell r="J578">
            <v>0</v>
          </cell>
          <cell r="K578">
            <v>0</v>
          </cell>
          <cell r="L578">
            <v>0</v>
          </cell>
          <cell r="M578">
            <v>0</v>
          </cell>
        </row>
        <row r="579">
          <cell r="D579">
            <v>8866</v>
          </cell>
          <cell r="E579" t="str">
            <v>其他归属于母公司所有者权益_其他利润分配</v>
          </cell>
          <cell r="F579">
            <v>0</v>
          </cell>
          <cell r="G579">
            <v>0</v>
          </cell>
          <cell r="H579">
            <v>0</v>
          </cell>
          <cell r="I579">
            <v>0</v>
          </cell>
          <cell r="J579">
            <v>0</v>
          </cell>
          <cell r="K579">
            <v>0</v>
          </cell>
          <cell r="L579">
            <v>0</v>
          </cell>
          <cell r="M579">
            <v>0</v>
          </cell>
        </row>
        <row r="580">
          <cell r="D580">
            <v>8870</v>
          </cell>
          <cell r="E580" t="str">
            <v>其他归属于母公司所有者权益_所有者权益内部结转</v>
          </cell>
          <cell r="F580">
            <v>0</v>
          </cell>
          <cell r="G580">
            <v>0</v>
          </cell>
          <cell r="H580">
            <v>0</v>
          </cell>
          <cell r="I580">
            <v>0</v>
          </cell>
          <cell r="J580">
            <v>0</v>
          </cell>
          <cell r="K580">
            <v>0</v>
          </cell>
          <cell r="L580">
            <v>0</v>
          </cell>
          <cell r="M580">
            <v>0</v>
          </cell>
        </row>
        <row r="581">
          <cell r="D581">
            <v>8871</v>
          </cell>
          <cell r="E581" t="str">
            <v>其他归属于母公司所有者权益_资本公积转增资本</v>
          </cell>
          <cell r="F581">
            <v>0</v>
          </cell>
          <cell r="G581">
            <v>0</v>
          </cell>
          <cell r="H581">
            <v>0</v>
          </cell>
          <cell r="I581">
            <v>0</v>
          </cell>
          <cell r="J581">
            <v>0</v>
          </cell>
          <cell r="K581">
            <v>0</v>
          </cell>
          <cell r="L581">
            <v>0</v>
          </cell>
          <cell r="M581">
            <v>0</v>
          </cell>
        </row>
        <row r="582">
          <cell r="D582">
            <v>8872</v>
          </cell>
          <cell r="E582" t="str">
            <v>其他归属于母公司所有者权益_盈余公积转增资本</v>
          </cell>
          <cell r="F582">
            <v>0</v>
          </cell>
          <cell r="G582">
            <v>0</v>
          </cell>
          <cell r="H582">
            <v>0</v>
          </cell>
          <cell r="I582">
            <v>0</v>
          </cell>
          <cell r="J582">
            <v>0</v>
          </cell>
          <cell r="K582">
            <v>0</v>
          </cell>
          <cell r="L582">
            <v>0</v>
          </cell>
          <cell r="M582">
            <v>0</v>
          </cell>
        </row>
        <row r="583">
          <cell r="D583">
            <v>8873</v>
          </cell>
          <cell r="E583" t="str">
            <v>其他归属于母公司所有者权益_盈余公积弥补亏损</v>
          </cell>
          <cell r="F583">
            <v>0</v>
          </cell>
          <cell r="G583">
            <v>0</v>
          </cell>
          <cell r="H583">
            <v>0</v>
          </cell>
          <cell r="I583">
            <v>0</v>
          </cell>
          <cell r="J583">
            <v>0</v>
          </cell>
          <cell r="K583">
            <v>0</v>
          </cell>
          <cell r="L583">
            <v>0</v>
          </cell>
          <cell r="M583">
            <v>0</v>
          </cell>
        </row>
        <row r="584">
          <cell r="D584">
            <v>8875</v>
          </cell>
          <cell r="E584" t="str">
            <v>其他归属于母公司所有者权益_设定受益计划变动额结转留存收益</v>
          </cell>
          <cell r="F584">
            <v>0</v>
          </cell>
          <cell r="G584">
            <v>0</v>
          </cell>
          <cell r="H584">
            <v>0</v>
          </cell>
          <cell r="I584">
            <v>0</v>
          </cell>
          <cell r="J584">
            <v>0</v>
          </cell>
          <cell r="K584">
            <v>0</v>
          </cell>
          <cell r="L584">
            <v>0</v>
          </cell>
          <cell r="M584">
            <v>0</v>
          </cell>
        </row>
        <row r="585">
          <cell r="D585">
            <v>8876</v>
          </cell>
          <cell r="E585" t="str">
            <v>其他归属于母公司所有者权益_所有者权益其他内部结转</v>
          </cell>
          <cell r="F585">
            <v>0</v>
          </cell>
          <cell r="G585">
            <v>0</v>
          </cell>
          <cell r="H585">
            <v>0</v>
          </cell>
          <cell r="I585">
            <v>0</v>
          </cell>
          <cell r="J585">
            <v>0</v>
          </cell>
          <cell r="K585">
            <v>0</v>
          </cell>
          <cell r="L585">
            <v>0</v>
          </cell>
          <cell r="M585">
            <v>0</v>
          </cell>
        </row>
        <row r="586">
          <cell r="D586">
            <v>8880</v>
          </cell>
          <cell r="E586" t="str">
            <v>其他归属于母公司所有者权益_专项储备影响权益</v>
          </cell>
          <cell r="F586">
            <v>0</v>
          </cell>
          <cell r="G586">
            <v>0</v>
          </cell>
          <cell r="H586">
            <v>0</v>
          </cell>
          <cell r="I586">
            <v>0</v>
          </cell>
          <cell r="J586">
            <v>0</v>
          </cell>
          <cell r="K586">
            <v>0</v>
          </cell>
          <cell r="L586">
            <v>0</v>
          </cell>
          <cell r="M586">
            <v>0</v>
          </cell>
        </row>
        <row r="587">
          <cell r="D587">
            <v>8881</v>
          </cell>
          <cell r="E587" t="str">
            <v>其他归属于母公司所有者权益_专项储备本期提取</v>
          </cell>
          <cell r="F587">
            <v>0</v>
          </cell>
          <cell r="G587">
            <v>0</v>
          </cell>
          <cell r="H587">
            <v>0</v>
          </cell>
          <cell r="I587">
            <v>0</v>
          </cell>
          <cell r="J587">
            <v>0</v>
          </cell>
          <cell r="K587">
            <v>0</v>
          </cell>
          <cell r="L587">
            <v>0</v>
          </cell>
          <cell r="M587">
            <v>0</v>
          </cell>
        </row>
        <row r="588">
          <cell r="D588">
            <v>8882</v>
          </cell>
          <cell r="E588" t="str">
            <v>其他归属于母公司所有者权益_专项储备本期使用</v>
          </cell>
          <cell r="F588">
            <v>0</v>
          </cell>
          <cell r="G588">
            <v>0</v>
          </cell>
          <cell r="H588">
            <v>0</v>
          </cell>
          <cell r="I588">
            <v>0</v>
          </cell>
          <cell r="J588">
            <v>0</v>
          </cell>
          <cell r="K588">
            <v>0</v>
          </cell>
          <cell r="L588">
            <v>0</v>
          </cell>
          <cell r="M588">
            <v>0</v>
          </cell>
        </row>
        <row r="589">
          <cell r="D589">
            <v>8896</v>
          </cell>
          <cell r="E589" t="str">
            <v>其他归属于母公司所有者权益_本期其他增减变动</v>
          </cell>
          <cell r="F589">
            <v>0</v>
          </cell>
          <cell r="G589">
            <v>0</v>
          </cell>
          <cell r="H589">
            <v>0</v>
          </cell>
          <cell r="I589">
            <v>0</v>
          </cell>
          <cell r="J589">
            <v>0</v>
          </cell>
          <cell r="K589">
            <v>0</v>
          </cell>
          <cell r="L589">
            <v>0</v>
          </cell>
          <cell r="M589">
            <v>0</v>
          </cell>
        </row>
        <row r="590">
          <cell r="D590">
            <v>8899</v>
          </cell>
          <cell r="E590" t="str">
            <v>其他归属于母公司所有者权益_本期期末余额</v>
          </cell>
          <cell r="F590">
            <v>0</v>
          </cell>
          <cell r="G590">
            <v>0</v>
          </cell>
          <cell r="H590">
            <v>0</v>
          </cell>
          <cell r="I590">
            <v>0</v>
          </cell>
          <cell r="J590">
            <v>0</v>
          </cell>
          <cell r="K590">
            <v>0</v>
          </cell>
          <cell r="L590">
            <v>0</v>
          </cell>
          <cell r="M590">
            <v>0</v>
          </cell>
        </row>
        <row r="591">
          <cell r="D591">
            <v>8900</v>
          </cell>
          <cell r="E591" t="str">
            <v>少数股东权益增减变动</v>
          </cell>
          <cell r="F591">
            <v>0</v>
          </cell>
          <cell r="G591">
            <v>0</v>
          </cell>
          <cell r="H591">
            <v>0</v>
          </cell>
          <cell r="I591">
            <v>0</v>
          </cell>
          <cell r="J591">
            <v>0</v>
          </cell>
          <cell r="K591">
            <v>0</v>
          </cell>
          <cell r="L591">
            <v>0</v>
          </cell>
          <cell r="M591">
            <v>0</v>
          </cell>
        </row>
        <row r="592">
          <cell r="D592">
            <v>8901</v>
          </cell>
          <cell r="E592" t="str">
            <v>少数股东权益_上年年末余额</v>
          </cell>
          <cell r="F592">
            <v>0</v>
          </cell>
          <cell r="G592">
            <v>0</v>
          </cell>
          <cell r="H592">
            <v>0</v>
          </cell>
          <cell r="I592">
            <v>0</v>
          </cell>
          <cell r="J592">
            <v>0</v>
          </cell>
          <cell r="K592">
            <v>0</v>
          </cell>
          <cell r="L592">
            <v>0</v>
          </cell>
          <cell r="M592">
            <v>0</v>
          </cell>
        </row>
        <row r="593">
          <cell r="D593">
            <v>8902</v>
          </cell>
          <cell r="E593" t="str">
            <v>少数股东权益_会计政策变更调整上年年末余额</v>
          </cell>
          <cell r="F593">
            <v>0</v>
          </cell>
          <cell r="G593">
            <v>0</v>
          </cell>
          <cell r="H593">
            <v>0</v>
          </cell>
          <cell r="I593">
            <v>0</v>
          </cell>
          <cell r="J593">
            <v>0</v>
          </cell>
          <cell r="K593">
            <v>0</v>
          </cell>
          <cell r="L593">
            <v>0</v>
          </cell>
          <cell r="M593">
            <v>0</v>
          </cell>
        </row>
        <row r="594">
          <cell r="D594">
            <v>8903</v>
          </cell>
          <cell r="E594" t="str">
            <v>少数股东权益_前期差错更正调整上年年末余额</v>
          </cell>
          <cell r="F594">
            <v>0</v>
          </cell>
          <cell r="G594">
            <v>0</v>
          </cell>
          <cell r="H594">
            <v>0</v>
          </cell>
          <cell r="I594">
            <v>0</v>
          </cell>
          <cell r="J594">
            <v>0</v>
          </cell>
          <cell r="K594">
            <v>0</v>
          </cell>
          <cell r="L594">
            <v>0</v>
          </cell>
          <cell r="M594">
            <v>0</v>
          </cell>
        </row>
        <row r="595">
          <cell r="D595">
            <v>8904</v>
          </cell>
          <cell r="E595" t="str">
            <v>少数股东权益_同一控制下企业合并调整上年年末余额</v>
          </cell>
          <cell r="F595">
            <v>0</v>
          </cell>
          <cell r="G595">
            <v>0</v>
          </cell>
          <cell r="H595">
            <v>0</v>
          </cell>
          <cell r="I595">
            <v>0</v>
          </cell>
          <cell r="J595">
            <v>0</v>
          </cell>
          <cell r="K595">
            <v>0</v>
          </cell>
          <cell r="L595">
            <v>0</v>
          </cell>
          <cell r="M595">
            <v>0</v>
          </cell>
        </row>
        <row r="596">
          <cell r="D596">
            <v>8909</v>
          </cell>
          <cell r="E596" t="str">
            <v>少数股东权益_其他原因调整上年年末余额</v>
          </cell>
          <cell r="F596">
            <v>0</v>
          </cell>
          <cell r="G596">
            <v>0</v>
          </cell>
          <cell r="H596">
            <v>0</v>
          </cell>
          <cell r="I596">
            <v>0</v>
          </cell>
          <cell r="J596">
            <v>0</v>
          </cell>
          <cell r="K596">
            <v>0</v>
          </cell>
          <cell r="L596">
            <v>0</v>
          </cell>
          <cell r="M596">
            <v>0</v>
          </cell>
        </row>
        <row r="597">
          <cell r="D597">
            <v>8910</v>
          </cell>
          <cell r="E597" t="str">
            <v>少数股东权益_本年年初余额</v>
          </cell>
          <cell r="F597">
            <v>0</v>
          </cell>
          <cell r="G597">
            <v>0</v>
          </cell>
          <cell r="H597">
            <v>0</v>
          </cell>
          <cell r="I597">
            <v>0</v>
          </cell>
          <cell r="J597">
            <v>0</v>
          </cell>
          <cell r="K597">
            <v>0</v>
          </cell>
          <cell r="L597">
            <v>0</v>
          </cell>
          <cell r="M597">
            <v>0</v>
          </cell>
        </row>
        <row r="598">
          <cell r="D598">
            <v>8990</v>
          </cell>
          <cell r="E598" t="str">
            <v>少数股东权益_本期增减变动金额</v>
          </cell>
          <cell r="F598">
            <v>0</v>
          </cell>
          <cell r="G598">
            <v>0</v>
          </cell>
          <cell r="H598">
            <v>0</v>
          </cell>
          <cell r="I598">
            <v>0</v>
          </cell>
          <cell r="J598">
            <v>0</v>
          </cell>
          <cell r="K598">
            <v>0</v>
          </cell>
          <cell r="L598">
            <v>0</v>
          </cell>
          <cell r="M598">
            <v>0</v>
          </cell>
        </row>
        <row r="599">
          <cell r="D599">
            <v>8921</v>
          </cell>
          <cell r="E599" t="str">
            <v>少数股东权益_净利润</v>
          </cell>
          <cell r="F599">
            <v>0</v>
          </cell>
          <cell r="G599">
            <v>0</v>
          </cell>
          <cell r="H599">
            <v>0</v>
          </cell>
          <cell r="I599">
            <v>0</v>
          </cell>
          <cell r="J599">
            <v>0</v>
          </cell>
          <cell r="K599">
            <v>0</v>
          </cell>
          <cell r="L599">
            <v>0</v>
          </cell>
          <cell r="M599">
            <v>0</v>
          </cell>
        </row>
        <row r="600">
          <cell r="D600">
            <v>8930</v>
          </cell>
          <cell r="E600" t="str">
            <v>少数股东权益_其他综合收益</v>
          </cell>
          <cell r="F600">
            <v>0</v>
          </cell>
          <cell r="G600">
            <v>0</v>
          </cell>
          <cell r="H600">
            <v>0</v>
          </cell>
          <cell r="I600">
            <v>0</v>
          </cell>
          <cell r="J600">
            <v>0</v>
          </cell>
          <cell r="K600">
            <v>0</v>
          </cell>
          <cell r="L600">
            <v>0</v>
          </cell>
          <cell r="M600">
            <v>0</v>
          </cell>
        </row>
        <row r="601">
          <cell r="D601">
            <v>8940</v>
          </cell>
          <cell r="E601" t="str">
            <v>少数股东权益_综合收益总额增加权益</v>
          </cell>
          <cell r="F601">
            <v>0</v>
          </cell>
          <cell r="G601">
            <v>0</v>
          </cell>
          <cell r="H601">
            <v>0</v>
          </cell>
          <cell r="I601">
            <v>0</v>
          </cell>
          <cell r="J601">
            <v>0</v>
          </cell>
          <cell r="K601">
            <v>0</v>
          </cell>
          <cell r="L601">
            <v>0</v>
          </cell>
          <cell r="M601">
            <v>0</v>
          </cell>
        </row>
        <row r="602">
          <cell r="D602">
            <v>8950</v>
          </cell>
          <cell r="E602" t="str">
            <v>少数股东权益_所有者投入和减少资本影响权益</v>
          </cell>
          <cell r="F602">
            <v>0</v>
          </cell>
          <cell r="G602">
            <v>0</v>
          </cell>
          <cell r="H602">
            <v>0</v>
          </cell>
          <cell r="I602">
            <v>0</v>
          </cell>
          <cell r="J602">
            <v>0</v>
          </cell>
          <cell r="K602">
            <v>0</v>
          </cell>
          <cell r="L602">
            <v>0</v>
          </cell>
          <cell r="M602">
            <v>0</v>
          </cell>
        </row>
        <row r="603">
          <cell r="D603">
            <v>8951</v>
          </cell>
          <cell r="E603" t="str">
            <v>少数股东权益_所有者投入资本</v>
          </cell>
          <cell r="F603">
            <v>0</v>
          </cell>
          <cell r="G603">
            <v>0</v>
          </cell>
          <cell r="H603">
            <v>0</v>
          </cell>
          <cell r="I603">
            <v>0</v>
          </cell>
          <cell r="J603">
            <v>0</v>
          </cell>
          <cell r="K603">
            <v>0</v>
          </cell>
          <cell r="L603">
            <v>0</v>
          </cell>
          <cell r="M603">
            <v>0</v>
          </cell>
        </row>
        <row r="604">
          <cell r="D604">
            <v>8953</v>
          </cell>
          <cell r="E604" t="str">
            <v>少数股东权益_其他权益工具持有者投入资本</v>
          </cell>
          <cell r="F604">
            <v>0</v>
          </cell>
          <cell r="G604">
            <v>0</v>
          </cell>
          <cell r="H604">
            <v>0</v>
          </cell>
          <cell r="I604">
            <v>0</v>
          </cell>
          <cell r="J604">
            <v>0</v>
          </cell>
          <cell r="K604">
            <v>0</v>
          </cell>
          <cell r="L604">
            <v>0</v>
          </cell>
          <cell r="M604">
            <v>0</v>
          </cell>
        </row>
        <row r="605">
          <cell r="D605">
            <v>8952</v>
          </cell>
          <cell r="E605" t="str">
            <v>少数股东权益_股份支付</v>
          </cell>
          <cell r="F605">
            <v>0</v>
          </cell>
          <cell r="G605">
            <v>0</v>
          </cell>
          <cell r="H605">
            <v>0</v>
          </cell>
          <cell r="I605">
            <v>0</v>
          </cell>
          <cell r="J605">
            <v>0</v>
          </cell>
          <cell r="K605">
            <v>0</v>
          </cell>
          <cell r="L605">
            <v>0</v>
          </cell>
          <cell r="M605">
            <v>0</v>
          </cell>
        </row>
        <row r="606">
          <cell r="D606">
            <v>8956</v>
          </cell>
          <cell r="E606" t="str">
            <v>少数股东权益_所有者其他投入和减少资本</v>
          </cell>
          <cell r="F606">
            <v>0</v>
          </cell>
          <cell r="G606">
            <v>0</v>
          </cell>
          <cell r="H606">
            <v>0</v>
          </cell>
          <cell r="I606">
            <v>0</v>
          </cell>
          <cell r="J606">
            <v>0</v>
          </cell>
          <cell r="K606">
            <v>0</v>
          </cell>
          <cell r="L606">
            <v>0</v>
          </cell>
          <cell r="M606">
            <v>0</v>
          </cell>
        </row>
        <row r="607">
          <cell r="D607">
            <v>8960</v>
          </cell>
          <cell r="E607" t="str">
            <v>少数股东权益_利润分配影响权益</v>
          </cell>
          <cell r="F607">
            <v>0</v>
          </cell>
          <cell r="G607">
            <v>0</v>
          </cell>
          <cell r="H607">
            <v>0</v>
          </cell>
          <cell r="I607">
            <v>0</v>
          </cell>
          <cell r="J607">
            <v>0</v>
          </cell>
          <cell r="K607">
            <v>0</v>
          </cell>
          <cell r="L607">
            <v>0</v>
          </cell>
          <cell r="M607">
            <v>0</v>
          </cell>
        </row>
        <row r="608">
          <cell r="D608">
            <v>8961</v>
          </cell>
          <cell r="E608" t="str">
            <v>少数股东权益_提取盈余公积影响权益</v>
          </cell>
          <cell r="F608">
            <v>0</v>
          </cell>
          <cell r="G608">
            <v>0</v>
          </cell>
          <cell r="H608">
            <v>0</v>
          </cell>
          <cell r="I608">
            <v>0</v>
          </cell>
          <cell r="J608">
            <v>0</v>
          </cell>
          <cell r="K608">
            <v>0</v>
          </cell>
          <cell r="L608">
            <v>0</v>
          </cell>
          <cell r="M608">
            <v>0</v>
          </cell>
        </row>
        <row r="609">
          <cell r="D609">
            <v>8962</v>
          </cell>
          <cell r="E609" t="str">
            <v>少数股东权益_提取一般风险准备影响权益</v>
          </cell>
          <cell r="F609">
            <v>0</v>
          </cell>
          <cell r="G609">
            <v>0</v>
          </cell>
          <cell r="H609">
            <v>0</v>
          </cell>
          <cell r="I609">
            <v>0</v>
          </cell>
          <cell r="J609">
            <v>0</v>
          </cell>
          <cell r="K609">
            <v>0</v>
          </cell>
          <cell r="L609">
            <v>0</v>
          </cell>
          <cell r="M609">
            <v>0</v>
          </cell>
        </row>
        <row r="610">
          <cell r="D610">
            <v>8963</v>
          </cell>
          <cell r="E610" t="str">
            <v>少数股东权益_对所有者的分配</v>
          </cell>
          <cell r="F610">
            <v>0</v>
          </cell>
          <cell r="G610">
            <v>0</v>
          </cell>
          <cell r="H610">
            <v>0</v>
          </cell>
          <cell r="I610">
            <v>0</v>
          </cell>
          <cell r="J610">
            <v>0</v>
          </cell>
          <cell r="K610">
            <v>0</v>
          </cell>
          <cell r="L610">
            <v>0</v>
          </cell>
          <cell r="M610">
            <v>0</v>
          </cell>
        </row>
        <row r="611">
          <cell r="D611">
            <v>8966</v>
          </cell>
          <cell r="E611" t="str">
            <v>少数股东权益_其他利润分配</v>
          </cell>
          <cell r="F611">
            <v>0</v>
          </cell>
          <cell r="G611">
            <v>0</v>
          </cell>
          <cell r="H611">
            <v>0</v>
          </cell>
          <cell r="I611">
            <v>0</v>
          </cell>
          <cell r="J611">
            <v>0</v>
          </cell>
          <cell r="K611">
            <v>0</v>
          </cell>
          <cell r="L611">
            <v>0</v>
          </cell>
          <cell r="M611">
            <v>0</v>
          </cell>
        </row>
        <row r="612">
          <cell r="D612">
            <v>8970</v>
          </cell>
          <cell r="E612" t="str">
            <v>少数股东权益_所有者权益内部结转</v>
          </cell>
          <cell r="F612">
            <v>0</v>
          </cell>
          <cell r="G612">
            <v>0</v>
          </cell>
          <cell r="H612">
            <v>0</v>
          </cell>
          <cell r="I612">
            <v>0</v>
          </cell>
          <cell r="J612">
            <v>0</v>
          </cell>
          <cell r="K612">
            <v>0</v>
          </cell>
          <cell r="L612">
            <v>0</v>
          </cell>
          <cell r="M612">
            <v>0</v>
          </cell>
        </row>
        <row r="613">
          <cell r="D613">
            <v>8971</v>
          </cell>
          <cell r="E613" t="str">
            <v>少数股东权益_资本公积转增资本影响权益</v>
          </cell>
          <cell r="F613">
            <v>0</v>
          </cell>
          <cell r="G613">
            <v>0</v>
          </cell>
          <cell r="H613">
            <v>0</v>
          </cell>
          <cell r="I613">
            <v>0</v>
          </cell>
          <cell r="J613">
            <v>0</v>
          </cell>
          <cell r="K613">
            <v>0</v>
          </cell>
          <cell r="L613">
            <v>0</v>
          </cell>
          <cell r="M613">
            <v>0</v>
          </cell>
        </row>
        <row r="614">
          <cell r="D614">
            <v>8972</v>
          </cell>
          <cell r="E614" t="str">
            <v>少数股东权益_盈余公积转增资本影响权益</v>
          </cell>
          <cell r="F614">
            <v>0</v>
          </cell>
          <cell r="G614">
            <v>0</v>
          </cell>
          <cell r="H614">
            <v>0</v>
          </cell>
          <cell r="I614">
            <v>0</v>
          </cell>
          <cell r="J614">
            <v>0</v>
          </cell>
          <cell r="K614">
            <v>0</v>
          </cell>
          <cell r="L614">
            <v>0</v>
          </cell>
          <cell r="M614">
            <v>0</v>
          </cell>
        </row>
        <row r="615">
          <cell r="D615">
            <v>8973</v>
          </cell>
          <cell r="E615" t="str">
            <v>少数股东权益_盈余公积弥补亏损影响权益</v>
          </cell>
          <cell r="F615">
            <v>0</v>
          </cell>
          <cell r="G615">
            <v>0</v>
          </cell>
          <cell r="H615">
            <v>0</v>
          </cell>
          <cell r="I615">
            <v>0</v>
          </cell>
          <cell r="J615">
            <v>0</v>
          </cell>
          <cell r="K615">
            <v>0</v>
          </cell>
          <cell r="L615">
            <v>0</v>
          </cell>
          <cell r="M615">
            <v>0</v>
          </cell>
        </row>
        <row r="616">
          <cell r="D616">
            <v>8975</v>
          </cell>
          <cell r="E616" t="str">
            <v>少数股东权益_设定受益计划变动额结转留存收益</v>
          </cell>
          <cell r="F616">
            <v>0</v>
          </cell>
          <cell r="G616">
            <v>0</v>
          </cell>
          <cell r="H616">
            <v>0</v>
          </cell>
          <cell r="I616">
            <v>0</v>
          </cell>
          <cell r="J616">
            <v>0</v>
          </cell>
          <cell r="K616">
            <v>0</v>
          </cell>
          <cell r="L616">
            <v>0</v>
          </cell>
          <cell r="M616">
            <v>0</v>
          </cell>
        </row>
        <row r="617">
          <cell r="D617">
            <v>8976</v>
          </cell>
          <cell r="E617" t="str">
            <v>少数股东权益_所有者权益其他内部结转</v>
          </cell>
          <cell r="F617">
            <v>0</v>
          </cell>
          <cell r="G617">
            <v>0</v>
          </cell>
          <cell r="H617">
            <v>0</v>
          </cell>
          <cell r="I617">
            <v>0</v>
          </cell>
          <cell r="J617">
            <v>0</v>
          </cell>
          <cell r="K617">
            <v>0</v>
          </cell>
          <cell r="L617">
            <v>0</v>
          </cell>
          <cell r="M617">
            <v>0</v>
          </cell>
        </row>
        <row r="618">
          <cell r="D618">
            <v>8980</v>
          </cell>
          <cell r="E618" t="str">
            <v>少数股东权益_专项储备影响权益</v>
          </cell>
          <cell r="F618">
            <v>0</v>
          </cell>
          <cell r="G618">
            <v>0</v>
          </cell>
          <cell r="H618">
            <v>0</v>
          </cell>
          <cell r="I618">
            <v>0</v>
          </cell>
          <cell r="J618">
            <v>0</v>
          </cell>
          <cell r="K618">
            <v>0</v>
          </cell>
          <cell r="L618">
            <v>0</v>
          </cell>
          <cell r="M618">
            <v>0</v>
          </cell>
        </row>
        <row r="619">
          <cell r="D619">
            <v>8981</v>
          </cell>
          <cell r="E619" t="str">
            <v>少数股东权益_专项储备本期提取</v>
          </cell>
          <cell r="F619">
            <v>0</v>
          </cell>
          <cell r="G619">
            <v>0</v>
          </cell>
          <cell r="H619">
            <v>0</v>
          </cell>
          <cell r="I619">
            <v>0</v>
          </cell>
          <cell r="J619">
            <v>0</v>
          </cell>
          <cell r="K619">
            <v>0</v>
          </cell>
          <cell r="L619">
            <v>0</v>
          </cell>
          <cell r="M619">
            <v>0</v>
          </cell>
        </row>
        <row r="620">
          <cell r="D620">
            <v>8982</v>
          </cell>
          <cell r="E620" t="str">
            <v>少数股东权益_专项储备本期使用</v>
          </cell>
          <cell r="F620">
            <v>0</v>
          </cell>
          <cell r="G620">
            <v>0</v>
          </cell>
          <cell r="H620">
            <v>0</v>
          </cell>
          <cell r="I620">
            <v>0</v>
          </cell>
          <cell r="J620">
            <v>0</v>
          </cell>
          <cell r="K620">
            <v>0</v>
          </cell>
          <cell r="L620">
            <v>0</v>
          </cell>
          <cell r="M620">
            <v>0</v>
          </cell>
        </row>
        <row r="621">
          <cell r="D621">
            <v>8996</v>
          </cell>
          <cell r="E621" t="str">
            <v>少数股东权益_本期其他增减变动</v>
          </cell>
          <cell r="F621">
            <v>0</v>
          </cell>
          <cell r="G621">
            <v>0</v>
          </cell>
          <cell r="H621">
            <v>0</v>
          </cell>
          <cell r="I621">
            <v>0</v>
          </cell>
          <cell r="J621">
            <v>0</v>
          </cell>
          <cell r="K621">
            <v>0</v>
          </cell>
          <cell r="L621">
            <v>0</v>
          </cell>
          <cell r="M621">
            <v>0</v>
          </cell>
        </row>
        <row r="622">
          <cell r="D622">
            <v>8999</v>
          </cell>
          <cell r="E622" t="str">
            <v>少数股东权益_本期期末余额</v>
          </cell>
          <cell r="F622">
            <v>0</v>
          </cell>
          <cell r="G622">
            <v>0</v>
          </cell>
          <cell r="H622">
            <v>0</v>
          </cell>
          <cell r="I622">
            <v>0</v>
          </cell>
          <cell r="J622">
            <v>0</v>
          </cell>
          <cell r="K622">
            <v>0</v>
          </cell>
          <cell r="L622">
            <v>0</v>
          </cell>
          <cell r="M622">
            <v>0</v>
          </cell>
        </row>
        <row r="623">
          <cell r="D623">
            <v>7</v>
          </cell>
          <cell r="E623" t="str">
            <v>现金流量表</v>
          </cell>
          <cell r="F623">
            <v>0</v>
          </cell>
          <cell r="G623">
            <v>0</v>
          </cell>
          <cell r="H623">
            <v>0</v>
          </cell>
          <cell r="I623">
            <v>0</v>
          </cell>
          <cell r="J623">
            <v>0</v>
          </cell>
          <cell r="K623">
            <v>0</v>
          </cell>
          <cell r="L623">
            <v>0</v>
          </cell>
          <cell r="M623">
            <v>0</v>
          </cell>
        </row>
        <row r="624">
          <cell r="D624">
            <v>7000</v>
          </cell>
          <cell r="E624" t="str">
            <v>经营活动现金流量项目</v>
          </cell>
          <cell r="F624">
            <v>0</v>
          </cell>
          <cell r="G624">
            <v>0</v>
          </cell>
          <cell r="H624">
            <v>0</v>
          </cell>
          <cell r="I624">
            <v>0</v>
          </cell>
          <cell r="J624">
            <v>0</v>
          </cell>
          <cell r="K624">
            <v>0</v>
          </cell>
          <cell r="L624">
            <v>0</v>
          </cell>
          <cell r="M624">
            <v>0</v>
          </cell>
        </row>
        <row r="625">
          <cell r="D625">
            <v>7001</v>
          </cell>
          <cell r="E625" t="str">
            <v>销售商品提供劳务收到的现金</v>
          </cell>
          <cell r="F625">
            <v>252507568.93000001</v>
          </cell>
          <cell r="G625">
            <v>0</v>
          </cell>
          <cell r="H625">
            <v>0</v>
          </cell>
          <cell r="I625">
            <v>252507568.93000001</v>
          </cell>
          <cell r="J625">
            <v>175290454.91</v>
          </cell>
          <cell r="K625">
            <v>0</v>
          </cell>
          <cell r="L625">
            <v>0</v>
          </cell>
          <cell r="M625">
            <v>175290454.91</v>
          </cell>
        </row>
        <row r="626">
          <cell r="D626">
            <v>7011</v>
          </cell>
          <cell r="E626" t="str">
            <v>客户存款和同业存放款项净增加额</v>
          </cell>
          <cell r="F626">
            <v>0</v>
          </cell>
          <cell r="G626">
            <v>0</v>
          </cell>
          <cell r="H626">
            <v>0</v>
          </cell>
          <cell r="I626">
            <v>0</v>
          </cell>
          <cell r="J626">
            <v>0</v>
          </cell>
          <cell r="K626">
            <v>0</v>
          </cell>
          <cell r="L626">
            <v>0</v>
          </cell>
          <cell r="M626">
            <v>0</v>
          </cell>
        </row>
        <row r="627">
          <cell r="D627">
            <v>7012</v>
          </cell>
          <cell r="E627" t="str">
            <v>向中央银行借款净增加额</v>
          </cell>
          <cell r="F627">
            <v>0</v>
          </cell>
          <cell r="G627">
            <v>0</v>
          </cell>
          <cell r="H627">
            <v>0</v>
          </cell>
          <cell r="I627">
            <v>0</v>
          </cell>
          <cell r="J627">
            <v>0</v>
          </cell>
          <cell r="K627">
            <v>0</v>
          </cell>
          <cell r="L627">
            <v>0</v>
          </cell>
          <cell r="M627">
            <v>0</v>
          </cell>
        </row>
        <row r="628">
          <cell r="D628">
            <v>7013</v>
          </cell>
          <cell r="E628" t="str">
            <v>向其他金融机构拆入资金净增加额</v>
          </cell>
          <cell r="F628">
            <v>0</v>
          </cell>
          <cell r="G628">
            <v>0</v>
          </cell>
          <cell r="H628">
            <v>0</v>
          </cell>
          <cell r="I628">
            <v>0</v>
          </cell>
          <cell r="J628">
            <v>0</v>
          </cell>
          <cell r="K628">
            <v>0</v>
          </cell>
          <cell r="L628">
            <v>0</v>
          </cell>
          <cell r="M628">
            <v>0</v>
          </cell>
        </row>
        <row r="629">
          <cell r="D629">
            <v>7014</v>
          </cell>
          <cell r="E629" t="str">
            <v>收到原保险合同保费取得的现金</v>
          </cell>
          <cell r="F629">
            <v>0</v>
          </cell>
          <cell r="G629">
            <v>0</v>
          </cell>
          <cell r="H629">
            <v>0</v>
          </cell>
          <cell r="I629">
            <v>0</v>
          </cell>
          <cell r="J629">
            <v>0</v>
          </cell>
          <cell r="K629">
            <v>0</v>
          </cell>
          <cell r="L629">
            <v>0</v>
          </cell>
          <cell r="M629">
            <v>0</v>
          </cell>
        </row>
        <row r="630">
          <cell r="D630">
            <v>7015</v>
          </cell>
          <cell r="E630" t="str">
            <v>收到再保险业务现金净额</v>
          </cell>
          <cell r="F630">
            <v>0</v>
          </cell>
          <cell r="G630">
            <v>0</v>
          </cell>
          <cell r="H630">
            <v>0</v>
          </cell>
          <cell r="I630">
            <v>0</v>
          </cell>
          <cell r="J630">
            <v>0</v>
          </cell>
          <cell r="K630">
            <v>0</v>
          </cell>
          <cell r="L630">
            <v>0</v>
          </cell>
          <cell r="M630">
            <v>0</v>
          </cell>
        </row>
        <row r="631">
          <cell r="D631">
            <v>7016</v>
          </cell>
          <cell r="E631" t="str">
            <v>保户储金及投资款净增加额</v>
          </cell>
          <cell r="F631">
            <v>0</v>
          </cell>
          <cell r="G631">
            <v>0</v>
          </cell>
          <cell r="H631">
            <v>0</v>
          </cell>
          <cell r="I631">
            <v>0</v>
          </cell>
          <cell r="J631">
            <v>0</v>
          </cell>
          <cell r="K631">
            <v>0</v>
          </cell>
          <cell r="L631">
            <v>0</v>
          </cell>
          <cell r="M631">
            <v>0</v>
          </cell>
        </row>
        <row r="632">
          <cell r="D632">
            <v>7021</v>
          </cell>
          <cell r="E632" t="str">
            <v>处置交易性金融资产净增加额</v>
          </cell>
          <cell r="F632">
            <v>0</v>
          </cell>
          <cell r="G632">
            <v>0</v>
          </cell>
          <cell r="H632">
            <v>0</v>
          </cell>
          <cell r="I632">
            <v>0</v>
          </cell>
          <cell r="J632">
            <v>0</v>
          </cell>
          <cell r="K632">
            <v>0</v>
          </cell>
          <cell r="L632">
            <v>0</v>
          </cell>
          <cell r="M632">
            <v>0</v>
          </cell>
        </row>
        <row r="633">
          <cell r="D633">
            <v>7023</v>
          </cell>
          <cell r="E633" t="str">
            <v>收取利息手续费及佣金的现金</v>
          </cell>
          <cell r="F633">
            <v>0</v>
          </cell>
          <cell r="G633">
            <v>0</v>
          </cell>
          <cell r="H633">
            <v>0</v>
          </cell>
          <cell r="I633">
            <v>0</v>
          </cell>
          <cell r="J633">
            <v>0</v>
          </cell>
          <cell r="K633">
            <v>0</v>
          </cell>
          <cell r="L633">
            <v>0</v>
          </cell>
          <cell r="M633">
            <v>0</v>
          </cell>
        </row>
        <row r="634">
          <cell r="D634">
            <v>7025</v>
          </cell>
          <cell r="E634" t="str">
            <v>拆入资金净增加额</v>
          </cell>
          <cell r="F634">
            <v>0</v>
          </cell>
          <cell r="G634">
            <v>0</v>
          </cell>
          <cell r="H634">
            <v>0</v>
          </cell>
          <cell r="I634">
            <v>0</v>
          </cell>
          <cell r="J634">
            <v>0</v>
          </cell>
          <cell r="K634">
            <v>0</v>
          </cell>
          <cell r="L634">
            <v>0</v>
          </cell>
          <cell r="M634">
            <v>0</v>
          </cell>
        </row>
        <row r="635">
          <cell r="D635">
            <v>7026</v>
          </cell>
          <cell r="E635" t="str">
            <v>回购业务资金净增加额</v>
          </cell>
          <cell r="F635">
            <v>0</v>
          </cell>
          <cell r="G635">
            <v>0</v>
          </cell>
          <cell r="H635">
            <v>0</v>
          </cell>
          <cell r="I635">
            <v>0</v>
          </cell>
          <cell r="J635">
            <v>0</v>
          </cell>
          <cell r="K635">
            <v>0</v>
          </cell>
          <cell r="L635">
            <v>0</v>
          </cell>
          <cell r="M635">
            <v>0</v>
          </cell>
        </row>
        <row r="636">
          <cell r="D636">
            <v>7031</v>
          </cell>
          <cell r="E636" t="str">
            <v>收到的税费返还</v>
          </cell>
          <cell r="F636">
            <v>0</v>
          </cell>
          <cell r="G636">
            <v>0</v>
          </cell>
          <cell r="H636">
            <v>0</v>
          </cell>
          <cell r="I636">
            <v>0</v>
          </cell>
          <cell r="J636">
            <v>0</v>
          </cell>
          <cell r="K636">
            <v>0</v>
          </cell>
          <cell r="L636">
            <v>0</v>
          </cell>
          <cell r="M636">
            <v>0</v>
          </cell>
        </row>
        <row r="637">
          <cell r="D637">
            <v>7046</v>
          </cell>
          <cell r="E637" t="str">
            <v>收到其他与经营活动有关的现金</v>
          </cell>
          <cell r="F637">
            <v>1367039</v>
          </cell>
          <cell r="G637">
            <v>0</v>
          </cell>
          <cell r="H637">
            <v>0</v>
          </cell>
          <cell r="I637">
            <v>1367039</v>
          </cell>
          <cell r="J637">
            <v>3592739.5</v>
          </cell>
          <cell r="K637">
            <v>0</v>
          </cell>
          <cell r="L637">
            <v>0</v>
          </cell>
          <cell r="M637">
            <v>3592739.5</v>
          </cell>
        </row>
        <row r="638">
          <cell r="D638">
            <v>7048</v>
          </cell>
          <cell r="E638" t="str">
            <v>经营活动现金流入</v>
          </cell>
          <cell r="F638">
            <v>253874607.93000001</v>
          </cell>
          <cell r="G638">
            <v>0</v>
          </cell>
          <cell r="H638">
            <v>0</v>
          </cell>
          <cell r="I638">
            <v>253874607.93000001</v>
          </cell>
          <cell r="J638">
            <v>178883194.41</v>
          </cell>
          <cell r="K638">
            <v>0</v>
          </cell>
          <cell r="L638">
            <v>0</v>
          </cell>
          <cell r="M638">
            <v>178883194.41</v>
          </cell>
        </row>
        <row r="639">
          <cell r="D639">
            <v>7051</v>
          </cell>
          <cell r="E639" t="str">
            <v>购买商品接受劳务支付的现金</v>
          </cell>
          <cell r="F639">
            <v>107740507.59999999</v>
          </cell>
          <cell r="G639">
            <v>0</v>
          </cell>
          <cell r="H639">
            <v>0</v>
          </cell>
          <cell r="I639">
            <v>107740507.59999999</v>
          </cell>
          <cell r="J639">
            <v>73135511.400000006</v>
          </cell>
          <cell r="K639">
            <v>0</v>
          </cell>
          <cell r="L639">
            <v>0</v>
          </cell>
          <cell r="M639">
            <v>73135511.400000006</v>
          </cell>
        </row>
        <row r="640">
          <cell r="D640">
            <v>7053</v>
          </cell>
          <cell r="E640" t="str">
            <v>客户贷款及垫款净增加额</v>
          </cell>
          <cell r="F640">
            <v>0</v>
          </cell>
          <cell r="G640">
            <v>0</v>
          </cell>
          <cell r="H640">
            <v>0</v>
          </cell>
          <cell r="I640">
            <v>0</v>
          </cell>
          <cell r="J640">
            <v>0</v>
          </cell>
          <cell r="K640">
            <v>0</v>
          </cell>
          <cell r="L640">
            <v>0</v>
          </cell>
          <cell r="M640">
            <v>0</v>
          </cell>
        </row>
        <row r="641">
          <cell r="D641">
            <v>7054</v>
          </cell>
          <cell r="E641" t="str">
            <v>存放中央银行和同业款项净增加额</v>
          </cell>
          <cell r="F641">
            <v>0</v>
          </cell>
          <cell r="G641">
            <v>0</v>
          </cell>
          <cell r="H641">
            <v>0</v>
          </cell>
          <cell r="I641">
            <v>0</v>
          </cell>
          <cell r="J641">
            <v>0</v>
          </cell>
          <cell r="K641">
            <v>0</v>
          </cell>
          <cell r="L641">
            <v>0</v>
          </cell>
          <cell r="M641">
            <v>0</v>
          </cell>
        </row>
        <row r="642">
          <cell r="D642">
            <v>7055</v>
          </cell>
          <cell r="E642" t="str">
            <v>支付原保险合同赔付款项的现金</v>
          </cell>
          <cell r="F642">
            <v>0</v>
          </cell>
          <cell r="G642">
            <v>0</v>
          </cell>
          <cell r="H642">
            <v>0</v>
          </cell>
          <cell r="I642">
            <v>0</v>
          </cell>
          <cell r="J642">
            <v>0</v>
          </cell>
          <cell r="K642">
            <v>0</v>
          </cell>
          <cell r="L642">
            <v>0</v>
          </cell>
          <cell r="M642">
            <v>0</v>
          </cell>
        </row>
        <row r="643">
          <cell r="D643">
            <v>7056</v>
          </cell>
          <cell r="E643" t="str">
            <v>支付利息手续费及佣金的现金</v>
          </cell>
          <cell r="F643">
            <v>0</v>
          </cell>
          <cell r="G643">
            <v>0</v>
          </cell>
          <cell r="H643">
            <v>0</v>
          </cell>
          <cell r="I643">
            <v>0</v>
          </cell>
          <cell r="J643">
            <v>0</v>
          </cell>
          <cell r="K643">
            <v>0</v>
          </cell>
          <cell r="L643">
            <v>0</v>
          </cell>
          <cell r="M643">
            <v>0</v>
          </cell>
        </row>
        <row r="644">
          <cell r="D644">
            <v>7057</v>
          </cell>
          <cell r="E644" t="str">
            <v>支付保单红利的现金</v>
          </cell>
          <cell r="F644">
            <v>0</v>
          </cell>
          <cell r="G644">
            <v>0</v>
          </cell>
          <cell r="H644">
            <v>0</v>
          </cell>
          <cell r="I644">
            <v>0</v>
          </cell>
          <cell r="J644">
            <v>0</v>
          </cell>
          <cell r="K644">
            <v>0</v>
          </cell>
          <cell r="L644">
            <v>0</v>
          </cell>
          <cell r="M644">
            <v>0</v>
          </cell>
        </row>
        <row r="645">
          <cell r="D645">
            <v>7061</v>
          </cell>
          <cell r="E645" t="str">
            <v>支付给职工以及为职工支付的现金</v>
          </cell>
          <cell r="F645">
            <v>90117925.260000005</v>
          </cell>
          <cell r="G645">
            <v>0</v>
          </cell>
          <cell r="H645">
            <v>0</v>
          </cell>
          <cell r="I645">
            <v>90117925.260000005</v>
          </cell>
          <cell r="J645">
            <v>72527673.659999996</v>
          </cell>
          <cell r="K645">
            <v>0</v>
          </cell>
          <cell r="L645">
            <v>0</v>
          </cell>
          <cell r="M645">
            <v>72527673.659999996</v>
          </cell>
        </row>
        <row r="646">
          <cell r="D646">
            <v>7071</v>
          </cell>
          <cell r="E646" t="str">
            <v>支付的各项税费</v>
          </cell>
          <cell r="F646">
            <v>20025458.170000002</v>
          </cell>
          <cell r="G646">
            <v>0</v>
          </cell>
          <cell r="H646">
            <v>0</v>
          </cell>
          <cell r="I646">
            <v>20025458.170000002</v>
          </cell>
          <cell r="J646">
            <v>15000861.83</v>
          </cell>
          <cell r="K646">
            <v>0</v>
          </cell>
          <cell r="L646">
            <v>0</v>
          </cell>
          <cell r="M646">
            <v>15000861.83</v>
          </cell>
        </row>
        <row r="647">
          <cell r="D647">
            <v>7096</v>
          </cell>
          <cell r="E647" t="str">
            <v>支付其他与经营活动有关的现金</v>
          </cell>
          <cell r="F647">
            <v>15033110.42</v>
          </cell>
          <cell r="G647">
            <v>0</v>
          </cell>
          <cell r="H647">
            <v>0</v>
          </cell>
          <cell r="I647">
            <v>15033110.42</v>
          </cell>
          <cell r="J647">
            <v>13227499.68</v>
          </cell>
          <cell r="K647">
            <v>0</v>
          </cell>
          <cell r="L647">
            <v>0</v>
          </cell>
          <cell r="M647">
            <v>13227499.68</v>
          </cell>
        </row>
        <row r="648">
          <cell r="D648">
            <v>7098</v>
          </cell>
          <cell r="E648" t="str">
            <v>经营活动现金流出</v>
          </cell>
          <cell r="F648">
            <v>232917001.44999999</v>
          </cell>
          <cell r="G648">
            <v>0</v>
          </cell>
          <cell r="H648">
            <v>0</v>
          </cell>
          <cell r="I648">
            <v>232917001.44999999</v>
          </cell>
          <cell r="J648">
            <v>173891546.56999999</v>
          </cell>
          <cell r="K648">
            <v>0</v>
          </cell>
          <cell r="L648">
            <v>0</v>
          </cell>
          <cell r="M648">
            <v>173891546.56999999</v>
          </cell>
        </row>
        <row r="649">
          <cell r="D649">
            <v>7099</v>
          </cell>
          <cell r="E649" t="str">
            <v>经营活动产生的现金流量净额</v>
          </cell>
          <cell r="F649">
            <v>20957606.48</v>
          </cell>
          <cell r="G649">
            <v>0</v>
          </cell>
          <cell r="H649">
            <v>0</v>
          </cell>
          <cell r="I649">
            <v>20957606.48</v>
          </cell>
          <cell r="J649">
            <v>4991647.84</v>
          </cell>
          <cell r="K649">
            <v>0</v>
          </cell>
          <cell r="L649">
            <v>0</v>
          </cell>
          <cell r="M649">
            <v>4991647.84</v>
          </cell>
        </row>
        <row r="650">
          <cell r="D650">
            <v>7100</v>
          </cell>
          <cell r="E650" t="str">
            <v>投资活动现金流量项目</v>
          </cell>
          <cell r="F650">
            <v>0</v>
          </cell>
          <cell r="G650">
            <v>0</v>
          </cell>
          <cell r="H650">
            <v>0</v>
          </cell>
          <cell r="I650">
            <v>0</v>
          </cell>
          <cell r="J650">
            <v>0</v>
          </cell>
          <cell r="K650">
            <v>0</v>
          </cell>
          <cell r="L650">
            <v>0</v>
          </cell>
          <cell r="M650">
            <v>0</v>
          </cell>
        </row>
        <row r="651">
          <cell r="D651">
            <v>7101</v>
          </cell>
          <cell r="E651" t="str">
            <v>收回投资收到的现金</v>
          </cell>
          <cell r="F651">
            <v>40000000</v>
          </cell>
          <cell r="G651">
            <v>0</v>
          </cell>
          <cell r="H651">
            <v>0</v>
          </cell>
          <cell r="I651">
            <v>40000000</v>
          </cell>
          <cell r="J651">
            <v>0</v>
          </cell>
          <cell r="K651">
            <v>0</v>
          </cell>
          <cell r="L651">
            <v>0</v>
          </cell>
          <cell r="M651">
            <v>0</v>
          </cell>
        </row>
        <row r="652">
          <cell r="D652">
            <v>7105</v>
          </cell>
          <cell r="E652" t="str">
            <v>取得投资收益收到的现金</v>
          </cell>
          <cell r="F652">
            <v>331426.67</v>
          </cell>
          <cell r="G652">
            <v>0</v>
          </cell>
          <cell r="H652">
            <v>0</v>
          </cell>
          <cell r="I652">
            <v>331426.67</v>
          </cell>
          <cell r="J652">
            <v>0</v>
          </cell>
          <cell r="K652">
            <v>0</v>
          </cell>
          <cell r="L652">
            <v>0</v>
          </cell>
          <cell r="M652">
            <v>0</v>
          </cell>
        </row>
        <row r="653">
          <cell r="D653">
            <v>7111</v>
          </cell>
          <cell r="E653" t="str">
            <v>处置固定资产无形资产长期资产收回的现金</v>
          </cell>
          <cell r="F653">
            <v>2912.62</v>
          </cell>
          <cell r="G653">
            <v>0</v>
          </cell>
          <cell r="H653">
            <v>0</v>
          </cell>
          <cell r="I653">
            <v>2912.62</v>
          </cell>
          <cell r="J653">
            <v>13092</v>
          </cell>
          <cell r="K653">
            <v>0</v>
          </cell>
          <cell r="L653">
            <v>0</v>
          </cell>
          <cell r="M653">
            <v>13092</v>
          </cell>
        </row>
        <row r="654">
          <cell r="D654">
            <v>7121</v>
          </cell>
          <cell r="E654" t="str">
            <v>处置子公司及其他营业单位收到的现金净额</v>
          </cell>
          <cell r="F654">
            <v>0</v>
          </cell>
          <cell r="G654">
            <v>0</v>
          </cell>
          <cell r="H654">
            <v>0</v>
          </cell>
          <cell r="I654">
            <v>0</v>
          </cell>
          <cell r="J654">
            <v>0</v>
          </cell>
          <cell r="K654">
            <v>0</v>
          </cell>
          <cell r="L654">
            <v>0</v>
          </cell>
          <cell r="M654">
            <v>0</v>
          </cell>
        </row>
        <row r="655">
          <cell r="D655">
            <v>7146</v>
          </cell>
          <cell r="E655" t="str">
            <v>收到其他与投资活动有关的现金</v>
          </cell>
          <cell r="F655">
            <v>0</v>
          </cell>
          <cell r="G655">
            <v>0</v>
          </cell>
          <cell r="H655">
            <v>0</v>
          </cell>
          <cell r="I655">
            <v>0</v>
          </cell>
          <cell r="J655">
            <v>0</v>
          </cell>
          <cell r="K655">
            <v>0</v>
          </cell>
          <cell r="L655">
            <v>0</v>
          </cell>
          <cell r="M655">
            <v>0</v>
          </cell>
        </row>
        <row r="656">
          <cell r="D656">
            <v>7148</v>
          </cell>
          <cell r="E656" t="str">
            <v>投资活动现金流入</v>
          </cell>
          <cell r="F656">
            <v>40334339.289999999</v>
          </cell>
          <cell r="G656">
            <v>0</v>
          </cell>
          <cell r="H656">
            <v>0</v>
          </cell>
          <cell r="I656">
            <v>40334339.289999999</v>
          </cell>
          <cell r="J656">
            <v>13092</v>
          </cell>
          <cell r="K656">
            <v>0</v>
          </cell>
          <cell r="L656">
            <v>0</v>
          </cell>
          <cell r="M656">
            <v>13092</v>
          </cell>
        </row>
        <row r="657">
          <cell r="D657">
            <v>7151</v>
          </cell>
          <cell r="E657" t="str">
            <v>购置固定资产无形资产长期资产支付的现金</v>
          </cell>
          <cell r="F657">
            <v>905835.7</v>
          </cell>
          <cell r="G657">
            <v>0</v>
          </cell>
          <cell r="H657">
            <v>0</v>
          </cell>
          <cell r="I657">
            <v>905835.7</v>
          </cell>
          <cell r="J657">
            <v>1246888.71</v>
          </cell>
          <cell r="K657">
            <v>0</v>
          </cell>
          <cell r="L657">
            <v>0</v>
          </cell>
          <cell r="M657">
            <v>1246888.71</v>
          </cell>
        </row>
        <row r="658">
          <cell r="D658">
            <v>7161</v>
          </cell>
          <cell r="E658" t="str">
            <v>投资支付的现金</v>
          </cell>
          <cell r="F658">
            <v>41530000</v>
          </cell>
          <cell r="G658">
            <v>0</v>
          </cell>
          <cell r="H658">
            <v>0</v>
          </cell>
          <cell r="I658">
            <v>41530000</v>
          </cell>
          <cell r="J658">
            <v>0</v>
          </cell>
          <cell r="K658">
            <v>0</v>
          </cell>
          <cell r="L658">
            <v>0</v>
          </cell>
          <cell r="M658">
            <v>0</v>
          </cell>
        </row>
        <row r="659">
          <cell r="D659">
            <v>7165</v>
          </cell>
          <cell r="E659" t="str">
            <v>质押贷款净增加额</v>
          </cell>
          <cell r="F659">
            <v>0</v>
          </cell>
          <cell r="G659">
            <v>0</v>
          </cell>
          <cell r="H659">
            <v>0</v>
          </cell>
          <cell r="I659">
            <v>0</v>
          </cell>
          <cell r="J659">
            <v>0</v>
          </cell>
          <cell r="K659">
            <v>0</v>
          </cell>
          <cell r="L659">
            <v>0</v>
          </cell>
          <cell r="M659">
            <v>0</v>
          </cell>
        </row>
        <row r="660">
          <cell r="D660">
            <v>7171</v>
          </cell>
          <cell r="E660" t="str">
            <v>取得子公司及其他营业单位支付的现金净额</v>
          </cell>
          <cell r="F660">
            <v>0</v>
          </cell>
          <cell r="G660">
            <v>0</v>
          </cell>
          <cell r="H660">
            <v>0</v>
          </cell>
          <cell r="I660">
            <v>0</v>
          </cell>
          <cell r="J660">
            <v>0</v>
          </cell>
          <cell r="K660">
            <v>0</v>
          </cell>
          <cell r="L660">
            <v>0</v>
          </cell>
          <cell r="M660">
            <v>0</v>
          </cell>
        </row>
        <row r="661">
          <cell r="D661">
            <v>7196</v>
          </cell>
          <cell r="E661" t="str">
            <v>支付其他与投资活动有关的现金</v>
          </cell>
          <cell r="F661">
            <v>0</v>
          </cell>
          <cell r="G661">
            <v>0</v>
          </cell>
          <cell r="H661">
            <v>0</v>
          </cell>
          <cell r="I661">
            <v>0</v>
          </cell>
          <cell r="J661">
            <v>0</v>
          </cell>
          <cell r="K661">
            <v>0</v>
          </cell>
          <cell r="L661">
            <v>0</v>
          </cell>
          <cell r="M661">
            <v>0</v>
          </cell>
        </row>
        <row r="662">
          <cell r="D662">
            <v>7198</v>
          </cell>
          <cell r="E662" t="str">
            <v>投资活动现金流出</v>
          </cell>
          <cell r="F662">
            <v>42435835.700000003</v>
          </cell>
          <cell r="G662">
            <v>0</v>
          </cell>
          <cell r="H662">
            <v>0</v>
          </cell>
          <cell r="I662">
            <v>42435835.700000003</v>
          </cell>
          <cell r="J662">
            <v>1246888.71</v>
          </cell>
          <cell r="K662">
            <v>0</v>
          </cell>
          <cell r="L662">
            <v>0</v>
          </cell>
          <cell r="M662">
            <v>1246888.71</v>
          </cell>
        </row>
        <row r="663">
          <cell r="D663">
            <v>7199</v>
          </cell>
          <cell r="E663" t="str">
            <v>投资活动产生的现金流量净额</v>
          </cell>
          <cell r="F663">
            <v>-2101496.41</v>
          </cell>
          <cell r="G663">
            <v>0</v>
          </cell>
          <cell r="H663">
            <v>0</v>
          </cell>
          <cell r="I663">
            <v>-2101496.41</v>
          </cell>
          <cell r="J663">
            <v>-1233796.71</v>
          </cell>
          <cell r="K663">
            <v>0</v>
          </cell>
          <cell r="L663">
            <v>0</v>
          </cell>
          <cell r="M663">
            <v>-1233796.71</v>
          </cell>
        </row>
        <row r="664">
          <cell r="D664">
            <v>7200</v>
          </cell>
          <cell r="E664" t="str">
            <v>筹资活动现金流量项目</v>
          </cell>
          <cell r="F664">
            <v>0</v>
          </cell>
          <cell r="G664">
            <v>0</v>
          </cell>
          <cell r="H664">
            <v>0</v>
          </cell>
          <cell r="I664">
            <v>0</v>
          </cell>
          <cell r="J664">
            <v>0</v>
          </cell>
          <cell r="K664">
            <v>0</v>
          </cell>
          <cell r="L664">
            <v>0</v>
          </cell>
          <cell r="M664">
            <v>0</v>
          </cell>
        </row>
        <row r="665">
          <cell r="D665">
            <v>7201</v>
          </cell>
          <cell r="E665" t="str">
            <v>吸收投资收到的现金</v>
          </cell>
          <cell r="F665">
            <v>0</v>
          </cell>
          <cell r="G665">
            <v>0</v>
          </cell>
          <cell r="H665">
            <v>0</v>
          </cell>
          <cell r="I665">
            <v>0</v>
          </cell>
          <cell r="J665">
            <v>0</v>
          </cell>
          <cell r="K665">
            <v>0</v>
          </cell>
          <cell r="L665">
            <v>0</v>
          </cell>
          <cell r="M665">
            <v>0</v>
          </cell>
        </row>
        <row r="666">
          <cell r="D666">
            <v>7201.01</v>
          </cell>
          <cell r="E666" t="str">
            <v>子公司吸收少数股东投资收到的现金</v>
          </cell>
          <cell r="F666">
            <v>0</v>
          </cell>
          <cell r="G666">
            <v>0</v>
          </cell>
          <cell r="H666">
            <v>0</v>
          </cell>
          <cell r="I666">
            <v>0</v>
          </cell>
          <cell r="J666">
            <v>0</v>
          </cell>
          <cell r="K666">
            <v>0</v>
          </cell>
          <cell r="L666">
            <v>0</v>
          </cell>
          <cell r="M666">
            <v>0</v>
          </cell>
        </row>
        <row r="667">
          <cell r="D667">
            <v>7211</v>
          </cell>
          <cell r="E667" t="str">
            <v>取得借款收到的现金</v>
          </cell>
          <cell r="F667">
            <v>25000000</v>
          </cell>
          <cell r="G667">
            <v>0</v>
          </cell>
          <cell r="H667">
            <v>0</v>
          </cell>
          <cell r="I667">
            <v>25000000</v>
          </cell>
          <cell r="J667">
            <v>17000000</v>
          </cell>
          <cell r="K667">
            <v>0</v>
          </cell>
          <cell r="L667">
            <v>0</v>
          </cell>
          <cell r="M667">
            <v>17000000</v>
          </cell>
        </row>
        <row r="668">
          <cell r="D668">
            <v>7221</v>
          </cell>
          <cell r="E668" t="str">
            <v>发行债券收到的现金</v>
          </cell>
          <cell r="F668">
            <v>0</v>
          </cell>
          <cell r="G668">
            <v>0</v>
          </cell>
          <cell r="H668">
            <v>0</v>
          </cell>
          <cell r="I668">
            <v>0</v>
          </cell>
          <cell r="J668">
            <v>0</v>
          </cell>
          <cell r="K668">
            <v>0</v>
          </cell>
          <cell r="L668">
            <v>0</v>
          </cell>
          <cell r="M668">
            <v>0</v>
          </cell>
        </row>
        <row r="669">
          <cell r="D669">
            <v>7246</v>
          </cell>
          <cell r="E669" t="str">
            <v>收到其他与筹资活动有关的现金</v>
          </cell>
          <cell r="F669">
            <v>0</v>
          </cell>
          <cell r="G669">
            <v>0</v>
          </cell>
          <cell r="H669">
            <v>0</v>
          </cell>
          <cell r="I669">
            <v>0</v>
          </cell>
          <cell r="J669">
            <v>0</v>
          </cell>
          <cell r="K669">
            <v>0</v>
          </cell>
          <cell r="L669">
            <v>0</v>
          </cell>
          <cell r="M669">
            <v>0</v>
          </cell>
        </row>
        <row r="670">
          <cell r="D670">
            <v>7248</v>
          </cell>
          <cell r="E670" t="str">
            <v>筹资活动现金流入</v>
          </cell>
          <cell r="F670">
            <v>25000000</v>
          </cell>
          <cell r="G670">
            <v>0</v>
          </cell>
          <cell r="H670">
            <v>0</v>
          </cell>
          <cell r="I670">
            <v>25000000</v>
          </cell>
          <cell r="J670">
            <v>17000000</v>
          </cell>
          <cell r="K670">
            <v>0</v>
          </cell>
          <cell r="L670">
            <v>0</v>
          </cell>
          <cell r="M670">
            <v>17000000</v>
          </cell>
        </row>
        <row r="671">
          <cell r="D671">
            <v>7251</v>
          </cell>
          <cell r="E671" t="str">
            <v>偿还债务支付的现金</v>
          </cell>
          <cell r="F671">
            <v>17000000</v>
          </cell>
          <cell r="G671">
            <v>0</v>
          </cell>
          <cell r="H671">
            <v>0</v>
          </cell>
          <cell r="I671">
            <v>17000000</v>
          </cell>
          <cell r="J671">
            <v>10006661.539999999</v>
          </cell>
          <cell r="K671">
            <v>0</v>
          </cell>
          <cell r="L671">
            <v>0</v>
          </cell>
          <cell r="M671">
            <v>10006661.539999999</v>
          </cell>
        </row>
        <row r="672">
          <cell r="D672">
            <v>7261</v>
          </cell>
          <cell r="E672" t="str">
            <v>分配利润偿付利息支付的现金</v>
          </cell>
          <cell r="F672">
            <v>947952.4</v>
          </cell>
          <cell r="G672">
            <v>0</v>
          </cell>
          <cell r="H672">
            <v>0</v>
          </cell>
          <cell r="I672">
            <v>947952.4</v>
          </cell>
          <cell r="J672">
            <v>10335695.279999999</v>
          </cell>
          <cell r="K672">
            <v>0</v>
          </cell>
          <cell r="L672">
            <v>0</v>
          </cell>
          <cell r="M672">
            <v>10335695.279999999</v>
          </cell>
        </row>
        <row r="673">
          <cell r="D673">
            <v>7261.01</v>
          </cell>
          <cell r="E673" t="str">
            <v>子公司支付少数股东的现金股利</v>
          </cell>
          <cell r="F673">
            <v>0</v>
          </cell>
          <cell r="G673">
            <v>0</v>
          </cell>
          <cell r="H673">
            <v>0</v>
          </cell>
          <cell r="I673">
            <v>0</v>
          </cell>
          <cell r="J673">
            <v>0</v>
          </cell>
          <cell r="K673">
            <v>0</v>
          </cell>
          <cell r="L673">
            <v>0</v>
          </cell>
          <cell r="M673">
            <v>0</v>
          </cell>
        </row>
        <row r="674">
          <cell r="D674">
            <v>7296</v>
          </cell>
          <cell r="E674" t="str">
            <v>支付其他与筹资活动有关的现金</v>
          </cell>
          <cell r="F674">
            <v>0</v>
          </cell>
          <cell r="G674">
            <v>0</v>
          </cell>
          <cell r="H674">
            <v>0</v>
          </cell>
          <cell r="I674">
            <v>0</v>
          </cell>
          <cell r="J674">
            <v>0</v>
          </cell>
          <cell r="K674">
            <v>0</v>
          </cell>
          <cell r="L674">
            <v>0</v>
          </cell>
          <cell r="M674">
            <v>0</v>
          </cell>
        </row>
        <row r="675">
          <cell r="D675">
            <v>7296.11</v>
          </cell>
          <cell r="E675" t="str">
            <v>子公司减资支付给少数股东的现金</v>
          </cell>
          <cell r="F675">
            <v>0</v>
          </cell>
          <cell r="G675">
            <v>0</v>
          </cell>
          <cell r="H675">
            <v>0</v>
          </cell>
          <cell r="I675">
            <v>0</v>
          </cell>
          <cell r="J675">
            <v>0</v>
          </cell>
          <cell r="K675">
            <v>0</v>
          </cell>
          <cell r="L675">
            <v>0</v>
          </cell>
          <cell r="M675">
            <v>0</v>
          </cell>
        </row>
        <row r="676">
          <cell r="D676">
            <v>7298</v>
          </cell>
          <cell r="E676" t="str">
            <v>筹资活动现金流出</v>
          </cell>
          <cell r="F676">
            <v>17947952.399999999</v>
          </cell>
          <cell r="G676">
            <v>0</v>
          </cell>
          <cell r="H676">
            <v>0</v>
          </cell>
          <cell r="I676">
            <v>17947952.399999999</v>
          </cell>
          <cell r="J676">
            <v>20342356.82</v>
          </cell>
          <cell r="K676">
            <v>0</v>
          </cell>
          <cell r="L676">
            <v>0</v>
          </cell>
          <cell r="M676">
            <v>20342356.82</v>
          </cell>
        </row>
        <row r="677">
          <cell r="D677">
            <v>7299</v>
          </cell>
          <cell r="E677" t="str">
            <v>筹资活动产生的现金流量净额</v>
          </cell>
          <cell r="F677">
            <v>7052047.5999999996</v>
          </cell>
          <cell r="G677">
            <v>0</v>
          </cell>
          <cell r="H677">
            <v>0</v>
          </cell>
          <cell r="I677">
            <v>7052047.5999999996</v>
          </cell>
          <cell r="J677">
            <v>-3342356.82</v>
          </cell>
          <cell r="K677">
            <v>0</v>
          </cell>
          <cell r="L677">
            <v>0</v>
          </cell>
          <cell r="M677">
            <v>-3342356.82</v>
          </cell>
        </row>
        <row r="678">
          <cell r="D678">
            <v>7309</v>
          </cell>
          <cell r="E678" t="str">
            <v>汇率变动对现金及现金等价物的影响</v>
          </cell>
          <cell r="F678">
            <v>0</v>
          </cell>
          <cell r="G678">
            <v>0</v>
          </cell>
          <cell r="H678">
            <v>0</v>
          </cell>
          <cell r="I678">
            <v>0</v>
          </cell>
          <cell r="J678">
            <v>0</v>
          </cell>
          <cell r="K678">
            <v>0</v>
          </cell>
          <cell r="L678">
            <v>0</v>
          </cell>
          <cell r="M678">
            <v>0</v>
          </cell>
        </row>
        <row r="679">
          <cell r="D679">
            <v>7348</v>
          </cell>
          <cell r="E679" t="str">
            <v>现金及现金等价物净增加额</v>
          </cell>
          <cell r="F679">
            <v>25908157.670000002</v>
          </cell>
          <cell r="G679">
            <v>0</v>
          </cell>
          <cell r="H679">
            <v>0</v>
          </cell>
          <cell r="I679">
            <v>25908157.670000002</v>
          </cell>
          <cell r="J679">
            <v>415494.31</v>
          </cell>
          <cell r="K679">
            <v>0</v>
          </cell>
          <cell r="L679">
            <v>0</v>
          </cell>
          <cell r="M679">
            <v>415494.31</v>
          </cell>
        </row>
        <row r="680">
          <cell r="D680">
            <v>7349</v>
          </cell>
          <cell r="E680" t="str">
            <v>期初现金及现金等价物余额</v>
          </cell>
          <cell r="F680">
            <v>24448149.870000001</v>
          </cell>
          <cell r="G680">
            <v>0</v>
          </cell>
          <cell r="H680">
            <v>0</v>
          </cell>
          <cell r="I680">
            <v>24448149.870000001</v>
          </cell>
          <cell r="J680">
            <v>24032655.559999999</v>
          </cell>
          <cell r="K680">
            <v>0</v>
          </cell>
          <cell r="L680">
            <v>0</v>
          </cell>
          <cell r="M680">
            <v>24032655.559999999</v>
          </cell>
        </row>
        <row r="681">
          <cell r="D681">
            <v>7399</v>
          </cell>
          <cell r="E681" t="str">
            <v>期末现金及现金等价物余额</v>
          </cell>
          <cell r="F681">
            <v>50356307.539999999</v>
          </cell>
          <cell r="G681">
            <v>0</v>
          </cell>
          <cell r="H681">
            <v>0</v>
          </cell>
          <cell r="I681">
            <v>50356307.539999999</v>
          </cell>
          <cell r="J681">
            <v>24448149.870000001</v>
          </cell>
          <cell r="K681">
            <v>0</v>
          </cell>
          <cell r="L681">
            <v>0</v>
          </cell>
          <cell r="M681">
            <v>24448149.870000001</v>
          </cell>
        </row>
        <row r="682">
          <cell r="D682">
            <v>19</v>
          </cell>
          <cell r="E682" t="str">
            <v>资产负债表补充资料：资产减值准备</v>
          </cell>
          <cell r="F682">
            <v>0</v>
          </cell>
          <cell r="G682">
            <v>0</v>
          </cell>
          <cell r="H682">
            <v>0</v>
          </cell>
          <cell r="I682">
            <v>0</v>
          </cell>
          <cell r="J682">
            <v>0</v>
          </cell>
          <cell r="K682">
            <v>0</v>
          </cell>
          <cell r="L682">
            <v>0</v>
          </cell>
          <cell r="M682">
            <v>0</v>
          </cell>
        </row>
        <row r="683">
          <cell r="D683">
            <v>1122.1231</v>
          </cell>
          <cell r="E683" t="str">
            <v>应收账款坏账准备</v>
          </cell>
          <cell r="F683">
            <v>0</v>
          </cell>
          <cell r="G683">
            <v>0</v>
          </cell>
          <cell r="H683">
            <v>-265828.36</v>
          </cell>
          <cell r="I683">
            <v>-265828.36</v>
          </cell>
          <cell r="J683">
            <v>0</v>
          </cell>
          <cell r="K683">
            <v>0</v>
          </cell>
          <cell r="L683">
            <v>0</v>
          </cell>
          <cell r="M683">
            <v>0</v>
          </cell>
        </row>
        <row r="684">
          <cell r="D684">
            <v>1125.1231</v>
          </cell>
          <cell r="E684" t="str">
            <v>预付款项坏账准备</v>
          </cell>
          <cell r="F684">
            <v>0</v>
          </cell>
          <cell r="G684">
            <v>0</v>
          </cell>
          <cell r="H684">
            <v>0</v>
          </cell>
          <cell r="I684">
            <v>0</v>
          </cell>
          <cell r="J684">
            <v>0</v>
          </cell>
          <cell r="K684">
            <v>0</v>
          </cell>
          <cell r="L684">
            <v>0</v>
          </cell>
          <cell r="M684">
            <v>0</v>
          </cell>
        </row>
        <row r="685">
          <cell r="D685">
            <v>1221.1231</v>
          </cell>
          <cell r="E685" t="str">
            <v>其他应收款坏账准备</v>
          </cell>
          <cell r="F685">
            <v>0</v>
          </cell>
          <cell r="G685">
            <v>0</v>
          </cell>
          <cell r="H685">
            <v>0</v>
          </cell>
          <cell r="I685">
            <v>0</v>
          </cell>
          <cell r="J685">
            <v>0</v>
          </cell>
          <cell r="K685">
            <v>0</v>
          </cell>
          <cell r="L685">
            <v>0</v>
          </cell>
          <cell r="M685">
            <v>0</v>
          </cell>
        </row>
        <row r="686">
          <cell r="D686">
            <v>1400.1470999999999</v>
          </cell>
          <cell r="E686" t="str">
            <v>存货跌价准备</v>
          </cell>
          <cell r="F686">
            <v>0</v>
          </cell>
          <cell r="G686">
            <v>0</v>
          </cell>
          <cell r="H686">
            <v>11395.01</v>
          </cell>
          <cell r="I686">
            <v>11395.01</v>
          </cell>
          <cell r="J686">
            <v>0</v>
          </cell>
          <cell r="K686">
            <v>0</v>
          </cell>
          <cell r="L686">
            <v>0</v>
          </cell>
          <cell r="M686">
            <v>0</v>
          </cell>
        </row>
        <row r="687">
          <cell r="D687">
            <v>1503.1504</v>
          </cell>
          <cell r="E687" t="str">
            <v>可供出售金融资产减值准备</v>
          </cell>
          <cell r="F687">
            <v>0</v>
          </cell>
          <cell r="G687">
            <v>0</v>
          </cell>
          <cell r="H687">
            <v>0</v>
          </cell>
          <cell r="I687">
            <v>0</v>
          </cell>
          <cell r="J687">
            <v>0</v>
          </cell>
          <cell r="K687">
            <v>0</v>
          </cell>
          <cell r="L687">
            <v>0</v>
          </cell>
          <cell r="M687">
            <v>0</v>
          </cell>
        </row>
        <row r="688">
          <cell r="D688">
            <v>1501.1502</v>
          </cell>
          <cell r="E688" t="str">
            <v>持有至到期投资减值准备</v>
          </cell>
          <cell r="F688">
            <v>0</v>
          </cell>
          <cell r="G688">
            <v>0</v>
          </cell>
          <cell r="H688">
            <v>0</v>
          </cell>
          <cell r="I688">
            <v>0</v>
          </cell>
          <cell r="J688">
            <v>0</v>
          </cell>
          <cell r="K688">
            <v>0</v>
          </cell>
          <cell r="L688">
            <v>0</v>
          </cell>
          <cell r="M688">
            <v>0</v>
          </cell>
        </row>
        <row r="689">
          <cell r="D689">
            <v>1511.1512</v>
          </cell>
          <cell r="E689" t="str">
            <v>长期股权投资减值准备</v>
          </cell>
          <cell r="F689">
            <v>0</v>
          </cell>
          <cell r="G689">
            <v>0</v>
          </cell>
          <cell r="H689">
            <v>0</v>
          </cell>
          <cell r="I689">
            <v>0</v>
          </cell>
          <cell r="J689">
            <v>0</v>
          </cell>
          <cell r="K689">
            <v>0</v>
          </cell>
          <cell r="L689">
            <v>0</v>
          </cell>
          <cell r="M689">
            <v>0</v>
          </cell>
        </row>
        <row r="690">
          <cell r="D690">
            <v>1521.1522</v>
          </cell>
          <cell r="E690" t="str">
            <v>投资性房地产减值准备</v>
          </cell>
          <cell r="F690">
            <v>0</v>
          </cell>
          <cell r="G690">
            <v>0</v>
          </cell>
          <cell r="H690">
            <v>0</v>
          </cell>
          <cell r="I690">
            <v>0</v>
          </cell>
          <cell r="J690">
            <v>0</v>
          </cell>
          <cell r="K690">
            <v>0</v>
          </cell>
          <cell r="L690">
            <v>0</v>
          </cell>
          <cell r="M690">
            <v>0</v>
          </cell>
        </row>
        <row r="691">
          <cell r="D691">
            <v>1601.1603</v>
          </cell>
          <cell r="E691" t="str">
            <v>固定资产减值准备</v>
          </cell>
          <cell r="F691">
            <v>0</v>
          </cell>
          <cell r="G691">
            <v>0</v>
          </cell>
          <cell r="H691">
            <v>0</v>
          </cell>
          <cell r="I691">
            <v>0</v>
          </cell>
          <cell r="J691">
            <v>0</v>
          </cell>
          <cell r="K691">
            <v>0</v>
          </cell>
          <cell r="L691">
            <v>0</v>
          </cell>
          <cell r="M691">
            <v>0</v>
          </cell>
        </row>
        <row r="692">
          <cell r="D692">
            <v>1605.1608000000001</v>
          </cell>
          <cell r="E692" t="str">
            <v>工程物资减值准备</v>
          </cell>
          <cell r="F692">
            <v>0</v>
          </cell>
          <cell r="G692">
            <v>0</v>
          </cell>
          <cell r="H692">
            <v>0</v>
          </cell>
          <cell r="I692">
            <v>0</v>
          </cell>
          <cell r="J692">
            <v>0</v>
          </cell>
          <cell r="K692">
            <v>0</v>
          </cell>
          <cell r="L692">
            <v>0</v>
          </cell>
          <cell r="M692">
            <v>0</v>
          </cell>
        </row>
        <row r="693">
          <cell r="D693">
            <v>1604.1606999999999</v>
          </cell>
          <cell r="E693" t="str">
            <v>在建工程减值准备</v>
          </cell>
          <cell r="F693">
            <v>0</v>
          </cell>
          <cell r="G693">
            <v>0</v>
          </cell>
          <cell r="H693">
            <v>0</v>
          </cell>
          <cell r="I693">
            <v>0</v>
          </cell>
          <cell r="J693">
            <v>0</v>
          </cell>
          <cell r="K693">
            <v>0</v>
          </cell>
          <cell r="L693">
            <v>0</v>
          </cell>
          <cell r="M693">
            <v>0</v>
          </cell>
        </row>
        <row r="694">
          <cell r="D694">
            <v>1621.1623999999999</v>
          </cell>
          <cell r="E694" t="str">
            <v>生产性生物资产减值准备</v>
          </cell>
          <cell r="F694">
            <v>0</v>
          </cell>
          <cell r="G694">
            <v>0</v>
          </cell>
          <cell r="H694">
            <v>0</v>
          </cell>
          <cell r="I694">
            <v>0</v>
          </cell>
          <cell r="J694">
            <v>0</v>
          </cell>
          <cell r="K694">
            <v>0</v>
          </cell>
          <cell r="L694">
            <v>0</v>
          </cell>
          <cell r="M694">
            <v>0</v>
          </cell>
        </row>
        <row r="695">
          <cell r="D695">
            <v>1631.1632999999999</v>
          </cell>
          <cell r="E695" t="str">
            <v>油气资产减值准备</v>
          </cell>
          <cell r="F695">
            <v>0</v>
          </cell>
          <cell r="G695">
            <v>0</v>
          </cell>
          <cell r="H695">
            <v>0</v>
          </cell>
          <cell r="I695">
            <v>0</v>
          </cell>
          <cell r="J695">
            <v>0</v>
          </cell>
          <cell r="K695">
            <v>0</v>
          </cell>
          <cell r="L695">
            <v>0</v>
          </cell>
          <cell r="M695">
            <v>0</v>
          </cell>
        </row>
        <row r="696">
          <cell r="D696">
            <v>1701.1703</v>
          </cell>
          <cell r="E696" t="str">
            <v>无形资产减值准备</v>
          </cell>
          <cell r="F696">
            <v>0</v>
          </cell>
          <cell r="G696">
            <v>0</v>
          </cell>
          <cell r="H696">
            <v>0</v>
          </cell>
          <cell r="I696">
            <v>0</v>
          </cell>
          <cell r="J696">
            <v>0</v>
          </cell>
          <cell r="K696">
            <v>0</v>
          </cell>
          <cell r="L696">
            <v>0</v>
          </cell>
          <cell r="M696">
            <v>0</v>
          </cell>
        </row>
        <row r="697">
          <cell r="D697">
            <v>1711.1712</v>
          </cell>
          <cell r="E697" t="str">
            <v>商誉减值准备</v>
          </cell>
          <cell r="F697">
            <v>0</v>
          </cell>
          <cell r="G697">
            <v>0</v>
          </cell>
          <cell r="H697">
            <v>0</v>
          </cell>
          <cell r="I697">
            <v>0</v>
          </cell>
          <cell r="J697">
            <v>0</v>
          </cell>
          <cell r="K697">
            <v>0</v>
          </cell>
          <cell r="L697">
            <v>0</v>
          </cell>
          <cell r="M697">
            <v>0</v>
          </cell>
        </row>
        <row r="698">
          <cell r="D698">
            <v>1991.1992</v>
          </cell>
          <cell r="E698" t="str">
            <v>其他减值准备</v>
          </cell>
          <cell r="F698">
            <v>0</v>
          </cell>
          <cell r="G698">
            <v>0</v>
          </cell>
          <cell r="H698">
            <v>0</v>
          </cell>
          <cell r="I698">
            <v>0</v>
          </cell>
          <cell r="J698">
            <v>0</v>
          </cell>
          <cell r="K698">
            <v>0</v>
          </cell>
          <cell r="L698">
            <v>0</v>
          </cell>
          <cell r="M698">
            <v>0</v>
          </cell>
        </row>
        <row r="699">
          <cell r="D699">
            <v>1991</v>
          </cell>
          <cell r="E699" t="str">
            <v>资产减值准备</v>
          </cell>
          <cell r="F699">
            <v>0</v>
          </cell>
          <cell r="G699">
            <v>0</v>
          </cell>
          <cell r="H699">
            <v>-254433.35</v>
          </cell>
          <cell r="I699">
            <v>-254433.35</v>
          </cell>
          <cell r="J699">
            <v>0</v>
          </cell>
          <cell r="K699">
            <v>0</v>
          </cell>
          <cell r="L699">
            <v>0</v>
          </cell>
          <cell r="M699">
            <v>0</v>
          </cell>
        </row>
        <row r="700">
          <cell r="D700">
            <v>7500</v>
          </cell>
          <cell r="E700" t="str">
            <v>现金流量表补充资料</v>
          </cell>
          <cell r="F700">
            <v>0</v>
          </cell>
          <cell r="G700" t="str">
            <v>以下须手工调整，不从CFJE表取数</v>
          </cell>
          <cell r="H700">
            <v>0</v>
          </cell>
          <cell r="I700">
            <v>0</v>
          </cell>
          <cell r="J700">
            <v>0</v>
          </cell>
          <cell r="K700" t="str">
            <v>以下须手工调整，不从CFJE表取数</v>
          </cell>
          <cell r="L700">
            <v>0</v>
          </cell>
          <cell r="M700">
            <v>0</v>
          </cell>
        </row>
        <row r="701">
          <cell r="D701">
            <v>7501</v>
          </cell>
          <cell r="E701" t="str">
            <v>将净利润调节为经营活动现金流量</v>
          </cell>
          <cell r="F701">
            <v>0</v>
          </cell>
          <cell r="G701" t="str">
            <v>调增</v>
          </cell>
          <cell r="H701" t="str">
            <v>调减</v>
          </cell>
          <cell r="I701">
            <v>0</v>
          </cell>
          <cell r="J701">
            <v>0</v>
          </cell>
          <cell r="K701" t="str">
            <v>调增</v>
          </cell>
          <cell r="L701" t="str">
            <v>调减</v>
          </cell>
          <cell r="M701">
            <v>0</v>
          </cell>
        </row>
        <row r="702">
          <cell r="D702">
            <v>7502</v>
          </cell>
          <cell r="E702" t="str">
            <v>净利润金额</v>
          </cell>
          <cell r="F702">
            <v>32204101.010000002</v>
          </cell>
          <cell r="G702">
            <v>-117574.97</v>
          </cell>
          <cell r="H702">
            <v>0</v>
          </cell>
          <cell r="I702">
            <v>32086526.039999999</v>
          </cell>
          <cell r="J702">
            <v>26377964.25</v>
          </cell>
          <cell r="K702">
            <v>0</v>
          </cell>
          <cell r="L702">
            <v>0</v>
          </cell>
          <cell r="M702">
            <v>26377964.25</v>
          </cell>
        </row>
        <row r="703">
          <cell r="D703">
            <v>7503</v>
          </cell>
          <cell r="E703" t="str">
            <v>资产减值准备金额</v>
          </cell>
          <cell r="F703">
            <v>6981598.7199999997</v>
          </cell>
          <cell r="G703">
            <v>0</v>
          </cell>
          <cell r="H703">
            <v>0</v>
          </cell>
          <cell r="I703">
            <v>6981598.7199999997</v>
          </cell>
          <cell r="J703">
            <v>10407761.99</v>
          </cell>
          <cell r="K703">
            <v>0</v>
          </cell>
          <cell r="L703">
            <v>0</v>
          </cell>
          <cell r="M703">
            <v>10407761.99</v>
          </cell>
        </row>
        <row r="704">
          <cell r="D704">
            <v>7505</v>
          </cell>
          <cell r="E704" t="str">
            <v>固定资产折旧、油气资产折耗、生产性生物资产折旧</v>
          </cell>
          <cell r="F704">
            <v>1105464.18</v>
          </cell>
          <cell r="G704">
            <v>0</v>
          </cell>
          <cell r="H704">
            <v>0</v>
          </cell>
          <cell r="I704">
            <v>1105464.18</v>
          </cell>
          <cell r="J704">
            <v>1053637.08</v>
          </cell>
          <cell r="K704">
            <v>0</v>
          </cell>
          <cell r="L704">
            <v>0</v>
          </cell>
          <cell r="M704">
            <v>1053637.08</v>
          </cell>
        </row>
        <row r="705">
          <cell r="D705">
            <v>7506</v>
          </cell>
          <cell r="E705" t="str">
            <v>无形资产摊销</v>
          </cell>
          <cell r="F705">
            <v>105672.48</v>
          </cell>
          <cell r="G705">
            <v>0</v>
          </cell>
          <cell r="H705">
            <v>0</v>
          </cell>
          <cell r="I705">
            <v>105672.48</v>
          </cell>
          <cell r="J705">
            <v>172564.1</v>
          </cell>
          <cell r="K705">
            <v>0</v>
          </cell>
          <cell r="L705">
            <v>0</v>
          </cell>
          <cell r="M705">
            <v>172564.1</v>
          </cell>
        </row>
        <row r="706">
          <cell r="D706">
            <v>7507</v>
          </cell>
          <cell r="E706" t="str">
            <v>长期待摊费用摊销</v>
          </cell>
          <cell r="F706">
            <v>0</v>
          </cell>
          <cell r="G706">
            <v>0</v>
          </cell>
          <cell r="H706">
            <v>0</v>
          </cell>
          <cell r="I706">
            <v>0</v>
          </cell>
          <cell r="J706">
            <v>0</v>
          </cell>
          <cell r="K706">
            <v>0</v>
          </cell>
          <cell r="L706">
            <v>0</v>
          </cell>
          <cell r="M706">
            <v>0</v>
          </cell>
        </row>
        <row r="707">
          <cell r="D707">
            <v>7508</v>
          </cell>
          <cell r="E707" t="str">
            <v>处置固定资产、无形资产和其他长期资产的损失</v>
          </cell>
          <cell r="F707">
            <v>0</v>
          </cell>
          <cell r="G707">
            <v>0</v>
          </cell>
          <cell r="H707">
            <v>0</v>
          </cell>
          <cell r="I707">
            <v>0</v>
          </cell>
          <cell r="J707">
            <v>4307.87</v>
          </cell>
          <cell r="K707">
            <v>0</v>
          </cell>
          <cell r="L707">
            <v>0</v>
          </cell>
          <cell r="M707">
            <v>4307.87</v>
          </cell>
        </row>
        <row r="708">
          <cell r="D708">
            <v>7509</v>
          </cell>
          <cell r="E708" t="str">
            <v>固定资产报废损失</v>
          </cell>
          <cell r="F708">
            <v>62471.05</v>
          </cell>
          <cell r="G708">
            <v>0</v>
          </cell>
          <cell r="H708">
            <v>0</v>
          </cell>
          <cell r="I708">
            <v>62471.05</v>
          </cell>
          <cell r="J708">
            <v>7462.41</v>
          </cell>
          <cell r="K708">
            <v>0</v>
          </cell>
          <cell r="L708">
            <v>0</v>
          </cell>
          <cell r="M708">
            <v>7462.41</v>
          </cell>
        </row>
        <row r="709">
          <cell r="D709">
            <v>7510</v>
          </cell>
          <cell r="E709" t="str">
            <v>公允价值变动损失</v>
          </cell>
          <cell r="F709">
            <v>0</v>
          </cell>
          <cell r="G709">
            <v>0</v>
          </cell>
          <cell r="H709">
            <v>0</v>
          </cell>
          <cell r="I709">
            <v>0</v>
          </cell>
          <cell r="J709">
            <v>0</v>
          </cell>
          <cell r="K709">
            <v>0</v>
          </cell>
          <cell r="L709">
            <v>0</v>
          </cell>
          <cell r="M709">
            <v>0</v>
          </cell>
        </row>
        <row r="710">
          <cell r="D710">
            <v>7511</v>
          </cell>
          <cell r="E710" t="str">
            <v>财务费用金额</v>
          </cell>
          <cell r="F710">
            <v>947952.4</v>
          </cell>
          <cell r="G710">
            <v>0</v>
          </cell>
          <cell r="H710">
            <v>0</v>
          </cell>
          <cell r="I710">
            <v>947952.4</v>
          </cell>
          <cell r="J710">
            <v>621427.49</v>
          </cell>
          <cell r="K710">
            <v>0</v>
          </cell>
          <cell r="L710">
            <v>0</v>
          </cell>
          <cell r="M710">
            <v>621427.49</v>
          </cell>
        </row>
        <row r="711">
          <cell r="D711">
            <v>7512</v>
          </cell>
          <cell r="E711" t="str">
            <v>投资损失</v>
          </cell>
          <cell r="F711">
            <v>-624383.41</v>
          </cell>
          <cell r="G711">
            <v>0</v>
          </cell>
          <cell r="H711">
            <v>0</v>
          </cell>
          <cell r="I711">
            <v>-624383.41</v>
          </cell>
          <cell r="J711">
            <v>-395610.58</v>
          </cell>
          <cell r="K711">
            <v>0</v>
          </cell>
          <cell r="L711">
            <v>0</v>
          </cell>
          <cell r="M711">
            <v>-395610.58</v>
          </cell>
        </row>
        <row r="712">
          <cell r="D712">
            <v>7515</v>
          </cell>
          <cell r="E712" t="str">
            <v>递延所得税资产减少</v>
          </cell>
          <cell r="F712">
            <v>-1047239.81</v>
          </cell>
          <cell r="G712">
            <v>0</v>
          </cell>
          <cell r="H712">
            <v>0</v>
          </cell>
          <cell r="I712">
            <v>-1047239.81</v>
          </cell>
          <cell r="J712">
            <v>-1561164.29</v>
          </cell>
          <cell r="K712">
            <v>0</v>
          </cell>
          <cell r="L712">
            <v>0</v>
          </cell>
          <cell r="M712">
            <v>-1561164.29</v>
          </cell>
        </row>
        <row r="713">
          <cell r="D713">
            <v>7516</v>
          </cell>
          <cell r="E713" t="str">
            <v>递延所得税负债增加</v>
          </cell>
          <cell r="F713">
            <v>0</v>
          </cell>
          <cell r="G713">
            <v>0</v>
          </cell>
          <cell r="H713">
            <v>0</v>
          </cell>
          <cell r="I713">
            <v>0</v>
          </cell>
          <cell r="J713">
            <v>0</v>
          </cell>
          <cell r="K713">
            <v>0</v>
          </cell>
          <cell r="L713">
            <v>0</v>
          </cell>
          <cell r="M713">
            <v>0</v>
          </cell>
        </row>
        <row r="714">
          <cell r="D714">
            <v>7517</v>
          </cell>
          <cell r="E714" t="str">
            <v>存货的减少</v>
          </cell>
          <cell r="F714">
            <v>-9065179.5</v>
          </cell>
          <cell r="G714">
            <v>0</v>
          </cell>
          <cell r="H714">
            <v>0</v>
          </cell>
          <cell r="I714">
            <v>-9065179.5</v>
          </cell>
          <cell r="J714">
            <v>-6572357.5800000001</v>
          </cell>
          <cell r="K714">
            <v>0</v>
          </cell>
          <cell r="L714">
            <v>0</v>
          </cell>
          <cell r="M714">
            <v>-6572357.5800000001</v>
          </cell>
        </row>
        <row r="715">
          <cell r="D715">
            <v>7518</v>
          </cell>
          <cell r="E715" t="str">
            <v>经营性应收项目的减少</v>
          </cell>
          <cell r="F715">
            <v>-66550787.18</v>
          </cell>
          <cell r="G715">
            <v>0</v>
          </cell>
          <cell r="H715">
            <v>0</v>
          </cell>
          <cell r="I715">
            <v>-66550787.18</v>
          </cell>
          <cell r="J715">
            <v>-67049395.170000002</v>
          </cell>
          <cell r="K715">
            <v>0</v>
          </cell>
          <cell r="L715">
            <v>0</v>
          </cell>
          <cell r="M715">
            <v>-67049395.170000002</v>
          </cell>
        </row>
        <row r="716">
          <cell r="D716">
            <v>7519</v>
          </cell>
          <cell r="E716" t="str">
            <v>经营性应付项目的增加</v>
          </cell>
          <cell r="F716">
            <v>56955511.509999998</v>
          </cell>
          <cell r="G716">
            <v>0</v>
          </cell>
          <cell r="H716">
            <v>0</v>
          </cell>
          <cell r="I716">
            <v>56955511.509999998</v>
          </cell>
          <cell r="J716">
            <v>41672460.710000001</v>
          </cell>
          <cell r="K716">
            <v>0</v>
          </cell>
          <cell r="L716">
            <v>0</v>
          </cell>
          <cell r="M716">
            <v>41672460.710000001</v>
          </cell>
        </row>
        <row r="717">
          <cell r="D717">
            <v>7523</v>
          </cell>
          <cell r="E717" t="str">
            <v>其他将净利润调节为经营活动现金流量项目</v>
          </cell>
          <cell r="F717">
            <v>0</v>
          </cell>
          <cell r="G717">
            <v>0</v>
          </cell>
          <cell r="H717">
            <v>0</v>
          </cell>
          <cell r="I717">
            <v>0</v>
          </cell>
          <cell r="J717">
            <v>252589.56</v>
          </cell>
          <cell r="K717">
            <v>0</v>
          </cell>
          <cell r="L717">
            <v>0</v>
          </cell>
          <cell r="M717">
            <v>252589.56</v>
          </cell>
        </row>
        <row r="718">
          <cell r="D718">
            <v>7525</v>
          </cell>
          <cell r="E718" t="str">
            <v>经营活动产生的现金流量净额</v>
          </cell>
          <cell r="F718">
            <v>21075181.449999999</v>
          </cell>
          <cell r="G718">
            <v>-117574.97</v>
          </cell>
          <cell r="H718">
            <v>0</v>
          </cell>
          <cell r="I718">
            <v>20957606.48</v>
          </cell>
          <cell r="J718">
            <v>4991647.84</v>
          </cell>
          <cell r="K718">
            <v>0</v>
          </cell>
          <cell r="L718">
            <v>0</v>
          </cell>
          <cell r="M718">
            <v>4991647.84</v>
          </cell>
        </row>
        <row r="719">
          <cell r="D719">
            <v>7526</v>
          </cell>
          <cell r="E719" t="str">
            <v>不涉及现金收支的重大投资和筹资活动</v>
          </cell>
          <cell r="F719">
            <v>0</v>
          </cell>
          <cell r="G719">
            <v>0</v>
          </cell>
          <cell r="H719">
            <v>0</v>
          </cell>
          <cell r="I719">
            <v>0</v>
          </cell>
          <cell r="J719">
            <v>0</v>
          </cell>
          <cell r="K719">
            <v>0</v>
          </cell>
          <cell r="L719">
            <v>0</v>
          </cell>
          <cell r="M719">
            <v>0</v>
          </cell>
        </row>
        <row r="720">
          <cell r="D720">
            <v>7527</v>
          </cell>
          <cell r="E720" t="str">
            <v>债务转为资本</v>
          </cell>
          <cell r="F720">
            <v>0</v>
          </cell>
          <cell r="G720">
            <v>0</v>
          </cell>
          <cell r="H720">
            <v>0</v>
          </cell>
          <cell r="I720">
            <v>0</v>
          </cell>
          <cell r="J720">
            <v>0</v>
          </cell>
          <cell r="K720">
            <v>0</v>
          </cell>
          <cell r="L720">
            <v>0</v>
          </cell>
          <cell r="M720">
            <v>0</v>
          </cell>
        </row>
        <row r="721">
          <cell r="D721">
            <v>7528</v>
          </cell>
          <cell r="E721" t="str">
            <v>一年内到期的可转换公司债券</v>
          </cell>
          <cell r="F721">
            <v>0</v>
          </cell>
          <cell r="G721">
            <v>0</v>
          </cell>
          <cell r="H721">
            <v>0</v>
          </cell>
          <cell r="I721">
            <v>0</v>
          </cell>
          <cell r="J721">
            <v>0</v>
          </cell>
          <cell r="K721">
            <v>0</v>
          </cell>
          <cell r="L721">
            <v>0</v>
          </cell>
          <cell r="M721">
            <v>0</v>
          </cell>
        </row>
        <row r="722">
          <cell r="D722">
            <v>7529</v>
          </cell>
          <cell r="E722" t="str">
            <v>融资租入固定资产</v>
          </cell>
          <cell r="F722">
            <v>0</v>
          </cell>
          <cell r="G722">
            <v>0</v>
          </cell>
          <cell r="H722">
            <v>0</v>
          </cell>
          <cell r="I722">
            <v>0</v>
          </cell>
          <cell r="J722">
            <v>0</v>
          </cell>
          <cell r="K722">
            <v>0</v>
          </cell>
          <cell r="L722">
            <v>0</v>
          </cell>
          <cell r="M722">
            <v>0</v>
          </cell>
        </row>
        <row r="723">
          <cell r="D723">
            <v>7533</v>
          </cell>
          <cell r="E723" t="str">
            <v>现金及现金等价物净变动情况</v>
          </cell>
          <cell r="F723">
            <v>0</v>
          </cell>
          <cell r="G723">
            <v>0</v>
          </cell>
          <cell r="H723">
            <v>0</v>
          </cell>
          <cell r="I723">
            <v>0</v>
          </cell>
          <cell r="J723">
            <v>0</v>
          </cell>
          <cell r="K723">
            <v>0</v>
          </cell>
          <cell r="L723">
            <v>0</v>
          </cell>
          <cell r="M723">
            <v>0</v>
          </cell>
        </row>
        <row r="724">
          <cell r="D724">
            <v>7535</v>
          </cell>
          <cell r="E724" t="str">
            <v>现金的期末余额</v>
          </cell>
          <cell r="F724">
            <v>50356307.539999999</v>
          </cell>
          <cell r="G724">
            <v>0</v>
          </cell>
          <cell r="H724">
            <v>0</v>
          </cell>
          <cell r="I724">
            <v>50356307.539999999</v>
          </cell>
          <cell r="J724">
            <v>24448149.870000001</v>
          </cell>
          <cell r="K724">
            <v>0</v>
          </cell>
          <cell r="L724">
            <v>0</v>
          </cell>
          <cell r="M724">
            <v>24448149.870000001</v>
          </cell>
        </row>
        <row r="725">
          <cell r="D725">
            <v>7536</v>
          </cell>
          <cell r="E725" t="str">
            <v>减：现金的年初余额</v>
          </cell>
          <cell r="F725">
            <v>24448149.870000001</v>
          </cell>
          <cell r="G725">
            <v>0</v>
          </cell>
          <cell r="H725">
            <v>0</v>
          </cell>
          <cell r="I725">
            <v>24448149.870000001</v>
          </cell>
          <cell r="J725">
            <v>24032655.559999999</v>
          </cell>
          <cell r="K725">
            <v>0</v>
          </cell>
          <cell r="L725">
            <v>0</v>
          </cell>
          <cell r="M725">
            <v>24032655.559999999</v>
          </cell>
        </row>
        <row r="726">
          <cell r="D726">
            <v>7537</v>
          </cell>
          <cell r="E726" t="str">
            <v>加：现金等价物的期末余额</v>
          </cell>
          <cell r="F726">
            <v>0</v>
          </cell>
          <cell r="G726">
            <v>0</v>
          </cell>
          <cell r="H726">
            <v>0</v>
          </cell>
          <cell r="I726">
            <v>0</v>
          </cell>
          <cell r="J726">
            <v>0</v>
          </cell>
          <cell r="K726">
            <v>0</v>
          </cell>
          <cell r="L726">
            <v>0</v>
          </cell>
          <cell r="M726">
            <v>0</v>
          </cell>
        </row>
        <row r="727">
          <cell r="D727">
            <v>7538</v>
          </cell>
          <cell r="E727" t="str">
            <v>减：现金等价物的年初余额</v>
          </cell>
          <cell r="F727">
            <v>0</v>
          </cell>
          <cell r="G727">
            <v>0</v>
          </cell>
          <cell r="H727">
            <v>0</v>
          </cell>
          <cell r="I727">
            <v>0</v>
          </cell>
          <cell r="J727">
            <v>0</v>
          </cell>
          <cell r="K727">
            <v>0</v>
          </cell>
          <cell r="L727">
            <v>0</v>
          </cell>
          <cell r="M727">
            <v>0</v>
          </cell>
        </row>
        <row r="728">
          <cell r="D728">
            <v>7539</v>
          </cell>
          <cell r="E728" t="str">
            <v>现金及现金等价物净增加额</v>
          </cell>
          <cell r="F728">
            <v>25908157.670000002</v>
          </cell>
          <cell r="G728">
            <v>0</v>
          </cell>
          <cell r="H728">
            <v>0</v>
          </cell>
          <cell r="I728">
            <v>25908157.670000002</v>
          </cell>
          <cell r="J728">
            <v>415494.31</v>
          </cell>
          <cell r="K728">
            <v>0</v>
          </cell>
          <cell r="L728">
            <v>0</v>
          </cell>
          <cell r="M728">
            <v>415494.31</v>
          </cell>
        </row>
        <row r="729">
          <cell r="D729">
            <v>6829.5110000000004</v>
          </cell>
          <cell r="E729" t="str">
            <v>少数股东其他综合收益_重新计量设定受益计划变动额</v>
          </cell>
          <cell r="F729">
            <v>0</v>
          </cell>
          <cell r="G729">
            <v>0</v>
          </cell>
          <cell r="H729">
            <v>0</v>
          </cell>
          <cell r="I729">
            <v>0</v>
          </cell>
          <cell r="J729">
            <v>0</v>
          </cell>
          <cell r="K729">
            <v>0</v>
          </cell>
          <cell r="L729">
            <v>0</v>
          </cell>
          <cell r="M729">
            <v>0</v>
          </cell>
        </row>
        <row r="730">
          <cell r="D730">
            <v>6829.5119999999997</v>
          </cell>
          <cell r="E730" t="str">
            <v>少数股东其他综合收益_权益法下不能转损益的其他综合收益</v>
          </cell>
          <cell r="F730">
            <v>0</v>
          </cell>
          <cell r="G730">
            <v>0</v>
          </cell>
          <cell r="H730">
            <v>0</v>
          </cell>
          <cell r="I730">
            <v>0</v>
          </cell>
          <cell r="J730">
            <v>0</v>
          </cell>
          <cell r="K730">
            <v>0</v>
          </cell>
          <cell r="L730">
            <v>0</v>
          </cell>
          <cell r="M730">
            <v>0</v>
          </cell>
        </row>
        <row r="731">
          <cell r="D731">
            <v>6829.5190000000002</v>
          </cell>
          <cell r="E731" t="str">
            <v>少数股东其他综合收益_其他以后不能重分类进损益的其他综合收益</v>
          </cell>
          <cell r="F731">
            <v>0</v>
          </cell>
          <cell r="G731">
            <v>0</v>
          </cell>
          <cell r="H731">
            <v>0</v>
          </cell>
          <cell r="I731">
            <v>0</v>
          </cell>
          <cell r="J731">
            <v>0</v>
          </cell>
          <cell r="K731">
            <v>0</v>
          </cell>
          <cell r="L731">
            <v>0</v>
          </cell>
          <cell r="M731">
            <v>0</v>
          </cell>
        </row>
        <row r="732">
          <cell r="D732">
            <v>6829.5309999999999</v>
          </cell>
          <cell r="E732" t="str">
            <v>少数股东其他综合收益_权益法下可转损益的其他综合收益</v>
          </cell>
          <cell r="F732">
            <v>0</v>
          </cell>
          <cell r="G732">
            <v>0</v>
          </cell>
          <cell r="H732">
            <v>0</v>
          </cell>
          <cell r="I732">
            <v>0</v>
          </cell>
          <cell r="J732">
            <v>0</v>
          </cell>
          <cell r="K732">
            <v>0</v>
          </cell>
          <cell r="L732">
            <v>0</v>
          </cell>
          <cell r="M732">
            <v>0</v>
          </cell>
        </row>
        <row r="733">
          <cell r="D733">
            <v>6829.5320000000002</v>
          </cell>
          <cell r="E733" t="str">
            <v>少数股东其他综合收益_可供出售金融资产公允价值变动损益</v>
          </cell>
          <cell r="F733">
            <v>0</v>
          </cell>
          <cell r="G733">
            <v>0</v>
          </cell>
          <cell r="H733">
            <v>0</v>
          </cell>
          <cell r="I733">
            <v>0</v>
          </cell>
          <cell r="J733">
            <v>0</v>
          </cell>
          <cell r="K733">
            <v>0</v>
          </cell>
          <cell r="L733">
            <v>0</v>
          </cell>
          <cell r="M733">
            <v>0</v>
          </cell>
        </row>
        <row r="734">
          <cell r="D734">
            <v>6829.5330000000004</v>
          </cell>
          <cell r="E734" t="str">
            <v>少数股东其他综合收益_持有至到期投资重分类为可供出售金融资产损益</v>
          </cell>
          <cell r="F734">
            <v>0</v>
          </cell>
          <cell r="G734">
            <v>0</v>
          </cell>
          <cell r="H734">
            <v>0</v>
          </cell>
          <cell r="I734">
            <v>0</v>
          </cell>
          <cell r="J734">
            <v>0</v>
          </cell>
          <cell r="K734">
            <v>0</v>
          </cell>
          <cell r="L734">
            <v>0</v>
          </cell>
          <cell r="M734">
            <v>0</v>
          </cell>
        </row>
        <row r="735">
          <cell r="D735">
            <v>6829.5339999999997</v>
          </cell>
          <cell r="E735" t="str">
            <v>少数股东其他综合收益_现金流量套期损益的有效部分</v>
          </cell>
          <cell r="F735">
            <v>0</v>
          </cell>
          <cell r="G735">
            <v>0</v>
          </cell>
          <cell r="H735">
            <v>0</v>
          </cell>
          <cell r="I735">
            <v>0</v>
          </cell>
          <cell r="J735">
            <v>0</v>
          </cell>
          <cell r="K735">
            <v>0</v>
          </cell>
          <cell r="L735">
            <v>0</v>
          </cell>
          <cell r="M735">
            <v>0</v>
          </cell>
        </row>
        <row r="736">
          <cell r="D736">
            <v>6829.5349999999999</v>
          </cell>
          <cell r="E736" t="str">
            <v>少数股东其他综合收益_外币财务报表折算差额</v>
          </cell>
          <cell r="F736">
            <v>0</v>
          </cell>
          <cell r="G736">
            <v>0</v>
          </cell>
          <cell r="H736">
            <v>0</v>
          </cell>
          <cell r="I736">
            <v>0</v>
          </cell>
          <cell r="J736">
            <v>0</v>
          </cell>
          <cell r="K736">
            <v>0</v>
          </cell>
          <cell r="L736">
            <v>0</v>
          </cell>
          <cell r="M736">
            <v>0</v>
          </cell>
        </row>
        <row r="737">
          <cell r="D737">
            <v>6829.5360000000001</v>
          </cell>
          <cell r="E737" t="str">
            <v>少数股东其他综合收益_自用房地产或作为存货的房地产转换为以公允价值计量的投资性房地产在转换日公允价值大于账面价值部分</v>
          </cell>
          <cell r="F737">
            <v>0</v>
          </cell>
          <cell r="G737">
            <v>0</v>
          </cell>
          <cell r="H737">
            <v>0</v>
          </cell>
          <cell r="I737">
            <v>0</v>
          </cell>
          <cell r="J737">
            <v>0</v>
          </cell>
          <cell r="K737">
            <v>0</v>
          </cell>
          <cell r="L737">
            <v>0</v>
          </cell>
          <cell r="M737">
            <v>0</v>
          </cell>
        </row>
        <row r="738">
          <cell r="D738">
            <v>6829.5370000000003</v>
          </cell>
          <cell r="E738" t="str">
            <v>少数股东其他综合收益_多次交易分步处置子公司股权构成一揽子交易的丧失控制权之前各次交易处置价款与对应净资产账面价值份额的差额</v>
          </cell>
          <cell r="F738">
            <v>0</v>
          </cell>
          <cell r="G738">
            <v>0</v>
          </cell>
          <cell r="H738">
            <v>0</v>
          </cell>
          <cell r="I738">
            <v>0</v>
          </cell>
          <cell r="J738">
            <v>0</v>
          </cell>
          <cell r="K738">
            <v>0</v>
          </cell>
          <cell r="L738">
            <v>0</v>
          </cell>
          <cell r="M738">
            <v>0</v>
          </cell>
        </row>
        <row r="739">
          <cell r="D739">
            <v>6829.5389999999998</v>
          </cell>
          <cell r="E739" t="str">
            <v>少数股东其他综合收益_其他以后将重分类进损益的其他综合收益</v>
          </cell>
          <cell r="F739">
            <v>0</v>
          </cell>
          <cell r="G739">
            <v>0</v>
          </cell>
          <cell r="H739">
            <v>0</v>
          </cell>
          <cell r="I739">
            <v>0</v>
          </cell>
          <cell r="J739">
            <v>0</v>
          </cell>
          <cell r="K739">
            <v>0</v>
          </cell>
          <cell r="L739">
            <v>0</v>
          </cell>
          <cell r="M739">
            <v>0</v>
          </cell>
        </row>
      </sheetData>
      <sheetData sheetId="12">
        <row r="1">
          <cell r="E1">
            <v>0</v>
          </cell>
        </row>
      </sheetData>
      <sheetData sheetId="13">
        <row r="1">
          <cell r="C1">
            <v>0</v>
          </cell>
        </row>
      </sheetData>
      <sheetData sheetId="14">
        <row r="50">
          <cell r="B50">
            <v>0</v>
          </cell>
          <cell r="C50" t="str">
            <v>现金流量表补充资料</v>
          </cell>
          <cell r="D50">
            <v>0</v>
          </cell>
          <cell r="E50" t="str">
            <v>本年金额</v>
          </cell>
          <cell r="F50" t="str">
            <v>上年金额</v>
          </cell>
        </row>
        <row r="51">
          <cell r="B51">
            <v>7501</v>
          </cell>
          <cell r="C51" t="str">
            <v>1.将净利润调节为经营活动现金流量：</v>
          </cell>
          <cell r="D51">
            <v>0</v>
          </cell>
          <cell r="E51">
            <v>0</v>
          </cell>
          <cell r="F51">
            <v>0</v>
          </cell>
        </row>
        <row r="52">
          <cell r="B52">
            <v>7502</v>
          </cell>
          <cell r="C52" t="str">
            <v>净利润</v>
          </cell>
          <cell r="D52">
            <v>0</v>
          </cell>
          <cell r="E52">
            <v>32086526.039999999</v>
          </cell>
          <cell r="F52">
            <v>26377964.25</v>
          </cell>
        </row>
        <row r="53">
          <cell r="B53">
            <v>7503</v>
          </cell>
          <cell r="C53" t="str">
            <v>加：资产减值准备</v>
          </cell>
          <cell r="D53">
            <v>0</v>
          </cell>
          <cell r="E53">
            <v>6981598.7199999997</v>
          </cell>
          <cell r="F53">
            <v>10407761.99</v>
          </cell>
        </row>
        <row r="54">
          <cell r="B54">
            <v>7505</v>
          </cell>
          <cell r="C54" t="str">
            <v>固定资产折旧、油气资产折耗、生产性生物资产折旧</v>
          </cell>
          <cell r="D54">
            <v>0</v>
          </cell>
          <cell r="E54">
            <v>1105464.18</v>
          </cell>
          <cell r="F54">
            <v>1053637.08</v>
          </cell>
        </row>
        <row r="55">
          <cell r="B55">
            <v>7506</v>
          </cell>
          <cell r="C55" t="str">
            <v>无形资产摊销</v>
          </cell>
          <cell r="D55">
            <v>0</v>
          </cell>
          <cell r="E55">
            <v>105672.48</v>
          </cell>
          <cell r="F55">
            <v>172564.1</v>
          </cell>
        </row>
        <row r="56">
          <cell r="B56">
            <v>7507</v>
          </cell>
          <cell r="C56" t="str">
            <v>长期待摊费用摊销</v>
          </cell>
          <cell r="D56">
            <v>0</v>
          </cell>
          <cell r="E56">
            <v>0</v>
          </cell>
          <cell r="F56">
            <v>0</v>
          </cell>
        </row>
        <row r="57">
          <cell r="B57">
            <v>7508</v>
          </cell>
          <cell r="C57" t="str">
            <v>处置固定资产、无形资产和其他长期资产的损失（收益以“－”号填列）</v>
          </cell>
          <cell r="D57">
            <v>0</v>
          </cell>
          <cell r="E57">
            <v>0</v>
          </cell>
          <cell r="F57">
            <v>4307.87</v>
          </cell>
        </row>
        <row r="58">
          <cell r="B58">
            <v>7509</v>
          </cell>
          <cell r="C58" t="str">
            <v>固定资产报废损失（收益以“－”号填列）</v>
          </cell>
          <cell r="D58">
            <v>0</v>
          </cell>
          <cell r="E58">
            <v>62471.05</v>
          </cell>
          <cell r="F58">
            <v>7462.41</v>
          </cell>
        </row>
        <row r="59">
          <cell r="B59">
            <v>7510</v>
          </cell>
          <cell r="C59" t="str">
            <v>公允价值变动损失（收益以“－”号填列）</v>
          </cell>
          <cell r="D59">
            <v>0</v>
          </cell>
          <cell r="E59">
            <v>0</v>
          </cell>
          <cell r="F59">
            <v>0</v>
          </cell>
        </row>
        <row r="60">
          <cell r="B60">
            <v>7511</v>
          </cell>
          <cell r="C60" t="str">
            <v>财务费用（收益以“－”号填列）</v>
          </cell>
          <cell r="D60">
            <v>0</v>
          </cell>
          <cell r="E60">
            <v>947952.4</v>
          </cell>
          <cell r="F60">
            <v>621427.49</v>
          </cell>
        </row>
        <row r="61">
          <cell r="B61">
            <v>7512</v>
          </cell>
          <cell r="C61" t="str">
            <v>投资损失（收益以“－”号填列）</v>
          </cell>
          <cell r="D61">
            <v>0</v>
          </cell>
          <cell r="E61">
            <v>-624383.41</v>
          </cell>
          <cell r="F61">
            <v>-395610.58</v>
          </cell>
        </row>
        <row r="62">
          <cell r="B62">
            <v>7515</v>
          </cell>
          <cell r="C62" t="str">
            <v>递延所得税资产减少（增加以“－”号填列）</v>
          </cell>
          <cell r="D62">
            <v>0</v>
          </cell>
          <cell r="E62">
            <v>-1047239.81</v>
          </cell>
          <cell r="F62">
            <v>-1561164.29</v>
          </cell>
        </row>
        <row r="63">
          <cell r="B63">
            <v>7516</v>
          </cell>
          <cell r="C63" t="str">
            <v>递延所得税负债增加（减少以“－”号填列）</v>
          </cell>
          <cell r="D63">
            <v>0</v>
          </cell>
          <cell r="E63">
            <v>0</v>
          </cell>
          <cell r="F63">
            <v>0</v>
          </cell>
        </row>
        <row r="64">
          <cell r="B64">
            <v>7517</v>
          </cell>
          <cell r="C64" t="str">
            <v>存货的减少（增加以“－”号填列）</v>
          </cell>
          <cell r="D64">
            <v>0</v>
          </cell>
          <cell r="E64">
            <v>-9065179.5</v>
          </cell>
          <cell r="F64">
            <v>-6572357.5800000001</v>
          </cell>
        </row>
        <row r="65">
          <cell r="B65">
            <v>7518</v>
          </cell>
          <cell r="C65" t="str">
            <v>经营性应收项目的减少（增加以“－”号填列）</v>
          </cell>
          <cell r="D65">
            <v>0</v>
          </cell>
          <cell r="E65">
            <v>-66550787.18</v>
          </cell>
          <cell r="F65">
            <v>-67049395.170000002</v>
          </cell>
        </row>
        <row r="66">
          <cell r="B66">
            <v>7519</v>
          </cell>
          <cell r="C66" t="str">
            <v>经营性应付项目的增加（减少以“－”号填列）</v>
          </cell>
          <cell r="D66">
            <v>0</v>
          </cell>
          <cell r="E66">
            <v>56955511.509999998</v>
          </cell>
          <cell r="F66">
            <v>41672460.710000001</v>
          </cell>
        </row>
        <row r="67">
          <cell r="B67">
            <v>7523</v>
          </cell>
          <cell r="C67" t="str">
            <v>其他</v>
          </cell>
          <cell r="D67">
            <v>0</v>
          </cell>
          <cell r="E67">
            <v>0</v>
          </cell>
          <cell r="F67">
            <v>252589.56</v>
          </cell>
        </row>
        <row r="68">
          <cell r="B68">
            <v>7525</v>
          </cell>
          <cell r="C68" t="str">
            <v>经营活动产生的现金流量净额</v>
          </cell>
          <cell r="D68">
            <v>0</v>
          </cell>
          <cell r="E68">
            <v>20957606.48</v>
          </cell>
          <cell r="F68">
            <v>4991647.84</v>
          </cell>
        </row>
        <row r="69">
          <cell r="B69">
            <v>7526</v>
          </cell>
          <cell r="C69" t="str">
            <v>2.不涉及现金收支的重大投资和筹资活动：</v>
          </cell>
          <cell r="D69">
            <v>0</v>
          </cell>
          <cell r="E69">
            <v>0</v>
          </cell>
          <cell r="F69">
            <v>0</v>
          </cell>
        </row>
        <row r="70">
          <cell r="B70">
            <v>7527</v>
          </cell>
          <cell r="C70" t="str">
            <v>债务转为资本</v>
          </cell>
          <cell r="D70">
            <v>0</v>
          </cell>
          <cell r="E70">
            <v>0</v>
          </cell>
          <cell r="F70">
            <v>0</v>
          </cell>
        </row>
        <row r="71">
          <cell r="B71">
            <v>7528</v>
          </cell>
          <cell r="C71" t="str">
            <v>一年内到期的可转换公司债券</v>
          </cell>
          <cell r="D71">
            <v>0</v>
          </cell>
          <cell r="E71">
            <v>0</v>
          </cell>
          <cell r="F71">
            <v>0</v>
          </cell>
        </row>
        <row r="72">
          <cell r="B72">
            <v>7529</v>
          </cell>
          <cell r="C72" t="str">
            <v>融资租入固定资产</v>
          </cell>
          <cell r="D72">
            <v>0</v>
          </cell>
          <cell r="E72">
            <v>0</v>
          </cell>
          <cell r="F72">
            <v>0</v>
          </cell>
        </row>
        <row r="73">
          <cell r="B73">
            <v>7533</v>
          </cell>
          <cell r="C73" t="str">
            <v>3.现金及现金等价物净变动情况：</v>
          </cell>
          <cell r="D73">
            <v>0</v>
          </cell>
          <cell r="E73">
            <v>0</v>
          </cell>
          <cell r="F73">
            <v>0</v>
          </cell>
        </row>
        <row r="74">
          <cell r="B74">
            <v>7535</v>
          </cell>
          <cell r="C74" t="str">
            <v>现金的期末余额</v>
          </cell>
          <cell r="D74">
            <v>0</v>
          </cell>
          <cell r="E74">
            <v>50356307.539999999</v>
          </cell>
          <cell r="F74">
            <v>24448149.870000001</v>
          </cell>
        </row>
        <row r="75">
          <cell r="B75">
            <v>7536</v>
          </cell>
          <cell r="C75" t="str">
            <v>减：现金的年初余额</v>
          </cell>
          <cell r="D75">
            <v>0</v>
          </cell>
          <cell r="E75">
            <v>24448149.870000001</v>
          </cell>
          <cell r="F75">
            <v>24032655.559999999</v>
          </cell>
        </row>
        <row r="76">
          <cell r="B76">
            <v>7537</v>
          </cell>
          <cell r="C76" t="str">
            <v>加：现金等价物的期末余额</v>
          </cell>
          <cell r="D76">
            <v>0</v>
          </cell>
          <cell r="E76">
            <v>0</v>
          </cell>
          <cell r="F76">
            <v>0</v>
          </cell>
        </row>
        <row r="77">
          <cell r="B77">
            <v>7538</v>
          </cell>
          <cell r="C77" t="str">
            <v>减：现金等价物的年初余额</v>
          </cell>
          <cell r="D77">
            <v>0</v>
          </cell>
          <cell r="E77">
            <v>0</v>
          </cell>
          <cell r="F77">
            <v>0</v>
          </cell>
        </row>
        <row r="78">
          <cell r="B78">
            <v>7539</v>
          </cell>
          <cell r="C78" t="str">
            <v>现金及现金等价物净增加额</v>
          </cell>
          <cell r="D78">
            <v>0</v>
          </cell>
          <cell r="E78">
            <v>25908157.670000002</v>
          </cell>
          <cell r="F78">
            <v>415494.31</v>
          </cell>
        </row>
      </sheetData>
      <sheetData sheetId="15">
        <row r="17">
          <cell r="H17">
            <v>0</v>
          </cell>
        </row>
      </sheetData>
      <sheetData sheetId="16"/>
      <sheetData sheetId="17"/>
      <sheetData sheetId="18"/>
      <sheetData sheetId="19"/>
      <sheetData sheetId="20"/>
      <sheetData sheetId="21">
        <row r="56">
          <cell r="H56">
            <v>393820.1</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results"/>
      <sheetName val="results_2"/>
      <sheetName val="results_3"/>
      <sheetName val="results_4"/>
      <sheetName val="results_5"/>
      <sheetName val="results_6"/>
      <sheetName val="results_7"/>
      <sheetName val="results_8"/>
      <sheetName val="results_9"/>
      <sheetName val="results_10"/>
      <sheetName val="results_11"/>
      <sheetName val="results_12"/>
      <sheetName val="results_13"/>
      <sheetName val="results_14"/>
      <sheetName val="results_15"/>
      <sheetName val="results_16"/>
      <sheetName val="results_17"/>
      <sheetName val="results_18"/>
      <sheetName val="results_19"/>
      <sheetName val="results_20"/>
      <sheetName val="results_21"/>
      <sheetName val="results_22"/>
      <sheetName val="results_23"/>
      <sheetName val="results_24"/>
      <sheetName val="Lead"/>
      <sheetName val="Checks"/>
      <sheetName val="preBS"/>
      <sheetName val="preIS"/>
      <sheetName val="preCF"/>
      <sheetName val="减值表"/>
      <sheetName val="应收票据明细Db"/>
      <sheetName val="CF底稿"/>
      <sheetName val="Notes"/>
      <sheetName val="noteChecks"/>
      <sheetName val="余额Db"/>
      <sheetName val="所得税费用"/>
      <sheetName val="递延所得税"/>
      <sheetName val="preCE"/>
      <sheetName val="TB"/>
      <sheetName val="BS"/>
      <sheetName val="IS"/>
      <sheetName val="CF"/>
      <sheetName val="CE"/>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Sheet1"/>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D2">
            <v>0</v>
          </cell>
          <cell r="E2" t="str">
            <v>：</v>
          </cell>
          <cell r="F2">
            <v>0</v>
          </cell>
          <cell r="G2" t="str">
            <v>资产负债表</v>
          </cell>
          <cell r="H2">
            <v>0</v>
          </cell>
          <cell r="I2">
            <v>1</v>
          </cell>
          <cell r="J2">
            <v>0</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D3">
            <v>0</v>
          </cell>
          <cell r="E3" t="str">
            <v>：</v>
          </cell>
          <cell r="F3">
            <v>0</v>
          </cell>
          <cell r="G3" t="str">
            <v>流动资产：</v>
          </cell>
          <cell r="H3">
            <v>0</v>
          </cell>
          <cell r="I3">
            <v>1000</v>
          </cell>
          <cell r="J3">
            <v>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E4">
            <v>0</v>
          </cell>
          <cell r="F4">
            <v>3100</v>
          </cell>
          <cell r="G4" t="str">
            <v>货币资金</v>
          </cell>
          <cell r="H4">
            <v>0</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v>0</v>
          </cell>
          <cell r="G5" t="str">
            <v>结算备付金</v>
          </cell>
          <cell r="H5">
            <v>0</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v>0</v>
          </cell>
          <cell r="G6" t="str">
            <v>拆出资金</v>
          </cell>
          <cell r="H6">
            <v>0</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E7">
            <v>0</v>
          </cell>
          <cell r="F7" t="str">
            <v>3210_3280</v>
          </cell>
          <cell r="G7" t="str">
            <v>以公允价值计量且其变动计入当期损益的金融资产</v>
          </cell>
          <cell r="H7">
            <v>0</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H8">
            <v>0</v>
          </cell>
          <cell r="I8">
            <v>1115</v>
          </cell>
          <cell r="J8" t="str">
            <v>J</v>
          </cell>
          <cell r="M8" t="str">
            <v>应收账款</v>
          </cell>
          <cell r="P8" t="str">
            <v>收回投资收到的现金</v>
          </cell>
          <cell r="S8" t="str">
            <v>1121a</v>
          </cell>
          <cell r="T8" t="str">
            <v>应收票据分类</v>
          </cell>
          <cell r="U8" t="str">
            <v>种       类</v>
          </cell>
          <cell r="V8">
            <v>1</v>
          </cell>
          <cell r="W8">
            <v>1121</v>
          </cell>
          <cell r="X8">
            <v>1</v>
          </cell>
          <cell r="AG8" t="str">
            <v>客户不同意调整</v>
          </cell>
          <cell r="AK8" t="str">
            <v>65损益_费用</v>
          </cell>
        </row>
        <row r="9">
          <cell r="B9">
            <v>1121</v>
          </cell>
          <cell r="C9" t="str">
            <v>应收票据</v>
          </cell>
          <cell r="D9">
            <v>1</v>
          </cell>
          <cell r="E9">
            <v>0</v>
          </cell>
          <cell r="F9">
            <v>3310</v>
          </cell>
          <cell r="G9" t="str">
            <v>应收票据</v>
          </cell>
          <cell r="H9">
            <v>0</v>
          </cell>
          <cell r="I9">
            <v>1121</v>
          </cell>
          <cell r="J9" t="str">
            <v>J</v>
          </cell>
          <cell r="M9" t="str">
            <v>应收账款坏账准备</v>
          </cell>
          <cell r="P9" t="str">
            <v>取得投资收益收到的现金</v>
          </cell>
          <cell r="S9" t="str">
            <v>1121b</v>
          </cell>
          <cell r="T9" t="str">
            <v>期末已质押的应收票据</v>
          </cell>
          <cell r="U9" t="str">
            <v>种       类</v>
          </cell>
          <cell r="V9">
            <v>1</v>
          </cell>
          <cell r="W9">
            <v>1121</v>
          </cell>
          <cell r="X9">
            <v>2</v>
          </cell>
          <cell r="AG9" t="str">
            <v>客户正式同意调整</v>
          </cell>
        </row>
        <row r="10">
          <cell r="B10">
            <v>1122</v>
          </cell>
          <cell r="C10" t="str">
            <v>应收账款</v>
          </cell>
          <cell r="D10">
            <v>1</v>
          </cell>
          <cell r="E10">
            <v>0</v>
          </cell>
          <cell r="F10">
            <v>3320</v>
          </cell>
          <cell r="G10" t="str">
            <v>应收账款</v>
          </cell>
          <cell r="H10">
            <v>0</v>
          </cell>
          <cell r="I10">
            <v>1122</v>
          </cell>
          <cell r="J10" t="str">
            <v>J</v>
          </cell>
          <cell r="M10" t="str">
            <v>预付款项</v>
          </cell>
          <cell r="P10" t="str">
            <v>处置固定资产无形资产长期资产收回的现金</v>
          </cell>
          <cell r="S10" t="str">
            <v>1121d</v>
          </cell>
          <cell r="T10" t="str">
            <v>期末已背书或贴现但尚未到期的应收票据</v>
          </cell>
          <cell r="U10" t="str">
            <v>种       类</v>
          </cell>
          <cell r="V10">
            <v>1</v>
          </cell>
          <cell r="W10">
            <v>1121</v>
          </cell>
          <cell r="X10">
            <v>2</v>
          </cell>
          <cell r="AG10" t="str">
            <v>经理复核</v>
          </cell>
        </row>
        <row r="11">
          <cell r="B11">
            <v>1125</v>
          </cell>
          <cell r="C11" t="str">
            <v>预付款项</v>
          </cell>
          <cell r="D11">
            <v>1</v>
          </cell>
          <cell r="E11">
            <v>0</v>
          </cell>
          <cell r="F11">
            <v>3330</v>
          </cell>
          <cell r="G11" t="str">
            <v>预付款项</v>
          </cell>
          <cell r="H11">
            <v>0</v>
          </cell>
          <cell r="I11">
            <v>1125</v>
          </cell>
          <cell r="J11" t="str">
            <v>J</v>
          </cell>
          <cell r="M11" t="str">
            <v>预付款项坏账准备</v>
          </cell>
          <cell r="P11" t="str">
            <v>处置子公司及其他营业单位收到的现金净额</v>
          </cell>
          <cell r="S11" t="str">
            <v>1121c</v>
          </cell>
          <cell r="T11" t="str">
            <v>期末因出票人未履约而转为应收账款的票据</v>
          </cell>
          <cell r="U11" t="str">
            <v>种       类</v>
          </cell>
          <cell r="V11">
            <v>1</v>
          </cell>
          <cell r="W11">
            <v>1121</v>
          </cell>
          <cell r="X11">
            <v>2</v>
          </cell>
          <cell r="AG11" t="str">
            <v>合伙人复核</v>
          </cell>
        </row>
        <row r="12">
          <cell r="B12">
            <v>1127</v>
          </cell>
          <cell r="C12" t="str">
            <v>应收保费</v>
          </cell>
          <cell r="D12">
            <v>1</v>
          </cell>
          <cell r="E12" t="str">
            <v>△</v>
          </cell>
          <cell r="F12">
            <v>0</v>
          </cell>
          <cell r="G12" t="str">
            <v>应收保费</v>
          </cell>
          <cell r="H12">
            <v>0</v>
          </cell>
          <cell r="I12">
            <v>1127</v>
          </cell>
          <cell r="J12" t="str">
            <v>J</v>
          </cell>
          <cell r="M12" t="str">
            <v>应收股利</v>
          </cell>
          <cell r="P12" t="str">
            <v>收到其他与投资活动有关的现金</v>
          </cell>
          <cell r="S12" t="str">
            <v>1122a</v>
          </cell>
          <cell r="T12" t="str">
            <v>应收账款按种类列示</v>
          </cell>
          <cell r="U12" t="str">
            <v>种       类</v>
          </cell>
          <cell r="V12">
            <v>1</v>
          </cell>
          <cell r="W12">
            <v>1122</v>
          </cell>
          <cell r="X12">
            <v>1</v>
          </cell>
          <cell r="AG12" t="str">
            <v>质控部复核</v>
          </cell>
        </row>
        <row r="13">
          <cell r="B13">
            <v>1211</v>
          </cell>
          <cell r="C13" t="str">
            <v>应收分保账款</v>
          </cell>
          <cell r="D13">
            <v>1</v>
          </cell>
          <cell r="E13" t="str">
            <v>△</v>
          </cell>
          <cell r="F13">
            <v>0</v>
          </cell>
          <cell r="G13" t="str">
            <v>应收分保账款</v>
          </cell>
          <cell r="H13">
            <v>0</v>
          </cell>
          <cell r="I13">
            <v>1211</v>
          </cell>
          <cell r="J13" t="str">
            <v>J</v>
          </cell>
          <cell r="M13" t="str">
            <v>应收利息</v>
          </cell>
          <cell r="P13" t="str">
            <v>购置固定资产无形资产长期资产支付的现金</v>
          </cell>
          <cell r="S13" t="str">
            <v>1122b</v>
          </cell>
          <cell r="T13" t="str">
            <v>应收账款按种类列示（续）</v>
          </cell>
          <cell r="U13" t="str">
            <v>种       类</v>
          </cell>
          <cell r="V13">
            <v>1</v>
          </cell>
          <cell r="W13">
            <v>1122</v>
          </cell>
          <cell r="X13">
            <v>2</v>
          </cell>
        </row>
        <row r="14">
          <cell r="B14">
            <v>1212</v>
          </cell>
          <cell r="C14" t="str">
            <v>应收分保合同准备金</v>
          </cell>
          <cell r="D14">
            <v>1</v>
          </cell>
          <cell r="E14" t="str">
            <v>△</v>
          </cell>
          <cell r="F14">
            <v>0</v>
          </cell>
          <cell r="G14" t="str">
            <v>应收分保合同准备金</v>
          </cell>
          <cell r="H14">
            <v>0</v>
          </cell>
          <cell r="I14">
            <v>1212</v>
          </cell>
          <cell r="J14" t="str">
            <v>J</v>
          </cell>
          <cell r="M14" t="str">
            <v>其他应收款</v>
          </cell>
          <cell r="P14" t="str">
            <v>投资支付的现金</v>
          </cell>
          <cell r="S14" t="str">
            <v>1122g</v>
          </cell>
          <cell r="T14" t="str">
            <v>期末单项金额重大并单项计提坏账准备的应收账款</v>
          </cell>
          <cell r="U14" t="str">
            <v>应收账款（按单位）</v>
          </cell>
          <cell r="V14">
            <v>1</v>
          </cell>
          <cell r="W14">
            <v>1122</v>
          </cell>
          <cell r="X14">
            <v>2</v>
          </cell>
        </row>
        <row r="15">
          <cell r="B15">
            <v>1132</v>
          </cell>
          <cell r="C15" t="str">
            <v>应收利息</v>
          </cell>
          <cell r="D15">
            <v>1</v>
          </cell>
          <cell r="E15">
            <v>0</v>
          </cell>
          <cell r="F15">
            <v>3350</v>
          </cell>
          <cell r="G15" t="str">
            <v>应收利息</v>
          </cell>
          <cell r="H15">
            <v>0</v>
          </cell>
          <cell r="I15">
            <v>1132</v>
          </cell>
          <cell r="J15" t="str">
            <v>J</v>
          </cell>
          <cell r="M15" t="str">
            <v>其他应收款坏账准备</v>
          </cell>
          <cell r="P15" t="str">
            <v>取得子公司及其他营业单位支付的现金净额</v>
          </cell>
          <cell r="S15" t="str">
            <v>1122d</v>
          </cell>
          <cell r="T15" t="str">
            <v>组合中按账龄分析法计提坏账准备的应收账款</v>
          </cell>
          <cell r="U15" t="str">
            <v>账  龄</v>
          </cell>
          <cell r="V15">
            <v>1</v>
          </cell>
          <cell r="W15">
            <v>1122</v>
          </cell>
          <cell r="X15">
            <v>2</v>
          </cell>
        </row>
        <row r="16">
          <cell r="B16">
            <v>1131</v>
          </cell>
          <cell r="C16" t="str">
            <v>应收股利</v>
          </cell>
          <cell r="D16">
            <v>1</v>
          </cell>
          <cell r="E16">
            <v>0</v>
          </cell>
          <cell r="F16">
            <v>3340</v>
          </cell>
          <cell r="G16" t="str">
            <v>应收股利</v>
          </cell>
          <cell r="H16">
            <v>0</v>
          </cell>
          <cell r="I16">
            <v>1131</v>
          </cell>
          <cell r="J16" t="str">
            <v>J</v>
          </cell>
          <cell r="M16" t="str">
            <v>划分为持有待售的资产</v>
          </cell>
          <cell r="P16" t="str">
            <v>支付其他与投资活动有关的现金</v>
          </cell>
          <cell r="S16" t="str">
            <v>1122e</v>
          </cell>
          <cell r="T16" t="str">
            <v>组合中采用余额百分比法计提坏账准备的应收账款</v>
          </cell>
          <cell r="U16" t="str">
            <v>组合名称</v>
          </cell>
          <cell r="V16">
            <v>1</v>
          </cell>
          <cell r="W16">
            <v>1122</v>
          </cell>
          <cell r="X16">
            <v>2</v>
          </cell>
        </row>
        <row r="17">
          <cell r="B17">
            <v>1221</v>
          </cell>
          <cell r="C17" t="str">
            <v>其他应收款</v>
          </cell>
          <cell r="D17">
            <v>1</v>
          </cell>
          <cell r="E17">
            <v>0</v>
          </cell>
          <cell r="F17">
            <v>3360</v>
          </cell>
          <cell r="G17" t="str">
            <v>其他应收款</v>
          </cell>
          <cell r="H17">
            <v>0</v>
          </cell>
          <cell r="I17">
            <v>1221</v>
          </cell>
          <cell r="J17" t="str">
            <v>J</v>
          </cell>
          <cell r="M17" t="str">
            <v>存货</v>
          </cell>
          <cell r="P17" t="str">
            <v>吸收投资收到的现金</v>
          </cell>
          <cell r="S17" t="str">
            <v>1122f</v>
          </cell>
          <cell r="T17" t="str">
            <v>组合中采用其他方法计提坏账准备的应收账款</v>
          </cell>
          <cell r="U17" t="str">
            <v>组合名称</v>
          </cell>
          <cell r="V17">
            <v>1</v>
          </cell>
          <cell r="W17">
            <v>1122</v>
          </cell>
          <cell r="X17">
            <v>2</v>
          </cell>
        </row>
        <row r="18">
          <cell r="B18">
            <v>1111</v>
          </cell>
          <cell r="C18" t="str">
            <v>买入返售金融资产</v>
          </cell>
          <cell r="D18">
            <v>1</v>
          </cell>
          <cell r="E18" t="str">
            <v>△</v>
          </cell>
          <cell r="F18">
            <v>0</v>
          </cell>
          <cell r="G18" t="str">
            <v>买入返售金融资产</v>
          </cell>
          <cell r="H18">
            <v>0</v>
          </cell>
          <cell r="I18">
            <v>1111</v>
          </cell>
          <cell r="J18" t="str">
            <v>J</v>
          </cell>
          <cell r="M18" t="str">
            <v>材料采购</v>
          </cell>
          <cell r="P18" t="str">
            <v>子公司吸收少数股东投资收到的现金</v>
          </cell>
          <cell r="S18" t="str">
            <v>1122h</v>
          </cell>
          <cell r="T18" t="str">
            <v>本期坏账准备转回或收回金额重要的</v>
          </cell>
          <cell r="U18" t="str">
            <v>单位名称</v>
          </cell>
          <cell r="V18">
            <v>1</v>
          </cell>
          <cell r="W18">
            <v>1122</v>
          </cell>
          <cell r="X18">
            <v>2</v>
          </cell>
        </row>
        <row r="19">
          <cell r="B19">
            <v>1400</v>
          </cell>
          <cell r="C19" t="str">
            <v>存货</v>
          </cell>
          <cell r="D19">
            <v>1</v>
          </cell>
          <cell r="E19">
            <v>0</v>
          </cell>
          <cell r="F19">
            <v>3400</v>
          </cell>
          <cell r="G19" t="str">
            <v>存货</v>
          </cell>
          <cell r="H19">
            <v>0</v>
          </cell>
          <cell r="I19">
            <v>1400</v>
          </cell>
          <cell r="J19" t="str">
            <v>J</v>
          </cell>
          <cell r="M19" t="str">
            <v>在途物资</v>
          </cell>
          <cell r="P19" t="str">
            <v>取得借款收到的现金</v>
          </cell>
          <cell r="S19" t="str">
            <v>1122i</v>
          </cell>
          <cell r="T19" t="str">
            <v>本期重要的应收账款核销情况</v>
          </cell>
          <cell r="U19" t="str">
            <v>单位名称</v>
          </cell>
          <cell r="V19">
            <v>1</v>
          </cell>
          <cell r="W19">
            <v>1122</v>
          </cell>
          <cell r="X19">
            <v>2</v>
          </cell>
        </row>
        <row r="20">
          <cell r="B20">
            <v>1315</v>
          </cell>
          <cell r="C20" t="str">
            <v>划分为持有待售的资产</v>
          </cell>
          <cell r="D20">
            <v>1</v>
          </cell>
          <cell r="E20" t="str">
            <v>Ｘ</v>
          </cell>
          <cell r="F20">
            <v>3860</v>
          </cell>
          <cell r="G20" t="str">
            <v>划分为持有待售的资产</v>
          </cell>
          <cell r="H20">
            <v>0</v>
          </cell>
          <cell r="I20">
            <v>1315</v>
          </cell>
          <cell r="J20" t="str">
            <v>J</v>
          </cell>
          <cell r="M20" t="str">
            <v>原材料</v>
          </cell>
          <cell r="P20" t="str">
            <v>收到其他与筹资活动有关的现金</v>
          </cell>
          <cell r="S20" t="str">
            <v>1122k</v>
          </cell>
          <cell r="T20" t="str">
            <v>按欠款方归集的应收账款期末余额前五名单位情况</v>
          </cell>
          <cell r="U20" t="str">
            <v>单位名称</v>
          </cell>
          <cell r="V20">
            <v>1</v>
          </cell>
          <cell r="W20">
            <v>1122</v>
          </cell>
          <cell r="X20">
            <v>2</v>
          </cell>
        </row>
        <row r="21">
          <cell r="B21">
            <v>1495</v>
          </cell>
          <cell r="C21" t="str">
            <v>一年内到期的非流动资产</v>
          </cell>
          <cell r="D21">
            <v>1</v>
          </cell>
          <cell r="E21">
            <v>0</v>
          </cell>
          <cell r="F21">
            <v>3380</v>
          </cell>
          <cell r="G21" t="str">
            <v>一年内到期的非流动资产</v>
          </cell>
          <cell r="H21">
            <v>0</v>
          </cell>
          <cell r="I21">
            <v>1495</v>
          </cell>
          <cell r="J21" t="str">
            <v>J</v>
          </cell>
          <cell r="M21" t="str">
            <v>材料成本差异</v>
          </cell>
          <cell r="P21" t="str">
            <v>偿还债务支付的现金</v>
          </cell>
          <cell r="S21" t="str">
            <v>1122m</v>
          </cell>
          <cell r="T21" t="str">
            <v>因金融资产转移而终止确认的应收账款情况</v>
          </cell>
          <cell r="U21" t="str">
            <v>项       目</v>
          </cell>
          <cell r="V21">
            <v>1</v>
          </cell>
          <cell r="W21">
            <v>1122</v>
          </cell>
          <cell r="X21">
            <v>2</v>
          </cell>
        </row>
        <row r="22">
          <cell r="B22">
            <v>1496</v>
          </cell>
          <cell r="C22" t="str">
            <v>其他流动资产</v>
          </cell>
          <cell r="D22">
            <v>1</v>
          </cell>
          <cell r="E22">
            <v>0</v>
          </cell>
          <cell r="F22">
            <v>3390</v>
          </cell>
          <cell r="G22" t="str">
            <v>其他流动资产</v>
          </cell>
          <cell r="H22">
            <v>0</v>
          </cell>
          <cell r="I22">
            <v>1496</v>
          </cell>
          <cell r="J22" t="str">
            <v>J</v>
          </cell>
          <cell r="M22" t="str">
            <v>库存商品</v>
          </cell>
          <cell r="P22" t="str">
            <v>分配利润偿付利息支付的现金</v>
          </cell>
          <cell r="S22" t="str">
            <v>1122n</v>
          </cell>
          <cell r="T22" t="str">
            <v>转移应收账款且继续涉入形成的资产的金额</v>
          </cell>
          <cell r="U22" t="str">
            <v>项       目</v>
          </cell>
          <cell r="V22">
            <v>1</v>
          </cell>
          <cell r="W22">
            <v>1122</v>
          </cell>
          <cell r="X22">
            <v>2</v>
          </cell>
        </row>
        <row r="23">
          <cell r="B23">
            <v>1498</v>
          </cell>
          <cell r="C23" t="str">
            <v>流动资产</v>
          </cell>
          <cell r="D23">
            <v>0</v>
          </cell>
          <cell r="E23" t="str">
            <v>＝</v>
          </cell>
          <cell r="F23">
            <v>0</v>
          </cell>
          <cell r="G23" t="str">
            <v>流动资产合计</v>
          </cell>
          <cell r="H23">
            <v>0</v>
          </cell>
          <cell r="I23">
            <v>1498</v>
          </cell>
          <cell r="J23">
            <v>0</v>
          </cell>
          <cell r="M23" t="str">
            <v>发出商品</v>
          </cell>
          <cell r="P23" t="str">
            <v>子公司支付少数股东的现金股利</v>
          </cell>
          <cell r="S23" t="str">
            <v>1122o</v>
          </cell>
          <cell r="T23" t="str">
            <v>转移应收账款且继续涉入形成的负债的金额</v>
          </cell>
          <cell r="U23" t="str">
            <v>项       目</v>
          </cell>
          <cell r="V23">
            <v>1</v>
          </cell>
          <cell r="W23">
            <v>1122</v>
          </cell>
          <cell r="X23">
            <v>2</v>
          </cell>
        </row>
        <row r="24">
          <cell r="B24">
            <v>1500</v>
          </cell>
          <cell r="C24" t="str">
            <v>非流动资产项目</v>
          </cell>
          <cell r="D24">
            <v>0</v>
          </cell>
          <cell r="E24" t="str">
            <v>：</v>
          </cell>
          <cell r="F24">
            <v>0</v>
          </cell>
          <cell r="G24" t="str">
            <v>非流动资产：</v>
          </cell>
          <cell r="H24">
            <v>0</v>
          </cell>
          <cell r="I24">
            <v>1500</v>
          </cell>
          <cell r="J24">
            <v>0</v>
          </cell>
          <cell r="M24" t="str">
            <v>商品进销差价</v>
          </cell>
          <cell r="P24" t="str">
            <v>支付其他与筹资活动有关的现金</v>
          </cell>
          <cell r="S24" t="str">
            <v>1122c</v>
          </cell>
          <cell r="T24" t="str">
            <v>外币应收账款</v>
          </cell>
          <cell r="U24" t="str">
            <v>币       种</v>
          </cell>
          <cell r="V24">
            <v>1</v>
          </cell>
          <cell r="W24">
            <v>1122</v>
          </cell>
          <cell r="X24">
            <v>2</v>
          </cell>
        </row>
        <row r="25">
          <cell r="B25">
            <v>1600</v>
          </cell>
          <cell r="C25" t="str">
            <v>发放委托贷款及垫款</v>
          </cell>
          <cell r="D25">
            <v>1</v>
          </cell>
          <cell r="E25" t="str">
            <v>△</v>
          </cell>
          <cell r="F25">
            <v>0</v>
          </cell>
          <cell r="G25" t="str">
            <v>发放委托贷款及垫款</v>
          </cell>
          <cell r="H25">
            <v>0</v>
          </cell>
          <cell r="I25">
            <v>1600</v>
          </cell>
          <cell r="J25" t="str">
            <v>J</v>
          </cell>
          <cell r="M25" t="str">
            <v>委托加工物资</v>
          </cell>
          <cell r="P25" t="str">
            <v>子公司减资支付给少数股东的现金</v>
          </cell>
          <cell r="S25" t="str">
            <v>1122l</v>
          </cell>
          <cell r="T25" t="str">
            <v>关联方应收应付款项——应收账款</v>
          </cell>
          <cell r="U25" t="str">
            <v>关联方</v>
          </cell>
          <cell r="V25">
            <v>1</v>
          </cell>
          <cell r="W25">
            <v>1122</v>
          </cell>
          <cell r="X25">
            <v>2</v>
          </cell>
        </row>
        <row r="26">
          <cell r="B26">
            <v>1503</v>
          </cell>
          <cell r="C26" t="str">
            <v>可供出售金融资产</v>
          </cell>
          <cell r="D26">
            <v>1</v>
          </cell>
          <cell r="E26">
            <v>0</v>
          </cell>
          <cell r="F26">
            <v>3220</v>
          </cell>
          <cell r="G26" t="str">
            <v>可供出售金融资产</v>
          </cell>
          <cell r="H26">
            <v>0</v>
          </cell>
          <cell r="I26">
            <v>1503</v>
          </cell>
          <cell r="J26" t="str">
            <v>J</v>
          </cell>
          <cell r="M26" t="str">
            <v>周转材料</v>
          </cell>
          <cell r="P26" t="str">
            <v>汇率变动对现金及现金等价物的影响</v>
          </cell>
          <cell r="S26" t="str">
            <v>1125a</v>
          </cell>
          <cell r="T26" t="str">
            <v>预付款项按账龄列示</v>
          </cell>
          <cell r="U26" t="str">
            <v>账       龄</v>
          </cell>
          <cell r="V26">
            <v>1</v>
          </cell>
          <cell r="W26">
            <v>1125</v>
          </cell>
          <cell r="X26">
            <v>1</v>
          </cell>
        </row>
        <row r="27">
          <cell r="B27">
            <v>1501</v>
          </cell>
          <cell r="C27" t="str">
            <v>持有至到期投资</v>
          </cell>
          <cell r="D27">
            <v>1</v>
          </cell>
          <cell r="E27">
            <v>0</v>
          </cell>
          <cell r="F27">
            <v>3230</v>
          </cell>
          <cell r="G27" t="str">
            <v>持有至到期投资</v>
          </cell>
          <cell r="H27">
            <v>0</v>
          </cell>
          <cell r="I27">
            <v>1501</v>
          </cell>
          <cell r="J27" t="str">
            <v>J</v>
          </cell>
          <cell r="M27" t="str">
            <v>消耗性生物资产</v>
          </cell>
          <cell r="P27" t="str">
            <v>收到原保险合同保费取得的现金</v>
          </cell>
          <cell r="S27" t="str">
            <v>1125d</v>
          </cell>
          <cell r="T27" t="str">
            <v>账龄超过1年的金额重要的预付账款</v>
          </cell>
          <cell r="U27" t="str">
            <v>单位名称</v>
          </cell>
          <cell r="V27">
            <v>1</v>
          </cell>
          <cell r="W27">
            <v>1125</v>
          </cell>
          <cell r="X27">
            <v>2</v>
          </cell>
        </row>
        <row r="28">
          <cell r="B28">
            <v>1531</v>
          </cell>
          <cell r="C28" t="str">
            <v>长期应收款</v>
          </cell>
          <cell r="D28">
            <v>1</v>
          </cell>
          <cell r="E28">
            <v>0</v>
          </cell>
          <cell r="F28">
            <v>3840</v>
          </cell>
          <cell r="G28" t="str">
            <v>长期应收款</v>
          </cell>
          <cell r="H28">
            <v>0</v>
          </cell>
          <cell r="I28">
            <v>1531</v>
          </cell>
          <cell r="J28" t="str">
            <v>J</v>
          </cell>
          <cell r="M28" t="str">
            <v>存货跌价准备</v>
          </cell>
          <cell r="P28" t="str">
            <v>收到再保险业务现金净额</v>
          </cell>
          <cell r="S28" t="str">
            <v>1125c</v>
          </cell>
          <cell r="T28" t="str">
            <v>按预付对象归集的预付款项期末余额前五名单位情况</v>
          </cell>
          <cell r="U28" t="str">
            <v>单位名称</v>
          </cell>
          <cell r="V28">
            <v>1</v>
          </cell>
          <cell r="W28">
            <v>1125</v>
          </cell>
          <cell r="X28">
            <v>2</v>
          </cell>
        </row>
        <row r="29">
          <cell r="B29">
            <v>1515</v>
          </cell>
          <cell r="C29" t="str">
            <v>设定受益计划净资产</v>
          </cell>
          <cell r="D29">
            <v>1</v>
          </cell>
          <cell r="E29" t="str">
            <v>OEI</v>
          </cell>
          <cell r="F29">
            <v>4330</v>
          </cell>
          <cell r="G29" t="str">
            <v>设定受益计划净资产</v>
          </cell>
          <cell r="H29">
            <v>0</v>
          </cell>
          <cell r="I29">
            <v>1515</v>
          </cell>
          <cell r="J29" t="str">
            <v>J</v>
          </cell>
          <cell r="M29" t="str">
            <v>生产成本</v>
          </cell>
          <cell r="P29" t="str">
            <v>保户储金及投资款净增加额</v>
          </cell>
          <cell r="S29" t="str">
            <v>1125b</v>
          </cell>
          <cell r="T29" t="str">
            <v>外币预付款项</v>
          </cell>
          <cell r="U29" t="str">
            <v>币       种</v>
          </cell>
          <cell r="V29">
            <v>1</v>
          </cell>
          <cell r="W29">
            <v>1125</v>
          </cell>
          <cell r="X29">
            <v>2</v>
          </cell>
        </row>
        <row r="30">
          <cell r="B30">
            <v>1511</v>
          </cell>
          <cell r="C30" t="str">
            <v>长期股权投资</v>
          </cell>
          <cell r="D30">
            <v>1</v>
          </cell>
          <cell r="E30">
            <v>0</v>
          </cell>
          <cell r="F30">
            <v>3240</v>
          </cell>
          <cell r="G30" t="str">
            <v>长期股权投资</v>
          </cell>
          <cell r="H30">
            <v>0</v>
          </cell>
          <cell r="I30">
            <v>1511</v>
          </cell>
          <cell r="J30" t="str">
            <v>J</v>
          </cell>
          <cell r="M30" t="str">
            <v>制造费用</v>
          </cell>
          <cell r="P30" t="str">
            <v>处置交易性金融资产净增加额</v>
          </cell>
          <cell r="S30" t="str">
            <v>1125e</v>
          </cell>
          <cell r="T30" t="str">
            <v>关联方应收应付款项——预付款项</v>
          </cell>
          <cell r="U30" t="str">
            <v>单位名称</v>
          </cell>
          <cell r="V30">
            <v>1</v>
          </cell>
          <cell r="W30">
            <v>1125</v>
          </cell>
          <cell r="X30">
            <v>2</v>
          </cell>
        </row>
        <row r="31">
          <cell r="B31">
            <v>1521</v>
          </cell>
          <cell r="C31" t="str">
            <v>投资性房地产</v>
          </cell>
          <cell r="D31">
            <v>1</v>
          </cell>
          <cell r="E31">
            <v>0</v>
          </cell>
          <cell r="F31">
            <v>3710</v>
          </cell>
          <cell r="G31" t="str">
            <v>投资性房地产</v>
          </cell>
          <cell r="H31">
            <v>0</v>
          </cell>
          <cell r="I31">
            <v>1521</v>
          </cell>
          <cell r="J31" t="str">
            <v>J</v>
          </cell>
          <cell r="M31" t="str">
            <v>工程施工</v>
          </cell>
          <cell r="P31" t="str">
            <v>收取利息手续费及佣金的现金</v>
          </cell>
          <cell r="S31" t="str">
            <v>1132a</v>
          </cell>
          <cell r="T31" t="str">
            <v>应收利息明细项目</v>
          </cell>
          <cell r="U31" t="str">
            <v>项       目</v>
          </cell>
          <cell r="V31">
            <v>1</v>
          </cell>
          <cell r="W31">
            <v>1132</v>
          </cell>
          <cell r="X31">
            <v>1</v>
          </cell>
        </row>
        <row r="32">
          <cell r="B32">
            <v>1601</v>
          </cell>
          <cell r="C32" t="str">
            <v>固定资产</v>
          </cell>
          <cell r="D32">
            <v>1</v>
          </cell>
          <cell r="E32">
            <v>0</v>
          </cell>
          <cell r="F32">
            <v>3720</v>
          </cell>
          <cell r="G32" t="str">
            <v>固定资产</v>
          </cell>
          <cell r="H32">
            <v>0</v>
          </cell>
          <cell r="I32">
            <v>1601</v>
          </cell>
          <cell r="J32" t="str">
            <v>J</v>
          </cell>
          <cell r="M32" t="str">
            <v>一年内到期的非流动资产</v>
          </cell>
          <cell r="P32" t="str">
            <v>拆入资金净增加额</v>
          </cell>
          <cell r="S32" t="str">
            <v>1132b</v>
          </cell>
          <cell r="T32" t="str">
            <v>重要的逾期应收利息</v>
          </cell>
          <cell r="U32" t="str">
            <v>借款单位</v>
          </cell>
          <cell r="V32">
            <v>1</v>
          </cell>
          <cell r="W32">
            <v>1132</v>
          </cell>
          <cell r="X32">
            <v>2</v>
          </cell>
        </row>
        <row r="33">
          <cell r="B33">
            <v>1604</v>
          </cell>
          <cell r="C33" t="str">
            <v>在建工程</v>
          </cell>
          <cell r="D33">
            <v>1</v>
          </cell>
          <cell r="E33">
            <v>0</v>
          </cell>
          <cell r="F33">
            <v>3730</v>
          </cell>
          <cell r="G33" t="str">
            <v>在建工程</v>
          </cell>
          <cell r="H33">
            <v>0</v>
          </cell>
          <cell r="I33">
            <v>1604</v>
          </cell>
          <cell r="J33" t="str">
            <v>J</v>
          </cell>
          <cell r="M33" t="str">
            <v>其他流动资产</v>
          </cell>
          <cell r="P33" t="str">
            <v>回购业务资金净增加额</v>
          </cell>
          <cell r="S33" t="str">
            <v>1131a</v>
          </cell>
          <cell r="T33" t="str">
            <v>应收股利明细项目</v>
          </cell>
          <cell r="U33" t="str">
            <v>项       目</v>
          </cell>
          <cell r="V33">
            <v>1</v>
          </cell>
          <cell r="W33">
            <v>1131</v>
          </cell>
          <cell r="X33">
            <v>1</v>
          </cell>
        </row>
        <row r="34">
          <cell r="B34">
            <v>1605</v>
          </cell>
          <cell r="C34" t="str">
            <v>工程物资</v>
          </cell>
          <cell r="D34">
            <v>1</v>
          </cell>
          <cell r="E34">
            <v>0</v>
          </cell>
          <cell r="F34">
            <v>3740</v>
          </cell>
          <cell r="G34" t="str">
            <v>工程物资</v>
          </cell>
          <cell r="H34">
            <v>0</v>
          </cell>
          <cell r="I34">
            <v>1605</v>
          </cell>
          <cell r="J34" t="str">
            <v>J</v>
          </cell>
          <cell r="M34" t="str">
            <v>持有至到期投资</v>
          </cell>
          <cell r="P34" t="str">
            <v>客户贷款及垫款净增加额</v>
          </cell>
          <cell r="S34" t="str">
            <v>1131b</v>
          </cell>
          <cell r="T34" t="str">
            <v>重要的账龄超过1年的应收股利</v>
          </cell>
          <cell r="U34" t="str">
            <v>项       目</v>
          </cell>
          <cell r="V34">
            <v>1</v>
          </cell>
          <cell r="W34">
            <v>1131</v>
          </cell>
          <cell r="X34">
            <v>2</v>
          </cell>
        </row>
        <row r="35">
          <cell r="B35">
            <v>1606</v>
          </cell>
          <cell r="C35" t="str">
            <v>固定资产清理</v>
          </cell>
          <cell r="D35">
            <v>1</v>
          </cell>
          <cell r="E35">
            <v>0</v>
          </cell>
          <cell r="F35">
            <v>3750</v>
          </cell>
          <cell r="G35" t="str">
            <v>固定资产清理</v>
          </cell>
          <cell r="H35">
            <v>0</v>
          </cell>
          <cell r="I35">
            <v>1606</v>
          </cell>
          <cell r="J35" t="str">
            <v>J</v>
          </cell>
          <cell r="M35" t="str">
            <v>持有至到期投资减值准备</v>
          </cell>
          <cell r="P35" t="str">
            <v>存放中央银行和同业款项净增加额</v>
          </cell>
          <cell r="S35" t="str">
            <v>1221a</v>
          </cell>
          <cell r="T35" t="str">
            <v>其他应收款按种类列示</v>
          </cell>
          <cell r="U35" t="str">
            <v xml:space="preserve">类       别  </v>
          </cell>
          <cell r="V35">
            <v>1</v>
          </cell>
          <cell r="W35">
            <v>1221</v>
          </cell>
          <cell r="X35">
            <v>1</v>
          </cell>
        </row>
        <row r="36">
          <cell r="B36">
            <v>1621</v>
          </cell>
          <cell r="C36" t="str">
            <v>生产性生物资产</v>
          </cell>
          <cell r="D36">
            <v>1</v>
          </cell>
          <cell r="E36">
            <v>0</v>
          </cell>
          <cell r="F36">
            <v>3760</v>
          </cell>
          <cell r="G36" t="str">
            <v>生产性生物资产</v>
          </cell>
          <cell r="H36">
            <v>0</v>
          </cell>
          <cell r="I36">
            <v>1621</v>
          </cell>
          <cell r="J36" t="str">
            <v>J</v>
          </cell>
          <cell r="M36" t="str">
            <v>可供出售金融资产</v>
          </cell>
          <cell r="P36" t="str">
            <v>支付原保险合同赔付款项的现金</v>
          </cell>
          <cell r="S36" t="str">
            <v>1221b</v>
          </cell>
          <cell r="T36" t="str">
            <v>其他应收款按种类列示（续）</v>
          </cell>
          <cell r="U36" t="str">
            <v xml:space="preserve">类       别  </v>
          </cell>
          <cell r="V36">
            <v>1</v>
          </cell>
          <cell r="W36">
            <v>1221</v>
          </cell>
          <cell r="X36">
            <v>2</v>
          </cell>
        </row>
        <row r="37">
          <cell r="B37">
            <v>1631</v>
          </cell>
          <cell r="C37" t="str">
            <v>油气资产</v>
          </cell>
          <cell r="D37">
            <v>1</v>
          </cell>
          <cell r="E37">
            <v>0</v>
          </cell>
          <cell r="F37">
            <v>3770</v>
          </cell>
          <cell r="G37" t="str">
            <v>油气资产</v>
          </cell>
          <cell r="H37">
            <v>0</v>
          </cell>
          <cell r="I37">
            <v>1631</v>
          </cell>
          <cell r="J37" t="str">
            <v>J</v>
          </cell>
          <cell r="M37" t="str">
            <v>可供出售金融资产减值准备</v>
          </cell>
          <cell r="P37" t="str">
            <v>支付利息手续费及佣金的现金</v>
          </cell>
          <cell r="S37" t="str">
            <v>1221g</v>
          </cell>
          <cell r="T37" t="str">
            <v>期末单项金额重大并单项计提坏账准备的其他应收款</v>
          </cell>
          <cell r="U37" t="str">
            <v>其他应收款（按单位）</v>
          </cell>
          <cell r="V37">
            <v>1</v>
          </cell>
          <cell r="W37">
            <v>1221</v>
          </cell>
          <cell r="X37">
            <v>2</v>
          </cell>
        </row>
        <row r="38">
          <cell r="B38">
            <v>1701</v>
          </cell>
          <cell r="C38" t="str">
            <v>无形资产</v>
          </cell>
          <cell r="D38">
            <v>1</v>
          </cell>
          <cell r="E38">
            <v>0</v>
          </cell>
          <cell r="F38">
            <v>3810</v>
          </cell>
          <cell r="G38" t="str">
            <v>无形资产</v>
          </cell>
          <cell r="H38">
            <v>0</v>
          </cell>
          <cell r="I38">
            <v>1701</v>
          </cell>
          <cell r="J38" t="str">
            <v>J</v>
          </cell>
          <cell r="M38" t="str">
            <v>长期股权投资</v>
          </cell>
          <cell r="P38" t="str">
            <v>支付保单红利的现金</v>
          </cell>
          <cell r="S38" t="str">
            <v>1221d</v>
          </cell>
          <cell r="T38" t="str">
            <v>组合中按账龄分析法计提坏账准备的其他应收款</v>
          </cell>
          <cell r="U38" t="str">
            <v>账  龄</v>
          </cell>
          <cell r="V38">
            <v>1</v>
          </cell>
          <cell r="W38">
            <v>1221</v>
          </cell>
          <cell r="X38">
            <v>2</v>
          </cell>
        </row>
        <row r="39">
          <cell r="B39">
            <v>1700</v>
          </cell>
          <cell r="C39" t="str">
            <v>开发支出</v>
          </cell>
          <cell r="D39">
            <v>1</v>
          </cell>
          <cell r="E39">
            <v>0</v>
          </cell>
          <cell r="F39">
            <v>3820</v>
          </cell>
          <cell r="G39" t="str">
            <v>开发支出</v>
          </cell>
          <cell r="H39">
            <v>0</v>
          </cell>
          <cell r="I39">
            <v>1700</v>
          </cell>
          <cell r="J39" t="str">
            <v>J</v>
          </cell>
          <cell r="M39" t="str">
            <v>长期股权投资减值准备</v>
          </cell>
          <cell r="P39" t="str">
            <v>质押贷款净增加额</v>
          </cell>
          <cell r="S39" t="str">
            <v>1221e</v>
          </cell>
          <cell r="T39" t="str">
            <v>组合中采用余额百分比法计提坏账准备的其他应收款</v>
          </cell>
          <cell r="U39" t="str">
            <v>组合名称</v>
          </cell>
          <cell r="V39">
            <v>1</v>
          </cell>
          <cell r="W39">
            <v>1221</v>
          </cell>
          <cell r="X39">
            <v>2</v>
          </cell>
        </row>
        <row r="40">
          <cell r="B40">
            <v>1711</v>
          </cell>
          <cell r="C40" t="str">
            <v>商誉</v>
          </cell>
          <cell r="D40">
            <v>1</v>
          </cell>
          <cell r="E40">
            <v>0</v>
          </cell>
          <cell r="F40">
            <v>3830</v>
          </cell>
          <cell r="G40" t="str">
            <v>商誉</v>
          </cell>
          <cell r="H40">
            <v>0</v>
          </cell>
          <cell r="I40">
            <v>1711</v>
          </cell>
          <cell r="J40" t="str">
            <v>J</v>
          </cell>
          <cell r="M40" t="str">
            <v>设定受益计划净资产</v>
          </cell>
          <cell r="P40" t="str">
            <v>发行债券收到的现金</v>
          </cell>
          <cell r="S40" t="str">
            <v>1221f</v>
          </cell>
          <cell r="T40" t="str">
            <v>组合中采用其他方法计提坏账准备的其他应收款</v>
          </cell>
          <cell r="U40" t="str">
            <v>组合名称</v>
          </cell>
          <cell r="V40">
            <v>1</v>
          </cell>
          <cell r="W40">
            <v>1221</v>
          </cell>
          <cell r="X40">
            <v>2</v>
          </cell>
        </row>
        <row r="41">
          <cell r="B41">
            <v>1801</v>
          </cell>
          <cell r="C41" t="str">
            <v>长期待摊费用</v>
          </cell>
          <cell r="D41">
            <v>1</v>
          </cell>
          <cell r="E41">
            <v>0</v>
          </cell>
          <cell r="F41">
            <v>3850</v>
          </cell>
          <cell r="G41" t="str">
            <v>长期待摊费用</v>
          </cell>
          <cell r="H41">
            <v>0</v>
          </cell>
          <cell r="I41">
            <v>1801</v>
          </cell>
          <cell r="J41" t="str">
            <v>J</v>
          </cell>
          <cell r="M41" t="str">
            <v>投资性房地产</v>
          </cell>
          <cell r="P41" t="str">
            <v>客户存款和同业存放款项净增加额</v>
          </cell>
          <cell r="S41" t="str">
            <v>1221h</v>
          </cell>
          <cell r="T41" t="str">
            <v>本期其他应收款坏账准备转回或收回金额重要的</v>
          </cell>
          <cell r="U41" t="str">
            <v>单位名称</v>
          </cell>
          <cell r="V41">
            <v>1</v>
          </cell>
          <cell r="W41">
            <v>1221</v>
          </cell>
          <cell r="X41">
            <v>2</v>
          </cell>
        </row>
        <row r="42">
          <cell r="B42">
            <v>1811</v>
          </cell>
          <cell r="C42" t="str">
            <v>递延所得税资产</v>
          </cell>
          <cell r="D42">
            <v>1</v>
          </cell>
          <cell r="E42">
            <v>0</v>
          </cell>
          <cell r="F42">
            <v>3880</v>
          </cell>
          <cell r="G42" t="str">
            <v>递延所得税资产</v>
          </cell>
          <cell r="H42">
            <v>0</v>
          </cell>
          <cell r="I42">
            <v>1811</v>
          </cell>
          <cell r="J42" t="str">
            <v>J</v>
          </cell>
          <cell r="M42" t="str">
            <v>投资性房地产减值准备</v>
          </cell>
          <cell r="P42" t="str">
            <v>向中央银行借款净增加额</v>
          </cell>
          <cell r="S42" t="str">
            <v>1221i</v>
          </cell>
          <cell r="T42" t="str">
            <v>本期重要的其他应收款核销情况</v>
          </cell>
          <cell r="U42" t="str">
            <v>单位名称</v>
          </cell>
          <cell r="V42">
            <v>1</v>
          </cell>
          <cell r="W42">
            <v>1221</v>
          </cell>
          <cell r="X42">
            <v>2</v>
          </cell>
        </row>
        <row r="43">
          <cell r="B43">
            <v>1996</v>
          </cell>
          <cell r="C43" t="str">
            <v>其他非流动资产</v>
          </cell>
          <cell r="D43">
            <v>1</v>
          </cell>
          <cell r="E43">
            <v>0</v>
          </cell>
          <cell r="F43">
            <v>3890</v>
          </cell>
          <cell r="G43" t="str">
            <v>其他非流动资产</v>
          </cell>
          <cell r="H43">
            <v>0</v>
          </cell>
          <cell r="I43">
            <v>1996</v>
          </cell>
          <cell r="J43" t="str">
            <v>J</v>
          </cell>
          <cell r="M43" t="str">
            <v>投资性房地产累计折旧</v>
          </cell>
          <cell r="P43" t="str">
            <v>向其他金融机构拆入资金净增加额</v>
          </cell>
          <cell r="S43" t="str">
            <v>1221l</v>
          </cell>
          <cell r="T43" t="str">
            <v>其他应收款按款项性质披露</v>
          </cell>
          <cell r="U43" t="str">
            <v>单位名称</v>
          </cell>
          <cell r="V43">
            <v>1</v>
          </cell>
          <cell r="W43">
            <v>1221</v>
          </cell>
          <cell r="X43">
            <v>2</v>
          </cell>
        </row>
        <row r="44">
          <cell r="B44">
            <v>1998</v>
          </cell>
          <cell r="C44" t="str">
            <v>非流动资产</v>
          </cell>
          <cell r="D44">
            <v>0</v>
          </cell>
          <cell r="E44" t="str">
            <v>＝</v>
          </cell>
          <cell r="F44">
            <v>0</v>
          </cell>
          <cell r="G44" t="str">
            <v>非流动资产合计</v>
          </cell>
          <cell r="H44">
            <v>0</v>
          </cell>
          <cell r="I44">
            <v>1998</v>
          </cell>
          <cell r="J44">
            <v>0</v>
          </cell>
          <cell r="M44" t="str">
            <v>长期应收款</v>
          </cell>
          <cell r="P44" t="str">
            <v>收到原保险合同保费取得的现金</v>
          </cell>
          <cell r="S44" t="str">
            <v>1221k</v>
          </cell>
          <cell r="T44" t="str">
            <v>按欠款方归集的其他应收款期末余额前五名单位情况</v>
          </cell>
          <cell r="U44" t="str">
            <v>单位名称</v>
          </cell>
          <cell r="V44">
            <v>1</v>
          </cell>
          <cell r="W44">
            <v>1221</v>
          </cell>
          <cell r="X44">
            <v>2</v>
          </cell>
        </row>
        <row r="45">
          <cell r="B45">
            <v>1999</v>
          </cell>
          <cell r="C45" t="str">
            <v>资产</v>
          </cell>
          <cell r="D45">
            <v>0</v>
          </cell>
          <cell r="E45" t="str">
            <v>＝</v>
          </cell>
          <cell r="F45">
            <v>0</v>
          </cell>
          <cell r="G45" t="str">
            <v>资产总计</v>
          </cell>
          <cell r="H45">
            <v>0</v>
          </cell>
          <cell r="I45">
            <v>1999</v>
          </cell>
          <cell r="J45">
            <v>0</v>
          </cell>
          <cell r="M45" t="str">
            <v>固定资产</v>
          </cell>
          <cell r="P45" t="str">
            <v>收到再保险业务现金净额</v>
          </cell>
          <cell r="S45" t="str">
            <v>1221r</v>
          </cell>
          <cell r="T45" t="str">
            <v>应收政府补助情况</v>
          </cell>
          <cell r="U45" t="str">
            <v>单位名称</v>
          </cell>
          <cell r="V45">
            <v>1</v>
          </cell>
          <cell r="W45">
            <v>1221</v>
          </cell>
          <cell r="X45">
            <v>2</v>
          </cell>
        </row>
        <row r="46">
          <cell r="B46">
            <v>2000</v>
          </cell>
          <cell r="C46" t="str">
            <v>流动负债项目</v>
          </cell>
          <cell r="D46">
            <v>0</v>
          </cell>
          <cell r="E46" t="str">
            <v>：</v>
          </cell>
          <cell r="F46">
            <v>0</v>
          </cell>
          <cell r="G46" t="str">
            <v>流动负债：</v>
          </cell>
          <cell r="H46">
            <v>0</v>
          </cell>
          <cell r="I46">
            <v>2000</v>
          </cell>
          <cell r="J46">
            <v>0</v>
          </cell>
          <cell r="M46" t="str">
            <v>累计折旧</v>
          </cell>
          <cell r="P46" t="str">
            <v>保户储金及投资款净增加额</v>
          </cell>
          <cell r="S46" t="str">
            <v>1221n</v>
          </cell>
          <cell r="T46" t="str">
            <v>因金融资产转移而终止确认的其他应收款情况</v>
          </cell>
          <cell r="U46" t="str">
            <v>项       目</v>
          </cell>
          <cell r="V46">
            <v>1</v>
          </cell>
          <cell r="W46">
            <v>1221</v>
          </cell>
          <cell r="X46">
            <v>2</v>
          </cell>
        </row>
        <row r="47">
          <cell r="B47">
            <v>2001</v>
          </cell>
          <cell r="C47" t="str">
            <v>短期借款</v>
          </cell>
          <cell r="D47">
            <v>-1</v>
          </cell>
          <cell r="E47">
            <v>0</v>
          </cell>
          <cell r="F47">
            <v>4110</v>
          </cell>
          <cell r="G47" t="str">
            <v>短期借款</v>
          </cell>
          <cell r="H47">
            <v>0</v>
          </cell>
          <cell r="I47">
            <v>2001</v>
          </cell>
          <cell r="J47" t="str">
            <v>J</v>
          </cell>
          <cell r="M47" t="str">
            <v>固定资产减值准备</v>
          </cell>
          <cell r="P47" t="str">
            <v>处置交易性金融资产净增加额</v>
          </cell>
          <cell r="S47" t="str">
            <v>1221o</v>
          </cell>
          <cell r="T47" t="str">
            <v>转移其他应收款且继续涉入形成的资产金额</v>
          </cell>
          <cell r="U47" t="str">
            <v>项       目</v>
          </cell>
          <cell r="V47">
            <v>1</v>
          </cell>
          <cell r="W47">
            <v>1221</v>
          </cell>
          <cell r="X47">
            <v>2</v>
          </cell>
        </row>
        <row r="48">
          <cell r="B48">
            <v>2004</v>
          </cell>
          <cell r="C48" t="str">
            <v>向中央银行借款</v>
          </cell>
          <cell r="D48">
            <v>-1</v>
          </cell>
          <cell r="E48" t="str">
            <v>△</v>
          </cell>
          <cell r="F48">
            <v>0</v>
          </cell>
          <cell r="G48" t="str">
            <v>向中央银行借款</v>
          </cell>
          <cell r="H48">
            <v>0</v>
          </cell>
          <cell r="I48">
            <v>2004</v>
          </cell>
          <cell r="J48" t="str">
            <v>J</v>
          </cell>
          <cell r="M48" t="str">
            <v>在建工程</v>
          </cell>
          <cell r="P48" t="str">
            <v>收取利息手续费及佣金的现金</v>
          </cell>
          <cell r="S48" t="str">
            <v>1221p</v>
          </cell>
          <cell r="T48" t="str">
            <v>转移其他应收款且继续涉入形成的负债金额</v>
          </cell>
          <cell r="U48" t="str">
            <v>项       目</v>
          </cell>
          <cell r="V48">
            <v>1</v>
          </cell>
          <cell r="W48">
            <v>1221</v>
          </cell>
          <cell r="X48">
            <v>2</v>
          </cell>
        </row>
        <row r="49">
          <cell r="B49">
            <v>2010</v>
          </cell>
          <cell r="C49" t="str">
            <v>吸收存款及同业存放</v>
          </cell>
          <cell r="D49">
            <v>-1</v>
          </cell>
          <cell r="E49" t="str">
            <v>△</v>
          </cell>
          <cell r="F49">
            <v>0</v>
          </cell>
          <cell r="G49" t="str">
            <v>吸收存款及同业存放</v>
          </cell>
          <cell r="H49">
            <v>0</v>
          </cell>
          <cell r="I49">
            <v>2010</v>
          </cell>
          <cell r="J49" t="str">
            <v>J</v>
          </cell>
          <cell r="M49" t="str">
            <v>在建工程减值准备</v>
          </cell>
          <cell r="P49" t="str">
            <v>拆入资金净增加额</v>
          </cell>
          <cell r="S49" t="str">
            <v>1221c</v>
          </cell>
          <cell r="T49" t="str">
            <v>外币其他应收款</v>
          </cell>
          <cell r="U49" t="str">
            <v>币       种</v>
          </cell>
          <cell r="V49">
            <v>1</v>
          </cell>
          <cell r="W49">
            <v>1221</v>
          </cell>
          <cell r="X49">
            <v>2</v>
          </cell>
        </row>
        <row r="50">
          <cell r="B50">
            <v>2003</v>
          </cell>
          <cell r="C50" t="str">
            <v>拆入资金</v>
          </cell>
          <cell r="D50">
            <v>-1</v>
          </cell>
          <cell r="E50" t="str">
            <v>△</v>
          </cell>
          <cell r="F50">
            <v>0</v>
          </cell>
          <cell r="G50" t="str">
            <v>拆入资金</v>
          </cell>
          <cell r="H50">
            <v>0</v>
          </cell>
          <cell r="I50">
            <v>2003</v>
          </cell>
          <cell r="J50" t="str">
            <v>J</v>
          </cell>
          <cell r="M50" t="str">
            <v>工程物资</v>
          </cell>
          <cell r="P50" t="str">
            <v>回购业务资金净增加额</v>
          </cell>
          <cell r="S50" t="str">
            <v>1221m</v>
          </cell>
          <cell r="T50" t="str">
            <v>关联方应收应付款项——其他应收款</v>
          </cell>
          <cell r="U50" t="str">
            <v>单位名称</v>
          </cell>
          <cell r="V50">
            <v>1</v>
          </cell>
          <cell r="W50">
            <v>1221</v>
          </cell>
          <cell r="X50">
            <v>2</v>
          </cell>
        </row>
        <row r="51">
          <cell r="B51">
            <v>2101</v>
          </cell>
          <cell r="C51" t="str">
            <v>以公允价值计量且其变动计入当期损益的金融负债</v>
          </cell>
          <cell r="D51">
            <v>-1</v>
          </cell>
          <cell r="E51">
            <v>0</v>
          </cell>
          <cell r="F51" t="str">
            <v>4610_4620</v>
          </cell>
          <cell r="G51" t="str">
            <v>以公允价值计量且其变动计入当期损益的金融负债</v>
          </cell>
          <cell r="H51">
            <v>0</v>
          </cell>
          <cell r="I51">
            <v>2101</v>
          </cell>
          <cell r="J51" t="str">
            <v>J</v>
          </cell>
          <cell r="M51" t="str">
            <v>工程物资减值准备</v>
          </cell>
          <cell r="P51" t="str">
            <v>客户贷款及垫款净增加额</v>
          </cell>
          <cell r="S51" t="str">
            <v>1400a</v>
          </cell>
          <cell r="T51" t="str">
            <v>存货分类列示</v>
          </cell>
          <cell r="U51" t="str">
            <v>存货种类</v>
          </cell>
          <cell r="V51">
            <v>1</v>
          </cell>
          <cell r="W51">
            <v>1400</v>
          </cell>
          <cell r="X51">
            <v>1</v>
          </cell>
        </row>
        <row r="52">
          <cell r="B52">
            <v>2115</v>
          </cell>
          <cell r="C52" t="str">
            <v>衍生金融负债</v>
          </cell>
          <cell r="D52">
            <v>-1</v>
          </cell>
          <cell r="E52" t="str">
            <v>Ｘ</v>
          </cell>
          <cell r="F52">
            <v>4620</v>
          </cell>
          <cell r="G52" t="str">
            <v>衍生金融负债</v>
          </cell>
          <cell r="H52">
            <v>0</v>
          </cell>
          <cell r="I52">
            <v>2115</v>
          </cell>
          <cell r="J52" t="str">
            <v>J</v>
          </cell>
          <cell r="M52" t="str">
            <v>固定资产清理</v>
          </cell>
          <cell r="P52" t="str">
            <v>存放中央银行和同业款项净增加额</v>
          </cell>
          <cell r="S52" t="str">
            <v>1400b</v>
          </cell>
          <cell r="T52" t="str">
            <v>存货跌价准备的增减变动情况</v>
          </cell>
          <cell r="U52" t="str">
            <v>存货种类</v>
          </cell>
          <cell r="V52">
            <v>1</v>
          </cell>
          <cell r="W52">
            <v>1400</v>
          </cell>
          <cell r="X52">
            <v>2</v>
          </cell>
        </row>
        <row r="53">
          <cell r="B53">
            <v>2201</v>
          </cell>
          <cell r="C53" t="str">
            <v>应付票据</v>
          </cell>
          <cell r="D53">
            <v>-1</v>
          </cell>
          <cell r="E53">
            <v>0</v>
          </cell>
          <cell r="F53">
            <v>4220</v>
          </cell>
          <cell r="G53" t="str">
            <v>应付票据</v>
          </cell>
          <cell r="H53">
            <v>0</v>
          </cell>
          <cell r="I53">
            <v>2201</v>
          </cell>
          <cell r="J53" t="str">
            <v>J</v>
          </cell>
          <cell r="M53" t="str">
            <v>生产性生物资产</v>
          </cell>
          <cell r="P53" t="str">
            <v>支付原保险合同赔付款项的现金</v>
          </cell>
          <cell r="S53" t="str">
            <v>1400c</v>
          </cell>
          <cell r="T53" t="str">
            <v>存货跌价准备计提依据与转回情况</v>
          </cell>
          <cell r="U53" t="str">
            <v>存货种类</v>
          </cell>
          <cell r="V53">
            <v>1</v>
          </cell>
          <cell r="W53">
            <v>1400</v>
          </cell>
          <cell r="X53">
            <v>2</v>
          </cell>
        </row>
        <row r="54">
          <cell r="B54">
            <v>2202</v>
          </cell>
          <cell r="C54" t="str">
            <v>应付账款</v>
          </cell>
          <cell r="D54">
            <v>-1</v>
          </cell>
          <cell r="E54">
            <v>0</v>
          </cell>
          <cell r="F54">
            <v>4230</v>
          </cell>
          <cell r="G54" t="str">
            <v>应付账款</v>
          </cell>
          <cell r="H54">
            <v>0</v>
          </cell>
          <cell r="I54">
            <v>2202</v>
          </cell>
          <cell r="J54" t="str">
            <v>J</v>
          </cell>
          <cell r="M54" t="str">
            <v>生产性生物资产累计折旧</v>
          </cell>
          <cell r="P54" t="str">
            <v>支付利息手续费及佣金的现金</v>
          </cell>
          <cell r="S54" t="str">
            <v>1400t</v>
          </cell>
          <cell r="T54" t="str">
            <v>存货期末余额中含有借款费用资本化金额的说明</v>
          </cell>
          <cell r="U54" t="str">
            <v>项       目</v>
          </cell>
          <cell r="V54">
            <v>1</v>
          </cell>
          <cell r="W54">
            <v>1400</v>
          </cell>
          <cell r="X54">
            <v>2</v>
          </cell>
        </row>
        <row r="55">
          <cell r="B55">
            <v>2205</v>
          </cell>
          <cell r="C55" t="str">
            <v>预收款项</v>
          </cell>
          <cell r="D55">
            <v>-1</v>
          </cell>
          <cell r="E55">
            <v>0</v>
          </cell>
          <cell r="F55">
            <v>4240</v>
          </cell>
          <cell r="G55" t="str">
            <v>预收款项</v>
          </cell>
          <cell r="H55">
            <v>0</v>
          </cell>
          <cell r="I55">
            <v>2205</v>
          </cell>
          <cell r="J55" t="str">
            <v>J</v>
          </cell>
          <cell r="M55" t="str">
            <v>生产性生物资产减值准备</v>
          </cell>
          <cell r="P55" t="str">
            <v>支付保单红利的现金</v>
          </cell>
          <cell r="S55" t="str">
            <v>1400d</v>
          </cell>
          <cell r="T55" t="str">
            <v>开发成本</v>
          </cell>
          <cell r="U55" t="str">
            <v>项目名称</v>
          </cell>
          <cell r="V55">
            <v>1</v>
          </cell>
          <cell r="W55">
            <v>1400</v>
          </cell>
          <cell r="X55">
            <v>2</v>
          </cell>
        </row>
        <row r="56">
          <cell r="B56">
            <v>2111</v>
          </cell>
          <cell r="C56" t="str">
            <v>卖出回购金融资产款</v>
          </cell>
          <cell r="D56">
            <v>-1</v>
          </cell>
          <cell r="E56" t="str">
            <v>△</v>
          </cell>
          <cell r="F56">
            <v>0</v>
          </cell>
          <cell r="G56" t="str">
            <v>卖出回购金融资产款</v>
          </cell>
          <cell r="H56">
            <v>0</v>
          </cell>
          <cell r="I56">
            <v>2111</v>
          </cell>
          <cell r="J56" t="str">
            <v>J</v>
          </cell>
          <cell r="M56" t="str">
            <v>油气资产</v>
          </cell>
          <cell r="P56" t="str">
            <v>质押贷款净增加额</v>
          </cell>
          <cell r="S56" t="str">
            <v>1400e</v>
          </cell>
          <cell r="T56" t="str">
            <v>开发产品</v>
          </cell>
          <cell r="U56" t="str">
            <v>项目名称</v>
          </cell>
          <cell r="V56">
            <v>1</v>
          </cell>
          <cell r="W56">
            <v>1400</v>
          </cell>
          <cell r="X56">
            <v>2</v>
          </cell>
        </row>
        <row r="57">
          <cell r="B57">
            <v>2240</v>
          </cell>
          <cell r="C57" t="str">
            <v>应付手续费及佣金</v>
          </cell>
          <cell r="D57">
            <v>-1</v>
          </cell>
          <cell r="E57" t="str">
            <v>△</v>
          </cell>
          <cell r="F57">
            <v>0</v>
          </cell>
          <cell r="G57" t="str">
            <v>应付手续费及佣金</v>
          </cell>
          <cell r="H57">
            <v>0</v>
          </cell>
          <cell r="I57">
            <v>2240</v>
          </cell>
          <cell r="J57" t="str">
            <v>J</v>
          </cell>
          <cell r="M57" t="str">
            <v>累计折耗</v>
          </cell>
          <cell r="P57" t="str">
            <v>期初现金及现金等价物余额</v>
          </cell>
          <cell r="S57" t="str">
            <v>1400g</v>
          </cell>
          <cell r="T57" t="str">
            <v>周转房</v>
          </cell>
          <cell r="U57" t="str">
            <v>项目名称</v>
          </cell>
          <cell r="V57">
            <v>1</v>
          </cell>
          <cell r="W57">
            <v>1400</v>
          </cell>
          <cell r="X57">
            <v>2</v>
          </cell>
        </row>
        <row r="58">
          <cell r="B58">
            <v>2211</v>
          </cell>
          <cell r="C58" t="str">
            <v>应付职工薪酬</v>
          </cell>
          <cell r="D58">
            <v>-1</v>
          </cell>
          <cell r="E58">
            <v>0</v>
          </cell>
          <cell r="F58">
            <v>4300</v>
          </cell>
          <cell r="G58" t="str">
            <v>应付职工薪酬</v>
          </cell>
          <cell r="H58">
            <v>0</v>
          </cell>
          <cell r="I58">
            <v>2211</v>
          </cell>
          <cell r="J58" t="str">
            <v>J</v>
          </cell>
          <cell r="M58" t="str">
            <v>油气资产减值准备</v>
          </cell>
          <cell r="P58" t="str">
            <v>现金流量调整</v>
          </cell>
          <cell r="S58" t="str">
            <v>1400h</v>
          </cell>
          <cell r="T58" t="str">
            <v>建造合同形成的已完工未结算资产</v>
          </cell>
          <cell r="U58" t="str">
            <v>项       目</v>
          </cell>
          <cell r="V58">
            <v>1</v>
          </cell>
          <cell r="W58">
            <v>1400</v>
          </cell>
          <cell r="X58">
            <v>2</v>
          </cell>
        </row>
        <row r="59">
          <cell r="B59">
            <v>2221</v>
          </cell>
          <cell r="C59" t="str">
            <v>应交税费</v>
          </cell>
          <cell r="D59">
            <v>-1</v>
          </cell>
          <cell r="E59">
            <v>0</v>
          </cell>
          <cell r="F59">
            <v>4410</v>
          </cell>
          <cell r="G59" t="str">
            <v>应交税费</v>
          </cell>
          <cell r="H59">
            <v>0</v>
          </cell>
          <cell r="I59">
            <v>2221</v>
          </cell>
          <cell r="J59" t="str">
            <v>J</v>
          </cell>
          <cell r="M59" t="str">
            <v>开发支出</v>
          </cell>
          <cell r="S59" t="str">
            <v>1400s</v>
          </cell>
          <cell r="T59" t="str">
            <v>期末用于债务担保的存货</v>
          </cell>
          <cell r="U59" t="str">
            <v>项       目</v>
          </cell>
          <cell r="V59">
            <v>1</v>
          </cell>
          <cell r="W59">
            <v>1400</v>
          </cell>
          <cell r="X59">
            <v>2</v>
          </cell>
        </row>
        <row r="60">
          <cell r="B60">
            <v>2231</v>
          </cell>
          <cell r="C60" t="str">
            <v>应付利息</v>
          </cell>
          <cell r="D60">
            <v>-1</v>
          </cell>
          <cell r="E60">
            <v>0</v>
          </cell>
          <cell r="F60">
            <v>4250</v>
          </cell>
          <cell r="G60" t="str">
            <v>应付利息</v>
          </cell>
          <cell r="H60">
            <v>0</v>
          </cell>
          <cell r="I60">
            <v>2231</v>
          </cell>
          <cell r="J60" t="str">
            <v>J</v>
          </cell>
          <cell r="M60" t="str">
            <v>无形资产</v>
          </cell>
          <cell r="S60" t="str">
            <v>1315a</v>
          </cell>
          <cell r="T60" t="str">
            <v>划分为持有待售的资产</v>
          </cell>
          <cell r="U60" t="str">
            <v>项       目</v>
          </cell>
          <cell r="V60">
            <v>1</v>
          </cell>
          <cell r="W60">
            <v>1315</v>
          </cell>
          <cell r="X60">
            <v>1</v>
          </cell>
        </row>
        <row r="61">
          <cell r="B61">
            <v>2232</v>
          </cell>
          <cell r="C61" t="str">
            <v>应付股利</v>
          </cell>
          <cell r="D61">
            <v>-1</v>
          </cell>
          <cell r="E61">
            <v>0</v>
          </cell>
          <cell r="F61">
            <v>4260</v>
          </cell>
          <cell r="G61" t="str">
            <v>应付股利</v>
          </cell>
          <cell r="H61">
            <v>0</v>
          </cell>
          <cell r="I61">
            <v>2232</v>
          </cell>
          <cell r="J61" t="str">
            <v>J</v>
          </cell>
          <cell r="M61" t="str">
            <v>累计摊销</v>
          </cell>
          <cell r="S61" t="str">
            <v>2315a</v>
          </cell>
          <cell r="T61" t="str">
            <v>划分为持有待售的负债</v>
          </cell>
          <cell r="U61" t="str">
            <v>项       目</v>
          </cell>
          <cell r="V61">
            <v>1</v>
          </cell>
          <cell r="W61">
            <v>2315</v>
          </cell>
          <cell r="X61">
            <v>1</v>
          </cell>
        </row>
        <row r="62">
          <cell r="B62">
            <v>2241</v>
          </cell>
          <cell r="C62" t="str">
            <v>其他应付款</v>
          </cell>
          <cell r="D62">
            <v>-1</v>
          </cell>
          <cell r="E62">
            <v>0</v>
          </cell>
          <cell r="F62">
            <v>4270</v>
          </cell>
          <cell r="G62" t="str">
            <v>其他应付款</v>
          </cell>
          <cell r="H62">
            <v>0</v>
          </cell>
          <cell r="I62">
            <v>2241</v>
          </cell>
          <cell r="J62" t="str">
            <v>J</v>
          </cell>
          <cell r="M62" t="str">
            <v>无形资产减值准备</v>
          </cell>
          <cell r="S62" t="str">
            <v>1315b</v>
          </cell>
          <cell r="T62" t="str">
            <v>划分为持有待售的非流动资产</v>
          </cell>
          <cell r="U62" t="str">
            <v>项       目</v>
          </cell>
          <cell r="V62">
            <v>1</v>
          </cell>
          <cell r="W62">
            <v>1315</v>
          </cell>
          <cell r="X62">
            <v>2</v>
          </cell>
        </row>
        <row r="63">
          <cell r="B63">
            <v>2261</v>
          </cell>
          <cell r="C63" t="str">
            <v>应付分保账款</v>
          </cell>
          <cell r="D63">
            <v>-1</v>
          </cell>
          <cell r="E63" t="str">
            <v>△</v>
          </cell>
          <cell r="F63">
            <v>0</v>
          </cell>
          <cell r="G63" t="str">
            <v>应付分保账款</v>
          </cell>
          <cell r="H63">
            <v>0</v>
          </cell>
          <cell r="I63">
            <v>2261</v>
          </cell>
          <cell r="J63" t="str">
            <v>J</v>
          </cell>
          <cell r="M63" t="str">
            <v>商誉</v>
          </cell>
          <cell r="S63" t="str">
            <v>1315c</v>
          </cell>
          <cell r="T63" t="str">
            <v>划分为持有待售的处置组（一）</v>
          </cell>
          <cell r="U63" t="str">
            <v>项       目</v>
          </cell>
          <cell r="V63">
            <v>1</v>
          </cell>
          <cell r="W63">
            <v>1315</v>
          </cell>
          <cell r="X63">
            <v>2</v>
          </cell>
        </row>
        <row r="64">
          <cell r="B64">
            <v>2310</v>
          </cell>
          <cell r="C64" t="str">
            <v>保险合同准备金</v>
          </cell>
          <cell r="D64">
            <v>-1</v>
          </cell>
          <cell r="E64" t="str">
            <v>△</v>
          </cell>
          <cell r="F64">
            <v>0</v>
          </cell>
          <cell r="G64" t="str">
            <v>保险合同准备金</v>
          </cell>
          <cell r="H64">
            <v>0</v>
          </cell>
          <cell r="I64">
            <v>2310</v>
          </cell>
          <cell r="J64" t="str">
            <v>J</v>
          </cell>
          <cell r="M64" t="str">
            <v>商誉减值准备</v>
          </cell>
          <cell r="S64" t="str">
            <v>1315d</v>
          </cell>
          <cell r="T64" t="str">
            <v>划分为持有待售的处置组（二）</v>
          </cell>
          <cell r="U64" t="str">
            <v>项       目</v>
          </cell>
          <cell r="V64">
            <v>1</v>
          </cell>
          <cell r="W64">
            <v>1315</v>
          </cell>
          <cell r="X64">
            <v>2</v>
          </cell>
        </row>
        <row r="65">
          <cell r="B65">
            <v>2311</v>
          </cell>
          <cell r="C65" t="str">
            <v>代理买卖证券款</v>
          </cell>
          <cell r="D65">
            <v>-1</v>
          </cell>
          <cell r="E65" t="str">
            <v>△</v>
          </cell>
          <cell r="F65">
            <v>0</v>
          </cell>
          <cell r="G65" t="str">
            <v>代理买卖证券款</v>
          </cell>
          <cell r="H65">
            <v>0</v>
          </cell>
          <cell r="I65">
            <v>2311</v>
          </cell>
          <cell r="J65" t="str">
            <v>J</v>
          </cell>
          <cell r="M65" t="str">
            <v>长期待摊费用</v>
          </cell>
          <cell r="S65" t="str">
            <v>1495a</v>
          </cell>
          <cell r="T65" t="str">
            <v>一年内到期的非流动资产</v>
          </cell>
          <cell r="U65" t="str">
            <v>项       目</v>
          </cell>
          <cell r="V65">
            <v>1</v>
          </cell>
          <cell r="W65">
            <v>1495</v>
          </cell>
          <cell r="X65">
            <v>1</v>
          </cell>
        </row>
        <row r="66">
          <cell r="B66">
            <v>2312</v>
          </cell>
          <cell r="C66" t="str">
            <v>代理承销证券款</v>
          </cell>
          <cell r="D66">
            <v>-1</v>
          </cell>
          <cell r="E66" t="str">
            <v>△</v>
          </cell>
          <cell r="F66">
            <v>0</v>
          </cell>
          <cell r="G66" t="str">
            <v>代理承销证券款</v>
          </cell>
          <cell r="H66">
            <v>0</v>
          </cell>
          <cell r="I66">
            <v>2312</v>
          </cell>
          <cell r="J66" t="str">
            <v>J</v>
          </cell>
          <cell r="M66" t="str">
            <v>递延所得税资产</v>
          </cell>
          <cell r="S66" t="str">
            <v>1496a</v>
          </cell>
          <cell r="T66" t="str">
            <v>其他流动资产明细列示</v>
          </cell>
          <cell r="U66" t="str">
            <v>项       目</v>
          </cell>
          <cell r="V66">
            <v>1</v>
          </cell>
          <cell r="W66">
            <v>1496</v>
          </cell>
          <cell r="X66">
            <v>1</v>
          </cell>
        </row>
        <row r="67">
          <cell r="B67">
            <v>2315</v>
          </cell>
          <cell r="C67" t="str">
            <v>划分为持有待售的负债</v>
          </cell>
          <cell r="D67">
            <v>-1</v>
          </cell>
          <cell r="E67" t="str">
            <v>Ｘ</v>
          </cell>
          <cell r="F67">
            <v>4550</v>
          </cell>
          <cell r="G67" t="str">
            <v>划分为持有待售的负债</v>
          </cell>
          <cell r="H67">
            <v>0</v>
          </cell>
          <cell r="I67">
            <v>2315</v>
          </cell>
          <cell r="J67" t="str">
            <v>J</v>
          </cell>
          <cell r="M67" t="str">
            <v>其他非流动资产</v>
          </cell>
          <cell r="S67" t="str">
            <v>1503a</v>
          </cell>
          <cell r="T67" t="str">
            <v>可供出售金融资产情况</v>
          </cell>
          <cell r="U67" t="str">
            <v>项       目</v>
          </cell>
          <cell r="V67">
            <v>1</v>
          </cell>
          <cell r="W67">
            <v>1503</v>
          </cell>
          <cell r="X67">
            <v>1</v>
          </cell>
        </row>
        <row r="68">
          <cell r="B68">
            <v>2395</v>
          </cell>
          <cell r="C68" t="str">
            <v>一年内到期的非流动负债</v>
          </cell>
          <cell r="D68">
            <v>-1</v>
          </cell>
          <cell r="E68">
            <v>0</v>
          </cell>
          <cell r="F68">
            <v>4280</v>
          </cell>
          <cell r="G68" t="str">
            <v>一年内到期的非流动负债</v>
          </cell>
          <cell r="H68">
            <v>0</v>
          </cell>
          <cell r="I68">
            <v>2395</v>
          </cell>
          <cell r="J68" t="str">
            <v>J</v>
          </cell>
          <cell r="M68" t="str">
            <v>公益性生物资产</v>
          </cell>
          <cell r="S68" t="str">
            <v>1503e</v>
          </cell>
          <cell r="T68" t="str">
            <v>按公允价值计量的可供出售金融资产</v>
          </cell>
          <cell r="U68" t="str">
            <v>可供出售金融资产分类</v>
          </cell>
          <cell r="V68">
            <v>1</v>
          </cell>
          <cell r="W68">
            <v>1503</v>
          </cell>
          <cell r="X68">
            <v>2</v>
          </cell>
        </row>
        <row r="69">
          <cell r="B69">
            <v>2396</v>
          </cell>
          <cell r="C69" t="str">
            <v>其他流动负债</v>
          </cell>
          <cell r="D69">
            <v>-1</v>
          </cell>
          <cell r="E69">
            <v>0</v>
          </cell>
          <cell r="F69">
            <v>4290</v>
          </cell>
          <cell r="G69" t="str">
            <v>其他流动负债</v>
          </cell>
          <cell r="H69">
            <v>0</v>
          </cell>
          <cell r="I69">
            <v>2396</v>
          </cell>
          <cell r="J69" t="str">
            <v>J</v>
          </cell>
          <cell r="M69" t="str">
            <v>短期借款</v>
          </cell>
          <cell r="S69" t="str">
            <v>1503f</v>
          </cell>
          <cell r="T69" t="str">
            <v>采用成本计量的可供出售权益工具</v>
          </cell>
          <cell r="U69" t="str">
            <v>被投资单位</v>
          </cell>
          <cell r="V69">
            <v>1</v>
          </cell>
          <cell r="W69">
            <v>1503</v>
          </cell>
          <cell r="X69">
            <v>2</v>
          </cell>
        </row>
        <row r="70">
          <cell r="B70">
            <v>2498</v>
          </cell>
          <cell r="C70" t="str">
            <v>流动负债</v>
          </cell>
          <cell r="D70">
            <v>0</v>
          </cell>
          <cell r="E70" t="str">
            <v>＝</v>
          </cell>
          <cell r="F70">
            <v>0</v>
          </cell>
          <cell r="G70" t="str">
            <v>流动负债合计</v>
          </cell>
          <cell r="H70">
            <v>0</v>
          </cell>
          <cell r="I70">
            <v>2498</v>
          </cell>
          <cell r="J70">
            <v>0</v>
          </cell>
          <cell r="M70" t="str">
            <v>以公允价值计量且其变动计入当期损益的金融负债</v>
          </cell>
          <cell r="S70" t="str">
            <v>1503d</v>
          </cell>
          <cell r="T70" t="str">
            <v>报告期内可供出售金融资产减值的变动情况</v>
          </cell>
          <cell r="U70" t="str">
            <v>可供出售金融资产分类</v>
          </cell>
          <cell r="V70">
            <v>1</v>
          </cell>
          <cell r="W70">
            <v>1503</v>
          </cell>
          <cell r="X70">
            <v>2</v>
          </cell>
        </row>
        <row r="71">
          <cell r="B71">
            <v>2500</v>
          </cell>
          <cell r="C71" t="str">
            <v>非流动负债项目</v>
          </cell>
          <cell r="D71">
            <v>0</v>
          </cell>
          <cell r="E71" t="str">
            <v>：</v>
          </cell>
          <cell r="F71">
            <v>0</v>
          </cell>
          <cell r="G71" t="str">
            <v>非流动负债：</v>
          </cell>
          <cell r="H71">
            <v>0</v>
          </cell>
          <cell r="I71">
            <v>2500</v>
          </cell>
          <cell r="J71">
            <v>0</v>
          </cell>
          <cell r="M71" t="str">
            <v>衍生金融负债</v>
          </cell>
          <cell r="S71" t="str">
            <v>1503g</v>
          </cell>
          <cell r="T71" t="str">
            <v>可供出售权益工具期末公允价值大幅下跌或持续下跌相关说明</v>
          </cell>
          <cell r="U71" t="str">
            <v>可供出售权益工具项目</v>
          </cell>
          <cell r="V71">
            <v>1</v>
          </cell>
          <cell r="W71">
            <v>1503</v>
          </cell>
          <cell r="X71">
            <v>2</v>
          </cell>
        </row>
        <row r="72">
          <cell r="B72">
            <v>2501</v>
          </cell>
          <cell r="C72" t="str">
            <v>长期借款</v>
          </cell>
          <cell r="D72">
            <v>-1</v>
          </cell>
          <cell r="E72">
            <v>0</v>
          </cell>
          <cell r="F72">
            <v>4120</v>
          </cell>
          <cell r="G72" t="str">
            <v>长期借款</v>
          </cell>
          <cell r="H72">
            <v>0</v>
          </cell>
          <cell r="I72">
            <v>2501</v>
          </cell>
          <cell r="J72" t="str">
            <v>J</v>
          </cell>
          <cell r="M72" t="str">
            <v>应付票据</v>
          </cell>
          <cell r="S72" t="str">
            <v>1501a</v>
          </cell>
          <cell r="T72" t="str">
            <v>持有至到期投资分项列示</v>
          </cell>
          <cell r="U72" t="str">
            <v>项       目</v>
          </cell>
          <cell r="V72">
            <v>1</v>
          </cell>
          <cell r="W72">
            <v>1501</v>
          </cell>
          <cell r="X72">
            <v>1</v>
          </cell>
        </row>
        <row r="73">
          <cell r="B73">
            <v>2502</v>
          </cell>
          <cell r="C73" t="str">
            <v>应付债券</v>
          </cell>
          <cell r="D73">
            <v>-1</v>
          </cell>
          <cell r="E73">
            <v>0</v>
          </cell>
          <cell r="F73">
            <v>4130</v>
          </cell>
          <cell r="G73" t="str">
            <v>应付债券</v>
          </cell>
          <cell r="H73">
            <v>0</v>
          </cell>
          <cell r="I73">
            <v>2502</v>
          </cell>
          <cell r="J73" t="str">
            <v>J</v>
          </cell>
          <cell r="M73" t="str">
            <v>应付账款</v>
          </cell>
          <cell r="S73" t="str">
            <v>1501d</v>
          </cell>
          <cell r="T73" t="str">
            <v>重要的持有至到期投资</v>
          </cell>
          <cell r="U73" t="str">
            <v>债券项目</v>
          </cell>
          <cell r="V73">
            <v>1</v>
          </cell>
          <cell r="W73">
            <v>1501</v>
          </cell>
          <cell r="X73">
            <v>2</v>
          </cell>
        </row>
        <row r="74">
          <cell r="B74">
            <v>2502.11</v>
          </cell>
          <cell r="C74" t="str">
            <v>应付债券_优先股</v>
          </cell>
          <cell r="D74">
            <v>-1</v>
          </cell>
          <cell r="E74" t="str">
            <v>OEI</v>
          </cell>
          <cell r="F74">
            <v>0</v>
          </cell>
          <cell r="G74" t="str">
            <v>其中：优先股</v>
          </cell>
          <cell r="H74">
            <v>0</v>
          </cell>
          <cell r="I74">
            <v>2502.11</v>
          </cell>
          <cell r="J74" t="str">
            <v>J</v>
          </cell>
          <cell r="M74" t="str">
            <v>预收款项</v>
          </cell>
          <cell r="S74" t="str">
            <v>1501e</v>
          </cell>
          <cell r="T74" t="str">
            <v>持有至到期投资重分类情况</v>
          </cell>
          <cell r="U74" t="str">
            <v>项       目</v>
          </cell>
          <cell r="V74">
            <v>1</v>
          </cell>
          <cell r="W74">
            <v>1501</v>
          </cell>
          <cell r="X74">
            <v>2</v>
          </cell>
        </row>
        <row r="75">
          <cell r="B75">
            <v>2502.31</v>
          </cell>
          <cell r="C75" t="str">
            <v>应付债券_永续债</v>
          </cell>
          <cell r="D75">
            <v>-1</v>
          </cell>
          <cell r="E75" t="str">
            <v>OEI</v>
          </cell>
          <cell r="F75">
            <v>0</v>
          </cell>
          <cell r="G75" t="str">
            <v xml:space="preserve">      永续债</v>
          </cell>
          <cell r="H75">
            <v>0</v>
          </cell>
          <cell r="I75">
            <v>2502.31</v>
          </cell>
          <cell r="J75" t="str">
            <v>J</v>
          </cell>
          <cell r="M75" t="str">
            <v>应付职工薪酬</v>
          </cell>
          <cell r="S75" t="str">
            <v>1531a</v>
          </cell>
          <cell r="T75" t="str">
            <v>长期应收款按性质披露</v>
          </cell>
          <cell r="U75" t="str">
            <v>项       目</v>
          </cell>
          <cell r="V75">
            <v>1</v>
          </cell>
          <cell r="W75">
            <v>1531</v>
          </cell>
          <cell r="X75">
            <v>1</v>
          </cell>
        </row>
        <row r="76">
          <cell r="B76">
            <v>2701</v>
          </cell>
          <cell r="C76" t="str">
            <v>长期应付款</v>
          </cell>
          <cell r="D76">
            <v>-1</v>
          </cell>
          <cell r="E76">
            <v>0</v>
          </cell>
          <cell r="F76">
            <v>4510</v>
          </cell>
          <cell r="G76" t="str">
            <v>长期应付款</v>
          </cell>
          <cell r="H76">
            <v>0</v>
          </cell>
          <cell r="I76">
            <v>2701</v>
          </cell>
          <cell r="J76" t="str">
            <v>J</v>
          </cell>
          <cell r="M76" t="str">
            <v>应交税费</v>
          </cell>
          <cell r="S76" t="str">
            <v>1531b</v>
          </cell>
          <cell r="T76" t="str">
            <v>长期应收款逾期情况</v>
          </cell>
          <cell r="U76" t="str">
            <v>逾  期</v>
          </cell>
          <cell r="V76">
            <v>1</v>
          </cell>
          <cell r="W76">
            <v>1531</v>
          </cell>
          <cell r="X76">
            <v>2</v>
          </cell>
        </row>
        <row r="77">
          <cell r="B77">
            <v>2715</v>
          </cell>
          <cell r="C77" t="str">
            <v>长期应付职工薪酬</v>
          </cell>
          <cell r="D77">
            <v>-1</v>
          </cell>
          <cell r="E77">
            <v>0</v>
          </cell>
          <cell r="F77">
            <v>4320</v>
          </cell>
          <cell r="G77" t="str">
            <v>长期应付职工薪酬</v>
          </cell>
          <cell r="H77">
            <v>0</v>
          </cell>
          <cell r="I77">
            <v>2715</v>
          </cell>
          <cell r="J77" t="str">
            <v>J</v>
          </cell>
          <cell r="M77" t="str">
            <v>应付利息</v>
          </cell>
          <cell r="S77" t="str">
            <v>1531c</v>
          </cell>
          <cell r="T77" t="str">
            <v>终止确认的长期应收款情况</v>
          </cell>
          <cell r="U77" t="str">
            <v>项       目</v>
          </cell>
          <cell r="V77">
            <v>1</v>
          </cell>
          <cell r="W77">
            <v>1531</v>
          </cell>
          <cell r="X77">
            <v>2</v>
          </cell>
        </row>
        <row r="78">
          <cell r="B78">
            <v>2711</v>
          </cell>
          <cell r="C78" t="str">
            <v>专项应付款</v>
          </cell>
          <cell r="D78">
            <v>-1</v>
          </cell>
          <cell r="E78">
            <v>0</v>
          </cell>
          <cell r="F78">
            <v>4520</v>
          </cell>
          <cell r="G78" t="str">
            <v>专项应付款</v>
          </cell>
          <cell r="H78">
            <v>0</v>
          </cell>
          <cell r="I78">
            <v>2711</v>
          </cell>
          <cell r="J78" t="str">
            <v>J</v>
          </cell>
          <cell r="M78" t="str">
            <v>应付股利</v>
          </cell>
          <cell r="S78" t="str">
            <v>1531d</v>
          </cell>
          <cell r="T78" t="str">
            <v>转移长期应收款且继续涉入形成的资产</v>
          </cell>
          <cell r="U78" t="str">
            <v>项       目</v>
          </cell>
          <cell r="V78">
            <v>1</v>
          </cell>
          <cell r="W78">
            <v>1531</v>
          </cell>
          <cell r="X78">
            <v>2</v>
          </cell>
        </row>
        <row r="79">
          <cell r="B79">
            <v>2801</v>
          </cell>
          <cell r="C79" t="str">
            <v>预计负债</v>
          </cell>
          <cell r="D79">
            <v>-1</v>
          </cell>
          <cell r="E79">
            <v>0</v>
          </cell>
          <cell r="F79">
            <v>4530</v>
          </cell>
          <cell r="G79" t="str">
            <v>预计负债</v>
          </cell>
          <cell r="H79">
            <v>0</v>
          </cell>
          <cell r="I79">
            <v>2801</v>
          </cell>
          <cell r="J79" t="str">
            <v>J</v>
          </cell>
          <cell r="M79" t="str">
            <v>其他应付款</v>
          </cell>
          <cell r="S79" t="str">
            <v>1531e</v>
          </cell>
          <cell r="T79" t="str">
            <v>转移长期应收款且继续涉入形成的负债</v>
          </cell>
          <cell r="U79" t="str">
            <v>项       目</v>
          </cell>
          <cell r="V79">
            <v>1</v>
          </cell>
          <cell r="W79">
            <v>1531</v>
          </cell>
          <cell r="X79">
            <v>2</v>
          </cell>
        </row>
        <row r="80">
          <cell r="B80">
            <v>2401</v>
          </cell>
          <cell r="C80" t="str">
            <v>递延收益</v>
          </cell>
          <cell r="D80">
            <v>-1</v>
          </cell>
          <cell r="E80">
            <v>0</v>
          </cell>
          <cell r="F80">
            <v>4540</v>
          </cell>
          <cell r="G80" t="str">
            <v>递延收益</v>
          </cell>
          <cell r="H80">
            <v>0</v>
          </cell>
          <cell r="I80">
            <v>2401</v>
          </cell>
          <cell r="J80" t="str">
            <v>J</v>
          </cell>
          <cell r="M80" t="str">
            <v>划分为持有待售的负债</v>
          </cell>
          <cell r="S80" t="str">
            <v>1531f</v>
          </cell>
          <cell r="T80" t="str">
            <v>外币长期应收款</v>
          </cell>
          <cell r="U80" t="str">
            <v>币       种</v>
          </cell>
          <cell r="V80">
            <v>1</v>
          </cell>
          <cell r="W80">
            <v>1531</v>
          </cell>
          <cell r="X80">
            <v>2</v>
          </cell>
        </row>
        <row r="81">
          <cell r="B81">
            <v>2901</v>
          </cell>
          <cell r="C81" t="str">
            <v>递延所得税负债</v>
          </cell>
          <cell r="D81">
            <v>-1</v>
          </cell>
          <cell r="E81">
            <v>0</v>
          </cell>
          <cell r="F81">
            <v>4420</v>
          </cell>
          <cell r="G81" t="str">
            <v>递延所得税负债</v>
          </cell>
          <cell r="H81">
            <v>0</v>
          </cell>
          <cell r="I81">
            <v>2901</v>
          </cell>
          <cell r="J81" t="str">
            <v>J</v>
          </cell>
          <cell r="M81" t="str">
            <v>一年内到期的非流动负债</v>
          </cell>
          <cell r="S81" t="str">
            <v>1515a</v>
          </cell>
          <cell r="T81" t="str">
            <v>设定受益计划净资产</v>
          </cell>
          <cell r="U81" t="str">
            <v>项       目</v>
          </cell>
          <cell r="V81">
            <v>1</v>
          </cell>
          <cell r="W81">
            <v>1515</v>
          </cell>
          <cell r="X81">
            <v>1</v>
          </cell>
        </row>
        <row r="82">
          <cell r="B82">
            <v>2996</v>
          </cell>
          <cell r="C82" t="str">
            <v>其他非流动负债</v>
          </cell>
          <cell r="D82">
            <v>-1</v>
          </cell>
          <cell r="E82">
            <v>0</v>
          </cell>
          <cell r="F82">
            <v>4590</v>
          </cell>
          <cell r="G82" t="str">
            <v>其他非流动负债</v>
          </cell>
          <cell r="H82">
            <v>0</v>
          </cell>
          <cell r="I82">
            <v>2996</v>
          </cell>
          <cell r="J82" t="str">
            <v>J</v>
          </cell>
          <cell r="M82" t="str">
            <v>其他流动负债</v>
          </cell>
          <cell r="S82" t="str">
            <v>1515b</v>
          </cell>
          <cell r="T82" t="str">
            <v>设定受益计划义务现值变动情况</v>
          </cell>
          <cell r="U82" t="str">
            <v>项       目</v>
          </cell>
          <cell r="V82">
            <v>1</v>
          </cell>
          <cell r="W82">
            <v>1515</v>
          </cell>
          <cell r="X82">
            <v>2</v>
          </cell>
        </row>
        <row r="83">
          <cell r="B83">
            <v>2998</v>
          </cell>
          <cell r="C83" t="str">
            <v>非流动负债</v>
          </cell>
          <cell r="D83">
            <v>0</v>
          </cell>
          <cell r="E83" t="str">
            <v>＝</v>
          </cell>
          <cell r="F83">
            <v>0</v>
          </cell>
          <cell r="G83" t="str">
            <v>非流动负债合计</v>
          </cell>
          <cell r="H83">
            <v>0</v>
          </cell>
          <cell r="I83">
            <v>2998</v>
          </cell>
          <cell r="J83">
            <v>0</v>
          </cell>
          <cell r="M83" t="str">
            <v>递延收益</v>
          </cell>
          <cell r="S83" t="str">
            <v>1515c</v>
          </cell>
          <cell r="T83" t="str">
            <v>设定受益计划资产变动情况</v>
          </cell>
          <cell r="U83" t="str">
            <v>项       目</v>
          </cell>
          <cell r="V83">
            <v>1</v>
          </cell>
          <cell r="W83">
            <v>1515</v>
          </cell>
          <cell r="X83">
            <v>2</v>
          </cell>
        </row>
        <row r="84">
          <cell r="B84">
            <v>2999</v>
          </cell>
          <cell r="C84" t="str">
            <v>负债</v>
          </cell>
          <cell r="D84">
            <v>0</v>
          </cell>
          <cell r="E84" t="str">
            <v>＝</v>
          </cell>
          <cell r="F84">
            <v>0</v>
          </cell>
          <cell r="G84" t="str">
            <v>负债合计</v>
          </cell>
          <cell r="H84">
            <v>0</v>
          </cell>
          <cell r="I84">
            <v>2999</v>
          </cell>
          <cell r="J84">
            <v>0</v>
          </cell>
          <cell r="M84" t="str">
            <v>长期借款</v>
          </cell>
          <cell r="S84" t="str">
            <v>1515d</v>
          </cell>
          <cell r="T84" t="str">
            <v>设定受益计划净资产变动情况</v>
          </cell>
          <cell r="U84" t="str">
            <v>项       目</v>
          </cell>
          <cell r="V84">
            <v>1</v>
          </cell>
          <cell r="W84">
            <v>1515</v>
          </cell>
          <cell r="X84">
            <v>2</v>
          </cell>
        </row>
        <row r="85">
          <cell r="B85">
            <v>4000</v>
          </cell>
          <cell r="C85" t="str">
            <v>所有者权益项目</v>
          </cell>
          <cell r="D85">
            <v>0</v>
          </cell>
          <cell r="E85" t="str">
            <v>：</v>
          </cell>
          <cell r="F85">
            <v>0</v>
          </cell>
          <cell r="G85" t="str">
            <v>股东（或所有者）权益：</v>
          </cell>
          <cell r="H85" t="str">
            <v>所有者权益(或股东权益)：</v>
          </cell>
          <cell r="I85">
            <v>4000</v>
          </cell>
          <cell r="J85">
            <v>0</v>
          </cell>
          <cell r="M85" t="str">
            <v>应付债券</v>
          </cell>
          <cell r="S85" t="str">
            <v>1515e</v>
          </cell>
          <cell r="T85" t="str">
            <v>未折现的离职后福利预计到期分析</v>
          </cell>
          <cell r="U85" t="str">
            <v>项       目</v>
          </cell>
          <cell r="V85">
            <v>1</v>
          </cell>
          <cell r="W85">
            <v>1515</v>
          </cell>
          <cell r="X85">
            <v>2</v>
          </cell>
        </row>
        <row r="86">
          <cell r="B86">
            <v>4001</v>
          </cell>
          <cell r="C86" t="str">
            <v>实收资本</v>
          </cell>
          <cell r="D86">
            <v>-1</v>
          </cell>
          <cell r="E86">
            <v>0</v>
          </cell>
          <cell r="F86">
            <v>5110</v>
          </cell>
          <cell r="G86" t="str">
            <v>股本</v>
          </cell>
          <cell r="H86" t="str">
            <v>实收资本（或股本）</v>
          </cell>
          <cell r="I86">
            <v>4001</v>
          </cell>
          <cell r="J86" t="str">
            <v>J</v>
          </cell>
          <cell r="M86" t="str">
            <v>应付债券_优先股</v>
          </cell>
          <cell r="S86" t="str">
            <v>1515f</v>
          </cell>
          <cell r="T86" t="str">
            <v>设定受益计划资产明细</v>
          </cell>
          <cell r="U86" t="str">
            <v>项       目</v>
          </cell>
          <cell r="V86">
            <v>1</v>
          </cell>
          <cell r="W86">
            <v>1515</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应付债券_永续债</v>
          </cell>
          <cell r="S87" t="str">
            <v>1515g</v>
          </cell>
          <cell r="T87" t="str">
            <v>设定受益计划精算假设</v>
          </cell>
          <cell r="U87" t="str">
            <v>项       目</v>
          </cell>
          <cell r="V87">
            <v>1</v>
          </cell>
          <cell r="W87">
            <v>1515</v>
          </cell>
          <cell r="X87">
            <v>2</v>
          </cell>
        </row>
        <row r="88">
          <cell r="B88">
            <v>4015.11</v>
          </cell>
          <cell r="C88" t="str">
            <v>其他权益工具_优先股</v>
          </cell>
          <cell r="D88">
            <v>-1</v>
          </cell>
          <cell r="E88" t="str">
            <v>OEI</v>
          </cell>
          <cell r="F88">
            <v>0</v>
          </cell>
          <cell r="G88" t="str">
            <v>其中：优先股</v>
          </cell>
          <cell r="H88" t="str">
            <v>其中：优先股</v>
          </cell>
          <cell r="I88">
            <v>4015.11</v>
          </cell>
          <cell r="J88" t="str">
            <v>J</v>
          </cell>
          <cell r="M88" t="str">
            <v>长期应付款</v>
          </cell>
          <cell r="S88" t="str">
            <v>1515h</v>
          </cell>
          <cell r="T88" t="str">
            <v>设定受益计划敏感性分析</v>
          </cell>
          <cell r="U88" t="str">
            <v>项       目</v>
          </cell>
          <cell r="V88">
            <v>1</v>
          </cell>
          <cell r="W88">
            <v>1515</v>
          </cell>
          <cell r="X88">
            <v>2</v>
          </cell>
        </row>
        <row r="89">
          <cell r="B89">
            <v>4015.31</v>
          </cell>
          <cell r="C89" t="str">
            <v>其他权益工具_永续债</v>
          </cell>
          <cell r="D89">
            <v>-1</v>
          </cell>
          <cell r="E89" t="str">
            <v>OEI</v>
          </cell>
          <cell r="F89">
            <v>0</v>
          </cell>
          <cell r="G89" t="str">
            <v xml:space="preserve">      永续债</v>
          </cell>
          <cell r="H89" t="str">
            <v xml:space="preserve">      永续债</v>
          </cell>
          <cell r="I89">
            <v>4015.31</v>
          </cell>
          <cell r="J89" t="str">
            <v>J</v>
          </cell>
          <cell r="M89" t="str">
            <v>专项应付款</v>
          </cell>
          <cell r="S89" t="str">
            <v>1511a</v>
          </cell>
          <cell r="T89" t="str">
            <v>长期股权投资分项列示</v>
          </cell>
          <cell r="U89" t="str">
            <v>被投资单位</v>
          </cell>
          <cell r="V89">
            <v>1</v>
          </cell>
          <cell r="W89">
            <v>1511</v>
          </cell>
          <cell r="X89">
            <v>2</v>
          </cell>
        </row>
        <row r="90">
          <cell r="B90">
            <v>4015.91</v>
          </cell>
          <cell r="C90" t="str">
            <v>其他权益工具_其他</v>
          </cell>
          <cell r="D90">
            <v>-1</v>
          </cell>
          <cell r="E90" t="str">
            <v>OEI</v>
          </cell>
          <cell r="F90">
            <v>0</v>
          </cell>
          <cell r="G90" t="str">
            <v xml:space="preserve">      其他</v>
          </cell>
          <cell r="H90" t="str">
            <v xml:space="preserve">      其他</v>
          </cell>
          <cell r="I90">
            <v>4015.91</v>
          </cell>
          <cell r="J90" t="str">
            <v>J</v>
          </cell>
          <cell r="M90" t="str">
            <v>长期应付职工薪酬</v>
          </cell>
          <cell r="S90" t="str">
            <v>1511b</v>
          </cell>
          <cell r="T90" t="str">
            <v>长期股权投资本期增减变动</v>
          </cell>
          <cell r="U90" t="str">
            <v>被投资单位</v>
          </cell>
          <cell r="V90">
            <v>1</v>
          </cell>
          <cell r="W90">
            <v>1511</v>
          </cell>
          <cell r="X90">
            <v>1</v>
          </cell>
        </row>
        <row r="91">
          <cell r="B91">
            <v>4002</v>
          </cell>
          <cell r="C91" t="str">
            <v>资本公积</v>
          </cell>
          <cell r="D91">
            <v>-1</v>
          </cell>
          <cell r="E91">
            <v>0</v>
          </cell>
          <cell r="F91">
            <v>5210</v>
          </cell>
          <cell r="G91" t="str">
            <v>资本公积</v>
          </cell>
          <cell r="H91" t="str">
            <v>资本公积</v>
          </cell>
          <cell r="I91">
            <v>4002</v>
          </cell>
          <cell r="J91" t="str">
            <v>J</v>
          </cell>
          <cell r="M91" t="str">
            <v>预计负债</v>
          </cell>
          <cell r="S91" t="str">
            <v>1521d</v>
          </cell>
          <cell r="T91" t="str">
            <v>按成本计量的投资性房地产账面原值</v>
          </cell>
          <cell r="U91" t="str">
            <v>项       目</v>
          </cell>
          <cell r="V91">
            <v>1</v>
          </cell>
          <cell r="W91">
            <v>1521</v>
          </cell>
          <cell r="X91">
            <v>2</v>
          </cell>
        </row>
        <row r="92">
          <cell r="B92">
            <v>4201</v>
          </cell>
          <cell r="C92" t="str">
            <v>库存股</v>
          </cell>
          <cell r="D92">
            <v>1</v>
          </cell>
          <cell r="E92">
            <v>0</v>
          </cell>
          <cell r="F92">
            <v>5310</v>
          </cell>
          <cell r="G92" t="str">
            <v>减：库存股</v>
          </cell>
          <cell r="H92" t="str">
            <v>减：库存股</v>
          </cell>
          <cell r="I92">
            <v>4201</v>
          </cell>
          <cell r="J92" t="str">
            <v>J</v>
          </cell>
          <cell r="M92" t="str">
            <v>递延所得税负债</v>
          </cell>
          <cell r="S92" t="str">
            <v>1521e</v>
          </cell>
          <cell r="T92" t="str">
            <v>按成本计量的投资性房地产累计折旧和累计摊销</v>
          </cell>
          <cell r="U92" t="str">
            <v>项       目</v>
          </cell>
          <cell r="V92">
            <v>1</v>
          </cell>
          <cell r="W92">
            <v>1521</v>
          </cell>
          <cell r="X92">
            <v>2</v>
          </cell>
        </row>
        <row r="93">
          <cell r="B93">
            <v>4215</v>
          </cell>
          <cell r="C93" t="str">
            <v>其他综合收益</v>
          </cell>
          <cell r="D93">
            <v>-1</v>
          </cell>
          <cell r="E93">
            <v>0</v>
          </cell>
          <cell r="F93">
            <v>6710</v>
          </cell>
          <cell r="G93" t="str">
            <v>其他综合收益</v>
          </cell>
          <cell r="H93" t="str">
            <v>其他综合收益</v>
          </cell>
          <cell r="I93">
            <v>4215</v>
          </cell>
          <cell r="J93" t="str">
            <v>J</v>
          </cell>
          <cell r="M93" t="str">
            <v>其他非流动负债</v>
          </cell>
          <cell r="S93" t="str">
            <v>1521f</v>
          </cell>
          <cell r="T93" t="str">
            <v>按成本计量的投资性房地产减值准备</v>
          </cell>
          <cell r="U93" t="str">
            <v>项       目</v>
          </cell>
          <cell r="V93">
            <v>1</v>
          </cell>
          <cell r="W93">
            <v>1521</v>
          </cell>
          <cell r="X93">
            <v>2</v>
          </cell>
        </row>
        <row r="94">
          <cell r="B94">
            <v>4301</v>
          </cell>
          <cell r="C94" t="str">
            <v>专项储备</v>
          </cell>
          <cell r="D94">
            <v>-1</v>
          </cell>
          <cell r="E94">
            <v>0</v>
          </cell>
          <cell r="F94">
            <v>5510</v>
          </cell>
          <cell r="G94" t="str">
            <v>专项储备</v>
          </cell>
          <cell r="H94" t="str">
            <v>专项储备</v>
          </cell>
          <cell r="I94">
            <v>4301</v>
          </cell>
          <cell r="J94" t="str">
            <v>J</v>
          </cell>
          <cell r="M94" t="str">
            <v>营业收入</v>
          </cell>
          <cell r="S94" t="str">
            <v>1521g</v>
          </cell>
          <cell r="T94" t="str">
            <v>按成本计量的投资性房地产账面价值</v>
          </cell>
          <cell r="U94" t="str">
            <v>项       目</v>
          </cell>
          <cell r="V94">
            <v>1</v>
          </cell>
          <cell r="W94">
            <v>1521</v>
          </cell>
          <cell r="X94">
            <v>1</v>
          </cell>
        </row>
        <row r="95">
          <cell r="B95">
            <v>4101</v>
          </cell>
          <cell r="C95" t="str">
            <v>盈余公积</v>
          </cell>
          <cell r="D95">
            <v>-1</v>
          </cell>
          <cell r="E95">
            <v>0</v>
          </cell>
          <cell r="F95">
            <v>5410</v>
          </cell>
          <cell r="G95" t="str">
            <v>盈余公积</v>
          </cell>
          <cell r="H95" t="str">
            <v>盈余公积</v>
          </cell>
          <cell r="I95">
            <v>4101</v>
          </cell>
          <cell r="J95" t="str">
            <v>J</v>
          </cell>
          <cell r="M95" t="str">
            <v>公允价值变动收益</v>
          </cell>
          <cell r="S95" t="str">
            <v>1521b</v>
          </cell>
          <cell r="T95" t="str">
            <v>按公允价值计量的投资性房地产</v>
          </cell>
          <cell r="U95" t="str">
            <v>项       目</v>
          </cell>
          <cell r="V95">
            <v>1</v>
          </cell>
          <cell r="W95">
            <v>1521</v>
          </cell>
          <cell r="X95">
            <v>2</v>
          </cell>
        </row>
        <row r="96">
          <cell r="B96">
            <v>4102</v>
          </cell>
          <cell r="C96" t="str">
            <v>一般风险准备</v>
          </cell>
          <cell r="D96">
            <v>-1</v>
          </cell>
          <cell r="E96">
            <v>0</v>
          </cell>
          <cell r="F96">
            <v>0</v>
          </cell>
          <cell r="G96" t="str">
            <v>一般风险准备</v>
          </cell>
          <cell r="H96" t="str">
            <v>一般风险准备</v>
          </cell>
          <cell r="I96">
            <v>4102</v>
          </cell>
          <cell r="J96" t="str">
            <v>J</v>
          </cell>
          <cell r="M96" t="str">
            <v>投资收益</v>
          </cell>
          <cell r="S96" t="str">
            <v>1521c</v>
          </cell>
          <cell r="T96" t="str">
            <v>未办妥产权证书的情况</v>
          </cell>
          <cell r="U96" t="str">
            <v>项       目</v>
          </cell>
          <cell r="V96">
            <v>1</v>
          </cell>
          <cell r="W96">
            <v>1521</v>
          </cell>
          <cell r="X96">
            <v>2</v>
          </cell>
        </row>
        <row r="97">
          <cell r="B97">
            <v>4200</v>
          </cell>
          <cell r="C97" t="str">
            <v>未分配利润</v>
          </cell>
          <cell r="D97">
            <v>-1</v>
          </cell>
          <cell r="E97">
            <v>0</v>
          </cell>
          <cell r="F97">
            <v>5610</v>
          </cell>
          <cell r="G97" t="str">
            <v>未分配利润</v>
          </cell>
          <cell r="H97" t="str">
            <v>未分配利润</v>
          </cell>
          <cell r="I97">
            <v>4200</v>
          </cell>
          <cell r="J97" t="str">
            <v>J</v>
          </cell>
          <cell r="M97" t="str">
            <v>对联营企业和合营企业的投资收益</v>
          </cell>
          <cell r="S97" t="str">
            <v>1521s</v>
          </cell>
          <cell r="T97" t="str">
            <v>投资性房地产抵押情况</v>
          </cell>
          <cell r="U97" t="str">
            <v>抵押资产明细项目</v>
          </cell>
          <cell r="V97">
            <v>1</v>
          </cell>
          <cell r="W97">
            <v>1521</v>
          </cell>
          <cell r="X97">
            <v>2</v>
          </cell>
        </row>
        <row r="98">
          <cell r="B98">
            <v>4210</v>
          </cell>
          <cell r="C98" t="str">
            <v>外币报表折算差额</v>
          </cell>
          <cell r="D98">
            <v>-1</v>
          </cell>
          <cell r="E98" t="str">
            <v>※</v>
          </cell>
          <cell r="F98">
            <v>0</v>
          </cell>
          <cell r="G98" t="str">
            <v>外币报表折算差额</v>
          </cell>
          <cell r="H98" t="str">
            <v>外币报表折算差额</v>
          </cell>
          <cell r="I98">
            <v>4210</v>
          </cell>
          <cell r="J98">
            <v>0</v>
          </cell>
          <cell r="M98" t="str">
            <v>营业成本</v>
          </cell>
          <cell r="S98" t="str">
            <v>1521a</v>
          </cell>
          <cell r="T98" t="str">
            <v>采用成本计量模式的投资性房地产增减变动</v>
          </cell>
          <cell r="U98" t="str">
            <v>项       目</v>
          </cell>
          <cell r="V98">
            <v>1</v>
          </cell>
          <cell r="W98">
            <v>1521</v>
          </cell>
          <cell r="X98">
            <v>2</v>
          </cell>
        </row>
        <row r="99">
          <cell r="B99">
            <v>4298</v>
          </cell>
          <cell r="C99" t="str">
            <v>归属于母公司所有者权益</v>
          </cell>
          <cell r="D99">
            <v>0</v>
          </cell>
          <cell r="E99" t="str">
            <v>※</v>
          </cell>
          <cell r="F99">
            <v>0</v>
          </cell>
          <cell r="G99" t="str">
            <v>归属于母公司股东权益合计</v>
          </cell>
          <cell r="H99" t="str">
            <v>归属于母公司所有者权益合计</v>
          </cell>
          <cell r="I99">
            <v>4298</v>
          </cell>
          <cell r="J99">
            <v>0</v>
          </cell>
          <cell r="M99" t="str">
            <v>营业税金及附加</v>
          </cell>
          <cell r="S99" t="str">
            <v>1601g</v>
          </cell>
          <cell r="T99" t="str">
            <v>固定资产原值</v>
          </cell>
          <cell r="U99" t="str">
            <v>项       目</v>
          </cell>
          <cell r="V99">
            <v>1</v>
          </cell>
          <cell r="W99">
            <v>1601</v>
          </cell>
          <cell r="X99">
            <v>2</v>
          </cell>
        </row>
        <row r="100">
          <cell r="B100">
            <v>4398</v>
          </cell>
          <cell r="C100" t="str">
            <v>少数股东权益</v>
          </cell>
          <cell r="D100">
            <v>-1</v>
          </cell>
          <cell r="E100" t="str">
            <v>※</v>
          </cell>
          <cell r="F100">
            <v>0</v>
          </cell>
          <cell r="G100" t="str">
            <v>少数股东权益</v>
          </cell>
          <cell r="H100" t="str">
            <v>少数股东权益</v>
          </cell>
          <cell r="I100">
            <v>4398</v>
          </cell>
          <cell r="J100" t="str">
            <v>J</v>
          </cell>
          <cell r="M100" t="str">
            <v>销售费用</v>
          </cell>
          <cell r="S100" t="str">
            <v>1601h</v>
          </cell>
          <cell r="T100" t="str">
            <v>固定资产累计折旧</v>
          </cell>
          <cell r="U100" t="str">
            <v>项       目</v>
          </cell>
          <cell r="V100">
            <v>1</v>
          </cell>
          <cell r="W100">
            <v>1601</v>
          </cell>
          <cell r="X100">
            <v>2</v>
          </cell>
        </row>
        <row r="101">
          <cell r="B101">
            <v>4999</v>
          </cell>
          <cell r="C101" t="str">
            <v>所有者权益</v>
          </cell>
          <cell r="D101">
            <v>0</v>
          </cell>
          <cell r="E101" t="str">
            <v>＝</v>
          </cell>
          <cell r="F101">
            <v>0</v>
          </cell>
          <cell r="G101" t="str">
            <v>股东（或所有者）权益合计</v>
          </cell>
          <cell r="H101" t="str">
            <v>所有者权益合计</v>
          </cell>
          <cell r="I101">
            <v>4999</v>
          </cell>
          <cell r="J101">
            <v>0</v>
          </cell>
          <cell r="M101" t="str">
            <v>管理费用</v>
          </cell>
          <cell r="S101" t="str">
            <v>1601i</v>
          </cell>
          <cell r="T101" t="str">
            <v>固定资产减值准备</v>
          </cell>
          <cell r="U101" t="str">
            <v>项       目</v>
          </cell>
          <cell r="V101">
            <v>1</v>
          </cell>
          <cell r="W101">
            <v>1601</v>
          </cell>
          <cell r="X101">
            <v>2</v>
          </cell>
        </row>
        <row r="102">
          <cell r="B102">
            <v>5000</v>
          </cell>
          <cell r="C102" t="str">
            <v>负债和所有者权益</v>
          </cell>
          <cell r="D102">
            <v>0</v>
          </cell>
          <cell r="E102" t="str">
            <v>＝</v>
          </cell>
          <cell r="F102">
            <v>0</v>
          </cell>
          <cell r="G102" t="str">
            <v>负债和股东（或所有者）权益总计</v>
          </cell>
          <cell r="H102" t="str">
            <v>负债和所有者权益总计</v>
          </cell>
          <cell r="I102">
            <v>5000</v>
          </cell>
          <cell r="J102">
            <v>0</v>
          </cell>
          <cell r="M102" t="str">
            <v>财务费用</v>
          </cell>
          <cell r="S102" t="str">
            <v>1601j</v>
          </cell>
          <cell r="T102" t="str">
            <v>固定资产账面价值</v>
          </cell>
          <cell r="U102" t="str">
            <v>项       目</v>
          </cell>
          <cell r="V102">
            <v>1</v>
          </cell>
          <cell r="W102">
            <v>1601</v>
          </cell>
          <cell r="X102">
            <v>1</v>
          </cell>
        </row>
        <row r="103">
          <cell r="B103">
            <v>6</v>
          </cell>
          <cell r="C103" t="str">
            <v>利润表</v>
          </cell>
          <cell r="D103">
            <v>0</v>
          </cell>
          <cell r="E103" t="str">
            <v>：</v>
          </cell>
          <cell r="F103">
            <v>0</v>
          </cell>
          <cell r="G103" t="str">
            <v>利润表</v>
          </cell>
          <cell r="H103">
            <v>0</v>
          </cell>
          <cell r="I103">
            <v>6</v>
          </cell>
          <cell r="J103">
            <v>0</v>
          </cell>
          <cell r="M103" t="str">
            <v>资产减值损失</v>
          </cell>
          <cell r="S103" t="str">
            <v>1601b</v>
          </cell>
          <cell r="T103" t="str">
            <v>暂时闲置的固定资产情况</v>
          </cell>
          <cell r="U103" t="str">
            <v>类       别</v>
          </cell>
          <cell r="V103">
            <v>1</v>
          </cell>
          <cell r="W103">
            <v>1601</v>
          </cell>
          <cell r="X103">
            <v>2</v>
          </cell>
        </row>
        <row r="104">
          <cell r="B104">
            <v>6098</v>
          </cell>
          <cell r="C104" t="str">
            <v>营业总收入</v>
          </cell>
          <cell r="D104">
            <v>0</v>
          </cell>
          <cell r="E104" t="str">
            <v>※</v>
          </cell>
          <cell r="F104">
            <v>0</v>
          </cell>
          <cell r="G104" t="str">
            <v>一、营业总收入</v>
          </cell>
          <cell r="H104" t="str">
            <v>一、营业总收入</v>
          </cell>
          <cell r="I104">
            <v>6098</v>
          </cell>
          <cell r="J104">
            <v>0</v>
          </cell>
          <cell r="M104" t="str">
            <v>营业外收入</v>
          </cell>
          <cell r="S104" t="str">
            <v>1601c</v>
          </cell>
          <cell r="T104" t="str">
            <v>通过融资租赁租入的固定资产情况</v>
          </cell>
          <cell r="U104" t="str">
            <v>资产类别</v>
          </cell>
          <cell r="V104">
            <v>1</v>
          </cell>
          <cell r="W104">
            <v>1601</v>
          </cell>
          <cell r="X104">
            <v>2</v>
          </cell>
        </row>
        <row r="105">
          <cell r="B105">
            <v>6001</v>
          </cell>
          <cell r="C105" t="str">
            <v>营业收入</v>
          </cell>
          <cell r="D105">
            <v>-1</v>
          </cell>
          <cell r="E105">
            <v>0</v>
          </cell>
          <cell r="F105">
            <v>6100</v>
          </cell>
          <cell r="G105" t="str">
            <v>一、营业收入</v>
          </cell>
          <cell r="H105" t="str">
            <v>其中：营业收入</v>
          </cell>
          <cell r="I105">
            <v>6001</v>
          </cell>
          <cell r="J105" t="str">
            <v>J</v>
          </cell>
          <cell r="M105" t="str">
            <v>营业外收入_非流动资产处置利得</v>
          </cell>
          <cell r="S105" t="str">
            <v>1601d</v>
          </cell>
          <cell r="T105" t="str">
            <v>通过经营租赁租出的固定资产</v>
          </cell>
          <cell r="U105" t="str">
            <v>资产类别</v>
          </cell>
          <cell r="V105">
            <v>1</v>
          </cell>
          <cell r="W105">
            <v>1601</v>
          </cell>
          <cell r="X105">
            <v>2</v>
          </cell>
        </row>
        <row r="106">
          <cell r="B106">
            <v>6011</v>
          </cell>
          <cell r="C106" t="str">
            <v>利息收入</v>
          </cell>
          <cell r="D106">
            <v>-1</v>
          </cell>
          <cell r="E106" t="str">
            <v>△</v>
          </cell>
          <cell r="F106">
            <v>0</v>
          </cell>
          <cell r="G106" t="str">
            <v>利息收入</v>
          </cell>
          <cell r="H106" t="str">
            <v>利息收入</v>
          </cell>
          <cell r="I106">
            <v>6011</v>
          </cell>
          <cell r="J106" t="str">
            <v>J</v>
          </cell>
          <cell r="M106" t="str">
            <v>营业外支出</v>
          </cell>
          <cell r="S106" t="str">
            <v>1601f</v>
          </cell>
          <cell r="T106" t="str">
            <v>未办妥产权证书的固定资产情况</v>
          </cell>
          <cell r="U106" t="str">
            <v>项       目</v>
          </cell>
          <cell r="V106">
            <v>1</v>
          </cell>
          <cell r="W106">
            <v>1601</v>
          </cell>
          <cell r="X106">
            <v>2</v>
          </cell>
        </row>
        <row r="107">
          <cell r="B107">
            <v>6030</v>
          </cell>
          <cell r="C107" t="str">
            <v>已赚保费</v>
          </cell>
          <cell r="D107">
            <v>-1</v>
          </cell>
          <cell r="E107" t="str">
            <v>△</v>
          </cell>
          <cell r="F107">
            <v>0</v>
          </cell>
          <cell r="G107" t="str">
            <v>已赚保费</v>
          </cell>
          <cell r="H107" t="str">
            <v>已赚保费</v>
          </cell>
          <cell r="I107">
            <v>6030</v>
          </cell>
          <cell r="J107" t="str">
            <v>J</v>
          </cell>
          <cell r="M107" t="str">
            <v>非流动资产处置损失</v>
          </cell>
          <cell r="S107" t="str">
            <v>1601s</v>
          </cell>
          <cell r="T107" t="str">
            <v>固定资产抵押情况</v>
          </cell>
          <cell r="U107" t="str">
            <v>抵押资产明细项目</v>
          </cell>
          <cell r="V107">
            <v>1</v>
          </cell>
          <cell r="W107">
            <v>1601</v>
          </cell>
          <cell r="X107">
            <v>2</v>
          </cell>
        </row>
        <row r="108">
          <cell r="B108">
            <v>6021</v>
          </cell>
          <cell r="C108" t="str">
            <v>手续费及佣金收入</v>
          </cell>
          <cell r="D108">
            <v>-1</v>
          </cell>
          <cell r="E108" t="str">
            <v>△</v>
          </cell>
          <cell r="F108">
            <v>0</v>
          </cell>
          <cell r="G108" t="str">
            <v>手续费及佣金收入</v>
          </cell>
          <cell r="H108" t="str">
            <v>手续费及佣金收入</v>
          </cell>
          <cell r="I108">
            <v>6021</v>
          </cell>
          <cell r="J108" t="str">
            <v>J</v>
          </cell>
          <cell r="M108" t="str">
            <v>所得税费用</v>
          </cell>
          <cell r="S108" t="str">
            <v>1601a</v>
          </cell>
          <cell r="T108" t="str">
            <v>固定资产及其累计折旧明细项目和增减变动</v>
          </cell>
          <cell r="U108" t="str">
            <v>项       目</v>
          </cell>
          <cell r="V108">
            <v>1</v>
          </cell>
          <cell r="W108">
            <v>1601</v>
          </cell>
          <cell r="X108">
            <v>2</v>
          </cell>
        </row>
        <row r="109">
          <cell r="B109">
            <v>6598</v>
          </cell>
          <cell r="C109" t="str">
            <v>营业总成本</v>
          </cell>
          <cell r="D109">
            <v>0</v>
          </cell>
          <cell r="E109" t="str">
            <v>※</v>
          </cell>
          <cell r="F109">
            <v>0</v>
          </cell>
          <cell r="G109" t="str">
            <v>二、营业总成本</v>
          </cell>
          <cell r="H109" t="str">
            <v>二、营业总成本</v>
          </cell>
          <cell r="I109">
            <v>6598</v>
          </cell>
          <cell r="J109">
            <v>0</v>
          </cell>
          <cell r="M109" t="str">
            <v>少数股东损益</v>
          </cell>
          <cell r="S109" t="str">
            <v>1604a</v>
          </cell>
          <cell r="T109" t="str">
            <v>在建工程明细</v>
          </cell>
          <cell r="U109" t="str">
            <v>项       目</v>
          </cell>
          <cell r="V109">
            <v>1</v>
          </cell>
          <cell r="W109">
            <v>1604</v>
          </cell>
          <cell r="X109">
            <v>1</v>
          </cell>
        </row>
        <row r="110">
          <cell r="B110">
            <v>6401</v>
          </cell>
          <cell r="C110" t="str">
            <v>营业成本</v>
          </cell>
          <cell r="D110">
            <v>1</v>
          </cell>
          <cell r="E110">
            <v>0</v>
          </cell>
          <cell r="F110">
            <v>6200</v>
          </cell>
          <cell r="G110" t="str">
            <v>减：营业成本</v>
          </cell>
          <cell r="H110" t="str">
            <v>其中：营业成本</v>
          </cell>
          <cell r="I110">
            <v>6401</v>
          </cell>
          <cell r="J110" t="str">
            <v>J</v>
          </cell>
          <cell r="M110" t="str">
            <v>重新计量设定受益计划净负债或净资产的变动</v>
          </cell>
          <cell r="S110" t="str">
            <v>1604b</v>
          </cell>
          <cell r="T110" t="str">
            <v>重要在建工程项目变动情况</v>
          </cell>
          <cell r="U110" t="str">
            <v>工程名称</v>
          </cell>
          <cell r="V110">
            <v>1</v>
          </cell>
          <cell r="W110">
            <v>1604</v>
          </cell>
          <cell r="X110">
            <v>2</v>
          </cell>
        </row>
        <row r="111">
          <cell r="B111">
            <v>6411</v>
          </cell>
          <cell r="C111" t="str">
            <v>利息支出</v>
          </cell>
          <cell r="D111">
            <v>1</v>
          </cell>
          <cell r="E111" t="str">
            <v>△</v>
          </cell>
          <cell r="F111">
            <v>0</v>
          </cell>
          <cell r="G111" t="str">
            <v>利息支出</v>
          </cell>
          <cell r="H111" t="str">
            <v>利息支出</v>
          </cell>
          <cell r="I111">
            <v>6411</v>
          </cell>
          <cell r="J111" t="str">
            <v>J</v>
          </cell>
          <cell r="M111" t="str">
            <v>权益法下在被投资单位不能重分类进损益的其他综合收益中享有的份额</v>
          </cell>
          <cell r="S111" t="str">
            <v>1604c</v>
          </cell>
          <cell r="T111" t="str">
            <v>重要在建工程项目变动情况（续）</v>
          </cell>
          <cell r="U111" t="str">
            <v>工程名称</v>
          </cell>
          <cell r="V111">
            <v>1</v>
          </cell>
          <cell r="W111">
            <v>1604</v>
          </cell>
          <cell r="X111">
            <v>2</v>
          </cell>
        </row>
        <row r="112">
          <cell r="B112">
            <v>6421</v>
          </cell>
          <cell r="C112" t="str">
            <v>手续费及佣金支出</v>
          </cell>
          <cell r="D112">
            <v>1</v>
          </cell>
          <cell r="E112" t="str">
            <v>△</v>
          </cell>
          <cell r="F112">
            <v>0</v>
          </cell>
          <cell r="G112" t="str">
            <v>手续费及佣金支出</v>
          </cell>
          <cell r="H112" t="str">
            <v>手续费及佣金支出</v>
          </cell>
          <cell r="I112">
            <v>6421</v>
          </cell>
          <cell r="J112" t="str">
            <v>J</v>
          </cell>
          <cell r="M112" t="str">
            <v>其他以后不能重分类进损益的其他综合收益</v>
          </cell>
          <cell r="S112" t="str">
            <v>1604d</v>
          </cell>
          <cell r="T112" t="str">
            <v>在建工程减值准备</v>
          </cell>
          <cell r="U112" t="str">
            <v>项       目</v>
          </cell>
          <cell r="V112">
            <v>1</v>
          </cell>
          <cell r="W112">
            <v>1604</v>
          </cell>
          <cell r="X112">
            <v>2</v>
          </cell>
        </row>
        <row r="113">
          <cell r="B113">
            <v>6531</v>
          </cell>
          <cell r="C113" t="str">
            <v>退保金</v>
          </cell>
          <cell r="D113">
            <v>1</v>
          </cell>
          <cell r="E113" t="str">
            <v>△</v>
          </cell>
          <cell r="F113">
            <v>0</v>
          </cell>
          <cell r="G113" t="str">
            <v>退保金</v>
          </cell>
          <cell r="H113" t="str">
            <v>退保金</v>
          </cell>
          <cell r="I113">
            <v>6531</v>
          </cell>
          <cell r="J113" t="str">
            <v>J</v>
          </cell>
          <cell r="M113" t="str">
            <v>权益法下在被投资单位以后将重分类进损益的其他综合收益中享有的份额</v>
          </cell>
          <cell r="S113" t="str">
            <v>1605a</v>
          </cell>
          <cell r="T113" t="str">
            <v>工程物资明细项目</v>
          </cell>
          <cell r="U113" t="str">
            <v>项       目</v>
          </cell>
          <cell r="V113">
            <v>1</v>
          </cell>
          <cell r="W113">
            <v>1605</v>
          </cell>
          <cell r="X113">
            <v>1</v>
          </cell>
        </row>
        <row r="114">
          <cell r="B114">
            <v>6510</v>
          </cell>
          <cell r="C114" t="str">
            <v>赔付支出净额</v>
          </cell>
          <cell r="D114">
            <v>1</v>
          </cell>
          <cell r="E114" t="str">
            <v>△</v>
          </cell>
          <cell r="F114">
            <v>0</v>
          </cell>
          <cell r="G114" t="str">
            <v>赔付支出净额</v>
          </cell>
          <cell r="H114" t="str">
            <v>赔付支出净额</v>
          </cell>
          <cell r="I114">
            <v>6510</v>
          </cell>
          <cell r="J114" t="str">
            <v>J</v>
          </cell>
          <cell r="M114" t="str">
            <v>可供出售金融资产公允价值变动损益</v>
          </cell>
          <cell r="S114" t="str">
            <v>1606a</v>
          </cell>
          <cell r="T114" t="str">
            <v>固定资产清理明细项目</v>
          </cell>
          <cell r="U114" t="str">
            <v>类       别</v>
          </cell>
          <cell r="V114">
            <v>1</v>
          </cell>
          <cell r="W114">
            <v>1606</v>
          </cell>
          <cell r="X114">
            <v>1</v>
          </cell>
        </row>
        <row r="115">
          <cell r="B115">
            <v>6505</v>
          </cell>
          <cell r="C115" t="str">
            <v>提取保险合同准备金净额</v>
          </cell>
          <cell r="D115">
            <v>1</v>
          </cell>
          <cell r="E115" t="str">
            <v>△</v>
          </cell>
          <cell r="F115">
            <v>0</v>
          </cell>
          <cell r="G115" t="str">
            <v>提取保险合同准备金净额</v>
          </cell>
          <cell r="H115" t="str">
            <v>提取保险合同准备金净额</v>
          </cell>
          <cell r="I115">
            <v>6505</v>
          </cell>
          <cell r="J115" t="str">
            <v>J</v>
          </cell>
          <cell r="M115" t="str">
            <v>持有至到期投资重分类为可供出售金融资产损益</v>
          </cell>
          <cell r="S115" t="str">
            <v>1621c</v>
          </cell>
          <cell r="T115" t="str">
            <v>以成本计量的生产性生物资产账面原值</v>
          </cell>
          <cell r="U115" t="str">
            <v>项       目</v>
          </cell>
          <cell r="V115">
            <v>1</v>
          </cell>
          <cell r="W115">
            <v>1621</v>
          </cell>
          <cell r="X115">
            <v>2</v>
          </cell>
        </row>
        <row r="116">
          <cell r="B116">
            <v>6521</v>
          </cell>
          <cell r="C116" t="str">
            <v>保单红利支出</v>
          </cell>
          <cell r="D116">
            <v>1</v>
          </cell>
          <cell r="E116" t="str">
            <v>△</v>
          </cell>
          <cell r="F116">
            <v>0</v>
          </cell>
          <cell r="G116" t="str">
            <v>保单红利支出</v>
          </cell>
          <cell r="H116" t="str">
            <v>保单红利支出</v>
          </cell>
          <cell r="I116">
            <v>6521</v>
          </cell>
          <cell r="J116" t="str">
            <v>J</v>
          </cell>
          <cell r="M116" t="str">
            <v>现金流量套期损益的有效部分</v>
          </cell>
          <cell r="S116" t="str">
            <v>1621d</v>
          </cell>
          <cell r="T116" t="str">
            <v>以成本计量的生产性生物资产累计折旧</v>
          </cell>
          <cell r="U116" t="str">
            <v>项       目</v>
          </cell>
          <cell r="V116">
            <v>1</v>
          </cell>
          <cell r="W116">
            <v>1621</v>
          </cell>
          <cell r="X116">
            <v>2</v>
          </cell>
        </row>
        <row r="117">
          <cell r="B117">
            <v>6542</v>
          </cell>
          <cell r="C117" t="str">
            <v>分保费用</v>
          </cell>
          <cell r="D117">
            <v>1</v>
          </cell>
          <cell r="E117" t="str">
            <v>△</v>
          </cell>
          <cell r="F117">
            <v>0</v>
          </cell>
          <cell r="G117" t="str">
            <v>分保费用</v>
          </cell>
          <cell r="H117" t="str">
            <v>分保费用</v>
          </cell>
          <cell r="I117">
            <v>6542</v>
          </cell>
          <cell r="J117" t="str">
            <v>J</v>
          </cell>
          <cell r="M117" t="str">
            <v>外币财务报表折算差额</v>
          </cell>
          <cell r="S117" t="str">
            <v>1621e</v>
          </cell>
          <cell r="T117" t="str">
            <v>以成本计量的生产性生物资产减值准备</v>
          </cell>
          <cell r="U117" t="str">
            <v>项       目</v>
          </cell>
          <cell r="V117">
            <v>1</v>
          </cell>
          <cell r="W117">
            <v>1621</v>
          </cell>
          <cell r="X117">
            <v>2</v>
          </cell>
        </row>
        <row r="118">
          <cell r="B118">
            <v>6600</v>
          </cell>
          <cell r="C118" t="str">
            <v>营业税金及附加</v>
          </cell>
          <cell r="D118">
            <v>1</v>
          </cell>
          <cell r="E118">
            <v>0</v>
          </cell>
          <cell r="F118">
            <v>6610</v>
          </cell>
          <cell r="G118" t="str">
            <v>营业税金及附加</v>
          </cell>
          <cell r="H118" t="str">
            <v>营业税金及附加</v>
          </cell>
          <cell r="I118">
            <v>6600</v>
          </cell>
          <cell r="J118" t="str">
            <v>J</v>
          </cell>
          <cell r="M118" t="str">
            <v>自用房地产或作为存货的房地产转换为以公允价值计量的投资性房地产在转换日公允价值大于账面价值部分</v>
          </cell>
          <cell r="S118" t="str">
            <v>1621f</v>
          </cell>
          <cell r="T118" t="str">
            <v>以成本计量的生产性生物资产账面价值</v>
          </cell>
          <cell r="U118" t="str">
            <v>项       目</v>
          </cell>
          <cell r="V118">
            <v>1</v>
          </cell>
          <cell r="W118">
            <v>1621</v>
          </cell>
          <cell r="X118">
            <v>1</v>
          </cell>
        </row>
        <row r="119">
          <cell r="B119">
            <v>6601</v>
          </cell>
          <cell r="C119" t="str">
            <v>销售费用</v>
          </cell>
          <cell r="D119">
            <v>1</v>
          </cell>
          <cell r="E119">
            <v>0</v>
          </cell>
          <cell r="F119">
            <v>6310</v>
          </cell>
          <cell r="G119" t="str">
            <v>销售费用</v>
          </cell>
          <cell r="H119" t="str">
            <v>销售费用</v>
          </cell>
          <cell r="I119">
            <v>6601</v>
          </cell>
          <cell r="J119" t="str">
            <v>J</v>
          </cell>
          <cell r="M119" t="str">
            <v>多次交易分步处置子公司股权构成一揽子交易的丧失控制权之前各次交易处置价款与对应净资产账面价值份额的差额</v>
          </cell>
          <cell r="S119" t="str">
            <v>1621b</v>
          </cell>
          <cell r="T119" t="str">
            <v>以公允价值计量的生产性生物资产明细列示</v>
          </cell>
          <cell r="U119" t="str">
            <v>项       目</v>
          </cell>
          <cell r="V119">
            <v>1</v>
          </cell>
          <cell r="W119">
            <v>1621</v>
          </cell>
          <cell r="X119">
            <v>2</v>
          </cell>
        </row>
        <row r="120">
          <cell r="B120">
            <v>6602</v>
          </cell>
          <cell r="C120" t="str">
            <v>管理费用</v>
          </cell>
          <cell r="D120">
            <v>1</v>
          </cell>
          <cell r="E120">
            <v>0</v>
          </cell>
          <cell r="F120">
            <v>6320</v>
          </cell>
          <cell r="G120" t="str">
            <v>管理费用</v>
          </cell>
          <cell r="H120" t="str">
            <v>管理费用</v>
          </cell>
          <cell r="I120">
            <v>6602</v>
          </cell>
          <cell r="J120" t="str">
            <v>J</v>
          </cell>
          <cell r="M120" t="str">
            <v>其他以后将重分类进损益的其他综合收益</v>
          </cell>
          <cell r="S120" t="str">
            <v>1621a</v>
          </cell>
          <cell r="T120" t="str">
            <v>以成本计量的生产性生物资产明细列示</v>
          </cell>
          <cell r="U120" t="str">
            <v>项       目</v>
          </cell>
          <cell r="V120">
            <v>1</v>
          </cell>
          <cell r="W120">
            <v>1621</v>
          </cell>
          <cell r="X120">
            <v>2</v>
          </cell>
        </row>
        <row r="121">
          <cell r="B121">
            <v>6603</v>
          </cell>
          <cell r="C121" t="str">
            <v>财务费用</v>
          </cell>
          <cell r="D121">
            <v>1</v>
          </cell>
          <cell r="E121">
            <v>0</v>
          </cell>
          <cell r="F121">
            <v>6330</v>
          </cell>
          <cell r="G121" t="str">
            <v>财务费用</v>
          </cell>
          <cell r="H121" t="str">
            <v>财务费用</v>
          </cell>
          <cell r="I121">
            <v>6603</v>
          </cell>
          <cell r="J121" t="str">
            <v>J</v>
          </cell>
          <cell r="M121" t="str">
            <v>归属于少数股东的其他综合收益的税后净额</v>
          </cell>
          <cell r="S121" t="str">
            <v>1631a</v>
          </cell>
          <cell r="T121" t="str">
            <v>油气资产明细项目</v>
          </cell>
          <cell r="U121" t="str">
            <v>项       目</v>
          </cell>
          <cell r="V121">
            <v>1</v>
          </cell>
          <cell r="W121">
            <v>1631</v>
          </cell>
          <cell r="X121">
            <v>1</v>
          </cell>
        </row>
        <row r="122">
          <cell r="B122">
            <v>6671</v>
          </cell>
          <cell r="C122" t="str">
            <v>资产减值损失</v>
          </cell>
          <cell r="D122">
            <v>1</v>
          </cell>
          <cell r="E122">
            <v>0</v>
          </cell>
          <cell r="F122">
            <v>6350</v>
          </cell>
          <cell r="G122" t="str">
            <v>资产减值损失</v>
          </cell>
          <cell r="H122" t="str">
            <v>资产减值损失</v>
          </cell>
          <cell r="I122">
            <v>6671</v>
          </cell>
          <cell r="J122" t="str">
            <v>J</v>
          </cell>
          <cell r="M122" t="str">
            <v>实收资本_上年年末余额</v>
          </cell>
          <cell r="S122" t="str">
            <v>1701a</v>
          </cell>
          <cell r="T122" t="str">
            <v>无形资产账面原值</v>
          </cell>
          <cell r="U122" t="str">
            <v>项       目</v>
          </cell>
          <cell r="V122">
            <v>1</v>
          </cell>
          <cell r="W122">
            <v>1701</v>
          </cell>
          <cell r="X122">
            <v>2</v>
          </cell>
        </row>
        <row r="123">
          <cell r="B123">
            <v>6101</v>
          </cell>
          <cell r="C123" t="str">
            <v>公允价值变动收益</v>
          </cell>
          <cell r="D123">
            <v>-1</v>
          </cell>
          <cell r="E123">
            <v>0</v>
          </cell>
          <cell r="F123">
            <v>6410</v>
          </cell>
          <cell r="G123" t="str">
            <v>加：公允价值变动收益（损失以“-”号填列）</v>
          </cell>
          <cell r="H123" t="str">
            <v>加：公允价值变动收益（损失以“-”号填列）</v>
          </cell>
          <cell r="I123">
            <v>6101</v>
          </cell>
          <cell r="J123" t="str">
            <v>J</v>
          </cell>
          <cell r="M123" t="str">
            <v>实收资本_会计政策变更调整上年年末余额</v>
          </cell>
          <cell r="S123" t="str">
            <v>1701b</v>
          </cell>
          <cell r="T123" t="str">
            <v>无形资产累计摊销</v>
          </cell>
          <cell r="U123" t="str">
            <v>项       目</v>
          </cell>
          <cell r="V123">
            <v>1</v>
          </cell>
          <cell r="W123">
            <v>1701</v>
          </cell>
          <cell r="X123">
            <v>2</v>
          </cell>
        </row>
        <row r="124">
          <cell r="B124">
            <v>6111</v>
          </cell>
          <cell r="C124" t="str">
            <v>投资收益</v>
          </cell>
          <cell r="D124">
            <v>-1</v>
          </cell>
          <cell r="E124">
            <v>0</v>
          </cell>
          <cell r="F124">
            <v>6420</v>
          </cell>
          <cell r="G124" t="str">
            <v>投资收益（损失以“-”号填列）</v>
          </cell>
          <cell r="H124" t="str">
            <v>投资收益（损失以“-”号填列）</v>
          </cell>
          <cell r="I124">
            <v>6111</v>
          </cell>
          <cell r="J124" t="str">
            <v>J</v>
          </cell>
          <cell r="M124" t="str">
            <v>实收资本_前期差错更正调整上年年末余额</v>
          </cell>
          <cell r="S124" t="str">
            <v>1701c</v>
          </cell>
          <cell r="T124" t="str">
            <v>无形资产减值准备</v>
          </cell>
          <cell r="U124" t="str">
            <v>项       目</v>
          </cell>
          <cell r="V124">
            <v>1</v>
          </cell>
          <cell r="W124">
            <v>1701</v>
          </cell>
          <cell r="X124">
            <v>2</v>
          </cell>
        </row>
        <row r="125">
          <cell r="B125">
            <v>6111.01</v>
          </cell>
          <cell r="C125" t="str">
            <v>对联营企业和合营企业的投资收益</v>
          </cell>
          <cell r="D125">
            <v>-1</v>
          </cell>
          <cell r="E125">
            <v>0</v>
          </cell>
          <cell r="F125">
            <v>0</v>
          </cell>
          <cell r="G125" t="str">
            <v>其中：对联营企业和合营企业的投资收益</v>
          </cell>
          <cell r="H125" t="str">
            <v>其中：对联营企业和合营企业的投资收益</v>
          </cell>
          <cell r="I125">
            <v>6111.01</v>
          </cell>
          <cell r="J125" t="str">
            <v>J</v>
          </cell>
          <cell r="M125" t="str">
            <v>实收资本_同一控制下企业合并调整上年年末余额</v>
          </cell>
          <cell r="S125" t="str">
            <v>1701d</v>
          </cell>
          <cell r="T125" t="str">
            <v>无形资产账面价值</v>
          </cell>
          <cell r="U125" t="str">
            <v>项       目</v>
          </cell>
          <cell r="V125">
            <v>1</v>
          </cell>
          <cell r="W125">
            <v>1701</v>
          </cell>
          <cell r="X125">
            <v>1</v>
          </cell>
        </row>
        <row r="126">
          <cell r="B126">
            <v>6161</v>
          </cell>
          <cell r="C126" t="str">
            <v>汇兑收益</v>
          </cell>
          <cell r="D126">
            <v>-1</v>
          </cell>
          <cell r="E126" t="str">
            <v>△</v>
          </cell>
          <cell r="F126">
            <v>0</v>
          </cell>
          <cell r="G126" t="str">
            <v>汇兑收益（损失以“-”号填列）</v>
          </cell>
          <cell r="H126" t="str">
            <v>汇兑收益（损失以“-”号填列）</v>
          </cell>
          <cell r="I126">
            <v>6161</v>
          </cell>
          <cell r="J126" t="str">
            <v>J</v>
          </cell>
          <cell r="M126" t="str">
            <v>实收资本_其他原因调整上年年末余额</v>
          </cell>
          <cell r="S126" t="str">
            <v>1701e</v>
          </cell>
          <cell r="T126" t="str">
            <v>未办妥产权证书的土地使用权情况</v>
          </cell>
          <cell r="U126" t="str">
            <v>项       目</v>
          </cell>
          <cell r="V126">
            <v>1</v>
          </cell>
          <cell r="W126">
            <v>1701</v>
          </cell>
          <cell r="X126">
            <v>2</v>
          </cell>
        </row>
        <row r="127">
          <cell r="B127">
            <v>6689</v>
          </cell>
          <cell r="C127" t="str">
            <v>营业利润</v>
          </cell>
          <cell r="D127">
            <v>0</v>
          </cell>
          <cell r="E127" t="str">
            <v>＝</v>
          </cell>
          <cell r="F127">
            <v>0</v>
          </cell>
          <cell r="G127" t="str">
            <v>二、营业利润（亏损以“-”号填列）</v>
          </cell>
          <cell r="H127" t="str">
            <v>三、营业利润（亏损以“-”号填列）</v>
          </cell>
          <cell r="I127">
            <v>6689</v>
          </cell>
          <cell r="J127">
            <v>0</v>
          </cell>
          <cell r="M127" t="str">
            <v>实收资本_净利润增加权益</v>
          </cell>
          <cell r="S127" t="str">
            <v>1705t</v>
          </cell>
          <cell r="T127" t="str">
            <v>无形资产抵押情况</v>
          </cell>
          <cell r="U127" t="str">
            <v>项       目</v>
          </cell>
          <cell r="V127">
            <v>1</v>
          </cell>
          <cell r="W127">
            <v>1701</v>
          </cell>
          <cell r="X127">
            <v>2</v>
          </cell>
        </row>
        <row r="128">
          <cell r="B128">
            <v>6710</v>
          </cell>
          <cell r="C128" t="str">
            <v>营业外收入</v>
          </cell>
          <cell r="D128">
            <v>-1</v>
          </cell>
          <cell r="E128">
            <v>0</v>
          </cell>
          <cell r="F128">
            <v>6510</v>
          </cell>
          <cell r="G128" t="str">
            <v>加：营业外收入</v>
          </cell>
          <cell r="H128" t="str">
            <v>加：营业外收入</v>
          </cell>
          <cell r="I128">
            <v>6710</v>
          </cell>
          <cell r="J128" t="str">
            <v>J</v>
          </cell>
          <cell r="M128" t="str">
            <v>实收资本_其他综合收益增加权益</v>
          </cell>
          <cell r="S128" t="str">
            <v>1705a</v>
          </cell>
          <cell r="T128" t="str">
            <v>无形资产情况</v>
          </cell>
          <cell r="U128" t="str">
            <v>项       目</v>
          </cell>
          <cell r="V128">
            <v>-1</v>
          </cell>
          <cell r="W128">
            <v>1701</v>
          </cell>
          <cell r="X128">
            <v>2</v>
          </cell>
        </row>
        <row r="129">
          <cell r="B129">
            <v>6710.11</v>
          </cell>
          <cell r="C129" t="str">
            <v>营业外收入_非流动资产处置利得</v>
          </cell>
          <cell r="D129">
            <v>-1</v>
          </cell>
          <cell r="E129">
            <v>0</v>
          </cell>
          <cell r="F129">
            <v>0</v>
          </cell>
          <cell r="G129" t="str">
            <v>其中：非流动资产处置利得</v>
          </cell>
          <cell r="H129" t="str">
            <v>其中：非流动资产处置利得</v>
          </cell>
          <cell r="I129">
            <v>6710.11</v>
          </cell>
          <cell r="J129" t="str">
            <v>J</v>
          </cell>
          <cell r="M129" t="str">
            <v>实收资本_综合收益总额增加权益</v>
          </cell>
          <cell r="S129" t="str">
            <v>1705b</v>
          </cell>
          <cell r="T129" t="str">
            <v>开发支出明细项目</v>
          </cell>
          <cell r="U129" t="str">
            <v>项       目</v>
          </cell>
          <cell r="V129">
            <v>-1</v>
          </cell>
          <cell r="W129">
            <v>1700</v>
          </cell>
          <cell r="X129">
            <v>1</v>
          </cell>
        </row>
        <row r="130">
          <cell r="B130">
            <v>6711</v>
          </cell>
          <cell r="C130" t="str">
            <v>营业外支出</v>
          </cell>
          <cell r="D130">
            <v>1</v>
          </cell>
          <cell r="E130">
            <v>0</v>
          </cell>
          <cell r="F130">
            <v>6520</v>
          </cell>
          <cell r="G130" t="str">
            <v>减：营业外支出</v>
          </cell>
          <cell r="H130" t="str">
            <v>减：营业外支出</v>
          </cell>
          <cell r="I130">
            <v>6711</v>
          </cell>
          <cell r="J130" t="str">
            <v>J</v>
          </cell>
          <cell r="M130" t="str">
            <v>实收资本_所有者投入资本</v>
          </cell>
          <cell r="S130" t="str">
            <v>1711a</v>
          </cell>
          <cell r="T130" t="str">
            <v>商誉账面原值</v>
          </cell>
          <cell r="U130" t="str">
            <v>被投资单位名称或形成商誉的事项</v>
          </cell>
          <cell r="V130">
            <v>1</v>
          </cell>
          <cell r="W130">
            <v>1711</v>
          </cell>
          <cell r="X130">
            <v>1</v>
          </cell>
        </row>
        <row r="131">
          <cell r="B131">
            <v>6711.01</v>
          </cell>
          <cell r="C131" t="str">
            <v>非流动资产处置损失</v>
          </cell>
          <cell r="D131">
            <v>1</v>
          </cell>
          <cell r="E131">
            <v>0</v>
          </cell>
          <cell r="F131">
            <v>0</v>
          </cell>
          <cell r="G131" t="str">
            <v>其中：非流动资产处置损失</v>
          </cell>
          <cell r="H131" t="str">
            <v>其中：非流动资产处置损失</v>
          </cell>
          <cell r="I131">
            <v>6711.01</v>
          </cell>
          <cell r="J131" t="str">
            <v>J</v>
          </cell>
          <cell r="M131" t="str">
            <v>实收资本_股份支付计入所有者权益的金额</v>
          </cell>
          <cell r="S131" t="str">
            <v>1711b</v>
          </cell>
          <cell r="T131" t="str">
            <v xml:space="preserve">商誉减值准备 </v>
          </cell>
          <cell r="U131" t="str">
            <v>被投资单位名称或形成商誉的事项</v>
          </cell>
          <cell r="V131">
            <v>1</v>
          </cell>
          <cell r="W131">
            <v>1711</v>
          </cell>
          <cell r="X131">
            <v>2</v>
          </cell>
        </row>
        <row r="132">
          <cell r="B132">
            <v>6788</v>
          </cell>
          <cell r="C132" t="str">
            <v>利润总额</v>
          </cell>
          <cell r="D132">
            <v>0</v>
          </cell>
          <cell r="E132" t="str">
            <v>＝</v>
          </cell>
          <cell r="F132">
            <v>0</v>
          </cell>
          <cell r="G132" t="str">
            <v>三、利润总额（亏损总额以“-”号填列）</v>
          </cell>
          <cell r="H132" t="str">
            <v>四、利润总额（亏损总额以“-”号填列）</v>
          </cell>
          <cell r="I132">
            <v>6788</v>
          </cell>
          <cell r="J132">
            <v>0</v>
          </cell>
          <cell r="M132" t="str">
            <v>实收资本_其他权益工具持有者投入资本</v>
          </cell>
          <cell r="S132" t="str">
            <v>1801a</v>
          </cell>
          <cell r="T132" t="str">
            <v>长期待摊费用明细项目</v>
          </cell>
          <cell r="U132" t="str">
            <v>项       目</v>
          </cell>
          <cell r="V132">
            <v>1</v>
          </cell>
          <cell r="W132">
            <v>1801</v>
          </cell>
          <cell r="X132">
            <v>1</v>
          </cell>
        </row>
        <row r="133">
          <cell r="B133">
            <v>6791</v>
          </cell>
          <cell r="C133" t="str">
            <v>所得税费用</v>
          </cell>
          <cell r="D133">
            <v>1</v>
          </cell>
          <cell r="E133">
            <v>0</v>
          </cell>
          <cell r="F133">
            <v>6620</v>
          </cell>
          <cell r="G133" t="str">
            <v>减：所得税费用</v>
          </cell>
          <cell r="H133" t="str">
            <v>减：所得税费用</v>
          </cell>
          <cell r="I133">
            <v>6791</v>
          </cell>
          <cell r="J133" t="str">
            <v>J</v>
          </cell>
          <cell r="M133" t="str">
            <v>实收资本_所有者其他投入和减少资本</v>
          </cell>
          <cell r="S133" t="str">
            <v>1829a</v>
          </cell>
          <cell r="T133" t="str">
            <v>未经抵销的递延所得税资产</v>
          </cell>
          <cell r="U133" t="str">
            <v>项       目</v>
          </cell>
          <cell r="V133">
            <v>-1</v>
          </cell>
          <cell r="W133">
            <v>1811</v>
          </cell>
          <cell r="X133">
            <v>1</v>
          </cell>
        </row>
        <row r="134">
          <cell r="B134">
            <v>6799</v>
          </cell>
          <cell r="C134" t="str">
            <v>净利润</v>
          </cell>
          <cell r="D134">
            <v>0</v>
          </cell>
          <cell r="E134" t="str">
            <v>＝</v>
          </cell>
          <cell r="F134">
            <v>0</v>
          </cell>
          <cell r="G134" t="str">
            <v>四、净利润（净亏损以“-”号填列）</v>
          </cell>
          <cell r="H134" t="str">
            <v>五、净利润（净亏损以“-”号填列）</v>
          </cell>
          <cell r="I134">
            <v>6799</v>
          </cell>
          <cell r="J134">
            <v>0</v>
          </cell>
          <cell r="M134" t="str">
            <v>实收资本_提取盈余公积影响权益</v>
          </cell>
          <cell r="S134" t="str">
            <v>1829b</v>
          </cell>
          <cell r="T134" t="str">
            <v>未经抵销的递延所得税负债</v>
          </cell>
          <cell r="U134" t="str">
            <v>项       目</v>
          </cell>
          <cell r="V134">
            <v>-1</v>
          </cell>
          <cell r="W134">
            <v>2901</v>
          </cell>
          <cell r="X134">
            <v>1</v>
          </cell>
        </row>
        <row r="135">
          <cell r="B135">
            <v>6805</v>
          </cell>
          <cell r="C135" t="str">
            <v>同一控制下企业合并的被合并方在合并前实现的净利润</v>
          </cell>
          <cell r="D135">
            <v>1</v>
          </cell>
          <cell r="E135" t="str">
            <v>※</v>
          </cell>
          <cell r="F135">
            <v>0</v>
          </cell>
          <cell r="G135" t="str">
            <v>其中：同一控制下企业合并的被合并方在合并前实现的净利润</v>
          </cell>
          <cell r="H135" t="str">
            <v>其中：同一控制下企业合并的被合并方在合并前实现的净利润</v>
          </cell>
          <cell r="I135">
            <v>6805</v>
          </cell>
          <cell r="J135">
            <v>0</v>
          </cell>
          <cell r="M135" t="str">
            <v>实收资本_提取一般风险准备影响权益</v>
          </cell>
          <cell r="S135" t="str">
            <v>1829c</v>
          </cell>
          <cell r="T135" t="str">
            <v>以抵销后净额列示的递延所得税资产或负债</v>
          </cell>
          <cell r="U135" t="str">
            <v>项       目</v>
          </cell>
          <cell r="V135">
            <v>-1</v>
          </cell>
          <cell r="W135">
            <v>0</v>
          </cell>
          <cell r="X135">
            <v>2</v>
          </cell>
        </row>
        <row r="136">
          <cell r="B136">
            <v>6811</v>
          </cell>
          <cell r="C136" t="str">
            <v>归属于母公司所有者的净利润</v>
          </cell>
          <cell r="D136">
            <v>-1</v>
          </cell>
          <cell r="E136" t="str">
            <v>※</v>
          </cell>
          <cell r="F136">
            <v>0</v>
          </cell>
          <cell r="G136" t="str">
            <v>归属于母公司股东的净利润</v>
          </cell>
          <cell r="H136" t="str">
            <v>归属于母公司股东的净利润</v>
          </cell>
          <cell r="I136">
            <v>6811</v>
          </cell>
          <cell r="J136">
            <v>0</v>
          </cell>
          <cell r="M136" t="str">
            <v>实收资本_对所有者的分配影响权益</v>
          </cell>
          <cell r="S136" t="str">
            <v>1829e</v>
          </cell>
          <cell r="T136" t="str">
            <v>未确认递延所得税资产的可抵扣暂时性差异及可抵扣亏损明细</v>
          </cell>
          <cell r="U136" t="str">
            <v>项       目</v>
          </cell>
          <cell r="V136">
            <v>-1</v>
          </cell>
          <cell r="W136">
            <v>0</v>
          </cell>
          <cell r="X136">
            <v>2</v>
          </cell>
        </row>
        <row r="137">
          <cell r="B137">
            <v>6812</v>
          </cell>
          <cell r="C137" t="str">
            <v>少数股东损益</v>
          </cell>
          <cell r="D137">
            <v>1</v>
          </cell>
          <cell r="E137" t="str">
            <v>※</v>
          </cell>
          <cell r="F137">
            <v>0</v>
          </cell>
          <cell r="G137" t="str">
            <v>少数股东损益</v>
          </cell>
          <cell r="H137" t="str">
            <v>少数股东损益</v>
          </cell>
          <cell r="I137">
            <v>6812</v>
          </cell>
          <cell r="J137" t="str">
            <v>J</v>
          </cell>
          <cell r="M137" t="str">
            <v>实收资本_其他利润分配影响权益</v>
          </cell>
          <cell r="S137" t="str">
            <v>1829f</v>
          </cell>
          <cell r="T137" t="str">
            <v>未确认递延所得税资产的可抵扣亏损将于以下年度到期</v>
          </cell>
          <cell r="U137" t="str">
            <v>年       份</v>
          </cell>
          <cell r="V137">
            <v>-1</v>
          </cell>
          <cell r="W137">
            <v>0</v>
          </cell>
          <cell r="X137">
            <v>2</v>
          </cell>
        </row>
        <row r="138">
          <cell r="B138">
            <v>6820</v>
          </cell>
          <cell r="C138" t="str">
            <v>每股收益</v>
          </cell>
          <cell r="D138">
            <v>0</v>
          </cell>
          <cell r="E138" t="str">
            <v>：</v>
          </cell>
          <cell r="F138">
            <v>0</v>
          </cell>
          <cell r="G138" t="str">
            <v>七、每股收益：</v>
          </cell>
          <cell r="H138" t="str">
            <v>六、每股收益：</v>
          </cell>
          <cell r="I138">
            <v>6820</v>
          </cell>
          <cell r="J138">
            <v>0</v>
          </cell>
          <cell r="M138" t="str">
            <v>实收资本_资本公积转增</v>
          </cell>
          <cell r="S138" t="str">
            <v>1996a</v>
          </cell>
          <cell r="T138" t="str">
            <v>其他非流动资产明细项目</v>
          </cell>
          <cell r="U138" t="str">
            <v>项       目</v>
          </cell>
          <cell r="V138">
            <v>1</v>
          </cell>
          <cell r="W138">
            <v>1996</v>
          </cell>
          <cell r="X138">
            <v>1</v>
          </cell>
        </row>
        <row r="139">
          <cell r="B139">
            <v>6821</v>
          </cell>
          <cell r="C139" t="str">
            <v>基本每股收益</v>
          </cell>
          <cell r="D139">
            <v>0</v>
          </cell>
          <cell r="E139">
            <v>0</v>
          </cell>
          <cell r="F139">
            <v>0</v>
          </cell>
          <cell r="G139" t="str">
            <v>（一）基本每股收益</v>
          </cell>
          <cell r="H139" t="str">
            <v>（一）基本每股收益</v>
          </cell>
          <cell r="I139">
            <v>6821</v>
          </cell>
          <cell r="J139">
            <v>0</v>
          </cell>
          <cell r="M139" t="str">
            <v>实收资本_盈余公积转增</v>
          </cell>
          <cell r="S139" t="str">
            <v>2001a</v>
          </cell>
          <cell r="T139" t="str">
            <v>短期借款明细项目</v>
          </cell>
          <cell r="U139" t="str">
            <v>借款类别</v>
          </cell>
          <cell r="V139">
            <v>1</v>
          </cell>
          <cell r="W139">
            <v>2001</v>
          </cell>
          <cell r="X139">
            <v>1</v>
          </cell>
        </row>
        <row r="140">
          <cell r="B140">
            <v>6822</v>
          </cell>
          <cell r="C140" t="str">
            <v>稀释每股收益</v>
          </cell>
          <cell r="D140">
            <v>0</v>
          </cell>
          <cell r="E140">
            <v>0</v>
          </cell>
          <cell r="F140">
            <v>0</v>
          </cell>
          <cell r="G140" t="str">
            <v>（二）稀释每股收益</v>
          </cell>
          <cell r="H140" t="str">
            <v>（二）稀释每股收益</v>
          </cell>
          <cell r="I140">
            <v>6822</v>
          </cell>
          <cell r="J140">
            <v>0</v>
          </cell>
          <cell r="M140" t="str">
            <v>实收资本_盈余公积弥补亏损影响权益</v>
          </cell>
          <cell r="S140" t="str">
            <v>2001b</v>
          </cell>
          <cell r="T140" t="str">
            <v>重要的逾期借款情况</v>
          </cell>
          <cell r="U140" t="str">
            <v>贷款单位</v>
          </cell>
          <cell r="V140">
            <v>1</v>
          </cell>
          <cell r="W140">
            <v>2001</v>
          </cell>
          <cell r="X140">
            <v>2</v>
          </cell>
        </row>
        <row r="141">
          <cell r="B141">
            <v>6829</v>
          </cell>
          <cell r="C141" t="str">
            <v>其他综合收益的税后净额</v>
          </cell>
          <cell r="D141">
            <v>0</v>
          </cell>
          <cell r="E141" t="str">
            <v>＝</v>
          </cell>
          <cell r="F141">
            <v>0</v>
          </cell>
          <cell r="G141" t="str">
            <v>五、其他综合收益的税后净额</v>
          </cell>
          <cell r="H141" t="str">
            <v>五、其他综合收益的税后净额</v>
          </cell>
          <cell r="I141">
            <v>6829</v>
          </cell>
          <cell r="J141">
            <v>0</v>
          </cell>
          <cell r="M141" t="str">
            <v>实收资本_结转重新计量设定受益计划净负债或净资产所产生的变动</v>
          </cell>
          <cell r="S141" t="str">
            <v>2001c</v>
          </cell>
          <cell r="T141" t="str">
            <v>外币短期借款</v>
          </cell>
          <cell r="U141" t="str">
            <v>币       种</v>
          </cell>
          <cell r="V141">
            <v>1</v>
          </cell>
          <cell r="W141">
            <v>2001</v>
          </cell>
          <cell r="X141">
            <v>2</v>
          </cell>
        </row>
        <row r="142">
          <cell r="B142">
            <v>6829.2</v>
          </cell>
          <cell r="C142" t="str">
            <v>归属于母公司所有者的其他综合收益的税后净额</v>
          </cell>
          <cell r="D142">
            <v>0</v>
          </cell>
          <cell r="E142" t="str">
            <v>※</v>
          </cell>
          <cell r="F142">
            <v>0</v>
          </cell>
          <cell r="G142" t="str">
            <v>归属于母公司股东的其他综合收益的税后净额</v>
          </cell>
          <cell r="H142" t="str">
            <v>归属于母公司股东的其他综合收益的税后净额</v>
          </cell>
          <cell r="I142">
            <v>6829.2</v>
          </cell>
          <cell r="J142">
            <v>0</v>
          </cell>
          <cell r="M142" t="str">
            <v>实收资本_所有者权益其他内部结转</v>
          </cell>
          <cell r="S142" t="str">
            <v>2101a</v>
          </cell>
          <cell r="T142" t="str">
            <v>以公允价值计量且其变动计入当期损益的金融负债</v>
          </cell>
          <cell r="U142" t="str">
            <v>项       目</v>
          </cell>
          <cell r="V142">
            <v>1</v>
          </cell>
          <cell r="W142">
            <v>2101</v>
          </cell>
          <cell r="X142">
            <v>1</v>
          </cell>
        </row>
        <row r="143">
          <cell r="B143">
            <v>6829.21</v>
          </cell>
          <cell r="C143" t="str">
            <v>以后不能重分类进损益的其他综合收益</v>
          </cell>
          <cell r="D143">
            <v>0</v>
          </cell>
          <cell r="E143" t="str">
            <v>＝</v>
          </cell>
          <cell r="F143">
            <v>0</v>
          </cell>
          <cell r="G143" t="str">
            <v>（一）以后不能重分类进损益的其他综合收益</v>
          </cell>
          <cell r="H143" t="str">
            <v>（一）以后不能重分类进损益的其他综合收益</v>
          </cell>
          <cell r="I143">
            <v>6829.21</v>
          </cell>
          <cell r="J143">
            <v>0</v>
          </cell>
          <cell r="M143" t="str">
            <v>实收资本_专项储备本期提取</v>
          </cell>
          <cell r="S143" t="str">
            <v>2115a</v>
          </cell>
          <cell r="T143" t="str">
            <v>衍生金融负债</v>
          </cell>
          <cell r="U143" t="str">
            <v>项       目</v>
          </cell>
          <cell r="V143">
            <v>1</v>
          </cell>
          <cell r="W143">
            <v>2115</v>
          </cell>
          <cell r="X143">
            <v>1</v>
          </cell>
        </row>
        <row r="144">
          <cell r="B144">
            <v>6829.2110000000002</v>
          </cell>
          <cell r="C144" t="str">
            <v>重新计量设定受益计划净负债或净资产的变动</v>
          </cell>
          <cell r="D144">
            <v>-1</v>
          </cell>
          <cell r="E144" t="str">
            <v>Ｘ</v>
          </cell>
          <cell r="F144">
            <v>0</v>
          </cell>
          <cell r="G144" t="str">
            <v>1、重新计量设定受益计划净负债或净资产的变动</v>
          </cell>
          <cell r="H144" t="str">
            <v>1、重新计量设定受益计划净负债或净资产的变动</v>
          </cell>
          <cell r="I144">
            <v>6829.2110000000002</v>
          </cell>
          <cell r="J144" t="str">
            <v>J</v>
          </cell>
          <cell r="M144" t="str">
            <v>实收资本_专项储备本期使用</v>
          </cell>
          <cell r="S144" t="str">
            <v>2201a</v>
          </cell>
          <cell r="T144" t="str">
            <v>应付票据明细项目</v>
          </cell>
          <cell r="U144" t="str">
            <v>种       类</v>
          </cell>
          <cell r="V144">
            <v>1</v>
          </cell>
          <cell r="W144">
            <v>2201</v>
          </cell>
          <cell r="X144">
            <v>1</v>
          </cell>
        </row>
        <row r="145">
          <cell r="B145">
            <v>6829.2120000000004</v>
          </cell>
          <cell r="C145" t="str">
            <v>权益法下在被投资单位不能重分类进损益的其他综合收益中享有的份额</v>
          </cell>
          <cell r="D145">
            <v>-1</v>
          </cell>
          <cell r="E145" t="str">
            <v>Ｘ</v>
          </cell>
          <cell r="F145">
            <v>0</v>
          </cell>
          <cell r="G145" t="str">
            <v>2、权益法下在被投资单位不能重分类进损益的其他综合收益中享有的份额</v>
          </cell>
          <cell r="H145" t="str">
            <v>2、权益法下在被投资单位不能重分类进损益的其他综合收益中享有的份额</v>
          </cell>
          <cell r="I145">
            <v>6829.2120000000004</v>
          </cell>
          <cell r="J145" t="str">
            <v>J</v>
          </cell>
          <cell r="M145" t="str">
            <v>实收资本_本期其他增减变动</v>
          </cell>
          <cell r="S145" t="str">
            <v>2202e</v>
          </cell>
          <cell r="T145" t="str">
            <v>应付账款按项目列示</v>
          </cell>
          <cell r="U145" t="str">
            <v>项       目</v>
          </cell>
          <cell r="V145">
            <v>1</v>
          </cell>
          <cell r="W145">
            <v>2202</v>
          </cell>
          <cell r="X145">
            <v>1</v>
          </cell>
        </row>
        <row r="146">
          <cell r="B146">
            <v>6829.2190000000001</v>
          </cell>
          <cell r="C146" t="str">
            <v>其他以后不能重分类进损益的其他综合收益</v>
          </cell>
          <cell r="D146">
            <v>-1</v>
          </cell>
          <cell r="E146">
            <v>0</v>
          </cell>
          <cell r="F146">
            <v>0</v>
          </cell>
          <cell r="G146" t="str">
            <v>3、其他</v>
          </cell>
          <cell r="H146" t="str">
            <v>3、其他</v>
          </cell>
          <cell r="I146">
            <v>6829.2190000000001</v>
          </cell>
          <cell r="J146" t="str">
            <v>J</v>
          </cell>
          <cell r="M146" t="str">
            <v>资本公积_上年年末余额</v>
          </cell>
          <cell r="S146" t="str">
            <v>2202a</v>
          </cell>
          <cell r="T146" t="str">
            <v>账龄超过1年的重要应付账款</v>
          </cell>
          <cell r="U146" t="str">
            <v>债权人名称</v>
          </cell>
          <cell r="V146">
            <v>1</v>
          </cell>
          <cell r="W146">
            <v>2202</v>
          </cell>
          <cell r="X146">
            <v>2</v>
          </cell>
        </row>
        <row r="147">
          <cell r="B147">
            <v>6829.23</v>
          </cell>
          <cell r="C147" t="str">
            <v>以后将重分类进损益的其他综合收益</v>
          </cell>
          <cell r="D147">
            <v>0</v>
          </cell>
          <cell r="E147" t="str">
            <v>＝</v>
          </cell>
          <cell r="F147">
            <v>0</v>
          </cell>
          <cell r="G147" t="str">
            <v>（二）以后将重分类进损益的其他综合收益</v>
          </cell>
          <cell r="H147" t="str">
            <v>（二）以后将重分类进损益的其他综合收益</v>
          </cell>
          <cell r="I147">
            <v>6829.23</v>
          </cell>
          <cell r="J147">
            <v>0</v>
          </cell>
          <cell r="M147" t="str">
            <v>资本公积_会计政策变更调整上年年末余额</v>
          </cell>
          <cell r="S147" t="str">
            <v>2202d</v>
          </cell>
          <cell r="T147" t="str">
            <v>外币应付账款</v>
          </cell>
          <cell r="U147" t="str">
            <v>币       种</v>
          </cell>
          <cell r="V147">
            <v>1</v>
          </cell>
          <cell r="W147">
            <v>2202</v>
          </cell>
          <cell r="X147">
            <v>2</v>
          </cell>
        </row>
        <row r="148">
          <cell r="B148">
            <v>6829.2309999999998</v>
          </cell>
          <cell r="C148" t="str">
            <v>权益法下在被投资单位以后将重分类进损益的其他综合收益中享有的份额</v>
          </cell>
          <cell r="D148">
            <v>-1</v>
          </cell>
          <cell r="E148" t="str">
            <v>Ｘ</v>
          </cell>
          <cell r="F148">
            <v>0</v>
          </cell>
          <cell r="G148" t="str">
            <v>1、权益法下在被投资单位以后将重分类进损益的其他综合收益中享有的份额</v>
          </cell>
          <cell r="H148" t="str">
            <v>1、权益法下在被投资单位以后将重分类进损益的其他综合收益中享有的份额</v>
          </cell>
          <cell r="I148">
            <v>6829.2309999999998</v>
          </cell>
          <cell r="J148" t="str">
            <v>J</v>
          </cell>
          <cell r="M148" t="str">
            <v>资本公积_前期差错更正调整上年年末余额</v>
          </cell>
          <cell r="S148" t="str">
            <v>2202c</v>
          </cell>
          <cell r="T148" t="str">
            <v>关联方应收应付款项——应付账款</v>
          </cell>
          <cell r="U148" t="str">
            <v>关联方</v>
          </cell>
          <cell r="V148">
            <v>1</v>
          </cell>
          <cell r="W148">
            <v>2202</v>
          </cell>
          <cell r="X148">
            <v>2</v>
          </cell>
        </row>
        <row r="149">
          <cell r="B149">
            <v>6829.232</v>
          </cell>
          <cell r="C149" t="str">
            <v>可供出售金融资产公允价值变动损益</v>
          </cell>
          <cell r="D149">
            <v>-1</v>
          </cell>
          <cell r="E149" t="str">
            <v>Ｘ</v>
          </cell>
          <cell r="F149">
            <v>0</v>
          </cell>
          <cell r="G149" t="str">
            <v>2、可供出售金融资产公允价值变动损益</v>
          </cell>
          <cell r="H149" t="str">
            <v>2、可供出售金融资产公允价值变动损益</v>
          </cell>
          <cell r="I149">
            <v>6829.232</v>
          </cell>
          <cell r="J149" t="str">
            <v>J</v>
          </cell>
          <cell r="M149" t="str">
            <v>资本公积_同一控制下企业合并调整上年年末余额</v>
          </cell>
          <cell r="S149" t="str">
            <v>2205f</v>
          </cell>
          <cell r="T149" t="str">
            <v>预收账款按项目列示</v>
          </cell>
          <cell r="U149" t="str">
            <v>项       目</v>
          </cell>
          <cell r="V149">
            <v>1</v>
          </cell>
          <cell r="W149">
            <v>2205</v>
          </cell>
          <cell r="X149">
            <v>1</v>
          </cell>
        </row>
        <row r="150">
          <cell r="B150">
            <v>6829.2330000000002</v>
          </cell>
          <cell r="C150" t="str">
            <v>持有至到期投资重分类为可供出售金融资产损益</v>
          </cell>
          <cell r="D150">
            <v>-1</v>
          </cell>
          <cell r="E150" t="str">
            <v>Ｘ</v>
          </cell>
          <cell r="F150">
            <v>0</v>
          </cell>
          <cell r="G150" t="str">
            <v>3、持有至到期投资重分类为可供出售金融资产损益</v>
          </cell>
          <cell r="H150" t="str">
            <v>3、持有至到期投资重分类为可供出售金融资产损益</v>
          </cell>
          <cell r="I150">
            <v>6829.2330000000002</v>
          </cell>
          <cell r="J150" t="str">
            <v>J</v>
          </cell>
          <cell r="M150" t="str">
            <v>资本公积_其他原因调整上年年末余额</v>
          </cell>
          <cell r="S150" t="str">
            <v>2205a</v>
          </cell>
          <cell r="T150" t="str">
            <v>账龄超过1年的重要预收款项</v>
          </cell>
          <cell r="U150" t="str">
            <v>项       目</v>
          </cell>
          <cell r="V150">
            <v>1</v>
          </cell>
          <cell r="W150">
            <v>2205</v>
          </cell>
          <cell r="X150">
            <v>2</v>
          </cell>
        </row>
        <row r="151">
          <cell r="B151">
            <v>6829.2340000000004</v>
          </cell>
          <cell r="C151" t="str">
            <v>现金流量套期损益的有效部分</v>
          </cell>
          <cell r="D151">
            <v>-1</v>
          </cell>
          <cell r="E151" t="str">
            <v>Ｘ</v>
          </cell>
          <cell r="F151">
            <v>0</v>
          </cell>
          <cell r="G151" t="str">
            <v>4、现金流量套期损益的有效部分</v>
          </cell>
          <cell r="H151" t="str">
            <v>4、现金流量套期损益的有效部分</v>
          </cell>
          <cell r="I151">
            <v>6829.2340000000004</v>
          </cell>
          <cell r="J151" t="str">
            <v>J</v>
          </cell>
          <cell r="M151" t="str">
            <v>资本公积_净利润增加权益</v>
          </cell>
          <cell r="S151" t="str">
            <v>2205h</v>
          </cell>
          <cell r="T151" t="str">
            <v>建造合同形成的已结算未完工项目</v>
          </cell>
          <cell r="U151" t="str">
            <v>项       目</v>
          </cell>
          <cell r="V151">
            <v>1</v>
          </cell>
          <cell r="W151">
            <v>2205</v>
          </cell>
          <cell r="X151">
            <v>2</v>
          </cell>
        </row>
        <row r="152">
          <cell r="B152">
            <v>6829.2349999999997</v>
          </cell>
          <cell r="C152" t="str">
            <v>外币财务报表折算差额</v>
          </cell>
          <cell r="D152">
            <v>-1</v>
          </cell>
          <cell r="E152" t="str">
            <v>Ｘ</v>
          </cell>
          <cell r="F152">
            <v>0</v>
          </cell>
          <cell r="G152" t="str">
            <v>5、外币财务报表折算差额</v>
          </cell>
          <cell r="H152" t="str">
            <v>5、外币财务报表折算差额</v>
          </cell>
          <cell r="I152">
            <v>6829.2349999999997</v>
          </cell>
          <cell r="J152" t="str">
            <v>J</v>
          </cell>
          <cell r="M152" t="str">
            <v>资本公积_其他综合收益</v>
          </cell>
          <cell r="S152" t="str">
            <v>2205e</v>
          </cell>
          <cell r="T152" t="str">
            <v>预收款项中预售房产收款情况</v>
          </cell>
          <cell r="U152" t="str">
            <v>项目名称</v>
          </cell>
          <cell r="V152">
            <v>1</v>
          </cell>
          <cell r="W152">
            <v>2205</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F153">
            <v>0</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资本公积_综合收益总额增加权益</v>
          </cell>
          <cell r="S153" t="str">
            <v>2205d</v>
          </cell>
          <cell r="T153" t="str">
            <v>外币预收款项</v>
          </cell>
          <cell r="U153" t="str">
            <v>币       种</v>
          </cell>
          <cell r="V153">
            <v>1</v>
          </cell>
          <cell r="W153">
            <v>2205</v>
          </cell>
          <cell r="X153">
            <v>2</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F154">
            <v>0</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资本公积_所有者投入资本</v>
          </cell>
          <cell r="S154" t="str">
            <v>2205c</v>
          </cell>
          <cell r="T154" t="str">
            <v>关联方应收应付款项——预收款项</v>
          </cell>
          <cell r="U154" t="str">
            <v>单位名称</v>
          </cell>
          <cell r="V154">
            <v>1</v>
          </cell>
          <cell r="W154">
            <v>2205</v>
          </cell>
          <cell r="X154">
            <v>2</v>
          </cell>
        </row>
        <row r="155">
          <cell r="B155">
            <v>6829.2389999999996</v>
          </cell>
          <cell r="C155" t="str">
            <v>其他以后将重分类进损益的其他综合收益</v>
          </cell>
          <cell r="D155">
            <v>-1</v>
          </cell>
          <cell r="E155">
            <v>0</v>
          </cell>
          <cell r="F155">
            <v>0</v>
          </cell>
          <cell r="G155" t="str">
            <v>8、其他</v>
          </cell>
          <cell r="H155" t="str">
            <v>8、其他</v>
          </cell>
          <cell r="I155">
            <v>6829.2389999999996</v>
          </cell>
          <cell r="J155" t="str">
            <v>J</v>
          </cell>
          <cell r="M155" t="str">
            <v>资本公积_股份支付</v>
          </cell>
          <cell r="S155" t="str">
            <v>2211a</v>
          </cell>
          <cell r="T155" t="str">
            <v>应付职工薪酬明细项目</v>
          </cell>
          <cell r="U155" t="str">
            <v>项       目</v>
          </cell>
          <cell r="V155">
            <v>1</v>
          </cell>
          <cell r="W155">
            <v>2211</v>
          </cell>
          <cell r="X155">
            <v>1</v>
          </cell>
        </row>
        <row r="156">
          <cell r="B156">
            <v>6829.5</v>
          </cell>
          <cell r="C156" t="str">
            <v>归属于少数股东的其他综合收益的税后净额</v>
          </cell>
          <cell r="D156">
            <v>1</v>
          </cell>
          <cell r="E156" t="str">
            <v>※</v>
          </cell>
          <cell r="F156">
            <v>0</v>
          </cell>
          <cell r="G156" t="str">
            <v>归属于少数股东的其他综合收益的税后净额</v>
          </cell>
          <cell r="H156" t="str">
            <v>归属于少数股东的其他综合收益的税后净额</v>
          </cell>
          <cell r="I156">
            <v>6829.5</v>
          </cell>
          <cell r="J156" t="str">
            <v>J</v>
          </cell>
          <cell r="M156" t="str">
            <v>资本公积_其他权益工具持有者投入资本</v>
          </cell>
          <cell r="S156" t="str">
            <v>2211b</v>
          </cell>
          <cell r="T156" t="str">
            <v>短期薪酬</v>
          </cell>
          <cell r="U156" t="str">
            <v>项       目</v>
          </cell>
          <cell r="V156">
            <v>1</v>
          </cell>
          <cell r="W156">
            <v>2211</v>
          </cell>
          <cell r="X156">
            <v>2</v>
          </cell>
        </row>
        <row r="157">
          <cell r="B157">
            <v>6839</v>
          </cell>
          <cell r="C157" t="str">
            <v>综合收益总额</v>
          </cell>
          <cell r="D157">
            <v>0</v>
          </cell>
          <cell r="E157" t="str">
            <v>＝</v>
          </cell>
          <cell r="F157">
            <v>0</v>
          </cell>
          <cell r="G157" t="str">
            <v>六、综合收益总额</v>
          </cell>
          <cell r="H157" t="str">
            <v>八、综合收益总额</v>
          </cell>
          <cell r="I157">
            <v>6839</v>
          </cell>
          <cell r="J157">
            <v>0</v>
          </cell>
          <cell r="M157" t="str">
            <v>资本公积_所有者其他投入和减少资本</v>
          </cell>
          <cell r="S157" t="str">
            <v>2211c</v>
          </cell>
          <cell r="T157" t="str">
            <v>设定提存计划</v>
          </cell>
          <cell r="U157" t="str">
            <v>项       目</v>
          </cell>
          <cell r="V157">
            <v>1</v>
          </cell>
          <cell r="W157">
            <v>2211</v>
          </cell>
          <cell r="X157">
            <v>2</v>
          </cell>
        </row>
        <row r="158">
          <cell r="B158">
            <v>6841</v>
          </cell>
          <cell r="C158" t="str">
            <v>归属于母公司所有者的综合收益总额</v>
          </cell>
          <cell r="D158">
            <v>-1</v>
          </cell>
          <cell r="E158" t="str">
            <v>※</v>
          </cell>
          <cell r="F158">
            <v>0</v>
          </cell>
          <cell r="G158" t="str">
            <v>归属于母公司股东的综合收益总额</v>
          </cell>
          <cell r="H158" t="str">
            <v>归属于母公司股东的综合收益总额</v>
          </cell>
          <cell r="I158">
            <v>6841</v>
          </cell>
          <cell r="J158">
            <v>0</v>
          </cell>
          <cell r="M158" t="str">
            <v>资本公积_提取盈余公积影响权益</v>
          </cell>
          <cell r="S158" t="str">
            <v>2221a</v>
          </cell>
          <cell r="T158" t="str">
            <v>应交税费明细项目</v>
          </cell>
          <cell r="U158" t="str">
            <v>项       目</v>
          </cell>
          <cell r="V158">
            <v>1</v>
          </cell>
          <cell r="W158">
            <v>2221</v>
          </cell>
          <cell r="X158">
            <v>1</v>
          </cell>
        </row>
        <row r="159">
          <cell r="B159">
            <v>6842</v>
          </cell>
          <cell r="C159" t="str">
            <v>归属于少数股东的综合收益总额</v>
          </cell>
          <cell r="D159">
            <v>1</v>
          </cell>
          <cell r="E159" t="str">
            <v>※</v>
          </cell>
          <cell r="F159">
            <v>0</v>
          </cell>
          <cell r="G159" t="str">
            <v>归属于少数股东的综合收益总额</v>
          </cell>
          <cell r="H159" t="str">
            <v>归属于少数股东的综合收益总额</v>
          </cell>
          <cell r="I159">
            <v>6842</v>
          </cell>
          <cell r="J159">
            <v>0</v>
          </cell>
          <cell r="M159" t="str">
            <v>资本公积_提取一般风险准备影响权益</v>
          </cell>
          <cell r="S159" t="str">
            <v>2231a</v>
          </cell>
          <cell r="T159" t="str">
            <v>应付利息明细项目</v>
          </cell>
          <cell r="U159" t="str">
            <v>项       目</v>
          </cell>
          <cell r="V159">
            <v>1</v>
          </cell>
          <cell r="W159">
            <v>2231</v>
          </cell>
          <cell r="X159">
            <v>1</v>
          </cell>
        </row>
        <row r="160">
          <cell r="B160">
            <v>8</v>
          </cell>
          <cell r="C160" t="str">
            <v>所有者权益变动表</v>
          </cell>
          <cell r="D160">
            <v>0</v>
          </cell>
          <cell r="E160" t="str">
            <v>：</v>
          </cell>
          <cell r="F160">
            <v>0</v>
          </cell>
          <cell r="G160" t="str">
            <v>所有者权益变动表</v>
          </cell>
          <cell r="H160" t="str">
            <v>所有者权益变动表</v>
          </cell>
          <cell r="I160">
            <v>8</v>
          </cell>
          <cell r="J160">
            <v>0</v>
          </cell>
          <cell r="M160" t="str">
            <v>资本公积_对所有者的分配影响权益</v>
          </cell>
          <cell r="S160" t="str">
            <v>2231b</v>
          </cell>
          <cell r="T160" t="str">
            <v xml:space="preserve">重要的逾期未付利息 </v>
          </cell>
          <cell r="U160" t="str">
            <v>借款单位</v>
          </cell>
          <cell r="V160">
            <v>1</v>
          </cell>
          <cell r="W160">
            <v>2231</v>
          </cell>
          <cell r="X160">
            <v>2</v>
          </cell>
        </row>
        <row r="161">
          <cell r="B161">
            <v>8000</v>
          </cell>
          <cell r="C161" t="str">
            <v>所有者权益增减变动</v>
          </cell>
          <cell r="D161">
            <v>0</v>
          </cell>
          <cell r="E161" t="str">
            <v>：</v>
          </cell>
          <cell r="F161">
            <v>0</v>
          </cell>
          <cell r="G161" t="str">
            <v>所有者权益增减变动</v>
          </cell>
          <cell r="H161" t="str">
            <v>所有者权益增减变动</v>
          </cell>
          <cell r="I161">
            <v>8000</v>
          </cell>
          <cell r="J161">
            <v>0</v>
          </cell>
          <cell r="M161" t="str">
            <v>资本公积_其他利润分配</v>
          </cell>
          <cell r="S161" t="str">
            <v>2232a</v>
          </cell>
          <cell r="T161" t="str">
            <v>应付股利明细项目</v>
          </cell>
          <cell r="U161" t="str">
            <v>项目（或股东名称）</v>
          </cell>
          <cell r="V161">
            <v>1</v>
          </cell>
          <cell r="W161">
            <v>2232</v>
          </cell>
          <cell r="X161">
            <v>1</v>
          </cell>
        </row>
        <row r="162">
          <cell r="B162">
            <v>8001</v>
          </cell>
          <cell r="C162" t="str">
            <v>所有者权益_上年年末余额</v>
          </cell>
          <cell r="D162">
            <v>-1</v>
          </cell>
          <cell r="E162" t="str">
            <v>＝</v>
          </cell>
          <cell r="F162">
            <v>0</v>
          </cell>
          <cell r="G162" t="str">
            <v>一、上年年末余额</v>
          </cell>
          <cell r="H162" t="str">
            <v>一、上年年末余额</v>
          </cell>
          <cell r="I162">
            <v>8001</v>
          </cell>
          <cell r="J162">
            <v>0</v>
          </cell>
          <cell r="M162" t="str">
            <v>资本公积_转增资本</v>
          </cell>
          <cell r="S162" t="str">
            <v>2232b</v>
          </cell>
          <cell r="T162" t="str">
            <v>重要的超过1年未支付的应付股利</v>
          </cell>
          <cell r="U162" t="str">
            <v>股东名称</v>
          </cell>
          <cell r="V162">
            <v>1</v>
          </cell>
          <cell r="W162">
            <v>2232</v>
          </cell>
          <cell r="X162">
            <v>2</v>
          </cell>
        </row>
        <row r="163">
          <cell r="B163">
            <v>8002</v>
          </cell>
          <cell r="C163" t="str">
            <v>所有者权益_会计政策变更调整上年年末余额</v>
          </cell>
          <cell r="D163">
            <v>-1</v>
          </cell>
          <cell r="E163" t="str">
            <v>＝</v>
          </cell>
          <cell r="F163">
            <v>0</v>
          </cell>
          <cell r="G163" t="str">
            <v>加：会计政策变更</v>
          </cell>
          <cell r="H163" t="str">
            <v>加：会计政策变更</v>
          </cell>
          <cell r="I163">
            <v>8002</v>
          </cell>
          <cell r="J163">
            <v>0</v>
          </cell>
          <cell r="M163" t="str">
            <v>资本公积_盈余公积转增资本影响权益</v>
          </cell>
          <cell r="S163" t="str">
            <v>2241e</v>
          </cell>
          <cell r="T163" t="str">
            <v>其他应付款按款项性质列示</v>
          </cell>
          <cell r="U163" t="str">
            <v>项       目</v>
          </cell>
          <cell r="V163">
            <v>1</v>
          </cell>
          <cell r="W163">
            <v>2241</v>
          </cell>
          <cell r="X163">
            <v>1</v>
          </cell>
        </row>
        <row r="164">
          <cell r="B164">
            <v>8003</v>
          </cell>
          <cell r="C164" t="str">
            <v>所有者权益_前期差错更正调整上年年末余额</v>
          </cell>
          <cell r="D164">
            <v>-1</v>
          </cell>
          <cell r="E164" t="str">
            <v>＝</v>
          </cell>
          <cell r="F164">
            <v>0</v>
          </cell>
          <cell r="G164" t="str">
            <v>前期差错更正</v>
          </cell>
          <cell r="H164" t="str">
            <v>前期差错更正</v>
          </cell>
          <cell r="I164">
            <v>8003</v>
          </cell>
          <cell r="J164">
            <v>0</v>
          </cell>
          <cell r="M164" t="str">
            <v>资本公积_盈余公积弥补亏损影响权益</v>
          </cell>
          <cell r="S164" t="str">
            <v>2241c</v>
          </cell>
          <cell r="T164" t="str">
            <v>账龄超过1年的重要其他应付款</v>
          </cell>
          <cell r="U164" t="str">
            <v>项       目</v>
          </cell>
          <cell r="V164">
            <v>1</v>
          </cell>
          <cell r="W164">
            <v>2241</v>
          </cell>
          <cell r="X164">
            <v>2</v>
          </cell>
        </row>
        <row r="165">
          <cell r="B165">
            <v>8004</v>
          </cell>
          <cell r="C165" t="str">
            <v>所有者权益_同一控制下企业合并调整上年年末余额</v>
          </cell>
          <cell r="D165">
            <v>-1</v>
          </cell>
          <cell r="E165" t="str">
            <v>※＝</v>
          </cell>
          <cell r="F165">
            <v>0</v>
          </cell>
          <cell r="G165" t="str">
            <v>同一控制下企业合并</v>
          </cell>
          <cell r="H165" t="str">
            <v>同一控制下企业合并</v>
          </cell>
          <cell r="I165">
            <v>8004</v>
          </cell>
          <cell r="J165">
            <v>0</v>
          </cell>
          <cell r="M165" t="str">
            <v>资本公积_结转重新计量设定受益计划净负债或净资产所产生的变动</v>
          </cell>
          <cell r="S165" t="str">
            <v>2241g</v>
          </cell>
          <cell r="T165" t="str">
            <v>外币其他应付款</v>
          </cell>
          <cell r="U165" t="str">
            <v>币       种</v>
          </cell>
          <cell r="V165">
            <v>1</v>
          </cell>
          <cell r="W165">
            <v>2241</v>
          </cell>
          <cell r="X165">
            <v>2</v>
          </cell>
        </row>
        <row r="166">
          <cell r="B166">
            <v>8009</v>
          </cell>
          <cell r="C166" t="str">
            <v>所有者权益_其他原因调整上年年末余额</v>
          </cell>
          <cell r="D166">
            <v>-1</v>
          </cell>
          <cell r="E166" t="str">
            <v>＝</v>
          </cell>
          <cell r="F166">
            <v>0</v>
          </cell>
          <cell r="G166" t="str">
            <v>其他</v>
          </cell>
          <cell r="H166" t="str">
            <v>其他</v>
          </cell>
          <cell r="I166">
            <v>8009</v>
          </cell>
          <cell r="J166">
            <v>0</v>
          </cell>
          <cell r="M166" t="str">
            <v>资本公积_所有者权益其他内部结转</v>
          </cell>
          <cell r="S166" t="str">
            <v>2241a</v>
          </cell>
          <cell r="T166" t="str">
            <v>关联方应收应付款项——其他应付款</v>
          </cell>
          <cell r="U166" t="str">
            <v>项       目</v>
          </cell>
          <cell r="V166">
            <v>1</v>
          </cell>
          <cell r="W166">
            <v>2241</v>
          </cell>
          <cell r="X166">
            <v>2</v>
          </cell>
        </row>
        <row r="167">
          <cell r="B167">
            <v>8010</v>
          </cell>
          <cell r="C167" t="str">
            <v>所有者权益_本年年初余额</v>
          </cell>
          <cell r="D167">
            <v>0</v>
          </cell>
          <cell r="E167" t="str">
            <v>＝</v>
          </cell>
          <cell r="F167">
            <v>0</v>
          </cell>
          <cell r="G167" t="str">
            <v>二、本年年初余额</v>
          </cell>
          <cell r="H167" t="str">
            <v>二、本年年初余额</v>
          </cell>
          <cell r="I167">
            <v>8010</v>
          </cell>
          <cell r="J167">
            <v>0</v>
          </cell>
          <cell r="M167" t="str">
            <v>资本公积_专项储备本期提取</v>
          </cell>
          <cell r="S167" t="str">
            <v>2395a</v>
          </cell>
          <cell r="T167" t="str">
            <v>一年内到期的非流动负债</v>
          </cell>
          <cell r="U167" t="str">
            <v>项       目</v>
          </cell>
          <cell r="V167">
            <v>1</v>
          </cell>
          <cell r="W167">
            <v>2395</v>
          </cell>
          <cell r="X167">
            <v>1</v>
          </cell>
        </row>
        <row r="168">
          <cell r="B168">
            <v>8090</v>
          </cell>
          <cell r="C168" t="str">
            <v>所有者权益_本期增减变动金额</v>
          </cell>
          <cell r="D168">
            <v>0</v>
          </cell>
          <cell r="E168" t="str">
            <v>＝</v>
          </cell>
          <cell r="F168">
            <v>0</v>
          </cell>
          <cell r="G168" t="str">
            <v>三、本期增减变动金额（减少以“-”号填列）</v>
          </cell>
          <cell r="H168" t="str">
            <v>三、本年增减变动金额（减少以“－”号填列）</v>
          </cell>
          <cell r="I168">
            <v>8090</v>
          </cell>
          <cell r="J168">
            <v>0</v>
          </cell>
          <cell r="M168" t="str">
            <v>资本公积_专项储备本期使用</v>
          </cell>
          <cell r="S168" t="str">
            <v>2395b</v>
          </cell>
          <cell r="T168" t="str">
            <v>1年内到期的长期借款</v>
          </cell>
          <cell r="U168" t="str">
            <v>项       目</v>
          </cell>
          <cell r="V168">
            <v>1</v>
          </cell>
          <cell r="W168">
            <v>2395</v>
          </cell>
          <cell r="X168">
            <v>2</v>
          </cell>
        </row>
        <row r="169">
          <cell r="B169">
            <v>8021</v>
          </cell>
          <cell r="C169" t="str">
            <v>所有者权益_净利润增加权益</v>
          </cell>
          <cell r="D169">
            <v>-1</v>
          </cell>
          <cell r="E169" t="str">
            <v>＝</v>
          </cell>
          <cell r="F169">
            <v>0</v>
          </cell>
          <cell r="G169" t="str">
            <v>（一）净利润</v>
          </cell>
          <cell r="H169">
            <v>0</v>
          </cell>
          <cell r="I169">
            <v>8021</v>
          </cell>
          <cell r="J169">
            <v>0</v>
          </cell>
          <cell r="M169" t="str">
            <v>资本公积_本期其他增减变动</v>
          </cell>
          <cell r="S169" t="str">
            <v>2395e</v>
          </cell>
          <cell r="T169" t="str">
            <v>1年内到期的应付债券</v>
          </cell>
          <cell r="U169" t="str">
            <v>债券名称</v>
          </cell>
          <cell r="V169">
            <v>1</v>
          </cell>
          <cell r="W169">
            <v>2395</v>
          </cell>
          <cell r="X169">
            <v>2</v>
          </cell>
        </row>
        <row r="170">
          <cell r="B170">
            <v>8030</v>
          </cell>
          <cell r="C170" t="str">
            <v>所有者权益_其他综合收益增加权益</v>
          </cell>
          <cell r="D170">
            <v>-1</v>
          </cell>
          <cell r="E170" t="str">
            <v>＝</v>
          </cell>
          <cell r="F170">
            <v>0</v>
          </cell>
          <cell r="G170" t="str">
            <v>（二）其他综合收益</v>
          </cell>
          <cell r="H170">
            <v>0</v>
          </cell>
          <cell r="I170">
            <v>8030</v>
          </cell>
          <cell r="J170">
            <v>0</v>
          </cell>
          <cell r="M170" t="str">
            <v>库存股_上年年末余额</v>
          </cell>
          <cell r="S170" t="str">
            <v>2395f</v>
          </cell>
          <cell r="T170" t="str">
            <v>一年内到期的长期应付款</v>
          </cell>
          <cell r="U170" t="str">
            <v>项       目</v>
          </cell>
          <cell r="V170">
            <v>1</v>
          </cell>
          <cell r="W170">
            <v>2395</v>
          </cell>
          <cell r="X170">
            <v>2</v>
          </cell>
        </row>
        <row r="171">
          <cell r="B171">
            <v>8040</v>
          </cell>
          <cell r="C171" t="str">
            <v>所有者权益_综合收益总额增加权益</v>
          </cell>
          <cell r="D171">
            <v>0</v>
          </cell>
          <cell r="E171" t="str">
            <v>＝</v>
          </cell>
          <cell r="F171">
            <v>0</v>
          </cell>
          <cell r="G171" t="str">
            <v>（一）综合收益总额</v>
          </cell>
          <cell r="H171" t="str">
            <v>（一）综合收益总额</v>
          </cell>
          <cell r="I171">
            <v>8040</v>
          </cell>
          <cell r="J171">
            <v>0</v>
          </cell>
          <cell r="M171" t="str">
            <v>库存股_会计政策变更调整上年年末余额</v>
          </cell>
          <cell r="S171" t="str">
            <v>2396a</v>
          </cell>
          <cell r="T171" t="str">
            <v>其他流动负债明细项目</v>
          </cell>
          <cell r="U171" t="str">
            <v>项       目</v>
          </cell>
          <cell r="V171">
            <v>1</v>
          </cell>
          <cell r="W171">
            <v>2396</v>
          </cell>
          <cell r="X171">
            <v>1</v>
          </cell>
        </row>
        <row r="172">
          <cell r="B172">
            <v>8050</v>
          </cell>
          <cell r="C172" t="str">
            <v>所有者权益_所有者投入和减少资本影响权益</v>
          </cell>
          <cell r="D172">
            <v>0</v>
          </cell>
          <cell r="E172" t="str">
            <v>＝</v>
          </cell>
          <cell r="F172">
            <v>0</v>
          </cell>
          <cell r="G172" t="str">
            <v>（二）所有者投入和减少资本</v>
          </cell>
          <cell r="H172" t="str">
            <v>（二）股东（或所有者）投入和减少资本</v>
          </cell>
          <cell r="I172">
            <v>8050</v>
          </cell>
          <cell r="J172">
            <v>0</v>
          </cell>
          <cell r="M172" t="str">
            <v>库存股_前期差错更正调整上年年末余额</v>
          </cell>
          <cell r="S172" t="str">
            <v>2396c</v>
          </cell>
          <cell r="T172" t="str">
            <v>短期应付债券</v>
          </cell>
          <cell r="U172" t="str">
            <v>债券名称</v>
          </cell>
          <cell r="V172">
            <v>1</v>
          </cell>
          <cell r="W172">
            <v>2396</v>
          </cell>
          <cell r="X172">
            <v>2</v>
          </cell>
        </row>
        <row r="173">
          <cell r="B173">
            <v>8051</v>
          </cell>
          <cell r="C173" t="str">
            <v>所有者权益_所有者投入资本增加权益</v>
          </cell>
          <cell r="D173">
            <v>-1</v>
          </cell>
          <cell r="E173" t="str">
            <v>＝</v>
          </cell>
          <cell r="F173">
            <v>0</v>
          </cell>
          <cell r="G173" t="str">
            <v>所有者投入资本</v>
          </cell>
          <cell r="H173" t="str">
            <v>1．股东投入的普通股</v>
          </cell>
          <cell r="I173">
            <v>8051</v>
          </cell>
          <cell r="J173">
            <v>0</v>
          </cell>
          <cell r="M173" t="str">
            <v>库存股_同一控制下企业合并调整上年年末余额</v>
          </cell>
          <cell r="S173" t="str">
            <v>2396b</v>
          </cell>
          <cell r="T173" t="str">
            <v>递延收益——政府补助情况</v>
          </cell>
          <cell r="U173" t="str">
            <v>补助项目</v>
          </cell>
          <cell r="V173">
            <v>1</v>
          </cell>
          <cell r="W173">
            <v>2396</v>
          </cell>
          <cell r="X173">
            <v>2</v>
          </cell>
        </row>
        <row r="174">
          <cell r="B174">
            <v>8053</v>
          </cell>
          <cell r="C174" t="str">
            <v>所有者权益_其他权益工具持有者投入资本</v>
          </cell>
          <cell r="D174">
            <v>-1</v>
          </cell>
          <cell r="E174" t="str">
            <v>OEI＝</v>
          </cell>
          <cell r="F174">
            <v>0</v>
          </cell>
          <cell r="G174" t="str">
            <v>其他权益工具持有者投入资本</v>
          </cell>
          <cell r="H174" t="str">
            <v>2．其他权益工具持有者投入资本</v>
          </cell>
          <cell r="I174">
            <v>8053</v>
          </cell>
          <cell r="J174">
            <v>0</v>
          </cell>
          <cell r="M174" t="str">
            <v>库存股_其他原因调整上年年末余额</v>
          </cell>
          <cell r="S174" t="str">
            <v>2501a</v>
          </cell>
          <cell r="T174" t="str">
            <v>长期借款明细项目</v>
          </cell>
          <cell r="U174" t="str">
            <v>借款类别</v>
          </cell>
          <cell r="V174">
            <v>1</v>
          </cell>
          <cell r="W174">
            <v>2501</v>
          </cell>
          <cell r="X174">
            <v>1</v>
          </cell>
        </row>
        <row r="175">
          <cell r="B175">
            <v>8052</v>
          </cell>
          <cell r="C175" t="str">
            <v>所有者权益_股份支付计入所有者权益的金额</v>
          </cell>
          <cell r="D175">
            <v>-1</v>
          </cell>
          <cell r="E175" t="str">
            <v>＝</v>
          </cell>
          <cell r="F175">
            <v>0</v>
          </cell>
          <cell r="G175" t="str">
            <v>股份支付计入所有者权益的金额</v>
          </cell>
          <cell r="H175" t="str">
            <v>3．股份支付计入股东权益的金额</v>
          </cell>
          <cell r="I175">
            <v>8052</v>
          </cell>
          <cell r="J175">
            <v>0</v>
          </cell>
          <cell r="M175" t="str">
            <v>库存股_净利润增加权益</v>
          </cell>
          <cell r="S175" t="str">
            <v>2501c</v>
          </cell>
          <cell r="T175" t="str">
            <v>外币长期借款</v>
          </cell>
          <cell r="U175" t="str">
            <v>币       种</v>
          </cell>
          <cell r="V175">
            <v>1</v>
          </cell>
          <cell r="W175">
            <v>2501</v>
          </cell>
          <cell r="X175">
            <v>2</v>
          </cell>
        </row>
        <row r="176">
          <cell r="B176">
            <v>8056</v>
          </cell>
          <cell r="C176" t="str">
            <v>所有者权益_所有者其他投入和减少资本</v>
          </cell>
          <cell r="D176">
            <v>-1</v>
          </cell>
          <cell r="E176" t="str">
            <v>＝</v>
          </cell>
          <cell r="F176">
            <v>0</v>
          </cell>
          <cell r="G176" t="str">
            <v>其他</v>
          </cell>
          <cell r="H176" t="str">
            <v>4．其他</v>
          </cell>
          <cell r="I176">
            <v>8056</v>
          </cell>
          <cell r="J176">
            <v>0</v>
          </cell>
          <cell r="M176" t="str">
            <v>库存股_其他综合收益增加权益</v>
          </cell>
          <cell r="S176" t="str">
            <v>2502b</v>
          </cell>
          <cell r="T176" t="str">
            <v>应付债券明细项目</v>
          </cell>
          <cell r="U176" t="str">
            <v>债券名称</v>
          </cell>
          <cell r="V176">
            <v>1</v>
          </cell>
          <cell r="W176">
            <v>2502</v>
          </cell>
          <cell r="X176">
            <v>1</v>
          </cell>
        </row>
        <row r="177">
          <cell r="B177">
            <v>8060</v>
          </cell>
          <cell r="C177" t="str">
            <v>所有者权益_利润分配影响权益</v>
          </cell>
          <cell r="D177">
            <v>0</v>
          </cell>
          <cell r="E177" t="str">
            <v>＝</v>
          </cell>
          <cell r="F177">
            <v>0</v>
          </cell>
          <cell r="G177" t="str">
            <v>（三）利润分配</v>
          </cell>
          <cell r="H177" t="str">
            <v>（三）利润分配</v>
          </cell>
          <cell r="I177">
            <v>8060</v>
          </cell>
          <cell r="J177">
            <v>0</v>
          </cell>
          <cell r="M177" t="str">
            <v>库存股_综合收益总额增加权益</v>
          </cell>
          <cell r="S177" t="str">
            <v>2502a</v>
          </cell>
          <cell r="T177" t="str">
            <v>应付债券的增减变动</v>
          </cell>
          <cell r="U177" t="str">
            <v>债券名称</v>
          </cell>
          <cell r="V177">
            <v>1</v>
          </cell>
          <cell r="W177">
            <v>2502</v>
          </cell>
          <cell r="X177">
            <v>2</v>
          </cell>
        </row>
        <row r="178">
          <cell r="B178">
            <v>8061</v>
          </cell>
          <cell r="C178" t="str">
            <v>所有者权益_提取盈余公积影响权益</v>
          </cell>
          <cell r="D178">
            <v>-1</v>
          </cell>
          <cell r="E178" t="str">
            <v>＝</v>
          </cell>
          <cell r="F178">
            <v>0</v>
          </cell>
          <cell r="G178" t="str">
            <v>提取盈余公积</v>
          </cell>
          <cell r="H178" t="str">
            <v>1．提取盈余公积</v>
          </cell>
          <cell r="I178">
            <v>8061</v>
          </cell>
          <cell r="J178">
            <v>0</v>
          </cell>
          <cell r="M178" t="str">
            <v>库存股_所有者投入资本</v>
          </cell>
          <cell r="S178" t="str">
            <v>2502d</v>
          </cell>
          <cell r="T178" t="str">
            <v>期末发行在外的优先股、永续债等其他金融工具的基本情况</v>
          </cell>
          <cell r="U178" t="str">
            <v>发行在外的金融工具</v>
          </cell>
          <cell r="V178">
            <v>1</v>
          </cell>
          <cell r="W178">
            <v>2502</v>
          </cell>
          <cell r="X178">
            <v>2</v>
          </cell>
        </row>
        <row r="179">
          <cell r="B179">
            <v>8062</v>
          </cell>
          <cell r="C179" t="str">
            <v>所有者权益_提取一般风险准备影响权益</v>
          </cell>
          <cell r="D179">
            <v>-1</v>
          </cell>
          <cell r="E179" t="str">
            <v>＝</v>
          </cell>
          <cell r="F179">
            <v>0</v>
          </cell>
          <cell r="G179" t="str">
            <v>提取一般风险准备</v>
          </cell>
          <cell r="H179" t="str">
            <v>2．提取一般风险准备</v>
          </cell>
          <cell r="I179">
            <v>8062</v>
          </cell>
          <cell r="J179">
            <v>0</v>
          </cell>
          <cell r="M179" t="str">
            <v>库存股_股份支付</v>
          </cell>
          <cell r="S179" t="str">
            <v>2502c</v>
          </cell>
          <cell r="T179" t="str">
            <v>期末发行在外的优先股、永续债等其他金融工具变动情况表</v>
          </cell>
          <cell r="U179" t="str">
            <v>发行在外的金融工具</v>
          </cell>
          <cell r="V179">
            <v>1</v>
          </cell>
          <cell r="W179">
            <v>2502</v>
          </cell>
          <cell r="X179">
            <v>2</v>
          </cell>
        </row>
        <row r="180">
          <cell r="B180">
            <v>8063</v>
          </cell>
          <cell r="C180" t="str">
            <v>所有者权益_对所有者的分配影响权益</v>
          </cell>
          <cell r="D180">
            <v>-1</v>
          </cell>
          <cell r="E180" t="str">
            <v>＝</v>
          </cell>
          <cell r="F180">
            <v>0</v>
          </cell>
          <cell r="G180" t="str">
            <v>对所有者（或股东）的分配</v>
          </cell>
          <cell r="H180" t="str">
            <v>2．对股东（或所有者）的分配</v>
          </cell>
          <cell r="I180">
            <v>8063</v>
          </cell>
          <cell r="J180">
            <v>0</v>
          </cell>
          <cell r="M180" t="str">
            <v>库存股_其他权益工具持有者投入资本</v>
          </cell>
          <cell r="S180" t="str">
            <v>2701c</v>
          </cell>
          <cell r="T180" t="str">
            <v>长期应付款明细项目</v>
          </cell>
          <cell r="U180" t="str">
            <v>项       目</v>
          </cell>
          <cell r="V180">
            <v>1</v>
          </cell>
          <cell r="W180">
            <v>2701</v>
          </cell>
          <cell r="X180">
            <v>1</v>
          </cell>
        </row>
        <row r="181">
          <cell r="B181">
            <v>8066</v>
          </cell>
          <cell r="C181" t="str">
            <v>所有者权益_其他利润分配影响权益</v>
          </cell>
          <cell r="D181">
            <v>-1</v>
          </cell>
          <cell r="E181" t="str">
            <v>＝</v>
          </cell>
          <cell r="F181">
            <v>0</v>
          </cell>
          <cell r="G181" t="str">
            <v>其他</v>
          </cell>
          <cell r="H181" t="str">
            <v>3．其他</v>
          </cell>
          <cell r="I181">
            <v>8066</v>
          </cell>
          <cell r="J181">
            <v>0</v>
          </cell>
          <cell r="M181" t="str">
            <v>库存股_所有者其他投入和减少资本</v>
          </cell>
          <cell r="S181" t="str">
            <v>2701d</v>
          </cell>
          <cell r="T181" t="str">
            <v>外币长期应付款</v>
          </cell>
          <cell r="U181" t="str">
            <v>币       种</v>
          </cell>
          <cell r="V181">
            <v>1</v>
          </cell>
          <cell r="W181">
            <v>2701</v>
          </cell>
          <cell r="X181">
            <v>2</v>
          </cell>
        </row>
        <row r="182">
          <cell r="B182">
            <v>8070</v>
          </cell>
          <cell r="C182" t="str">
            <v>所有者权益_所有者权益内部结转</v>
          </cell>
          <cell r="D182">
            <v>0</v>
          </cell>
          <cell r="E182" t="str">
            <v>＝</v>
          </cell>
          <cell r="F182">
            <v>0</v>
          </cell>
          <cell r="G182" t="str">
            <v>（四）所有者权益内部结转</v>
          </cell>
          <cell r="H182" t="str">
            <v>（四）股东权益内部结转</v>
          </cell>
          <cell r="I182">
            <v>8070</v>
          </cell>
          <cell r="J182">
            <v>0</v>
          </cell>
          <cell r="M182" t="str">
            <v>库存股_提取盈余公积影响权益</v>
          </cell>
          <cell r="S182" t="str">
            <v>2715a</v>
          </cell>
          <cell r="T182" t="str">
            <v>长期应付职工薪酬</v>
          </cell>
          <cell r="U182" t="str">
            <v>项       目</v>
          </cell>
          <cell r="V182">
            <v>1</v>
          </cell>
          <cell r="W182">
            <v>2715</v>
          </cell>
          <cell r="X182">
            <v>1</v>
          </cell>
        </row>
        <row r="183">
          <cell r="B183">
            <v>8071</v>
          </cell>
          <cell r="C183" t="str">
            <v>所有者权益_资本公积转增资本影响权益</v>
          </cell>
          <cell r="D183">
            <v>-1</v>
          </cell>
          <cell r="E183" t="str">
            <v>＝</v>
          </cell>
          <cell r="F183">
            <v>0</v>
          </cell>
          <cell r="G183" t="str">
            <v>资本公积转增资本（或股本）</v>
          </cell>
          <cell r="H183" t="str">
            <v>1．资本公积转增股本（或资本）</v>
          </cell>
          <cell r="I183">
            <v>8071</v>
          </cell>
          <cell r="J183">
            <v>0</v>
          </cell>
          <cell r="M183" t="str">
            <v>库存股_提取一般风险准备影响权益</v>
          </cell>
          <cell r="S183" t="str">
            <v>2715b</v>
          </cell>
          <cell r="T183" t="str">
            <v>设定受益计划义务现值变动情况</v>
          </cell>
          <cell r="U183" t="str">
            <v>项       目</v>
          </cell>
          <cell r="V183">
            <v>1</v>
          </cell>
          <cell r="W183">
            <v>2715</v>
          </cell>
          <cell r="X183">
            <v>2</v>
          </cell>
        </row>
        <row r="184">
          <cell r="B184">
            <v>8072</v>
          </cell>
          <cell r="C184" t="str">
            <v>所有者权益_盈余公积转增资本影响权益</v>
          </cell>
          <cell r="D184">
            <v>-1</v>
          </cell>
          <cell r="E184" t="str">
            <v>＝</v>
          </cell>
          <cell r="F184">
            <v>0</v>
          </cell>
          <cell r="G184" t="str">
            <v>盈余公积转增资本（或股本）</v>
          </cell>
          <cell r="H184" t="str">
            <v>2．盈余公积转增股本（或资本）</v>
          </cell>
          <cell r="I184">
            <v>8072</v>
          </cell>
          <cell r="J184">
            <v>0</v>
          </cell>
          <cell r="M184" t="str">
            <v>库存股_对所有者的分配</v>
          </cell>
          <cell r="S184" t="str">
            <v>2715c</v>
          </cell>
          <cell r="T184" t="str">
            <v>设定受益计划资产变动情况</v>
          </cell>
          <cell r="U184" t="str">
            <v>项       目</v>
          </cell>
          <cell r="V184">
            <v>1</v>
          </cell>
          <cell r="W184">
            <v>2715</v>
          </cell>
          <cell r="X184">
            <v>2</v>
          </cell>
        </row>
        <row r="185">
          <cell r="B185">
            <v>8073</v>
          </cell>
          <cell r="C185" t="str">
            <v>所有者权益_盈余公积弥补亏损影响权益</v>
          </cell>
          <cell r="D185">
            <v>-1</v>
          </cell>
          <cell r="E185" t="str">
            <v>＝</v>
          </cell>
          <cell r="F185">
            <v>0</v>
          </cell>
          <cell r="G185" t="str">
            <v>盈余公积弥补亏损</v>
          </cell>
          <cell r="H185" t="str">
            <v>3．盈余公积弥补亏损</v>
          </cell>
          <cell r="I185">
            <v>8073</v>
          </cell>
          <cell r="J185">
            <v>0</v>
          </cell>
          <cell r="M185" t="str">
            <v>库存股_其他利润分配</v>
          </cell>
          <cell r="S185" t="str">
            <v>2715d</v>
          </cell>
          <cell r="T185" t="str">
            <v>设定受益计划净负债变动情况</v>
          </cell>
          <cell r="U185" t="str">
            <v>项       目</v>
          </cell>
          <cell r="V185">
            <v>1</v>
          </cell>
          <cell r="W185">
            <v>2715</v>
          </cell>
          <cell r="X185">
            <v>2</v>
          </cell>
        </row>
        <row r="186">
          <cell r="B186">
            <v>8075</v>
          </cell>
          <cell r="C186" t="str">
            <v>所有者权益_结转重新计量设定受益计划净负债或净资产所产生的变动</v>
          </cell>
          <cell r="D186">
            <v>-1</v>
          </cell>
          <cell r="E186" t="str">
            <v>OEI＝</v>
          </cell>
          <cell r="F186">
            <v>0</v>
          </cell>
          <cell r="G186" t="str">
            <v>结转重新计量设定受益计划净负债或净资产所产生的变动</v>
          </cell>
          <cell r="H186" t="str">
            <v>4．结转重新计量设定受益计划净负债或净资产所产生的变动</v>
          </cell>
          <cell r="I186">
            <v>8075</v>
          </cell>
          <cell r="J186">
            <v>0</v>
          </cell>
          <cell r="M186" t="str">
            <v>库存股_资本公积转增资本影响权益</v>
          </cell>
          <cell r="S186" t="str">
            <v>2715e</v>
          </cell>
          <cell r="T186" t="str">
            <v>未折现的离职后福利预计到期分析</v>
          </cell>
          <cell r="U186" t="str">
            <v>项       目</v>
          </cell>
          <cell r="V186">
            <v>1</v>
          </cell>
          <cell r="W186">
            <v>2715</v>
          </cell>
          <cell r="X186">
            <v>2</v>
          </cell>
        </row>
        <row r="187">
          <cell r="B187">
            <v>8076</v>
          </cell>
          <cell r="C187" t="str">
            <v>所有者权益_所有者权益其他内部结转</v>
          </cell>
          <cell r="D187">
            <v>-1</v>
          </cell>
          <cell r="E187" t="str">
            <v>＝</v>
          </cell>
          <cell r="F187">
            <v>0</v>
          </cell>
          <cell r="G187" t="str">
            <v>其他</v>
          </cell>
          <cell r="H187" t="str">
            <v>5．其他</v>
          </cell>
          <cell r="I187">
            <v>8076</v>
          </cell>
          <cell r="J187">
            <v>0</v>
          </cell>
          <cell r="M187" t="str">
            <v>库存股_盈余公积转增资本影响权益</v>
          </cell>
          <cell r="S187" t="str">
            <v>2715f</v>
          </cell>
          <cell r="T187" t="str">
            <v>设定受益计划资产明细</v>
          </cell>
          <cell r="U187" t="str">
            <v>项       目</v>
          </cell>
          <cell r="V187">
            <v>1</v>
          </cell>
          <cell r="W187">
            <v>2715</v>
          </cell>
          <cell r="X187">
            <v>2</v>
          </cell>
        </row>
        <row r="188">
          <cell r="B188">
            <v>8080</v>
          </cell>
          <cell r="C188" t="str">
            <v>所有者权益_专项储备影响权益</v>
          </cell>
          <cell r="D188">
            <v>0</v>
          </cell>
          <cell r="E188" t="str">
            <v>＝</v>
          </cell>
          <cell r="F188">
            <v>0</v>
          </cell>
          <cell r="G188" t="str">
            <v>（五）专项储备</v>
          </cell>
          <cell r="H188" t="str">
            <v>（五）专项储备</v>
          </cell>
          <cell r="I188">
            <v>8080</v>
          </cell>
          <cell r="J188">
            <v>0</v>
          </cell>
          <cell r="M188" t="str">
            <v>库存股_盈余公积弥补亏损影响权益</v>
          </cell>
          <cell r="S188" t="str">
            <v>2715g</v>
          </cell>
          <cell r="T188" t="str">
            <v>设定受益计划精算假设</v>
          </cell>
          <cell r="U188" t="str">
            <v>项       目</v>
          </cell>
          <cell r="V188">
            <v>1</v>
          </cell>
          <cell r="W188">
            <v>2715</v>
          </cell>
          <cell r="X188">
            <v>2</v>
          </cell>
        </row>
        <row r="189">
          <cell r="B189">
            <v>8081</v>
          </cell>
          <cell r="C189" t="str">
            <v>所有者权益_专项储备本期提取</v>
          </cell>
          <cell r="D189">
            <v>-1</v>
          </cell>
          <cell r="E189" t="str">
            <v>＝</v>
          </cell>
          <cell r="F189">
            <v>0</v>
          </cell>
          <cell r="G189" t="str">
            <v>本期提取</v>
          </cell>
          <cell r="H189" t="str">
            <v>1．本期提取</v>
          </cell>
          <cell r="I189">
            <v>8081</v>
          </cell>
          <cell r="J189">
            <v>0</v>
          </cell>
          <cell r="M189" t="str">
            <v>库存股_结转重新计量设定受益计划净负债或净资产所产生的变动</v>
          </cell>
          <cell r="S189" t="str">
            <v>2715h</v>
          </cell>
          <cell r="T189" t="str">
            <v>设定受益计划敏感性分析</v>
          </cell>
          <cell r="U189" t="str">
            <v>项       目</v>
          </cell>
          <cell r="V189">
            <v>1</v>
          </cell>
          <cell r="W189">
            <v>2715</v>
          </cell>
          <cell r="X189">
            <v>2</v>
          </cell>
        </row>
        <row r="190">
          <cell r="B190">
            <v>8082</v>
          </cell>
          <cell r="C190" t="str">
            <v>所有者权益_专项储备本期使用</v>
          </cell>
          <cell r="D190">
            <v>-1</v>
          </cell>
          <cell r="E190" t="str">
            <v>＝</v>
          </cell>
          <cell r="F190">
            <v>0</v>
          </cell>
          <cell r="G190" t="str">
            <v>本期使用</v>
          </cell>
          <cell r="H190" t="str">
            <v>2．本期使用（以负号填列）</v>
          </cell>
          <cell r="I190">
            <v>8082</v>
          </cell>
          <cell r="J190">
            <v>0</v>
          </cell>
          <cell r="M190" t="str">
            <v>库存股_所有者权益其他内部结转</v>
          </cell>
          <cell r="S190" t="str">
            <v>2711a</v>
          </cell>
          <cell r="T190" t="str">
            <v>专项应付款明细项目</v>
          </cell>
          <cell r="U190" t="str">
            <v>项       目</v>
          </cell>
          <cell r="V190">
            <v>1</v>
          </cell>
          <cell r="W190">
            <v>2711</v>
          </cell>
          <cell r="X190">
            <v>1</v>
          </cell>
        </row>
        <row r="191">
          <cell r="B191">
            <v>8096</v>
          </cell>
          <cell r="C191" t="str">
            <v>所有者权益_本期其他增减变动</v>
          </cell>
          <cell r="D191">
            <v>-1</v>
          </cell>
          <cell r="E191" t="str">
            <v>＝</v>
          </cell>
          <cell r="F191">
            <v>0</v>
          </cell>
          <cell r="G191" t="str">
            <v>（七）其他</v>
          </cell>
          <cell r="H191" t="str">
            <v>（六）其他</v>
          </cell>
          <cell r="I191">
            <v>8096</v>
          </cell>
          <cell r="J191">
            <v>0</v>
          </cell>
          <cell r="M191" t="str">
            <v>库存股_专项储备本期提取</v>
          </cell>
          <cell r="S191" t="str">
            <v>2711b</v>
          </cell>
          <cell r="T191" t="str">
            <v>外币专项应付款</v>
          </cell>
          <cell r="U191" t="str">
            <v>币       种</v>
          </cell>
          <cell r="V191">
            <v>1</v>
          </cell>
          <cell r="W191">
            <v>2711</v>
          </cell>
          <cell r="X191">
            <v>2</v>
          </cell>
        </row>
        <row r="192">
          <cell r="B192">
            <v>8099</v>
          </cell>
          <cell r="C192" t="str">
            <v>所有者权益_本期期末余额</v>
          </cell>
          <cell r="D192">
            <v>0</v>
          </cell>
          <cell r="E192" t="str">
            <v>＝</v>
          </cell>
          <cell r="F192">
            <v>0</v>
          </cell>
          <cell r="G192" t="str">
            <v>四、本期期末余额</v>
          </cell>
          <cell r="H192" t="str">
            <v>四、本年年末余额</v>
          </cell>
          <cell r="I192">
            <v>8099</v>
          </cell>
          <cell r="J192">
            <v>0</v>
          </cell>
          <cell r="M192" t="str">
            <v>库存股_专项储备本期使用</v>
          </cell>
          <cell r="S192" t="str">
            <v>2801a</v>
          </cell>
          <cell r="T192" t="str">
            <v>预计负债明细项目</v>
          </cell>
          <cell r="U192" t="str">
            <v>种       类</v>
          </cell>
          <cell r="V192">
            <v>1</v>
          </cell>
          <cell r="W192">
            <v>2801</v>
          </cell>
          <cell r="X192">
            <v>1</v>
          </cell>
        </row>
        <row r="193">
          <cell r="B193">
            <v>8100</v>
          </cell>
          <cell r="C193" t="str">
            <v>实收资本增减变动</v>
          </cell>
          <cell r="D193">
            <v>0</v>
          </cell>
          <cell r="E193" t="str">
            <v>：</v>
          </cell>
          <cell r="F193">
            <v>0</v>
          </cell>
          <cell r="G193" t="str">
            <v>实收资本(或股本)增减变动</v>
          </cell>
          <cell r="H193">
            <v>0</v>
          </cell>
          <cell r="I193">
            <v>8100</v>
          </cell>
          <cell r="J193">
            <v>0</v>
          </cell>
          <cell r="M193" t="str">
            <v>库存股_本期其他增减变动</v>
          </cell>
          <cell r="S193" t="str">
            <v>2401a</v>
          </cell>
          <cell r="T193" t="str">
            <v>递延收益</v>
          </cell>
          <cell r="U193" t="str">
            <v>项       目</v>
          </cell>
          <cell r="V193">
            <v>1</v>
          </cell>
          <cell r="W193">
            <v>2401</v>
          </cell>
          <cell r="X193">
            <v>1</v>
          </cell>
        </row>
        <row r="194">
          <cell r="B194">
            <v>8101</v>
          </cell>
          <cell r="C194" t="str">
            <v>实收资本_上年年末余额</v>
          </cell>
          <cell r="D194">
            <v>-1</v>
          </cell>
          <cell r="E194">
            <v>0</v>
          </cell>
          <cell r="F194">
            <v>5110</v>
          </cell>
          <cell r="G194" t="str">
            <v>一、上年年末余额</v>
          </cell>
          <cell r="H194">
            <v>0</v>
          </cell>
          <cell r="I194">
            <v>8101</v>
          </cell>
          <cell r="J194" t="str">
            <v>J</v>
          </cell>
          <cell r="M194" t="str">
            <v>专项储备_上年年末余额</v>
          </cell>
          <cell r="S194" t="str">
            <v>2401b</v>
          </cell>
          <cell r="T194" t="str">
            <v>递延收益——政府补助情况</v>
          </cell>
          <cell r="U194" t="str">
            <v>补助项目</v>
          </cell>
          <cell r="V194">
            <v>1</v>
          </cell>
          <cell r="W194">
            <v>2401</v>
          </cell>
          <cell r="X194">
            <v>2</v>
          </cell>
        </row>
        <row r="195">
          <cell r="B195">
            <v>8102</v>
          </cell>
          <cell r="C195" t="str">
            <v>实收资本_会计政策变更调整上年年末余额</v>
          </cell>
          <cell r="D195">
            <v>-1</v>
          </cell>
          <cell r="E195" t="str">
            <v>LOW</v>
          </cell>
          <cell r="F195">
            <v>5110</v>
          </cell>
          <cell r="G195" t="str">
            <v>加：会计政策变更</v>
          </cell>
          <cell r="H195">
            <v>0</v>
          </cell>
          <cell r="I195">
            <v>8102</v>
          </cell>
          <cell r="J195" t="str">
            <v>J</v>
          </cell>
          <cell r="M195" t="str">
            <v>专项储备_会计政策变更调整上年年末余额</v>
          </cell>
          <cell r="S195" t="str">
            <v>2996a</v>
          </cell>
          <cell r="T195" t="str">
            <v>其他非流动负债明细项目</v>
          </cell>
          <cell r="U195" t="str">
            <v>项       目</v>
          </cell>
          <cell r="V195">
            <v>1</v>
          </cell>
          <cell r="W195">
            <v>2996</v>
          </cell>
          <cell r="X195">
            <v>1</v>
          </cell>
        </row>
        <row r="196">
          <cell r="B196">
            <v>8103</v>
          </cell>
          <cell r="C196" t="str">
            <v>实收资本_前期差错更正调整上年年末余额</v>
          </cell>
          <cell r="D196">
            <v>-1</v>
          </cell>
          <cell r="E196">
            <v>0</v>
          </cell>
          <cell r="F196">
            <v>5110</v>
          </cell>
          <cell r="G196" t="str">
            <v>前期差错更正</v>
          </cell>
          <cell r="H196">
            <v>0</v>
          </cell>
          <cell r="I196">
            <v>8103</v>
          </cell>
          <cell r="J196" t="str">
            <v>J</v>
          </cell>
          <cell r="M196" t="str">
            <v>专项储备_前期差错更正调整上年年末余额</v>
          </cell>
          <cell r="S196" t="str">
            <v>2996x</v>
          </cell>
          <cell r="T196" t="str">
            <v>其他非流动负债</v>
          </cell>
          <cell r="U196" t="str">
            <v>项       目</v>
          </cell>
          <cell r="V196">
            <v>1</v>
          </cell>
          <cell r="W196">
            <v>2996</v>
          </cell>
          <cell r="X196">
            <v>2</v>
          </cell>
        </row>
        <row r="197">
          <cell r="B197">
            <v>8104</v>
          </cell>
          <cell r="C197" t="str">
            <v>实收资本_同一控制下企业合并调整上年年末余额</v>
          </cell>
          <cell r="D197">
            <v>-1</v>
          </cell>
          <cell r="E197" t="str">
            <v>※</v>
          </cell>
          <cell r="F197">
            <v>5110</v>
          </cell>
          <cell r="G197" t="str">
            <v>同一控制下企业合并</v>
          </cell>
          <cell r="H197">
            <v>0</v>
          </cell>
          <cell r="I197">
            <v>8104</v>
          </cell>
          <cell r="J197" t="str">
            <v>J</v>
          </cell>
          <cell r="M197" t="str">
            <v>专项储备_同一控制下企业合并调整上年年末余额</v>
          </cell>
          <cell r="S197" t="str">
            <v>4001a</v>
          </cell>
          <cell r="T197" t="str">
            <v>股本变动情况</v>
          </cell>
          <cell r="U197" t="str">
            <v>股份类别</v>
          </cell>
          <cell r="V197">
            <v>0</v>
          </cell>
          <cell r="W197">
            <v>4001</v>
          </cell>
          <cell r="X197">
            <v>2</v>
          </cell>
        </row>
        <row r="198">
          <cell r="B198">
            <v>8109</v>
          </cell>
          <cell r="C198" t="str">
            <v>实收资本_其他原因调整上年年末余额</v>
          </cell>
          <cell r="D198">
            <v>-1</v>
          </cell>
          <cell r="E198" t="str">
            <v>LOW</v>
          </cell>
          <cell r="F198">
            <v>5110</v>
          </cell>
          <cell r="G198" t="str">
            <v>其他</v>
          </cell>
          <cell r="H198">
            <v>0</v>
          </cell>
          <cell r="I198">
            <v>8109</v>
          </cell>
          <cell r="J198" t="str">
            <v>J</v>
          </cell>
          <cell r="M198" t="str">
            <v>专项储备_其他原因调整上年年末余额</v>
          </cell>
          <cell r="S198" t="str">
            <v>4001b</v>
          </cell>
          <cell r="T198" t="str">
            <v>实收资本变动情况</v>
          </cell>
          <cell r="U198" t="str">
            <v>股东名称</v>
          </cell>
          <cell r="V198">
            <v>1</v>
          </cell>
          <cell r="W198">
            <v>4001</v>
          </cell>
          <cell r="X198">
            <v>1</v>
          </cell>
        </row>
        <row r="199">
          <cell r="B199">
            <v>8110</v>
          </cell>
          <cell r="C199" t="str">
            <v>实收资本_本年年初余额</v>
          </cell>
          <cell r="D199">
            <v>0</v>
          </cell>
          <cell r="E199" t="str">
            <v>＝</v>
          </cell>
          <cell r="F199">
            <v>0</v>
          </cell>
          <cell r="G199" t="str">
            <v>二、本年年初余额</v>
          </cell>
          <cell r="H199">
            <v>0</v>
          </cell>
          <cell r="I199">
            <v>8110</v>
          </cell>
          <cell r="J199">
            <v>0</v>
          </cell>
          <cell r="M199" t="str">
            <v>专项储备_净利润增加权益</v>
          </cell>
          <cell r="S199" t="str">
            <v>4015b</v>
          </cell>
          <cell r="T199" t="str">
            <v>期末发行在外的优先股、永续债等其他金融工具的基本情况</v>
          </cell>
          <cell r="U199">
            <v>0</v>
          </cell>
          <cell r="V199">
            <v>1</v>
          </cell>
          <cell r="W199">
            <v>4015</v>
          </cell>
          <cell r="X199">
            <v>2</v>
          </cell>
        </row>
        <row r="200">
          <cell r="B200">
            <v>8190</v>
          </cell>
          <cell r="C200" t="str">
            <v>实收资本_本期增减变动金额</v>
          </cell>
          <cell r="D200">
            <v>0</v>
          </cell>
          <cell r="E200" t="str">
            <v>＝</v>
          </cell>
          <cell r="F200">
            <v>0</v>
          </cell>
          <cell r="G200" t="str">
            <v>三、本期增减变动金额（减少以“-”号填列）</v>
          </cell>
          <cell r="H200">
            <v>0</v>
          </cell>
          <cell r="I200">
            <v>8190</v>
          </cell>
          <cell r="J200">
            <v>0</v>
          </cell>
          <cell r="M200" t="str">
            <v>专项储备_其他综合收益增加权益</v>
          </cell>
          <cell r="S200" t="str">
            <v>4015a</v>
          </cell>
          <cell r="T200" t="str">
            <v>期末发行在外的优先股、永续债等其他金融工具变动情况表</v>
          </cell>
          <cell r="U200" t="str">
            <v>发行在外的金融工具</v>
          </cell>
          <cell r="V200">
            <v>1</v>
          </cell>
          <cell r="W200">
            <v>4015</v>
          </cell>
          <cell r="X200">
            <v>1</v>
          </cell>
        </row>
        <row r="201">
          <cell r="B201">
            <v>8150</v>
          </cell>
          <cell r="C201" t="str">
            <v>实收资本_所有者投入和减少资本影响权益</v>
          </cell>
          <cell r="D201">
            <v>0</v>
          </cell>
          <cell r="E201" t="str">
            <v>＝</v>
          </cell>
          <cell r="F201">
            <v>0</v>
          </cell>
          <cell r="G201" t="str">
            <v>（二）所有者投入和减少资本</v>
          </cell>
          <cell r="H201">
            <v>0</v>
          </cell>
          <cell r="I201">
            <v>8150</v>
          </cell>
          <cell r="J201">
            <v>0</v>
          </cell>
          <cell r="M201" t="str">
            <v>专项储备_综合收益总额增加权益</v>
          </cell>
          <cell r="S201" t="str">
            <v>4015c</v>
          </cell>
          <cell r="T201" t="str">
            <v>权益工具持有者的相关信息</v>
          </cell>
          <cell r="U201" t="str">
            <v>项       目</v>
          </cell>
          <cell r="V201">
            <v>1</v>
          </cell>
          <cell r="W201">
            <v>4015</v>
          </cell>
          <cell r="X201">
            <v>2</v>
          </cell>
        </row>
        <row r="202">
          <cell r="B202">
            <v>8151</v>
          </cell>
          <cell r="C202" t="str">
            <v>实收资本_所有者投入资本</v>
          </cell>
          <cell r="D202">
            <v>-1</v>
          </cell>
          <cell r="E202">
            <v>0</v>
          </cell>
          <cell r="F202">
            <v>5110</v>
          </cell>
          <cell r="G202" t="str">
            <v>所有者投入资本</v>
          </cell>
          <cell r="H202">
            <v>0</v>
          </cell>
          <cell r="I202">
            <v>8151</v>
          </cell>
          <cell r="J202" t="str">
            <v>J</v>
          </cell>
          <cell r="M202" t="str">
            <v>专项储备_所有者投入资本增加权益</v>
          </cell>
          <cell r="S202" t="str">
            <v>4002a</v>
          </cell>
          <cell r="T202" t="str">
            <v>资本公积变动情况</v>
          </cell>
          <cell r="U202" t="str">
            <v>种       类</v>
          </cell>
          <cell r="V202">
            <v>1</v>
          </cell>
          <cell r="W202">
            <v>4002</v>
          </cell>
          <cell r="X202">
            <v>1</v>
          </cell>
        </row>
        <row r="203">
          <cell r="B203">
            <v>8153</v>
          </cell>
          <cell r="C203" t="str">
            <v>实收资本_其他权益工具持有者投入资本</v>
          </cell>
          <cell r="D203">
            <v>-1</v>
          </cell>
          <cell r="E203" t="str">
            <v>OEI</v>
          </cell>
          <cell r="F203">
            <v>5110</v>
          </cell>
          <cell r="G203" t="str">
            <v>其他权益工具持有者投入资本</v>
          </cell>
          <cell r="H203">
            <v>0</v>
          </cell>
          <cell r="I203">
            <v>8153</v>
          </cell>
          <cell r="J203" t="str">
            <v>J</v>
          </cell>
          <cell r="M203" t="str">
            <v>专项储备_股份支付计入所有者权益的金额</v>
          </cell>
          <cell r="S203" t="str">
            <v>4201a</v>
          </cell>
          <cell r="T203" t="str">
            <v>库存股变动情况</v>
          </cell>
          <cell r="U203" t="str">
            <v>项       目</v>
          </cell>
          <cell r="V203">
            <v>1</v>
          </cell>
          <cell r="W203">
            <v>4201</v>
          </cell>
          <cell r="X203">
            <v>1</v>
          </cell>
        </row>
        <row r="204">
          <cell r="B204">
            <v>8156</v>
          </cell>
          <cell r="C204" t="str">
            <v>实收资本_所有者其他投入和减少资本</v>
          </cell>
          <cell r="D204">
            <v>-1</v>
          </cell>
          <cell r="E204" t="str">
            <v>LOW</v>
          </cell>
          <cell r="F204">
            <v>5110</v>
          </cell>
          <cell r="G204" t="str">
            <v>其他</v>
          </cell>
          <cell r="H204">
            <v>0</v>
          </cell>
          <cell r="I204">
            <v>8156</v>
          </cell>
          <cell r="J204" t="str">
            <v>J</v>
          </cell>
          <cell r="M204" t="str">
            <v>专项储备_其他权益工具持有者投入资本</v>
          </cell>
          <cell r="S204" t="str">
            <v>4215a</v>
          </cell>
          <cell r="T204" t="str">
            <v>其他综合收益</v>
          </cell>
          <cell r="U204" t="str">
            <v>项       目</v>
          </cell>
          <cell r="V204">
            <v>1</v>
          </cell>
          <cell r="W204">
            <v>4215</v>
          </cell>
          <cell r="X204">
            <v>1</v>
          </cell>
        </row>
        <row r="205">
          <cell r="B205">
            <v>8170</v>
          </cell>
          <cell r="C205" t="str">
            <v>实收资本_所有者权益内部结转</v>
          </cell>
          <cell r="D205">
            <v>0</v>
          </cell>
          <cell r="E205" t="str">
            <v>＝</v>
          </cell>
          <cell r="F205">
            <v>0</v>
          </cell>
          <cell r="G205" t="str">
            <v>（四）所有者权益内部结转</v>
          </cell>
          <cell r="H205">
            <v>0</v>
          </cell>
          <cell r="I205">
            <v>8170</v>
          </cell>
          <cell r="J205">
            <v>0</v>
          </cell>
          <cell r="M205" t="str">
            <v>专项储备_所有者其他投入和减少资本</v>
          </cell>
          <cell r="S205" t="str">
            <v>4301a</v>
          </cell>
          <cell r="T205" t="str">
            <v>专项储备变动情况</v>
          </cell>
          <cell r="U205" t="str">
            <v>项       目</v>
          </cell>
          <cell r="V205">
            <v>1</v>
          </cell>
          <cell r="W205">
            <v>4301</v>
          </cell>
          <cell r="X205">
            <v>1</v>
          </cell>
        </row>
        <row r="206">
          <cell r="B206">
            <v>8171</v>
          </cell>
          <cell r="C206" t="str">
            <v>实收资本_资本公积转增</v>
          </cell>
          <cell r="D206">
            <v>-1</v>
          </cell>
          <cell r="E206">
            <v>0</v>
          </cell>
          <cell r="F206">
            <v>5110</v>
          </cell>
          <cell r="G206" t="str">
            <v>资本公积转增资本（或股本）</v>
          </cell>
          <cell r="H206">
            <v>0</v>
          </cell>
          <cell r="I206">
            <v>8171</v>
          </cell>
          <cell r="J206" t="str">
            <v>J</v>
          </cell>
          <cell r="M206" t="str">
            <v>专项储备_提取盈余公积影响权益</v>
          </cell>
          <cell r="S206" t="str">
            <v>4101a</v>
          </cell>
          <cell r="T206" t="str">
            <v>盈余公积变动情况</v>
          </cell>
          <cell r="U206" t="str">
            <v>项       目</v>
          </cell>
          <cell r="V206">
            <v>1</v>
          </cell>
          <cell r="W206">
            <v>4101</v>
          </cell>
          <cell r="X206">
            <v>1</v>
          </cell>
        </row>
        <row r="207">
          <cell r="B207">
            <v>8172</v>
          </cell>
          <cell r="C207" t="str">
            <v>实收资本_盈余公积转增</v>
          </cell>
          <cell r="D207">
            <v>-1</v>
          </cell>
          <cell r="E207">
            <v>0</v>
          </cell>
          <cell r="F207">
            <v>5110</v>
          </cell>
          <cell r="G207" t="str">
            <v>盈余公积转增资本（或股本）</v>
          </cell>
          <cell r="H207">
            <v>0</v>
          </cell>
          <cell r="I207">
            <v>8172</v>
          </cell>
          <cell r="J207" t="str">
            <v>J</v>
          </cell>
          <cell r="M207" t="str">
            <v>专项储备_提取一般风险准备影响权益</v>
          </cell>
          <cell r="S207" t="str">
            <v>4102a</v>
          </cell>
          <cell r="T207" t="str">
            <v>一般风险准备变动情况</v>
          </cell>
          <cell r="U207" t="str">
            <v>项       目</v>
          </cell>
          <cell r="V207">
            <v>1</v>
          </cell>
          <cell r="W207">
            <v>4102</v>
          </cell>
          <cell r="X207">
            <v>1</v>
          </cell>
        </row>
        <row r="208">
          <cell r="B208">
            <v>8175</v>
          </cell>
          <cell r="C208" t="str">
            <v>实收资本_结转重新计量设定受益计划净负债或净资产所产生的变动</v>
          </cell>
          <cell r="D208">
            <v>-1</v>
          </cell>
          <cell r="E208" t="str">
            <v>OEI</v>
          </cell>
          <cell r="F208">
            <v>5110</v>
          </cell>
          <cell r="G208" t="str">
            <v>结转重新计量设定受益计划净负债或净资产所产生的变动</v>
          </cell>
          <cell r="H208">
            <v>0</v>
          </cell>
          <cell r="I208">
            <v>8175</v>
          </cell>
          <cell r="J208" t="str">
            <v>J</v>
          </cell>
          <cell r="M208" t="str">
            <v>专项储备_对所有者的分配影响权益</v>
          </cell>
          <cell r="S208" t="str">
            <v>4200a</v>
          </cell>
          <cell r="T208" t="str">
            <v>未分配利润增减变动情况</v>
          </cell>
          <cell r="U208" t="str">
            <v>项       目</v>
          </cell>
          <cell r="V208">
            <v>1</v>
          </cell>
          <cell r="W208">
            <v>4200</v>
          </cell>
          <cell r="X208">
            <v>1</v>
          </cell>
        </row>
        <row r="209">
          <cell r="B209">
            <v>8176</v>
          </cell>
          <cell r="C209" t="str">
            <v>实收资本_所有者权益其他内部结转</v>
          </cell>
          <cell r="D209">
            <v>-1</v>
          </cell>
          <cell r="E209" t="str">
            <v>LOW</v>
          </cell>
          <cell r="F209">
            <v>5110</v>
          </cell>
          <cell r="G209" t="str">
            <v>其他</v>
          </cell>
          <cell r="H209">
            <v>0</v>
          </cell>
          <cell r="I209">
            <v>8176</v>
          </cell>
          <cell r="J209" t="str">
            <v>J</v>
          </cell>
          <cell r="M209" t="str">
            <v>专项储备_其他利润分配影响权益</v>
          </cell>
          <cell r="S209" t="str">
            <v>4200b</v>
          </cell>
          <cell r="T209" t="str">
            <v>调整本期期初未分配利润明细情况</v>
          </cell>
          <cell r="U209" t="str">
            <v>调整原因</v>
          </cell>
          <cell r="V209">
            <v>1</v>
          </cell>
          <cell r="W209">
            <v>4200</v>
          </cell>
          <cell r="X209">
            <v>2</v>
          </cell>
        </row>
        <row r="210">
          <cell r="B210">
            <v>8196</v>
          </cell>
          <cell r="C210" t="str">
            <v>实收资本_本期其他增减变动</v>
          </cell>
          <cell r="D210">
            <v>-1</v>
          </cell>
          <cell r="E210" t="str">
            <v>LOW</v>
          </cell>
          <cell r="F210">
            <v>5110</v>
          </cell>
          <cell r="G210" t="str">
            <v>（七）其他</v>
          </cell>
          <cell r="H210">
            <v>0</v>
          </cell>
          <cell r="I210">
            <v>8196</v>
          </cell>
          <cell r="J210" t="str">
            <v>J</v>
          </cell>
          <cell r="M210" t="str">
            <v>专项储备_资本公积转增资本影响权益</v>
          </cell>
          <cell r="S210" t="str">
            <v>6064a</v>
          </cell>
          <cell r="T210" t="str">
            <v>营业收入明细项目</v>
          </cell>
          <cell r="U210" t="str">
            <v>项       目</v>
          </cell>
          <cell r="V210">
            <v>-1</v>
          </cell>
          <cell r="W210">
            <v>6001</v>
          </cell>
          <cell r="X210">
            <v>1</v>
          </cell>
        </row>
        <row r="211">
          <cell r="B211">
            <v>8199</v>
          </cell>
          <cell r="C211" t="str">
            <v>实收资本_本期期末余额</v>
          </cell>
          <cell r="D211">
            <v>0</v>
          </cell>
          <cell r="E211" t="str">
            <v>＝</v>
          </cell>
          <cell r="F211">
            <v>0</v>
          </cell>
          <cell r="G211" t="str">
            <v>四、本期期末余额</v>
          </cell>
          <cell r="H211">
            <v>0</v>
          </cell>
          <cell r="I211">
            <v>8199</v>
          </cell>
          <cell r="J211">
            <v>0</v>
          </cell>
          <cell r="M211" t="str">
            <v>专项储备_盈余公积转增资本影响权益</v>
          </cell>
          <cell r="S211" t="str">
            <v>6064b</v>
          </cell>
          <cell r="T211" t="str">
            <v>营业成本明细项目</v>
          </cell>
          <cell r="U211" t="str">
            <v>项       目</v>
          </cell>
          <cell r="V211">
            <v>-1</v>
          </cell>
          <cell r="W211">
            <v>6401</v>
          </cell>
          <cell r="X211">
            <v>1</v>
          </cell>
        </row>
        <row r="212">
          <cell r="B212" t="str">
            <v>8a00</v>
          </cell>
          <cell r="C212" t="str">
            <v>其他权益工具增减变动</v>
          </cell>
          <cell r="D212">
            <v>0</v>
          </cell>
          <cell r="E212" t="str">
            <v>：OEI</v>
          </cell>
          <cell r="F212">
            <v>0</v>
          </cell>
          <cell r="G212" t="str">
            <v>其他权益工具增减变动</v>
          </cell>
          <cell r="H212">
            <v>0</v>
          </cell>
          <cell r="I212" t="str">
            <v>8a00</v>
          </cell>
          <cell r="J212">
            <v>0</v>
          </cell>
          <cell r="M212" t="str">
            <v>专项储备_盈余公积弥补亏损影响权益</v>
          </cell>
          <cell r="S212" t="str">
            <v>6064c</v>
          </cell>
          <cell r="T212" t="str">
            <v>主营业务按行业类别列示</v>
          </cell>
          <cell r="U212" t="str">
            <v>行业或业务名称</v>
          </cell>
          <cell r="V212">
            <v>-2</v>
          </cell>
          <cell r="W212">
            <v>0</v>
          </cell>
          <cell r="X212">
            <v>2</v>
          </cell>
        </row>
        <row r="213">
          <cell r="B213" t="str">
            <v>8b00</v>
          </cell>
          <cell r="C213" t="str">
            <v>其他权益工具（优先股）增减变动</v>
          </cell>
          <cell r="D213">
            <v>0</v>
          </cell>
          <cell r="E213" t="str">
            <v>：OEI</v>
          </cell>
          <cell r="F213">
            <v>0</v>
          </cell>
          <cell r="G213" t="str">
            <v>其他权益工具（优先股）增减变动</v>
          </cell>
          <cell r="H213">
            <v>0</v>
          </cell>
          <cell r="I213" t="str">
            <v>8b00</v>
          </cell>
          <cell r="J213">
            <v>0</v>
          </cell>
          <cell r="M213" t="str">
            <v>专项储备_结转重新计量设定受益计划净负债或净资产所产生的变动</v>
          </cell>
          <cell r="S213" t="str">
            <v>6064d</v>
          </cell>
          <cell r="T213" t="str">
            <v>主营业务按产品类别列示</v>
          </cell>
          <cell r="U213" t="str">
            <v>产品名称</v>
          </cell>
          <cell r="V213">
            <v>-2</v>
          </cell>
          <cell r="W213">
            <v>0</v>
          </cell>
          <cell r="X213">
            <v>2</v>
          </cell>
        </row>
        <row r="214">
          <cell r="B214" t="str">
            <v>8b01</v>
          </cell>
          <cell r="C214" t="str">
            <v>其他权益工具（优先股）_上年年末余额</v>
          </cell>
          <cell r="D214">
            <v>-1</v>
          </cell>
          <cell r="E214" t="str">
            <v>OEI</v>
          </cell>
          <cell r="F214">
            <v>0</v>
          </cell>
          <cell r="G214" t="str">
            <v>一、上年年末余额</v>
          </cell>
          <cell r="H214">
            <v>0</v>
          </cell>
          <cell r="I214" t="str">
            <v>8b01</v>
          </cell>
          <cell r="J214" t="str">
            <v>J</v>
          </cell>
          <cell r="M214" t="str">
            <v>专项储备_所有者权益其他内部结转</v>
          </cell>
          <cell r="S214" t="str">
            <v>6064e</v>
          </cell>
          <cell r="T214" t="str">
            <v>主营业务按地区类别列示</v>
          </cell>
          <cell r="U214" t="str">
            <v>地区名称</v>
          </cell>
          <cell r="V214">
            <v>-2</v>
          </cell>
          <cell r="W214">
            <v>0</v>
          </cell>
          <cell r="X214">
            <v>2</v>
          </cell>
        </row>
        <row r="215">
          <cell r="B215" t="str">
            <v>8b02</v>
          </cell>
          <cell r="C215" t="str">
            <v>其他权益工具（优先股）_会计政策变更调整上年年末余额</v>
          </cell>
          <cell r="D215">
            <v>-1</v>
          </cell>
          <cell r="E215" t="str">
            <v>OEI</v>
          </cell>
          <cell r="F215">
            <v>0</v>
          </cell>
          <cell r="G215" t="str">
            <v>加：会计政策变更</v>
          </cell>
          <cell r="H215">
            <v>0</v>
          </cell>
          <cell r="I215" t="str">
            <v>8b02</v>
          </cell>
          <cell r="J215" t="str">
            <v>J</v>
          </cell>
          <cell r="M215" t="str">
            <v>专项储备_本期提取</v>
          </cell>
          <cell r="S215" t="str">
            <v>6600a</v>
          </cell>
          <cell r="T215" t="str">
            <v>营业税金及附加明细项目</v>
          </cell>
          <cell r="U215" t="str">
            <v>税       种</v>
          </cell>
          <cell r="V215">
            <v>1</v>
          </cell>
          <cell r="W215">
            <v>6600</v>
          </cell>
          <cell r="X215">
            <v>1</v>
          </cell>
        </row>
        <row r="216">
          <cell r="B216" t="str">
            <v>8b03</v>
          </cell>
          <cell r="C216" t="str">
            <v>其他权益工具（优先股）_前期差错更正调整上年年末余额</v>
          </cell>
          <cell r="D216">
            <v>-1</v>
          </cell>
          <cell r="E216" t="str">
            <v>OEI</v>
          </cell>
          <cell r="F216">
            <v>0</v>
          </cell>
          <cell r="G216" t="str">
            <v>前期差错更正</v>
          </cell>
          <cell r="H216">
            <v>0</v>
          </cell>
          <cell r="I216" t="str">
            <v>8b03</v>
          </cell>
          <cell r="J216" t="str">
            <v>J</v>
          </cell>
          <cell r="M216" t="str">
            <v>专项储备_本期使用</v>
          </cell>
          <cell r="S216" t="str">
            <v>6601a</v>
          </cell>
          <cell r="T216" t="str">
            <v>销售费用明细项目</v>
          </cell>
          <cell r="U216" t="str">
            <v>项       目</v>
          </cell>
          <cell r="V216">
            <v>1</v>
          </cell>
          <cell r="W216">
            <v>6601</v>
          </cell>
          <cell r="X216">
            <v>1</v>
          </cell>
        </row>
        <row r="217">
          <cell r="B217" t="str">
            <v>8b04</v>
          </cell>
          <cell r="C217" t="str">
            <v>其他权益工具（优先股）_同一控制下企业合并调整上年年末余额</v>
          </cell>
          <cell r="D217">
            <v>-1</v>
          </cell>
          <cell r="E217" t="str">
            <v>※OEI</v>
          </cell>
          <cell r="F217">
            <v>0</v>
          </cell>
          <cell r="G217" t="str">
            <v>同一控制下企业合并</v>
          </cell>
          <cell r="H217">
            <v>0</v>
          </cell>
          <cell r="I217" t="str">
            <v>8b04</v>
          </cell>
          <cell r="J217" t="str">
            <v>J</v>
          </cell>
          <cell r="M217" t="str">
            <v>专项储备_本期其他增减变动</v>
          </cell>
          <cell r="S217" t="str">
            <v>6602a</v>
          </cell>
          <cell r="T217" t="str">
            <v>管理费用明细项目</v>
          </cell>
          <cell r="U217" t="str">
            <v>项       目</v>
          </cell>
          <cell r="V217">
            <v>1</v>
          </cell>
          <cell r="W217">
            <v>6602</v>
          </cell>
          <cell r="X217">
            <v>1</v>
          </cell>
        </row>
        <row r="218">
          <cell r="B218" t="str">
            <v>8b09</v>
          </cell>
          <cell r="C218" t="str">
            <v>其他权益工具（优先股）_其他原因调整上年年末余额</v>
          </cell>
          <cell r="D218">
            <v>-1</v>
          </cell>
          <cell r="E218" t="str">
            <v>OEI</v>
          </cell>
          <cell r="F218">
            <v>0</v>
          </cell>
          <cell r="G218" t="str">
            <v>其他</v>
          </cell>
          <cell r="H218">
            <v>0</v>
          </cell>
          <cell r="I218" t="str">
            <v>8b09</v>
          </cell>
          <cell r="J218" t="str">
            <v>J</v>
          </cell>
          <cell r="M218" t="str">
            <v>盈余公积_上年年末余额</v>
          </cell>
          <cell r="S218" t="str">
            <v>6603a</v>
          </cell>
          <cell r="T218" t="str">
            <v>财务费用明细项目</v>
          </cell>
          <cell r="U218" t="str">
            <v>项       目</v>
          </cell>
          <cell r="V218">
            <v>1</v>
          </cell>
          <cell r="W218">
            <v>6603</v>
          </cell>
          <cell r="X218">
            <v>1</v>
          </cell>
        </row>
        <row r="219">
          <cell r="B219" t="str">
            <v>8b10</v>
          </cell>
          <cell r="C219" t="str">
            <v>其他权益工具（优先股）_本年年初余额</v>
          </cell>
          <cell r="D219">
            <v>0</v>
          </cell>
          <cell r="E219" t="str">
            <v>OEI＝</v>
          </cell>
          <cell r="F219">
            <v>0</v>
          </cell>
          <cell r="G219" t="str">
            <v>二、本年年初余额</v>
          </cell>
          <cell r="H219">
            <v>0</v>
          </cell>
          <cell r="I219" t="str">
            <v>8b10</v>
          </cell>
          <cell r="J219">
            <v>0</v>
          </cell>
          <cell r="M219" t="str">
            <v>盈余公积_会计政策变更调整上年年末余额</v>
          </cell>
          <cell r="S219" t="str">
            <v>6671a</v>
          </cell>
          <cell r="T219" t="str">
            <v>资产减值损失明细项目</v>
          </cell>
          <cell r="U219" t="str">
            <v>项       目</v>
          </cell>
          <cell r="V219">
            <v>1</v>
          </cell>
          <cell r="W219">
            <v>6671</v>
          </cell>
          <cell r="X219">
            <v>1</v>
          </cell>
        </row>
        <row r="220">
          <cell r="B220" t="str">
            <v>8b90</v>
          </cell>
          <cell r="C220" t="str">
            <v>其他权益工具（优先股）_本期增减变动金额</v>
          </cell>
          <cell r="D220">
            <v>0</v>
          </cell>
          <cell r="E220" t="str">
            <v>OEI＝</v>
          </cell>
          <cell r="F220">
            <v>0</v>
          </cell>
          <cell r="G220" t="str">
            <v>三、本期增减变动金额（减少以“-”号填列）</v>
          </cell>
          <cell r="H220">
            <v>0</v>
          </cell>
          <cell r="I220" t="str">
            <v>8b90</v>
          </cell>
          <cell r="J220">
            <v>0</v>
          </cell>
          <cell r="M220" t="str">
            <v>盈余公积_前期差错更正调整上年年末余额</v>
          </cell>
          <cell r="S220" t="str">
            <v>6101a</v>
          </cell>
          <cell r="T220" t="str">
            <v>公允价值变动收益明细项目</v>
          </cell>
          <cell r="U220" t="str">
            <v>产生公允价值变动收益的来源</v>
          </cell>
          <cell r="V220">
            <v>1</v>
          </cell>
          <cell r="W220">
            <v>6101</v>
          </cell>
          <cell r="X220">
            <v>1</v>
          </cell>
        </row>
        <row r="221">
          <cell r="B221" t="str">
            <v>8b40</v>
          </cell>
          <cell r="C221" t="str">
            <v>其他权益工具（优先股）_综合收益总额增加权益</v>
          </cell>
          <cell r="D221">
            <v>-1</v>
          </cell>
          <cell r="E221" t="str">
            <v>OEI</v>
          </cell>
          <cell r="F221">
            <v>0</v>
          </cell>
          <cell r="G221" t="str">
            <v>（一）综合收益总额</v>
          </cell>
          <cell r="H221">
            <v>0</v>
          </cell>
          <cell r="I221" t="str">
            <v>8b40</v>
          </cell>
          <cell r="J221" t="str">
            <v>J</v>
          </cell>
          <cell r="M221" t="str">
            <v>盈余公积_同一控制下企业合并调整上年年末余额</v>
          </cell>
          <cell r="S221" t="str">
            <v>6111a</v>
          </cell>
          <cell r="T221" t="str">
            <v>投资收益按来源列示</v>
          </cell>
          <cell r="U221" t="str">
            <v>项       目</v>
          </cell>
          <cell r="V221">
            <v>1</v>
          </cell>
          <cell r="W221">
            <v>6111</v>
          </cell>
          <cell r="X221">
            <v>1</v>
          </cell>
        </row>
        <row r="222">
          <cell r="B222" t="str">
            <v>8b50</v>
          </cell>
          <cell r="C222" t="str">
            <v>其他权益工具（优先股）_所有者投入和减少资本影响权益</v>
          </cell>
          <cell r="D222">
            <v>0</v>
          </cell>
          <cell r="E222" t="str">
            <v>OEI＝</v>
          </cell>
          <cell r="F222">
            <v>0</v>
          </cell>
          <cell r="G222" t="str">
            <v>（二）所有者投入和减少资本</v>
          </cell>
          <cell r="H222">
            <v>0</v>
          </cell>
          <cell r="I222" t="str">
            <v>8b50</v>
          </cell>
          <cell r="J222">
            <v>0</v>
          </cell>
          <cell r="M222" t="str">
            <v>盈余公积_其他原因调整上年年末余额</v>
          </cell>
          <cell r="S222" t="str">
            <v>6710a</v>
          </cell>
          <cell r="T222" t="str">
            <v>营业外收入明细项目</v>
          </cell>
          <cell r="U222" t="str">
            <v>项       目</v>
          </cell>
          <cell r="V222">
            <v>1</v>
          </cell>
          <cell r="W222">
            <v>6710</v>
          </cell>
          <cell r="X222">
            <v>1</v>
          </cell>
        </row>
        <row r="223">
          <cell r="B223" t="str">
            <v>8b51</v>
          </cell>
          <cell r="C223" t="str">
            <v>其他权益工具（优先股）_所有者投入资本</v>
          </cell>
          <cell r="D223">
            <v>-1</v>
          </cell>
          <cell r="E223" t="str">
            <v>OEI</v>
          </cell>
          <cell r="F223">
            <v>0</v>
          </cell>
          <cell r="G223" t="str">
            <v>所有者投入资本</v>
          </cell>
          <cell r="H223">
            <v>0</v>
          </cell>
          <cell r="I223" t="str">
            <v>8b51</v>
          </cell>
          <cell r="J223" t="str">
            <v>J</v>
          </cell>
          <cell r="M223" t="str">
            <v>盈余公积_净利润增加权益</v>
          </cell>
          <cell r="S223" t="str">
            <v>6710b</v>
          </cell>
          <cell r="T223" t="str">
            <v>政府补助明细列示</v>
          </cell>
          <cell r="U223" t="str">
            <v>项       目</v>
          </cell>
          <cell r="V223">
            <v>1</v>
          </cell>
          <cell r="W223">
            <v>6710</v>
          </cell>
          <cell r="X223">
            <v>2</v>
          </cell>
        </row>
        <row r="224">
          <cell r="B224" t="str">
            <v>8b52</v>
          </cell>
          <cell r="C224" t="str">
            <v>其他权益工具（优先股）_股份支付</v>
          </cell>
          <cell r="D224">
            <v>-1</v>
          </cell>
          <cell r="E224" t="str">
            <v>OEI</v>
          </cell>
          <cell r="F224">
            <v>0</v>
          </cell>
          <cell r="G224" t="str">
            <v>股份支付计入所有者权益的金额</v>
          </cell>
          <cell r="H224">
            <v>0</v>
          </cell>
          <cell r="I224" t="str">
            <v>8b52</v>
          </cell>
          <cell r="J224" t="str">
            <v>J</v>
          </cell>
          <cell r="M224" t="str">
            <v>盈余公积_其他综合收益增加权益</v>
          </cell>
          <cell r="S224" t="str">
            <v>6711a</v>
          </cell>
          <cell r="T224" t="str">
            <v>营业外支出明细项目</v>
          </cell>
          <cell r="U224" t="str">
            <v>项       目</v>
          </cell>
          <cell r="V224">
            <v>1</v>
          </cell>
          <cell r="W224">
            <v>6711</v>
          </cell>
          <cell r="X224">
            <v>1</v>
          </cell>
        </row>
        <row r="225">
          <cell r="B225" t="str">
            <v>8b53</v>
          </cell>
          <cell r="C225" t="str">
            <v>其他权益工具（优先股）_其他权益工具持有者投入资本</v>
          </cell>
          <cell r="D225">
            <v>-1</v>
          </cell>
          <cell r="E225" t="str">
            <v>OEI</v>
          </cell>
          <cell r="F225">
            <v>0</v>
          </cell>
          <cell r="G225" t="str">
            <v>其他权益工具持有者投入资本</v>
          </cell>
          <cell r="H225">
            <v>0</v>
          </cell>
          <cell r="I225" t="str">
            <v>8b53</v>
          </cell>
          <cell r="J225" t="str">
            <v>J</v>
          </cell>
          <cell r="M225" t="str">
            <v>盈余公积_综合收益总额增加权益</v>
          </cell>
          <cell r="S225" t="str">
            <v>6791a</v>
          </cell>
          <cell r="T225" t="str">
            <v>所得税费用明细</v>
          </cell>
          <cell r="U225" t="str">
            <v>项       目</v>
          </cell>
          <cell r="V225">
            <v>1</v>
          </cell>
          <cell r="W225">
            <v>6791</v>
          </cell>
          <cell r="X225">
            <v>1</v>
          </cell>
        </row>
        <row r="226">
          <cell r="B226" t="str">
            <v>8b56</v>
          </cell>
          <cell r="C226" t="str">
            <v>其他权益工具（优先股）_所有者其他投入和减少资本</v>
          </cell>
          <cell r="D226">
            <v>-1</v>
          </cell>
          <cell r="E226" t="str">
            <v>OEI</v>
          </cell>
          <cell r="F226">
            <v>0</v>
          </cell>
          <cell r="G226" t="str">
            <v>其他</v>
          </cell>
          <cell r="H226">
            <v>0</v>
          </cell>
          <cell r="I226" t="str">
            <v>8b56</v>
          </cell>
          <cell r="J226" t="str">
            <v>J</v>
          </cell>
          <cell r="M226" t="str">
            <v>盈余公积_所有者投入资本增加权益</v>
          </cell>
          <cell r="S226" t="str">
            <v>6791b</v>
          </cell>
          <cell r="T226" t="str">
            <v>所得税费用与利润总额的关系</v>
          </cell>
          <cell r="U226" t="str">
            <v>项       目</v>
          </cell>
          <cell r="V226">
            <v>1</v>
          </cell>
          <cell r="W226">
            <v>6791</v>
          </cell>
          <cell r="X226">
            <v>2</v>
          </cell>
        </row>
        <row r="227">
          <cell r="B227" t="str">
            <v>8b60</v>
          </cell>
          <cell r="C227" t="str">
            <v>其他权益工具（优先股）_利润分配影响权益</v>
          </cell>
          <cell r="D227">
            <v>0</v>
          </cell>
          <cell r="E227" t="str">
            <v>OEI＝</v>
          </cell>
          <cell r="F227">
            <v>0</v>
          </cell>
          <cell r="G227" t="str">
            <v>（三）利润分配</v>
          </cell>
          <cell r="H227">
            <v>0</v>
          </cell>
          <cell r="I227" t="str">
            <v>8b60</v>
          </cell>
          <cell r="J227">
            <v>0</v>
          </cell>
          <cell r="M227" t="str">
            <v>盈余公积_股份支付计入所有者权益的金额</v>
          </cell>
          <cell r="S227" t="str">
            <v>7046a</v>
          </cell>
          <cell r="T227" t="str">
            <v>收到的其他与经营活动有关的现金</v>
          </cell>
          <cell r="U227" t="str">
            <v>项       目</v>
          </cell>
          <cell r="V227">
            <v>1</v>
          </cell>
          <cell r="W227">
            <v>7046</v>
          </cell>
          <cell r="X227">
            <v>1</v>
          </cell>
        </row>
        <row r="228">
          <cell r="B228" t="str">
            <v>8b61</v>
          </cell>
          <cell r="C228" t="str">
            <v>其他权益工具（优先股）_提取盈余公积</v>
          </cell>
          <cell r="D228">
            <v>-1</v>
          </cell>
          <cell r="E228" t="str">
            <v>OEI</v>
          </cell>
          <cell r="F228">
            <v>0</v>
          </cell>
          <cell r="G228" t="str">
            <v>提取盈余公积</v>
          </cell>
          <cell r="H228">
            <v>0</v>
          </cell>
          <cell r="I228" t="str">
            <v>8b61</v>
          </cell>
          <cell r="J228" t="str">
            <v>J</v>
          </cell>
          <cell r="M228" t="str">
            <v>盈余公积_其他权益工具持有者投入资本</v>
          </cell>
          <cell r="S228" t="str">
            <v>7096a</v>
          </cell>
          <cell r="T228" t="str">
            <v>支付的其他与经营活动有关的现金</v>
          </cell>
          <cell r="U228" t="str">
            <v>项       目</v>
          </cell>
          <cell r="V228">
            <v>1</v>
          </cell>
          <cell r="W228">
            <v>7096</v>
          </cell>
          <cell r="X228">
            <v>1</v>
          </cell>
        </row>
        <row r="229">
          <cell r="B229" t="str">
            <v>8b62</v>
          </cell>
          <cell r="C229" t="str">
            <v>其他权益工具（优先股）_提取一般风险准备</v>
          </cell>
          <cell r="D229">
            <v>-1</v>
          </cell>
          <cell r="E229" t="str">
            <v>OEI</v>
          </cell>
          <cell r="F229">
            <v>0</v>
          </cell>
          <cell r="G229" t="str">
            <v>提取一般风险准备</v>
          </cell>
          <cell r="H229">
            <v>0</v>
          </cell>
          <cell r="I229" t="str">
            <v>8b62</v>
          </cell>
          <cell r="J229" t="str">
            <v>J</v>
          </cell>
          <cell r="M229" t="str">
            <v>盈余公积_所有者其他投入和减少资本</v>
          </cell>
          <cell r="S229" t="str">
            <v>7146a</v>
          </cell>
          <cell r="T229" t="str">
            <v>收到的其他与投资活动有关的现金</v>
          </cell>
          <cell r="U229" t="str">
            <v>项       目</v>
          </cell>
          <cell r="V229">
            <v>1</v>
          </cell>
          <cell r="W229">
            <v>7146</v>
          </cell>
          <cell r="X229">
            <v>1</v>
          </cell>
        </row>
        <row r="230">
          <cell r="B230" t="str">
            <v>8b63</v>
          </cell>
          <cell r="C230" t="str">
            <v>其他权益工具（优先股）_对所有者的分配</v>
          </cell>
          <cell r="D230">
            <v>-1</v>
          </cell>
          <cell r="E230" t="str">
            <v>OEI</v>
          </cell>
          <cell r="F230">
            <v>0</v>
          </cell>
          <cell r="G230" t="str">
            <v>对所有者（或股东）的分配</v>
          </cell>
          <cell r="H230">
            <v>0</v>
          </cell>
          <cell r="I230" t="str">
            <v>8b63</v>
          </cell>
          <cell r="J230" t="str">
            <v>J</v>
          </cell>
          <cell r="M230" t="str">
            <v>盈余公积_提取</v>
          </cell>
          <cell r="S230" t="str">
            <v>7196a</v>
          </cell>
          <cell r="T230" t="str">
            <v>支付的其他与投资活动有关的现金</v>
          </cell>
          <cell r="U230" t="str">
            <v>项       目</v>
          </cell>
          <cell r="V230">
            <v>1</v>
          </cell>
          <cell r="W230">
            <v>7196</v>
          </cell>
          <cell r="X230">
            <v>1</v>
          </cell>
        </row>
        <row r="231">
          <cell r="B231" t="str">
            <v>8b66</v>
          </cell>
          <cell r="C231" t="str">
            <v>其他权益工具（优先股）_其他利润分配</v>
          </cell>
          <cell r="D231">
            <v>-1</v>
          </cell>
          <cell r="E231" t="str">
            <v>OEI</v>
          </cell>
          <cell r="F231">
            <v>0</v>
          </cell>
          <cell r="G231" t="str">
            <v>其他</v>
          </cell>
          <cell r="H231">
            <v>0</v>
          </cell>
          <cell r="I231" t="str">
            <v>8b66</v>
          </cell>
          <cell r="J231" t="str">
            <v>J</v>
          </cell>
          <cell r="M231" t="str">
            <v>盈余公积_提取一般风险准备影响权益</v>
          </cell>
          <cell r="S231" t="str">
            <v>7246a</v>
          </cell>
          <cell r="T231" t="str">
            <v>收到的其他与筹资活动有关的现金</v>
          </cell>
          <cell r="U231" t="str">
            <v>项       目</v>
          </cell>
          <cell r="V231">
            <v>1</v>
          </cell>
          <cell r="W231">
            <v>7246</v>
          </cell>
          <cell r="X231">
            <v>1</v>
          </cell>
        </row>
        <row r="232">
          <cell r="B232" t="str">
            <v>8b70</v>
          </cell>
          <cell r="C232" t="str">
            <v>其他权益工具（优先股）_所有者权益内部结转</v>
          </cell>
          <cell r="D232">
            <v>0</v>
          </cell>
          <cell r="E232" t="str">
            <v>OEI＝</v>
          </cell>
          <cell r="F232">
            <v>0</v>
          </cell>
          <cell r="G232" t="str">
            <v>（四）所有者权益内部结转</v>
          </cell>
          <cell r="H232">
            <v>0</v>
          </cell>
          <cell r="I232" t="str">
            <v>8b70</v>
          </cell>
          <cell r="J232">
            <v>0</v>
          </cell>
          <cell r="M232" t="str">
            <v>盈余公积_对所有者的分配</v>
          </cell>
          <cell r="S232" t="str">
            <v>7296a</v>
          </cell>
          <cell r="T232" t="str">
            <v>支付的其他与筹资活动有关的现金</v>
          </cell>
          <cell r="U232" t="str">
            <v>项       目</v>
          </cell>
          <cell r="V232">
            <v>1</v>
          </cell>
          <cell r="W232">
            <v>7296</v>
          </cell>
          <cell r="X232">
            <v>1</v>
          </cell>
        </row>
        <row r="233">
          <cell r="B233" t="str">
            <v>8b71</v>
          </cell>
          <cell r="C233" t="str">
            <v>其他权益工具（优先股）_资本公积转增资本</v>
          </cell>
          <cell r="D233">
            <v>-1</v>
          </cell>
          <cell r="E233" t="str">
            <v>OEI</v>
          </cell>
          <cell r="F233">
            <v>0</v>
          </cell>
          <cell r="G233" t="str">
            <v>资本公积转增资本（或股本）</v>
          </cell>
          <cell r="H233">
            <v>0</v>
          </cell>
          <cell r="I233" t="str">
            <v>8b71</v>
          </cell>
          <cell r="J233" t="str">
            <v>J</v>
          </cell>
          <cell r="M233" t="str">
            <v>盈余公积_其他利润分配</v>
          </cell>
          <cell r="S233" t="str">
            <v>7500a</v>
          </cell>
          <cell r="T233" t="str">
            <v>将净利润调节为经营活动现金流量</v>
          </cell>
          <cell r="U233" t="str">
            <v>补充资料</v>
          </cell>
          <cell r="V233">
            <v>-2</v>
          </cell>
          <cell r="W233">
            <v>0</v>
          </cell>
          <cell r="X233">
            <v>2</v>
          </cell>
        </row>
        <row r="234">
          <cell r="B234" t="str">
            <v>8b72</v>
          </cell>
          <cell r="C234" t="str">
            <v>其他权益工具（优先股）_盈余公积转增资本</v>
          </cell>
          <cell r="D234">
            <v>-1</v>
          </cell>
          <cell r="E234" t="str">
            <v>OEI</v>
          </cell>
          <cell r="F234">
            <v>0</v>
          </cell>
          <cell r="G234" t="str">
            <v>盈余公积转增资本（或股本）</v>
          </cell>
          <cell r="H234">
            <v>0</v>
          </cell>
          <cell r="I234" t="str">
            <v>8b72</v>
          </cell>
          <cell r="J234" t="str">
            <v>J</v>
          </cell>
          <cell r="M234" t="str">
            <v>盈余公积_资本公积转增资本影响权益</v>
          </cell>
          <cell r="S234" t="str">
            <v>7500b</v>
          </cell>
          <cell r="T234" t="str">
            <v>不涉及现金收支的重大投资和筹资活动</v>
          </cell>
          <cell r="U234" t="str">
            <v>补充资料</v>
          </cell>
          <cell r="V234">
            <v>-2</v>
          </cell>
          <cell r="W234">
            <v>0</v>
          </cell>
          <cell r="X234">
            <v>2</v>
          </cell>
        </row>
        <row r="235">
          <cell r="B235" t="str">
            <v>8b73</v>
          </cell>
          <cell r="C235" t="str">
            <v>其他权益工具（优先股）_盈余公积弥补亏损</v>
          </cell>
          <cell r="D235">
            <v>-1</v>
          </cell>
          <cell r="E235" t="str">
            <v>OEI</v>
          </cell>
          <cell r="F235">
            <v>0</v>
          </cell>
          <cell r="G235" t="str">
            <v>盈余公积弥补亏损</v>
          </cell>
          <cell r="H235">
            <v>0</v>
          </cell>
          <cell r="I235" t="str">
            <v>8b73</v>
          </cell>
          <cell r="J235" t="str">
            <v>J</v>
          </cell>
          <cell r="M235" t="str">
            <v>盈余公积_转增资本</v>
          </cell>
          <cell r="S235" t="str">
            <v>7500c</v>
          </cell>
          <cell r="T235" t="str">
            <v>现金及现金等价物净变动情况</v>
          </cell>
          <cell r="U235" t="str">
            <v>补充资料</v>
          </cell>
          <cell r="V235">
            <v>-2</v>
          </cell>
          <cell r="W235">
            <v>0</v>
          </cell>
          <cell r="X235">
            <v>2</v>
          </cell>
        </row>
        <row r="236">
          <cell r="B236" t="str">
            <v>8b75</v>
          </cell>
          <cell r="C236" t="str">
            <v>其他权益工具（优先股）_结转重新计量设定受益计划净负债或净资产所产生的变动</v>
          </cell>
          <cell r="D236">
            <v>-1</v>
          </cell>
          <cell r="E236" t="str">
            <v>OEI</v>
          </cell>
          <cell r="F236">
            <v>0</v>
          </cell>
          <cell r="G236" t="str">
            <v>结转重新计量设定受益计划净负债或净资产所产生的变动</v>
          </cell>
          <cell r="H236">
            <v>0</v>
          </cell>
          <cell r="I236" t="str">
            <v>8b75</v>
          </cell>
          <cell r="J236" t="str">
            <v>J</v>
          </cell>
          <cell r="M236" t="str">
            <v>盈余公积_弥补亏损</v>
          </cell>
          <cell r="S236" t="str">
            <v>7500g</v>
          </cell>
          <cell r="T236" t="str">
            <v xml:space="preserve">本期支付的取得子公司的现金净额 </v>
          </cell>
          <cell r="U236" t="str">
            <v>项       目</v>
          </cell>
          <cell r="V236">
            <v>-2</v>
          </cell>
          <cell r="W236">
            <v>0</v>
          </cell>
          <cell r="X236">
            <v>2</v>
          </cell>
        </row>
        <row r="237">
          <cell r="B237" t="str">
            <v>8b76</v>
          </cell>
          <cell r="C237" t="str">
            <v>其他权益工具（优先股）_所有者权益其他内部结转</v>
          </cell>
          <cell r="D237">
            <v>-1</v>
          </cell>
          <cell r="E237" t="str">
            <v>OEI</v>
          </cell>
          <cell r="F237">
            <v>0</v>
          </cell>
          <cell r="G237" t="str">
            <v>其他</v>
          </cell>
          <cell r="H237">
            <v>0</v>
          </cell>
          <cell r="I237" t="str">
            <v>8b76</v>
          </cell>
          <cell r="J237" t="str">
            <v>J</v>
          </cell>
          <cell r="M237" t="str">
            <v>盈余公积_结转重新计量设定受益计划净负债或净资产所产生的变动</v>
          </cell>
          <cell r="S237" t="str">
            <v>7500h</v>
          </cell>
          <cell r="T237" t="str">
            <v xml:space="preserve">本期收到的处置子公司的现金净额 </v>
          </cell>
          <cell r="U237" t="str">
            <v>项       目</v>
          </cell>
          <cell r="V237">
            <v>-2</v>
          </cell>
          <cell r="W237">
            <v>0</v>
          </cell>
          <cell r="X237">
            <v>2</v>
          </cell>
        </row>
        <row r="238">
          <cell r="B238" t="str">
            <v>8b80</v>
          </cell>
          <cell r="C238" t="str">
            <v>其他权益工具（优先股）_专项储备影响权益</v>
          </cell>
          <cell r="D238">
            <v>0</v>
          </cell>
          <cell r="E238" t="str">
            <v>OEI＝</v>
          </cell>
          <cell r="F238">
            <v>0</v>
          </cell>
          <cell r="G238" t="str">
            <v>（五）专项储备</v>
          </cell>
          <cell r="H238">
            <v>0</v>
          </cell>
          <cell r="I238" t="str">
            <v>8b80</v>
          </cell>
          <cell r="J238">
            <v>0</v>
          </cell>
          <cell r="M238" t="str">
            <v>盈余公积_所有者权益其他内部结转</v>
          </cell>
          <cell r="S238" t="str">
            <v>7500e</v>
          </cell>
          <cell r="T238" t="str">
            <v>现金及现金等价物的构成</v>
          </cell>
          <cell r="U238" t="str">
            <v>项       目</v>
          </cell>
          <cell r="V238">
            <v>-2</v>
          </cell>
          <cell r="W238">
            <v>0</v>
          </cell>
          <cell r="X238">
            <v>2</v>
          </cell>
        </row>
        <row r="239">
          <cell r="B239" t="str">
            <v>8b81</v>
          </cell>
          <cell r="C239" t="str">
            <v>其他权益工具（优先股）_专项储备本期提取</v>
          </cell>
          <cell r="D239">
            <v>-1</v>
          </cell>
          <cell r="E239" t="str">
            <v>OEI</v>
          </cell>
          <cell r="F239">
            <v>0</v>
          </cell>
          <cell r="G239" t="str">
            <v>本期提取</v>
          </cell>
          <cell r="H239">
            <v>0</v>
          </cell>
          <cell r="I239" t="str">
            <v>8b81</v>
          </cell>
          <cell r="J239" t="str">
            <v>J</v>
          </cell>
          <cell r="M239" t="str">
            <v>盈余公积_专项储备本期提取</v>
          </cell>
          <cell r="S239" t="str">
            <v>7500f</v>
          </cell>
          <cell r="T239" t="str">
            <v>货币资金与现金及现金等价物的调节</v>
          </cell>
          <cell r="U239" t="str">
            <v>项       目</v>
          </cell>
          <cell r="V239">
            <v>-2</v>
          </cell>
          <cell r="W239">
            <v>0</v>
          </cell>
          <cell r="X239">
            <v>2</v>
          </cell>
        </row>
        <row r="240">
          <cell r="B240" t="str">
            <v>8b82</v>
          </cell>
          <cell r="C240" t="str">
            <v>其他权益工具（优先股）_专项储备本期使用</v>
          </cell>
          <cell r="D240">
            <v>-1</v>
          </cell>
          <cell r="E240" t="str">
            <v>OEI</v>
          </cell>
          <cell r="F240">
            <v>0</v>
          </cell>
          <cell r="G240" t="str">
            <v>本期使用</v>
          </cell>
          <cell r="H240">
            <v>0</v>
          </cell>
          <cell r="I240" t="str">
            <v>8b82</v>
          </cell>
          <cell r="J240" t="str">
            <v>J</v>
          </cell>
          <cell r="M240" t="str">
            <v>盈余公积_专项储备本期使用</v>
          </cell>
          <cell r="S240" t="str">
            <v>7500d</v>
          </cell>
          <cell r="T240" t="str">
            <v>本期取得或处置子公司及其他营业单位的有关信息</v>
          </cell>
          <cell r="U240" t="str">
            <v>项       目</v>
          </cell>
          <cell r="V240">
            <v>-2</v>
          </cell>
          <cell r="W240">
            <v>0</v>
          </cell>
          <cell r="X240">
            <v>2</v>
          </cell>
        </row>
        <row r="241">
          <cell r="B241" t="str">
            <v>8b96</v>
          </cell>
          <cell r="C241" t="str">
            <v>其他权益工具（优先股）_本期其他增减变动</v>
          </cell>
          <cell r="D241">
            <v>-1</v>
          </cell>
          <cell r="E241" t="str">
            <v>OEI</v>
          </cell>
          <cell r="F241">
            <v>0</v>
          </cell>
          <cell r="G241" t="str">
            <v>（七）其他</v>
          </cell>
          <cell r="H241">
            <v>0</v>
          </cell>
          <cell r="I241" t="str">
            <v>8b96</v>
          </cell>
          <cell r="J241" t="str">
            <v>J</v>
          </cell>
          <cell r="M241" t="str">
            <v>盈余公积_本期其他增减变动</v>
          </cell>
          <cell r="S241" t="str">
            <v>9314a</v>
          </cell>
          <cell r="T241" t="str">
            <v>所有者权益变动表项目注释</v>
          </cell>
          <cell r="U241" t="str">
            <v>项       目</v>
          </cell>
          <cell r="V241">
            <v>-2</v>
          </cell>
          <cell r="W241">
            <v>0</v>
          </cell>
          <cell r="X241">
            <v>2</v>
          </cell>
        </row>
        <row r="242">
          <cell r="B242" t="str">
            <v>8b99</v>
          </cell>
          <cell r="C242" t="str">
            <v>其他权益工具（优先股）_本期期末余额</v>
          </cell>
          <cell r="D242">
            <v>0</v>
          </cell>
          <cell r="E242" t="str">
            <v>OEI＝</v>
          </cell>
          <cell r="F242">
            <v>0</v>
          </cell>
          <cell r="G242" t="str">
            <v>四、本期期末余额</v>
          </cell>
          <cell r="H242">
            <v>0</v>
          </cell>
          <cell r="I242" t="str">
            <v>8b99</v>
          </cell>
          <cell r="J242">
            <v>0</v>
          </cell>
          <cell r="M242" t="str">
            <v>一般风险准备_上年年末余额</v>
          </cell>
          <cell r="S242" t="str">
            <v>1997a</v>
          </cell>
          <cell r="T242" t="str">
            <v>所有权或使用权受到限制的资产</v>
          </cell>
          <cell r="U242" t="str">
            <v>所有权受到限制的资产类别</v>
          </cell>
          <cell r="V242">
            <v>-2</v>
          </cell>
          <cell r="W242">
            <v>0</v>
          </cell>
          <cell r="X242">
            <v>2</v>
          </cell>
        </row>
        <row r="243">
          <cell r="B243" t="str">
            <v>8c00</v>
          </cell>
          <cell r="C243" t="str">
            <v>其他权益工具（永续债）增减变动</v>
          </cell>
          <cell r="D243">
            <v>0</v>
          </cell>
          <cell r="E243" t="str">
            <v>：OEI</v>
          </cell>
          <cell r="F243">
            <v>0</v>
          </cell>
          <cell r="G243" t="str">
            <v>其他权益工具（永续债）增减变动</v>
          </cell>
          <cell r="H243">
            <v>0</v>
          </cell>
          <cell r="I243" t="str">
            <v>8c00</v>
          </cell>
          <cell r="J243">
            <v>0</v>
          </cell>
          <cell r="M243" t="str">
            <v>一般风险准备_会计政策变更调整上年年末余额</v>
          </cell>
          <cell r="S243" t="str">
            <v>1704a</v>
          </cell>
          <cell r="T243" t="str">
            <v>外币货币性项目</v>
          </cell>
          <cell r="U243" t="str">
            <v>项       目</v>
          </cell>
          <cell r="V243">
            <v>-2</v>
          </cell>
          <cell r="W243">
            <v>0</v>
          </cell>
          <cell r="X243">
            <v>2</v>
          </cell>
        </row>
        <row r="244">
          <cell r="B244" t="str">
            <v>8c01</v>
          </cell>
          <cell r="C244" t="str">
            <v>其他权益工具（永续债）_上年年末余额</v>
          </cell>
          <cell r="D244">
            <v>-1</v>
          </cell>
          <cell r="E244" t="str">
            <v>OEI</v>
          </cell>
          <cell r="F244">
            <v>0</v>
          </cell>
          <cell r="G244" t="str">
            <v>一、上年年末余额</v>
          </cell>
          <cell r="H244">
            <v>0</v>
          </cell>
          <cell r="I244" t="str">
            <v>8c01</v>
          </cell>
          <cell r="J244" t="str">
            <v>J</v>
          </cell>
          <cell r="M244" t="str">
            <v>一般风险准备_前期差错更正调整上年年末余额</v>
          </cell>
          <cell r="S244" t="str">
            <v>9331a</v>
          </cell>
          <cell r="T244" t="str">
            <v>以公允价值计量的项目和金额</v>
          </cell>
          <cell r="U244" t="str">
            <v>项       目</v>
          </cell>
          <cell r="V244">
            <v>-2</v>
          </cell>
          <cell r="W244">
            <v>0</v>
          </cell>
          <cell r="X244">
            <v>2</v>
          </cell>
        </row>
        <row r="245">
          <cell r="B245" t="str">
            <v>8c02</v>
          </cell>
          <cell r="C245" t="str">
            <v>其他权益工具（永续债）_会计政策变更调整上年年末余额</v>
          </cell>
          <cell r="D245">
            <v>-1</v>
          </cell>
          <cell r="E245" t="str">
            <v>OEI</v>
          </cell>
          <cell r="F245">
            <v>0</v>
          </cell>
          <cell r="G245" t="str">
            <v>加：会计政策变更</v>
          </cell>
          <cell r="H245">
            <v>0</v>
          </cell>
          <cell r="I245" t="str">
            <v>8c02</v>
          </cell>
          <cell r="J245" t="str">
            <v>J</v>
          </cell>
          <cell r="M245" t="str">
            <v>一般风险准备_同一控制下企业合并调整上年年末余额</v>
          </cell>
          <cell r="S245" t="str">
            <v>9331b</v>
          </cell>
          <cell r="T245" t="str">
            <v>不以公允价值计量但披露其公允价值的项目和金额（期末）</v>
          </cell>
          <cell r="U245" t="str">
            <v>项       目</v>
          </cell>
          <cell r="V245">
            <v>-2</v>
          </cell>
          <cell r="W245">
            <v>0</v>
          </cell>
          <cell r="X245">
            <v>2</v>
          </cell>
        </row>
        <row r="246">
          <cell r="B246" t="str">
            <v>8c03</v>
          </cell>
          <cell r="C246" t="str">
            <v>其他权益工具（永续债）_前期差错更正调整上年年末余额</v>
          </cell>
          <cell r="D246">
            <v>-1</v>
          </cell>
          <cell r="E246" t="str">
            <v>OEI</v>
          </cell>
          <cell r="F246">
            <v>0</v>
          </cell>
          <cell r="G246" t="str">
            <v>前期差错更正</v>
          </cell>
          <cell r="H246">
            <v>0</v>
          </cell>
          <cell r="I246" t="str">
            <v>8c03</v>
          </cell>
          <cell r="J246" t="str">
            <v>J</v>
          </cell>
          <cell r="M246" t="str">
            <v>一般风险准备_其他原因调整上年年末余额</v>
          </cell>
          <cell r="S246" t="str">
            <v>9331c</v>
          </cell>
          <cell r="T246" t="str">
            <v>不以公允价值计量但披露其公允价值的项目和金额（期初）</v>
          </cell>
          <cell r="U246" t="str">
            <v>项       目</v>
          </cell>
          <cell r="V246">
            <v>-2</v>
          </cell>
          <cell r="W246">
            <v>0</v>
          </cell>
          <cell r="X246">
            <v>2</v>
          </cell>
        </row>
        <row r="247">
          <cell r="B247" t="str">
            <v>8c04</v>
          </cell>
          <cell r="C247" t="str">
            <v>其他权益工具（永续债）_同一控制下企业合并调整上年年末余额</v>
          </cell>
          <cell r="D247">
            <v>-1</v>
          </cell>
          <cell r="E247" t="str">
            <v>※OEI</v>
          </cell>
          <cell r="F247">
            <v>0</v>
          </cell>
          <cell r="G247" t="str">
            <v>同一控制下企业合并</v>
          </cell>
          <cell r="H247">
            <v>0</v>
          </cell>
          <cell r="I247" t="str">
            <v>8c04</v>
          </cell>
          <cell r="J247" t="str">
            <v>J</v>
          </cell>
          <cell r="M247" t="str">
            <v>一般风险准备_净利润增加权益</v>
          </cell>
          <cell r="S247" t="str">
            <v>9331d</v>
          </cell>
          <cell r="T247" t="str">
            <v>第三层次公允价值计量中使用的重要的不可观察输入值的量化信息</v>
          </cell>
          <cell r="U247" t="str">
            <v>项       目</v>
          </cell>
          <cell r="V247">
            <v>-2</v>
          </cell>
          <cell r="W247">
            <v>0</v>
          </cell>
          <cell r="X247">
            <v>2</v>
          </cell>
        </row>
        <row r="248">
          <cell r="B248" t="str">
            <v>8c09</v>
          </cell>
          <cell r="C248" t="str">
            <v>其他权益工具（永续债）_其他原因调整上年年末余额</v>
          </cell>
          <cell r="D248">
            <v>-1</v>
          </cell>
          <cell r="E248" t="str">
            <v>OEI</v>
          </cell>
          <cell r="F248">
            <v>0</v>
          </cell>
          <cell r="G248" t="str">
            <v>其他</v>
          </cell>
          <cell r="H248">
            <v>0</v>
          </cell>
          <cell r="I248" t="str">
            <v>8c09</v>
          </cell>
          <cell r="J248" t="str">
            <v>J</v>
          </cell>
          <cell r="M248" t="str">
            <v>一般风险准备_其他综合收益增加权益</v>
          </cell>
          <cell r="S248" t="str">
            <v>9331e</v>
          </cell>
          <cell r="T248" t="str">
            <v>归入公允价值层级第三层次的公允价值计量的调节表（本期）</v>
          </cell>
          <cell r="U248" t="str">
            <v>项       目</v>
          </cell>
          <cell r="V248">
            <v>-2</v>
          </cell>
          <cell r="W248">
            <v>0</v>
          </cell>
          <cell r="X248">
            <v>2</v>
          </cell>
        </row>
        <row r="249">
          <cell r="B249" t="str">
            <v>8c10</v>
          </cell>
          <cell r="C249" t="str">
            <v>其他权益工具（永续债）_本年年初余额</v>
          </cell>
          <cell r="D249">
            <v>0</v>
          </cell>
          <cell r="E249" t="str">
            <v>OEI＝</v>
          </cell>
          <cell r="F249">
            <v>0</v>
          </cell>
          <cell r="G249" t="str">
            <v>二、本年年初余额</v>
          </cell>
          <cell r="H249">
            <v>0</v>
          </cell>
          <cell r="I249" t="str">
            <v>8c10</v>
          </cell>
          <cell r="J249">
            <v>0</v>
          </cell>
          <cell r="M249" t="str">
            <v>一般风险准备_综合收益总额增加权益</v>
          </cell>
          <cell r="S249" t="str">
            <v>9331f</v>
          </cell>
          <cell r="T249" t="str">
            <v>计入当前损益的利得和损失中与金融资产和非金融资产有关的损益信息（本期）</v>
          </cell>
          <cell r="U249" t="str">
            <v>项       目</v>
          </cell>
          <cell r="V249">
            <v>-2</v>
          </cell>
          <cell r="W249">
            <v>0</v>
          </cell>
          <cell r="X249">
            <v>2</v>
          </cell>
        </row>
        <row r="250">
          <cell r="B250" t="str">
            <v>8c90</v>
          </cell>
          <cell r="C250" t="str">
            <v>其他权益工具（永续债）_本期增减变动金额</v>
          </cell>
          <cell r="D250">
            <v>0</v>
          </cell>
          <cell r="E250" t="str">
            <v>OEI＝</v>
          </cell>
          <cell r="F250">
            <v>0</v>
          </cell>
          <cell r="G250" t="str">
            <v>三、本期增减变动金额（减少以“-”号填列）</v>
          </cell>
          <cell r="H250">
            <v>0</v>
          </cell>
          <cell r="I250" t="str">
            <v>8c90</v>
          </cell>
          <cell r="J250">
            <v>0</v>
          </cell>
          <cell r="M250" t="str">
            <v>一般风险准备_所有者投入资本增加权益</v>
          </cell>
          <cell r="S250" t="str">
            <v>9331g</v>
          </cell>
          <cell r="T250" t="str">
            <v>归入公允价值层级第三层次的公允价值计量的调节表（上期）</v>
          </cell>
          <cell r="U250" t="str">
            <v>项       目</v>
          </cell>
          <cell r="V250">
            <v>-2</v>
          </cell>
          <cell r="W250">
            <v>0</v>
          </cell>
          <cell r="X250">
            <v>2</v>
          </cell>
        </row>
        <row r="251">
          <cell r="B251" t="str">
            <v>8c40</v>
          </cell>
          <cell r="C251" t="str">
            <v>其他权益工具（永续债）_综合收益总额增加权益</v>
          </cell>
          <cell r="D251">
            <v>-1</v>
          </cell>
          <cell r="E251" t="str">
            <v>OEI</v>
          </cell>
          <cell r="F251">
            <v>0</v>
          </cell>
          <cell r="G251" t="str">
            <v>（一）综合收益总额</v>
          </cell>
          <cell r="H251">
            <v>0</v>
          </cell>
          <cell r="I251" t="str">
            <v>8c40</v>
          </cell>
          <cell r="J251" t="str">
            <v>J</v>
          </cell>
          <cell r="M251" t="str">
            <v>一般风险准备_股份支付计入所有者权益的金额</v>
          </cell>
          <cell r="S251" t="str">
            <v>9331h</v>
          </cell>
          <cell r="T251" t="str">
            <v>计入当前损益的利得和损失中与金融资产和非金融资产有关的损益信息（上期）</v>
          </cell>
          <cell r="U251" t="str">
            <v>项       目</v>
          </cell>
          <cell r="V251">
            <v>-2</v>
          </cell>
          <cell r="W251">
            <v>0</v>
          </cell>
          <cell r="X251">
            <v>2</v>
          </cell>
        </row>
        <row r="252">
          <cell r="B252" t="str">
            <v>8c50</v>
          </cell>
          <cell r="C252" t="str">
            <v>其他权益工具（永续债）_所有者投入和减少资本影响权益</v>
          </cell>
          <cell r="D252">
            <v>0</v>
          </cell>
          <cell r="E252" t="str">
            <v>OEI＝</v>
          </cell>
          <cell r="F252">
            <v>0</v>
          </cell>
          <cell r="G252" t="str">
            <v>（二）所有者投入和减少资本</v>
          </cell>
          <cell r="H252">
            <v>0</v>
          </cell>
          <cell r="I252" t="str">
            <v>8c50</v>
          </cell>
          <cell r="J252">
            <v>0</v>
          </cell>
          <cell r="M252" t="str">
            <v>一般风险准备_其他权益工具持有者投入资本</v>
          </cell>
          <cell r="S252" t="str">
            <v>9601a</v>
          </cell>
          <cell r="T252" t="str">
            <v>当期非经常性损益明细表</v>
          </cell>
          <cell r="U252" t="str">
            <v>项       目</v>
          </cell>
          <cell r="V252">
            <v>-2</v>
          </cell>
          <cell r="W252">
            <v>0</v>
          </cell>
          <cell r="X252">
            <v>2</v>
          </cell>
        </row>
        <row r="253">
          <cell r="B253" t="str">
            <v>8c51</v>
          </cell>
          <cell r="C253" t="str">
            <v>其他权益工具（永续债）_所有者投入资本</v>
          </cell>
          <cell r="D253">
            <v>-1</v>
          </cell>
          <cell r="E253" t="str">
            <v>OEI</v>
          </cell>
          <cell r="F253">
            <v>0</v>
          </cell>
          <cell r="G253" t="str">
            <v>所有者投入资本</v>
          </cell>
          <cell r="H253">
            <v>0</v>
          </cell>
          <cell r="I253" t="str">
            <v>8c51</v>
          </cell>
          <cell r="J253" t="str">
            <v>J</v>
          </cell>
          <cell r="M253" t="str">
            <v>一般风险准备_所有者其他投入和减少资本</v>
          </cell>
          <cell r="S253" t="str">
            <v>9601c</v>
          </cell>
          <cell r="T253" t="str">
            <v>将证监会公告列举的非经常性损益项目界定为经常性项目的说明</v>
          </cell>
          <cell r="U253" t="str">
            <v>项       目</v>
          </cell>
          <cell r="V253">
            <v>-2</v>
          </cell>
          <cell r="W253">
            <v>0</v>
          </cell>
          <cell r="X253">
            <v>2</v>
          </cell>
        </row>
        <row r="254">
          <cell r="B254" t="str">
            <v>8c52</v>
          </cell>
          <cell r="C254" t="str">
            <v>其他权益工具（永续债）_股份支付</v>
          </cell>
          <cell r="D254">
            <v>-1</v>
          </cell>
          <cell r="E254" t="str">
            <v>OEI</v>
          </cell>
          <cell r="F254">
            <v>0</v>
          </cell>
          <cell r="G254" t="str">
            <v>股份支付计入所有者权益的金额</v>
          </cell>
          <cell r="H254">
            <v>0</v>
          </cell>
          <cell r="I254" t="str">
            <v>8c52</v>
          </cell>
          <cell r="J254" t="str">
            <v>J</v>
          </cell>
          <cell r="M254" t="str">
            <v>一般风险准备_提取盈余公积影响权益</v>
          </cell>
          <cell r="S254" t="str">
            <v>9601b</v>
          </cell>
          <cell r="T254" t="str">
            <v>其他符合非经常性损益定义的损益项目</v>
          </cell>
          <cell r="U254" t="str">
            <v>项       目</v>
          </cell>
          <cell r="V254">
            <v>-2</v>
          </cell>
          <cell r="W254">
            <v>0</v>
          </cell>
          <cell r="X254">
            <v>2</v>
          </cell>
        </row>
        <row r="255">
          <cell r="B255" t="str">
            <v>8c53</v>
          </cell>
          <cell r="C255" t="str">
            <v>其他权益工具（永续债）_其他权益工具持有者投入资本</v>
          </cell>
          <cell r="D255">
            <v>-1</v>
          </cell>
          <cell r="E255" t="str">
            <v>OEI</v>
          </cell>
          <cell r="F255">
            <v>0</v>
          </cell>
          <cell r="G255" t="str">
            <v>其他权益工具持有者投入资本</v>
          </cell>
          <cell r="H255">
            <v>0</v>
          </cell>
          <cell r="I255" t="str">
            <v>8c53</v>
          </cell>
          <cell r="J255" t="str">
            <v>J</v>
          </cell>
          <cell r="M255" t="str">
            <v>一般风险准备_提取</v>
          </cell>
          <cell r="S255" t="str">
            <v>9601d</v>
          </cell>
          <cell r="T255" t="str">
            <v>报告年度不再作为非经常性损益列报的项目</v>
          </cell>
          <cell r="U255" t="str">
            <v>项       目</v>
          </cell>
          <cell r="V255">
            <v>-2</v>
          </cell>
          <cell r="W255">
            <v>0</v>
          </cell>
          <cell r="X255">
            <v>2</v>
          </cell>
        </row>
        <row r="256">
          <cell r="B256" t="str">
            <v>8c56</v>
          </cell>
          <cell r="C256" t="str">
            <v>其他权益工具（永续债）_所有者其他投入和减少资本</v>
          </cell>
          <cell r="D256">
            <v>-1</v>
          </cell>
          <cell r="E256" t="str">
            <v>OEI</v>
          </cell>
          <cell r="F256">
            <v>0</v>
          </cell>
          <cell r="G256" t="str">
            <v>其他</v>
          </cell>
          <cell r="H256">
            <v>0</v>
          </cell>
          <cell r="I256" t="str">
            <v>8c56</v>
          </cell>
          <cell r="J256" t="str">
            <v>J</v>
          </cell>
          <cell r="M256" t="str">
            <v>一般风险准备_对所有者的分配影响权益</v>
          </cell>
          <cell r="S256" t="str">
            <v>7503a</v>
          </cell>
          <cell r="T256" t="str">
            <v>将净利润调节为经营活动现金流量：资产减值准备金额</v>
          </cell>
          <cell r="U256" t="str">
            <v>项       目</v>
          </cell>
          <cell r="V256">
            <v>1</v>
          </cell>
          <cell r="W256">
            <v>0</v>
          </cell>
          <cell r="X256">
            <v>9</v>
          </cell>
        </row>
        <row r="257">
          <cell r="B257" t="str">
            <v>8c60</v>
          </cell>
          <cell r="C257" t="str">
            <v>其他权益工具（永续债）_利润分配影响权益</v>
          </cell>
          <cell r="D257">
            <v>0</v>
          </cell>
          <cell r="E257" t="str">
            <v>OEI＝</v>
          </cell>
          <cell r="F257">
            <v>0</v>
          </cell>
          <cell r="G257" t="str">
            <v>（三）利润分配</v>
          </cell>
          <cell r="H257">
            <v>0</v>
          </cell>
          <cell r="I257" t="str">
            <v>8c60</v>
          </cell>
          <cell r="J257">
            <v>0</v>
          </cell>
          <cell r="M257" t="str">
            <v>一般风险准备_其他利润分配</v>
          </cell>
          <cell r="S257" t="str">
            <v>7505a</v>
          </cell>
          <cell r="T257" t="str">
            <v>将净利润调节为经营活动现金流量：固定资产折旧、油气资产折耗、生产性生物资产折旧</v>
          </cell>
          <cell r="U257" t="str">
            <v>项       目</v>
          </cell>
          <cell r="V257">
            <v>1</v>
          </cell>
          <cell r="W257">
            <v>0</v>
          </cell>
          <cell r="X257">
            <v>9</v>
          </cell>
        </row>
        <row r="258">
          <cell r="B258" t="str">
            <v>8c61</v>
          </cell>
          <cell r="C258" t="str">
            <v>其他权益工具（永续债）_提取盈余公积</v>
          </cell>
          <cell r="D258">
            <v>-1</v>
          </cell>
          <cell r="E258" t="str">
            <v>OEI</v>
          </cell>
          <cell r="F258">
            <v>0</v>
          </cell>
          <cell r="G258" t="str">
            <v>提取盈余公积</v>
          </cell>
          <cell r="H258">
            <v>0</v>
          </cell>
          <cell r="I258" t="str">
            <v>8c61</v>
          </cell>
          <cell r="J258" t="str">
            <v>J</v>
          </cell>
          <cell r="M258" t="str">
            <v>一般风险准备_资本公积转增资本影响权益</v>
          </cell>
          <cell r="S258" t="str">
            <v>7506a</v>
          </cell>
          <cell r="T258" t="str">
            <v>将净利润调节为经营活动现金流量：无形资产摊销</v>
          </cell>
          <cell r="U258" t="str">
            <v>项       目</v>
          </cell>
          <cell r="V258">
            <v>1</v>
          </cell>
          <cell r="W258">
            <v>0</v>
          </cell>
          <cell r="X258">
            <v>9</v>
          </cell>
        </row>
        <row r="259">
          <cell r="B259" t="str">
            <v>8c62</v>
          </cell>
          <cell r="C259" t="str">
            <v>其他权益工具（永续债）_提取一般风险准备</v>
          </cell>
          <cell r="D259">
            <v>-1</v>
          </cell>
          <cell r="E259" t="str">
            <v>OEI</v>
          </cell>
          <cell r="F259">
            <v>0</v>
          </cell>
          <cell r="G259" t="str">
            <v>提取一般风险准备</v>
          </cell>
          <cell r="H259">
            <v>0</v>
          </cell>
          <cell r="I259" t="str">
            <v>8c62</v>
          </cell>
          <cell r="J259" t="str">
            <v>J</v>
          </cell>
          <cell r="M259" t="str">
            <v>一般风险准备_盈余公积转增资本影响权益</v>
          </cell>
          <cell r="S259" t="str">
            <v>7507a</v>
          </cell>
          <cell r="T259" t="str">
            <v>将净利润调节为经营活动现金流量：长期待摊费用摊销</v>
          </cell>
          <cell r="U259" t="str">
            <v>项       目</v>
          </cell>
          <cell r="V259">
            <v>1</v>
          </cell>
          <cell r="W259">
            <v>0</v>
          </cell>
          <cell r="X259">
            <v>9</v>
          </cell>
        </row>
        <row r="260">
          <cell r="B260" t="str">
            <v>8c63</v>
          </cell>
          <cell r="C260" t="str">
            <v>其他权益工具（永续债）_对所有者的分配</v>
          </cell>
          <cell r="D260">
            <v>-1</v>
          </cell>
          <cell r="E260" t="str">
            <v>OEI</v>
          </cell>
          <cell r="F260">
            <v>0</v>
          </cell>
          <cell r="G260" t="str">
            <v>对所有者（或股东）的分配</v>
          </cell>
          <cell r="H260">
            <v>0</v>
          </cell>
          <cell r="I260" t="str">
            <v>8c63</v>
          </cell>
          <cell r="J260" t="str">
            <v>J</v>
          </cell>
          <cell r="M260" t="str">
            <v>一般风险准备_盈余公积弥补亏损影响权益</v>
          </cell>
          <cell r="S260" t="str">
            <v>7508a</v>
          </cell>
          <cell r="T260" t="str">
            <v>将净利润调节为经营活动现金流量：处置固定资产、无形资产和其他长期资产的损失</v>
          </cell>
          <cell r="U260" t="str">
            <v>项       目</v>
          </cell>
          <cell r="V260">
            <v>1</v>
          </cell>
          <cell r="W260">
            <v>0</v>
          </cell>
          <cell r="X260">
            <v>9</v>
          </cell>
        </row>
        <row r="261">
          <cell r="B261" t="str">
            <v>8c66</v>
          </cell>
          <cell r="C261" t="str">
            <v>其他权益工具（永续债）_其他利润分配</v>
          </cell>
          <cell r="D261">
            <v>-1</v>
          </cell>
          <cell r="E261" t="str">
            <v>OEI</v>
          </cell>
          <cell r="F261">
            <v>0</v>
          </cell>
          <cell r="G261" t="str">
            <v>其他</v>
          </cell>
          <cell r="H261">
            <v>0</v>
          </cell>
          <cell r="I261" t="str">
            <v>8c66</v>
          </cell>
          <cell r="J261" t="str">
            <v>J</v>
          </cell>
          <cell r="M261" t="str">
            <v>一般风险准备_结转重新计量设定受益计划净负债或净资产所产生的变动</v>
          </cell>
          <cell r="S261" t="str">
            <v>7509a</v>
          </cell>
          <cell r="T261" t="str">
            <v>将净利润调节为经营活动现金流量：固定资产报废损失</v>
          </cell>
          <cell r="U261" t="str">
            <v>项       目</v>
          </cell>
          <cell r="V261">
            <v>1</v>
          </cell>
          <cell r="W261">
            <v>0</v>
          </cell>
          <cell r="X261">
            <v>9</v>
          </cell>
        </row>
        <row r="262">
          <cell r="B262" t="str">
            <v>8c70</v>
          </cell>
          <cell r="C262" t="str">
            <v>其他权益工具（永续债）_所有者权益内部结转</v>
          </cell>
          <cell r="D262">
            <v>0</v>
          </cell>
          <cell r="E262" t="str">
            <v>OEI＝</v>
          </cell>
          <cell r="F262">
            <v>0</v>
          </cell>
          <cell r="G262" t="str">
            <v>（四）所有者权益内部结转</v>
          </cell>
          <cell r="H262">
            <v>0</v>
          </cell>
          <cell r="I262" t="str">
            <v>8c70</v>
          </cell>
          <cell r="J262">
            <v>0</v>
          </cell>
          <cell r="M262" t="str">
            <v>一般风险准备_所有者权益其他内部结转</v>
          </cell>
          <cell r="S262" t="str">
            <v>7510a</v>
          </cell>
          <cell r="T262" t="str">
            <v>将净利润调节为经营活动现金流量：公允价值变动损失</v>
          </cell>
          <cell r="U262" t="str">
            <v>项       目</v>
          </cell>
          <cell r="V262">
            <v>1</v>
          </cell>
          <cell r="W262">
            <v>0</v>
          </cell>
          <cell r="X262">
            <v>9</v>
          </cell>
        </row>
        <row r="263">
          <cell r="B263" t="str">
            <v>8c71</v>
          </cell>
          <cell r="C263" t="str">
            <v>其他权益工具（永续债）_资本公积转增资本</v>
          </cell>
          <cell r="D263">
            <v>-1</v>
          </cell>
          <cell r="E263" t="str">
            <v>OEI</v>
          </cell>
          <cell r="F263">
            <v>0</v>
          </cell>
          <cell r="G263" t="str">
            <v>资本公积转增资本（或股本）</v>
          </cell>
          <cell r="H263">
            <v>0</v>
          </cell>
          <cell r="I263" t="str">
            <v>8c71</v>
          </cell>
          <cell r="J263" t="str">
            <v>J</v>
          </cell>
          <cell r="M263" t="str">
            <v>一般风险准备_专项储备本期提取</v>
          </cell>
          <cell r="S263" t="str">
            <v>7511a</v>
          </cell>
          <cell r="T263" t="str">
            <v>将净利润调节为经营活动现金流量：财务费用金额</v>
          </cell>
          <cell r="U263" t="str">
            <v>项       目</v>
          </cell>
          <cell r="V263">
            <v>1</v>
          </cell>
          <cell r="W263">
            <v>0</v>
          </cell>
          <cell r="X263">
            <v>9</v>
          </cell>
        </row>
        <row r="264">
          <cell r="B264" t="str">
            <v>8c72</v>
          </cell>
          <cell r="C264" t="str">
            <v>其他权益工具（永续债）_盈余公积转增资本</v>
          </cell>
          <cell r="D264">
            <v>-1</v>
          </cell>
          <cell r="E264" t="str">
            <v>OEI</v>
          </cell>
          <cell r="F264">
            <v>0</v>
          </cell>
          <cell r="G264" t="str">
            <v>盈余公积转增资本（或股本）</v>
          </cell>
          <cell r="H264">
            <v>0</v>
          </cell>
          <cell r="I264" t="str">
            <v>8c72</v>
          </cell>
          <cell r="J264" t="str">
            <v>J</v>
          </cell>
          <cell r="M264" t="str">
            <v>一般风险准备_专项储备本期使用</v>
          </cell>
          <cell r="S264" t="str">
            <v>7512a</v>
          </cell>
          <cell r="T264" t="str">
            <v>将净利润调节为经营活动现金流量：投资损失</v>
          </cell>
          <cell r="U264" t="str">
            <v>项       目</v>
          </cell>
          <cell r="V264">
            <v>1</v>
          </cell>
          <cell r="W264">
            <v>0</v>
          </cell>
          <cell r="X264">
            <v>9</v>
          </cell>
        </row>
        <row r="265">
          <cell r="B265" t="str">
            <v>8c73</v>
          </cell>
          <cell r="C265" t="str">
            <v>其他权益工具（永续债）_盈余公积弥补亏损</v>
          </cell>
          <cell r="D265">
            <v>-1</v>
          </cell>
          <cell r="E265" t="str">
            <v>OEI</v>
          </cell>
          <cell r="F265">
            <v>0</v>
          </cell>
          <cell r="G265" t="str">
            <v>盈余公积弥补亏损</v>
          </cell>
          <cell r="H265">
            <v>0</v>
          </cell>
          <cell r="I265" t="str">
            <v>8c73</v>
          </cell>
          <cell r="J265" t="str">
            <v>J</v>
          </cell>
          <cell r="M265" t="str">
            <v>一般风险准备_本期其他增减变动</v>
          </cell>
          <cell r="S265" t="str">
            <v>7515a</v>
          </cell>
          <cell r="T265" t="str">
            <v>将净利润调节为经营活动现金流量：递延所得税资产减少</v>
          </cell>
          <cell r="U265" t="str">
            <v>项       目</v>
          </cell>
          <cell r="V265">
            <v>1</v>
          </cell>
          <cell r="W265">
            <v>0</v>
          </cell>
          <cell r="X265">
            <v>9</v>
          </cell>
        </row>
        <row r="266">
          <cell r="B266" t="str">
            <v>8c75</v>
          </cell>
          <cell r="C266" t="str">
            <v>其他权益工具（永续债）_结转重新计量设定受益计划净负债或净资产所产生的变动</v>
          </cell>
          <cell r="D266">
            <v>-1</v>
          </cell>
          <cell r="E266" t="str">
            <v>OEI</v>
          </cell>
          <cell r="F266">
            <v>0</v>
          </cell>
          <cell r="G266" t="str">
            <v>结转重新计量设定受益计划净负债或净资产所产生的变动</v>
          </cell>
          <cell r="H266">
            <v>0</v>
          </cell>
          <cell r="I266" t="str">
            <v>8c75</v>
          </cell>
          <cell r="J266" t="str">
            <v>J</v>
          </cell>
          <cell r="M266" t="str">
            <v>未分配利润_上年年末余额</v>
          </cell>
          <cell r="S266" t="str">
            <v>7516a</v>
          </cell>
          <cell r="T266" t="str">
            <v>将净利润调节为经营活动现金流量：递延所得税负债增加</v>
          </cell>
          <cell r="U266" t="str">
            <v>项       目</v>
          </cell>
          <cell r="V266">
            <v>1</v>
          </cell>
          <cell r="W266">
            <v>0</v>
          </cell>
          <cell r="X266">
            <v>9</v>
          </cell>
        </row>
        <row r="267">
          <cell r="B267" t="str">
            <v>8c76</v>
          </cell>
          <cell r="C267" t="str">
            <v>其他权益工具（永续债）_所有者权益其他内部结转</v>
          </cell>
          <cell r="D267">
            <v>-1</v>
          </cell>
          <cell r="E267" t="str">
            <v>OEI</v>
          </cell>
          <cell r="F267">
            <v>0</v>
          </cell>
          <cell r="G267" t="str">
            <v>其他</v>
          </cell>
          <cell r="H267">
            <v>0</v>
          </cell>
          <cell r="I267" t="str">
            <v>8c76</v>
          </cell>
          <cell r="J267" t="str">
            <v>J</v>
          </cell>
          <cell r="M267" t="str">
            <v>未分配利润_会计政策变更调整上年年末余额</v>
          </cell>
          <cell r="S267" t="str">
            <v>7517a</v>
          </cell>
          <cell r="T267" t="str">
            <v>将净利润调节为经营活动现金流量：存货的减少</v>
          </cell>
          <cell r="U267" t="str">
            <v>项       目</v>
          </cell>
          <cell r="V267">
            <v>1</v>
          </cell>
          <cell r="W267">
            <v>0</v>
          </cell>
          <cell r="X267">
            <v>9</v>
          </cell>
        </row>
        <row r="268">
          <cell r="B268" t="str">
            <v>8c80</v>
          </cell>
          <cell r="C268" t="str">
            <v>其他权益工具（永续债）_专项储备影响权益</v>
          </cell>
          <cell r="D268">
            <v>0</v>
          </cell>
          <cell r="E268" t="str">
            <v>OEI＝</v>
          </cell>
          <cell r="F268">
            <v>0</v>
          </cell>
          <cell r="G268" t="str">
            <v>（五）专项储备</v>
          </cell>
          <cell r="H268">
            <v>0</v>
          </cell>
          <cell r="I268" t="str">
            <v>8c80</v>
          </cell>
          <cell r="J268">
            <v>0</v>
          </cell>
          <cell r="M268" t="str">
            <v>未分配利润_前期差错更正调整上年年末余额</v>
          </cell>
          <cell r="S268" t="str">
            <v>7518a</v>
          </cell>
          <cell r="T268" t="str">
            <v>将净利润调节为经营活动现金流量：经营性应收项目的减少</v>
          </cell>
          <cell r="U268" t="str">
            <v>项       目</v>
          </cell>
          <cell r="V268">
            <v>1</v>
          </cell>
          <cell r="W268">
            <v>0</v>
          </cell>
          <cell r="X268">
            <v>9</v>
          </cell>
        </row>
        <row r="269">
          <cell r="B269" t="str">
            <v>8c81</v>
          </cell>
          <cell r="C269" t="str">
            <v>其他权益工具（永续债）_专项储备本期提取</v>
          </cell>
          <cell r="D269">
            <v>-1</v>
          </cell>
          <cell r="E269" t="str">
            <v>OEI</v>
          </cell>
          <cell r="F269">
            <v>0</v>
          </cell>
          <cell r="G269" t="str">
            <v>本期提取</v>
          </cell>
          <cell r="H269">
            <v>0</v>
          </cell>
          <cell r="I269" t="str">
            <v>8c81</v>
          </cell>
          <cell r="J269" t="str">
            <v>J</v>
          </cell>
          <cell r="M269" t="str">
            <v>未分配利润_同一控制下企业合并调整上年年末余额</v>
          </cell>
          <cell r="S269" t="str">
            <v>7519a</v>
          </cell>
          <cell r="T269" t="str">
            <v>将净利润调节为经营活动现金流量：经营性应付项目的增加</v>
          </cell>
          <cell r="U269" t="str">
            <v>项       目</v>
          </cell>
          <cell r="V269">
            <v>1</v>
          </cell>
          <cell r="W269">
            <v>0</v>
          </cell>
          <cell r="X269">
            <v>9</v>
          </cell>
        </row>
        <row r="270">
          <cell r="B270" t="str">
            <v>8c82</v>
          </cell>
          <cell r="C270" t="str">
            <v>其他权益工具（永续债）_专项储备本期使用</v>
          </cell>
          <cell r="D270">
            <v>-1</v>
          </cell>
          <cell r="E270" t="str">
            <v>OEI</v>
          </cell>
          <cell r="F270">
            <v>0</v>
          </cell>
          <cell r="G270" t="str">
            <v>本期使用</v>
          </cell>
          <cell r="H270">
            <v>0</v>
          </cell>
          <cell r="I270" t="str">
            <v>8c82</v>
          </cell>
          <cell r="J270" t="str">
            <v>J</v>
          </cell>
          <cell r="M270" t="str">
            <v>未分配利润_其他原因调整上年年末余额</v>
          </cell>
          <cell r="S270" t="str">
            <v>7523a</v>
          </cell>
          <cell r="T270" t="str">
            <v>将净利润调节为经营活动现金流量：其他项目</v>
          </cell>
          <cell r="U270" t="str">
            <v>项       目</v>
          </cell>
          <cell r="V270">
            <v>1</v>
          </cell>
          <cell r="W270">
            <v>0</v>
          </cell>
          <cell r="X270">
            <v>9</v>
          </cell>
        </row>
        <row r="271">
          <cell r="B271" t="str">
            <v>8c96</v>
          </cell>
          <cell r="C271" t="str">
            <v>其他权益工具（永续债）_本期其他增减变动</v>
          </cell>
          <cell r="D271">
            <v>-1</v>
          </cell>
          <cell r="E271" t="str">
            <v>OEI</v>
          </cell>
          <cell r="F271">
            <v>0</v>
          </cell>
          <cell r="G271" t="str">
            <v>（七）其他</v>
          </cell>
          <cell r="H271">
            <v>0</v>
          </cell>
          <cell r="I271" t="str">
            <v>8c96</v>
          </cell>
          <cell r="J271" t="str">
            <v>J</v>
          </cell>
          <cell r="M271" t="str">
            <v>未分配利润_所有者投入资本增加权益</v>
          </cell>
          <cell r="S271" t="str">
            <v>1122x</v>
          </cell>
          <cell r="T271" t="str">
            <v>应收账款补充资料</v>
          </cell>
          <cell r="U271" t="str">
            <v>项       目</v>
          </cell>
          <cell r="V271">
            <v>1</v>
          </cell>
          <cell r="W271">
            <v>1122</v>
          </cell>
          <cell r="X271">
            <v>2</v>
          </cell>
        </row>
        <row r="272">
          <cell r="B272" t="str">
            <v>8c99</v>
          </cell>
          <cell r="C272" t="str">
            <v>其他权益工具（永续债）_本期期末余额</v>
          </cell>
          <cell r="D272">
            <v>0</v>
          </cell>
          <cell r="E272" t="str">
            <v>OEI＝</v>
          </cell>
          <cell r="F272">
            <v>0</v>
          </cell>
          <cell r="G272" t="str">
            <v>四、本期期末余额</v>
          </cell>
          <cell r="H272">
            <v>0</v>
          </cell>
          <cell r="I272" t="str">
            <v>8c99</v>
          </cell>
          <cell r="J272">
            <v>0</v>
          </cell>
          <cell r="M272" t="str">
            <v>未分配利润_股份支付计入所有者权益的金额</v>
          </cell>
          <cell r="S272" t="str">
            <v>1125x</v>
          </cell>
          <cell r="T272" t="str">
            <v>预付款项补充资料</v>
          </cell>
          <cell r="U272" t="str">
            <v>项       目</v>
          </cell>
          <cell r="V272">
            <v>1</v>
          </cell>
          <cell r="W272">
            <v>1125</v>
          </cell>
          <cell r="X272">
            <v>2</v>
          </cell>
        </row>
        <row r="273">
          <cell r="B273" t="str">
            <v>8d00</v>
          </cell>
          <cell r="C273" t="str">
            <v>其他权益工具（其他）增减变动</v>
          </cell>
          <cell r="D273">
            <v>0</v>
          </cell>
          <cell r="E273" t="str">
            <v>：OEI</v>
          </cell>
          <cell r="F273">
            <v>0</v>
          </cell>
          <cell r="G273" t="str">
            <v>其他权益工具（其他）增减变动</v>
          </cell>
          <cell r="H273">
            <v>0</v>
          </cell>
          <cell r="I273" t="str">
            <v>8d00</v>
          </cell>
          <cell r="J273">
            <v>0</v>
          </cell>
          <cell r="M273" t="str">
            <v>未分配利润_其他权益工具持有者投入资本</v>
          </cell>
          <cell r="S273" t="str">
            <v>1221x</v>
          </cell>
          <cell r="T273" t="str">
            <v>其他应收款补充资料</v>
          </cell>
          <cell r="U273" t="str">
            <v>项       目</v>
          </cell>
          <cell r="V273">
            <v>1</v>
          </cell>
          <cell r="W273">
            <v>1221</v>
          </cell>
          <cell r="X273">
            <v>2</v>
          </cell>
        </row>
        <row r="274">
          <cell r="B274" t="str">
            <v>8d01</v>
          </cell>
          <cell r="C274" t="str">
            <v>其他权益工具（其他）_上年年末余额</v>
          </cell>
          <cell r="D274">
            <v>-1</v>
          </cell>
          <cell r="E274" t="str">
            <v>OEI</v>
          </cell>
          <cell r="F274">
            <v>0</v>
          </cell>
          <cell r="G274" t="str">
            <v>一、上年年末余额</v>
          </cell>
          <cell r="H274">
            <v>0</v>
          </cell>
          <cell r="I274" t="str">
            <v>8d01</v>
          </cell>
          <cell r="J274" t="str">
            <v>J</v>
          </cell>
          <cell r="M274" t="str">
            <v>未分配利润_所有者其他投入和减少资本</v>
          </cell>
          <cell r="S274" t="str">
            <v>2001d</v>
          </cell>
          <cell r="T274" t="str">
            <v>短期借款中的质押借款明细列示</v>
          </cell>
          <cell r="U274" t="str">
            <v>项       目</v>
          </cell>
          <cell r="V274">
            <v>1</v>
          </cell>
          <cell r="W274">
            <v>2001</v>
          </cell>
          <cell r="X274">
            <v>2</v>
          </cell>
        </row>
        <row r="275">
          <cell r="B275" t="str">
            <v>8d02</v>
          </cell>
          <cell r="C275" t="str">
            <v>其他权益工具（其他）_会计政策变更调整上年年末余额</v>
          </cell>
          <cell r="D275">
            <v>-1</v>
          </cell>
          <cell r="E275" t="str">
            <v>OEI</v>
          </cell>
          <cell r="F275">
            <v>0</v>
          </cell>
          <cell r="G275" t="str">
            <v>加：会计政策变更</v>
          </cell>
          <cell r="H275">
            <v>0</v>
          </cell>
          <cell r="I275" t="str">
            <v>8d02</v>
          </cell>
          <cell r="J275" t="str">
            <v>J</v>
          </cell>
          <cell r="M275" t="str">
            <v>未分配利润_提取盈余公积</v>
          </cell>
          <cell r="S275" t="str">
            <v>2001e</v>
          </cell>
          <cell r="T275" t="str">
            <v>短期借款中的抵押借款明细列示</v>
          </cell>
          <cell r="U275" t="str">
            <v>项       目</v>
          </cell>
          <cell r="V275">
            <v>1</v>
          </cell>
          <cell r="W275">
            <v>2001</v>
          </cell>
          <cell r="X275">
            <v>2</v>
          </cell>
        </row>
        <row r="276">
          <cell r="B276" t="str">
            <v>8d03</v>
          </cell>
          <cell r="C276" t="str">
            <v>其他权益工具（其他）_前期差错更正调整上年年末余额</v>
          </cell>
          <cell r="D276">
            <v>-1</v>
          </cell>
          <cell r="E276" t="str">
            <v>OEI</v>
          </cell>
          <cell r="F276">
            <v>0</v>
          </cell>
          <cell r="G276" t="str">
            <v>前期差错更正</v>
          </cell>
          <cell r="H276">
            <v>0</v>
          </cell>
          <cell r="I276" t="str">
            <v>8d03</v>
          </cell>
          <cell r="J276" t="str">
            <v>J</v>
          </cell>
          <cell r="M276" t="str">
            <v>未分配利润_提取一般风险准备</v>
          </cell>
          <cell r="S276" t="str">
            <v>2001f</v>
          </cell>
          <cell r="T276" t="str">
            <v>短期借款中的保证借款明细列示</v>
          </cell>
          <cell r="U276" t="str">
            <v>项       目</v>
          </cell>
          <cell r="V276">
            <v>1</v>
          </cell>
          <cell r="W276">
            <v>2001</v>
          </cell>
          <cell r="X276">
            <v>2</v>
          </cell>
        </row>
        <row r="277">
          <cell r="B277" t="str">
            <v>8d04</v>
          </cell>
          <cell r="C277" t="str">
            <v>其他权益工具（其他）_同一控制下企业合并调整上年年末余额</v>
          </cell>
          <cell r="D277">
            <v>-1</v>
          </cell>
          <cell r="E277" t="str">
            <v>※OEI</v>
          </cell>
          <cell r="F277">
            <v>0</v>
          </cell>
          <cell r="G277" t="str">
            <v>同一控制下企业合并</v>
          </cell>
          <cell r="H277">
            <v>0</v>
          </cell>
          <cell r="I277" t="str">
            <v>8d04</v>
          </cell>
          <cell r="J277" t="str">
            <v>J</v>
          </cell>
          <cell r="M277" t="str">
            <v>未分配利润_对所有者的分配</v>
          </cell>
          <cell r="S277" t="str">
            <v>2202f</v>
          </cell>
          <cell r="T277" t="str">
            <v>应付账款按账龄列示</v>
          </cell>
          <cell r="U277" t="str">
            <v>账       龄</v>
          </cell>
          <cell r="V277">
            <v>1</v>
          </cell>
          <cell r="W277">
            <v>2202</v>
          </cell>
          <cell r="X277">
            <v>2</v>
          </cell>
        </row>
        <row r="278">
          <cell r="B278" t="str">
            <v>8d09</v>
          </cell>
          <cell r="C278" t="str">
            <v>其他权益工具（其他）_其他原因调整上年年末余额</v>
          </cell>
          <cell r="D278">
            <v>-1</v>
          </cell>
          <cell r="E278" t="str">
            <v>OEI</v>
          </cell>
          <cell r="F278">
            <v>0</v>
          </cell>
          <cell r="G278" t="str">
            <v>其他</v>
          </cell>
          <cell r="H278">
            <v>0</v>
          </cell>
          <cell r="I278" t="str">
            <v>8d09</v>
          </cell>
          <cell r="J278" t="str">
            <v>J</v>
          </cell>
          <cell r="M278" t="str">
            <v>未分配利润_其他利润分配</v>
          </cell>
          <cell r="S278" t="str">
            <v>2202x</v>
          </cell>
          <cell r="T278" t="str">
            <v>应付账款补充资料</v>
          </cell>
          <cell r="U278" t="str">
            <v>项       目</v>
          </cell>
          <cell r="V278">
            <v>1</v>
          </cell>
          <cell r="W278">
            <v>2202</v>
          </cell>
          <cell r="X278">
            <v>2</v>
          </cell>
        </row>
        <row r="279">
          <cell r="B279" t="str">
            <v>8d10</v>
          </cell>
          <cell r="C279" t="str">
            <v>其他权益工具（其他）_本年年初余额</v>
          </cell>
          <cell r="D279">
            <v>0</v>
          </cell>
          <cell r="E279" t="str">
            <v>OEI＝</v>
          </cell>
          <cell r="F279">
            <v>0</v>
          </cell>
          <cell r="G279" t="str">
            <v>二、本年年初余额</v>
          </cell>
          <cell r="H279">
            <v>0</v>
          </cell>
          <cell r="I279" t="str">
            <v>8d10</v>
          </cell>
          <cell r="J279">
            <v>0</v>
          </cell>
          <cell r="M279" t="str">
            <v>未分配利润_资本公积转增资本影响权益</v>
          </cell>
          <cell r="S279" t="str">
            <v>2205g</v>
          </cell>
          <cell r="T279" t="str">
            <v>预收账款按账龄列示</v>
          </cell>
          <cell r="U279" t="str">
            <v>账       龄</v>
          </cell>
          <cell r="V279">
            <v>1</v>
          </cell>
          <cell r="W279">
            <v>2205</v>
          </cell>
          <cell r="X279">
            <v>2</v>
          </cell>
        </row>
        <row r="280">
          <cell r="B280" t="str">
            <v>8d90</v>
          </cell>
          <cell r="C280" t="str">
            <v>其他权益工具（其他）_本期增减变动金额</v>
          </cell>
          <cell r="D280">
            <v>0</v>
          </cell>
          <cell r="E280" t="str">
            <v>OEI＝</v>
          </cell>
          <cell r="F280">
            <v>0</v>
          </cell>
          <cell r="G280" t="str">
            <v>三、本期增减变动金额（减少以“-”号填列）</v>
          </cell>
          <cell r="H280">
            <v>0</v>
          </cell>
          <cell r="I280" t="str">
            <v>8d90</v>
          </cell>
          <cell r="J280">
            <v>0</v>
          </cell>
          <cell r="M280" t="str">
            <v>未分配利润_盈余公积转增资本影响权益</v>
          </cell>
          <cell r="S280" t="str">
            <v>2205x</v>
          </cell>
          <cell r="T280" t="str">
            <v>预收款项补充资料</v>
          </cell>
          <cell r="U280" t="str">
            <v>项       目</v>
          </cell>
          <cell r="V280">
            <v>1</v>
          </cell>
          <cell r="W280">
            <v>2205</v>
          </cell>
          <cell r="X280">
            <v>2</v>
          </cell>
        </row>
        <row r="281">
          <cell r="B281" t="str">
            <v>8d40</v>
          </cell>
          <cell r="C281" t="str">
            <v>其他权益工具（其他）_综合收益总额增加权益</v>
          </cell>
          <cell r="D281">
            <v>-1</v>
          </cell>
          <cell r="E281" t="str">
            <v>OEI</v>
          </cell>
          <cell r="F281">
            <v>0</v>
          </cell>
          <cell r="G281" t="str">
            <v>（一）综合收益总额</v>
          </cell>
          <cell r="H281">
            <v>0</v>
          </cell>
          <cell r="I281" t="str">
            <v>8d40</v>
          </cell>
          <cell r="J281" t="str">
            <v>J</v>
          </cell>
          <cell r="M281" t="str">
            <v>未分配利润_盈余公积弥补亏损</v>
          </cell>
          <cell r="S281" t="str">
            <v>2241f</v>
          </cell>
          <cell r="T281" t="str">
            <v>其他应付款按账龄列示</v>
          </cell>
          <cell r="U281" t="str">
            <v>项       目</v>
          </cell>
          <cell r="V281">
            <v>1</v>
          </cell>
          <cell r="W281">
            <v>2241</v>
          </cell>
          <cell r="X281">
            <v>2</v>
          </cell>
        </row>
        <row r="282">
          <cell r="B282" t="str">
            <v>8d50</v>
          </cell>
          <cell r="C282" t="str">
            <v>其他权益工具（其他）_所有者投入和减少资本影响权益</v>
          </cell>
          <cell r="D282">
            <v>0</v>
          </cell>
          <cell r="E282" t="str">
            <v>OEI＝</v>
          </cell>
          <cell r="F282">
            <v>0</v>
          </cell>
          <cell r="G282" t="str">
            <v>（二）所有者投入和减少资本</v>
          </cell>
          <cell r="H282">
            <v>0</v>
          </cell>
          <cell r="I282" t="str">
            <v>8d50</v>
          </cell>
          <cell r="J282">
            <v>0</v>
          </cell>
          <cell r="M282" t="str">
            <v>未分配利润_结转重新计量设定受益计划净负债或净资产所产生的变动</v>
          </cell>
          <cell r="S282" t="str">
            <v>2241x</v>
          </cell>
          <cell r="T282" t="str">
            <v>其他应付款补充资料</v>
          </cell>
          <cell r="U282" t="str">
            <v>项       目</v>
          </cell>
          <cell r="V282">
            <v>1</v>
          </cell>
          <cell r="W282">
            <v>2241</v>
          </cell>
          <cell r="X282">
            <v>2</v>
          </cell>
        </row>
        <row r="283">
          <cell r="B283" t="str">
            <v>8d51</v>
          </cell>
          <cell r="C283" t="str">
            <v>其他权益工具（其他）_所有者投入资本</v>
          </cell>
          <cell r="D283">
            <v>-1</v>
          </cell>
          <cell r="E283" t="str">
            <v>OEI</v>
          </cell>
          <cell r="F283">
            <v>0</v>
          </cell>
          <cell r="G283" t="str">
            <v>所有者投入资本</v>
          </cell>
          <cell r="H283">
            <v>0</v>
          </cell>
          <cell r="I283" t="str">
            <v>8d51</v>
          </cell>
          <cell r="J283" t="str">
            <v>J</v>
          </cell>
          <cell r="M283" t="str">
            <v>未分配利润_所有者权益其他内部结转</v>
          </cell>
          <cell r="S283" t="str">
            <v>2501d</v>
          </cell>
          <cell r="T283" t="str">
            <v>长期借款中的质押借款明细列示</v>
          </cell>
          <cell r="U283" t="str">
            <v>项       目</v>
          </cell>
          <cell r="V283">
            <v>1</v>
          </cell>
          <cell r="W283">
            <v>2501</v>
          </cell>
          <cell r="X283">
            <v>2</v>
          </cell>
        </row>
        <row r="284">
          <cell r="B284" t="str">
            <v>8d52</v>
          </cell>
          <cell r="C284" t="str">
            <v>其他权益工具（其他）_股份支付</v>
          </cell>
          <cell r="D284">
            <v>-1</v>
          </cell>
          <cell r="E284" t="str">
            <v>OEI</v>
          </cell>
          <cell r="F284">
            <v>0</v>
          </cell>
          <cell r="G284" t="str">
            <v>股份支付计入所有者权益的金额</v>
          </cell>
          <cell r="H284">
            <v>0</v>
          </cell>
          <cell r="I284" t="str">
            <v>8d52</v>
          </cell>
          <cell r="J284" t="str">
            <v>J</v>
          </cell>
          <cell r="M284" t="str">
            <v>未分配利润_专项储备本期提取</v>
          </cell>
          <cell r="S284" t="str">
            <v>2501f</v>
          </cell>
          <cell r="T284" t="str">
            <v>长期借款中的保证借款明细列示</v>
          </cell>
          <cell r="U284" t="str">
            <v>项       目</v>
          </cell>
          <cell r="V284">
            <v>1</v>
          </cell>
          <cell r="W284">
            <v>2501</v>
          </cell>
          <cell r="X284">
            <v>2</v>
          </cell>
        </row>
        <row r="285">
          <cell r="B285" t="str">
            <v>8d53</v>
          </cell>
          <cell r="C285" t="str">
            <v>其他权益工具（其他）_其他权益工具持有者投入资本</v>
          </cell>
          <cell r="D285">
            <v>-1</v>
          </cell>
          <cell r="E285" t="str">
            <v>OEI</v>
          </cell>
          <cell r="F285">
            <v>0</v>
          </cell>
          <cell r="G285" t="str">
            <v>其他权益工具持有者投入资本</v>
          </cell>
          <cell r="H285">
            <v>0</v>
          </cell>
          <cell r="I285" t="str">
            <v>8d53</v>
          </cell>
          <cell r="J285" t="str">
            <v>J</v>
          </cell>
          <cell r="M285" t="str">
            <v>未分配利润_专项储备本期使用</v>
          </cell>
          <cell r="S285" t="str">
            <v>6064f</v>
          </cell>
          <cell r="T285" t="str">
            <v>本期销售前十名情况</v>
          </cell>
          <cell r="U285" t="str">
            <v>客户名称</v>
          </cell>
          <cell r="V285">
            <v>-1</v>
          </cell>
          <cell r="W285">
            <v>6001</v>
          </cell>
          <cell r="X285">
            <v>2</v>
          </cell>
        </row>
        <row r="286">
          <cell r="B286" t="str">
            <v>8d56</v>
          </cell>
          <cell r="C286" t="str">
            <v>其他权益工具（其他）_所有者其他投入和减少资本</v>
          </cell>
          <cell r="D286">
            <v>-1</v>
          </cell>
          <cell r="E286" t="str">
            <v>OEI</v>
          </cell>
          <cell r="F286">
            <v>0</v>
          </cell>
          <cell r="G286" t="str">
            <v>其他</v>
          </cell>
          <cell r="H286">
            <v>0</v>
          </cell>
          <cell r="I286" t="str">
            <v>8d56</v>
          </cell>
          <cell r="J286" t="str">
            <v>J</v>
          </cell>
          <cell r="M286" t="str">
            <v>未分配利润_本期其他增减变动</v>
          </cell>
          <cell r="S286" t="str">
            <v>6064g</v>
          </cell>
          <cell r="T286" t="str">
            <v>本期采购前十名情况</v>
          </cell>
          <cell r="U286" t="str">
            <v>供应商名称</v>
          </cell>
          <cell r="V286">
            <v>-1</v>
          </cell>
          <cell r="W286">
            <v>6401</v>
          </cell>
          <cell r="X286">
            <v>2</v>
          </cell>
        </row>
        <row r="287">
          <cell r="B287" t="str">
            <v>8d60</v>
          </cell>
          <cell r="C287" t="str">
            <v>其他权益工具（其他）_利润分配影响权益</v>
          </cell>
          <cell r="D287">
            <v>0</v>
          </cell>
          <cell r="E287" t="str">
            <v>OEI＝</v>
          </cell>
          <cell r="F287">
            <v>0</v>
          </cell>
          <cell r="G287" t="str">
            <v>（三）利润分配</v>
          </cell>
          <cell r="H287">
            <v>0</v>
          </cell>
          <cell r="I287" t="str">
            <v>8d60</v>
          </cell>
          <cell r="J287">
            <v>0</v>
          </cell>
          <cell r="M287" t="str">
            <v>少数股东权益_上年年末余额</v>
          </cell>
          <cell r="S287" t="str">
            <v>9120c</v>
          </cell>
          <cell r="T287" t="str">
            <v>关联托管、承包情况——公司受托管理、承包</v>
          </cell>
          <cell r="U287" t="str">
            <v>项       目</v>
          </cell>
          <cell r="V287">
            <v>-2</v>
          </cell>
          <cell r="W287">
            <v>0</v>
          </cell>
          <cell r="X287">
            <v>2</v>
          </cell>
        </row>
        <row r="288">
          <cell r="B288" t="str">
            <v>8d61</v>
          </cell>
          <cell r="C288" t="str">
            <v>其他权益工具（其他）_提取盈余公积</v>
          </cell>
          <cell r="D288">
            <v>-1</v>
          </cell>
          <cell r="E288" t="str">
            <v>OEI</v>
          </cell>
          <cell r="F288">
            <v>0</v>
          </cell>
          <cell r="G288" t="str">
            <v>提取盈余公积</v>
          </cell>
          <cell r="H288">
            <v>0</v>
          </cell>
          <cell r="I288" t="str">
            <v>8d61</v>
          </cell>
          <cell r="J288" t="str">
            <v>J</v>
          </cell>
          <cell r="M288" t="str">
            <v>少数股东权益_会计政策变更调整上年年末余额</v>
          </cell>
          <cell r="S288" t="str">
            <v>9120d</v>
          </cell>
          <cell r="T288" t="str">
            <v>关联托管、承包情况——公司委托管理、出包</v>
          </cell>
          <cell r="U288" t="str">
            <v>项       目</v>
          </cell>
          <cell r="V288">
            <v>-2</v>
          </cell>
          <cell r="W288">
            <v>0</v>
          </cell>
          <cell r="X288">
            <v>2</v>
          </cell>
        </row>
        <row r="289">
          <cell r="B289" t="str">
            <v>8d62</v>
          </cell>
          <cell r="C289" t="str">
            <v>其他权益工具（其他）_提取一般风险准备</v>
          </cell>
          <cell r="D289">
            <v>-1</v>
          </cell>
          <cell r="E289" t="str">
            <v>OEI</v>
          </cell>
          <cell r="F289">
            <v>0</v>
          </cell>
          <cell r="G289" t="str">
            <v>提取一般风险准备</v>
          </cell>
          <cell r="H289">
            <v>0</v>
          </cell>
          <cell r="I289" t="str">
            <v>8d62</v>
          </cell>
          <cell r="J289" t="str">
            <v>J</v>
          </cell>
          <cell r="M289" t="str">
            <v>少数股东权益_前期差错更正调整上年年末余额</v>
          </cell>
          <cell r="S289" t="str">
            <v>9120e</v>
          </cell>
          <cell r="T289" t="str">
            <v>关联租赁情况——公司出租</v>
          </cell>
          <cell r="U289" t="str">
            <v>项       目</v>
          </cell>
          <cell r="V289">
            <v>-2</v>
          </cell>
          <cell r="W289">
            <v>0</v>
          </cell>
          <cell r="X289">
            <v>2</v>
          </cell>
        </row>
        <row r="290">
          <cell r="B290" t="str">
            <v>8d63</v>
          </cell>
          <cell r="C290" t="str">
            <v>其他权益工具（其他）_对所有者的分配</v>
          </cell>
          <cell r="D290">
            <v>-1</v>
          </cell>
          <cell r="E290" t="str">
            <v>OEI</v>
          </cell>
          <cell r="F290">
            <v>0</v>
          </cell>
          <cell r="G290" t="str">
            <v>对所有者（或股东）的分配</v>
          </cell>
          <cell r="H290">
            <v>0</v>
          </cell>
          <cell r="I290" t="str">
            <v>8d63</v>
          </cell>
          <cell r="J290" t="str">
            <v>J</v>
          </cell>
          <cell r="M290" t="str">
            <v>少数股东权益_同一控制下企业合并调整上年年末余额</v>
          </cell>
          <cell r="S290" t="str">
            <v>9120f</v>
          </cell>
          <cell r="T290" t="str">
            <v>关联租赁情况——公司承租</v>
          </cell>
          <cell r="U290" t="str">
            <v>项       目</v>
          </cell>
          <cell r="V290">
            <v>-2</v>
          </cell>
          <cell r="W290">
            <v>0</v>
          </cell>
          <cell r="X290">
            <v>2</v>
          </cell>
        </row>
        <row r="291">
          <cell r="B291" t="str">
            <v>8d66</v>
          </cell>
          <cell r="C291" t="str">
            <v>其他权益工具（其他）_其他利润分配</v>
          </cell>
          <cell r="D291">
            <v>-1</v>
          </cell>
          <cell r="E291" t="str">
            <v>OEI</v>
          </cell>
          <cell r="F291">
            <v>0</v>
          </cell>
          <cell r="G291" t="str">
            <v>其他</v>
          </cell>
          <cell r="H291">
            <v>0</v>
          </cell>
          <cell r="I291" t="str">
            <v>8d66</v>
          </cell>
          <cell r="J291" t="str">
            <v>J</v>
          </cell>
          <cell r="M291" t="str">
            <v>少数股东权益_其他原因调整上年年末余额</v>
          </cell>
          <cell r="S291" t="str">
            <v>9120g</v>
          </cell>
          <cell r="T291" t="str">
            <v>关联担保情况——本集团作为担保方</v>
          </cell>
          <cell r="U291" t="str">
            <v>项       目</v>
          </cell>
          <cell r="V291">
            <v>-2</v>
          </cell>
          <cell r="W291">
            <v>0</v>
          </cell>
          <cell r="X291">
            <v>2</v>
          </cell>
        </row>
        <row r="292">
          <cell r="B292" t="str">
            <v>8d70</v>
          </cell>
          <cell r="C292" t="str">
            <v>其他权益工具（其他）_所有者权益内部结转</v>
          </cell>
          <cell r="D292">
            <v>0</v>
          </cell>
          <cell r="E292" t="str">
            <v>OEI＝</v>
          </cell>
          <cell r="F292">
            <v>0</v>
          </cell>
          <cell r="G292" t="str">
            <v>（四）所有者权益内部结转</v>
          </cell>
          <cell r="H292">
            <v>0</v>
          </cell>
          <cell r="I292" t="str">
            <v>8d70</v>
          </cell>
          <cell r="J292">
            <v>0</v>
          </cell>
          <cell r="M292" t="str">
            <v>少数股东权益_净利润</v>
          </cell>
          <cell r="S292" t="str">
            <v>9120h</v>
          </cell>
          <cell r="T292" t="str">
            <v>关联担保情况——本集团作为被担保方</v>
          </cell>
          <cell r="U292" t="str">
            <v>项       目</v>
          </cell>
          <cell r="V292">
            <v>-2</v>
          </cell>
          <cell r="W292">
            <v>0</v>
          </cell>
          <cell r="X292">
            <v>2</v>
          </cell>
        </row>
        <row r="293">
          <cell r="B293" t="str">
            <v>8d71</v>
          </cell>
          <cell r="C293" t="str">
            <v>其他权益工具（其他）_资本公积转增资本</v>
          </cell>
          <cell r="D293">
            <v>-1</v>
          </cell>
          <cell r="E293" t="str">
            <v>OEI</v>
          </cell>
          <cell r="F293">
            <v>0</v>
          </cell>
          <cell r="G293" t="str">
            <v>资本公积转增资本（或股本）</v>
          </cell>
          <cell r="H293">
            <v>0</v>
          </cell>
          <cell r="I293" t="str">
            <v>8d71</v>
          </cell>
          <cell r="J293" t="str">
            <v>J</v>
          </cell>
          <cell r="M293" t="str">
            <v>少数股东权益_其他综合收益</v>
          </cell>
          <cell r="S293" t="str">
            <v>9120i</v>
          </cell>
          <cell r="T293" t="str">
            <v>关联方资金拆借情况——拆入</v>
          </cell>
          <cell r="U293" t="str">
            <v>项       目</v>
          </cell>
          <cell r="V293">
            <v>-2</v>
          </cell>
          <cell r="W293">
            <v>0</v>
          </cell>
          <cell r="X293">
            <v>2</v>
          </cell>
        </row>
        <row r="294">
          <cell r="B294" t="str">
            <v>8d72</v>
          </cell>
          <cell r="C294" t="str">
            <v>其他权益工具（其他）_盈余公积转增资本</v>
          </cell>
          <cell r="D294">
            <v>-1</v>
          </cell>
          <cell r="E294" t="str">
            <v>OEI</v>
          </cell>
          <cell r="F294">
            <v>0</v>
          </cell>
          <cell r="G294" t="str">
            <v>盈余公积转增资本（或股本）</v>
          </cell>
          <cell r="H294">
            <v>0</v>
          </cell>
          <cell r="I294" t="str">
            <v>8d72</v>
          </cell>
          <cell r="J294" t="str">
            <v>J</v>
          </cell>
          <cell r="M294" t="str">
            <v>少数股东权益_综合收益总额增加权益</v>
          </cell>
          <cell r="S294" t="str">
            <v>9120j</v>
          </cell>
          <cell r="T294" t="str">
            <v>关联方资金拆借情况——拆出</v>
          </cell>
          <cell r="U294" t="str">
            <v>项       目</v>
          </cell>
          <cell r="V294">
            <v>-2</v>
          </cell>
          <cell r="W294">
            <v>0</v>
          </cell>
          <cell r="X294">
            <v>2</v>
          </cell>
        </row>
        <row r="295">
          <cell r="B295" t="str">
            <v>8d73</v>
          </cell>
          <cell r="C295" t="str">
            <v>其他权益工具（其他）_盈余公积弥补亏损</v>
          </cell>
          <cell r="D295">
            <v>-1</v>
          </cell>
          <cell r="E295" t="str">
            <v>OEI</v>
          </cell>
          <cell r="F295">
            <v>0</v>
          </cell>
          <cell r="G295" t="str">
            <v>盈余公积弥补亏损</v>
          </cell>
          <cell r="H295">
            <v>0</v>
          </cell>
          <cell r="I295" t="str">
            <v>8d73</v>
          </cell>
          <cell r="J295" t="str">
            <v>J</v>
          </cell>
          <cell r="M295" t="str">
            <v>少数股东权益_所有者投入资本</v>
          </cell>
          <cell r="S295" t="str">
            <v>9120k</v>
          </cell>
          <cell r="T295" t="str">
            <v>关联方资产转让、债务重组情况</v>
          </cell>
          <cell r="U295" t="str">
            <v>项       目</v>
          </cell>
          <cell r="V295">
            <v>-2</v>
          </cell>
          <cell r="W295">
            <v>0</v>
          </cell>
          <cell r="X295">
            <v>2</v>
          </cell>
        </row>
        <row r="296">
          <cell r="B296" t="str">
            <v>8d75</v>
          </cell>
          <cell r="C296" t="str">
            <v>其他权益工具（其他）_结转重新计量设定受益计划净负债或净资产所产生的变动</v>
          </cell>
          <cell r="D296">
            <v>-1</v>
          </cell>
          <cell r="E296" t="str">
            <v>OEI</v>
          </cell>
          <cell r="F296">
            <v>0</v>
          </cell>
          <cell r="G296" t="str">
            <v>结转重新计量设定受益计划净负债或净资产所产生的变动</v>
          </cell>
          <cell r="H296">
            <v>0</v>
          </cell>
          <cell r="I296" t="str">
            <v>8d75</v>
          </cell>
          <cell r="J296" t="str">
            <v>J</v>
          </cell>
          <cell r="M296" t="str">
            <v>少数股东权益_股份支付</v>
          </cell>
          <cell r="S296" t="str">
            <v>9120l</v>
          </cell>
          <cell r="T296" t="str">
            <v>关键管理人员薪酬情况</v>
          </cell>
          <cell r="U296" t="str">
            <v>项       目</v>
          </cell>
          <cell r="V296">
            <v>-2</v>
          </cell>
          <cell r="W296">
            <v>0</v>
          </cell>
          <cell r="X296">
            <v>2</v>
          </cell>
        </row>
        <row r="297">
          <cell r="B297" t="str">
            <v>8d76</v>
          </cell>
          <cell r="C297" t="str">
            <v>其他权益工具（其他）_所有者权益其他内部结转</v>
          </cell>
          <cell r="D297">
            <v>-1</v>
          </cell>
          <cell r="E297" t="str">
            <v>OEI</v>
          </cell>
          <cell r="F297">
            <v>0</v>
          </cell>
          <cell r="G297" t="str">
            <v>其他</v>
          </cell>
          <cell r="H297">
            <v>0</v>
          </cell>
          <cell r="I297" t="str">
            <v>8d76</v>
          </cell>
          <cell r="J297" t="str">
            <v>J</v>
          </cell>
          <cell r="M297" t="str">
            <v>少数股东权益_其他权益工具持有者投入资本</v>
          </cell>
          <cell r="S297" t="str">
            <v>9325a</v>
          </cell>
          <cell r="T297" t="str">
            <v>本集团持有的计息金融工具</v>
          </cell>
          <cell r="U297" t="str">
            <v>项       目</v>
          </cell>
          <cell r="V297">
            <v>-2</v>
          </cell>
          <cell r="W297">
            <v>0</v>
          </cell>
          <cell r="X297">
            <v>2</v>
          </cell>
        </row>
        <row r="298">
          <cell r="B298" t="str">
            <v>8d80</v>
          </cell>
          <cell r="C298" t="str">
            <v>其他权益工具（其他）_专项储备影响权益</v>
          </cell>
          <cell r="D298">
            <v>0</v>
          </cell>
          <cell r="E298" t="str">
            <v>OEI＝</v>
          </cell>
          <cell r="F298">
            <v>0</v>
          </cell>
          <cell r="G298" t="str">
            <v>（五）专项储备</v>
          </cell>
          <cell r="H298">
            <v>0</v>
          </cell>
          <cell r="I298" t="str">
            <v>8d80</v>
          </cell>
          <cell r="J298">
            <v>0</v>
          </cell>
          <cell r="M298" t="str">
            <v>少数股东权益_所有者其他投入和减少资本</v>
          </cell>
          <cell r="S298" t="str">
            <v>9325e</v>
          </cell>
          <cell r="T298" t="str">
            <v>期末本集团持有的金融资产和金融负债按未折现剩余合同现金流量的到期期限分析</v>
          </cell>
          <cell r="U298" t="str">
            <v>项       目</v>
          </cell>
          <cell r="V298">
            <v>-2</v>
          </cell>
          <cell r="W298">
            <v>0</v>
          </cell>
          <cell r="X298">
            <v>2</v>
          </cell>
        </row>
        <row r="299">
          <cell r="B299" t="str">
            <v>8d81</v>
          </cell>
          <cell r="C299" t="str">
            <v>其他权益工具（其他）_专项储备本期提取</v>
          </cell>
          <cell r="D299">
            <v>-1</v>
          </cell>
          <cell r="E299" t="str">
            <v>OEI</v>
          </cell>
          <cell r="F299">
            <v>0</v>
          </cell>
          <cell r="G299" t="str">
            <v>本期提取</v>
          </cell>
          <cell r="H299">
            <v>0</v>
          </cell>
          <cell r="I299" t="str">
            <v>8d81</v>
          </cell>
          <cell r="J299" t="str">
            <v>J</v>
          </cell>
          <cell r="M299" t="str">
            <v>少数股东权益_提取盈余公积影响权益</v>
          </cell>
          <cell r="S299" t="str">
            <v>9325f</v>
          </cell>
          <cell r="T299" t="str">
            <v>期初本集团持有的金融资产和金融负债按未折现剩余合同现金流量的到期期限分析</v>
          </cell>
          <cell r="U299" t="str">
            <v>项       目</v>
          </cell>
          <cell r="V299">
            <v>-2</v>
          </cell>
          <cell r="W299">
            <v>0</v>
          </cell>
          <cell r="X299">
            <v>2</v>
          </cell>
        </row>
        <row r="300">
          <cell r="B300" t="str">
            <v>8d82</v>
          </cell>
          <cell r="C300" t="str">
            <v>其他权益工具（其他）_专项储备本期使用</v>
          </cell>
          <cell r="D300">
            <v>-1</v>
          </cell>
          <cell r="E300" t="str">
            <v>OEI</v>
          </cell>
          <cell r="F300">
            <v>0</v>
          </cell>
          <cell r="G300" t="str">
            <v>本期使用</v>
          </cell>
          <cell r="H300">
            <v>0</v>
          </cell>
          <cell r="I300" t="str">
            <v>8d82</v>
          </cell>
          <cell r="J300" t="str">
            <v>J</v>
          </cell>
          <cell r="M300" t="str">
            <v>少数股东权益_提取一般风险准备影响权益</v>
          </cell>
          <cell r="S300" t="str">
            <v>7001x</v>
          </cell>
          <cell r="T300" t="str">
            <v>销售商品提供劳务收到的现金计算表</v>
          </cell>
          <cell r="U300" t="str">
            <v>项       目</v>
          </cell>
          <cell r="V300">
            <v>1</v>
          </cell>
          <cell r="W300">
            <v>7001</v>
          </cell>
          <cell r="X300">
            <v>2</v>
          </cell>
        </row>
        <row r="301">
          <cell r="B301" t="str">
            <v>8d96</v>
          </cell>
          <cell r="C301" t="str">
            <v>其他权益工具（其他）_本期其他增减变动</v>
          </cell>
          <cell r="D301">
            <v>-1</v>
          </cell>
          <cell r="E301" t="str">
            <v>OEI</v>
          </cell>
          <cell r="F301">
            <v>0</v>
          </cell>
          <cell r="G301" t="str">
            <v>（七）其他</v>
          </cell>
          <cell r="H301">
            <v>0</v>
          </cell>
          <cell r="I301" t="str">
            <v>8d96</v>
          </cell>
          <cell r="J301" t="str">
            <v>J</v>
          </cell>
          <cell r="M301" t="str">
            <v>少数股东权益_对所有者的分配</v>
          </cell>
          <cell r="S301" t="str">
            <v>7046x</v>
          </cell>
          <cell r="T301" t="str">
            <v>收到其他与经营活动有关的现金计算表</v>
          </cell>
          <cell r="U301" t="str">
            <v>项       目</v>
          </cell>
          <cell r="V301">
            <v>1</v>
          </cell>
          <cell r="W301">
            <v>7046</v>
          </cell>
          <cell r="X301">
            <v>2</v>
          </cell>
        </row>
        <row r="302">
          <cell r="B302" t="str">
            <v>8d99</v>
          </cell>
          <cell r="C302" t="str">
            <v>其他权益工具（其他）_本期期末余额</v>
          </cell>
          <cell r="D302">
            <v>0</v>
          </cell>
          <cell r="E302" t="str">
            <v>OEI＝</v>
          </cell>
          <cell r="F302">
            <v>0</v>
          </cell>
          <cell r="G302" t="str">
            <v>四、本期期末余额</v>
          </cell>
          <cell r="H302">
            <v>0</v>
          </cell>
          <cell r="I302" t="str">
            <v>8d99</v>
          </cell>
          <cell r="J302">
            <v>0</v>
          </cell>
          <cell r="M302" t="str">
            <v>少数股东权益_其他利润分配</v>
          </cell>
          <cell r="S302" t="str">
            <v>7051x</v>
          </cell>
          <cell r="T302" t="str">
            <v>购买商品接受劳务支付的现金计算表</v>
          </cell>
          <cell r="U302" t="str">
            <v>项       目</v>
          </cell>
          <cell r="V302">
            <v>1</v>
          </cell>
          <cell r="W302">
            <v>7051</v>
          </cell>
          <cell r="X302">
            <v>2</v>
          </cell>
        </row>
        <row r="303">
          <cell r="B303" t="str">
            <v>8g00</v>
          </cell>
          <cell r="C303" t="str">
            <v>其他综合收益增减变动</v>
          </cell>
          <cell r="D303">
            <v>0</v>
          </cell>
          <cell r="E303" t="str">
            <v>：</v>
          </cell>
          <cell r="F303">
            <v>0</v>
          </cell>
          <cell r="G303" t="str">
            <v>其他综合收益增减变动</v>
          </cell>
          <cell r="H303">
            <v>0</v>
          </cell>
          <cell r="I303" t="str">
            <v>8g00</v>
          </cell>
          <cell r="J303">
            <v>0</v>
          </cell>
          <cell r="M303" t="str">
            <v>少数股东权益_资本公积转增资本影响权益</v>
          </cell>
          <cell r="S303" t="str">
            <v>7061x</v>
          </cell>
          <cell r="T303" t="str">
            <v>支付给职工以及为职工支付的现金计算表</v>
          </cell>
          <cell r="U303" t="str">
            <v>项       目</v>
          </cell>
          <cell r="V303">
            <v>1</v>
          </cell>
          <cell r="W303">
            <v>7061</v>
          </cell>
          <cell r="X303">
            <v>2</v>
          </cell>
        </row>
        <row r="304">
          <cell r="B304" t="str">
            <v>8g01</v>
          </cell>
          <cell r="C304" t="str">
            <v>其他综合收益_上年年末余额</v>
          </cell>
          <cell r="D304">
            <v>-1</v>
          </cell>
          <cell r="E304">
            <v>0</v>
          </cell>
          <cell r="F304">
            <v>0</v>
          </cell>
          <cell r="G304" t="str">
            <v>一、上年年末余额</v>
          </cell>
          <cell r="H304">
            <v>0</v>
          </cell>
          <cell r="I304" t="str">
            <v>8g01</v>
          </cell>
          <cell r="J304" t="str">
            <v>J</v>
          </cell>
          <cell r="M304" t="str">
            <v>少数股东权益_盈余公积转增资本影响权益</v>
          </cell>
          <cell r="S304" t="str">
            <v>7071x</v>
          </cell>
          <cell r="T304" t="str">
            <v>支付的各项税费计算表</v>
          </cell>
          <cell r="U304" t="str">
            <v>项       目</v>
          </cell>
          <cell r="V304">
            <v>1</v>
          </cell>
          <cell r="W304">
            <v>7071</v>
          </cell>
          <cell r="X304">
            <v>2</v>
          </cell>
        </row>
        <row r="305">
          <cell r="B305" t="str">
            <v>8g02</v>
          </cell>
          <cell r="C305" t="str">
            <v>其他综合收益_会计政策变更调整上年年末余额</v>
          </cell>
          <cell r="D305">
            <v>-1</v>
          </cell>
          <cell r="E305">
            <v>0</v>
          </cell>
          <cell r="F305">
            <v>0</v>
          </cell>
          <cell r="G305" t="str">
            <v>加：会计政策变更</v>
          </cell>
          <cell r="H305">
            <v>0</v>
          </cell>
          <cell r="I305" t="str">
            <v>8g02</v>
          </cell>
          <cell r="J305" t="str">
            <v>J</v>
          </cell>
          <cell r="M305" t="str">
            <v>少数股东权益_盈余公积弥补亏损影响权益</v>
          </cell>
          <cell r="S305" t="str">
            <v>7096x</v>
          </cell>
          <cell r="T305" t="str">
            <v>支付其他与经营活动有关的现金计算表</v>
          </cell>
          <cell r="U305" t="str">
            <v>项       目</v>
          </cell>
          <cell r="V305">
            <v>1</v>
          </cell>
          <cell r="W305">
            <v>7096</v>
          </cell>
          <cell r="X305">
            <v>2</v>
          </cell>
        </row>
        <row r="306">
          <cell r="B306" t="str">
            <v>8g03</v>
          </cell>
          <cell r="C306" t="str">
            <v>其他综合收益_前期差错更正调整上年年末余额</v>
          </cell>
          <cell r="D306">
            <v>-1</v>
          </cell>
          <cell r="E306">
            <v>0</v>
          </cell>
          <cell r="F306">
            <v>0</v>
          </cell>
          <cell r="G306" t="str">
            <v>前期差错更正</v>
          </cell>
          <cell r="H306">
            <v>0</v>
          </cell>
          <cell r="I306" t="str">
            <v>8g03</v>
          </cell>
          <cell r="J306" t="str">
            <v>J</v>
          </cell>
          <cell r="M306" t="str">
            <v>少数股东权益_结转重新计量设定受益计划净负债或净资产所产生的变动</v>
          </cell>
          <cell r="S306" t="str">
            <v>7101x</v>
          </cell>
          <cell r="T306" t="str">
            <v>收回投资收到的现金计算表</v>
          </cell>
          <cell r="U306" t="str">
            <v>项       目</v>
          </cell>
          <cell r="V306">
            <v>1</v>
          </cell>
          <cell r="W306">
            <v>7101</v>
          </cell>
          <cell r="X306">
            <v>2</v>
          </cell>
        </row>
        <row r="307">
          <cell r="B307" t="str">
            <v>8g04</v>
          </cell>
          <cell r="C307" t="str">
            <v>其他综合收益_同一控制下企业合并调整上年年末余额</v>
          </cell>
          <cell r="D307">
            <v>-1</v>
          </cell>
          <cell r="E307" t="str">
            <v>※</v>
          </cell>
          <cell r="F307">
            <v>0</v>
          </cell>
          <cell r="G307" t="str">
            <v>同一控制下企业合并</v>
          </cell>
          <cell r="H307">
            <v>0</v>
          </cell>
          <cell r="I307" t="str">
            <v>8g04</v>
          </cell>
          <cell r="J307" t="str">
            <v>J</v>
          </cell>
          <cell r="M307" t="str">
            <v>少数股东权益_所有者权益其他内部结转</v>
          </cell>
          <cell r="S307" t="str">
            <v>7111x</v>
          </cell>
          <cell r="T307" t="str">
            <v>处置固定资产无形资产长期资产收回的现金计算表</v>
          </cell>
          <cell r="U307" t="str">
            <v>项       目</v>
          </cell>
          <cell r="V307">
            <v>1</v>
          </cell>
          <cell r="W307">
            <v>7111</v>
          </cell>
          <cell r="X307">
            <v>2</v>
          </cell>
        </row>
        <row r="308">
          <cell r="B308" t="str">
            <v>8g09</v>
          </cell>
          <cell r="C308" t="str">
            <v>其他综合收益_其他原因调整上年年末余额</v>
          </cell>
          <cell r="D308">
            <v>-1</v>
          </cell>
          <cell r="E308">
            <v>0</v>
          </cell>
          <cell r="F308">
            <v>0</v>
          </cell>
          <cell r="G308" t="str">
            <v>其他</v>
          </cell>
          <cell r="H308">
            <v>0</v>
          </cell>
          <cell r="I308" t="str">
            <v>8g09</v>
          </cell>
          <cell r="J308" t="str">
            <v>J</v>
          </cell>
          <cell r="M308" t="str">
            <v>少数股东权益_专项储备本期提取</v>
          </cell>
          <cell r="S308" t="str">
            <v>7161x</v>
          </cell>
          <cell r="T308" t="str">
            <v>投资支付的现金计算表</v>
          </cell>
          <cell r="U308" t="str">
            <v>项       目</v>
          </cell>
          <cell r="V308">
            <v>1</v>
          </cell>
          <cell r="W308">
            <v>7161</v>
          </cell>
          <cell r="X308">
            <v>2</v>
          </cell>
        </row>
        <row r="309">
          <cell r="B309" t="str">
            <v>8g10</v>
          </cell>
          <cell r="C309" t="str">
            <v>其他综合收益_本年年初余额</v>
          </cell>
          <cell r="D309">
            <v>0</v>
          </cell>
          <cell r="E309" t="str">
            <v>＝</v>
          </cell>
          <cell r="F309">
            <v>0</v>
          </cell>
          <cell r="G309" t="str">
            <v>二、本年年初余额</v>
          </cell>
          <cell r="H309">
            <v>0</v>
          </cell>
          <cell r="I309" t="str">
            <v>8g10</v>
          </cell>
          <cell r="J309">
            <v>0</v>
          </cell>
          <cell r="M309" t="str">
            <v>少数股东权益_专项储备本期使用</v>
          </cell>
          <cell r="S309" t="str">
            <v>7151x</v>
          </cell>
          <cell r="T309" t="str">
            <v>购置固定资产无形资产长期资产支付的现金计算表</v>
          </cell>
          <cell r="U309" t="str">
            <v>项       目</v>
          </cell>
          <cell r="V309">
            <v>1</v>
          </cell>
          <cell r="W309">
            <v>7151</v>
          </cell>
          <cell r="X309">
            <v>2</v>
          </cell>
        </row>
        <row r="310">
          <cell r="B310" t="str">
            <v>8g90</v>
          </cell>
          <cell r="C310" t="str">
            <v>其他综合收益_本期增减变动金额</v>
          </cell>
          <cell r="D310">
            <v>0</v>
          </cell>
          <cell r="E310" t="str">
            <v>＝</v>
          </cell>
          <cell r="F310">
            <v>0</v>
          </cell>
          <cell r="G310" t="str">
            <v>三、本期增减变动金额（减少以“-”号填列）</v>
          </cell>
          <cell r="H310">
            <v>0</v>
          </cell>
          <cell r="I310" t="str">
            <v>8g90</v>
          </cell>
          <cell r="J310">
            <v>0</v>
          </cell>
          <cell r="M310" t="str">
            <v>少数股东权益_本期其他增减变动</v>
          </cell>
          <cell r="S310" t="str">
            <v>7211x</v>
          </cell>
          <cell r="T310" t="str">
            <v>取得借款收到的现金计算表</v>
          </cell>
          <cell r="U310" t="str">
            <v>项       目</v>
          </cell>
          <cell r="V310">
            <v>1</v>
          </cell>
          <cell r="W310">
            <v>7211</v>
          </cell>
          <cell r="X310">
            <v>2</v>
          </cell>
        </row>
        <row r="311">
          <cell r="B311" t="str">
            <v>8g40</v>
          </cell>
          <cell r="C311" t="str">
            <v>其他综合收益_综合收益总额增加权益</v>
          </cell>
          <cell r="D311">
            <v>-1</v>
          </cell>
          <cell r="E311">
            <v>0</v>
          </cell>
          <cell r="F311">
            <v>0</v>
          </cell>
          <cell r="G311" t="str">
            <v>（一）综合收益总额</v>
          </cell>
          <cell r="H311">
            <v>0</v>
          </cell>
          <cell r="I311" t="str">
            <v>8g40</v>
          </cell>
          <cell r="J311">
            <v>0</v>
          </cell>
          <cell r="M311" t="str">
            <v>其他权益工具（优先股）_上年年末余额</v>
          </cell>
          <cell r="S311" t="str">
            <v>7251x</v>
          </cell>
          <cell r="T311" t="str">
            <v>偿还债务支付的现金计算表</v>
          </cell>
          <cell r="U311" t="str">
            <v>项       目</v>
          </cell>
          <cell r="V311">
            <v>1</v>
          </cell>
          <cell r="W311">
            <v>7251</v>
          </cell>
          <cell r="X311">
            <v>2</v>
          </cell>
        </row>
        <row r="312">
          <cell r="B312" t="str">
            <v>8g50</v>
          </cell>
          <cell r="C312" t="str">
            <v>其他综合收益_所有者投入和减少资本影响权益</v>
          </cell>
          <cell r="D312">
            <v>0</v>
          </cell>
          <cell r="E312" t="str">
            <v>＝</v>
          </cell>
          <cell r="F312">
            <v>0</v>
          </cell>
          <cell r="G312" t="str">
            <v>（二）所有者投入和减少资本</v>
          </cell>
          <cell r="H312">
            <v>0</v>
          </cell>
          <cell r="I312" t="str">
            <v>8g50</v>
          </cell>
          <cell r="J312">
            <v>0</v>
          </cell>
          <cell r="M312" t="str">
            <v>其他权益工具（优先股）_会计政策变更调整上年年末余额</v>
          </cell>
          <cell r="S312" t="str">
            <v>7261x</v>
          </cell>
          <cell r="T312" t="str">
            <v>分配利润偿付利息支付的现金计算表</v>
          </cell>
          <cell r="U312" t="str">
            <v>项       目</v>
          </cell>
          <cell r="V312">
            <v>1</v>
          </cell>
          <cell r="W312">
            <v>7261</v>
          </cell>
          <cell r="X312">
            <v>2</v>
          </cell>
        </row>
        <row r="313">
          <cell r="B313" t="str">
            <v>8g51</v>
          </cell>
          <cell r="C313" t="str">
            <v>其他综合收益_所有者投入资本</v>
          </cell>
          <cell r="D313">
            <v>-1</v>
          </cell>
          <cell r="E313">
            <v>0</v>
          </cell>
          <cell r="F313">
            <v>0</v>
          </cell>
          <cell r="G313" t="str">
            <v>所有者投入资本</v>
          </cell>
          <cell r="H313">
            <v>0</v>
          </cell>
          <cell r="I313" t="str">
            <v>8g51</v>
          </cell>
          <cell r="J313" t="str">
            <v>J</v>
          </cell>
          <cell r="M313" t="str">
            <v>其他权益工具（优先股）_前期差错更正调整上年年末余额</v>
          </cell>
          <cell r="S313" t="str">
            <v>7105x</v>
          </cell>
          <cell r="T313" t="str">
            <v>取得投资收益收到的现金计算表</v>
          </cell>
          <cell r="U313" t="str">
            <v>项       目</v>
          </cell>
          <cell r="V313">
            <v>1</v>
          </cell>
          <cell r="W313">
            <v>7105</v>
          </cell>
          <cell r="X313">
            <v>2</v>
          </cell>
        </row>
        <row r="314">
          <cell r="B314" t="str">
            <v>8g52</v>
          </cell>
          <cell r="C314" t="str">
            <v>其他综合收益_股份支付</v>
          </cell>
          <cell r="D314">
            <v>-1</v>
          </cell>
          <cell r="E314">
            <v>0</v>
          </cell>
          <cell r="F314">
            <v>0</v>
          </cell>
          <cell r="G314" t="str">
            <v>股份支付计入所有者权益的金额</v>
          </cell>
          <cell r="H314">
            <v>0</v>
          </cell>
          <cell r="I314" t="str">
            <v>8g52</v>
          </cell>
          <cell r="J314" t="str">
            <v>J</v>
          </cell>
          <cell r="M314" t="str">
            <v>其他权益工具（优先股）_同一控制下企业合并调整上年年末余额</v>
          </cell>
          <cell r="S314" t="str">
            <v>2501e</v>
          </cell>
          <cell r="T314" t="str">
            <v>长期借款中的抵押借款明细列示</v>
          </cell>
          <cell r="U314" t="str">
            <v>项       目</v>
          </cell>
          <cell r="V314">
            <v>1</v>
          </cell>
          <cell r="W314">
            <v>2501</v>
          </cell>
          <cell r="X314">
            <v>2</v>
          </cell>
        </row>
        <row r="315">
          <cell r="B315" t="str">
            <v>8g53</v>
          </cell>
          <cell r="C315" t="str">
            <v>其他综合收益_其他权益工具持有者投入资本</v>
          </cell>
          <cell r="D315">
            <v>-1</v>
          </cell>
          <cell r="E315" t="str">
            <v>OEI</v>
          </cell>
          <cell r="F315">
            <v>0</v>
          </cell>
          <cell r="G315" t="str">
            <v>其他权益工具持有者投入资本</v>
          </cell>
          <cell r="H315">
            <v>0</v>
          </cell>
          <cell r="I315" t="str">
            <v>8g53</v>
          </cell>
          <cell r="J315" t="str">
            <v>J</v>
          </cell>
          <cell r="M315" t="str">
            <v>其他权益工具（优先股）_其他原因调整上年年末余额</v>
          </cell>
          <cell r="S315" t="str">
            <v>2221x</v>
          </cell>
          <cell r="T315" t="str">
            <v>应交税费补充资料</v>
          </cell>
          <cell r="U315" t="str">
            <v>项       目</v>
          </cell>
          <cell r="V315">
            <v>1</v>
          </cell>
          <cell r="W315">
            <v>2221</v>
          </cell>
          <cell r="X315">
            <v>2</v>
          </cell>
        </row>
        <row r="316">
          <cell r="B316" t="str">
            <v>8g56</v>
          </cell>
          <cell r="C316" t="str">
            <v>其他综合收益_所有者其他投入和减少资本</v>
          </cell>
          <cell r="D316">
            <v>-1</v>
          </cell>
          <cell r="E316">
            <v>0</v>
          </cell>
          <cell r="F316">
            <v>0</v>
          </cell>
          <cell r="G316" t="str">
            <v>其他</v>
          </cell>
          <cell r="H316">
            <v>0</v>
          </cell>
          <cell r="I316" t="str">
            <v>8g56</v>
          </cell>
          <cell r="J316" t="str">
            <v>J</v>
          </cell>
          <cell r="M316" t="str">
            <v>其他权益工具（优先股）_综合收益总额增加权益</v>
          </cell>
          <cell r="S316" t="str">
            <v>2241b</v>
          </cell>
          <cell r="T316" t="str">
            <v>单项金额较大的其他应付款</v>
          </cell>
          <cell r="U316" t="str">
            <v>项       目</v>
          </cell>
          <cell r="V316">
            <v>1</v>
          </cell>
          <cell r="W316">
            <v>2241</v>
          </cell>
          <cell r="X316">
            <v>2</v>
          </cell>
        </row>
        <row r="317">
          <cell r="B317" t="str">
            <v>8g60</v>
          </cell>
          <cell r="C317" t="str">
            <v>其他综合收益_利润分配影响权益</v>
          </cell>
          <cell r="D317">
            <v>0</v>
          </cell>
          <cell r="E317" t="str">
            <v>＝</v>
          </cell>
          <cell r="F317">
            <v>0</v>
          </cell>
          <cell r="G317" t="str">
            <v>（三）利润分配</v>
          </cell>
          <cell r="H317">
            <v>0</v>
          </cell>
          <cell r="I317" t="str">
            <v>8g60</v>
          </cell>
          <cell r="J317">
            <v>0</v>
          </cell>
          <cell r="M317" t="str">
            <v>其他权益工具（优先股）_所有者投入资本</v>
          </cell>
          <cell r="S317" t="str">
            <v>2202g</v>
          </cell>
          <cell r="T317" t="str">
            <v>单项金额较大的应付账款</v>
          </cell>
          <cell r="U317" t="str">
            <v>项       目</v>
          </cell>
          <cell r="V317">
            <v>1</v>
          </cell>
          <cell r="W317">
            <v>2202</v>
          </cell>
          <cell r="X317">
            <v>2</v>
          </cell>
        </row>
        <row r="318">
          <cell r="B318" t="str">
            <v>8g61</v>
          </cell>
          <cell r="C318" t="str">
            <v>其他综合收益_提取盈余公积</v>
          </cell>
          <cell r="D318">
            <v>-1</v>
          </cell>
          <cell r="E318">
            <v>0</v>
          </cell>
          <cell r="F318">
            <v>0</v>
          </cell>
          <cell r="G318" t="str">
            <v>提取盈余公积</v>
          </cell>
          <cell r="H318">
            <v>0</v>
          </cell>
          <cell r="I318" t="str">
            <v>8g61</v>
          </cell>
          <cell r="J318" t="str">
            <v>J</v>
          </cell>
          <cell r="M318" t="str">
            <v>其他权益工具（优先股）_股份支付</v>
          </cell>
          <cell r="S318" t="str">
            <v>2211d</v>
          </cell>
          <cell r="T318" t="str">
            <v>应付职工薪酬分类列示</v>
          </cell>
          <cell r="U318" t="str">
            <v>项       目</v>
          </cell>
          <cell r="V318">
            <v>1</v>
          </cell>
          <cell r="W318">
            <v>2211</v>
          </cell>
          <cell r="X318">
            <v>2</v>
          </cell>
        </row>
        <row r="319">
          <cell r="B319" t="str">
            <v>8g62</v>
          </cell>
          <cell r="C319" t="str">
            <v>其他综合收益_提取一般风险准备</v>
          </cell>
          <cell r="D319">
            <v>-1</v>
          </cell>
          <cell r="E319">
            <v>0</v>
          </cell>
          <cell r="F319">
            <v>0</v>
          </cell>
          <cell r="G319" t="str">
            <v>提取一般风险准备</v>
          </cell>
          <cell r="H319">
            <v>0</v>
          </cell>
          <cell r="I319" t="str">
            <v>8g62</v>
          </cell>
          <cell r="J319" t="str">
            <v>J</v>
          </cell>
          <cell r="M319" t="str">
            <v>其他权益工具（优先股）_其他权益工具持有者投入资本</v>
          </cell>
          <cell r="S319" t="str">
            <v>2211x</v>
          </cell>
          <cell r="T319" t="str">
            <v>应付职工薪酬补充资料</v>
          </cell>
          <cell r="U319" t="str">
            <v>项       目</v>
          </cell>
          <cell r="V319">
            <v>1</v>
          </cell>
          <cell r="W319">
            <v>2211</v>
          </cell>
          <cell r="X319">
            <v>2</v>
          </cell>
        </row>
        <row r="320">
          <cell r="B320" t="str">
            <v>8g63</v>
          </cell>
          <cell r="C320" t="str">
            <v>其他综合收益_对所有者的分配</v>
          </cell>
          <cell r="D320">
            <v>-1</v>
          </cell>
          <cell r="E320">
            <v>0</v>
          </cell>
          <cell r="F320">
            <v>0</v>
          </cell>
          <cell r="G320" t="str">
            <v>对所有者（或股东）的分配</v>
          </cell>
          <cell r="H320">
            <v>0</v>
          </cell>
          <cell r="I320" t="str">
            <v>8g63</v>
          </cell>
          <cell r="J320" t="str">
            <v>J</v>
          </cell>
          <cell r="M320" t="str">
            <v>其他权益工具（优先股）_所有者其他投入和减少资本</v>
          </cell>
          <cell r="S320" t="str">
            <v>1125f</v>
          </cell>
          <cell r="T320" t="str">
            <v>预付款项按项目列示</v>
          </cell>
          <cell r="U320" t="str">
            <v>项       目</v>
          </cell>
          <cell r="V320">
            <v>1</v>
          </cell>
          <cell r="W320">
            <v>1125</v>
          </cell>
          <cell r="X320">
            <v>2</v>
          </cell>
        </row>
        <row r="321">
          <cell r="B321" t="str">
            <v>8g66</v>
          </cell>
          <cell r="C321" t="str">
            <v>其他综合收益_其他利润分配</v>
          </cell>
          <cell r="D321">
            <v>-1</v>
          </cell>
          <cell r="E321">
            <v>0</v>
          </cell>
          <cell r="F321">
            <v>0</v>
          </cell>
          <cell r="G321" t="str">
            <v>其他</v>
          </cell>
          <cell r="H321">
            <v>0</v>
          </cell>
          <cell r="I321" t="str">
            <v>8g66</v>
          </cell>
          <cell r="J321" t="str">
            <v>J</v>
          </cell>
          <cell r="M321" t="str">
            <v>其他权益工具（优先股）_提取盈余公积</v>
          </cell>
          <cell r="S321" t="str">
            <v>1400x</v>
          </cell>
          <cell r="T321" t="str">
            <v>存货补充资料</v>
          </cell>
          <cell r="U321" t="str">
            <v>项       目</v>
          </cell>
          <cell r="V321">
            <v>1</v>
          </cell>
          <cell r="W321">
            <v>1400</v>
          </cell>
          <cell r="X321">
            <v>2</v>
          </cell>
        </row>
        <row r="322">
          <cell r="B322" t="str">
            <v>8g70</v>
          </cell>
          <cell r="C322" t="str">
            <v>其他综合收益_所有者权益内部结转</v>
          </cell>
          <cell r="D322">
            <v>0</v>
          </cell>
          <cell r="E322" t="str">
            <v>＝</v>
          </cell>
          <cell r="F322">
            <v>0</v>
          </cell>
          <cell r="G322" t="str">
            <v>（四）所有者权益内部结转</v>
          </cell>
          <cell r="H322">
            <v>0</v>
          </cell>
          <cell r="I322" t="str">
            <v>8g70</v>
          </cell>
          <cell r="J322">
            <v>0</v>
          </cell>
          <cell r="M322" t="str">
            <v>其他权益工具（优先股）_提取一般风险准备</v>
          </cell>
          <cell r="S322" t="str">
            <v>1601x</v>
          </cell>
          <cell r="T322" t="str">
            <v>固定资产累计折旧补充资料</v>
          </cell>
          <cell r="U322" t="str">
            <v>项       目</v>
          </cell>
          <cell r="V322">
            <v>1</v>
          </cell>
          <cell r="W322">
            <v>1601</v>
          </cell>
          <cell r="X322">
            <v>2</v>
          </cell>
        </row>
        <row r="323">
          <cell r="B323" t="str">
            <v>8g71</v>
          </cell>
          <cell r="C323" t="str">
            <v>其他综合收益_资本公积转增资本</v>
          </cell>
          <cell r="D323">
            <v>-1</v>
          </cell>
          <cell r="E323">
            <v>0</v>
          </cell>
          <cell r="F323">
            <v>0</v>
          </cell>
          <cell r="G323" t="str">
            <v>资本公积转增资本（或股本）</v>
          </cell>
          <cell r="H323">
            <v>0</v>
          </cell>
          <cell r="I323" t="str">
            <v>8g71</v>
          </cell>
          <cell r="J323" t="str">
            <v>J</v>
          </cell>
          <cell r="M323" t="str">
            <v>其他权益工具（优先股）_对所有者的分配</v>
          </cell>
          <cell r="S323" t="str">
            <v>1701x</v>
          </cell>
          <cell r="T323" t="str">
            <v>无形资产累计摊销补充资料</v>
          </cell>
          <cell r="U323" t="str">
            <v>项       目</v>
          </cell>
          <cell r="V323">
            <v>1</v>
          </cell>
          <cell r="W323">
            <v>1701</v>
          </cell>
          <cell r="X323">
            <v>2</v>
          </cell>
        </row>
        <row r="324">
          <cell r="B324" t="str">
            <v>8g72</v>
          </cell>
          <cell r="C324" t="str">
            <v>其他综合收益_盈余公积转增资本</v>
          </cell>
          <cell r="D324">
            <v>-1</v>
          </cell>
          <cell r="E324">
            <v>0</v>
          </cell>
          <cell r="F324">
            <v>0</v>
          </cell>
          <cell r="G324" t="str">
            <v>盈余公积转增资本（或股本）</v>
          </cell>
          <cell r="H324">
            <v>0</v>
          </cell>
          <cell r="I324" t="str">
            <v>8g72</v>
          </cell>
          <cell r="J324" t="str">
            <v>J</v>
          </cell>
          <cell r="M324" t="str">
            <v>其他权益工具（优先股）_其他利润分配</v>
          </cell>
          <cell r="S324" t="str">
            <v>1801x</v>
          </cell>
          <cell r="T324" t="str">
            <v>长期待摊费用补充资料</v>
          </cell>
          <cell r="U324" t="str">
            <v>项       目</v>
          </cell>
          <cell r="V324">
            <v>1</v>
          </cell>
          <cell r="W324">
            <v>1801</v>
          </cell>
          <cell r="X324">
            <v>2</v>
          </cell>
        </row>
        <row r="325">
          <cell r="B325" t="str">
            <v>8g73</v>
          </cell>
          <cell r="C325" t="str">
            <v>其他综合收益_盈余公积弥补亏损</v>
          </cell>
          <cell r="D325">
            <v>-1</v>
          </cell>
          <cell r="E325">
            <v>0</v>
          </cell>
          <cell r="F325">
            <v>0</v>
          </cell>
          <cell r="G325" t="str">
            <v>盈余公积弥补亏损</v>
          </cell>
          <cell r="H325">
            <v>0</v>
          </cell>
          <cell r="I325" t="str">
            <v>8g73</v>
          </cell>
          <cell r="J325" t="str">
            <v>J</v>
          </cell>
          <cell r="M325" t="str">
            <v>其他权益工具（优先股）_资本公积转增资本</v>
          </cell>
          <cell r="S325" t="str">
            <v>6001x</v>
          </cell>
          <cell r="T325" t="str">
            <v>营业收入补充资料</v>
          </cell>
          <cell r="U325" t="str">
            <v>项       目</v>
          </cell>
          <cell r="V325">
            <v>-1</v>
          </cell>
          <cell r="W325">
            <v>6001</v>
          </cell>
          <cell r="X325">
            <v>2</v>
          </cell>
        </row>
        <row r="326">
          <cell r="B326" t="str">
            <v>8g75</v>
          </cell>
          <cell r="C326" t="str">
            <v>其他综合收益_结转重新计量设定受益计划净负债或净资产所产生的变动</v>
          </cell>
          <cell r="D326">
            <v>-1</v>
          </cell>
          <cell r="E326" t="str">
            <v>OEI</v>
          </cell>
          <cell r="F326">
            <v>0</v>
          </cell>
          <cell r="G326" t="str">
            <v>结转重新计量设定受益计划净负债或净资产所产生的变动</v>
          </cell>
          <cell r="H326">
            <v>0</v>
          </cell>
          <cell r="I326" t="str">
            <v>8g75</v>
          </cell>
          <cell r="J326" t="str">
            <v>J</v>
          </cell>
          <cell r="M326" t="str">
            <v>其他权益工具（优先股）_盈余公积转增资本</v>
          </cell>
          <cell r="S326" t="str">
            <v>6401x</v>
          </cell>
          <cell r="T326" t="str">
            <v>营业成本补充资料</v>
          </cell>
          <cell r="U326" t="str">
            <v>项       目</v>
          </cell>
          <cell r="V326">
            <v>-1</v>
          </cell>
          <cell r="W326">
            <v>6401</v>
          </cell>
          <cell r="X326">
            <v>2</v>
          </cell>
        </row>
        <row r="327">
          <cell r="B327" t="str">
            <v>8g76</v>
          </cell>
          <cell r="C327" t="str">
            <v>其他综合收益_所有者权益其他内部结转</v>
          </cell>
          <cell r="D327">
            <v>-1</v>
          </cell>
          <cell r="E327">
            <v>0</v>
          </cell>
          <cell r="F327">
            <v>0</v>
          </cell>
          <cell r="G327" t="str">
            <v>其他</v>
          </cell>
          <cell r="H327">
            <v>0</v>
          </cell>
          <cell r="I327" t="str">
            <v>8g76</v>
          </cell>
          <cell r="J327" t="str">
            <v>J</v>
          </cell>
          <cell r="M327" t="str">
            <v>其他权益工具（优先股）_盈余公积弥补亏损</v>
          </cell>
          <cell r="S327" t="str">
            <v>6600x</v>
          </cell>
          <cell r="T327" t="str">
            <v>营业税金及附加补充资料</v>
          </cell>
          <cell r="U327" t="str">
            <v>项       目</v>
          </cell>
          <cell r="V327">
            <v>1</v>
          </cell>
          <cell r="W327">
            <v>6600</v>
          </cell>
          <cell r="X327">
            <v>2</v>
          </cell>
        </row>
        <row r="328">
          <cell r="B328" t="str">
            <v>8g80</v>
          </cell>
          <cell r="C328" t="str">
            <v>其他综合收益_专项储备影响权益</v>
          </cell>
          <cell r="D328">
            <v>0</v>
          </cell>
          <cell r="E328" t="str">
            <v>＝</v>
          </cell>
          <cell r="F328">
            <v>0</v>
          </cell>
          <cell r="G328" t="str">
            <v>（五）专项储备</v>
          </cell>
          <cell r="H328">
            <v>0</v>
          </cell>
          <cell r="I328" t="str">
            <v>8g80</v>
          </cell>
          <cell r="J328">
            <v>0</v>
          </cell>
          <cell r="M328" t="str">
            <v>其他权益工具（优先股）_结转重新计量设定受益计划净负债或净资产所产生的变动</v>
          </cell>
          <cell r="S328" t="str">
            <v>6601x</v>
          </cell>
          <cell r="T328" t="str">
            <v>销售费用补充资料</v>
          </cell>
          <cell r="U328" t="str">
            <v>项       目</v>
          </cell>
          <cell r="V328">
            <v>1</v>
          </cell>
          <cell r="W328">
            <v>6601</v>
          </cell>
          <cell r="X328">
            <v>2</v>
          </cell>
        </row>
        <row r="329">
          <cell r="B329" t="str">
            <v>8g81</v>
          </cell>
          <cell r="C329" t="str">
            <v>其他综合收益_专项储备本期提取</v>
          </cell>
          <cell r="D329">
            <v>-1</v>
          </cell>
          <cell r="E329">
            <v>0</v>
          </cell>
          <cell r="F329">
            <v>0</v>
          </cell>
          <cell r="G329" t="str">
            <v>本期提取</v>
          </cell>
          <cell r="H329">
            <v>0</v>
          </cell>
          <cell r="I329" t="str">
            <v>8g81</v>
          </cell>
          <cell r="J329" t="str">
            <v>J</v>
          </cell>
          <cell r="M329" t="str">
            <v>其他权益工具（优先股）_所有者权益其他内部结转</v>
          </cell>
          <cell r="S329" t="str">
            <v>6602x</v>
          </cell>
          <cell r="T329" t="str">
            <v>管理费用补充资料</v>
          </cell>
          <cell r="U329" t="str">
            <v>项       目</v>
          </cell>
          <cell r="V329">
            <v>1</v>
          </cell>
          <cell r="W329">
            <v>6602</v>
          </cell>
          <cell r="X329">
            <v>2</v>
          </cell>
        </row>
        <row r="330">
          <cell r="B330" t="str">
            <v>8g82</v>
          </cell>
          <cell r="C330" t="str">
            <v>其他综合收益_专项储备本期使用</v>
          </cell>
          <cell r="D330">
            <v>-1</v>
          </cell>
          <cell r="E330">
            <v>0</v>
          </cell>
          <cell r="F330">
            <v>0</v>
          </cell>
          <cell r="G330" t="str">
            <v>本期使用</v>
          </cell>
          <cell r="H330">
            <v>0</v>
          </cell>
          <cell r="I330" t="str">
            <v>8g82</v>
          </cell>
          <cell r="J330" t="str">
            <v>J</v>
          </cell>
          <cell r="M330" t="str">
            <v>其他权益工具（优先股）_专项储备本期提取</v>
          </cell>
          <cell r="S330" t="str">
            <v>6603x</v>
          </cell>
          <cell r="T330" t="str">
            <v>财务费用补充资料</v>
          </cell>
          <cell r="U330" t="str">
            <v>项       目</v>
          </cell>
          <cell r="V330">
            <v>1</v>
          </cell>
          <cell r="W330">
            <v>6603</v>
          </cell>
          <cell r="X330">
            <v>2</v>
          </cell>
        </row>
        <row r="331">
          <cell r="B331" t="str">
            <v>8g96</v>
          </cell>
          <cell r="C331" t="str">
            <v>其他综合收益_本期其他增减变动</v>
          </cell>
          <cell r="D331">
            <v>-1</v>
          </cell>
          <cell r="E331">
            <v>0</v>
          </cell>
          <cell r="F331">
            <v>0</v>
          </cell>
          <cell r="G331" t="str">
            <v>（七）其他</v>
          </cell>
          <cell r="H331">
            <v>0</v>
          </cell>
          <cell r="I331" t="str">
            <v>8g96</v>
          </cell>
          <cell r="J331" t="str">
            <v>J</v>
          </cell>
          <cell r="M331" t="str">
            <v>其他权益工具（优先股）_专项储备本期使用</v>
          </cell>
          <cell r="S331" t="str">
            <v>9690a</v>
          </cell>
          <cell r="T331" t="str">
            <v>费用按性质分类的补充资料</v>
          </cell>
          <cell r="U331" t="str">
            <v>项       目</v>
          </cell>
          <cell r="V331">
            <v>-2</v>
          </cell>
          <cell r="W331">
            <v>0</v>
          </cell>
          <cell r="X331">
            <v>2</v>
          </cell>
        </row>
        <row r="332">
          <cell r="B332" t="str">
            <v>8g99</v>
          </cell>
          <cell r="C332" t="str">
            <v>其他综合收益_本期期末余额</v>
          </cell>
          <cell r="D332">
            <v>0</v>
          </cell>
          <cell r="E332" t="str">
            <v>＝</v>
          </cell>
          <cell r="F332">
            <v>0</v>
          </cell>
          <cell r="G332" t="str">
            <v>四、本期期末余额</v>
          </cell>
          <cell r="H332">
            <v>0</v>
          </cell>
          <cell r="I332" t="str">
            <v>8g99</v>
          </cell>
          <cell r="J332">
            <v>0</v>
          </cell>
          <cell r="M332" t="str">
            <v>其他权益工具（优先股）_本期其他增减变动</v>
          </cell>
          <cell r="S332" t="str">
            <v>9690b</v>
          </cell>
          <cell r="T332" t="str">
            <v>补充资料（一）</v>
          </cell>
          <cell r="U332" t="str">
            <v>项       目</v>
          </cell>
          <cell r="V332">
            <v>-2</v>
          </cell>
          <cell r="W332">
            <v>0</v>
          </cell>
          <cell r="X332">
            <v>2</v>
          </cell>
        </row>
        <row r="333">
          <cell r="B333">
            <v>8200</v>
          </cell>
          <cell r="C333" t="str">
            <v>资本公积增减变动</v>
          </cell>
          <cell r="D333">
            <v>0</v>
          </cell>
          <cell r="E333" t="str">
            <v>：</v>
          </cell>
          <cell r="F333">
            <v>0</v>
          </cell>
          <cell r="G333" t="str">
            <v>资本公积增减变动</v>
          </cell>
          <cell r="H333">
            <v>0</v>
          </cell>
          <cell r="I333">
            <v>8200</v>
          </cell>
          <cell r="J333">
            <v>0</v>
          </cell>
          <cell r="M333" t="str">
            <v>其他权益工具（永续债）_上年年末余额</v>
          </cell>
          <cell r="S333" t="str">
            <v>9690c</v>
          </cell>
          <cell r="T333" t="str">
            <v>补充资料（二）</v>
          </cell>
          <cell r="U333" t="str">
            <v>项       目</v>
          </cell>
          <cell r="V333">
            <v>-2</v>
          </cell>
          <cell r="W333">
            <v>0</v>
          </cell>
          <cell r="X333">
            <v>2</v>
          </cell>
        </row>
        <row r="334">
          <cell r="B334">
            <v>8201</v>
          </cell>
          <cell r="C334" t="str">
            <v>资本公积_上年年末余额</v>
          </cell>
          <cell r="D334">
            <v>-1</v>
          </cell>
          <cell r="E334">
            <v>0</v>
          </cell>
          <cell r="F334">
            <v>5210</v>
          </cell>
          <cell r="G334" t="str">
            <v>一、上年年末余额</v>
          </cell>
          <cell r="H334">
            <v>0</v>
          </cell>
          <cell r="I334">
            <v>8201</v>
          </cell>
          <cell r="J334" t="str">
            <v>J</v>
          </cell>
          <cell r="M334" t="str">
            <v>其他权益工具（永续债）_会计政策变更调整上年年末余额</v>
          </cell>
        </row>
        <row r="335">
          <cell r="B335">
            <v>8202</v>
          </cell>
          <cell r="C335" t="str">
            <v>资本公积_会计政策变更调整上年年末余额</v>
          </cell>
          <cell r="D335">
            <v>-1</v>
          </cell>
          <cell r="E335">
            <v>0</v>
          </cell>
          <cell r="F335">
            <v>5210</v>
          </cell>
          <cell r="G335" t="str">
            <v>加：会计政策变更</v>
          </cell>
          <cell r="H335">
            <v>0</v>
          </cell>
          <cell r="I335">
            <v>8202</v>
          </cell>
          <cell r="J335" t="str">
            <v>J</v>
          </cell>
          <cell r="M335" t="str">
            <v>其他权益工具（永续债）_前期差错更正调整上年年末余额</v>
          </cell>
        </row>
        <row r="336">
          <cell r="B336">
            <v>8203</v>
          </cell>
          <cell r="C336" t="str">
            <v>资本公积_前期差错更正调整上年年末余额</v>
          </cell>
          <cell r="D336">
            <v>-1</v>
          </cell>
          <cell r="E336">
            <v>0</v>
          </cell>
          <cell r="F336">
            <v>5210</v>
          </cell>
          <cell r="G336" t="str">
            <v>前期差错更正</v>
          </cell>
          <cell r="H336">
            <v>0</v>
          </cell>
          <cell r="I336">
            <v>8203</v>
          </cell>
          <cell r="J336" t="str">
            <v>J</v>
          </cell>
          <cell r="M336" t="str">
            <v>其他权益工具（永续债）_同一控制下企业合并调整上年年末余额</v>
          </cell>
        </row>
        <row r="337">
          <cell r="B337">
            <v>8204</v>
          </cell>
          <cell r="C337" t="str">
            <v>资本公积_同一控制下企业合并调整上年年末余额</v>
          </cell>
          <cell r="D337">
            <v>-1</v>
          </cell>
          <cell r="E337" t="str">
            <v>※</v>
          </cell>
          <cell r="F337">
            <v>5210</v>
          </cell>
          <cell r="G337" t="str">
            <v>同一控制下企业合并</v>
          </cell>
          <cell r="H337">
            <v>0</v>
          </cell>
          <cell r="I337">
            <v>8204</v>
          </cell>
          <cell r="J337" t="str">
            <v>J</v>
          </cell>
          <cell r="M337" t="str">
            <v>其他权益工具（永续债）_其他原因调整上年年末余额</v>
          </cell>
        </row>
        <row r="338">
          <cell r="B338">
            <v>8209</v>
          </cell>
          <cell r="C338" t="str">
            <v>资本公积_其他原因调整上年年末余额</v>
          </cell>
          <cell r="D338">
            <v>-1</v>
          </cell>
          <cell r="E338">
            <v>0</v>
          </cell>
          <cell r="F338">
            <v>5210</v>
          </cell>
          <cell r="G338" t="str">
            <v>其他</v>
          </cell>
          <cell r="H338">
            <v>0</v>
          </cell>
          <cell r="I338">
            <v>8209</v>
          </cell>
          <cell r="J338" t="str">
            <v>J</v>
          </cell>
          <cell r="M338" t="str">
            <v>其他权益工具（永续债）_综合收益总额增加权益</v>
          </cell>
        </row>
        <row r="339">
          <cell r="B339">
            <v>8210</v>
          </cell>
          <cell r="C339" t="str">
            <v>资本公积_本年年初余额</v>
          </cell>
          <cell r="D339">
            <v>0</v>
          </cell>
          <cell r="E339" t="str">
            <v>＝</v>
          </cell>
          <cell r="F339">
            <v>0</v>
          </cell>
          <cell r="G339" t="str">
            <v>二、本年年初余额</v>
          </cell>
          <cell r="H339">
            <v>0</v>
          </cell>
          <cell r="I339">
            <v>8210</v>
          </cell>
          <cell r="J339">
            <v>0</v>
          </cell>
          <cell r="M339" t="str">
            <v>其他权益工具（永续债）_所有者投入资本</v>
          </cell>
        </row>
        <row r="340">
          <cell r="B340">
            <v>8290</v>
          </cell>
          <cell r="C340" t="str">
            <v>资本公积_本期增减变动金额</v>
          </cell>
          <cell r="D340">
            <v>0</v>
          </cell>
          <cell r="E340" t="str">
            <v>＝</v>
          </cell>
          <cell r="F340">
            <v>0</v>
          </cell>
          <cell r="G340" t="str">
            <v>三、本期增减变动金额（减少以“-”号填列）</v>
          </cell>
          <cell r="H340">
            <v>0</v>
          </cell>
          <cell r="I340">
            <v>8290</v>
          </cell>
          <cell r="J340">
            <v>0</v>
          </cell>
          <cell r="M340" t="str">
            <v>其他权益工具（永续债）_股份支付</v>
          </cell>
        </row>
        <row r="341">
          <cell r="B341">
            <v>8230</v>
          </cell>
          <cell r="C341" t="str">
            <v>资本公积_其他综合收益</v>
          </cell>
          <cell r="D341">
            <v>-1</v>
          </cell>
          <cell r="E341">
            <v>0</v>
          </cell>
          <cell r="F341">
            <v>5210</v>
          </cell>
          <cell r="G341" t="str">
            <v>（二）其他综合收益</v>
          </cell>
          <cell r="H341">
            <v>0</v>
          </cell>
          <cell r="I341">
            <v>8230</v>
          </cell>
          <cell r="J341" t="str">
            <v>J</v>
          </cell>
          <cell r="M341" t="str">
            <v>其他权益工具（永续债）_其他权益工具持有者投入资本</v>
          </cell>
        </row>
        <row r="342">
          <cell r="B342">
            <v>8240</v>
          </cell>
          <cell r="C342" t="str">
            <v>资本公积_综合收益总额增加权益</v>
          </cell>
          <cell r="D342">
            <v>-1</v>
          </cell>
          <cell r="E342">
            <v>0</v>
          </cell>
          <cell r="F342">
            <v>0</v>
          </cell>
          <cell r="G342" t="str">
            <v>（一）综合收益总额</v>
          </cell>
          <cell r="H342">
            <v>0</v>
          </cell>
          <cell r="I342">
            <v>8240</v>
          </cell>
          <cell r="J342" t="str">
            <v>J</v>
          </cell>
          <cell r="M342" t="str">
            <v>其他权益工具（永续债）_所有者其他投入和减少资本</v>
          </cell>
        </row>
        <row r="343">
          <cell r="B343">
            <v>8250</v>
          </cell>
          <cell r="C343" t="str">
            <v>资本公积_所有者投入和减少资本影响权益</v>
          </cell>
          <cell r="D343">
            <v>0</v>
          </cell>
          <cell r="E343" t="str">
            <v>＝</v>
          </cell>
          <cell r="F343">
            <v>0</v>
          </cell>
          <cell r="G343" t="str">
            <v>（二）所有者投入和减少资本</v>
          </cell>
          <cell r="H343">
            <v>0</v>
          </cell>
          <cell r="I343">
            <v>8250</v>
          </cell>
          <cell r="J343">
            <v>0</v>
          </cell>
          <cell r="M343" t="str">
            <v>其他权益工具（永续债）_提取盈余公积</v>
          </cell>
        </row>
        <row r="344">
          <cell r="B344">
            <v>8251</v>
          </cell>
          <cell r="C344" t="str">
            <v>资本公积_所有者投入资本</v>
          </cell>
          <cell r="D344">
            <v>-1</v>
          </cell>
          <cell r="E344">
            <v>0</v>
          </cell>
          <cell r="F344">
            <v>5210</v>
          </cell>
          <cell r="G344" t="str">
            <v>所有者投入资本</v>
          </cell>
          <cell r="H344">
            <v>0</v>
          </cell>
          <cell r="I344">
            <v>8251</v>
          </cell>
          <cell r="J344" t="str">
            <v>J</v>
          </cell>
          <cell r="M344" t="str">
            <v>其他权益工具（永续债）_提取一般风险准备</v>
          </cell>
        </row>
        <row r="345">
          <cell r="B345">
            <v>8252</v>
          </cell>
          <cell r="C345" t="str">
            <v>资本公积_股份支付</v>
          </cell>
          <cell r="D345">
            <v>-1</v>
          </cell>
          <cell r="E345">
            <v>0</v>
          </cell>
          <cell r="F345">
            <v>5210</v>
          </cell>
          <cell r="G345" t="str">
            <v>股份支付计入所有者权益的金额</v>
          </cell>
          <cell r="H345">
            <v>0</v>
          </cell>
          <cell r="I345">
            <v>8252</v>
          </cell>
          <cell r="J345" t="str">
            <v>J</v>
          </cell>
          <cell r="M345" t="str">
            <v>其他权益工具（永续债）_对所有者的分配</v>
          </cell>
        </row>
        <row r="346">
          <cell r="B346">
            <v>8253</v>
          </cell>
          <cell r="C346" t="str">
            <v>资本公积_其他权益工具持有者投入资本</v>
          </cell>
          <cell r="D346">
            <v>-1</v>
          </cell>
          <cell r="E346" t="str">
            <v>OEI</v>
          </cell>
          <cell r="F346">
            <v>5210</v>
          </cell>
          <cell r="G346" t="str">
            <v>其他权益工具持有者投入资本</v>
          </cell>
          <cell r="H346">
            <v>0</v>
          </cell>
          <cell r="I346">
            <v>8253</v>
          </cell>
          <cell r="J346" t="str">
            <v>J</v>
          </cell>
          <cell r="M346" t="str">
            <v>其他权益工具（永续债）_其他利润分配</v>
          </cell>
        </row>
        <row r="347">
          <cell r="B347">
            <v>8256</v>
          </cell>
          <cell r="C347" t="str">
            <v>资本公积_所有者其他投入和减少资本</v>
          </cell>
          <cell r="D347">
            <v>-1</v>
          </cell>
          <cell r="E347">
            <v>0</v>
          </cell>
          <cell r="F347">
            <v>5210</v>
          </cell>
          <cell r="G347" t="str">
            <v>其他</v>
          </cell>
          <cell r="H347">
            <v>0</v>
          </cell>
          <cell r="I347">
            <v>8256</v>
          </cell>
          <cell r="J347" t="str">
            <v>J</v>
          </cell>
          <cell r="M347" t="str">
            <v>其他权益工具（永续债）_资本公积转增资本</v>
          </cell>
        </row>
        <row r="348">
          <cell r="B348">
            <v>8260</v>
          </cell>
          <cell r="C348" t="str">
            <v>资本公积_利润分配影响权益</v>
          </cell>
          <cell r="D348">
            <v>0</v>
          </cell>
          <cell r="E348" t="str">
            <v>＝</v>
          </cell>
          <cell r="F348">
            <v>0</v>
          </cell>
          <cell r="G348" t="str">
            <v>（三）利润分配</v>
          </cell>
          <cell r="H348">
            <v>0</v>
          </cell>
          <cell r="I348">
            <v>8260</v>
          </cell>
          <cell r="J348">
            <v>0</v>
          </cell>
          <cell r="M348" t="str">
            <v>其他权益工具（永续债）_盈余公积转增资本</v>
          </cell>
        </row>
        <row r="349">
          <cell r="B349">
            <v>8266</v>
          </cell>
          <cell r="C349" t="str">
            <v>资本公积_其他利润分配</v>
          </cell>
          <cell r="D349">
            <v>-1</v>
          </cell>
          <cell r="E349">
            <v>0</v>
          </cell>
          <cell r="F349">
            <v>5210</v>
          </cell>
          <cell r="G349" t="str">
            <v>其他</v>
          </cell>
          <cell r="H349">
            <v>0</v>
          </cell>
          <cell r="I349">
            <v>8266</v>
          </cell>
          <cell r="J349" t="str">
            <v>J</v>
          </cell>
          <cell r="M349" t="str">
            <v>其他权益工具（永续债）_盈余公积弥补亏损</v>
          </cell>
        </row>
        <row r="350">
          <cell r="B350">
            <v>8270</v>
          </cell>
          <cell r="C350" t="str">
            <v>资本公积_所有者权益内部结转</v>
          </cell>
          <cell r="D350">
            <v>0</v>
          </cell>
          <cell r="E350" t="str">
            <v>＝</v>
          </cell>
          <cell r="F350">
            <v>0</v>
          </cell>
          <cell r="G350" t="str">
            <v>（四）所有者权益内部结转</v>
          </cell>
          <cell r="H350">
            <v>0</v>
          </cell>
          <cell r="I350">
            <v>8270</v>
          </cell>
          <cell r="J350">
            <v>0</v>
          </cell>
          <cell r="M350" t="str">
            <v>其他权益工具（永续债）_结转重新计量设定受益计划净负债或净资产所产生的变动</v>
          </cell>
        </row>
        <row r="351">
          <cell r="B351">
            <v>8271</v>
          </cell>
          <cell r="C351" t="str">
            <v>资本公积_转增资本</v>
          </cell>
          <cell r="D351">
            <v>-1</v>
          </cell>
          <cell r="E351">
            <v>0</v>
          </cell>
          <cell r="F351">
            <v>5210</v>
          </cell>
          <cell r="G351" t="str">
            <v>资本公积转增资本（或股本）</v>
          </cell>
          <cell r="H351">
            <v>0</v>
          </cell>
          <cell r="I351">
            <v>8271</v>
          </cell>
          <cell r="J351" t="str">
            <v>J</v>
          </cell>
          <cell r="M351" t="str">
            <v>其他权益工具（永续债）_所有者权益其他内部结转</v>
          </cell>
        </row>
        <row r="352">
          <cell r="B352">
            <v>8275</v>
          </cell>
          <cell r="C352" t="str">
            <v>资本公积_结转重新计量设定受益计划净负债或净资产所产生的变动</v>
          </cell>
          <cell r="D352">
            <v>-1</v>
          </cell>
          <cell r="E352" t="str">
            <v>OEI</v>
          </cell>
          <cell r="F352">
            <v>5210</v>
          </cell>
          <cell r="G352" t="str">
            <v>结转重新计量设定受益计划净负债或净资产所产生的变动</v>
          </cell>
          <cell r="H352">
            <v>0</v>
          </cell>
          <cell r="I352">
            <v>8275</v>
          </cell>
          <cell r="J352" t="str">
            <v>J</v>
          </cell>
          <cell r="M352" t="str">
            <v>其他权益工具（永续债）_专项储备本期提取</v>
          </cell>
        </row>
        <row r="353">
          <cell r="B353">
            <v>8276</v>
          </cell>
          <cell r="C353" t="str">
            <v>资本公积_所有者权益其他内部结转</v>
          </cell>
          <cell r="D353">
            <v>-1</v>
          </cell>
          <cell r="E353" t="str">
            <v>LOW</v>
          </cell>
          <cell r="F353">
            <v>5210</v>
          </cell>
          <cell r="G353" t="str">
            <v>其他</v>
          </cell>
          <cell r="H353">
            <v>0</v>
          </cell>
          <cell r="I353">
            <v>8276</v>
          </cell>
          <cell r="J353" t="str">
            <v>J</v>
          </cell>
          <cell r="M353" t="str">
            <v>其他权益工具（永续债）_专项储备本期使用</v>
          </cell>
        </row>
        <row r="354">
          <cell r="B354">
            <v>8296</v>
          </cell>
          <cell r="C354" t="str">
            <v>资本公积_本期其他增减变动</v>
          </cell>
          <cell r="D354">
            <v>-1</v>
          </cell>
          <cell r="E354">
            <v>0</v>
          </cell>
          <cell r="F354">
            <v>5210</v>
          </cell>
          <cell r="G354" t="str">
            <v>（七）其他</v>
          </cell>
          <cell r="H354">
            <v>0</v>
          </cell>
          <cell r="I354">
            <v>8296</v>
          </cell>
          <cell r="J354" t="str">
            <v>J</v>
          </cell>
          <cell r="M354" t="str">
            <v>其他权益工具（永续债）_本期其他增减变动</v>
          </cell>
        </row>
        <row r="355">
          <cell r="B355">
            <v>8299</v>
          </cell>
          <cell r="C355" t="str">
            <v>资本公积_本期期末余额</v>
          </cell>
          <cell r="D355">
            <v>0</v>
          </cell>
          <cell r="E355" t="str">
            <v>＝</v>
          </cell>
          <cell r="F355">
            <v>0</v>
          </cell>
          <cell r="G355" t="str">
            <v>四、本期期末余额</v>
          </cell>
          <cell r="H355">
            <v>0</v>
          </cell>
          <cell r="I355">
            <v>8299</v>
          </cell>
          <cell r="J355">
            <v>0</v>
          </cell>
          <cell r="M355" t="str">
            <v>其他权益工具（其他）_上年年末余额</v>
          </cell>
        </row>
        <row r="356">
          <cell r="B356">
            <v>8300</v>
          </cell>
          <cell r="C356" t="str">
            <v>库存股增减变动</v>
          </cell>
          <cell r="D356">
            <v>0</v>
          </cell>
          <cell r="E356" t="str">
            <v>：</v>
          </cell>
          <cell r="F356">
            <v>0</v>
          </cell>
          <cell r="G356" t="str">
            <v>减：库存股增减变动</v>
          </cell>
          <cell r="H356">
            <v>0</v>
          </cell>
          <cell r="I356">
            <v>8300</v>
          </cell>
          <cell r="J356">
            <v>0</v>
          </cell>
          <cell r="M356" t="str">
            <v>其他权益工具（其他）_会计政策变更调整上年年末余额</v>
          </cell>
        </row>
        <row r="357">
          <cell r="B357">
            <v>8301</v>
          </cell>
          <cell r="C357" t="str">
            <v>库存股_上年年末余额</v>
          </cell>
          <cell r="D357">
            <v>1</v>
          </cell>
          <cell r="E357">
            <v>0</v>
          </cell>
          <cell r="F357">
            <v>5310</v>
          </cell>
          <cell r="G357" t="str">
            <v>一、上年年末余额</v>
          </cell>
          <cell r="H357">
            <v>0</v>
          </cell>
          <cell r="I357">
            <v>8301</v>
          </cell>
          <cell r="J357" t="str">
            <v>J</v>
          </cell>
          <cell r="M357" t="str">
            <v>其他权益工具（其他）_前期差错更正调整上年年末余额</v>
          </cell>
        </row>
        <row r="358">
          <cell r="B358">
            <v>8302</v>
          </cell>
          <cell r="C358" t="str">
            <v>库存股_会计政策变更调整上年年末余额</v>
          </cell>
          <cell r="D358">
            <v>1</v>
          </cell>
          <cell r="E358">
            <v>0</v>
          </cell>
          <cell r="F358">
            <v>5310</v>
          </cell>
          <cell r="G358" t="str">
            <v>加：会计政策变更</v>
          </cell>
          <cell r="H358">
            <v>0</v>
          </cell>
          <cell r="I358">
            <v>8302</v>
          </cell>
          <cell r="J358" t="str">
            <v>J</v>
          </cell>
          <cell r="M358" t="str">
            <v>其他权益工具（其他）_同一控制下企业合并调整上年年末余额</v>
          </cell>
        </row>
        <row r="359">
          <cell r="B359">
            <v>8303</v>
          </cell>
          <cell r="C359" t="str">
            <v>库存股_前期差错更正调整上年年末余额</v>
          </cell>
          <cell r="D359">
            <v>1</v>
          </cell>
          <cell r="E359">
            <v>0</v>
          </cell>
          <cell r="F359">
            <v>5310</v>
          </cell>
          <cell r="G359" t="str">
            <v>前期差错更正</v>
          </cell>
          <cell r="H359">
            <v>0</v>
          </cell>
          <cell r="I359">
            <v>8303</v>
          </cell>
          <cell r="J359" t="str">
            <v>J</v>
          </cell>
          <cell r="M359" t="str">
            <v>其他权益工具（其他）_其他原因调整上年年末余额</v>
          </cell>
        </row>
        <row r="360">
          <cell r="B360">
            <v>8304</v>
          </cell>
          <cell r="C360" t="str">
            <v>库存股_同一控制下企业合并调整上年年末余额</v>
          </cell>
          <cell r="D360">
            <v>1</v>
          </cell>
          <cell r="E360" t="str">
            <v>※</v>
          </cell>
          <cell r="F360">
            <v>5310</v>
          </cell>
          <cell r="G360" t="str">
            <v>同一控制下企业合并</v>
          </cell>
          <cell r="H360">
            <v>0</v>
          </cell>
          <cell r="I360">
            <v>8304</v>
          </cell>
          <cell r="J360" t="str">
            <v>J</v>
          </cell>
          <cell r="M360" t="str">
            <v>其他权益工具（其他）_综合收益总额增加权益</v>
          </cell>
        </row>
        <row r="361">
          <cell r="B361">
            <v>8309</v>
          </cell>
          <cell r="C361" t="str">
            <v>库存股_其他原因调整上年年末余额</v>
          </cell>
          <cell r="D361">
            <v>1</v>
          </cell>
          <cell r="E361" t="str">
            <v>LOW</v>
          </cell>
          <cell r="F361">
            <v>5310</v>
          </cell>
          <cell r="G361" t="str">
            <v>其他</v>
          </cell>
          <cell r="H361">
            <v>0</v>
          </cell>
          <cell r="I361">
            <v>8309</v>
          </cell>
          <cell r="J361" t="str">
            <v>J</v>
          </cell>
          <cell r="M361" t="str">
            <v>其他权益工具（其他）_所有者投入资本</v>
          </cell>
        </row>
        <row r="362">
          <cell r="B362">
            <v>8310</v>
          </cell>
          <cell r="C362" t="str">
            <v>库存股_本年年初余额</v>
          </cell>
          <cell r="D362">
            <v>0</v>
          </cell>
          <cell r="E362" t="str">
            <v>＝</v>
          </cell>
          <cell r="F362">
            <v>0</v>
          </cell>
          <cell r="G362" t="str">
            <v>二、本年年初余额</v>
          </cell>
          <cell r="H362">
            <v>0</v>
          </cell>
          <cell r="I362">
            <v>8310</v>
          </cell>
          <cell r="J362">
            <v>0</v>
          </cell>
          <cell r="M362" t="str">
            <v>其他权益工具（其他）_股份支付</v>
          </cell>
        </row>
        <row r="363">
          <cell r="B363">
            <v>8390</v>
          </cell>
          <cell r="C363" t="str">
            <v>库存股_本期增减变动金额</v>
          </cell>
          <cell r="D363">
            <v>0</v>
          </cell>
          <cell r="E363" t="str">
            <v>＝</v>
          </cell>
          <cell r="F363">
            <v>0</v>
          </cell>
          <cell r="G363" t="str">
            <v>三、本期增减变动金额（减少以“-”号填列）</v>
          </cell>
          <cell r="H363">
            <v>0</v>
          </cell>
          <cell r="I363">
            <v>8390</v>
          </cell>
          <cell r="J363">
            <v>0</v>
          </cell>
          <cell r="M363" t="str">
            <v>其他权益工具（其他）_其他权益工具持有者投入资本</v>
          </cell>
        </row>
        <row r="364">
          <cell r="B364">
            <v>8350</v>
          </cell>
          <cell r="C364" t="str">
            <v>库存股_所有者投入和减少资本影响权益</v>
          </cell>
          <cell r="D364">
            <v>0</v>
          </cell>
          <cell r="E364" t="str">
            <v>＝</v>
          </cell>
          <cell r="F364">
            <v>0</v>
          </cell>
          <cell r="G364" t="str">
            <v>（二）所有者投入和减少资本</v>
          </cell>
          <cell r="H364">
            <v>0</v>
          </cell>
          <cell r="I364">
            <v>8350</v>
          </cell>
          <cell r="J364">
            <v>0</v>
          </cell>
          <cell r="M364" t="str">
            <v>其他权益工具（其他）_所有者其他投入和减少资本</v>
          </cell>
        </row>
        <row r="365">
          <cell r="B365">
            <v>8351</v>
          </cell>
          <cell r="C365" t="str">
            <v>库存股_所有者投入资本</v>
          </cell>
          <cell r="D365">
            <v>1</v>
          </cell>
          <cell r="E365">
            <v>0</v>
          </cell>
          <cell r="F365">
            <v>5310</v>
          </cell>
          <cell r="G365" t="str">
            <v>所有者投入资本</v>
          </cell>
          <cell r="H365">
            <v>0</v>
          </cell>
          <cell r="I365">
            <v>8351</v>
          </cell>
          <cell r="J365" t="str">
            <v>J</v>
          </cell>
          <cell r="M365" t="str">
            <v>其他权益工具（其他）_提取盈余公积</v>
          </cell>
        </row>
        <row r="366">
          <cell r="B366">
            <v>8352</v>
          </cell>
          <cell r="C366" t="str">
            <v>库存股_股份支付</v>
          </cell>
          <cell r="D366">
            <v>1</v>
          </cell>
          <cell r="E366" t="str">
            <v>LOW</v>
          </cell>
          <cell r="F366">
            <v>5310</v>
          </cell>
          <cell r="G366" t="str">
            <v>股份支付计入所有者权益的金额</v>
          </cell>
          <cell r="H366">
            <v>0</v>
          </cell>
          <cell r="I366">
            <v>8352</v>
          </cell>
          <cell r="J366" t="str">
            <v>J</v>
          </cell>
          <cell r="M366" t="str">
            <v>其他权益工具（其他）_提取一般风险准备</v>
          </cell>
        </row>
        <row r="367">
          <cell r="B367">
            <v>8353</v>
          </cell>
          <cell r="C367" t="str">
            <v>库存股_其他权益工具持有者投入资本</v>
          </cell>
          <cell r="D367">
            <v>1</v>
          </cell>
          <cell r="E367" t="str">
            <v>OEI</v>
          </cell>
          <cell r="F367">
            <v>5310</v>
          </cell>
          <cell r="G367" t="str">
            <v>其他权益工具持有者投入资本</v>
          </cell>
          <cell r="H367">
            <v>0</v>
          </cell>
          <cell r="I367">
            <v>8353</v>
          </cell>
          <cell r="J367" t="str">
            <v>J</v>
          </cell>
          <cell r="M367" t="str">
            <v>其他权益工具（其他）_对所有者的分配</v>
          </cell>
        </row>
        <row r="368">
          <cell r="B368">
            <v>8356</v>
          </cell>
          <cell r="C368" t="str">
            <v>库存股_所有者其他投入和减少资本</v>
          </cell>
          <cell r="D368">
            <v>1</v>
          </cell>
          <cell r="E368" t="str">
            <v>LOW</v>
          </cell>
          <cell r="F368">
            <v>5310</v>
          </cell>
          <cell r="G368" t="str">
            <v>其他</v>
          </cell>
          <cell r="H368">
            <v>0</v>
          </cell>
          <cell r="I368">
            <v>8356</v>
          </cell>
          <cell r="J368" t="str">
            <v>J</v>
          </cell>
          <cell r="M368" t="str">
            <v>其他权益工具（其他）_其他利润分配</v>
          </cell>
        </row>
        <row r="369">
          <cell r="B369">
            <v>8360</v>
          </cell>
          <cell r="C369" t="str">
            <v>库存股_利润分配影响权益</v>
          </cell>
          <cell r="D369">
            <v>0</v>
          </cell>
          <cell r="E369" t="str">
            <v>＝</v>
          </cell>
          <cell r="F369">
            <v>0</v>
          </cell>
          <cell r="G369" t="str">
            <v>（三）利润分配</v>
          </cell>
          <cell r="H369">
            <v>0</v>
          </cell>
          <cell r="I369">
            <v>8360</v>
          </cell>
          <cell r="J369">
            <v>0</v>
          </cell>
          <cell r="M369" t="str">
            <v>其他权益工具（其他）_资本公积转增资本</v>
          </cell>
        </row>
        <row r="370">
          <cell r="B370">
            <v>8363</v>
          </cell>
          <cell r="C370" t="str">
            <v>库存股_对所有者的分配</v>
          </cell>
          <cell r="D370">
            <v>1</v>
          </cell>
          <cell r="E370" t="str">
            <v>LOW</v>
          </cell>
          <cell r="F370">
            <v>5310</v>
          </cell>
          <cell r="G370" t="str">
            <v>对所有者（或股东）的分配</v>
          </cell>
          <cell r="H370">
            <v>0</v>
          </cell>
          <cell r="I370">
            <v>8363</v>
          </cell>
          <cell r="J370" t="str">
            <v>J</v>
          </cell>
          <cell r="M370" t="str">
            <v>其他权益工具（其他）_盈余公积转增资本</v>
          </cell>
        </row>
        <row r="371">
          <cell r="B371">
            <v>8366</v>
          </cell>
          <cell r="C371" t="str">
            <v>库存股_其他利润分配</v>
          </cell>
          <cell r="D371">
            <v>1</v>
          </cell>
          <cell r="E371" t="str">
            <v>LOW</v>
          </cell>
          <cell r="F371">
            <v>5310</v>
          </cell>
          <cell r="G371" t="str">
            <v>其他</v>
          </cell>
          <cell r="H371">
            <v>0</v>
          </cell>
          <cell r="I371">
            <v>8366</v>
          </cell>
          <cell r="J371" t="str">
            <v>J</v>
          </cell>
          <cell r="M371" t="str">
            <v>其他权益工具（其他）_盈余公积弥补亏损</v>
          </cell>
        </row>
        <row r="372">
          <cell r="B372">
            <v>8370</v>
          </cell>
          <cell r="C372" t="str">
            <v>库存股_所有者权益内部结转</v>
          </cell>
          <cell r="D372">
            <v>0</v>
          </cell>
          <cell r="E372" t="str">
            <v>＝</v>
          </cell>
          <cell r="F372">
            <v>0</v>
          </cell>
          <cell r="G372" t="str">
            <v>（四）所有者权益内部结转</v>
          </cell>
          <cell r="H372">
            <v>0</v>
          </cell>
          <cell r="I372">
            <v>8370</v>
          </cell>
          <cell r="J372">
            <v>0</v>
          </cell>
          <cell r="M372" t="str">
            <v>其他权益工具（其他）_结转重新计量设定受益计划净负债或净资产所产生的变动</v>
          </cell>
        </row>
        <row r="373">
          <cell r="B373">
            <v>8375</v>
          </cell>
          <cell r="C373" t="str">
            <v>库存股_结转重新计量设定受益计划净负债或净资产所产生的变动</v>
          </cell>
          <cell r="D373">
            <v>1</v>
          </cell>
          <cell r="E373" t="str">
            <v>OEI</v>
          </cell>
          <cell r="F373">
            <v>5310</v>
          </cell>
          <cell r="G373" t="str">
            <v>结转重新计量设定受益计划净负债或净资产所产生的变动</v>
          </cell>
          <cell r="H373">
            <v>0</v>
          </cell>
          <cell r="I373">
            <v>8375</v>
          </cell>
          <cell r="J373" t="str">
            <v>J</v>
          </cell>
          <cell r="M373" t="str">
            <v>其他权益工具（其他）_所有者权益其他内部结转</v>
          </cell>
        </row>
        <row r="374">
          <cell r="B374">
            <v>8376</v>
          </cell>
          <cell r="C374" t="str">
            <v>库存股_所有者权益其他内部结转</v>
          </cell>
          <cell r="D374">
            <v>1</v>
          </cell>
          <cell r="E374">
            <v>0</v>
          </cell>
          <cell r="F374">
            <v>5310</v>
          </cell>
          <cell r="G374" t="str">
            <v>其他</v>
          </cell>
          <cell r="H374">
            <v>0</v>
          </cell>
          <cell r="I374">
            <v>8376</v>
          </cell>
          <cell r="J374" t="str">
            <v>J</v>
          </cell>
          <cell r="M374" t="str">
            <v>其他权益工具（其他）_专项储备本期提取</v>
          </cell>
        </row>
        <row r="375">
          <cell r="B375">
            <v>8396</v>
          </cell>
          <cell r="C375" t="str">
            <v>库存股_本期其他增减变动</v>
          </cell>
          <cell r="D375">
            <v>1</v>
          </cell>
          <cell r="E375" t="str">
            <v>LOW</v>
          </cell>
          <cell r="F375">
            <v>5310</v>
          </cell>
          <cell r="G375" t="str">
            <v>（七）其他</v>
          </cell>
          <cell r="H375">
            <v>0</v>
          </cell>
          <cell r="I375">
            <v>8396</v>
          </cell>
          <cell r="J375" t="str">
            <v>J</v>
          </cell>
          <cell r="M375" t="str">
            <v>其他权益工具（其他）_专项储备本期使用</v>
          </cell>
        </row>
        <row r="376">
          <cell r="B376">
            <v>8399</v>
          </cell>
          <cell r="C376" t="str">
            <v>库存股_本期期末余额</v>
          </cell>
          <cell r="D376">
            <v>0</v>
          </cell>
          <cell r="E376" t="str">
            <v>＝</v>
          </cell>
          <cell r="F376">
            <v>0</v>
          </cell>
          <cell r="G376" t="str">
            <v>四、本期期末余额</v>
          </cell>
          <cell r="H376">
            <v>0</v>
          </cell>
          <cell r="I376">
            <v>8399</v>
          </cell>
          <cell r="J376">
            <v>0</v>
          </cell>
          <cell r="M376" t="str">
            <v>其他权益工具（其他）_本期其他增减变动</v>
          </cell>
        </row>
        <row r="377">
          <cell r="B377">
            <v>8400</v>
          </cell>
          <cell r="C377" t="str">
            <v>专项储备增减变动</v>
          </cell>
          <cell r="D377">
            <v>0</v>
          </cell>
          <cell r="E377" t="str">
            <v>：</v>
          </cell>
          <cell r="F377">
            <v>0</v>
          </cell>
          <cell r="G377" t="str">
            <v>专项储备增减变动</v>
          </cell>
          <cell r="H377">
            <v>0</v>
          </cell>
          <cell r="I377">
            <v>8400</v>
          </cell>
          <cell r="J377">
            <v>0</v>
          </cell>
          <cell r="M377" t="str">
            <v>其他综合收益_上年年末余额</v>
          </cell>
        </row>
        <row r="378">
          <cell r="B378">
            <v>8401</v>
          </cell>
          <cell r="C378" t="str">
            <v>专项储备_上年年末余额</v>
          </cell>
          <cell r="D378">
            <v>-1</v>
          </cell>
          <cell r="E378">
            <v>0</v>
          </cell>
          <cell r="F378">
            <v>5510</v>
          </cell>
          <cell r="G378" t="str">
            <v>一、上年年末余额</v>
          </cell>
          <cell r="H378">
            <v>0</v>
          </cell>
          <cell r="I378">
            <v>8401</v>
          </cell>
          <cell r="J378" t="str">
            <v>J</v>
          </cell>
          <cell r="M378" t="str">
            <v>其他综合收益_会计政策变更调整上年年末余额</v>
          </cell>
        </row>
        <row r="379">
          <cell r="B379">
            <v>8402</v>
          </cell>
          <cell r="C379" t="str">
            <v>专项储备_会计政策变更调整上年年末余额</v>
          </cell>
          <cell r="D379">
            <v>-1</v>
          </cell>
          <cell r="E379">
            <v>0</v>
          </cell>
          <cell r="F379">
            <v>5510</v>
          </cell>
          <cell r="G379" t="str">
            <v>加：会计政策变更</v>
          </cell>
          <cell r="H379">
            <v>0</v>
          </cell>
          <cell r="I379">
            <v>8402</v>
          </cell>
          <cell r="J379" t="str">
            <v>J</v>
          </cell>
          <cell r="M379" t="str">
            <v>其他综合收益_前期差错更正调整上年年末余额</v>
          </cell>
        </row>
        <row r="380">
          <cell r="B380">
            <v>8403</v>
          </cell>
          <cell r="C380" t="str">
            <v>专项储备_前期差错更正调整上年年末余额</v>
          </cell>
          <cell r="D380">
            <v>-1</v>
          </cell>
          <cell r="E380">
            <v>0</v>
          </cell>
          <cell r="F380">
            <v>5510</v>
          </cell>
          <cell r="G380" t="str">
            <v>前期差错更正</v>
          </cell>
          <cell r="H380">
            <v>0</v>
          </cell>
          <cell r="I380">
            <v>8403</v>
          </cell>
          <cell r="J380" t="str">
            <v>J</v>
          </cell>
          <cell r="M380" t="str">
            <v>其他综合收益_同一控制下企业合并调整上年年末余额</v>
          </cell>
        </row>
        <row r="381">
          <cell r="B381">
            <v>8404</v>
          </cell>
          <cell r="C381" t="str">
            <v>专项储备_同一控制下企业合并调整上年年末余额</v>
          </cell>
          <cell r="D381">
            <v>-1</v>
          </cell>
          <cell r="E381" t="str">
            <v>※</v>
          </cell>
          <cell r="F381">
            <v>5510</v>
          </cell>
          <cell r="G381" t="str">
            <v>同一控制下企业合并</v>
          </cell>
          <cell r="H381">
            <v>0</v>
          </cell>
          <cell r="I381">
            <v>8404</v>
          </cell>
          <cell r="J381" t="str">
            <v>J</v>
          </cell>
          <cell r="M381" t="str">
            <v>其他综合收益_其他原因调整上年年末余额</v>
          </cell>
        </row>
        <row r="382">
          <cell r="B382">
            <v>8409</v>
          </cell>
          <cell r="C382" t="str">
            <v>专项储备_其他原因调整上年年末余额</v>
          </cell>
          <cell r="D382">
            <v>-1</v>
          </cell>
          <cell r="E382" t="str">
            <v>LOW</v>
          </cell>
          <cell r="F382">
            <v>5510</v>
          </cell>
          <cell r="G382" t="str">
            <v>其他</v>
          </cell>
          <cell r="H382">
            <v>0</v>
          </cell>
          <cell r="I382">
            <v>8409</v>
          </cell>
          <cell r="J382" t="str">
            <v>J</v>
          </cell>
          <cell r="M382" t="str">
            <v>其他综合收益_所有者投入资本</v>
          </cell>
        </row>
        <row r="383">
          <cell r="B383">
            <v>8410</v>
          </cell>
          <cell r="C383" t="str">
            <v>专项储备_本年年初余额</v>
          </cell>
          <cell r="D383">
            <v>0</v>
          </cell>
          <cell r="E383" t="str">
            <v>＝</v>
          </cell>
          <cell r="F383">
            <v>0</v>
          </cell>
          <cell r="G383" t="str">
            <v>二、本年年初余额</v>
          </cell>
          <cell r="H383">
            <v>0</v>
          </cell>
          <cell r="I383">
            <v>8410</v>
          </cell>
          <cell r="J383">
            <v>0</v>
          </cell>
          <cell r="M383" t="str">
            <v>其他综合收益_股份支付</v>
          </cell>
        </row>
        <row r="384">
          <cell r="B384">
            <v>8453</v>
          </cell>
          <cell r="C384" t="str">
            <v>专项储备_其他权益工具持有者投入资本</v>
          </cell>
          <cell r="D384">
            <v>-1</v>
          </cell>
          <cell r="E384" t="str">
            <v>OEI</v>
          </cell>
          <cell r="F384">
            <v>5510</v>
          </cell>
          <cell r="G384" t="str">
            <v>其他权益工具持有者投入资本</v>
          </cell>
          <cell r="H384">
            <v>0</v>
          </cell>
          <cell r="I384">
            <v>8453</v>
          </cell>
          <cell r="J384" t="str">
            <v>J</v>
          </cell>
          <cell r="M384" t="str">
            <v>其他综合收益_其他权益工具持有者投入资本</v>
          </cell>
        </row>
        <row r="385">
          <cell r="B385">
            <v>8490</v>
          </cell>
          <cell r="C385" t="str">
            <v>专项储备_本期增减变动金额</v>
          </cell>
          <cell r="D385">
            <v>0</v>
          </cell>
          <cell r="E385" t="str">
            <v>＝</v>
          </cell>
          <cell r="F385">
            <v>0</v>
          </cell>
          <cell r="G385" t="str">
            <v>三、本期增减变动金额（减少以“-”号填列）</v>
          </cell>
          <cell r="H385">
            <v>0</v>
          </cell>
          <cell r="I385">
            <v>8490</v>
          </cell>
          <cell r="J385">
            <v>0</v>
          </cell>
          <cell r="M385" t="str">
            <v>其他综合收益_所有者其他投入和减少资本</v>
          </cell>
        </row>
        <row r="386">
          <cell r="B386">
            <v>8470</v>
          </cell>
          <cell r="C386" t="str">
            <v>专项储备_所有者权益内部结转</v>
          </cell>
          <cell r="D386">
            <v>0</v>
          </cell>
          <cell r="E386" t="str">
            <v>＝</v>
          </cell>
          <cell r="F386">
            <v>0</v>
          </cell>
          <cell r="G386" t="str">
            <v>（四）所有者权益内部结转</v>
          </cell>
          <cell r="H386">
            <v>0</v>
          </cell>
          <cell r="I386">
            <v>8470</v>
          </cell>
          <cell r="J386">
            <v>0</v>
          </cell>
          <cell r="M386" t="str">
            <v>其他综合收益_提取盈余公积</v>
          </cell>
        </row>
        <row r="387">
          <cell r="B387">
            <v>8475</v>
          </cell>
          <cell r="C387" t="str">
            <v>专项储备_结转重新计量设定受益计划净负债或净资产所产生的变动</v>
          </cell>
          <cell r="D387">
            <v>-1</v>
          </cell>
          <cell r="E387" t="str">
            <v>OEI</v>
          </cell>
          <cell r="F387">
            <v>5510</v>
          </cell>
          <cell r="G387" t="str">
            <v>结转重新计量设定受益计划净负债或净资产所产生的变动</v>
          </cell>
          <cell r="H387">
            <v>0</v>
          </cell>
          <cell r="I387">
            <v>8475</v>
          </cell>
          <cell r="J387" t="str">
            <v>J</v>
          </cell>
          <cell r="M387" t="str">
            <v>其他综合收益_提取一般风险准备</v>
          </cell>
        </row>
        <row r="388">
          <cell r="B388">
            <v>8476</v>
          </cell>
          <cell r="C388" t="str">
            <v>专项储备_所有者权益其他内部结转</v>
          </cell>
          <cell r="D388">
            <v>-1</v>
          </cell>
          <cell r="E388" t="str">
            <v>LOW</v>
          </cell>
          <cell r="F388">
            <v>5510</v>
          </cell>
          <cell r="G388" t="str">
            <v>其他</v>
          </cell>
          <cell r="H388">
            <v>0</v>
          </cell>
          <cell r="I388">
            <v>8476</v>
          </cell>
          <cell r="J388" t="str">
            <v>J</v>
          </cell>
          <cell r="M388" t="str">
            <v>其他综合收益_对所有者的分配</v>
          </cell>
        </row>
        <row r="389">
          <cell r="B389">
            <v>8480</v>
          </cell>
          <cell r="C389" t="str">
            <v>专项储备_专项储备影响权益</v>
          </cell>
          <cell r="D389">
            <v>0</v>
          </cell>
          <cell r="E389" t="str">
            <v>＝</v>
          </cell>
          <cell r="F389">
            <v>0</v>
          </cell>
          <cell r="G389" t="str">
            <v>（五）专项储备</v>
          </cell>
          <cell r="H389">
            <v>0</v>
          </cell>
          <cell r="I389">
            <v>8480</v>
          </cell>
          <cell r="J389">
            <v>0</v>
          </cell>
          <cell r="M389" t="str">
            <v>其他综合收益_其他利润分配</v>
          </cell>
        </row>
        <row r="390">
          <cell r="B390">
            <v>8481</v>
          </cell>
          <cell r="C390" t="str">
            <v>专项储备_本期提取</v>
          </cell>
          <cell r="D390">
            <v>-1</v>
          </cell>
          <cell r="E390">
            <v>0</v>
          </cell>
          <cell r="F390">
            <v>5510</v>
          </cell>
          <cell r="G390" t="str">
            <v>本期提取</v>
          </cell>
          <cell r="H390">
            <v>0</v>
          </cell>
          <cell r="I390">
            <v>8481</v>
          </cell>
          <cell r="J390" t="str">
            <v>J</v>
          </cell>
          <cell r="M390" t="str">
            <v>其他综合收益_资本公积转增资本</v>
          </cell>
        </row>
        <row r="391">
          <cell r="B391">
            <v>8482</v>
          </cell>
          <cell r="C391" t="str">
            <v>专项储备_本期使用</v>
          </cell>
          <cell r="D391">
            <v>-1</v>
          </cell>
          <cell r="E391">
            <v>0</v>
          </cell>
          <cell r="F391">
            <v>5510</v>
          </cell>
          <cell r="G391" t="str">
            <v>本期使用</v>
          </cell>
          <cell r="H391">
            <v>0</v>
          </cell>
          <cell r="I391">
            <v>8482</v>
          </cell>
          <cell r="J391" t="str">
            <v>J</v>
          </cell>
          <cell r="M391" t="str">
            <v>其他综合收益_盈余公积转增资本</v>
          </cell>
        </row>
        <row r="392">
          <cell r="B392">
            <v>8496</v>
          </cell>
          <cell r="C392" t="str">
            <v>专项储备_本期其他增减变动</v>
          </cell>
          <cell r="D392">
            <v>-1</v>
          </cell>
          <cell r="E392" t="str">
            <v>LOW</v>
          </cell>
          <cell r="F392">
            <v>5510</v>
          </cell>
          <cell r="G392" t="str">
            <v>（七）其他</v>
          </cell>
          <cell r="H392">
            <v>0</v>
          </cell>
          <cell r="I392">
            <v>8496</v>
          </cell>
          <cell r="J392" t="str">
            <v>J</v>
          </cell>
          <cell r="M392" t="str">
            <v>其他综合收益_盈余公积弥补亏损</v>
          </cell>
        </row>
        <row r="393">
          <cell r="B393">
            <v>8499</v>
          </cell>
          <cell r="C393" t="str">
            <v>专项储备_本期期末余额</v>
          </cell>
          <cell r="D393">
            <v>0</v>
          </cell>
          <cell r="E393" t="str">
            <v>＝</v>
          </cell>
          <cell r="F393">
            <v>0</v>
          </cell>
          <cell r="G393" t="str">
            <v>四、本期期末余额</v>
          </cell>
          <cell r="H393">
            <v>0</v>
          </cell>
          <cell r="I393">
            <v>8499</v>
          </cell>
          <cell r="J393">
            <v>0</v>
          </cell>
          <cell r="M393" t="str">
            <v>其他综合收益_结转重新计量设定受益计划净负债或净资产所产生的变动</v>
          </cell>
        </row>
        <row r="394">
          <cell r="B394">
            <v>8500</v>
          </cell>
          <cell r="C394" t="str">
            <v>盈余公积增减变动</v>
          </cell>
          <cell r="D394">
            <v>0</v>
          </cell>
          <cell r="E394" t="str">
            <v>：</v>
          </cell>
          <cell r="F394">
            <v>0</v>
          </cell>
          <cell r="G394" t="str">
            <v>盈余公积增减变动</v>
          </cell>
          <cell r="H394">
            <v>0</v>
          </cell>
          <cell r="I394">
            <v>8500</v>
          </cell>
          <cell r="J394">
            <v>0</v>
          </cell>
          <cell r="M394" t="str">
            <v>其他综合收益_所有者权益其他内部结转</v>
          </cell>
        </row>
        <row r="395">
          <cell r="B395">
            <v>8501</v>
          </cell>
          <cell r="C395" t="str">
            <v>盈余公积_上年年末余额</v>
          </cell>
          <cell r="D395">
            <v>-1</v>
          </cell>
          <cell r="E395">
            <v>0</v>
          </cell>
          <cell r="F395">
            <v>5410</v>
          </cell>
          <cell r="G395" t="str">
            <v>一、上年年末余额</v>
          </cell>
          <cell r="H395">
            <v>0</v>
          </cell>
          <cell r="I395">
            <v>8501</v>
          </cell>
          <cell r="J395" t="str">
            <v>J</v>
          </cell>
          <cell r="M395" t="str">
            <v>其他综合收益_专项储备本期提取</v>
          </cell>
        </row>
        <row r="396">
          <cell r="B396">
            <v>8502</v>
          </cell>
          <cell r="C396" t="str">
            <v>盈余公积_会计政策变更调整上年年末余额</v>
          </cell>
          <cell r="D396">
            <v>-1</v>
          </cell>
          <cell r="E396">
            <v>0</v>
          </cell>
          <cell r="F396">
            <v>5410</v>
          </cell>
          <cell r="G396" t="str">
            <v>加：会计政策变更</v>
          </cell>
          <cell r="H396">
            <v>0</v>
          </cell>
          <cell r="I396">
            <v>8502</v>
          </cell>
          <cell r="J396" t="str">
            <v>J</v>
          </cell>
          <cell r="M396" t="str">
            <v>其他综合收益_专项储备本期使用</v>
          </cell>
        </row>
        <row r="397">
          <cell r="B397">
            <v>8503</v>
          </cell>
          <cell r="C397" t="str">
            <v>盈余公积_前期差错更正调整上年年末余额</v>
          </cell>
          <cell r="D397">
            <v>-1</v>
          </cell>
          <cell r="E397">
            <v>0</v>
          </cell>
          <cell r="F397">
            <v>5410</v>
          </cell>
          <cell r="G397" t="str">
            <v>前期差错更正</v>
          </cell>
          <cell r="H397">
            <v>0</v>
          </cell>
          <cell r="I397">
            <v>8503</v>
          </cell>
          <cell r="J397" t="str">
            <v>J</v>
          </cell>
          <cell r="M397" t="str">
            <v>其他综合收益_本期其他增减变动</v>
          </cell>
        </row>
        <row r="398">
          <cell r="B398">
            <v>8504</v>
          </cell>
          <cell r="C398" t="str">
            <v>盈余公积_同一控制下企业合并调整上年年末余额</v>
          </cell>
          <cell r="D398">
            <v>-1</v>
          </cell>
          <cell r="E398" t="str">
            <v>※</v>
          </cell>
          <cell r="F398">
            <v>5410</v>
          </cell>
          <cell r="G398" t="str">
            <v>同一控制下企业合并</v>
          </cell>
          <cell r="H398">
            <v>0</v>
          </cell>
          <cell r="I398">
            <v>8504</v>
          </cell>
          <cell r="J398" t="str">
            <v>J</v>
          </cell>
        </row>
        <row r="399">
          <cell r="B399">
            <v>8509</v>
          </cell>
          <cell r="C399" t="str">
            <v>盈余公积_其他原因调整上年年末余额</v>
          </cell>
          <cell r="D399">
            <v>-1</v>
          </cell>
          <cell r="E399">
            <v>0</v>
          </cell>
          <cell r="F399">
            <v>5410</v>
          </cell>
          <cell r="G399" t="str">
            <v>其他</v>
          </cell>
          <cell r="H399">
            <v>0</v>
          </cell>
          <cell r="I399">
            <v>8509</v>
          </cell>
          <cell r="J399" t="str">
            <v>J</v>
          </cell>
        </row>
        <row r="400">
          <cell r="B400">
            <v>8510</v>
          </cell>
          <cell r="C400" t="str">
            <v>盈余公积_本年年初余额</v>
          </cell>
          <cell r="D400">
            <v>0</v>
          </cell>
          <cell r="E400" t="str">
            <v>＝</v>
          </cell>
          <cell r="F400">
            <v>0</v>
          </cell>
          <cell r="G400" t="str">
            <v>二、本年年初余额</v>
          </cell>
          <cell r="H400">
            <v>0</v>
          </cell>
          <cell r="I400">
            <v>8510</v>
          </cell>
          <cell r="J400">
            <v>0</v>
          </cell>
        </row>
        <row r="401">
          <cell r="B401">
            <v>8590</v>
          </cell>
          <cell r="C401" t="str">
            <v>盈余公积_本期增减变动金额</v>
          </cell>
          <cell r="D401">
            <v>0</v>
          </cell>
          <cell r="E401" t="str">
            <v>＝</v>
          </cell>
          <cell r="F401">
            <v>0</v>
          </cell>
          <cell r="G401" t="str">
            <v>三、本期增减变动金额（减少以“-”号填列）</v>
          </cell>
          <cell r="H401">
            <v>0</v>
          </cell>
          <cell r="I401">
            <v>8590</v>
          </cell>
          <cell r="J401">
            <v>0</v>
          </cell>
        </row>
        <row r="402">
          <cell r="B402">
            <v>8550</v>
          </cell>
          <cell r="C402" t="str">
            <v>盈余公积_所有者投入和减少资本影响权益</v>
          </cell>
          <cell r="D402">
            <v>0</v>
          </cell>
          <cell r="E402" t="str">
            <v>＝</v>
          </cell>
          <cell r="F402">
            <v>0</v>
          </cell>
          <cell r="G402" t="str">
            <v>（二）所有者投入和减少资本</v>
          </cell>
          <cell r="H402">
            <v>0</v>
          </cell>
          <cell r="I402">
            <v>8550</v>
          </cell>
          <cell r="J402">
            <v>0</v>
          </cell>
        </row>
        <row r="403">
          <cell r="B403">
            <v>8553</v>
          </cell>
          <cell r="C403" t="str">
            <v>盈余公积_其他权益工具持有者投入资本</v>
          </cell>
          <cell r="D403">
            <v>-1</v>
          </cell>
          <cell r="E403" t="str">
            <v>OEI</v>
          </cell>
          <cell r="F403">
            <v>5410</v>
          </cell>
          <cell r="G403" t="str">
            <v>其他权益工具持有者投入资本</v>
          </cell>
          <cell r="H403">
            <v>0</v>
          </cell>
          <cell r="I403">
            <v>8553</v>
          </cell>
          <cell r="J403" t="str">
            <v>J</v>
          </cell>
        </row>
        <row r="404">
          <cell r="B404">
            <v>8556</v>
          </cell>
          <cell r="C404" t="str">
            <v>盈余公积_所有者其他投入和减少资本</v>
          </cell>
          <cell r="D404">
            <v>-1</v>
          </cell>
          <cell r="E404" t="str">
            <v>LOW</v>
          </cell>
          <cell r="F404">
            <v>5410</v>
          </cell>
          <cell r="G404" t="str">
            <v>其他</v>
          </cell>
          <cell r="H404">
            <v>0</v>
          </cell>
          <cell r="I404">
            <v>8556</v>
          </cell>
          <cell r="J404" t="str">
            <v>J</v>
          </cell>
        </row>
        <row r="405">
          <cell r="B405">
            <v>8560</v>
          </cell>
          <cell r="C405" t="str">
            <v>盈余公积_利润分配影响权益</v>
          </cell>
          <cell r="D405">
            <v>0</v>
          </cell>
          <cell r="E405" t="str">
            <v>＝</v>
          </cell>
          <cell r="F405">
            <v>0</v>
          </cell>
          <cell r="G405" t="str">
            <v>（三）利润分配</v>
          </cell>
          <cell r="H405">
            <v>0</v>
          </cell>
          <cell r="I405">
            <v>8560</v>
          </cell>
          <cell r="J405">
            <v>0</v>
          </cell>
        </row>
        <row r="406">
          <cell r="B406">
            <v>8561</v>
          </cell>
          <cell r="C406" t="str">
            <v>盈余公积_提取</v>
          </cell>
          <cell r="D406">
            <v>-1</v>
          </cell>
          <cell r="E406">
            <v>0</v>
          </cell>
          <cell r="F406">
            <v>5410</v>
          </cell>
          <cell r="G406" t="str">
            <v>提取盈余公积</v>
          </cell>
          <cell r="H406">
            <v>0</v>
          </cell>
          <cell r="I406">
            <v>8561</v>
          </cell>
          <cell r="J406" t="str">
            <v>J</v>
          </cell>
        </row>
        <row r="407">
          <cell r="B407">
            <v>8563</v>
          </cell>
          <cell r="C407" t="str">
            <v>盈余公积_对所有者的分配</v>
          </cell>
          <cell r="D407">
            <v>-1</v>
          </cell>
          <cell r="E407">
            <v>0</v>
          </cell>
          <cell r="F407">
            <v>5410</v>
          </cell>
          <cell r="G407" t="str">
            <v>对所有者（或股东）的分配</v>
          </cell>
          <cell r="H407">
            <v>0</v>
          </cell>
          <cell r="I407">
            <v>8563</v>
          </cell>
          <cell r="J407" t="str">
            <v>J</v>
          </cell>
        </row>
        <row r="408">
          <cell r="B408">
            <v>8566</v>
          </cell>
          <cell r="C408" t="str">
            <v>盈余公积_其他利润分配</v>
          </cell>
          <cell r="D408">
            <v>-1</v>
          </cell>
          <cell r="E408">
            <v>0</v>
          </cell>
          <cell r="F408">
            <v>5410</v>
          </cell>
          <cell r="G408" t="str">
            <v>其他</v>
          </cell>
          <cell r="H408">
            <v>0</v>
          </cell>
          <cell r="I408">
            <v>8566</v>
          </cell>
          <cell r="J408" t="str">
            <v>J</v>
          </cell>
        </row>
        <row r="409">
          <cell r="B409">
            <v>8570</v>
          </cell>
          <cell r="C409" t="str">
            <v>盈余公积_所有者权益内部结转</v>
          </cell>
          <cell r="D409">
            <v>0</v>
          </cell>
          <cell r="E409" t="str">
            <v>＝</v>
          </cell>
          <cell r="F409">
            <v>0</v>
          </cell>
          <cell r="G409" t="str">
            <v>（四）所有者权益内部结转</v>
          </cell>
          <cell r="H409">
            <v>0</v>
          </cell>
          <cell r="I409">
            <v>8570</v>
          </cell>
          <cell r="J409">
            <v>0</v>
          </cell>
        </row>
        <row r="410">
          <cell r="B410">
            <v>8572</v>
          </cell>
          <cell r="C410" t="str">
            <v>盈余公积_转增资本</v>
          </cell>
          <cell r="D410">
            <v>-1</v>
          </cell>
          <cell r="E410">
            <v>0</v>
          </cell>
          <cell r="F410">
            <v>5410</v>
          </cell>
          <cell r="G410" t="str">
            <v>盈余公积转增资本（或股本）</v>
          </cell>
          <cell r="H410">
            <v>0</v>
          </cell>
          <cell r="I410">
            <v>8572</v>
          </cell>
          <cell r="J410" t="str">
            <v>J</v>
          </cell>
        </row>
        <row r="411">
          <cell r="B411">
            <v>8573</v>
          </cell>
          <cell r="C411" t="str">
            <v>盈余公积_弥补亏损</v>
          </cell>
          <cell r="D411">
            <v>-1</v>
          </cell>
          <cell r="E411">
            <v>0</v>
          </cell>
          <cell r="F411">
            <v>5410</v>
          </cell>
          <cell r="G411" t="str">
            <v>盈余公积弥补亏损</v>
          </cell>
          <cell r="H411">
            <v>0</v>
          </cell>
          <cell r="I411">
            <v>8573</v>
          </cell>
          <cell r="J411" t="str">
            <v>J</v>
          </cell>
        </row>
        <row r="412">
          <cell r="B412">
            <v>8575</v>
          </cell>
          <cell r="C412" t="str">
            <v>盈余公积_结转重新计量设定受益计划净负债或净资产所产生的变动</v>
          </cell>
          <cell r="D412">
            <v>-1</v>
          </cell>
          <cell r="E412" t="str">
            <v>OEI</v>
          </cell>
          <cell r="F412">
            <v>5410</v>
          </cell>
          <cell r="G412" t="str">
            <v>结转重新计量设定受益计划净负债或净资产所产生的变动</v>
          </cell>
          <cell r="H412">
            <v>0</v>
          </cell>
          <cell r="I412">
            <v>8575</v>
          </cell>
          <cell r="J412" t="str">
            <v>J</v>
          </cell>
        </row>
        <row r="413">
          <cell r="B413">
            <v>8576</v>
          </cell>
          <cell r="C413" t="str">
            <v>盈余公积_所有者权益其他内部结转</v>
          </cell>
          <cell r="D413">
            <v>-1</v>
          </cell>
          <cell r="E413" t="str">
            <v>LOW</v>
          </cell>
          <cell r="F413">
            <v>5410</v>
          </cell>
          <cell r="G413" t="str">
            <v>其他</v>
          </cell>
          <cell r="H413">
            <v>0</v>
          </cell>
          <cell r="I413">
            <v>8576</v>
          </cell>
          <cell r="J413" t="str">
            <v>J</v>
          </cell>
        </row>
        <row r="414">
          <cell r="B414">
            <v>8596</v>
          </cell>
          <cell r="C414" t="str">
            <v>盈余公积_本期其他增减变动</v>
          </cell>
          <cell r="D414">
            <v>-1</v>
          </cell>
          <cell r="E414" t="str">
            <v>LOW</v>
          </cell>
          <cell r="F414">
            <v>5410</v>
          </cell>
          <cell r="G414" t="str">
            <v>（七）其他</v>
          </cell>
          <cell r="H414">
            <v>0</v>
          </cell>
          <cell r="I414">
            <v>8596</v>
          </cell>
          <cell r="J414" t="str">
            <v>J</v>
          </cell>
        </row>
        <row r="415">
          <cell r="B415">
            <v>8599</v>
          </cell>
          <cell r="C415" t="str">
            <v>盈余公积_本期期末余额</v>
          </cell>
          <cell r="D415">
            <v>0</v>
          </cell>
          <cell r="E415" t="str">
            <v>＝</v>
          </cell>
          <cell r="F415">
            <v>0</v>
          </cell>
          <cell r="G415" t="str">
            <v>四、本期期末余额</v>
          </cell>
          <cell r="H415">
            <v>0</v>
          </cell>
          <cell r="I415">
            <v>8599</v>
          </cell>
          <cell r="J415">
            <v>0</v>
          </cell>
        </row>
        <row r="416">
          <cell r="B416">
            <v>8600</v>
          </cell>
          <cell r="C416" t="str">
            <v>一般风险准备增减变动</v>
          </cell>
          <cell r="D416">
            <v>0</v>
          </cell>
          <cell r="E416" t="str">
            <v>：</v>
          </cell>
          <cell r="F416">
            <v>0</v>
          </cell>
          <cell r="G416" t="str">
            <v>一般风险准备增减变动</v>
          </cell>
          <cell r="H416">
            <v>0</v>
          </cell>
          <cell r="I416">
            <v>8600</v>
          </cell>
          <cell r="J416">
            <v>0</v>
          </cell>
        </row>
        <row r="417">
          <cell r="B417">
            <v>8601</v>
          </cell>
          <cell r="C417" t="str">
            <v>一般风险准备_上年年末余额</v>
          </cell>
          <cell r="D417">
            <v>-1</v>
          </cell>
          <cell r="E417">
            <v>0</v>
          </cell>
          <cell r="F417">
            <v>0</v>
          </cell>
          <cell r="G417" t="str">
            <v>一、上年年末余额</v>
          </cell>
          <cell r="H417">
            <v>0</v>
          </cell>
          <cell r="I417">
            <v>8601</v>
          </cell>
          <cell r="J417" t="str">
            <v>J</v>
          </cell>
        </row>
        <row r="418">
          <cell r="B418">
            <v>8602</v>
          </cell>
          <cell r="C418" t="str">
            <v>一般风险准备_会计政策变更调整上年年末余额</v>
          </cell>
          <cell r="D418">
            <v>-1</v>
          </cell>
          <cell r="E418">
            <v>0</v>
          </cell>
          <cell r="F418">
            <v>0</v>
          </cell>
          <cell r="G418" t="str">
            <v>加：会计政策变更</v>
          </cell>
          <cell r="H418">
            <v>0</v>
          </cell>
          <cell r="I418">
            <v>8602</v>
          </cell>
          <cell r="J418" t="str">
            <v>J</v>
          </cell>
        </row>
        <row r="419">
          <cell r="B419">
            <v>8603</v>
          </cell>
          <cell r="C419" t="str">
            <v>一般风险准备_前期差错更正调整上年年末余额</v>
          </cell>
          <cell r="D419">
            <v>-1</v>
          </cell>
          <cell r="E419">
            <v>0</v>
          </cell>
          <cell r="F419">
            <v>0</v>
          </cell>
          <cell r="G419" t="str">
            <v>前期差错更正</v>
          </cell>
          <cell r="H419">
            <v>0</v>
          </cell>
          <cell r="I419">
            <v>8603</v>
          </cell>
          <cell r="J419" t="str">
            <v>J</v>
          </cell>
        </row>
        <row r="420">
          <cell r="B420">
            <v>8604</v>
          </cell>
          <cell r="C420" t="str">
            <v>一般风险准备_同一控制下企业合并调整上年年末余额</v>
          </cell>
          <cell r="D420">
            <v>-1</v>
          </cell>
          <cell r="E420" t="str">
            <v>※</v>
          </cell>
          <cell r="F420">
            <v>0</v>
          </cell>
          <cell r="G420" t="str">
            <v>同一控制下企业合并</v>
          </cell>
          <cell r="H420">
            <v>0</v>
          </cell>
          <cell r="I420">
            <v>8604</v>
          </cell>
          <cell r="J420" t="str">
            <v>J</v>
          </cell>
        </row>
        <row r="421">
          <cell r="B421">
            <v>8609</v>
          </cell>
          <cell r="C421" t="str">
            <v>一般风险准备_其他原因调整上年年末余额</v>
          </cell>
          <cell r="D421">
            <v>-1</v>
          </cell>
          <cell r="E421" t="str">
            <v>LOW</v>
          </cell>
          <cell r="F421">
            <v>0</v>
          </cell>
          <cell r="G421" t="str">
            <v>其他</v>
          </cell>
          <cell r="H421">
            <v>0</v>
          </cell>
          <cell r="I421">
            <v>8609</v>
          </cell>
          <cell r="J421" t="str">
            <v>J</v>
          </cell>
        </row>
        <row r="422">
          <cell r="B422">
            <v>8610</v>
          </cell>
          <cell r="C422" t="str">
            <v>一般风险准备_本年年初余额</v>
          </cell>
          <cell r="D422">
            <v>0</v>
          </cell>
          <cell r="E422" t="str">
            <v>＝</v>
          </cell>
          <cell r="F422">
            <v>0</v>
          </cell>
          <cell r="G422" t="str">
            <v>二、本年年初余额</v>
          </cell>
          <cell r="H422">
            <v>0</v>
          </cell>
          <cell r="I422">
            <v>8610</v>
          </cell>
          <cell r="J422">
            <v>0</v>
          </cell>
        </row>
        <row r="423">
          <cell r="B423">
            <v>8690</v>
          </cell>
          <cell r="C423" t="str">
            <v>一般风险准备_本期增减变动金额</v>
          </cell>
          <cell r="D423">
            <v>0</v>
          </cell>
          <cell r="E423" t="str">
            <v>＝</v>
          </cell>
          <cell r="F423">
            <v>0</v>
          </cell>
          <cell r="G423" t="str">
            <v>三、本期增减变动金额（减少以“-”号填列）</v>
          </cell>
          <cell r="H423">
            <v>0</v>
          </cell>
          <cell r="I423">
            <v>8690</v>
          </cell>
          <cell r="J423">
            <v>0</v>
          </cell>
        </row>
        <row r="424">
          <cell r="B424">
            <v>8650</v>
          </cell>
          <cell r="C424" t="str">
            <v>一般风险准备_所有者投入和减少资本影响权益</v>
          </cell>
          <cell r="D424">
            <v>0</v>
          </cell>
          <cell r="E424" t="str">
            <v>＝</v>
          </cell>
          <cell r="F424">
            <v>0</v>
          </cell>
          <cell r="G424" t="str">
            <v>（二）所有者投入和减少资本</v>
          </cell>
          <cell r="H424">
            <v>0</v>
          </cell>
          <cell r="I424">
            <v>8650</v>
          </cell>
          <cell r="J424">
            <v>0</v>
          </cell>
        </row>
        <row r="425">
          <cell r="B425">
            <v>8653</v>
          </cell>
          <cell r="C425" t="str">
            <v>一般风险准备_其他权益工具持有者投入资本</v>
          </cell>
          <cell r="D425">
            <v>-1</v>
          </cell>
          <cell r="E425" t="str">
            <v>OEI</v>
          </cell>
          <cell r="F425">
            <v>0</v>
          </cell>
          <cell r="G425" t="str">
            <v>其他权益工具持有者投入资本</v>
          </cell>
          <cell r="H425">
            <v>0</v>
          </cell>
          <cell r="I425">
            <v>8653</v>
          </cell>
          <cell r="J425" t="str">
            <v>J</v>
          </cell>
        </row>
        <row r="426">
          <cell r="B426">
            <v>8656</v>
          </cell>
          <cell r="C426" t="str">
            <v>一般风险准备_所有者其他投入和减少资本</v>
          </cell>
          <cell r="D426">
            <v>-1</v>
          </cell>
          <cell r="E426" t="str">
            <v>LOW</v>
          </cell>
          <cell r="F426">
            <v>0</v>
          </cell>
          <cell r="G426" t="str">
            <v>其他</v>
          </cell>
          <cell r="H426">
            <v>0</v>
          </cell>
          <cell r="I426">
            <v>8656</v>
          </cell>
          <cell r="J426" t="str">
            <v>J</v>
          </cell>
        </row>
        <row r="427">
          <cell r="B427">
            <v>8660</v>
          </cell>
          <cell r="C427" t="str">
            <v>一般风险准备_利润分配影响权益</v>
          </cell>
          <cell r="D427">
            <v>0</v>
          </cell>
          <cell r="E427" t="str">
            <v>＝</v>
          </cell>
          <cell r="F427">
            <v>0</v>
          </cell>
          <cell r="G427" t="str">
            <v>（三）利润分配</v>
          </cell>
          <cell r="H427">
            <v>0</v>
          </cell>
          <cell r="I427">
            <v>8660</v>
          </cell>
          <cell r="J427">
            <v>0</v>
          </cell>
        </row>
        <row r="428">
          <cell r="B428">
            <v>8662</v>
          </cell>
          <cell r="C428" t="str">
            <v>一般风险准备_提取</v>
          </cell>
          <cell r="D428">
            <v>-1</v>
          </cell>
          <cell r="E428">
            <v>0</v>
          </cell>
          <cell r="F428">
            <v>0</v>
          </cell>
          <cell r="G428" t="str">
            <v>提取一般风险准备</v>
          </cell>
          <cell r="H428">
            <v>0</v>
          </cell>
          <cell r="I428">
            <v>8662</v>
          </cell>
          <cell r="J428" t="str">
            <v>J</v>
          </cell>
        </row>
        <row r="429">
          <cell r="B429">
            <v>8666</v>
          </cell>
          <cell r="C429" t="str">
            <v>一般风险准备_其他利润分配</v>
          </cell>
          <cell r="D429">
            <v>-1</v>
          </cell>
          <cell r="E429" t="str">
            <v>LOW</v>
          </cell>
          <cell r="F429">
            <v>0</v>
          </cell>
          <cell r="G429" t="str">
            <v>其他</v>
          </cell>
          <cell r="H429">
            <v>0</v>
          </cell>
          <cell r="I429">
            <v>8666</v>
          </cell>
          <cell r="J429" t="str">
            <v>J</v>
          </cell>
        </row>
        <row r="430">
          <cell r="B430">
            <v>8670</v>
          </cell>
          <cell r="C430" t="str">
            <v>一般风险准备_所有者权益内部结转</v>
          </cell>
          <cell r="D430">
            <v>0</v>
          </cell>
          <cell r="E430" t="str">
            <v>＝</v>
          </cell>
          <cell r="F430">
            <v>0</v>
          </cell>
          <cell r="G430" t="str">
            <v>（四）所有者权益内部结转</v>
          </cell>
          <cell r="H430">
            <v>0</v>
          </cell>
          <cell r="I430">
            <v>8670</v>
          </cell>
          <cell r="J430">
            <v>0</v>
          </cell>
        </row>
        <row r="431">
          <cell r="B431">
            <v>8675</v>
          </cell>
          <cell r="C431" t="str">
            <v>一般风险准备_结转重新计量设定受益计划净负债或净资产所产生的变动</v>
          </cell>
          <cell r="D431">
            <v>-1</v>
          </cell>
          <cell r="E431" t="str">
            <v>OEI</v>
          </cell>
          <cell r="F431">
            <v>0</v>
          </cell>
          <cell r="G431" t="str">
            <v>结转重新计量设定受益计划净负债或净资产所产生的变动</v>
          </cell>
          <cell r="H431">
            <v>0</v>
          </cell>
          <cell r="I431">
            <v>8675</v>
          </cell>
          <cell r="J431" t="str">
            <v>J</v>
          </cell>
        </row>
        <row r="432">
          <cell r="B432">
            <v>8676</v>
          </cell>
          <cell r="C432" t="str">
            <v>一般风险准备_所有者权益其他内部结转</v>
          </cell>
          <cell r="D432">
            <v>-1</v>
          </cell>
          <cell r="E432">
            <v>0</v>
          </cell>
          <cell r="F432">
            <v>0</v>
          </cell>
          <cell r="G432" t="str">
            <v>其他</v>
          </cell>
          <cell r="H432">
            <v>0</v>
          </cell>
          <cell r="I432">
            <v>8676</v>
          </cell>
          <cell r="J432" t="str">
            <v>J</v>
          </cell>
        </row>
        <row r="433">
          <cell r="B433">
            <v>8696</v>
          </cell>
          <cell r="C433" t="str">
            <v>一般风险准备_本期其他增减变动</v>
          </cell>
          <cell r="D433">
            <v>-1</v>
          </cell>
          <cell r="E433" t="str">
            <v>LOW</v>
          </cell>
          <cell r="F433">
            <v>0</v>
          </cell>
          <cell r="G433" t="str">
            <v>（七）其他</v>
          </cell>
          <cell r="H433">
            <v>0</v>
          </cell>
          <cell r="I433">
            <v>8696</v>
          </cell>
          <cell r="J433" t="str">
            <v>J</v>
          </cell>
        </row>
        <row r="434">
          <cell r="B434">
            <v>8699</v>
          </cell>
          <cell r="C434" t="str">
            <v>一般风险准备_本期期末余额</v>
          </cell>
          <cell r="D434">
            <v>0</v>
          </cell>
          <cell r="E434" t="str">
            <v>＝</v>
          </cell>
          <cell r="F434">
            <v>0</v>
          </cell>
          <cell r="G434" t="str">
            <v>四、本期期末余额</v>
          </cell>
          <cell r="H434">
            <v>0</v>
          </cell>
          <cell r="I434">
            <v>8699</v>
          </cell>
          <cell r="J434">
            <v>0</v>
          </cell>
        </row>
        <row r="435">
          <cell r="B435">
            <v>8700</v>
          </cell>
          <cell r="C435" t="str">
            <v>未分配利润增减变动</v>
          </cell>
          <cell r="D435">
            <v>0</v>
          </cell>
          <cell r="E435" t="str">
            <v>：</v>
          </cell>
          <cell r="F435">
            <v>0</v>
          </cell>
          <cell r="G435" t="str">
            <v>未分配利润增减变动</v>
          </cell>
          <cell r="H435">
            <v>0</v>
          </cell>
          <cell r="I435">
            <v>8700</v>
          </cell>
          <cell r="J435">
            <v>0</v>
          </cell>
        </row>
        <row r="436">
          <cell r="B436">
            <v>8701</v>
          </cell>
          <cell r="C436" t="str">
            <v>未分配利润_上年年末余额</v>
          </cell>
          <cell r="D436">
            <v>-1</v>
          </cell>
          <cell r="E436">
            <v>0</v>
          </cell>
          <cell r="F436">
            <v>5610</v>
          </cell>
          <cell r="G436" t="str">
            <v>一、上年年末余额</v>
          </cell>
          <cell r="H436">
            <v>0</v>
          </cell>
          <cell r="I436">
            <v>8701</v>
          </cell>
          <cell r="J436" t="str">
            <v>J</v>
          </cell>
        </row>
        <row r="437">
          <cell r="B437">
            <v>8702</v>
          </cell>
          <cell r="C437" t="str">
            <v>未分配利润_会计政策变更调整上年年末余额</v>
          </cell>
          <cell r="D437">
            <v>-1</v>
          </cell>
          <cell r="E437">
            <v>0</v>
          </cell>
          <cell r="F437">
            <v>5610</v>
          </cell>
          <cell r="G437" t="str">
            <v>加：会计政策变更</v>
          </cell>
          <cell r="H437">
            <v>0</v>
          </cell>
          <cell r="I437">
            <v>8702</v>
          </cell>
          <cell r="J437" t="str">
            <v>J</v>
          </cell>
        </row>
        <row r="438">
          <cell r="B438">
            <v>8703</v>
          </cell>
          <cell r="C438" t="str">
            <v>未分配利润_前期差错更正调整上年年末余额</v>
          </cell>
          <cell r="D438">
            <v>-1</v>
          </cell>
          <cell r="E438">
            <v>0</v>
          </cell>
          <cell r="F438">
            <v>5610</v>
          </cell>
          <cell r="G438" t="str">
            <v>前期差错更正</v>
          </cell>
          <cell r="H438">
            <v>0</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H439">
            <v>0</v>
          </cell>
          <cell r="I439">
            <v>8704</v>
          </cell>
          <cell r="J439" t="str">
            <v>J</v>
          </cell>
        </row>
        <row r="440">
          <cell r="B440">
            <v>8709</v>
          </cell>
          <cell r="C440" t="str">
            <v>未分配利润_其他原因调整上年年末余额</v>
          </cell>
          <cell r="D440">
            <v>-1</v>
          </cell>
          <cell r="E440">
            <v>0</v>
          </cell>
          <cell r="F440">
            <v>5610</v>
          </cell>
          <cell r="G440" t="str">
            <v>其他</v>
          </cell>
          <cell r="H440">
            <v>0</v>
          </cell>
          <cell r="I440">
            <v>8709</v>
          </cell>
          <cell r="J440" t="str">
            <v>J</v>
          </cell>
        </row>
        <row r="441">
          <cell r="B441">
            <v>8710</v>
          </cell>
          <cell r="C441" t="str">
            <v>未分配利润_本年年初余额</v>
          </cell>
          <cell r="D441">
            <v>0</v>
          </cell>
          <cell r="E441" t="str">
            <v>＝</v>
          </cell>
          <cell r="F441">
            <v>0</v>
          </cell>
          <cell r="G441" t="str">
            <v>二、本年年初余额</v>
          </cell>
          <cell r="H441">
            <v>0</v>
          </cell>
          <cell r="I441">
            <v>8710</v>
          </cell>
          <cell r="J441">
            <v>0</v>
          </cell>
        </row>
        <row r="442">
          <cell r="B442">
            <v>8753</v>
          </cell>
          <cell r="C442" t="str">
            <v>未分配利润_其他权益工具持有者投入资本</v>
          </cell>
          <cell r="D442">
            <v>-1</v>
          </cell>
          <cell r="E442" t="str">
            <v>OEI</v>
          </cell>
          <cell r="F442">
            <v>5610</v>
          </cell>
          <cell r="G442" t="str">
            <v>其他权益工具持有者投入资本</v>
          </cell>
          <cell r="H442">
            <v>0</v>
          </cell>
          <cell r="I442">
            <v>8753</v>
          </cell>
          <cell r="J442" t="str">
            <v>J</v>
          </cell>
        </row>
        <row r="443">
          <cell r="B443">
            <v>8790</v>
          </cell>
          <cell r="C443" t="str">
            <v>未分配利润_本期增减变动金额</v>
          </cell>
          <cell r="D443">
            <v>0</v>
          </cell>
          <cell r="E443" t="str">
            <v>＝</v>
          </cell>
          <cell r="F443">
            <v>0</v>
          </cell>
          <cell r="G443" t="str">
            <v>三、本期增减变动金额（减少以“-”号填列）</v>
          </cell>
          <cell r="H443">
            <v>0</v>
          </cell>
          <cell r="I443">
            <v>8790</v>
          </cell>
          <cell r="J443">
            <v>0</v>
          </cell>
        </row>
        <row r="444">
          <cell r="B444">
            <v>8721</v>
          </cell>
          <cell r="C444" t="str">
            <v>未分配利润_净利润增加权益</v>
          </cell>
          <cell r="D444">
            <v>-1</v>
          </cell>
          <cell r="E444">
            <v>0</v>
          </cell>
          <cell r="F444">
            <v>0</v>
          </cell>
          <cell r="G444" t="str">
            <v>（一）净利润</v>
          </cell>
          <cell r="H444">
            <v>0</v>
          </cell>
          <cell r="I444">
            <v>8721</v>
          </cell>
          <cell r="J444">
            <v>0</v>
          </cell>
        </row>
        <row r="445">
          <cell r="B445">
            <v>8740</v>
          </cell>
          <cell r="C445" t="str">
            <v>未分配利润_综合收益总额增加权益</v>
          </cell>
          <cell r="D445">
            <v>-1</v>
          </cell>
          <cell r="E445">
            <v>0</v>
          </cell>
          <cell r="F445">
            <v>0</v>
          </cell>
          <cell r="G445" t="str">
            <v>（一）综合收益总额</v>
          </cell>
          <cell r="H445">
            <v>0</v>
          </cell>
          <cell r="I445">
            <v>8740</v>
          </cell>
          <cell r="J445">
            <v>0</v>
          </cell>
        </row>
        <row r="446">
          <cell r="B446">
            <v>8750</v>
          </cell>
          <cell r="C446" t="str">
            <v>未分配利润_所有者投入和减少资本影响权益</v>
          </cell>
          <cell r="D446">
            <v>0</v>
          </cell>
          <cell r="E446" t="str">
            <v>＝</v>
          </cell>
          <cell r="F446">
            <v>0</v>
          </cell>
          <cell r="G446" t="str">
            <v>（二）所有者投入和减少资本</v>
          </cell>
          <cell r="H446">
            <v>0</v>
          </cell>
          <cell r="I446">
            <v>8750</v>
          </cell>
          <cell r="J446">
            <v>0</v>
          </cell>
        </row>
        <row r="447">
          <cell r="B447">
            <v>8756</v>
          </cell>
          <cell r="C447" t="str">
            <v>未分配利润_所有者其他投入和减少资本</v>
          </cell>
          <cell r="D447">
            <v>-1</v>
          </cell>
          <cell r="E447">
            <v>0</v>
          </cell>
          <cell r="F447">
            <v>5610</v>
          </cell>
          <cell r="G447" t="str">
            <v>其他</v>
          </cell>
          <cell r="H447">
            <v>0</v>
          </cell>
          <cell r="I447">
            <v>8756</v>
          </cell>
          <cell r="J447" t="str">
            <v>J</v>
          </cell>
        </row>
        <row r="448">
          <cell r="B448">
            <v>8760</v>
          </cell>
          <cell r="C448" t="str">
            <v>未分配利润_利润分配影响权益</v>
          </cell>
          <cell r="D448">
            <v>0</v>
          </cell>
          <cell r="E448" t="str">
            <v>＝</v>
          </cell>
          <cell r="F448">
            <v>0</v>
          </cell>
          <cell r="G448" t="str">
            <v>（三）利润分配</v>
          </cell>
          <cell r="H448">
            <v>0</v>
          </cell>
          <cell r="I448">
            <v>8760</v>
          </cell>
          <cell r="J448">
            <v>0</v>
          </cell>
        </row>
        <row r="449">
          <cell r="B449">
            <v>8761</v>
          </cell>
          <cell r="C449" t="str">
            <v>未分配利润_提取盈余公积</v>
          </cell>
          <cell r="D449">
            <v>-1</v>
          </cell>
          <cell r="E449">
            <v>0</v>
          </cell>
          <cell r="F449">
            <v>5610</v>
          </cell>
          <cell r="G449" t="str">
            <v>提取盈余公积</v>
          </cell>
          <cell r="H449">
            <v>0</v>
          </cell>
          <cell r="I449">
            <v>8761</v>
          </cell>
          <cell r="J449" t="str">
            <v>J</v>
          </cell>
        </row>
        <row r="450">
          <cell r="B450">
            <v>8762</v>
          </cell>
          <cell r="C450" t="str">
            <v>未分配利润_提取一般风险准备</v>
          </cell>
          <cell r="D450">
            <v>-1</v>
          </cell>
          <cell r="E450">
            <v>0</v>
          </cell>
          <cell r="F450">
            <v>5610</v>
          </cell>
          <cell r="G450" t="str">
            <v>提取一般风险准备</v>
          </cell>
          <cell r="H450">
            <v>0</v>
          </cell>
          <cell r="I450">
            <v>8762</v>
          </cell>
          <cell r="J450" t="str">
            <v>J</v>
          </cell>
        </row>
        <row r="451">
          <cell r="B451">
            <v>8763</v>
          </cell>
          <cell r="C451" t="str">
            <v>未分配利润_对所有者的分配</v>
          </cell>
          <cell r="D451">
            <v>-1</v>
          </cell>
          <cell r="E451">
            <v>0</v>
          </cell>
          <cell r="F451">
            <v>5610</v>
          </cell>
          <cell r="G451" t="str">
            <v>对所有者（或股东）的分配</v>
          </cell>
          <cell r="H451">
            <v>0</v>
          </cell>
          <cell r="I451">
            <v>8763</v>
          </cell>
          <cell r="J451" t="str">
            <v>J</v>
          </cell>
        </row>
        <row r="452">
          <cell r="B452">
            <v>8766</v>
          </cell>
          <cell r="C452" t="str">
            <v>未分配利润_其他利润分配</v>
          </cell>
          <cell r="D452">
            <v>-1</v>
          </cell>
          <cell r="E452">
            <v>0</v>
          </cell>
          <cell r="F452">
            <v>5610</v>
          </cell>
          <cell r="G452" t="str">
            <v>其他</v>
          </cell>
          <cell r="H452">
            <v>0</v>
          </cell>
          <cell r="I452">
            <v>8766</v>
          </cell>
          <cell r="J452" t="str">
            <v>J</v>
          </cell>
        </row>
        <row r="453">
          <cell r="B453">
            <v>8770</v>
          </cell>
          <cell r="C453" t="str">
            <v>未分配利润_所有者权益内部结转</v>
          </cell>
          <cell r="D453">
            <v>0</v>
          </cell>
          <cell r="E453" t="str">
            <v>＝</v>
          </cell>
          <cell r="F453">
            <v>0</v>
          </cell>
          <cell r="G453" t="str">
            <v>（四）所有者权益内部结转</v>
          </cell>
          <cell r="H453">
            <v>0</v>
          </cell>
          <cell r="I453">
            <v>8770</v>
          </cell>
          <cell r="J453">
            <v>0</v>
          </cell>
        </row>
        <row r="454">
          <cell r="B454">
            <v>8773</v>
          </cell>
          <cell r="C454" t="str">
            <v>未分配利润_盈余公积弥补亏损</v>
          </cell>
          <cell r="D454">
            <v>-1</v>
          </cell>
          <cell r="E454">
            <v>0</v>
          </cell>
          <cell r="F454">
            <v>5610</v>
          </cell>
          <cell r="G454" t="str">
            <v>盈余公积弥补亏损</v>
          </cell>
          <cell r="H454">
            <v>0</v>
          </cell>
          <cell r="I454">
            <v>8773</v>
          </cell>
          <cell r="J454" t="str">
            <v>J</v>
          </cell>
        </row>
        <row r="455">
          <cell r="B455">
            <v>8775</v>
          </cell>
          <cell r="C455" t="str">
            <v>未分配利润_结转重新计量设定受益计划净负债或净资产所产生的变动</v>
          </cell>
          <cell r="D455">
            <v>-1</v>
          </cell>
          <cell r="E455" t="str">
            <v>OEI</v>
          </cell>
          <cell r="F455">
            <v>5610</v>
          </cell>
          <cell r="G455" t="str">
            <v>结转重新计量设定受益计划净负债或净资产所产生的变动</v>
          </cell>
          <cell r="H455">
            <v>0</v>
          </cell>
          <cell r="I455">
            <v>8775</v>
          </cell>
          <cell r="J455" t="str">
            <v>J</v>
          </cell>
        </row>
        <row r="456">
          <cell r="B456">
            <v>8776</v>
          </cell>
          <cell r="C456" t="str">
            <v>未分配利润_所有者权益其他内部结转</v>
          </cell>
          <cell r="D456">
            <v>-1</v>
          </cell>
          <cell r="E456">
            <v>0</v>
          </cell>
          <cell r="F456">
            <v>5610</v>
          </cell>
          <cell r="G456" t="str">
            <v>其他</v>
          </cell>
          <cell r="H456">
            <v>0</v>
          </cell>
          <cell r="I456">
            <v>8776</v>
          </cell>
          <cell r="J456" t="str">
            <v>J</v>
          </cell>
        </row>
        <row r="457">
          <cell r="B457">
            <v>8780</v>
          </cell>
          <cell r="C457" t="str">
            <v>未分配利润_专项储备影响权益</v>
          </cell>
          <cell r="D457">
            <v>0</v>
          </cell>
          <cell r="E457" t="str">
            <v>＝</v>
          </cell>
          <cell r="F457">
            <v>0</v>
          </cell>
          <cell r="G457" t="str">
            <v>（五）专项储备</v>
          </cell>
          <cell r="H457">
            <v>0</v>
          </cell>
          <cell r="I457">
            <v>8780</v>
          </cell>
          <cell r="J457">
            <v>0</v>
          </cell>
        </row>
        <row r="458">
          <cell r="B458">
            <v>8781</v>
          </cell>
          <cell r="C458" t="str">
            <v>未分配利润_专项储备本期提取</v>
          </cell>
          <cell r="D458">
            <v>-1</v>
          </cell>
          <cell r="E458" t="str">
            <v>LOW</v>
          </cell>
          <cell r="F458">
            <v>5610</v>
          </cell>
          <cell r="G458" t="str">
            <v>本期提取</v>
          </cell>
          <cell r="H458">
            <v>0</v>
          </cell>
          <cell r="I458">
            <v>8781</v>
          </cell>
          <cell r="J458" t="str">
            <v>J</v>
          </cell>
        </row>
        <row r="459">
          <cell r="B459">
            <v>8782</v>
          </cell>
          <cell r="C459" t="str">
            <v>未分配利润_专项储备本期使用</v>
          </cell>
          <cell r="D459">
            <v>-1</v>
          </cell>
          <cell r="E459" t="str">
            <v>LOW</v>
          </cell>
          <cell r="F459">
            <v>5610</v>
          </cell>
          <cell r="G459" t="str">
            <v>本期使用</v>
          </cell>
          <cell r="H459">
            <v>0</v>
          </cell>
          <cell r="I459">
            <v>8782</v>
          </cell>
          <cell r="J459" t="str">
            <v>J</v>
          </cell>
        </row>
        <row r="460">
          <cell r="B460">
            <v>8796</v>
          </cell>
          <cell r="C460" t="str">
            <v>未分配利润_本期其他增减变动</v>
          </cell>
          <cell r="D460">
            <v>-1</v>
          </cell>
          <cell r="E460" t="str">
            <v>LOW</v>
          </cell>
          <cell r="F460">
            <v>5610</v>
          </cell>
          <cell r="G460" t="str">
            <v>（七）其他</v>
          </cell>
          <cell r="H460">
            <v>0</v>
          </cell>
          <cell r="I460">
            <v>8796</v>
          </cell>
          <cell r="J460" t="str">
            <v>J</v>
          </cell>
        </row>
        <row r="461">
          <cell r="B461">
            <v>8799</v>
          </cell>
          <cell r="C461" t="str">
            <v>未分配利润_本期期末余额</v>
          </cell>
          <cell r="D461">
            <v>0</v>
          </cell>
          <cell r="E461" t="str">
            <v>＝</v>
          </cell>
          <cell r="F461">
            <v>0</v>
          </cell>
          <cell r="G461" t="str">
            <v>四、本期期末余额</v>
          </cell>
          <cell r="H461">
            <v>0</v>
          </cell>
          <cell r="I461">
            <v>8799</v>
          </cell>
          <cell r="J461">
            <v>0</v>
          </cell>
        </row>
        <row r="462">
          <cell r="B462">
            <v>8800</v>
          </cell>
          <cell r="C462" t="str">
            <v>其他归属于母公司所有者权益增减变动</v>
          </cell>
          <cell r="D462">
            <v>0</v>
          </cell>
          <cell r="E462" t="str">
            <v>※</v>
          </cell>
          <cell r="F462">
            <v>0</v>
          </cell>
          <cell r="G462" t="str">
            <v>其他归属于母公司所有者权益增减变动</v>
          </cell>
          <cell r="H462">
            <v>0</v>
          </cell>
          <cell r="I462">
            <v>8800</v>
          </cell>
          <cell r="J462">
            <v>0</v>
          </cell>
        </row>
        <row r="463">
          <cell r="B463">
            <v>8801</v>
          </cell>
          <cell r="C463" t="str">
            <v>其他归属于母公司所有者权益_上年年末余额</v>
          </cell>
          <cell r="D463">
            <v>-1</v>
          </cell>
          <cell r="E463" t="str">
            <v>※</v>
          </cell>
          <cell r="F463">
            <v>0</v>
          </cell>
          <cell r="G463" t="str">
            <v>一、上年年末余额</v>
          </cell>
          <cell r="H463">
            <v>0</v>
          </cell>
          <cell r="I463">
            <v>8801</v>
          </cell>
          <cell r="J463">
            <v>0</v>
          </cell>
        </row>
        <row r="464">
          <cell r="B464">
            <v>8802</v>
          </cell>
          <cell r="C464" t="str">
            <v>其他归属于母公司所有者权益_会计政策变更调整上年年末余额</v>
          </cell>
          <cell r="D464">
            <v>-1</v>
          </cell>
          <cell r="E464" t="str">
            <v>※LOW</v>
          </cell>
          <cell r="F464">
            <v>0</v>
          </cell>
          <cell r="G464" t="str">
            <v>加：会计政策变更</v>
          </cell>
          <cell r="H464">
            <v>0</v>
          </cell>
          <cell r="I464">
            <v>8802</v>
          </cell>
          <cell r="J464">
            <v>0</v>
          </cell>
        </row>
        <row r="465">
          <cell r="B465">
            <v>8803</v>
          </cell>
          <cell r="C465" t="str">
            <v>其他归属于母公司所有者权益_前期差错更正调整上年年末余额</v>
          </cell>
          <cell r="D465">
            <v>-1</v>
          </cell>
          <cell r="E465" t="str">
            <v>※LOW</v>
          </cell>
          <cell r="F465">
            <v>0</v>
          </cell>
          <cell r="G465" t="str">
            <v>前期差错更正</v>
          </cell>
          <cell r="H465">
            <v>0</v>
          </cell>
          <cell r="I465">
            <v>8803</v>
          </cell>
          <cell r="J465">
            <v>0</v>
          </cell>
        </row>
        <row r="466">
          <cell r="B466">
            <v>8804</v>
          </cell>
          <cell r="C466" t="str">
            <v>其他归属于母公司所有者权益_同一控制下企业合并调整上年年末余额</v>
          </cell>
          <cell r="D466">
            <v>-1</v>
          </cell>
          <cell r="E466" t="str">
            <v>※</v>
          </cell>
          <cell r="F466">
            <v>0</v>
          </cell>
          <cell r="G466" t="str">
            <v>同一控制下企业合并</v>
          </cell>
          <cell r="H466">
            <v>0</v>
          </cell>
          <cell r="I466">
            <v>8804</v>
          </cell>
          <cell r="J466">
            <v>0</v>
          </cell>
        </row>
        <row r="467">
          <cell r="B467">
            <v>8809</v>
          </cell>
          <cell r="C467" t="str">
            <v>其他归属于母公司所有者权益_其他原因调整上年年末余额</v>
          </cell>
          <cell r="D467">
            <v>-1</v>
          </cell>
          <cell r="E467" t="str">
            <v>※LOW</v>
          </cell>
          <cell r="F467">
            <v>0</v>
          </cell>
          <cell r="G467" t="str">
            <v>其他</v>
          </cell>
          <cell r="H467">
            <v>0</v>
          </cell>
          <cell r="I467">
            <v>8809</v>
          </cell>
          <cell r="J467">
            <v>0</v>
          </cell>
        </row>
        <row r="468">
          <cell r="B468">
            <v>8810</v>
          </cell>
          <cell r="C468" t="str">
            <v>其他归属于母公司所有者权益_本年年初余额</v>
          </cell>
          <cell r="D468">
            <v>0</v>
          </cell>
          <cell r="E468" t="str">
            <v>※＝</v>
          </cell>
          <cell r="F468">
            <v>0</v>
          </cell>
          <cell r="G468" t="str">
            <v>二、本年年初余额</v>
          </cell>
          <cell r="H468">
            <v>0</v>
          </cell>
          <cell r="I468">
            <v>8810</v>
          </cell>
          <cell r="J468">
            <v>0</v>
          </cell>
        </row>
        <row r="469">
          <cell r="B469">
            <v>8890</v>
          </cell>
          <cell r="C469" t="str">
            <v>其他归属于母公司所有者权益_本期增减变动金额</v>
          </cell>
          <cell r="D469">
            <v>0</v>
          </cell>
          <cell r="E469" t="str">
            <v>※＝</v>
          </cell>
          <cell r="F469">
            <v>0</v>
          </cell>
          <cell r="G469" t="str">
            <v>三、本期增减变动金额（减少以“-”号填列）</v>
          </cell>
          <cell r="H469">
            <v>0</v>
          </cell>
          <cell r="I469">
            <v>8890</v>
          </cell>
          <cell r="J469">
            <v>0</v>
          </cell>
        </row>
        <row r="470">
          <cell r="B470">
            <v>8821</v>
          </cell>
          <cell r="C470" t="str">
            <v>其他归属于母公司所有者权益_净利润增加权益</v>
          </cell>
          <cell r="D470">
            <v>-1</v>
          </cell>
          <cell r="E470" t="str">
            <v>※LOW</v>
          </cell>
          <cell r="F470">
            <v>0</v>
          </cell>
          <cell r="G470" t="str">
            <v>（一）净利润</v>
          </cell>
          <cell r="H470">
            <v>0</v>
          </cell>
          <cell r="I470">
            <v>8821</v>
          </cell>
          <cell r="J470">
            <v>0</v>
          </cell>
        </row>
        <row r="471">
          <cell r="B471">
            <v>8830</v>
          </cell>
          <cell r="C471" t="str">
            <v>其他归属于母公司所有者权益_其他综合收益</v>
          </cell>
          <cell r="D471">
            <v>-1</v>
          </cell>
          <cell r="E471" t="str">
            <v>※LOW</v>
          </cell>
          <cell r="F471">
            <v>0</v>
          </cell>
          <cell r="G471" t="str">
            <v>（二）其他综合收益</v>
          </cell>
          <cell r="H471">
            <v>0</v>
          </cell>
          <cell r="I471">
            <v>8830</v>
          </cell>
          <cell r="J471">
            <v>0</v>
          </cell>
        </row>
        <row r="472">
          <cell r="B472">
            <v>8840</v>
          </cell>
          <cell r="C472" t="str">
            <v>其他归属于母公司所有者权益_综合收益总额增加权益</v>
          </cell>
          <cell r="D472">
            <v>-1</v>
          </cell>
          <cell r="E472" t="str">
            <v>※</v>
          </cell>
          <cell r="F472">
            <v>0</v>
          </cell>
          <cell r="G472" t="str">
            <v>（一）综合收益总额</v>
          </cell>
          <cell r="H472">
            <v>0</v>
          </cell>
          <cell r="I472">
            <v>8840</v>
          </cell>
          <cell r="J472">
            <v>0</v>
          </cell>
        </row>
        <row r="473">
          <cell r="B473">
            <v>8850</v>
          </cell>
          <cell r="C473" t="str">
            <v>其他归属于母公司所有者权益_所有者投入和减少资本影响权益</v>
          </cell>
          <cell r="D473">
            <v>0</v>
          </cell>
          <cell r="E473" t="str">
            <v>※＝</v>
          </cell>
          <cell r="F473">
            <v>0</v>
          </cell>
          <cell r="G473" t="str">
            <v>（二）所有者投入和减少资本</v>
          </cell>
          <cell r="H473">
            <v>0</v>
          </cell>
          <cell r="I473">
            <v>8850</v>
          </cell>
          <cell r="J473">
            <v>0</v>
          </cell>
        </row>
        <row r="474">
          <cell r="B474">
            <v>8851</v>
          </cell>
          <cell r="C474" t="str">
            <v>其他归属于母公司所有者权益_所有者投入资本</v>
          </cell>
          <cell r="D474">
            <v>-1</v>
          </cell>
          <cell r="E474" t="str">
            <v>※LOW</v>
          </cell>
          <cell r="F474">
            <v>0</v>
          </cell>
          <cell r="G474" t="str">
            <v>所有者投入资本</v>
          </cell>
          <cell r="H474">
            <v>0</v>
          </cell>
          <cell r="I474">
            <v>8851</v>
          </cell>
          <cell r="J474">
            <v>0</v>
          </cell>
        </row>
        <row r="475">
          <cell r="B475">
            <v>8852</v>
          </cell>
          <cell r="C475" t="str">
            <v>其他归属于母公司所有者权益_股份支付</v>
          </cell>
          <cell r="D475">
            <v>-1</v>
          </cell>
          <cell r="E475" t="str">
            <v>※LOW</v>
          </cell>
          <cell r="F475">
            <v>0</v>
          </cell>
          <cell r="G475" t="str">
            <v>股份支付计入所有者权益的金额</v>
          </cell>
          <cell r="H475">
            <v>0</v>
          </cell>
          <cell r="I475">
            <v>8852</v>
          </cell>
          <cell r="J475">
            <v>0</v>
          </cell>
        </row>
        <row r="476">
          <cell r="B476">
            <v>8853</v>
          </cell>
          <cell r="C476" t="str">
            <v>其他归属于母公司所有者权益_其他权益工具持有者投入资本</v>
          </cell>
          <cell r="D476">
            <v>-1</v>
          </cell>
          <cell r="E476" t="str">
            <v>※OEI</v>
          </cell>
          <cell r="F476">
            <v>0</v>
          </cell>
          <cell r="G476" t="str">
            <v>其他权益工具持有者投入资本</v>
          </cell>
          <cell r="H476">
            <v>0</v>
          </cell>
          <cell r="I476">
            <v>8853</v>
          </cell>
          <cell r="J476">
            <v>0</v>
          </cell>
        </row>
        <row r="477">
          <cell r="B477">
            <v>8856</v>
          </cell>
          <cell r="C477" t="str">
            <v>其他归属于母公司所有者权益_所有者其他投入和减少资本</v>
          </cell>
          <cell r="D477">
            <v>-1</v>
          </cell>
          <cell r="E477" t="str">
            <v>※LOW</v>
          </cell>
          <cell r="F477">
            <v>0</v>
          </cell>
          <cell r="G477" t="str">
            <v>其他</v>
          </cell>
          <cell r="H477">
            <v>0</v>
          </cell>
          <cell r="I477">
            <v>8856</v>
          </cell>
          <cell r="J477">
            <v>0</v>
          </cell>
        </row>
        <row r="478">
          <cell r="B478">
            <v>8860</v>
          </cell>
          <cell r="C478" t="str">
            <v>其他归属于母公司所有者权益_利润分配影响权益</v>
          </cell>
          <cell r="D478">
            <v>0</v>
          </cell>
          <cell r="E478" t="str">
            <v>※＝</v>
          </cell>
          <cell r="F478">
            <v>0</v>
          </cell>
          <cell r="G478" t="str">
            <v>（三）利润分配</v>
          </cell>
          <cell r="H478">
            <v>0</v>
          </cell>
          <cell r="I478">
            <v>8860</v>
          </cell>
          <cell r="J478">
            <v>0</v>
          </cell>
        </row>
        <row r="479">
          <cell r="B479">
            <v>8861</v>
          </cell>
          <cell r="C479" t="str">
            <v>其他归属于母公司所有者权益_提取盈余公积</v>
          </cell>
          <cell r="D479">
            <v>-1</v>
          </cell>
          <cell r="E479" t="str">
            <v>※LOW</v>
          </cell>
          <cell r="F479">
            <v>0</v>
          </cell>
          <cell r="G479" t="str">
            <v>提取盈余公积</v>
          </cell>
          <cell r="H479">
            <v>0</v>
          </cell>
          <cell r="I479">
            <v>8861</v>
          </cell>
          <cell r="J479">
            <v>0</v>
          </cell>
        </row>
        <row r="480">
          <cell r="B480">
            <v>8862</v>
          </cell>
          <cell r="C480" t="str">
            <v>其他归属于母公司所有者权益_提取一般风险准备</v>
          </cell>
          <cell r="D480">
            <v>-1</v>
          </cell>
          <cell r="E480" t="str">
            <v>※LOW</v>
          </cell>
          <cell r="F480">
            <v>0</v>
          </cell>
          <cell r="G480" t="str">
            <v>提取一般风险准备</v>
          </cell>
          <cell r="H480">
            <v>0</v>
          </cell>
          <cell r="I480">
            <v>8862</v>
          </cell>
          <cell r="J480">
            <v>0</v>
          </cell>
        </row>
        <row r="481">
          <cell r="B481">
            <v>8863</v>
          </cell>
          <cell r="C481" t="str">
            <v>其他归属于母公司所有者权益_对所有者的分配</v>
          </cell>
          <cell r="D481">
            <v>-1</v>
          </cell>
          <cell r="E481" t="str">
            <v>※LOW</v>
          </cell>
          <cell r="F481">
            <v>0</v>
          </cell>
          <cell r="G481" t="str">
            <v>对所有者（或股东）的分配</v>
          </cell>
          <cell r="H481">
            <v>0</v>
          </cell>
          <cell r="I481">
            <v>8863</v>
          </cell>
          <cell r="J481">
            <v>0</v>
          </cell>
        </row>
        <row r="482">
          <cell r="B482">
            <v>8866</v>
          </cell>
          <cell r="C482" t="str">
            <v>其他归属于母公司所有者权益_其他利润分配</v>
          </cell>
          <cell r="D482">
            <v>-1</v>
          </cell>
          <cell r="E482" t="str">
            <v>※LOW</v>
          </cell>
          <cell r="F482">
            <v>0</v>
          </cell>
          <cell r="G482" t="str">
            <v>其他</v>
          </cell>
          <cell r="H482">
            <v>0</v>
          </cell>
          <cell r="I482">
            <v>8866</v>
          </cell>
          <cell r="J482">
            <v>0</v>
          </cell>
        </row>
        <row r="483">
          <cell r="B483">
            <v>8870</v>
          </cell>
          <cell r="C483" t="str">
            <v>其他归属于母公司所有者权益_所有者权益内部结转</v>
          </cell>
          <cell r="D483">
            <v>0</v>
          </cell>
          <cell r="E483" t="str">
            <v>※＝</v>
          </cell>
          <cell r="F483">
            <v>0</v>
          </cell>
          <cell r="G483" t="str">
            <v>（四）所有者权益内部结转</v>
          </cell>
          <cell r="H483">
            <v>0</v>
          </cell>
          <cell r="I483">
            <v>8870</v>
          </cell>
          <cell r="J483">
            <v>0</v>
          </cell>
        </row>
        <row r="484">
          <cell r="B484">
            <v>8871</v>
          </cell>
          <cell r="C484" t="str">
            <v>其他归属于母公司所有者权益_资本公积转增资本</v>
          </cell>
          <cell r="D484">
            <v>-1</v>
          </cell>
          <cell r="E484" t="str">
            <v>※LOW</v>
          </cell>
          <cell r="F484">
            <v>0</v>
          </cell>
          <cell r="G484" t="str">
            <v>资本公积转增资本（或股本）</v>
          </cell>
          <cell r="H484">
            <v>0</v>
          </cell>
          <cell r="I484">
            <v>8871</v>
          </cell>
          <cell r="J484">
            <v>0</v>
          </cell>
        </row>
        <row r="485">
          <cell r="B485">
            <v>8872</v>
          </cell>
          <cell r="C485" t="str">
            <v>其他归属于母公司所有者权益_盈余公积转增资本</v>
          </cell>
          <cell r="D485">
            <v>-1</v>
          </cell>
          <cell r="E485" t="str">
            <v>※LOW</v>
          </cell>
          <cell r="F485">
            <v>0</v>
          </cell>
          <cell r="G485" t="str">
            <v>盈余公积转增资本（或股本）</v>
          </cell>
          <cell r="H485">
            <v>0</v>
          </cell>
          <cell r="I485">
            <v>8872</v>
          </cell>
          <cell r="J485">
            <v>0</v>
          </cell>
        </row>
        <row r="486">
          <cell r="B486">
            <v>8873</v>
          </cell>
          <cell r="C486" t="str">
            <v>其他归属于母公司所有者权益_盈余公积弥补亏损</v>
          </cell>
          <cell r="D486">
            <v>-1</v>
          </cell>
          <cell r="E486" t="str">
            <v>※LOW</v>
          </cell>
          <cell r="F486">
            <v>0</v>
          </cell>
          <cell r="G486" t="str">
            <v>盈余公积弥补亏损</v>
          </cell>
          <cell r="H486">
            <v>0</v>
          </cell>
          <cell r="I486">
            <v>8873</v>
          </cell>
          <cell r="J486">
            <v>0</v>
          </cell>
        </row>
        <row r="487">
          <cell r="B487">
            <v>8875</v>
          </cell>
          <cell r="C487" t="str">
            <v>其他归属于母公司所有者权益_结转重新计量设定受益计划净负债或净资产所产生的变动</v>
          </cell>
          <cell r="D487">
            <v>-1</v>
          </cell>
          <cell r="E487" t="str">
            <v>※OEI</v>
          </cell>
          <cell r="F487">
            <v>0</v>
          </cell>
          <cell r="G487" t="str">
            <v>结转重新计量设定受益计划净负债或净资产所产生的变动</v>
          </cell>
          <cell r="H487">
            <v>0</v>
          </cell>
          <cell r="I487">
            <v>8875</v>
          </cell>
          <cell r="J487">
            <v>0</v>
          </cell>
        </row>
        <row r="488">
          <cell r="B488">
            <v>8876</v>
          </cell>
          <cell r="C488" t="str">
            <v>其他归属于母公司所有者权益_所有者权益其他内部结转</v>
          </cell>
          <cell r="D488">
            <v>-1</v>
          </cell>
          <cell r="E488" t="str">
            <v>※LOW</v>
          </cell>
          <cell r="F488">
            <v>0</v>
          </cell>
          <cell r="G488" t="str">
            <v>其他</v>
          </cell>
          <cell r="H488">
            <v>0</v>
          </cell>
          <cell r="I488">
            <v>8876</v>
          </cell>
          <cell r="J488">
            <v>0</v>
          </cell>
        </row>
        <row r="489">
          <cell r="B489">
            <v>8880</v>
          </cell>
          <cell r="C489" t="str">
            <v>其他归属于母公司所有者权益_专项储备影响权益</v>
          </cell>
          <cell r="D489">
            <v>0</v>
          </cell>
          <cell r="E489" t="str">
            <v>※＝</v>
          </cell>
          <cell r="F489">
            <v>0</v>
          </cell>
          <cell r="G489" t="str">
            <v>（五）专项储备</v>
          </cell>
          <cell r="H489">
            <v>0</v>
          </cell>
          <cell r="I489">
            <v>8880</v>
          </cell>
          <cell r="J489">
            <v>0</v>
          </cell>
        </row>
        <row r="490">
          <cell r="B490">
            <v>8881</v>
          </cell>
          <cell r="C490" t="str">
            <v>其他归属于母公司所有者权益_专项储备本期提取</v>
          </cell>
          <cell r="D490">
            <v>-1</v>
          </cell>
          <cell r="E490" t="str">
            <v>※LOW</v>
          </cell>
          <cell r="F490">
            <v>0</v>
          </cell>
          <cell r="G490" t="str">
            <v>本期提取</v>
          </cell>
          <cell r="H490">
            <v>0</v>
          </cell>
          <cell r="I490">
            <v>8881</v>
          </cell>
          <cell r="J490">
            <v>0</v>
          </cell>
        </row>
        <row r="491">
          <cell r="B491">
            <v>8882</v>
          </cell>
          <cell r="C491" t="str">
            <v>其他归属于母公司所有者权益_专项储备本期使用</v>
          </cell>
          <cell r="D491">
            <v>-1</v>
          </cell>
          <cell r="E491" t="str">
            <v>※LOW</v>
          </cell>
          <cell r="F491">
            <v>0</v>
          </cell>
          <cell r="G491" t="str">
            <v>本期使用</v>
          </cell>
          <cell r="H491">
            <v>0</v>
          </cell>
          <cell r="I491">
            <v>8882</v>
          </cell>
          <cell r="J491">
            <v>0</v>
          </cell>
        </row>
        <row r="492">
          <cell r="B492">
            <v>8896</v>
          </cell>
          <cell r="C492" t="str">
            <v>其他归属于母公司所有者权益_本期其他增减变动</v>
          </cell>
          <cell r="D492">
            <v>-1</v>
          </cell>
          <cell r="E492" t="str">
            <v>※LOW</v>
          </cell>
          <cell r="F492">
            <v>0</v>
          </cell>
          <cell r="G492" t="str">
            <v>（七）其他</v>
          </cell>
          <cell r="H492">
            <v>0</v>
          </cell>
          <cell r="I492">
            <v>8896</v>
          </cell>
          <cell r="J492">
            <v>0</v>
          </cell>
        </row>
        <row r="493">
          <cell r="B493">
            <v>8899</v>
          </cell>
          <cell r="C493" t="str">
            <v>其他归属于母公司所有者权益_本期期末余额</v>
          </cell>
          <cell r="D493">
            <v>0</v>
          </cell>
          <cell r="E493" t="str">
            <v>※＝</v>
          </cell>
          <cell r="F493">
            <v>0</v>
          </cell>
          <cell r="G493" t="str">
            <v>四、本期期末余额</v>
          </cell>
          <cell r="H493">
            <v>0</v>
          </cell>
          <cell r="I493">
            <v>8899</v>
          </cell>
          <cell r="J493">
            <v>0</v>
          </cell>
        </row>
        <row r="494">
          <cell r="B494">
            <v>8900</v>
          </cell>
          <cell r="C494" t="str">
            <v>少数股东权益增减变动</v>
          </cell>
          <cell r="D494">
            <v>0</v>
          </cell>
          <cell r="E494" t="str">
            <v>※</v>
          </cell>
          <cell r="F494">
            <v>0</v>
          </cell>
          <cell r="G494" t="str">
            <v>少数股东权益增减变动</v>
          </cell>
          <cell r="H494">
            <v>0</v>
          </cell>
          <cell r="I494">
            <v>8900</v>
          </cell>
          <cell r="J494">
            <v>0</v>
          </cell>
        </row>
        <row r="495">
          <cell r="B495">
            <v>8901</v>
          </cell>
          <cell r="C495" t="str">
            <v>少数股东权益_上年年末余额</v>
          </cell>
          <cell r="D495">
            <v>-1</v>
          </cell>
          <cell r="E495" t="str">
            <v>※</v>
          </cell>
          <cell r="F495">
            <v>0</v>
          </cell>
          <cell r="G495" t="str">
            <v>一、上年年末余额</v>
          </cell>
          <cell r="H495">
            <v>0</v>
          </cell>
          <cell r="I495">
            <v>8901</v>
          </cell>
          <cell r="J495" t="str">
            <v>J</v>
          </cell>
        </row>
        <row r="496">
          <cell r="B496">
            <v>8902</v>
          </cell>
          <cell r="C496" t="str">
            <v>少数股东权益_会计政策变更调整上年年末余额</v>
          </cell>
          <cell r="D496">
            <v>-1</v>
          </cell>
          <cell r="E496" t="str">
            <v>※</v>
          </cell>
          <cell r="F496">
            <v>0</v>
          </cell>
          <cell r="G496" t="str">
            <v>加：会计政策变更</v>
          </cell>
          <cell r="H496">
            <v>0</v>
          </cell>
          <cell r="I496">
            <v>8902</v>
          </cell>
          <cell r="J496" t="str">
            <v>J</v>
          </cell>
        </row>
        <row r="497">
          <cell r="B497">
            <v>8903</v>
          </cell>
          <cell r="C497" t="str">
            <v>少数股东权益_前期差错更正调整上年年末余额</v>
          </cell>
          <cell r="D497">
            <v>-1</v>
          </cell>
          <cell r="E497" t="str">
            <v>※</v>
          </cell>
          <cell r="F497">
            <v>0</v>
          </cell>
          <cell r="G497" t="str">
            <v>前期差错更正</v>
          </cell>
          <cell r="H497">
            <v>0</v>
          </cell>
          <cell r="I497">
            <v>8903</v>
          </cell>
          <cell r="J497" t="str">
            <v>J</v>
          </cell>
        </row>
        <row r="498">
          <cell r="B498">
            <v>8904</v>
          </cell>
          <cell r="C498" t="str">
            <v>少数股东权益_同一控制下企业合并调整上年年末余额</v>
          </cell>
          <cell r="D498">
            <v>-1</v>
          </cell>
          <cell r="E498" t="str">
            <v>※</v>
          </cell>
          <cell r="F498">
            <v>0</v>
          </cell>
          <cell r="G498" t="str">
            <v>同一控制下企业合并</v>
          </cell>
          <cell r="H498">
            <v>0</v>
          </cell>
          <cell r="I498">
            <v>8904</v>
          </cell>
          <cell r="J498" t="str">
            <v>J</v>
          </cell>
        </row>
        <row r="499">
          <cell r="B499">
            <v>8909</v>
          </cell>
          <cell r="C499" t="str">
            <v>少数股东权益_其他原因调整上年年末余额</v>
          </cell>
          <cell r="D499">
            <v>-1</v>
          </cell>
          <cell r="E499" t="str">
            <v>※</v>
          </cell>
          <cell r="F499">
            <v>0</v>
          </cell>
          <cell r="G499" t="str">
            <v>其他</v>
          </cell>
          <cell r="H499">
            <v>0</v>
          </cell>
          <cell r="I499">
            <v>8909</v>
          </cell>
          <cell r="J499" t="str">
            <v>J</v>
          </cell>
        </row>
        <row r="500">
          <cell r="B500">
            <v>8910</v>
          </cell>
          <cell r="C500" t="str">
            <v>少数股东权益_本年年初余额</v>
          </cell>
          <cell r="D500">
            <v>0</v>
          </cell>
          <cell r="E500" t="str">
            <v>※＝</v>
          </cell>
          <cell r="F500">
            <v>0</v>
          </cell>
          <cell r="G500" t="str">
            <v>二、本年年初余额</v>
          </cell>
          <cell r="H500">
            <v>0</v>
          </cell>
          <cell r="I500">
            <v>8910</v>
          </cell>
          <cell r="J500">
            <v>0</v>
          </cell>
        </row>
        <row r="501">
          <cell r="B501">
            <v>8990</v>
          </cell>
          <cell r="C501" t="str">
            <v>少数股东权益_本期增减变动金额</v>
          </cell>
          <cell r="D501">
            <v>0</v>
          </cell>
          <cell r="E501" t="str">
            <v>※＝</v>
          </cell>
          <cell r="F501">
            <v>0</v>
          </cell>
          <cell r="G501" t="str">
            <v>三、本期增减变动金额（减少以“-”号填列）</v>
          </cell>
          <cell r="H501">
            <v>0</v>
          </cell>
          <cell r="I501">
            <v>8990</v>
          </cell>
          <cell r="J501">
            <v>0</v>
          </cell>
        </row>
        <row r="502">
          <cell r="B502">
            <v>8921</v>
          </cell>
          <cell r="C502" t="str">
            <v>少数股东权益_净利润</v>
          </cell>
          <cell r="D502">
            <v>-1</v>
          </cell>
          <cell r="E502" t="str">
            <v>※</v>
          </cell>
          <cell r="F502">
            <v>0</v>
          </cell>
          <cell r="G502" t="str">
            <v>（一）净利润</v>
          </cell>
          <cell r="H502">
            <v>0</v>
          </cell>
          <cell r="I502">
            <v>8921</v>
          </cell>
          <cell r="J502" t="str">
            <v>J</v>
          </cell>
        </row>
        <row r="503">
          <cell r="B503">
            <v>8930</v>
          </cell>
          <cell r="C503" t="str">
            <v>少数股东权益_其他综合收益</v>
          </cell>
          <cell r="D503">
            <v>-1</v>
          </cell>
          <cell r="E503" t="str">
            <v>※</v>
          </cell>
          <cell r="F503">
            <v>0</v>
          </cell>
          <cell r="G503" t="str">
            <v>（二）其他综合收益</v>
          </cell>
          <cell r="H503">
            <v>0</v>
          </cell>
          <cell r="I503">
            <v>8930</v>
          </cell>
          <cell r="J503" t="str">
            <v>J</v>
          </cell>
        </row>
        <row r="504">
          <cell r="B504">
            <v>8940</v>
          </cell>
          <cell r="C504" t="str">
            <v>少数股东权益_综合收益总额增加权益</v>
          </cell>
          <cell r="D504">
            <v>-1</v>
          </cell>
          <cell r="E504" t="str">
            <v>※</v>
          </cell>
          <cell r="F504">
            <v>0</v>
          </cell>
          <cell r="G504" t="str">
            <v>（一）综合收益总额</v>
          </cell>
          <cell r="H504">
            <v>0</v>
          </cell>
          <cell r="I504">
            <v>8940</v>
          </cell>
          <cell r="J504" t="str">
            <v>J</v>
          </cell>
        </row>
        <row r="505">
          <cell r="B505">
            <v>8950</v>
          </cell>
          <cell r="C505" t="str">
            <v>少数股东权益_所有者投入和减少资本影响权益</v>
          </cell>
          <cell r="D505">
            <v>0</v>
          </cell>
          <cell r="E505" t="str">
            <v>※＝</v>
          </cell>
          <cell r="F505">
            <v>0</v>
          </cell>
          <cell r="G505" t="str">
            <v>（二）所有者投入和减少资本</v>
          </cell>
          <cell r="H505">
            <v>0</v>
          </cell>
          <cell r="I505">
            <v>8950</v>
          </cell>
          <cell r="J505">
            <v>0</v>
          </cell>
        </row>
        <row r="506">
          <cell r="B506">
            <v>8951</v>
          </cell>
          <cell r="C506" t="str">
            <v>少数股东权益_所有者投入资本</v>
          </cell>
          <cell r="D506">
            <v>-1</v>
          </cell>
          <cell r="E506" t="str">
            <v>※</v>
          </cell>
          <cell r="F506">
            <v>0</v>
          </cell>
          <cell r="G506" t="str">
            <v>所有者投入资本</v>
          </cell>
          <cell r="H506">
            <v>0</v>
          </cell>
          <cell r="I506">
            <v>8951</v>
          </cell>
          <cell r="J506" t="str">
            <v>J</v>
          </cell>
        </row>
        <row r="507">
          <cell r="B507">
            <v>8952</v>
          </cell>
          <cell r="C507" t="str">
            <v>少数股东权益_股份支付</v>
          </cell>
          <cell r="D507">
            <v>-1</v>
          </cell>
          <cell r="E507" t="str">
            <v>※LOW</v>
          </cell>
          <cell r="F507">
            <v>0</v>
          </cell>
          <cell r="G507" t="str">
            <v>股份支付计入所有者权益的金额</v>
          </cell>
          <cell r="H507">
            <v>0</v>
          </cell>
          <cell r="I507">
            <v>8952</v>
          </cell>
          <cell r="J507" t="str">
            <v>J</v>
          </cell>
        </row>
        <row r="508">
          <cell r="B508">
            <v>8953</v>
          </cell>
          <cell r="C508" t="str">
            <v>少数股东权益_其他权益工具持有者投入资本</v>
          </cell>
          <cell r="D508">
            <v>-1</v>
          </cell>
          <cell r="E508" t="str">
            <v>※OEI</v>
          </cell>
          <cell r="F508">
            <v>0</v>
          </cell>
          <cell r="G508" t="str">
            <v>其他权益工具持有者投入资本</v>
          </cell>
          <cell r="H508">
            <v>0</v>
          </cell>
          <cell r="I508">
            <v>8953</v>
          </cell>
          <cell r="J508" t="str">
            <v>J</v>
          </cell>
        </row>
        <row r="509">
          <cell r="B509">
            <v>8956</v>
          </cell>
          <cell r="C509" t="str">
            <v>少数股东权益_所有者其他投入和减少资本</v>
          </cell>
          <cell r="D509">
            <v>-1</v>
          </cell>
          <cell r="E509" t="str">
            <v>※LOW</v>
          </cell>
          <cell r="F509">
            <v>0</v>
          </cell>
          <cell r="G509" t="str">
            <v>其他</v>
          </cell>
          <cell r="H509">
            <v>0</v>
          </cell>
          <cell r="I509">
            <v>8956</v>
          </cell>
          <cell r="J509" t="str">
            <v>J</v>
          </cell>
        </row>
        <row r="510">
          <cell r="B510">
            <v>8960</v>
          </cell>
          <cell r="C510" t="str">
            <v>少数股东权益_利润分配影响权益</v>
          </cell>
          <cell r="D510">
            <v>0</v>
          </cell>
          <cell r="E510" t="str">
            <v>※＝</v>
          </cell>
          <cell r="F510">
            <v>0</v>
          </cell>
          <cell r="G510" t="str">
            <v>（三）利润分配</v>
          </cell>
          <cell r="H510">
            <v>0</v>
          </cell>
          <cell r="I510">
            <v>8960</v>
          </cell>
          <cell r="J510">
            <v>0</v>
          </cell>
        </row>
        <row r="511">
          <cell r="B511">
            <v>8963</v>
          </cell>
          <cell r="C511" t="str">
            <v>少数股东权益_对所有者的分配</v>
          </cell>
          <cell r="D511">
            <v>-1</v>
          </cell>
          <cell r="E511" t="str">
            <v>※</v>
          </cell>
          <cell r="F511">
            <v>0</v>
          </cell>
          <cell r="G511" t="str">
            <v>对所有者（或股东）的分配</v>
          </cell>
          <cell r="H511">
            <v>0</v>
          </cell>
          <cell r="I511">
            <v>8963</v>
          </cell>
          <cell r="J511" t="str">
            <v>J</v>
          </cell>
        </row>
        <row r="512">
          <cell r="B512">
            <v>8966</v>
          </cell>
          <cell r="C512" t="str">
            <v>少数股东权益_其他利润分配</v>
          </cell>
          <cell r="D512">
            <v>-1</v>
          </cell>
          <cell r="E512" t="str">
            <v>※LOW</v>
          </cell>
          <cell r="F512">
            <v>0</v>
          </cell>
          <cell r="G512" t="str">
            <v>其他</v>
          </cell>
          <cell r="H512">
            <v>0</v>
          </cell>
          <cell r="I512">
            <v>8966</v>
          </cell>
          <cell r="J512" t="str">
            <v>J</v>
          </cell>
        </row>
        <row r="513">
          <cell r="B513">
            <v>8970</v>
          </cell>
          <cell r="C513" t="str">
            <v>少数股东权益_所有者权益内部结转</v>
          </cell>
          <cell r="D513">
            <v>0</v>
          </cell>
          <cell r="E513" t="str">
            <v>※＝</v>
          </cell>
          <cell r="F513">
            <v>0</v>
          </cell>
          <cell r="G513" t="str">
            <v>（四）所有者权益内部结转</v>
          </cell>
          <cell r="H513">
            <v>0</v>
          </cell>
          <cell r="I513">
            <v>8970</v>
          </cell>
          <cell r="J513">
            <v>0</v>
          </cell>
        </row>
        <row r="514">
          <cell r="B514">
            <v>8975</v>
          </cell>
          <cell r="C514" t="str">
            <v>少数股东权益_结转重新计量设定受益计划净负债或净资产所产生的变动</v>
          </cell>
          <cell r="D514">
            <v>-1</v>
          </cell>
          <cell r="E514" t="str">
            <v>※OEI</v>
          </cell>
          <cell r="F514">
            <v>0</v>
          </cell>
          <cell r="G514" t="str">
            <v>结转重新计量设定受益计划净负债或净资产所产生的变动</v>
          </cell>
          <cell r="H514">
            <v>0</v>
          </cell>
          <cell r="I514">
            <v>8975</v>
          </cell>
          <cell r="J514" t="str">
            <v>J</v>
          </cell>
        </row>
        <row r="515">
          <cell r="B515">
            <v>8976</v>
          </cell>
          <cell r="C515" t="str">
            <v>少数股东权益_所有者权益其他内部结转</v>
          </cell>
          <cell r="D515">
            <v>-1</v>
          </cell>
          <cell r="E515" t="str">
            <v>※LOW</v>
          </cell>
          <cell r="F515">
            <v>0</v>
          </cell>
          <cell r="G515" t="str">
            <v>其他</v>
          </cell>
          <cell r="H515">
            <v>0</v>
          </cell>
          <cell r="I515">
            <v>8976</v>
          </cell>
          <cell r="J515" t="str">
            <v>J</v>
          </cell>
        </row>
        <row r="516">
          <cell r="B516">
            <v>8980</v>
          </cell>
          <cell r="C516" t="str">
            <v>少数股东权益_专项储备影响权益</v>
          </cell>
          <cell r="D516">
            <v>0</v>
          </cell>
          <cell r="E516" t="str">
            <v>※＝</v>
          </cell>
          <cell r="F516">
            <v>0</v>
          </cell>
          <cell r="G516" t="str">
            <v>（五）专项储备</v>
          </cell>
          <cell r="H516">
            <v>0</v>
          </cell>
          <cell r="I516">
            <v>8980</v>
          </cell>
          <cell r="J516">
            <v>0</v>
          </cell>
        </row>
        <row r="517">
          <cell r="B517">
            <v>8981</v>
          </cell>
          <cell r="C517" t="str">
            <v>少数股东权益_专项储备本期提取</v>
          </cell>
          <cell r="D517">
            <v>-1</v>
          </cell>
          <cell r="E517" t="str">
            <v>※LOW</v>
          </cell>
          <cell r="F517">
            <v>0</v>
          </cell>
          <cell r="G517" t="str">
            <v>本期提取</v>
          </cell>
          <cell r="H517">
            <v>0</v>
          </cell>
          <cell r="I517">
            <v>8981</v>
          </cell>
          <cell r="J517" t="str">
            <v>J</v>
          </cell>
        </row>
        <row r="518">
          <cell r="B518">
            <v>8982</v>
          </cell>
          <cell r="C518" t="str">
            <v>少数股东权益_专项储备本期使用</v>
          </cell>
          <cell r="D518">
            <v>-1</v>
          </cell>
          <cell r="E518" t="str">
            <v>※LOW</v>
          </cell>
          <cell r="F518">
            <v>0</v>
          </cell>
          <cell r="G518" t="str">
            <v>本期使用</v>
          </cell>
          <cell r="H518">
            <v>0</v>
          </cell>
          <cell r="I518">
            <v>8982</v>
          </cell>
          <cell r="J518" t="str">
            <v>J</v>
          </cell>
        </row>
        <row r="519">
          <cell r="B519">
            <v>8996</v>
          </cell>
          <cell r="C519" t="str">
            <v>少数股东权益_本期其他增减变动</v>
          </cell>
          <cell r="D519">
            <v>-1</v>
          </cell>
          <cell r="E519" t="str">
            <v>※LOW</v>
          </cell>
          <cell r="F519">
            <v>0</v>
          </cell>
          <cell r="G519" t="str">
            <v>（七）其他</v>
          </cell>
          <cell r="H519">
            <v>0</v>
          </cell>
          <cell r="I519">
            <v>8996</v>
          </cell>
          <cell r="J519" t="str">
            <v>J</v>
          </cell>
        </row>
        <row r="520">
          <cell r="B520">
            <v>8999</v>
          </cell>
          <cell r="C520" t="str">
            <v>少数股东权益_本期期末余额</v>
          </cell>
          <cell r="D520">
            <v>0</v>
          </cell>
          <cell r="E520" t="str">
            <v>※＝</v>
          </cell>
          <cell r="F520">
            <v>0</v>
          </cell>
          <cell r="G520" t="str">
            <v>四、本期期末余额</v>
          </cell>
          <cell r="H520">
            <v>0</v>
          </cell>
          <cell r="I520">
            <v>8999</v>
          </cell>
          <cell r="J520">
            <v>0</v>
          </cell>
        </row>
        <row r="521">
          <cell r="B521">
            <v>7</v>
          </cell>
          <cell r="C521" t="str">
            <v>现金流量表</v>
          </cell>
          <cell r="D521">
            <v>0</v>
          </cell>
          <cell r="E521" t="str">
            <v>：</v>
          </cell>
          <cell r="F521">
            <v>0</v>
          </cell>
          <cell r="G521" t="str">
            <v>现金流量表</v>
          </cell>
          <cell r="H521">
            <v>0</v>
          </cell>
          <cell r="I521">
            <v>7</v>
          </cell>
          <cell r="J521">
            <v>0</v>
          </cell>
        </row>
        <row r="522">
          <cell r="B522">
            <v>7000</v>
          </cell>
          <cell r="C522" t="str">
            <v>经营活动现金流量项目</v>
          </cell>
          <cell r="D522">
            <v>0</v>
          </cell>
          <cell r="E522" t="str">
            <v>：</v>
          </cell>
          <cell r="F522">
            <v>0</v>
          </cell>
          <cell r="G522" t="str">
            <v>一、经营活动产生的现金流量：</v>
          </cell>
          <cell r="H522">
            <v>0</v>
          </cell>
          <cell r="I522">
            <v>7000</v>
          </cell>
          <cell r="J522">
            <v>0</v>
          </cell>
        </row>
        <row r="523">
          <cell r="B523">
            <v>7001</v>
          </cell>
          <cell r="C523" t="str">
            <v>销售商品提供劳务收到的现金</v>
          </cell>
          <cell r="D523">
            <v>1</v>
          </cell>
          <cell r="E523">
            <v>0</v>
          </cell>
          <cell r="F523">
            <v>0</v>
          </cell>
          <cell r="G523" t="str">
            <v>销售商品、提供劳务收到的现金</v>
          </cell>
          <cell r="H523">
            <v>0</v>
          </cell>
          <cell r="I523">
            <v>7001</v>
          </cell>
          <cell r="J523" t="str">
            <v>J</v>
          </cell>
        </row>
        <row r="524">
          <cell r="B524">
            <v>7011</v>
          </cell>
          <cell r="C524" t="str">
            <v>客户存款和同业存放款项净增加额</v>
          </cell>
          <cell r="D524">
            <v>1</v>
          </cell>
          <cell r="E524" t="str">
            <v>△</v>
          </cell>
          <cell r="F524">
            <v>0</v>
          </cell>
          <cell r="G524" t="str">
            <v>客户存款和同业存放款项净增加额</v>
          </cell>
          <cell r="H524">
            <v>0</v>
          </cell>
          <cell r="I524">
            <v>7011</v>
          </cell>
          <cell r="J524" t="str">
            <v>J</v>
          </cell>
        </row>
        <row r="525">
          <cell r="B525">
            <v>7012</v>
          </cell>
          <cell r="C525" t="str">
            <v>向中央银行借款净增加额</v>
          </cell>
          <cell r="D525">
            <v>1</v>
          </cell>
          <cell r="E525" t="str">
            <v>△</v>
          </cell>
          <cell r="F525">
            <v>0</v>
          </cell>
          <cell r="G525" t="str">
            <v>向中央银行借款净增加额</v>
          </cell>
          <cell r="H525">
            <v>0</v>
          </cell>
          <cell r="I525">
            <v>7012</v>
          </cell>
          <cell r="J525" t="str">
            <v>J</v>
          </cell>
        </row>
        <row r="526">
          <cell r="B526">
            <v>7013</v>
          </cell>
          <cell r="C526" t="str">
            <v>向其他金融机构拆入资金净增加额</v>
          </cell>
          <cell r="D526">
            <v>1</v>
          </cell>
          <cell r="E526" t="str">
            <v>△</v>
          </cell>
          <cell r="F526">
            <v>0</v>
          </cell>
          <cell r="G526" t="str">
            <v>向其他金融机构拆入资金净增加额</v>
          </cell>
          <cell r="H526">
            <v>0</v>
          </cell>
          <cell r="I526">
            <v>7013</v>
          </cell>
          <cell r="J526" t="str">
            <v>J</v>
          </cell>
        </row>
        <row r="527">
          <cell r="B527">
            <v>7014</v>
          </cell>
          <cell r="C527" t="str">
            <v>收到原保险合同保费取得的现金</v>
          </cell>
          <cell r="D527">
            <v>1</v>
          </cell>
          <cell r="E527" t="str">
            <v>△</v>
          </cell>
          <cell r="F527">
            <v>0</v>
          </cell>
          <cell r="G527" t="str">
            <v>收到原保险合同保费取得的现金</v>
          </cell>
          <cell r="H527">
            <v>0</v>
          </cell>
          <cell r="I527">
            <v>7014</v>
          </cell>
          <cell r="J527" t="str">
            <v>J</v>
          </cell>
        </row>
        <row r="528">
          <cell r="B528">
            <v>7015</v>
          </cell>
          <cell r="C528" t="str">
            <v>收到再保险业务现金净额</v>
          </cell>
          <cell r="D528">
            <v>1</v>
          </cell>
          <cell r="E528" t="str">
            <v>△</v>
          </cell>
          <cell r="F528">
            <v>0</v>
          </cell>
          <cell r="G528" t="str">
            <v>收到再保险业务现金净额</v>
          </cell>
          <cell r="H528">
            <v>0</v>
          </cell>
          <cell r="I528">
            <v>7015</v>
          </cell>
          <cell r="J528" t="str">
            <v>J</v>
          </cell>
        </row>
        <row r="529">
          <cell r="B529">
            <v>7016</v>
          </cell>
          <cell r="C529" t="str">
            <v>保户储金及投资款净增加额</v>
          </cell>
          <cell r="D529">
            <v>1</v>
          </cell>
          <cell r="E529" t="str">
            <v>△</v>
          </cell>
          <cell r="F529">
            <v>0</v>
          </cell>
          <cell r="G529" t="str">
            <v>保户储金及投资款净增加额</v>
          </cell>
          <cell r="H529">
            <v>0</v>
          </cell>
          <cell r="I529">
            <v>7016</v>
          </cell>
          <cell r="J529" t="str">
            <v>J</v>
          </cell>
        </row>
        <row r="530">
          <cell r="B530">
            <v>7021</v>
          </cell>
          <cell r="C530" t="str">
            <v>处置交易性金融资产净增加额</v>
          </cell>
          <cell r="D530">
            <v>1</v>
          </cell>
          <cell r="E530" t="str">
            <v>△</v>
          </cell>
          <cell r="F530">
            <v>0</v>
          </cell>
          <cell r="G530" t="str">
            <v>处置交易性金融资产净增加额</v>
          </cell>
          <cell r="H530">
            <v>0</v>
          </cell>
          <cell r="I530">
            <v>7021</v>
          </cell>
          <cell r="J530" t="str">
            <v>J</v>
          </cell>
        </row>
        <row r="531">
          <cell r="B531">
            <v>7023</v>
          </cell>
          <cell r="C531" t="str">
            <v>收取利息手续费及佣金的现金</v>
          </cell>
          <cell r="D531">
            <v>1</v>
          </cell>
          <cell r="E531" t="str">
            <v>△</v>
          </cell>
          <cell r="F531">
            <v>0</v>
          </cell>
          <cell r="G531" t="str">
            <v>收取利息、手续费及佣金的现金</v>
          </cell>
          <cell r="H531">
            <v>0</v>
          </cell>
          <cell r="I531">
            <v>7023</v>
          </cell>
          <cell r="J531" t="str">
            <v>J</v>
          </cell>
        </row>
        <row r="532">
          <cell r="B532">
            <v>7025</v>
          </cell>
          <cell r="C532" t="str">
            <v>拆入资金净增加额</v>
          </cell>
          <cell r="D532">
            <v>1</v>
          </cell>
          <cell r="E532" t="str">
            <v>△</v>
          </cell>
          <cell r="F532">
            <v>0</v>
          </cell>
          <cell r="G532" t="str">
            <v>拆入资金净增加额</v>
          </cell>
          <cell r="H532">
            <v>0</v>
          </cell>
          <cell r="I532">
            <v>7025</v>
          </cell>
          <cell r="J532" t="str">
            <v>J</v>
          </cell>
        </row>
        <row r="533">
          <cell r="B533">
            <v>7026</v>
          </cell>
          <cell r="C533" t="str">
            <v>回购业务资金净增加额</v>
          </cell>
          <cell r="D533">
            <v>1</v>
          </cell>
          <cell r="E533" t="str">
            <v>△</v>
          </cell>
          <cell r="F533">
            <v>0</v>
          </cell>
          <cell r="G533" t="str">
            <v>回购业务资金净增加额</v>
          </cell>
          <cell r="H533">
            <v>0</v>
          </cell>
          <cell r="I533">
            <v>7026</v>
          </cell>
          <cell r="J533" t="str">
            <v>J</v>
          </cell>
        </row>
        <row r="534">
          <cell r="B534">
            <v>7031</v>
          </cell>
          <cell r="C534" t="str">
            <v>收到的税费返还</v>
          </cell>
          <cell r="D534">
            <v>1</v>
          </cell>
          <cell r="E534">
            <v>0</v>
          </cell>
          <cell r="F534">
            <v>0</v>
          </cell>
          <cell r="G534" t="str">
            <v>收到的税费返还</v>
          </cell>
          <cell r="H534">
            <v>0</v>
          </cell>
          <cell r="I534">
            <v>7031</v>
          </cell>
          <cell r="J534" t="str">
            <v>J</v>
          </cell>
        </row>
        <row r="535">
          <cell r="B535">
            <v>7046</v>
          </cell>
          <cell r="C535" t="str">
            <v>收到其他与经营活动有关的现金</v>
          </cell>
          <cell r="D535">
            <v>1</v>
          </cell>
          <cell r="E535">
            <v>0</v>
          </cell>
          <cell r="F535">
            <v>0</v>
          </cell>
          <cell r="G535" t="str">
            <v>收到其他与经营活动有关的现金</v>
          </cell>
          <cell r="H535">
            <v>0</v>
          </cell>
          <cell r="I535">
            <v>7046</v>
          </cell>
          <cell r="J535" t="str">
            <v>J</v>
          </cell>
        </row>
        <row r="536">
          <cell r="B536">
            <v>7048</v>
          </cell>
          <cell r="C536" t="str">
            <v>经营活动现金流入</v>
          </cell>
          <cell r="D536">
            <v>0</v>
          </cell>
          <cell r="E536" t="str">
            <v>＝</v>
          </cell>
          <cell r="F536">
            <v>0</v>
          </cell>
          <cell r="G536" t="str">
            <v>经营活动现金流入小计</v>
          </cell>
          <cell r="H536">
            <v>0</v>
          </cell>
          <cell r="I536">
            <v>7048</v>
          </cell>
          <cell r="J536">
            <v>0</v>
          </cell>
        </row>
        <row r="537">
          <cell r="B537">
            <v>7051</v>
          </cell>
          <cell r="C537" t="str">
            <v>购买商品接受劳务支付的现金</v>
          </cell>
          <cell r="D537">
            <v>-1</v>
          </cell>
          <cell r="E537">
            <v>0</v>
          </cell>
          <cell r="F537">
            <v>0</v>
          </cell>
          <cell r="G537" t="str">
            <v>购买商品、接受劳务支付的现金</v>
          </cell>
          <cell r="H537">
            <v>0</v>
          </cell>
          <cell r="I537">
            <v>7051</v>
          </cell>
          <cell r="J537" t="str">
            <v>J</v>
          </cell>
        </row>
        <row r="538">
          <cell r="B538">
            <v>7053</v>
          </cell>
          <cell r="C538" t="str">
            <v>客户贷款及垫款净增加额</v>
          </cell>
          <cell r="D538">
            <v>-1</v>
          </cell>
          <cell r="E538" t="str">
            <v>△</v>
          </cell>
          <cell r="F538">
            <v>0</v>
          </cell>
          <cell r="G538" t="str">
            <v>客户贷款及垫款净增加额</v>
          </cell>
          <cell r="H538">
            <v>0</v>
          </cell>
          <cell r="I538">
            <v>7053</v>
          </cell>
          <cell r="J538" t="str">
            <v>J</v>
          </cell>
        </row>
        <row r="539">
          <cell r="B539">
            <v>7054</v>
          </cell>
          <cell r="C539" t="str">
            <v>存放中央银行和同业款项净增加额</v>
          </cell>
          <cell r="D539">
            <v>-1</v>
          </cell>
          <cell r="E539" t="str">
            <v>△</v>
          </cell>
          <cell r="F539">
            <v>0</v>
          </cell>
          <cell r="G539" t="str">
            <v>存放中央银行和同业款项净增加额</v>
          </cell>
          <cell r="H539">
            <v>0</v>
          </cell>
          <cell r="I539">
            <v>7054</v>
          </cell>
          <cell r="J539" t="str">
            <v>J</v>
          </cell>
        </row>
        <row r="540">
          <cell r="B540">
            <v>7055</v>
          </cell>
          <cell r="C540" t="str">
            <v>支付原保险合同赔付款项的现金</v>
          </cell>
          <cell r="D540">
            <v>-1</v>
          </cell>
          <cell r="E540" t="str">
            <v>△</v>
          </cell>
          <cell r="F540">
            <v>0</v>
          </cell>
          <cell r="G540" t="str">
            <v>支付原保险合同赔付款项的现金</v>
          </cell>
          <cell r="H540">
            <v>0</v>
          </cell>
          <cell r="I540">
            <v>7055</v>
          </cell>
          <cell r="J540" t="str">
            <v>J</v>
          </cell>
        </row>
        <row r="541">
          <cell r="B541">
            <v>7056</v>
          </cell>
          <cell r="C541" t="str">
            <v>支付利息手续费及佣金的现金</v>
          </cell>
          <cell r="D541">
            <v>-1</v>
          </cell>
          <cell r="E541" t="str">
            <v>△</v>
          </cell>
          <cell r="F541">
            <v>0</v>
          </cell>
          <cell r="G541" t="str">
            <v>支付利息、手续费及佣金的现金</v>
          </cell>
          <cell r="H541">
            <v>0</v>
          </cell>
          <cell r="I541">
            <v>7056</v>
          </cell>
          <cell r="J541" t="str">
            <v>J</v>
          </cell>
        </row>
        <row r="542">
          <cell r="B542">
            <v>7057</v>
          </cell>
          <cell r="C542" t="str">
            <v>支付保单红利的现金</v>
          </cell>
          <cell r="D542">
            <v>-1</v>
          </cell>
          <cell r="E542" t="str">
            <v>△</v>
          </cell>
          <cell r="F542">
            <v>0</v>
          </cell>
          <cell r="G542" t="str">
            <v>支付保单红利的现金</v>
          </cell>
          <cell r="H542">
            <v>0</v>
          </cell>
          <cell r="I542">
            <v>7057</v>
          </cell>
          <cell r="J542" t="str">
            <v>J</v>
          </cell>
        </row>
        <row r="543">
          <cell r="B543">
            <v>7061</v>
          </cell>
          <cell r="C543" t="str">
            <v>支付给职工以及为职工支付的现金</v>
          </cell>
          <cell r="D543">
            <v>-1</v>
          </cell>
          <cell r="E543">
            <v>0</v>
          </cell>
          <cell r="F543">
            <v>0</v>
          </cell>
          <cell r="G543" t="str">
            <v>支付给职工以及为职工支付的现金</v>
          </cell>
          <cell r="H543">
            <v>0</v>
          </cell>
          <cell r="I543">
            <v>7061</v>
          </cell>
          <cell r="J543" t="str">
            <v>J</v>
          </cell>
        </row>
        <row r="544">
          <cell r="B544">
            <v>7071</v>
          </cell>
          <cell r="C544" t="str">
            <v>支付的各项税费</v>
          </cell>
          <cell r="D544">
            <v>-1</v>
          </cell>
          <cell r="E544">
            <v>0</v>
          </cell>
          <cell r="F544">
            <v>0</v>
          </cell>
          <cell r="G544" t="str">
            <v>支付的各项税费</v>
          </cell>
          <cell r="H544">
            <v>0</v>
          </cell>
          <cell r="I544">
            <v>7071</v>
          </cell>
          <cell r="J544" t="str">
            <v>J</v>
          </cell>
        </row>
        <row r="545">
          <cell r="B545">
            <v>7096</v>
          </cell>
          <cell r="C545" t="str">
            <v>支付其他与经营活动有关的现金</v>
          </cell>
          <cell r="D545">
            <v>-1</v>
          </cell>
          <cell r="E545">
            <v>0</v>
          </cell>
          <cell r="F545">
            <v>0</v>
          </cell>
          <cell r="G545" t="str">
            <v>支付其他与经营活动有关的现金</v>
          </cell>
          <cell r="H545">
            <v>0</v>
          </cell>
          <cell r="I545">
            <v>7096</v>
          </cell>
          <cell r="J545" t="str">
            <v>J</v>
          </cell>
        </row>
        <row r="546">
          <cell r="B546">
            <v>7098</v>
          </cell>
          <cell r="C546" t="str">
            <v>经营活动现金流出</v>
          </cell>
          <cell r="D546">
            <v>0</v>
          </cell>
          <cell r="E546" t="str">
            <v>＝</v>
          </cell>
          <cell r="F546">
            <v>0</v>
          </cell>
          <cell r="G546" t="str">
            <v>经营活动现金流出小计</v>
          </cell>
          <cell r="H546">
            <v>0</v>
          </cell>
          <cell r="I546">
            <v>7098</v>
          </cell>
          <cell r="J546">
            <v>0</v>
          </cell>
        </row>
        <row r="547">
          <cell r="B547">
            <v>7099</v>
          </cell>
          <cell r="C547" t="str">
            <v>经营活动产生的现金流量净额</v>
          </cell>
          <cell r="D547">
            <v>0</v>
          </cell>
          <cell r="E547" t="str">
            <v>＝</v>
          </cell>
          <cell r="F547">
            <v>0</v>
          </cell>
          <cell r="G547" t="str">
            <v>经营活动产生的现金流量净额</v>
          </cell>
          <cell r="H547">
            <v>0</v>
          </cell>
          <cell r="I547">
            <v>7099</v>
          </cell>
          <cell r="J547">
            <v>0</v>
          </cell>
        </row>
        <row r="548">
          <cell r="B548">
            <v>7100</v>
          </cell>
          <cell r="C548" t="str">
            <v>投资活动现金流量项目</v>
          </cell>
          <cell r="D548">
            <v>0</v>
          </cell>
          <cell r="E548" t="str">
            <v>：</v>
          </cell>
          <cell r="F548">
            <v>0</v>
          </cell>
          <cell r="G548" t="str">
            <v>二、投资活动产生的现金流量：</v>
          </cell>
          <cell r="H548">
            <v>0</v>
          </cell>
          <cell r="I548">
            <v>7100</v>
          </cell>
          <cell r="J548">
            <v>0</v>
          </cell>
        </row>
        <row r="549">
          <cell r="B549">
            <v>7101</v>
          </cell>
          <cell r="C549" t="str">
            <v>收回投资收到的现金</v>
          </cell>
          <cell r="D549">
            <v>1</v>
          </cell>
          <cell r="E549">
            <v>0</v>
          </cell>
          <cell r="F549">
            <v>0</v>
          </cell>
          <cell r="G549" t="str">
            <v>收回投资收到的现金</v>
          </cell>
          <cell r="H549">
            <v>0</v>
          </cell>
          <cell r="I549">
            <v>7101</v>
          </cell>
          <cell r="J549" t="str">
            <v>J</v>
          </cell>
        </row>
        <row r="550">
          <cell r="B550">
            <v>7105</v>
          </cell>
          <cell r="C550" t="str">
            <v>取得投资收益收到的现金</v>
          </cell>
          <cell r="D550">
            <v>1</v>
          </cell>
          <cell r="E550">
            <v>0</v>
          </cell>
          <cell r="F550">
            <v>0</v>
          </cell>
          <cell r="G550" t="str">
            <v>取得投资收益收到的现金</v>
          </cell>
          <cell r="H550">
            <v>0</v>
          </cell>
          <cell r="I550">
            <v>7105</v>
          </cell>
          <cell r="J550" t="str">
            <v>J</v>
          </cell>
        </row>
        <row r="551">
          <cell r="B551">
            <v>7111</v>
          </cell>
          <cell r="C551" t="str">
            <v>处置固定资产无形资产长期资产收回的现金</v>
          </cell>
          <cell r="D551">
            <v>1</v>
          </cell>
          <cell r="E551">
            <v>0</v>
          </cell>
          <cell r="F551">
            <v>0</v>
          </cell>
          <cell r="G551" t="str">
            <v>处置固定资产、无形资产和其他长期资产收回的现金净额</v>
          </cell>
          <cell r="H551">
            <v>0</v>
          </cell>
          <cell r="I551">
            <v>7111</v>
          </cell>
          <cell r="J551" t="str">
            <v>J</v>
          </cell>
        </row>
        <row r="552">
          <cell r="B552">
            <v>7121</v>
          </cell>
          <cell r="C552" t="str">
            <v>处置子公司及其他营业单位收到的现金净额</v>
          </cell>
          <cell r="D552">
            <v>1</v>
          </cell>
          <cell r="E552">
            <v>0</v>
          </cell>
          <cell r="F552">
            <v>0</v>
          </cell>
          <cell r="G552" t="str">
            <v>处置子公司及其他营业单位收到的现金净额</v>
          </cell>
          <cell r="H552">
            <v>0</v>
          </cell>
          <cell r="I552">
            <v>7121</v>
          </cell>
          <cell r="J552" t="str">
            <v>J</v>
          </cell>
        </row>
        <row r="553">
          <cell r="B553">
            <v>7146</v>
          </cell>
          <cell r="C553" t="str">
            <v>收到其他与投资活动有关的现金</v>
          </cell>
          <cell r="D553">
            <v>1</v>
          </cell>
          <cell r="E553">
            <v>0</v>
          </cell>
          <cell r="F553">
            <v>0</v>
          </cell>
          <cell r="G553" t="str">
            <v>收到其他与投资活动有关的现金</v>
          </cell>
          <cell r="H553">
            <v>0</v>
          </cell>
          <cell r="I553">
            <v>7146</v>
          </cell>
          <cell r="J553" t="str">
            <v>J</v>
          </cell>
        </row>
        <row r="554">
          <cell r="B554">
            <v>7148</v>
          </cell>
          <cell r="C554" t="str">
            <v>投资活动现金流入</v>
          </cell>
          <cell r="D554">
            <v>0</v>
          </cell>
          <cell r="E554" t="str">
            <v>＝</v>
          </cell>
          <cell r="F554">
            <v>0</v>
          </cell>
          <cell r="G554" t="str">
            <v>投资活动现金流入小计</v>
          </cell>
          <cell r="H554">
            <v>0</v>
          </cell>
          <cell r="I554">
            <v>7148</v>
          </cell>
          <cell r="J554">
            <v>0</v>
          </cell>
        </row>
        <row r="555">
          <cell r="B555">
            <v>7151</v>
          </cell>
          <cell r="C555" t="str">
            <v>购置固定资产无形资产长期资产支付的现金</v>
          </cell>
          <cell r="D555">
            <v>-1</v>
          </cell>
          <cell r="E555">
            <v>0</v>
          </cell>
          <cell r="F555">
            <v>0</v>
          </cell>
          <cell r="G555" t="str">
            <v>购置固定资产、无形资产和其他长期资产支付的现金</v>
          </cell>
          <cell r="H555">
            <v>0</v>
          </cell>
          <cell r="I555">
            <v>7151</v>
          </cell>
          <cell r="J555" t="str">
            <v>J</v>
          </cell>
        </row>
        <row r="556">
          <cell r="B556">
            <v>7161</v>
          </cell>
          <cell r="C556" t="str">
            <v>投资支付的现金</v>
          </cell>
          <cell r="D556">
            <v>-1</v>
          </cell>
          <cell r="E556">
            <v>0</v>
          </cell>
          <cell r="F556">
            <v>0</v>
          </cell>
          <cell r="G556" t="str">
            <v>投资支付的现金</v>
          </cell>
          <cell r="H556">
            <v>0</v>
          </cell>
          <cell r="I556">
            <v>7161</v>
          </cell>
          <cell r="J556" t="str">
            <v>J</v>
          </cell>
        </row>
        <row r="557">
          <cell r="B557">
            <v>7165</v>
          </cell>
          <cell r="C557" t="str">
            <v>质押贷款净增加额</v>
          </cell>
          <cell r="D557">
            <v>-1</v>
          </cell>
          <cell r="E557" t="str">
            <v>△</v>
          </cell>
          <cell r="F557">
            <v>0</v>
          </cell>
          <cell r="G557" t="str">
            <v>质押贷款净增加额</v>
          </cell>
          <cell r="H557">
            <v>0</v>
          </cell>
          <cell r="I557">
            <v>7165</v>
          </cell>
          <cell r="J557" t="str">
            <v>J</v>
          </cell>
        </row>
        <row r="558">
          <cell r="B558">
            <v>7171</v>
          </cell>
          <cell r="C558" t="str">
            <v>取得子公司及其他营业单位支付的现金净额</v>
          </cell>
          <cell r="D558">
            <v>-1</v>
          </cell>
          <cell r="E558">
            <v>0</v>
          </cell>
          <cell r="F558">
            <v>0</v>
          </cell>
          <cell r="G558" t="str">
            <v>取得子公司及其他营业单位支付的现金净额</v>
          </cell>
          <cell r="H558">
            <v>0</v>
          </cell>
          <cell r="I558">
            <v>7171</v>
          </cell>
          <cell r="J558" t="str">
            <v>J</v>
          </cell>
        </row>
        <row r="559">
          <cell r="B559">
            <v>7196</v>
          </cell>
          <cell r="C559" t="str">
            <v>支付其他与投资活动有关的现金</v>
          </cell>
          <cell r="D559">
            <v>-1</v>
          </cell>
          <cell r="E559">
            <v>0</v>
          </cell>
          <cell r="F559">
            <v>0</v>
          </cell>
          <cell r="G559" t="str">
            <v>支付其他与投资活动有关的现金</v>
          </cell>
          <cell r="H559">
            <v>0</v>
          </cell>
          <cell r="I559">
            <v>7196</v>
          </cell>
          <cell r="J559" t="str">
            <v>J</v>
          </cell>
        </row>
        <row r="560">
          <cell r="B560">
            <v>7198</v>
          </cell>
          <cell r="C560" t="str">
            <v>投资活动现金流出</v>
          </cell>
          <cell r="D560">
            <v>0</v>
          </cell>
          <cell r="E560" t="str">
            <v>＝</v>
          </cell>
          <cell r="F560">
            <v>0</v>
          </cell>
          <cell r="G560" t="str">
            <v>投资活动现金流出小计</v>
          </cell>
          <cell r="H560">
            <v>0</v>
          </cell>
          <cell r="I560">
            <v>7198</v>
          </cell>
          <cell r="J560">
            <v>0</v>
          </cell>
        </row>
        <row r="561">
          <cell r="B561">
            <v>7199</v>
          </cell>
          <cell r="C561" t="str">
            <v>投资活动产生的现金流量净额</v>
          </cell>
          <cell r="D561">
            <v>0</v>
          </cell>
          <cell r="E561" t="str">
            <v>＝</v>
          </cell>
          <cell r="F561">
            <v>0</v>
          </cell>
          <cell r="G561" t="str">
            <v>投资活动产生的现金流量净额</v>
          </cell>
          <cell r="H561">
            <v>0</v>
          </cell>
          <cell r="I561">
            <v>7199</v>
          </cell>
          <cell r="J561">
            <v>0</v>
          </cell>
        </row>
        <row r="562">
          <cell r="B562">
            <v>7200</v>
          </cell>
          <cell r="C562" t="str">
            <v>筹资活动现金流量项目</v>
          </cell>
          <cell r="D562">
            <v>0</v>
          </cell>
          <cell r="E562" t="str">
            <v>：</v>
          </cell>
          <cell r="F562">
            <v>0</v>
          </cell>
          <cell r="G562" t="str">
            <v>三、筹资活动产生的现金流量：</v>
          </cell>
          <cell r="H562">
            <v>0</v>
          </cell>
          <cell r="I562">
            <v>7200</v>
          </cell>
          <cell r="J562">
            <v>0</v>
          </cell>
        </row>
        <row r="563">
          <cell r="B563">
            <v>7201</v>
          </cell>
          <cell r="C563" t="str">
            <v>吸收投资收到的现金</v>
          </cell>
          <cell r="D563">
            <v>1</v>
          </cell>
          <cell r="E563">
            <v>0</v>
          </cell>
          <cell r="F563">
            <v>0</v>
          </cell>
          <cell r="G563" t="str">
            <v>吸收投资收到的现金</v>
          </cell>
          <cell r="H563">
            <v>0</v>
          </cell>
          <cell r="I563">
            <v>7201</v>
          </cell>
          <cell r="J563" t="str">
            <v>J</v>
          </cell>
        </row>
        <row r="564">
          <cell r="B564">
            <v>7201.01</v>
          </cell>
          <cell r="C564" t="str">
            <v>子公司吸收少数股东投资收到的现金</v>
          </cell>
          <cell r="D564">
            <v>1</v>
          </cell>
          <cell r="E564" t="str">
            <v>※</v>
          </cell>
          <cell r="F564">
            <v>0</v>
          </cell>
          <cell r="G564" t="str">
            <v>其中：子公司吸收少数股东权益性投资收到的现金</v>
          </cell>
          <cell r="H564">
            <v>0</v>
          </cell>
          <cell r="I564">
            <v>7201.01</v>
          </cell>
          <cell r="J564" t="str">
            <v>J</v>
          </cell>
        </row>
        <row r="565">
          <cell r="B565">
            <v>7211</v>
          </cell>
          <cell r="C565" t="str">
            <v>取得借款收到的现金</v>
          </cell>
          <cell r="D565">
            <v>1</v>
          </cell>
          <cell r="E565">
            <v>0</v>
          </cell>
          <cell r="F565">
            <v>0</v>
          </cell>
          <cell r="G565" t="str">
            <v>取得借款收到的现金</v>
          </cell>
          <cell r="H565">
            <v>0</v>
          </cell>
          <cell r="I565">
            <v>7211</v>
          </cell>
          <cell r="J565" t="str">
            <v>J</v>
          </cell>
        </row>
        <row r="566">
          <cell r="B566">
            <v>7221</v>
          </cell>
          <cell r="C566" t="str">
            <v>发行债券收到的现金</v>
          </cell>
          <cell r="D566">
            <v>1</v>
          </cell>
          <cell r="E566">
            <v>0</v>
          </cell>
          <cell r="F566">
            <v>0</v>
          </cell>
          <cell r="G566" t="str">
            <v>发行债券收到的现金</v>
          </cell>
          <cell r="H566">
            <v>0</v>
          </cell>
          <cell r="I566">
            <v>7221</v>
          </cell>
          <cell r="J566" t="str">
            <v>J</v>
          </cell>
        </row>
        <row r="567">
          <cell r="B567">
            <v>7246</v>
          </cell>
          <cell r="C567" t="str">
            <v>收到其他与筹资活动有关的现金</v>
          </cell>
          <cell r="D567">
            <v>1</v>
          </cell>
          <cell r="E567">
            <v>0</v>
          </cell>
          <cell r="F567">
            <v>0</v>
          </cell>
          <cell r="G567" t="str">
            <v>收到其他与筹资活动有关的现金</v>
          </cell>
          <cell r="H567">
            <v>0</v>
          </cell>
          <cell r="I567">
            <v>7246</v>
          </cell>
          <cell r="J567" t="str">
            <v>J</v>
          </cell>
        </row>
        <row r="568">
          <cell r="B568">
            <v>7248</v>
          </cell>
          <cell r="C568" t="str">
            <v>筹资活动现金流入</v>
          </cell>
          <cell r="D568">
            <v>0</v>
          </cell>
          <cell r="E568" t="str">
            <v>＝</v>
          </cell>
          <cell r="F568">
            <v>0</v>
          </cell>
          <cell r="G568" t="str">
            <v>筹资活动现金流入小计</v>
          </cell>
          <cell r="H568">
            <v>0</v>
          </cell>
          <cell r="I568">
            <v>7248</v>
          </cell>
          <cell r="J568">
            <v>0</v>
          </cell>
        </row>
        <row r="569">
          <cell r="B569">
            <v>7251</v>
          </cell>
          <cell r="C569" t="str">
            <v>偿还债务支付的现金</v>
          </cell>
          <cell r="D569">
            <v>-1</v>
          </cell>
          <cell r="E569">
            <v>0</v>
          </cell>
          <cell r="F569">
            <v>0</v>
          </cell>
          <cell r="G569" t="str">
            <v>偿还债务支付的现金</v>
          </cell>
          <cell r="H569">
            <v>0</v>
          </cell>
          <cell r="I569">
            <v>7251</v>
          </cell>
          <cell r="J569" t="str">
            <v>J</v>
          </cell>
        </row>
        <row r="570">
          <cell r="B570">
            <v>7261</v>
          </cell>
          <cell r="C570" t="str">
            <v>分配利润偿付利息支付的现金</v>
          </cell>
          <cell r="D570">
            <v>-1</v>
          </cell>
          <cell r="E570">
            <v>0</v>
          </cell>
          <cell r="F570">
            <v>0</v>
          </cell>
          <cell r="G570" t="str">
            <v>分配股利、利润或偿付利息支付的现金</v>
          </cell>
          <cell r="H570">
            <v>0</v>
          </cell>
          <cell r="I570">
            <v>7261</v>
          </cell>
          <cell r="J570" t="str">
            <v>J</v>
          </cell>
        </row>
        <row r="571">
          <cell r="B571">
            <v>7261.01</v>
          </cell>
          <cell r="C571" t="str">
            <v>子公司支付少数股东的现金股利</v>
          </cell>
          <cell r="D571">
            <v>-1</v>
          </cell>
          <cell r="E571" t="str">
            <v>※</v>
          </cell>
          <cell r="F571">
            <v>0</v>
          </cell>
          <cell r="G571" t="str">
            <v>其中：子公司支付少数股东的现金股利</v>
          </cell>
          <cell r="H571">
            <v>0</v>
          </cell>
          <cell r="I571">
            <v>7261.01</v>
          </cell>
          <cell r="J571" t="str">
            <v>J</v>
          </cell>
        </row>
        <row r="572">
          <cell r="B572">
            <v>7296</v>
          </cell>
          <cell r="C572" t="str">
            <v>支付其他与筹资活动有关的现金</v>
          </cell>
          <cell r="D572">
            <v>-1</v>
          </cell>
          <cell r="E572">
            <v>0</v>
          </cell>
          <cell r="F572">
            <v>0</v>
          </cell>
          <cell r="G572" t="str">
            <v>支付其他与筹资活动有关的现金</v>
          </cell>
          <cell r="H572">
            <v>0</v>
          </cell>
          <cell r="I572">
            <v>7296</v>
          </cell>
          <cell r="J572" t="str">
            <v>J</v>
          </cell>
        </row>
        <row r="573">
          <cell r="B573">
            <v>7296.11</v>
          </cell>
          <cell r="C573" t="str">
            <v>子公司减资支付给少数股东的现金</v>
          </cell>
          <cell r="D573">
            <v>-1</v>
          </cell>
          <cell r="E573" t="str">
            <v>※</v>
          </cell>
          <cell r="F573">
            <v>0</v>
          </cell>
          <cell r="G573" t="str">
            <v>其中：子公司减资支付给少数股东的现金</v>
          </cell>
          <cell r="H573">
            <v>0</v>
          </cell>
          <cell r="I573">
            <v>7296.11</v>
          </cell>
          <cell r="J573" t="str">
            <v>J</v>
          </cell>
        </row>
        <row r="574">
          <cell r="B574">
            <v>7298</v>
          </cell>
          <cell r="C574" t="str">
            <v>筹资活动现金流出</v>
          </cell>
          <cell r="D574">
            <v>0</v>
          </cell>
          <cell r="E574" t="str">
            <v>＝</v>
          </cell>
          <cell r="F574">
            <v>0</v>
          </cell>
          <cell r="G574" t="str">
            <v>筹资活动现金流出小计</v>
          </cell>
          <cell r="H574">
            <v>0</v>
          </cell>
          <cell r="I574">
            <v>7298</v>
          </cell>
          <cell r="J574">
            <v>0</v>
          </cell>
        </row>
        <row r="575">
          <cell r="B575">
            <v>7299</v>
          </cell>
          <cell r="C575" t="str">
            <v>筹资活动产生的现金流量净额</v>
          </cell>
          <cell r="D575">
            <v>0</v>
          </cell>
          <cell r="E575" t="str">
            <v>＝</v>
          </cell>
          <cell r="F575">
            <v>0</v>
          </cell>
          <cell r="G575" t="str">
            <v>筹资活动产生的现金流量净额</v>
          </cell>
          <cell r="H575">
            <v>0</v>
          </cell>
          <cell r="I575">
            <v>7299</v>
          </cell>
          <cell r="J575">
            <v>0</v>
          </cell>
        </row>
        <row r="576">
          <cell r="B576">
            <v>7309</v>
          </cell>
          <cell r="C576" t="str">
            <v>汇率变动对现金及现金等价物的影响</v>
          </cell>
          <cell r="D576">
            <v>1</v>
          </cell>
          <cell r="E576">
            <v>0</v>
          </cell>
          <cell r="F576">
            <v>0</v>
          </cell>
          <cell r="G576" t="str">
            <v>四、汇率变动对现金及现金等价物的影响</v>
          </cell>
          <cell r="H576">
            <v>0</v>
          </cell>
          <cell r="I576">
            <v>7309</v>
          </cell>
          <cell r="J576" t="str">
            <v>J</v>
          </cell>
        </row>
        <row r="577">
          <cell r="B577">
            <v>7348</v>
          </cell>
          <cell r="C577" t="str">
            <v>现金及现金等价物净增加额</v>
          </cell>
          <cell r="D577">
            <v>0</v>
          </cell>
          <cell r="E577" t="str">
            <v>＝</v>
          </cell>
          <cell r="F577">
            <v>0</v>
          </cell>
          <cell r="G577" t="str">
            <v>五、现金及现金等价物净增加额</v>
          </cell>
          <cell r="H577">
            <v>0</v>
          </cell>
          <cell r="I577">
            <v>7348</v>
          </cell>
          <cell r="J577">
            <v>0</v>
          </cell>
        </row>
        <row r="578">
          <cell r="B578">
            <v>7349</v>
          </cell>
          <cell r="C578" t="str">
            <v>期初现金及现金等价物余额</v>
          </cell>
          <cell r="D578">
            <v>1</v>
          </cell>
          <cell r="E578">
            <v>0</v>
          </cell>
          <cell r="F578">
            <v>0</v>
          </cell>
          <cell r="G578" t="str">
            <v>加：期初现金及现金等价物余额</v>
          </cell>
          <cell r="H578">
            <v>0</v>
          </cell>
          <cell r="I578">
            <v>7349</v>
          </cell>
          <cell r="J578" t="str">
            <v>J</v>
          </cell>
        </row>
        <row r="579">
          <cell r="B579">
            <v>7399</v>
          </cell>
          <cell r="C579" t="str">
            <v>期末现金及现金等价物余额</v>
          </cell>
          <cell r="D579">
            <v>0</v>
          </cell>
          <cell r="E579" t="str">
            <v>＝</v>
          </cell>
          <cell r="F579">
            <v>0</v>
          </cell>
          <cell r="G579" t="str">
            <v>六、期末现金及现金等价物余额</v>
          </cell>
          <cell r="H579">
            <v>0</v>
          </cell>
          <cell r="I579">
            <v>7399</v>
          </cell>
          <cell r="J579">
            <v>0</v>
          </cell>
        </row>
        <row r="580">
          <cell r="B580">
            <v>7500</v>
          </cell>
          <cell r="C580" t="str">
            <v>现金流量表补充资料</v>
          </cell>
          <cell r="D580">
            <v>0</v>
          </cell>
          <cell r="E580" t="str">
            <v>：</v>
          </cell>
          <cell r="F580">
            <v>0</v>
          </cell>
          <cell r="G580" t="str">
            <v>现金流量表补充资料</v>
          </cell>
          <cell r="H580">
            <v>0</v>
          </cell>
          <cell r="I580">
            <v>7500</v>
          </cell>
          <cell r="J580">
            <v>0</v>
          </cell>
        </row>
        <row r="581">
          <cell r="B581">
            <v>7501</v>
          </cell>
          <cell r="C581" t="str">
            <v>将净利润调节为经营活动现金流量</v>
          </cell>
          <cell r="D581">
            <v>0</v>
          </cell>
          <cell r="E581" t="str">
            <v>：</v>
          </cell>
          <cell r="F581">
            <v>0</v>
          </cell>
          <cell r="G581" t="str">
            <v>1.将净利润调节为经营活动现金流量：</v>
          </cell>
          <cell r="H581">
            <v>0</v>
          </cell>
          <cell r="I581">
            <v>7501</v>
          </cell>
          <cell r="J581">
            <v>0</v>
          </cell>
        </row>
        <row r="582">
          <cell r="B582">
            <v>7502</v>
          </cell>
          <cell r="C582" t="str">
            <v>净利润金额</v>
          </cell>
          <cell r="D582">
            <v>1</v>
          </cell>
          <cell r="E582">
            <v>0</v>
          </cell>
          <cell r="F582">
            <v>0</v>
          </cell>
          <cell r="G582" t="str">
            <v>净利润</v>
          </cell>
          <cell r="H582">
            <v>0</v>
          </cell>
          <cell r="I582">
            <v>7502</v>
          </cell>
          <cell r="J582">
            <v>0</v>
          </cell>
        </row>
        <row r="583">
          <cell r="B583">
            <v>7503</v>
          </cell>
          <cell r="C583" t="str">
            <v>资产减值准备金额</v>
          </cell>
          <cell r="D583">
            <v>1</v>
          </cell>
          <cell r="E583">
            <v>0</v>
          </cell>
          <cell r="F583">
            <v>0</v>
          </cell>
          <cell r="G583" t="str">
            <v>加：资产减值准备</v>
          </cell>
          <cell r="H583">
            <v>0</v>
          </cell>
          <cell r="I583">
            <v>7503</v>
          </cell>
          <cell r="J583">
            <v>0</v>
          </cell>
        </row>
        <row r="584">
          <cell r="B584">
            <v>7505</v>
          </cell>
          <cell r="C584" t="str">
            <v>固定资产折旧、油气资产折耗、生产性生物资产折旧</v>
          </cell>
          <cell r="D584">
            <v>1</v>
          </cell>
          <cell r="E584">
            <v>0</v>
          </cell>
          <cell r="F584">
            <v>0</v>
          </cell>
          <cell r="G584" t="str">
            <v>固定资产折旧、油气资产折耗、生产性生物资产折旧</v>
          </cell>
          <cell r="H584">
            <v>0</v>
          </cell>
          <cell r="I584">
            <v>7505</v>
          </cell>
          <cell r="J584">
            <v>0</v>
          </cell>
        </row>
        <row r="585">
          <cell r="B585">
            <v>7506</v>
          </cell>
          <cell r="C585" t="str">
            <v>无形资产摊销</v>
          </cell>
          <cell r="D585">
            <v>1</v>
          </cell>
          <cell r="E585">
            <v>0</v>
          </cell>
          <cell r="F585">
            <v>0</v>
          </cell>
          <cell r="G585" t="str">
            <v>无形资产摊销</v>
          </cell>
          <cell r="H585">
            <v>0</v>
          </cell>
          <cell r="I585">
            <v>7506</v>
          </cell>
          <cell r="J585">
            <v>0</v>
          </cell>
        </row>
        <row r="586">
          <cell r="B586">
            <v>7507</v>
          </cell>
          <cell r="C586" t="str">
            <v>长期待摊费用摊销</v>
          </cell>
          <cell r="D586">
            <v>1</v>
          </cell>
          <cell r="E586">
            <v>0</v>
          </cell>
          <cell r="F586">
            <v>0</v>
          </cell>
          <cell r="G586" t="str">
            <v>长期待摊费用摊销</v>
          </cell>
          <cell r="H586">
            <v>0</v>
          </cell>
          <cell r="I586">
            <v>7507</v>
          </cell>
          <cell r="J586">
            <v>0</v>
          </cell>
        </row>
        <row r="587">
          <cell r="B587">
            <v>7508</v>
          </cell>
          <cell r="C587" t="str">
            <v>处置固定资产、无形资产和其他长期资产的损失</v>
          </cell>
          <cell r="D587">
            <v>1</v>
          </cell>
          <cell r="E587">
            <v>0</v>
          </cell>
          <cell r="F587">
            <v>0</v>
          </cell>
          <cell r="G587" t="str">
            <v>处置固定资产、无形资产和其他长期资产的损失（收益以“－”号填列）</v>
          </cell>
          <cell r="H587">
            <v>0</v>
          </cell>
          <cell r="I587">
            <v>7508</v>
          </cell>
          <cell r="J587">
            <v>0</v>
          </cell>
        </row>
        <row r="588">
          <cell r="B588">
            <v>7509</v>
          </cell>
          <cell r="C588" t="str">
            <v>固定资产报废损失</v>
          </cell>
          <cell r="D588">
            <v>1</v>
          </cell>
          <cell r="E588">
            <v>0</v>
          </cell>
          <cell r="F588">
            <v>0</v>
          </cell>
          <cell r="G588" t="str">
            <v>固定资产报废损失（收益以“－”号填列）</v>
          </cell>
          <cell r="H588">
            <v>0</v>
          </cell>
          <cell r="I588">
            <v>7509</v>
          </cell>
          <cell r="J588">
            <v>0</v>
          </cell>
        </row>
        <row r="589">
          <cell r="B589">
            <v>7510</v>
          </cell>
          <cell r="C589" t="str">
            <v>公允价值变动损失</v>
          </cell>
          <cell r="D589">
            <v>1</v>
          </cell>
          <cell r="E589">
            <v>0</v>
          </cell>
          <cell r="F589">
            <v>0</v>
          </cell>
          <cell r="G589" t="str">
            <v>公允价值变动损失（收益以“－”号填列）</v>
          </cell>
          <cell r="H589">
            <v>0</v>
          </cell>
          <cell r="I589">
            <v>7510</v>
          </cell>
          <cell r="J589">
            <v>0</v>
          </cell>
        </row>
        <row r="590">
          <cell r="B590">
            <v>7511</v>
          </cell>
          <cell r="C590" t="str">
            <v>财务费用金额</v>
          </cell>
          <cell r="D590">
            <v>1</v>
          </cell>
          <cell r="E590">
            <v>0</v>
          </cell>
          <cell r="F590">
            <v>0</v>
          </cell>
          <cell r="G590" t="str">
            <v>财务费用（收益以“－”号填列）</v>
          </cell>
          <cell r="H590">
            <v>0</v>
          </cell>
          <cell r="I590">
            <v>7511</v>
          </cell>
          <cell r="J590">
            <v>0</v>
          </cell>
        </row>
        <row r="591">
          <cell r="B591">
            <v>7512</v>
          </cell>
          <cell r="C591" t="str">
            <v>投资损失</v>
          </cell>
          <cell r="D591">
            <v>1</v>
          </cell>
          <cell r="E591">
            <v>0</v>
          </cell>
          <cell r="F591">
            <v>0</v>
          </cell>
          <cell r="G591" t="str">
            <v>投资损失（收益以“－”号填列）</v>
          </cell>
          <cell r="H591">
            <v>0</v>
          </cell>
          <cell r="I591">
            <v>7512</v>
          </cell>
          <cell r="J591">
            <v>0</v>
          </cell>
        </row>
        <row r="592">
          <cell r="B592">
            <v>7515</v>
          </cell>
          <cell r="C592" t="str">
            <v>递延所得税资产减少</v>
          </cell>
          <cell r="D592">
            <v>1</v>
          </cell>
          <cell r="E592">
            <v>0</v>
          </cell>
          <cell r="F592">
            <v>0</v>
          </cell>
          <cell r="G592" t="str">
            <v>递延所得税资产减少（增加以“－”号填列）</v>
          </cell>
          <cell r="H592">
            <v>0</v>
          </cell>
          <cell r="I592">
            <v>7515</v>
          </cell>
          <cell r="J592">
            <v>0</v>
          </cell>
        </row>
        <row r="593">
          <cell r="B593">
            <v>7516</v>
          </cell>
          <cell r="C593" t="str">
            <v>递延所得税负债增加</v>
          </cell>
          <cell r="D593">
            <v>1</v>
          </cell>
          <cell r="E593">
            <v>0</v>
          </cell>
          <cell r="F593">
            <v>0</v>
          </cell>
          <cell r="G593" t="str">
            <v>递延所得税负债增加（减少以“－”号填列）</v>
          </cell>
          <cell r="H593">
            <v>0</v>
          </cell>
          <cell r="I593">
            <v>7516</v>
          </cell>
          <cell r="J593">
            <v>0</v>
          </cell>
        </row>
        <row r="594">
          <cell r="B594">
            <v>7517</v>
          </cell>
          <cell r="C594" t="str">
            <v>存货的减少</v>
          </cell>
          <cell r="D594">
            <v>1</v>
          </cell>
          <cell r="E594">
            <v>0</v>
          </cell>
          <cell r="F594">
            <v>0</v>
          </cell>
          <cell r="G594" t="str">
            <v>存货的减少（增加以“－”号填列）</v>
          </cell>
          <cell r="H594">
            <v>0</v>
          </cell>
          <cell r="I594">
            <v>7517</v>
          </cell>
          <cell r="J594">
            <v>0</v>
          </cell>
        </row>
        <row r="595">
          <cell r="B595">
            <v>7518</v>
          </cell>
          <cell r="C595" t="str">
            <v>经营性应收项目的减少</v>
          </cell>
          <cell r="D595">
            <v>1</v>
          </cell>
          <cell r="E595">
            <v>0</v>
          </cell>
          <cell r="F595">
            <v>0</v>
          </cell>
          <cell r="G595" t="str">
            <v>经营性应收项目的减少（增加以“－”号填列）</v>
          </cell>
          <cell r="H595">
            <v>0</v>
          </cell>
          <cell r="I595">
            <v>7518</v>
          </cell>
          <cell r="J595">
            <v>0</v>
          </cell>
        </row>
        <row r="596">
          <cell r="B596">
            <v>7519</v>
          </cell>
          <cell r="C596" t="str">
            <v>经营性应付项目的增加</v>
          </cell>
          <cell r="D596">
            <v>1</v>
          </cell>
          <cell r="E596">
            <v>0</v>
          </cell>
          <cell r="F596">
            <v>0</v>
          </cell>
          <cell r="G596" t="str">
            <v>经营性应付项目的增加（减少以“－”号填列）</v>
          </cell>
          <cell r="H596">
            <v>0</v>
          </cell>
          <cell r="I596">
            <v>7519</v>
          </cell>
          <cell r="J596">
            <v>0</v>
          </cell>
        </row>
        <row r="597">
          <cell r="B597">
            <v>7523</v>
          </cell>
          <cell r="C597" t="str">
            <v>其他将净利润调节为经营活动现金流量项目</v>
          </cell>
          <cell r="D597">
            <v>1</v>
          </cell>
          <cell r="E597">
            <v>0</v>
          </cell>
          <cell r="F597">
            <v>0</v>
          </cell>
          <cell r="G597" t="str">
            <v>其他</v>
          </cell>
          <cell r="H597">
            <v>0</v>
          </cell>
          <cell r="I597">
            <v>7523</v>
          </cell>
          <cell r="J597">
            <v>0</v>
          </cell>
        </row>
        <row r="598">
          <cell r="B598">
            <v>7525</v>
          </cell>
          <cell r="C598" t="str">
            <v>经营活动产生的现金流量净额</v>
          </cell>
          <cell r="D598">
            <v>0</v>
          </cell>
          <cell r="E598" t="str">
            <v>＝</v>
          </cell>
          <cell r="F598">
            <v>0</v>
          </cell>
          <cell r="G598" t="str">
            <v>经营活动产生的现金流量净额</v>
          </cell>
          <cell r="H598">
            <v>0</v>
          </cell>
          <cell r="I598">
            <v>7525</v>
          </cell>
          <cell r="J598">
            <v>0</v>
          </cell>
        </row>
        <row r="599">
          <cell r="B599">
            <v>7526</v>
          </cell>
          <cell r="C599" t="str">
            <v>不涉及现金收支的重大投资和筹资活动</v>
          </cell>
          <cell r="D599">
            <v>0</v>
          </cell>
          <cell r="E599" t="str">
            <v>：</v>
          </cell>
          <cell r="F599">
            <v>0</v>
          </cell>
          <cell r="G599" t="str">
            <v>2.不涉及现金收支的重大投资和筹资活动：</v>
          </cell>
          <cell r="H599">
            <v>0</v>
          </cell>
          <cell r="I599">
            <v>7526</v>
          </cell>
          <cell r="J599">
            <v>0</v>
          </cell>
        </row>
        <row r="600">
          <cell r="B600">
            <v>7527</v>
          </cell>
          <cell r="C600" t="str">
            <v>债务转为资本</v>
          </cell>
          <cell r="D600">
            <v>0</v>
          </cell>
          <cell r="E600">
            <v>0</v>
          </cell>
          <cell r="F600">
            <v>0</v>
          </cell>
          <cell r="G600" t="str">
            <v>债务转为资本</v>
          </cell>
          <cell r="H600">
            <v>0</v>
          </cell>
          <cell r="I600">
            <v>7527</v>
          </cell>
          <cell r="J600">
            <v>0</v>
          </cell>
        </row>
        <row r="601">
          <cell r="B601">
            <v>7528</v>
          </cell>
          <cell r="C601" t="str">
            <v>一年内到期的可转换公司债券</v>
          </cell>
          <cell r="D601">
            <v>0</v>
          </cell>
          <cell r="E601">
            <v>0</v>
          </cell>
          <cell r="F601">
            <v>0</v>
          </cell>
          <cell r="G601" t="str">
            <v>一年内到期的可转换公司债券</v>
          </cell>
          <cell r="H601">
            <v>0</v>
          </cell>
          <cell r="I601">
            <v>7528</v>
          </cell>
          <cell r="J601">
            <v>0</v>
          </cell>
        </row>
        <row r="602">
          <cell r="B602">
            <v>7529</v>
          </cell>
          <cell r="C602" t="str">
            <v>融资租入固定资产</v>
          </cell>
          <cell r="D602">
            <v>0</v>
          </cell>
          <cell r="E602">
            <v>0</v>
          </cell>
          <cell r="F602">
            <v>0</v>
          </cell>
          <cell r="G602" t="str">
            <v>融资租入固定资产</v>
          </cell>
          <cell r="H602">
            <v>0</v>
          </cell>
          <cell r="I602">
            <v>7529</v>
          </cell>
          <cell r="J602">
            <v>0</v>
          </cell>
        </row>
        <row r="603">
          <cell r="B603">
            <v>7533</v>
          </cell>
          <cell r="C603" t="str">
            <v>现金及现金等价物净变动情况</v>
          </cell>
          <cell r="D603">
            <v>0</v>
          </cell>
          <cell r="E603" t="str">
            <v>：</v>
          </cell>
          <cell r="F603">
            <v>0</v>
          </cell>
          <cell r="G603" t="str">
            <v>3.现金及现金等价物净变动情况：</v>
          </cell>
          <cell r="H603">
            <v>0</v>
          </cell>
          <cell r="I603">
            <v>7533</v>
          </cell>
          <cell r="J603">
            <v>0</v>
          </cell>
        </row>
        <row r="604">
          <cell r="B604">
            <v>7535</v>
          </cell>
          <cell r="C604" t="str">
            <v>现金的期末余额</v>
          </cell>
          <cell r="D604">
            <v>1</v>
          </cell>
          <cell r="E604">
            <v>0</v>
          </cell>
          <cell r="F604">
            <v>0</v>
          </cell>
          <cell r="G604" t="str">
            <v>现金的期末余额</v>
          </cell>
          <cell r="H604">
            <v>0</v>
          </cell>
          <cell r="I604">
            <v>7535</v>
          </cell>
          <cell r="J604">
            <v>0</v>
          </cell>
        </row>
        <row r="605">
          <cell r="B605">
            <v>7536</v>
          </cell>
          <cell r="C605" t="str">
            <v>减：现金的年初余额</v>
          </cell>
          <cell r="D605">
            <v>1</v>
          </cell>
          <cell r="E605">
            <v>0</v>
          </cell>
          <cell r="F605">
            <v>0</v>
          </cell>
          <cell r="G605" t="str">
            <v>减：现金的年初余额</v>
          </cell>
          <cell r="H605">
            <v>0</v>
          </cell>
          <cell r="I605">
            <v>7536</v>
          </cell>
          <cell r="J605">
            <v>0</v>
          </cell>
        </row>
        <row r="606">
          <cell r="B606">
            <v>7537</v>
          </cell>
          <cell r="C606" t="str">
            <v>加：现金等价物的期末余额</v>
          </cell>
          <cell r="D606">
            <v>1</v>
          </cell>
          <cell r="E606">
            <v>0</v>
          </cell>
          <cell r="F606">
            <v>0</v>
          </cell>
          <cell r="G606" t="str">
            <v>加：现金等价物的期末余额</v>
          </cell>
          <cell r="H606">
            <v>0</v>
          </cell>
          <cell r="I606">
            <v>7537</v>
          </cell>
          <cell r="J606">
            <v>0</v>
          </cell>
        </row>
        <row r="607">
          <cell r="B607">
            <v>7538</v>
          </cell>
          <cell r="C607" t="str">
            <v>减：现金等价物的年初余额</v>
          </cell>
          <cell r="D607">
            <v>1</v>
          </cell>
          <cell r="E607">
            <v>0</v>
          </cell>
          <cell r="F607">
            <v>0</v>
          </cell>
          <cell r="G607" t="str">
            <v>减：现金等价物的年初余额</v>
          </cell>
          <cell r="H607">
            <v>0</v>
          </cell>
          <cell r="I607">
            <v>7538</v>
          </cell>
          <cell r="J607">
            <v>0</v>
          </cell>
        </row>
        <row r="608">
          <cell r="B608">
            <v>7539</v>
          </cell>
          <cell r="C608" t="str">
            <v>现金及现金等价物净增加额</v>
          </cell>
          <cell r="D608">
            <v>1</v>
          </cell>
          <cell r="E608" t="str">
            <v>＝</v>
          </cell>
          <cell r="F608">
            <v>0</v>
          </cell>
          <cell r="G608" t="str">
            <v>现金及现金等价物净增加额</v>
          </cell>
          <cell r="H608">
            <v>0</v>
          </cell>
          <cell r="I608">
            <v>7539</v>
          </cell>
          <cell r="J608">
            <v>0</v>
          </cell>
        </row>
        <row r="609">
          <cell r="B609">
            <v>19</v>
          </cell>
          <cell r="C609" t="str">
            <v>资产负债表补充资料：资产减值准备</v>
          </cell>
          <cell r="D609">
            <v>0</v>
          </cell>
          <cell r="E609" t="str">
            <v>：</v>
          </cell>
          <cell r="F609">
            <v>0</v>
          </cell>
          <cell r="G609">
            <v>0</v>
          </cell>
          <cell r="H609">
            <v>0</v>
          </cell>
          <cell r="I609">
            <v>19</v>
          </cell>
          <cell r="J609">
            <v>0</v>
          </cell>
        </row>
        <row r="610">
          <cell r="B610">
            <v>1122.1231</v>
          </cell>
          <cell r="C610" t="str">
            <v>应收账款坏账准备</v>
          </cell>
          <cell r="D610">
            <v>-1</v>
          </cell>
          <cell r="E610">
            <v>0</v>
          </cell>
          <cell r="F610">
            <v>0</v>
          </cell>
          <cell r="G610" t="str">
            <v>应收账款坏账准备</v>
          </cell>
          <cell r="H610">
            <v>0</v>
          </cell>
          <cell r="I610">
            <v>1122.1231</v>
          </cell>
          <cell r="J610" t="str">
            <v>J</v>
          </cell>
        </row>
        <row r="611">
          <cell r="B611">
            <v>1125.1231</v>
          </cell>
          <cell r="C611" t="str">
            <v>预付款项坏账准备</v>
          </cell>
          <cell r="D611">
            <v>-1</v>
          </cell>
          <cell r="E611">
            <v>0</v>
          </cell>
          <cell r="F611">
            <v>0</v>
          </cell>
          <cell r="G611" t="str">
            <v>预付款项坏账准备</v>
          </cell>
          <cell r="H611">
            <v>0</v>
          </cell>
          <cell r="I611">
            <v>1125.1231</v>
          </cell>
          <cell r="J611" t="str">
            <v>J</v>
          </cell>
        </row>
        <row r="612">
          <cell r="B612">
            <v>1221.1231</v>
          </cell>
          <cell r="C612" t="str">
            <v>其他应收款坏账准备</v>
          </cell>
          <cell r="D612">
            <v>-1</v>
          </cell>
          <cell r="E612">
            <v>0</v>
          </cell>
          <cell r="F612">
            <v>0</v>
          </cell>
          <cell r="G612" t="str">
            <v>其他应收款坏账准备</v>
          </cell>
          <cell r="H612">
            <v>0</v>
          </cell>
          <cell r="I612">
            <v>1221.1231</v>
          </cell>
          <cell r="J612" t="str">
            <v>J</v>
          </cell>
        </row>
        <row r="613">
          <cell r="B613">
            <v>1400.1470999999999</v>
          </cell>
          <cell r="C613" t="str">
            <v>存货跌价准备</v>
          </cell>
          <cell r="D613">
            <v>-1</v>
          </cell>
          <cell r="E613">
            <v>0</v>
          </cell>
          <cell r="F613">
            <v>0</v>
          </cell>
          <cell r="G613" t="str">
            <v>存货跌价准备</v>
          </cell>
          <cell r="H613">
            <v>0</v>
          </cell>
          <cell r="I613">
            <v>1400.1470999999999</v>
          </cell>
          <cell r="J613" t="str">
            <v>J</v>
          </cell>
        </row>
        <row r="614">
          <cell r="B614">
            <v>1503.1504</v>
          </cell>
          <cell r="C614" t="str">
            <v>可供出售金融资产减值准备</v>
          </cell>
          <cell r="D614">
            <v>-1</v>
          </cell>
          <cell r="E614">
            <v>0</v>
          </cell>
          <cell r="F614">
            <v>0</v>
          </cell>
          <cell r="G614" t="str">
            <v>可供出售金融资产减值准备</v>
          </cell>
          <cell r="H614">
            <v>0</v>
          </cell>
          <cell r="I614">
            <v>1503.1504</v>
          </cell>
          <cell r="J614" t="str">
            <v>J</v>
          </cell>
        </row>
        <row r="615">
          <cell r="B615">
            <v>1501.1502</v>
          </cell>
          <cell r="C615" t="str">
            <v>持有至到期投资减值准备</v>
          </cell>
          <cell r="D615">
            <v>-1</v>
          </cell>
          <cell r="E615">
            <v>0</v>
          </cell>
          <cell r="F615">
            <v>0</v>
          </cell>
          <cell r="G615" t="str">
            <v>持有至到期投资减值准备</v>
          </cell>
          <cell r="H615">
            <v>0</v>
          </cell>
          <cell r="I615">
            <v>1501.1502</v>
          </cell>
          <cell r="J615" t="str">
            <v>J</v>
          </cell>
        </row>
        <row r="616">
          <cell r="B616">
            <v>1511.1512</v>
          </cell>
          <cell r="C616" t="str">
            <v>长期股权投资减值准备</v>
          </cell>
          <cell r="D616">
            <v>-1</v>
          </cell>
          <cell r="E616">
            <v>0</v>
          </cell>
          <cell r="F616">
            <v>0</v>
          </cell>
          <cell r="G616" t="str">
            <v>长期股权投资减值准备</v>
          </cell>
          <cell r="H616">
            <v>0</v>
          </cell>
          <cell r="I616">
            <v>1511.1512</v>
          </cell>
          <cell r="J616" t="str">
            <v>J</v>
          </cell>
        </row>
        <row r="617">
          <cell r="B617">
            <v>1521.1522</v>
          </cell>
          <cell r="C617" t="str">
            <v>投资性房地产减值准备</v>
          </cell>
          <cell r="D617">
            <v>-1</v>
          </cell>
          <cell r="E617">
            <v>0</v>
          </cell>
          <cell r="F617">
            <v>0</v>
          </cell>
          <cell r="G617" t="str">
            <v>投资性房地产减值准备</v>
          </cell>
          <cell r="H617">
            <v>0</v>
          </cell>
          <cell r="I617">
            <v>1521.1522</v>
          </cell>
          <cell r="J617" t="str">
            <v>J</v>
          </cell>
        </row>
        <row r="618">
          <cell r="B618">
            <v>1601.1603</v>
          </cell>
          <cell r="C618" t="str">
            <v>固定资产减值准备</v>
          </cell>
          <cell r="D618">
            <v>-1</v>
          </cell>
          <cell r="E618">
            <v>0</v>
          </cell>
          <cell r="F618">
            <v>0</v>
          </cell>
          <cell r="G618" t="str">
            <v>固定资产减值准备</v>
          </cell>
          <cell r="H618">
            <v>0</v>
          </cell>
          <cell r="I618">
            <v>1601.1603</v>
          </cell>
          <cell r="J618" t="str">
            <v>J</v>
          </cell>
        </row>
        <row r="619">
          <cell r="B619">
            <v>1605.1608000000001</v>
          </cell>
          <cell r="C619" t="str">
            <v>工程物资减值准备</v>
          </cell>
          <cell r="D619">
            <v>-1</v>
          </cell>
          <cell r="E619">
            <v>0</v>
          </cell>
          <cell r="F619">
            <v>0</v>
          </cell>
          <cell r="G619" t="str">
            <v>工程物资减值准备</v>
          </cell>
          <cell r="H619">
            <v>0</v>
          </cell>
          <cell r="I619">
            <v>1605.1608000000001</v>
          </cell>
          <cell r="J619" t="str">
            <v>J</v>
          </cell>
        </row>
        <row r="620">
          <cell r="B620">
            <v>1604.1606999999999</v>
          </cell>
          <cell r="C620" t="str">
            <v>在建工程减值准备</v>
          </cell>
          <cell r="D620">
            <v>-1</v>
          </cell>
          <cell r="E620">
            <v>0</v>
          </cell>
          <cell r="F620">
            <v>0</v>
          </cell>
          <cell r="G620" t="str">
            <v>在建工程减值准备</v>
          </cell>
          <cell r="H620">
            <v>0</v>
          </cell>
          <cell r="I620">
            <v>1604.1606999999999</v>
          </cell>
          <cell r="J620" t="str">
            <v>J</v>
          </cell>
        </row>
        <row r="621">
          <cell r="B621">
            <v>1621.1623999999999</v>
          </cell>
          <cell r="C621" t="str">
            <v>生产性生物资产减值准备</v>
          </cell>
          <cell r="D621">
            <v>-1</v>
          </cell>
          <cell r="E621">
            <v>0</v>
          </cell>
          <cell r="F621">
            <v>0</v>
          </cell>
          <cell r="G621" t="str">
            <v>生产性生物资产减值准备</v>
          </cell>
          <cell r="H621">
            <v>0</v>
          </cell>
          <cell r="I621">
            <v>1621.1623999999999</v>
          </cell>
          <cell r="J621" t="str">
            <v>J</v>
          </cell>
        </row>
        <row r="622">
          <cell r="B622">
            <v>1631.1632999999999</v>
          </cell>
          <cell r="C622" t="str">
            <v>油气资产减值准备</v>
          </cell>
          <cell r="D622">
            <v>-1</v>
          </cell>
          <cell r="E622">
            <v>0</v>
          </cell>
          <cell r="F622">
            <v>0</v>
          </cell>
          <cell r="G622" t="str">
            <v>油气资产减值准备</v>
          </cell>
          <cell r="H622">
            <v>0</v>
          </cell>
          <cell r="I622">
            <v>1631.1632999999999</v>
          </cell>
          <cell r="J622" t="str">
            <v>J</v>
          </cell>
        </row>
        <row r="623">
          <cell r="B623">
            <v>1701.1703</v>
          </cell>
          <cell r="C623" t="str">
            <v>无形资产减值准备</v>
          </cell>
          <cell r="D623">
            <v>-1</v>
          </cell>
          <cell r="E623">
            <v>0</v>
          </cell>
          <cell r="F623">
            <v>0</v>
          </cell>
          <cell r="G623" t="str">
            <v>无形资产减值准备</v>
          </cell>
          <cell r="H623">
            <v>0</v>
          </cell>
          <cell r="I623">
            <v>1701.1703</v>
          </cell>
          <cell r="J623" t="str">
            <v>J</v>
          </cell>
        </row>
        <row r="624">
          <cell r="B624">
            <v>1711.1712</v>
          </cell>
          <cell r="C624" t="str">
            <v>商誉减值准备</v>
          </cell>
          <cell r="D624">
            <v>-1</v>
          </cell>
          <cell r="E624">
            <v>0</v>
          </cell>
          <cell r="F624">
            <v>0</v>
          </cell>
          <cell r="G624" t="str">
            <v>商誉减值准备</v>
          </cell>
          <cell r="H624">
            <v>0</v>
          </cell>
          <cell r="I624">
            <v>1711.1712</v>
          </cell>
          <cell r="J624" t="str">
            <v>J</v>
          </cell>
        </row>
        <row r="625">
          <cell r="B625">
            <v>1991.1992</v>
          </cell>
          <cell r="C625" t="str">
            <v>其他减值准备</v>
          </cell>
          <cell r="D625">
            <v>-1</v>
          </cell>
          <cell r="E625">
            <v>0</v>
          </cell>
          <cell r="F625">
            <v>0</v>
          </cell>
          <cell r="G625" t="str">
            <v>其他</v>
          </cell>
          <cell r="H625">
            <v>0</v>
          </cell>
          <cell r="I625">
            <v>1991.1992</v>
          </cell>
          <cell r="J625">
            <v>0</v>
          </cell>
        </row>
        <row r="626">
          <cell r="B626">
            <v>1015.1001</v>
          </cell>
          <cell r="C626" t="str">
            <v>库存现金</v>
          </cell>
          <cell r="D626">
            <v>1</v>
          </cell>
          <cell r="E626">
            <v>0</v>
          </cell>
          <cell r="F626">
            <v>0</v>
          </cell>
          <cell r="G626">
            <v>0</v>
          </cell>
          <cell r="H626">
            <v>0</v>
          </cell>
          <cell r="I626">
            <v>1015.1001</v>
          </cell>
          <cell r="J626" t="str">
            <v>J</v>
          </cell>
        </row>
        <row r="627">
          <cell r="B627">
            <v>1015.1002</v>
          </cell>
          <cell r="C627" t="str">
            <v>银行存款</v>
          </cell>
          <cell r="D627">
            <v>1</v>
          </cell>
          <cell r="E627">
            <v>0</v>
          </cell>
          <cell r="F627">
            <v>0</v>
          </cell>
          <cell r="G627">
            <v>0</v>
          </cell>
          <cell r="H627">
            <v>0</v>
          </cell>
          <cell r="I627">
            <v>1015.1002</v>
          </cell>
          <cell r="J627" t="str">
            <v>J</v>
          </cell>
        </row>
        <row r="628">
          <cell r="B628">
            <v>1015.1011999999999</v>
          </cell>
          <cell r="C628" t="str">
            <v>其他货币资金</v>
          </cell>
          <cell r="D628">
            <v>1</v>
          </cell>
          <cell r="E628">
            <v>0</v>
          </cell>
          <cell r="F628">
            <v>0</v>
          </cell>
          <cell r="G628">
            <v>0</v>
          </cell>
          <cell r="H628">
            <v>0</v>
          </cell>
          <cell r="I628">
            <v>1015.1011999999999</v>
          </cell>
          <cell r="J628" t="str">
            <v>J</v>
          </cell>
        </row>
        <row r="629">
          <cell r="B629">
            <v>1400.1401000000001</v>
          </cell>
          <cell r="C629" t="str">
            <v>材料采购</v>
          </cell>
          <cell r="D629">
            <v>1</v>
          </cell>
          <cell r="E629">
            <v>0</v>
          </cell>
          <cell r="F629">
            <v>0</v>
          </cell>
          <cell r="G629">
            <v>0</v>
          </cell>
          <cell r="H629">
            <v>0</v>
          </cell>
          <cell r="I629">
            <v>1400.1401000000001</v>
          </cell>
          <cell r="J629" t="str">
            <v>J</v>
          </cell>
        </row>
        <row r="630">
          <cell r="B630">
            <v>1400.1402</v>
          </cell>
          <cell r="C630" t="str">
            <v>在途物资</v>
          </cell>
          <cell r="D630">
            <v>1</v>
          </cell>
          <cell r="E630">
            <v>0</v>
          </cell>
          <cell r="F630">
            <v>0</v>
          </cell>
          <cell r="G630">
            <v>0</v>
          </cell>
          <cell r="H630">
            <v>0</v>
          </cell>
          <cell r="I630">
            <v>1400.1402</v>
          </cell>
          <cell r="J630" t="str">
            <v>J</v>
          </cell>
        </row>
        <row r="631">
          <cell r="B631">
            <v>1400.1403</v>
          </cell>
          <cell r="C631" t="str">
            <v>原材料</v>
          </cell>
          <cell r="D631">
            <v>1</v>
          </cell>
          <cell r="E631">
            <v>0</v>
          </cell>
          <cell r="F631">
            <v>0</v>
          </cell>
          <cell r="G631">
            <v>0</v>
          </cell>
          <cell r="H631">
            <v>0</v>
          </cell>
          <cell r="I631">
            <v>1400.1403</v>
          </cell>
          <cell r="J631" t="str">
            <v>J</v>
          </cell>
        </row>
        <row r="632">
          <cell r="B632">
            <v>1400.1404</v>
          </cell>
          <cell r="C632" t="str">
            <v>材料成本差异</v>
          </cell>
          <cell r="D632">
            <v>-1</v>
          </cell>
          <cell r="E632">
            <v>0</v>
          </cell>
          <cell r="F632">
            <v>0</v>
          </cell>
          <cell r="G632">
            <v>0</v>
          </cell>
          <cell r="H632">
            <v>0</v>
          </cell>
          <cell r="I632">
            <v>1400.1404</v>
          </cell>
          <cell r="J632" t="str">
            <v>J</v>
          </cell>
        </row>
        <row r="633">
          <cell r="B633">
            <v>1400.1405</v>
          </cell>
          <cell r="C633" t="str">
            <v>库存商品</v>
          </cell>
          <cell r="D633">
            <v>1</v>
          </cell>
          <cell r="E633">
            <v>0</v>
          </cell>
          <cell r="F633">
            <v>0</v>
          </cell>
          <cell r="G633">
            <v>0</v>
          </cell>
          <cell r="H633">
            <v>0</v>
          </cell>
          <cell r="I633">
            <v>1400.1405</v>
          </cell>
          <cell r="J633" t="str">
            <v>J</v>
          </cell>
        </row>
        <row r="634">
          <cell r="B634">
            <v>1400.1405999999999</v>
          </cell>
          <cell r="C634" t="str">
            <v>发出商品</v>
          </cell>
          <cell r="D634">
            <v>1</v>
          </cell>
          <cell r="E634">
            <v>0</v>
          </cell>
          <cell r="F634">
            <v>0</v>
          </cell>
          <cell r="G634">
            <v>0</v>
          </cell>
          <cell r="H634">
            <v>0</v>
          </cell>
          <cell r="I634">
            <v>1400.1405999999999</v>
          </cell>
          <cell r="J634" t="str">
            <v>J</v>
          </cell>
        </row>
        <row r="635">
          <cell r="B635">
            <v>1400.1406999999999</v>
          </cell>
          <cell r="C635" t="str">
            <v>商品进销差价</v>
          </cell>
          <cell r="D635">
            <v>-1</v>
          </cell>
          <cell r="E635">
            <v>0</v>
          </cell>
          <cell r="F635">
            <v>0</v>
          </cell>
          <cell r="G635">
            <v>0</v>
          </cell>
          <cell r="H635">
            <v>0</v>
          </cell>
          <cell r="I635">
            <v>1400.1406999999999</v>
          </cell>
          <cell r="J635" t="str">
            <v>J</v>
          </cell>
        </row>
        <row r="636">
          <cell r="B636">
            <v>1400.1407999999999</v>
          </cell>
          <cell r="C636" t="str">
            <v>委托加工物资</v>
          </cell>
          <cell r="D636">
            <v>1</v>
          </cell>
          <cell r="E636">
            <v>0</v>
          </cell>
          <cell r="F636">
            <v>0</v>
          </cell>
          <cell r="G636">
            <v>0</v>
          </cell>
          <cell r="H636">
            <v>0</v>
          </cell>
          <cell r="I636">
            <v>1400.1407999999999</v>
          </cell>
          <cell r="J636" t="str">
            <v>J</v>
          </cell>
        </row>
        <row r="637">
          <cell r="B637">
            <v>1400.1411000000001</v>
          </cell>
          <cell r="C637" t="str">
            <v>周转材料</v>
          </cell>
          <cell r="D637">
            <v>1</v>
          </cell>
          <cell r="E637">
            <v>0</v>
          </cell>
          <cell r="F637">
            <v>0</v>
          </cell>
          <cell r="G637">
            <v>0</v>
          </cell>
          <cell r="H637">
            <v>0</v>
          </cell>
          <cell r="I637">
            <v>1400.1411000000001</v>
          </cell>
          <cell r="J637" t="str">
            <v>J</v>
          </cell>
        </row>
        <row r="638">
          <cell r="B638">
            <v>1400.5001</v>
          </cell>
          <cell r="C638" t="str">
            <v>生产成本</v>
          </cell>
          <cell r="D638">
            <v>1</v>
          </cell>
          <cell r="E638">
            <v>0</v>
          </cell>
          <cell r="F638">
            <v>0</v>
          </cell>
          <cell r="G638">
            <v>0</v>
          </cell>
          <cell r="H638">
            <v>0</v>
          </cell>
          <cell r="I638">
            <v>1400.5001</v>
          </cell>
          <cell r="J638" t="str">
            <v>J</v>
          </cell>
        </row>
        <row r="639">
          <cell r="B639">
            <v>1400.5101</v>
          </cell>
          <cell r="C639" t="str">
            <v>制造费用</v>
          </cell>
          <cell r="D639">
            <v>1</v>
          </cell>
          <cell r="E639">
            <v>0</v>
          </cell>
          <cell r="F639">
            <v>0</v>
          </cell>
          <cell r="G639">
            <v>0</v>
          </cell>
          <cell r="H639">
            <v>0</v>
          </cell>
          <cell r="I639">
            <v>1400.5101</v>
          </cell>
          <cell r="J639" t="str">
            <v>J</v>
          </cell>
        </row>
        <row r="640">
          <cell r="B640">
            <v>1400.5400999999999</v>
          </cell>
          <cell r="C640" t="str">
            <v>工程施工</v>
          </cell>
          <cell r="D640">
            <v>1</v>
          </cell>
          <cell r="E640">
            <v>0</v>
          </cell>
          <cell r="F640">
            <v>0</v>
          </cell>
          <cell r="G640">
            <v>0</v>
          </cell>
          <cell r="H640">
            <v>0</v>
          </cell>
          <cell r="I640">
            <v>1400.5400999999999</v>
          </cell>
          <cell r="J640" t="str">
            <v>J</v>
          </cell>
        </row>
        <row r="641">
          <cell r="B641">
            <v>1400.1421</v>
          </cell>
          <cell r="C641" t="str">
            <v>消耗性生物资产</v>
          </cell>
          <cell r="D641">
            <v>1</v>
          </cell>
          <cell r="E641">
            <v>0</v>
          </cell>
          <cell r="F641">
            <v>0</v>
          </cell>
          <cell r="G641">
            <v>0</v>
          </cell>
          <cell r="H641">
            <v>0</v>
          </cell>
          <cell r="I641">
            <v>1400.1421</v>
          </cell>
          <cell r="J641" t="str">
            <v>J</v>
          </cell>
        </row>
        <row r="642">
          <cell r="B642">
            <v>1621.1622</v>
          </cell>
          <cell r="C642" t="str">
            <v>生产性生物资产累计折旧</v>
          </cell>
          <cell r="D642">
            <v>-1</v>
          </cell>
          <cell r="E642">
            <v>0</v>
          </cell>
          <cell r="F642">
            <v>0</v>
          </cell>
          <cell r="G642">
            <v>0</v>
          </cell>
          <cell r="H642">
            <v>0</v>
          </cell>
          <cell r="I642">
            <v>1621.1622</v>
          </cell>
          <cell r="J642" t="str">
            <v>J</v>
          </cell>
        </row>
        <row r="643">
          <cell r="B643">
            <v>1601.1602</v>
          </cell>
          <cell r="C643" t="str">
            <v>累计折旧</v>
          </cell>
          <cell r="D643">
            <v>-1</v>
          </cell>
          <cell r="E643">
            <v>0</v>
          </cell>
          <cell r="F643">
            <v>0</v>
          </cell>
          <cell r="G643">
            <v>0</v>
          </cell>
          <cell r="H643">
            <v>0</v>
          </cell>
          <cell r="I643">
            <v>1601.1602</v>
          </cell>
          <cell r="J643" t="str">
            <v>J</v>
          </cell>
        </row>
        <row r="644">
          <cell r="B644">
            <v>1701.1702</v>
          </cell>
          <cell r="C644" t="str">
            <v>累计摊销</v>
          </cell>
          <cell r="D644">
            <v>-1</v>
          </cell>
          <cell r="E644">
            <v>0</v>
          </cell>
          <cell r="F644">
            <v>0</v>
          </cell>
          <cell r="G644">
            <v>0</v>
          </cell>
          <cell r="H644">
            <v>0</v>
          </cell>
          <cell r="I644">
            <v>1701.1702</v>
          </cell>
          <cell r="J644" t="str">
            <v>J</v>
          </cell>
        </row>
        <row r="645">
          <cell r="B645">
            <v>1996.1623</v>
          </cell>
          <cell r="C645" t="str">
            <v>公益性生物资产</v>
          </cell>
          <cell r="D645">
            <v>1</v>
          </cell>
          <cell r="E645">
            <v>0</v>
          </cell>
          <cell r="F645">
            <v>0</v>
          </cell>
          <cell r="G645">
            <v>0</v>
          </cell>
          <cell r="H645">
            <v>0</v>
          </cell>
          <cell r="I645">
            <v>1996.1623</v>
          </cell>
          <cell r="J645" t="str">
            <v>J</v>
          </cell>
        </row>
        <row r="646">
          <cell r="B646">
            <v>1631.1632</v>
          </cell>
          <cell r="C646" t="str">
            <v>累计折耗</v>
          </cell>
          <cell r="D646">
            <v>-1</v>
          </cell>
          <cell r="E646">
            <v>0</v>
          </cell>
          <cell r="F646">
            <v>0</v>
          </cell>
          <cell r="G646">
            <v>0</v>
          </cell>
          <cell r="H646">
            <v>0</v>
          </cell>
          <cell r="I646">
            <v>1631.1632</v>
          </cell>
          <cell r="J646" t="str">
            <v>J</v>
          </cell>
        </row>
        <row r="647">
          <cell r="B647">
            <v>1535</v>
          </cell>
          <cell r="C647" t="str">
            <v>对合营企业投资和对联营企业投资</v>
          </cell>
          <cell r="D647">
            <v>0</v>
          </cell>
          <cell r="E647">
            <v>0</v>
          </cell>
          <cell r="F647">
            <v>0</v>
          </cell>
          <cell r="G647">
            <v>0</v>
          </cell>
          <cell r="H647">
            <v>0</v>
          </cell>
          <cell r="I647">
            <v>1535</v>
          </cell>
          <cell r="J647">
            <v>0</v>
          </cell>
        </row>
        <row r="648">
          <cell r="B648">
            <v>1705</v>
          </cell>
          <cell r="C648" t="str">
            <v>无形资产与开发支出</v>
          </cell>
          <cell r="D648">
            <v>0</v>
          </cell>
          <cell r="E648">
            <v>0</v>
          </cell>
          <cell r="F648">
            <v>0</v>
          </cell>
          <cell r="G648">
            <v>0</v>
          </cell>
          <cell r="H648">
            <v>0</v>
          </cell>
          <cell r="I648">
            <v>1705</v>
          </cell>
          <cell r="J648">
            <v>0</v>
          </cell>
        </row>
        <row r="649">
          <cell r="B649">
            <v>1829</v>
          </cell>
          <cell r="C649" t="str">
            <v>递延所得税资产与递延所得税负债</v>
          </cell>
          <cell r="D649">
            <v>0</v>
          </cell>
          <cell r="E649">
            <v>0</v>
          </cell>
          <cell r="F649">
            <v>0</v>
          </cell>
          <cell r="G649">
            <v>0</v>
          </cell>
          <cell r="H649">
            <v>0</v>
          </cell>
          <cell r="I649">
            <v>1829</v>
          </cell>
          <cell r="J649">
            <v>0</v>
          </cell>
        </row>
        <row r="650">
          <cell r="B650">
            <v>1991</v>
          </cell>
          <cell r="C650" t="str">
            <v>资产减值准备</v>
          </cell>
          <cell r="D650">
            <v>0</v>
          </cell>
          <cell r="E650">
            <v>0</v>
          </cell>
          <cell r="F650">
            <v>0</v>
          </cell>
          <cell r="G650" t="str">
            <v>资产减值准备小计</v>
          </cell>
          <cell r="H650">
            <v>0</v>
          </cell>
          <cell r="I650">
            <v>1991</v>
          </cell>
          <cell r="J650">
            <v>0</v>
          </cell>
        </row>
        <row r="651">
          <cell r="B651">
            <v>1997</v>
          </cell>
          <cell r="C651" t="str">
            <v xml:space="preserve">所有权或使用权受到限制的资产 </v>
          </cell>
          <cell r="D651">
            <v>0</v>
          </cell>
          <cell r="E651">
            <v>0</v>
          </cell>
          <cell r="F651">
            <v>0</v>
          </cell>
          <cell r="G651">
            <v>0</v>
          </cell>
          <cell r="H651">
            <v>0</v>
          </cell>
          <cell r="I651">
            <v>1997</v>
          </cell>
          <cell r="J651">
            <v>0</v>
          </cell>
        </row>
        <row r="652">
          <cell r="B652">
            <v>1314</v>
          </cell>
          <cell r="C652" t="str">
            <v>划分为持有待售的资产和负债</v>
          </cell>
          <cell r="D652">
            <v>0</v>
          </cell>
          <cell r="E652">
            <v>0</v>
          </cell>
          <cell r="F652">
            <v>0</v>
          </cell>
          <cell r="G652">
            <v>0</v>
          </cell>
          <cell r="H652">
            <v>0</v>
          </cell>
          <cell r="I652">
            <v>1314</v>
          </cell>
          <cell r="J652">
            <v>0</v>
          </cell>
        </row>
        <row r="653">
          <cell r="B653">
            <v>1704</v>
          </cell>
          <cell r="C653" t="str">
            <v>外币货币性项目</v>
          </cell>
          <cell r="D653">
            <v>0</v>
          </cell>
          <cell r="E653">
            <v>0</v>
          </cell>
          <cell r="F653">
            <v>0</v>
          </cell>
          <cell r="G653">
            <v>0</v>
          </cell>
          <cell r="H653">
            <v>0</v>
          </cell>
          <cell r="I653">
            <v>1704</v>
          </cell>
          <cell r="J653">
            <v>0</v>
          </cell>
        </row>
        <row r="654">
          <cell r="B654">
            <v>9314</v>
          </cell>
          <cell r="C654" t="str">
            <v>所有者权益变动表项目注释</v>
          </cell>
          <cell r="D654">
            <v>0</v>
          </cell>
          <cell r="E654">
            <v>0</v>
          </cell>
          <cell r="F654">
            <v>0</v>
          </cell>
          <cell r="G654">
            <v>0</v>
          </cell>
          <cell r="H654">
            <v>0</v>
          </cell>
          <cell r="I654">
            <v>9314</v>
          </cell>
          <cell r="J654">
            <v>0</v>
          </cell>
        </row>
        <row r="655">
          <cell r="B655">
            <v>6064</v>
          </cell>
          <cell r="C655" t="str">
            <v>营业收入、营业成本</v>
          </cell>
          <cell r="D655">
            <v>0</v>
          </cell>
          <cell r="E655">
            <v>0</v>
          </cell>
          <cell r="F655">
            <v>0</v>
          </cell>
          <cell r="G655">
            <v>0</v>
          </cell>
          <cell r="H655">
            <v>0</v>
          </cell>
          <cell r="I655">
            <v>6064</v>
          </cell>
          <cell r="J655">
            <v>0</v>
          </cell>
        </row>
        <row r="656">
          <cell r="B656">
            <v>6095</v>
          </cell>
          <cell r="C656" t="str">
            <v>合同项目收入</v>
          </cell>
          <cell r="D656">
            <v>0</v>
          </cell>
          <cell r="E656">
            <v>0</v>
          </cell>
          <cell r="F656">
            <v>0</v>
          </cell>
          <cell r="G656">
            <v>0</v>
          </cell>
          <cell r="H656">
            <v>0</v>
          </cell>
          <cell r="I656">
            <v>6095</v>
          </cell>
          <cell r="J656">
            <v>0</v>
          </cell>
        </row>
        <row r="657">
          <cell r="B657">
            <v>6820</v>
          </cell>
          <cell r="C657" t="str">
            <v>基本每股收益和稀释每股收益</v>
          </cell>
          <cell r="D657">
            <v>0</v>
          </cell>
          <cell r="E657" t="str">
            <v>：</v>
          </cell>
          <cell r="F657">
            <v>0</v>
          </cell>
          <cell r="G657">
            <v>0</v>
          </cell>
          <cell r="H657">
            <v>0</v>
          </cell>
          <cell r="I657">
            <v>6820</v>
          </cell>
          <cell r="J657">
            <v>0</v>
          </cell>
        </row>
        <row r="658">
          <cell r="B658">
            <v>7400</v>
          </cell>
          <cell r="C658" t="str">
            <v>现金流量表项目注释</v>
          </cell>
          <cell r="D658">
            <v>0</v>
          </cell>
          <cell r="E658">
            <v>0</v>
          </cell>
          <cell r="F658">
            <v>0</v>
          </cell>
          <cell r="G658">
            <v>0</v>
          </cell>
          <cell r="H658">
            <v>0</v>
          </cell>
          <cell r="I658">
            <v>7400</v>
          </cell>
          <cell r="J658">
            <v>0</v>
          </cell>
        </row>
        <row r="659">
          <cell r="B659">
            <v>7500</v>
          </cell>
          <cell r="C659" t="str">
            <v>现金流量表补充资料</v>
          </cell>
          <cell r="D659">
            <v>0</v>
          </cell>
          <cell r="E659" t="str">
            <v>：</v>
          </cell>
          <cell r="F659">
            <v>0</v>
          </cell>
          <cell r="G659">
            <v>0</v>
          </cell>
          <cell r="H659">
            <v>0</v>
          </cell>
          <cell r="I659">
            <v>7500</v>
          </cell>
          <cell r="J659">
            <v>0</v>
          </cell>
        </row>
        <row r="660">
          <cell r="B660">
            <v>9010</v>
          </cell>
          <cell r="C660" t="str">
            <v>分部报告</v>
          </cell>
          <cell r="D660">
            <v>0</v>
          </cell>
          <cell r="E660">
            <v>0</v>
          </cell>
          <cell r="F660">
            <v>0</v>
          </cell>
          <cell r="G660">
            <v>0</v>
          </cell>
          <cell r="H660">
            <v>0</v>
          </cell>
          <cell r="I660">
            <v>9010</v>
          </cell>
          <cell r="J660">
            <v>0</v>
          </cell>
        </row>
        <row r="661">
          <cell r="B661">
            <v>9020</v>
          </cell>
          <cell r="C661" t="str">
            <v>资产证券化业务的会计处理</v>
          </cell>
          <cell r="D661">
            <v>0</v>
          </cell>
          <cell r="E661">
            <v>0</v>
          </cell>
          <cell r="F661">
            <v>0</v>
          </cell>
          <cell r="G661">
            <v>0</v>
          </cell>
          <cell r="H661">
            <v>0</v>
          </cell>
          <cell r="I661">
            <v>9020</v>
          </cell>
          <cell r="J661">
            <v>0</v>
          </cell>
        </row>
        <row r="662">
          <cell r="B662">
            <v>9100</v>
          </cell>
          <cell r="C662" t="str">
            <v>关联方关系及其交易</v>
          </cell>
          <cell r="D662">
            <v>0</v>
          </cell>
          <cell r="E662">
            <v>0</v>
          </cell>
          <cell r="F662">
            <v>0</v>
          </cell>
          <cell r="G662">
            <v>0</v>
          </cell>
          <cell r="H662">
            <v>0</v>
          </cell>
          <cell r="I662">
            <v>9100</v>
          </cell>
          <cell r="J662">
            <v>0</v>
          </cell>
        </row>
        <row r="663">
          <cell r="B663">
            <v>9101</v>
          </cell>
          <cell r="C663" t="str">
            <v>关联方关系</v>
          </cell>
          <cell r="D663">
            <v>0</v>
          </cell>
          <cell r="E663">
            <v>0</v>
          </cell>
          <cell r="F663">
            <v>0</v>
          </cell>
          <cell r="G663">
            <v>0</v>
          </cell>
          <cell r="H663">
            <v>0</v>
          </cell>
          <cell r="I663">
            <v>9101</v>
          </cell>
          <cell r="J663">
            <v>0</v>
          </cell>
        </row>
        <row r="664">
          <cell r="B664">
            <v>9120</v>
          </cell>
          <cell r="C664" t="str">
            <v>关联方交易</v>
          </cell>
          <cell r="D664">
            <v>0</v>
          </cell>
          <cell r="E664">
            <v>0</v>
          </cell>
          <cell r="F664">
            <v>0</v>
          </cell>
          <cell r="G664">
            <v>0</v>
          </cell>
          <cell r="H664">
            <v>0</v>
          </cell>
          <cell r="I664">
            <v>9120</v>
          </cell>
          <cell r="J664">
            <v>0</v>
          </cell>
        </row>
        <row r="665">
          <cell r="B665">
            <v>9130</v>
          </cell>
          <cell r="C665" t="str">
            <v>关联方往来款项余额</v>
          </cell>
          <cell r="D665">
            <v>0</v>
          </cell>
          <cell r="E665">
            <v>0</v>
          </cell>
          <cell r="F665">
            <v>0</v>
          </cell>
          <cell r="G665">
            <v>0</v>
          </cell>
          <cell r="H665">
            <v>0</v>
          </cell>
          <cell r="I665">
            <v>9130</v>
          </cell>
          <cell r="J665">
            <v>0</v>
          </cell>
        </row>
        <row r="666">
          <cell r="B666">
            <v>9210</v>
          </cell>
          <cell r="C666" t="str">
            <v>股份支付</v>
          </cell>
          <cell r="D666">
            <v>0</v>
          </cell>
          <cell r="E666">
            <v>0</v>
          </cell>
          <cell r="F666">
            <v>0</v>
          </cell>
          <cell r="G666">
            <v>0</v>
          </cell>
          <cell r="H666">
            <v>0</v>
          </cell>
          <cell r="I666">
            <v>9210</v>
          </cell>
          <cell r="J666">
            <v>0</v>
          </cell>
        </row>
        <row r="667">
          <cell r="B667">
            <v>9220</v>
          </cell>
          <cell r="C667" t="str">
            <v>或有事项</v>
          </cell>
          <cell r="D667">
            <v>0</v>
          </cell>
          <cell r="E667">
            <v>0</v>
          </cell>
          <cell r="F667">
            <v>0</v>
          </cell>
          <cell r="G667">
            <v>0</v>
          </cell>
          <cell r="H667">
            <v>0</v>
          </cell>
          <cell r="I667">
            <v>9220</v>
          </cell>
          <cell r="J667">
            <v>0</v>
          </cell>
        </row>
        <row r="668">
          <cell r="B668">
            <v>9250</v>
          </cell>
          <cell r="C668" t="str">
            <v>重大承诺事项</v>
          </cell>
          <cell r="D668">
            <v>0</v>
          </cell>
          <cell r="E668">
            <v>0</v>
          </cell>
          <cell r="F668">
            <v>0</v>
          </cell>
          <cell r="G668">
            <v>0</v>
          </cell>
          <cell r="H668">
            <v>0</v>
          </cell>
          <cell r="I668">
            <v>9250</v>
          </cell>
          <cell r="J668">
            <v>0</v>
          </cell>
        </row>
        <row r="669">
          <cell r="B669">
            <v>9260</v>
          </cell>
          <cell r="C669" t="str">
            <v>资产负债表日后事项</v>
          </cell>
          <cell r="D669">
            <v>0</v>
          </cell>
          <cell r="E669">
            <v>0</v>
          </cell>
          <cell r="F669">
            <v>0</v>
          </cell>
          <cell r="G669">
            <v>0</v>
          </cell>
          <cell r="H669">
            <v>0</v>
          </cell>
          <cell r="I669">
            <v>9260</v>
          </cell>
          <cell r="J669">
            <v>0</v>
          </cell>
        </row>
        <row r="670">
          <cell r="B670">
            <v>9300</v>
          </cell>
          <cell r="C670" t="str">
            <v>其他重要事项</v>
          </cell>
          <cell r="D670">
            <v>0</v>
          </cell>
          <cell r="E670">
            <v>0</v>
          </cell>
          <cell r="F670">
            <v>0</v>
          </cell>
          <cell r="G670">
            <v>0</v>
          </cell>
          <cell r="H670">
            <v>0</v>
          </cell>
          <cell r="I670">
            <v>9300</v>
          </cell>
          <cell r="J670">
            <v>0</v>
          </cell>
        </row>
        <row r="671">
          <cell r="B671">
            <v>9301</v>
          </cell>
          <cell r="C671" t="str">
            <v>非货币性资产交换</v>
          </cell>
          <cell r="D671">
            <v>0</v>
          </cell>
          <cell r="E671">
            <v>0</v>
          </cell>
          <cell r="F671">
            <v>0</v>
          </cell>
          <cell r="G671">
            <v>0</v>
          </cell>
          <cell r="H671">
            <v>0</v>
          </cell>
          <cell r="I671">
            <v>9301</v>
          </cell>
          <cell r="J671">
            <v>0</v>
          </cell>
        </row>
        <row r="672">
          <cell r="B672">
            <v>9302</v>
          </cell>
          <cell r="C672" t="str">
            <v>债务重组</v>
          </cell>
          <cell r="D672">
            <v>0</v>
          </cell>
          <cell r="E672">
            <v>0</v>
          </cell>
          <cell r="F672">
            <v>0</v>
          </cell>
          <cell r="G672">
            <v>0</v>
          </cell>
          <cell r="H672">
            <v>0</v>
          </cell>
          <cell r="I672">
            <v>9302</v>
          </cell>
          <cell r="J672">
            <v>0</v>
          </cell>
        </row>
        <row r="673">
          <cell r="B673">
            <v>9303</v>
          </cell>
          <cell r="C673" t="str">
            <v>企业合并</v>
          </cell>
          <cell r="D673">
            <v>0</v>
          </cell>
          <cell r="E673">
            <v>0</v>
          </cell>
          <cell r="F673">
            <v>0</v>
          </cell>
          <cell r="G673">
            <v>0</v>
          </cell>
          <cell r="H673">
            <v>0</v>
          </cell>
          <cell r="I673">
            <v>9303</v>
          </cell>
          <cell r="J673">
            <v>0</v>
          </cell>
        </row>
        <row r="674">
          <cell r="B674">
            <v>9305</v>
          </cell>
          <cell r="C674" t="str">
            <v>其他资产置换、转让及出售</v>
          </cell>
          <cell r="D674">
            <v>0</v>
          </cell>
          <cell r="E674">
            <v>0</v>
          </cell>
          <cell r="F674">
            <v>0</v>
          </cell>
          <cell r="G674">
            <v>0</v>
          </cell>
          <cell r="H674">
            <v>0</v>
          </cell>
          <cell r="I674">
            <v>9305</v>
          </cell>
          <cell r="J674">
            <v>0</v>
          </cell>
        </row>
        <row r="675">
          <cell r="B675">
            <v>9310</v>
          </cell>
          <cell r="C675" t="str">
            <v>租赁</v>
          </cell>
          <cell r="D675">
            <v>0</v>
          </cell>
          <cell r="E675">
            <v>0</v>
          </cell>
          <cell r="F675">
            <v>0</v>
          </cell>
          <cell r="G675">
            <v>0</v>
          </cell>
          <cell r="H675">
            <v>0</v>
          </cell>
          <cell r="I675">
            <v>9310</v>
          </cell>
          <cell r="J675">
            <v>0</v>
          </cell>
        </row>
        <row r="676">
          <cell r="B676">
            <v>9321</v>
          </cell>
          <cell r="C676" t="str">
            <v>期末发行在外的、可转换为股份的金融工具</v>
          </cell>
          <cell r="D676">
            <v>0</v>
          </cell>
          <cell r="E676">
            <v>0</v>
          </cell>
          <cell r="F676">
            <v>0</v>
          </cell>
          <cell r="G676">
            <v>0</v>
          </cell>
          <cell r="H676">
            <v>0</v>
          </cell>
          <cell r="I676">
            <v>9321</v>
          </cell>
          <cell r="J676">
            <v>0</v>
          </cell>
        </row>
        <row r="677">
          <cell r="B677">
            <v>9331</v>
          </cell>
          <cell r="C677" t="str">
            <v>公允价值</v>
          </cell>
          <cell r="D677">
            <v>0</v>
          </cell>
          <cell r="E677">
            <v>0</v>
          </cell>
          <cell r="F677">
            <v>0</v>
          </cell>
          <cell r="G677">
            <v>0</v>
          </cell>
          <cell r="H677">
            <v>0</v>
          </cell>
          <cell r="I677">
            <v>9331</v>
          </cell>
          <cell r="J677">
            <v>0</v>
          </cell>
        </row>
        <row r="678">
          <cell r="B678">
            <v>9336</v>
          </cell>
          <cell r="C678" t="str">
            <v>外币金融资产和外币金融负债</v>
          </cell>
          <cell r="D678">
            <v>0</v>
          </cell>
          <cell r="E678">
            <v>0</v>
          </cell>
          <cell r="F678">
            <v>0</v>
          </cell>
          <cell r="G678">
            <v>0</v>
          </cell>
          <cell r="H678">
            <v>0</v>
          </cell>
          <cell r="I678">
            <v>9336</v>
          </cell>
          <cell r="J678">
            <v>0</v>
          </cell>
        </row>
        <row r="679">
          <cell r="B679">
            <v>9351</v>
          </cell>
          <cell r="C679" t="str">
            <v>年金计划的主要内容及重大变化</v>
          </cell>
          <cell r="D679">
            <v>0</v>
          </cell>
          <cell r="E679">
            <v>0</v>
          </cell>
          <cell r="F679">
            <v>0</v>
          </cell>
          <cell r="G679">
            <v>0</v>
          </cell>
          <cell r="H679">
            <v>0</v>
          </cell>
          <cell r="I679">
            <v>9351</v>
          </cell>
          <cell r="J679">
            <v>0</v>
          </cell>
        </row>
        <row r="680">
          <cell r="B680">
            <v>9361</v>
          </cell>
          <cell r="C680" t="str">
            <v>借款费用</v>
          </cell>
          <cell r="D680">
            <v>0</v>
          </cell>
          <cell r="E680">
            <v>0</v>
          </cell>
          <cell r="F680">
            <v>0</v>
          </cell>
          <cell r="G680">
            <v>0</v>
          </cell>
          <cell r="H680">
            <v>0</v>
          </cell>
          <cell r="I680">
            <v>9361</v>
          </cell>
          <cell r="J680">
            <v>0</v>
          </cell>
        </row>
        <row r="681">
          <cell r="B681">
            <v>9363</v>
          </cell>
          <cell r="C681" t="str">
            <v>外币折算</v>
          </cell>
          <cell r="D681">
            <v>0</v>
          </cell>
          <cell r="E681">
            <v>0</v>
          </cell>
          <cell r="F681">
            <v>0</v>
          </cell>
          <cell r="G681">
            <v>0</v>
          </cell>
          <cell r="H681">
            <v>0</v>
          </cell>
          <cell r="I681">
            <v>9363</v>
          </cell>
          <cell r="J681">
            <v>0</v>
          </cell>
        </row>
        <row r="682">
          <cell r="B682">
            <v>9367</v>
          </cell>
          <cell r="C682" t="str">
            <v>终止经营</v>
          </cell>
          <cell r="D682">
            <v>0</v>
          </cell>
          <cell r="E682">
            <v>0</v>
          </cell>
          <cell r="F682">
            <v>0</v>
          </cell>
          <cell r="G682">
            <v>0</v>
          </cell>
          <cell r="H682">
            <v>0</v>
          </cell>
          <cell r="I682">
            <v>9367</v>
          </cell>
          <cell r="J682">
            <v>0</v>
          </cell>
        </row>
        <row r="683">
          <cell r="B683">
            <v>9390</v>
          </cell>
          <cell r="C683" t="str">
            <v>其他重要事项_其他</v>
          </cell>
          <cell r="D683">
            <v>0</v>
          </cell>
          <cell r="E683">
            <v>0</v>
          </cell>
          <cell r="F683">
            <v>0</v>
          </cell>
          <cell r="G683">
            <v>0</v>
          </cell>
          <cell r="H683">
            <v>0</v>
          </cell>
          <cell r="I683">
            <v>9390</v>
          </cell>
          <cell r="J683">
            <v>0</v>
          </cell>
        </row>
        <row r="684">
          <cell r="B684">
            <v>9509</v>
          </cell>
          <cell r="C684" t="str">
            <v>母公司反向购买下以公允价值入账的资产、负债情况</v>
          </cell>
          <cell r="D684">
            <v>0</v>
          </cell>
          <cell r="E684">
            <v>0</v>
          </cell>
          <cell r="F684">
            <v>0</v>
          </cell>
          <cell r="G684">
            <v>0</v>
          </cell>
          <cell r="H684">
            <v>0</v>
          </cell>
          <cell r="I684">
            <v>9509</v>
          </cell>
          <cell r="J684">
            <v>0</v>
          </cell>
        </row>
        <row r="685">
          <cell r="B685">
            <v>9601</v>
          </cell>
          <cell r="C685" t="str">
            <v>当期非经常性损益明细表</v>
          </cell>
          <cell r="D685">
            <v>0</v>
          </cell>
          <cell r="E685">
            <v>0</v>
          </cell>
          <cell r="F685">
            <v>0</v>
          </cell>
          <cell r="G685">
            <v>0</v>
          </cell>
          <cell r="H685">
            <v>0</v>
          </cell>
          <cell r="I685">
            <v>9601</v>
          </cell>
          <cell r="J685">
            <v>0</v>
          </cell>
        </row>
        <row r="686">
          <cell r="B686">
            <v>9611</v>
          </cell>
          <cell r="C686" t="str">
            <v>境内外会计准则下会计数据差异</v>
          </cell>
          <cell r="D686">
            <v>0</v>
          </cell>
          <cell r="E686">
            <v>0</v>
          </cell>
          <cell r="F686">
            <v>0</v>
          </cell>
          <cell r="G686">
            <v>0</v>
          </cell>
          <cell r="H686">
            <v>0</v>
          </cell>
          <cell r="I686">
            <v>9611</v>
          </cell>
          <cell r="J686">
            <v>0</v>
          </cell>
        </row>
        <row r="687">
          <cell r="B687">
            <v>9621</v>
          </cell>
          <cell r="C687" t="str">
            <v>净资产收益率和每股收益</v>
          </cell>
          <cell r="D687">
            <v>0</v>
          </cell>
          <cell r="E687">
            <v>0</v>
          </cell>
          <cell r="F687">
            <v>0</v>
          </cell>
          <cell r="G687">
            <v>0</v>
          </cell>
          <cell r="H687">
            <v>0</v>
          </cell>
          <cell r="I687">
            <v>9621</v>
          </cell>
          <cell r="J687">
            <v>0</v>
          </cell>
        </row>
        <row r="688">
          <cell r="B688">
            <v>8121</v>
          </cell>
          <cell r="C688" t="str">
            <v>实收资本_净利润增加权益</v>
          </cell>
          <cell r="D688">
            <v>-1</v>
          </cell>
          <cell r="E688" t="str">
            <v>N</v>
          </cell>
          <cell r="F688">
            <v>0</v>
          </cell>
          <cell r="G688" t="str">
            <v>（一）净利润</v>
          </cell>
          <cell r="H688">
            <v>0</v>
          </cell>
          <cell r="I688">
            <v>8121</v>
          </cell>
          <cell r="J688" t="str">
            <v>J</v>
          </cell>
        </row>
        <row r="689">
          <cell r="B689">
            <v>8130</v>
          </cell>
          <cell r="C689" t="str">
            <v>实收资本_其他综合收益增加权益</v>
          </cell>
          <cell r="D689">
            <v>-1</v>
          </cell>
          <cell r="E689" t="str">
            <v>N</v>
          </cell>
          <cell r="F689">
            <v>0</v>
          </cell>
          <cell r="G689" t="str">
            <v>（二）其他综合收益</v>
          </cell>
          <cell r="H689">
            <v>0</v>
          </cell>
          <cell r="I689">
            <v>8130</v>
          </cell>
          <cell r="J689" t="str">
            <v>J</v>
          </cell>
        </row>
        <row r="690">
          <cell r="B690">
            <v>8152</v>
          </cell>
          <cell r="C690" t="str">
            <v>实收资本_股份支付计入所有者权益的金额</v>
          </cell>
          <cell r="D690">
            <v>-1</v>
          </cell>
          <cell r="E690" t="str">
            <v>N</v>
          </cell>
          <cell r="F690">
            <v>0</v>
          </cell>
          <cell r="G690" t="str">
            <v>股份支付计入所有者权益的金额</v>
          </cell>
          <cell r="H690">
            <v>0</v>
          </cell>
          <cell r="I690">
            <v>8152</v>
          </cell>
          <cell r="J690" t="str">
            <v>J</v>
          </cell>
        </row>
        <row r="691">
          <cell r="B691">
            <v>8161</v>
          </cell>
          <cell r="C691" t="str">
            <v>实收资本_提取盈余公积影响权益</v>
          </cell>
          <cell r="D691">
            <v>-1</v>
          </cell>
          <cell r="E691" t="str">
            <v>N</v>
          </cell>
          <cell r="F691">
            <v>0</v>
          </cell>
          <cell r="G691" t="str">
            <v>提取盈余公积</v>
          </cell>
          <cell r="H691">
            <v>0</v>
          </cell>
          <cell r="I691">
            <v>8161</v>
          </cell>
          <cell r="J691" t="str">
            <v>J</v>
          </cell>
        </row>
        <row r="692">
          <cell r="B692">
            <v>8162</v>
          </cell>
          <cell r="C692" t="str">
            <v>实收资本_提取一般风险准备影响权益</v>
          </cell>
          <cell r="D692">
            <v>-1</v>
          </cell>
          <cell r="E692" t="str">
            <v>N</v>
          </cell>
          <cell r="F692">
            <v>0</v>
          </cell>
          <cell r="G692" t="str">
            <v>提取一般风险准备</v>
          </cell>
          <cell r="H692">
            <v>0</v>
          </cell>
          <cell r="I692">
            <v>8162</v>
          </cell>
          <cell r="J692" t="str">
            <v>J</v>
          </cell>
        </row>
        <row r="693">
          <cell r="B693">
            <v>8163</v>
          </cell>
          <cell r="C693" t="str">
            <v>实收资本_对所有者的分配影响权益</v>
          </cell>
          <cell r="D693">
            <v>-1</v>
          </cell>
          <cell r="E693" t="str">
            <v>N</v>
          </cell>
          <cell r="F693">
            <v>0</v>
          </cell>
          <cell r="G693" t="str">
            <v>对所有者（或股东）的分配</v>
          </cell>
          <cell r="H693">
            <v>0</v>
          </cell>
          <cell r="I693">
            <v>8163</v>
          </cell>
          <cell r="J693" t="str">
            <v>J</v>
          </cell>
        </row>
        <row r="694">
          <cell r="B694">
            <v>8166</v>
          </cell>
          <cell r="C694" t="str">
            <v>实收资本_其他利润分配影响权益</v>
          </cell>
          <cell r="D694">
            <v>-1</v>
          </cell>
          <cell r="E694" t="str">
            <v>N</v>
          </cell>
          <cell r="F694">
            <v>0</v>
          </cell>
          <cell r="G694" t="str">
            <v>其他</v>
          </cell>
          <cell r="H694">
            <v>0</v>
          </cell>
          <cell r="I694">
            <v>8166</v>
          </cell>
          <cell r="J694" t="str">
            <v>J</v>
          </cell>
        </row>
        <row r="695">
          <cell r="B695">
            <v>8173</v>
          </cell>
          <cell r="C695" t="str">
            <v>实收资本_盈余公积弥补亏损影响权益</v>
          </cell>
          <cell r="D695">
            <v>-1</v>
          </cell>
          <cell r="E695" t="str">
            <v>N</v>
          </cell>
          <cell r="F695">
            <v>0</v>
          </cell>
          <cell r="G695" t="str">
            <v>盈余公积弥补亏损</v>
          </cell>
          <cell r="H695">
            <v>0</v>
          </cell>
          <cell r="I695">
            <v>8173</v>
          </cell>
          <cell r="J695" t="str">
            <v>J</v>
          </cell>
        </row>
        <row r="696">
          <cell r="B696">
            <v>8181</v>
          </cell>
          <cell r="C696" t="str">
            <v>实收资本_专项储备本期提取</v>
          </cell>
          <cell r="D696">
            <v>-1</v>
          </cell>
          <cell r="E696" t="str">
            <v>N</v>
          </cell>
          <cell r="F696">
            <v>0</v>
          </cell>
          <cell r="G696" t="str">
            <v>本期提取</v>
          </cell>
          <cell r="H696">
            <v>0</v>
          </cell>
          <cell r="I696">
            <v>8181</v>
          </cell>
          <cell r="J696" t="str">
            <v>J</v>
          </cell>
        </row>
        <row r="697">
          <cell r="B697">
            <v>8182</v>
          </cell>
          <cell r="C697" t="str">
            <v>实收资本_专项储备本期使用</v>
          </cell>
          <cell r="D697">
            <v>-1</v>
          </cell>
          <cell r="E697" t="str">
            <v>N</v>
          </cell>
          <cell r="F697">
            <v>0</v>
          </cell>
          <cell r="G697" t="str">
            <v>本期使用</v>
          </cell>
          <cell r="H697">
            <v>0</v>
          </cell>
          <cell r="I697">
            <v>8182</v>
          </cell>
          <cell r="J697" t="str">
            <v>J</v>
          </cell>
        </row>
        <row r="698">
          <cell r="B698">
            <v>8221</v>
          </cell>
          <cell r="C698" t="str">
            <v>资本公积_净利润增加权益</v>
          </cell>
          <cell r="D698">
            <v>-1</v>
          </cell>
          <cell r="E698" t="str">
            <v>N</v>
          </cell>
          <cell r="F698">
            <v>0</v>
          </cell>
          <cell r="G698" t="str">
            <v>（一）净利润</v>
          </cell>
          <cell r="H698">
            <v>0</v>
          </cell>
          <cell r="I698">
            <v>8221</v>
          </cell>
          <cell r="J698" t="str">
            <v>J</v>
          </cell>
        </row>
        <row r="699">
          <cell r="B699">
            <v>8261</v>
          </cell>
          <cell r="C699" t="str">
            <v>资本公积_提取盈余公积影响权益</v>
          </cell>
          <cell r="D699">
            <v>-1</v>
          </cell>
          <cell r="E699" t="str">
            <v>N</v>
          </cell>
          <cell r="F699">
            <v>0</v>
          </cell>
          <cell r="G699" t="str">
            <v>提取盈余公积</v>
          </cell>
          <cell r="H699">
            <v>0</v>
          </cell>
          <cell r="I699">
            <v>8261</v>
          </cell>
          <cell r="J699" t="str">
            <v>J</v>
          </cell>
        </row>
        <row r="700">
          <cell r="B700">
            <v>8262</v>
          </cell>
          <cell r="C700" t="str">
            <v>资本公积_提取一般风险准备影响权益</v>
          </cell>
          <cell r="D700">
            <v>-1</v>
          </cell>
          <cell r="E700" t="str">
            <v>N</v>
          </cell>
          <cell r="F700">
            <v>0</v>
          </cell>
          <cell r="G700" t="str">
            <v>提取一般风险准备</v>
          </cell>
          <cell r="H700">
            <v>0</v>
          </cell>
          <cell r="I700">
            <v>8262</v>
          </cell>
          <cell r="J700" t="str">
            <v>J</v>
          </cell>
        </row>
        <row r="701">
          <cell r="B701">
            <v>8263</v>
          </cell>
          <cell r="C701" t="str">
            <v>资本公积_对所有者的分配影响权益</v>
          </cell>
          <cell r="D701">
            <v>-1</v>
          </cell>
          <cell r="E701" t="str">
            <v>N</v>
          </cell>
          <cell r="F701">
            <v>0</v>
          </cell>
          <cell r="G701" t="str">
            <v>对所有者（或股东）的分配</v>
          </cell>
          <cell r="H701">
            <v>0</v>
          </cell>
          <cell r="I701">
            <v>8263</v>
          </cell>
          <cell r="J701" t="str">
            <v>J</v>
          </cell>
        </row>
        <row r="702">
          <cell r="B702">
            <v>8272</v>
          </cell>
          <cell r="C702" t="str">
            <v>资本公积_盈余公积转增资本影响权益</v>
          </cell>
          <cell r="D702">
            <v>-1</v>
          </cell>
          <cell r="E702" t="str">
            <v>N</v>
          </cell>
          <cell r="F702">
            <v>0</v>
          </cell>
          <cell r="G702" t="str">
            <v>盈余公积转增资本（或股本）</v>
          </cell>
          <cell r="H702">
            <v>0</v>
          </cell>
          <cell r="I702">
            <v>8272</v>
          </cell>
          <cell r="J702" t="str">
            <v>J</v>
          </cell>
        </row>
        <row r="703">
          <cell r="B703">
            <v>8273</v>
          </cell>
          <cell r="C703" t="str">
            <v>资本公积_盈余公积弥补亏损影响权益</v>
          </cell>
          <cell r="D703">
            <v>-1</v>
          </cell>
          <cell r="E703" t="str">
            <v>N</v>
          </cell>
          <cell r="F703">
            <v>0</v>
          </cell>
          <cell r="G703" t="str">
            <v>盈余公积弥补亏损</v>
          </cell>
          <cell r="H703">
            <v>0</v>
          </cell>
          <cell r="I703">
            <v>8273</v>
          </cell>
          <cell r="J703" t="str">
            <v>J</v>
          </cell>
        </row>
        <row r="704">
          <cell r="B704">
            <v>8281</v>
          </cell>
          <cell r="C704" t="str">
            <v>资本公积_专项储备本期提取</v>
          </cell>
          <cell r="D704">
            <v>-1</v>
          </cell>
          <cell r="E704" t="str">
            <v>N</v>
          </cell>
          <cell r="F704">
            <v>0</v>
          </cell>
          <cell r="G704" t="str">
            <v>本期提取</v>
          </cell>
          <cell r="H704">
            <v>0</v>
          </cell>
          <cell r="I704">
            <v>8281</v>
          </cell>
          <cell r="J704" t="str">
            <v>J</v>
          </cell>
        </row>
        <row r="705">
          <cell r="B705">
            <v>8282</v>
          </cell>
          <cell r="C705" t="str">
            <v>资本公积_专项储备本期使用</v>
          </cell>
          <cell r="D705">
            <v>-1</v>
          </cell>
          <cell r="E705" t="str">
            <v>N</v>
          </cell>
          <cell r="F705">
            <v>0</v>
          </cell>
          <cell r="G705" t="str">
            <v>本期使用</v>
          </cell>
          <cell r="H705">
            <v>0</v>
          </cell>
          <cell r="I705">
            <v>8282</v>
          </cell>
          <cell r="J705" t="str">
            <v>J</v>
          </cell>
        </row>
        <row r="706">
          <cell r="B706">
            <v>8321</v>
          </cell>
          <cell r="C706" t="str">
            <v>库存股_净利润增加权益</v>
          </cell>
          <cell r="D706">
            <v>1</v>
          </cell>
          <cell r="E706" t="str">
            <v>N</v>
          </cell>
          <cell r="F706">
            <v>0</v>
          </cell>
          <cell r="G706" t="str">
            <v>（一）净利润</v>
          </cell>
          <cell r="H706">
            <v>0</v>
          </cell>
          <cell r="I706">
            <v>8321</v>
          </cell>
          <cell r="J706" t="str">
            <v>J</v>
          </cell>
        </row>
        <row r="707">
          <cell r="B707">
            <v>8330</v>
          </cell>
          <cell r="C707" t="str">
            <v>库存股_其他综合收益增加权益</v>
          </cell>
          <cell r="D707">
            <v>1</v>
          </cell>
          <cell r="E707" t="str">
            <v>N</v>
          </cell>
          <cell r="F707">
            <v>0</v>
          </cell>
          <cell r="G707" t="str">
            <v>（二）其他综合收益</v>
          </cell>
          <cell r="H707">
            <v>0</v>
          </cell>
          <cell r="I707">
            <v>8330</v>
          </cell>
          <cell r="J707" t="str">
            <v>J</v>
          </cell>
        </row>
        <row r="708">
          <cell r="B708">
            <v>8361</v>
          </cell>
          <cell r="C708" t="str">
            <v>库存股_提取盈余公积影响权益</v>
          </cell>
          <cell r="D708">
            <v>1</v>
          </cell>
          <cell r="E708" t="str">
            <v>N</v>
          </cell>
          <cell r="F708">
            <v>0</v>
          </cell>
          <cell r="G708" t="str">
            <v>提取盈余公积</v>
          </cell>
          <cell r="H708">
            <v>0</v>
          </cell>
          <cell r="I708">
            <v>8361</v>
          </cell>
          <cell r="J708" t="str">
            <v>J</v>
          </cell>
        </row>
        <row r="709">
          <cell r="B709">
            <v>8362</v>
          </cell>
          <cell r="C709" t="str">
            <v>库存股_提取一般风险准备影响权益</v>
          </cell>
          <cell r="D709">
            <v>1</v>
          </cell>
          <cell r="E709" t="str">
            <v>N</v>
          </cell>
          <cell r="F709">
            <v>0</v>
          </cell>
          <cell r="G709" t="str">
            <v>提取一般风险准备</v>
          </cell>
          <cell r="H709">
            <v>0</v>
          </cell>
          <cell r="I709">
            <v>8362</v>
          </cell>
          <cell r="J709" t="str">
            <v>J</v>
          </cell>
        </row>
        <row r="710">
          <cell r="B710">
            <v>8371</v>
          </cell>
          <cell r="C710" t="str">
            <v>库存股_资本公积转增资本影响权益</v>
          </cell>
          <cell r="D710">
            <v>1</v>
          </cell>
          <cell r="E710" t="str">
            <v>N</v>
          </cell>
          <cell r="F710">
            <v>0</v>
          </cell>
          <cell r="G710" t="str">
            <v>资本公积转增资本（或股本）</v>
          </cell>
          <cell r="H710">
            <v>0</v>
          </cell>
          <cell r="I710">
            <v>8371</v>
          </cell>
          <cell r="J710" t="str">
            <v>J</v>
          </cell>
        </row>
        <row r="711">
          <cell r="B711">
            <v>8372</v>
          </cell>
          <cell r="C711" t="str">
            <v>库存股_盈余公积转增资本影响权益</v>
          </cell>
          <cell r="D711">
            <v>1</v>
          </cell>
          <cell r="E711" t="str">
            <v>N</v>
          </cell>
          <cell r="F711">
            <v>0</v>
          </cell>
          <cell r="G711" t="str">
            <v>盈余公积转增资本（或股本）</v>
          </cell>
          <cell r="H711">
            <v>0</v>
          </cell>
          <cell r="I711">
            <v>8372</v>
          </cell>
          <cell r="J711" t="str">
            <v>J</v>
          </cell>
        </row>
        <row r="712">
          <cell r="B712">
            <v>8373</v>
          </cell>
          <cell r="C712" t="str">
            <v>库存股_盈余公积弥补亏损影响权益</v>
          </cell>
          <cell r="D712">
            <v>1</v>
          </cell>
          <cell r="E712" t="str">
            <v>N</v>
          </cell>
          <cell r="F712">
            <v>0</v>
          </cell>
          <cell r="G712" t="str">
            <v>盈余公积弥补亏损</v>
          </cell>
          <cell r="H712">
            <v>0</v>
          </cell>
          <cell r="I712">
            <v>8373</v>
          </cell>
          <cell r="J712" t="str">
            <v>J</v>
          </cell>
        </row>
        <row r="713">
          <cell r="B713">
            <v>8381</v>
          </cell>
          <cell r="C713" t="str">
            <v>库存股_专项储备本期提取</v>
          </cell>
          <cell r="D713">
            <v>1</v>
          </cell>
          <cell r="E713" t="str">
            <v>N</v>
          </cell>
          <cell r="F713">
            <v>0</v>
          </cell>
          <cell r="G713" t="str">
            <v>本期提取</v>
          </cell>
          <cell r="H713">
            <v>0</v>
          </cell>
          <cell r="I713">
            <v>8381</v>
          </cell>
          <cell r="J713" t="str">
            <v>J</v>
          </cell>
        </row>
        <row r="714">
          <cell r="B714">
            <v>8382</v>
          </cell>
          <cell r="C714" t="str">
            <v>库存股_专项储备本期使用</v>
          </cell>
          <cell r="D714">
            <v>1</v>
          </cell>
          <cell r="E714" t="str">
            <v>N</v>
          </cell>
          <cell r="F714">
            <v>0</v>
          </cell>
          <cell r="G714" t="str">
            <v>本期使用</v>
          </cell>
          <cell r="H714">
            <v>0</v>
          </cell>
          <cell r="I714">
            <v>8382</v>
          </cell>
          <cell r="J714" t="str">
            <v>J</v>
          </cell>
        </row>
        <row r="715">
          <cell r="B715">
            <v>8421</v>
          </cell>
          <cell r="C715" t="str">
            <v>专项储备_净利润增加权益</v>
          </cell>
          <cell r="D715">
            <v>-1</v>
          </cell>
          <cell r="E715" t="str">
            <v>N</v>
          </cell>
          <cell r="F715">
            <v>0</v>
          </cell>
          <cell r="G715" t="str">
            <v>（一）净利润</v>
          </cell>
          <cell r="H715">
            <v>0</v>
          </cell>
          <cell r="I715">
            <v>8421</v>
          </cell>
          <cell r="J715" t="str">
            <v>J</v>
          </cell>
        </row>
        <row r="716">
          <cell r="B716">
            <v>8430</v>
          </cell>
          <cell r="C716" t="str">
            <v>专项储备_其他综合收益增加权益</v>
          </cell>
          <cell r="D716">
            <v>-1</v>
          </cell>
          <cell r="E716" t="str">
            <v>N</v>
          </cell>
          <cell r="F716">
            <v>0</v>
          </cell>
          <cell r="G716" t="str">
            <v>（二）其他综合收益</v>
          </cell>
          <cell r="H716">
            <v>0</v>
          </cell>
          <cell r="I716">
            <v>8430</v>
          </cell>
          <cell r="J716" t="str">
            <v>J</v>
          </cell>
        </row>
        <row r="717">
          <cell r="B717">
            <v>8451</v>
          </cell>
          <cell r="C717" t="str">
            <v>专项储备_所有者投入资本增加权益</v>
          </cell>
          <cell r="D717">
            <v>-1</v>
          </cell>
          <cell r="E717" t="str">
            <v>N</v>
          </cell>
          <cell r="F717">
            <v>0</v>
          </cell>
          <cell r="G717" t="str">
            <v>所有者投入资本</v>
          </cell>
          <cell r="H717">
            <v>0</v>
          </cell>
          <cell r="I717">
            <v>8451</v>
          </cell>
          <cell r="J717" t="str">
            <v>J</v>
          </cell>
        </row>
        <row r="718">
          <cell r="B718">
            <v>8452</v>
          </cell>
          <cell r="C718" t="str">
            <v>专项储备_股份支付计入所有者权益的金额</v>
          </cell>
          <cell r="D718">
            <v>-1</v>
          </cell>
          <cell r="E718" t="str">
            <v>N</v>
          </cell>
          <cell r="F718">
            <v>0</v>
          </cell>
          <cell r="G718" t="str">
            <v>股份支付计入所有者权益的金额</v>
          </cell>
          <cell r="H718">
            <v>0</v>
          </cell>
          <cell r="I718">
            <v>8452</v>
          </cell>
          <cell r="J718" t="str">
            <v>J</v>
          </cell>
        </row>
        <row r="719">
          <cell r="B719">
            <v>8456</v>
          </cell>
          <cell r="C719" t="str">
            <v>专项储备_所有者其他投入和减少资本</v>
          </cell>
          <cell r="D719">
            <v>-1</v>
          </cell>
          <cell r="E719" t="str">
            <v>N</v>
          </cell>
          <cell r="F719">
            <v>0</v>
          </cell>
          <cell r="G719" t="str">
            <v>其他</v>
          </cell>
          <cell r="H719">
            <v>0</v>
          </cell>
          <cell r="I719">
            <v>8456</v>
          </cell>
          <cell r="J719" t="str">
            <v>J</v>
          </cell>
        </row>
        <row r="720">
          <cell r="B720">
            <v>8461</v>
          </cell>
          <cell r="C720" t="str">
            <v>专项储备_提取盈余公积影响权益</v>
          </cell>
          <cell r="D720">
            <v>-1</v>
          </cell>
          <cell r="E720" t="str">
            <v>N</v>
          </cell>
          <cell r="F720">
            <v>0</v>
          </cell>
          <cell r="G720" t="str">
            <v>提取盈余公积</v>
          </cell>
          <cell r="H720">
            <v>0</v>
          </cell>
          <cell r="I720">
            <v>8461</v>
          </cell>
          <cell r="J720" t="str">
            <v>J</v>
          </cell>
        </row>
        <row r="721">
          <cell r="B721">
            <v>8462</v>
          </cell>
          <cell r="C721" t="str">
            <v>专项储备_提取一般风险准备影响权益</v>
          </cell>
          <cell r="D721">
            <v>-1</v>
          </cell>
          <cell r="E721" t="str">
            <v>N</v>
          </cell>
          <cell r="F721">
            <v>0</v>
          </cell>
          <cell r="G721" t="str">
            <v>提取一般风险准备</v>
          </cell>
          <cell r="H721">
            <v>0</v>
          </cell>
          <cell r="I721">
            <v>8462</v>
          </cell>
          <cell r="J721" t="str">
            <v>J</v>
          </cell>
        </row>
        <row r="722">
          <cell r="B722">
            <v>8463</v>
          </cell>
          <cell r="C722" t="str">
            <v>专项储备_对所有者的分配影响权益</v>
          </cell>
          <cell r="D722">
            <v>-1</v>
          </cell>
          <cell r="E722" t="str">
            <v>N</v>
          </cell>
          <cell r="F722">
            <v>0</v>
          </cell>
          <cell r="G722" t="str">
            <v>对所有者（或股东）的分配</v>
          </cell>
          <cell r="H722">
            <v>0</v>
          </cell>
          <cell r="I722">
            <v>8463</v>
          </cell>
          <cell r="J722" t="str">
            <v>J</v>
          </cell>
        </row>
        <row r="723">
          <cell r="B723">
            <v>8466</v>
          </cell>
          <cell r="C723" t="str">
            <v>专项储备_其他利润分配影响权益</v>
          </cell>
          <cell r="D723">
            <v>-1</v>
          </cell>
          <cell r="E723" t="str">
            <v>N</v>
          </cell>
          <cell r="F723">
            <v>0</v>
          </cell>
          <cell r="G723" t="str">
            <v>其他</v>
          </cell>
          <cell r="H723">
            <v>0</v>
          </cell>
          <cell r="I723">
            <v>8466</v>
          </cell>
          <cell r="J723" t="str">
            <v>J</v>
          </cell>
        </row>
        <row r="724">
          <cell r="B724">
            <v>8471</v>
          </cell>
          <cell r="C724" t="str">
            <v>专项储备_资本公积转增资本影响权益</v>
          </cell>
          <cell r="D724">
            <v>-1</v>
          </cell>
          <cell r="E724" t="str">
            <v>N</v>
          </cell>
          <cell r="F724">
            <v>0</v>
          </cell>
          <cell r="G724" t="str">
            <v>资本公积转增资本（或股本）</v>
          </cell>
          <cell r="H724">
            <v>0</v>
          </cell>
          <cell r="I724">
            <v>8471</v>
          </cell>
          <cell r="J724" t="str">
            <v>J</v>
          </cell>
        </row>
        <row r="725">
          <cell r="B725">
            <v>8472</v>
          </cell>
          <cell r="C725" t="str">
            <v>专项储备_盈余公积转增资本影响权益</v>
          </cell>
          <cell r="D725">
            <v>-1</v>
          </cell>
          <cell r="E725" t="str">
            <v>N</v>
          </cell>
          <cell r="F725">
            <v>0</v>
          </cell>
          <cell r="G725" t="str">
            <v>盈余公积转增资本（或股本）</v>
          </cell>
          <cell r="H725">
            <v>0</v>
          </cell>
          <cell r="I725">
            <v>8472</v>
          </cell>
          <cell r="J725" t="str">
            <v>J</v>
          </cell>
        </row>
        <row r="726">
          <cell r="B726">
            <v>8473</v>
          </cell>
          <cell r="C726" t="str">
            <v>专项储备_盈余公积弥补亏损影响权益</v>
          </cell>
          <cell r="D726">
            <v>-1</v>
          </cell>
          <cell r="E726" t="str">
            <v>N</v>
          </cell>
          <cell r="F726">
            <v>0</v>
          </cell>
          <cell r="G726" t="str">
            <v>盈余公积弥补亏损</v>
          </cell>
          <cell r="H726">
            <v>0</v>
          </cell>
          <cell r="I726">
            <v>8473</v>
          </cell>
          <cell r="J726" t="str">
            <v>J</v>
          </cell>
        </row>
        <row r="727">
          <cell r="B727">
            <v>8521</v>
          </cell>
          <cell r="C727" t="str">
            <v>盈余公积_净利润增加权益</v>
          </cell>
          <cell r="D727">
            <v>-1</v>
          </cell>
          <cell r="E727" t="str">
            <v>N</v>
          </cell>
          <cell r="F727">
            <v>0</v>
          </cell>
          <cell r="G727" t="str">
            <v>（一）净利润</v>
          </cell>
          <cell r="H727">
            <v>0</v>
          </cell>
          <cell r="I727">
            <v>8521</v>
          </cell>
          <cell r="J727" t="str">
            <v>J</v>
          </cell>
        </row>
        <row r="728">
          <cell r="B728">
            <v>8530</v>
          </cell>
          <cell r="C728" t="str">
            <v>盈余公积_其他综合收益增加权益</v>
          </cell>
          <cell r="D728">
            <v>-1</v>
          </cell>
          <cell r="E728" t="str">
            <v>N</v>
          </cell>
          <cell r="F728">
            <v>0</v>
          </cell>
          <cell r="G728" t="str">
            <v>（二）其他综合收益</v>
          </cell>
          <cell r="H728">
            <v>0</v>
          </cell>
          <cell r="I728">
            <v>8530</v>
          </cell>
          <cell r="J728" t="str">
            <v>J</v>
          </cell>
        </row>
        <row r="729">
          <cell r="B729">
            <v>8551</v>
          </cell>
          <cell r="C729" t="str">
            <v>盈余公积_所有者投入资本增加权益</v>
          </cell>
          <cell r="D729">
            <v>-1</v>
          </cell>
          <cell r="E729" t="str">
            <v>N</v>
          </cell>
          <cell r="F729">
            <v>0</v>
          </cell>
          <cell r="G729" t="str">
            <v>所有者投入资本</v>
          </cell>
          <cell r="H729">
            <v>0</v>
          </cell>
          <cell r="I729">
            <v>8551</v>
          </cell>
          <cell r="J729" t="str">
            <v>J</v>
          </cell>
        </row>
        <row r="730">
          <cell r="B730">
            <v>8552</v>
          </cell>
          <cell r="C730" t="str">
            <v>盈余公积_股份支付计入所有者权益的金额</v>
          </cell>
          <cell r="D730">
            <v>-1</v>
          </cell>
          <cell r="E730" t="str">
            <v>N</v>
          </cell>
          <cell r="F730">
            <v>0</v>
          </cell>
          <cell r="G730" t="str">
            <v>股份支付计入所有者权益的金额</v>
          </cell>
          <cell r="H730">
            <v>0</v>
          </cell>
          <cell r="I730">
            <v>8552</v>
          </cell>
          <cell r="J730" t="str">
            <v>J</v>
          </cell>
        </row>
        <row r="731">
          <cell r="B731">
            <v>8562</v>
          </cell>
          <cell r="C731" t="str">
            <v>盈余公积_提取一般风险准备影响权益</v>
          </cell>
          <cell r="D731">
            <v>-1</v>
          </cell>
          <cell r="E731" t="str">
            <v>N</v>
          </cell>
          <cell r="F731">
            <v>0</v>
          </cell>
          <cell r="G731" t="str">
            <v>提取一般风险准备</v>
          </cell>
          <cell r="H731">
            <v>0</v>
          </cell>
          <cell r="I731">
            <v>8562</v>
          </cell>
          <cell r="J731" t="str">
            <v>J</v>
          </cell>
        </row>
        <row r="732">
          <cell r="B732">
            <v>8571</v>
          </cell>
          <cell r="C732" t="str">
            <v>盈余公积_资本公积转增资本影响权益</v>
          </cell>
          <cell r="D732">
            <v>-1</v>
          </cell>
          <cell r="E732" t="str">
            <v>N</v>
          </cell>
          <cell r="F732">
            <v>0</v>
          </cell>
          <cell r="G732" t="str">
            <v>资本公积转增资本（或股本）</v>
          </cell>
          <cell r="H732">
            <v>0</v>
          </cell>
          <cell r="I732">
            <v>8571</v>
          </cell>
          <cell r="J732" t="str">
            <v>J</v>
          </cell>
        </row>
        <row r="733">
          <cell r="B733">
            <v>8581</v>
          </cell>
          <cell r="C733" t="str">
            <v>盈余公积_专项储备本期提取</v>
          </cell>
          <cell r="D733">
            <v>-1</v>
          </cell>
          <cell r="E733" t="str">
            <v>N</v>
          </cell>
          <cell r="F733">
            <v>0</v>
          </cell>
          <cell r="G733" t="str">
            <v>本期提取</v>
          </cell>
          <cell r="H733">
            <v>0</v>
          </cell>
          <cell r="I733">
            <v>8581</v>
          </cell>
          <cell r="J733" t="str">
            <v>J</v>
          </cell>
        </row>
        <row r="734">
          <cell r="B734">
            <v>8582</v>
          </cell>
          <cell r="C734" t="str">
            <v>盈余公积_专项储备本期使用</v>
          </cell>
          <cell r="D734">
            <v>-1</v>
          </cell>
          <cell r="E734" t="str">
            <v>N</v>
          </cell>
          <cell r="F734">
            <v>0</v>
          </cell>
          <cell r="G734" t="str">
            <v>本期使用</v>
          </cell>
          <cell r="H734">
            <v>0</v>
          </cell>
          <cell r="I734">
            <v>8582</v>
          </cell>
          <cell r="J734" t="str">
            <v>J</v>
          </cell>
        </row>
        <row r="735">
          <cell r="B735">
            <v>8621</v>
          </cell>
          <cell r="C735" t="str">
            <v>一般风险准备_净利润增加权益</v>
          </cell>
          <cell r="D735">
            <v>-1</v>
          </cell>
          <cell r="E735" t="str">
            <v>N</v>
          </cell>
          <cell r="F735">
            <v>0</v>
          </cell>
          <cell r="G735" t="str">
            <v>（一）净利润</v>
          </cell>
          <cell r="H735">
            <v>0</v>
          </cell>
          <cell r="I735">
            <v>8621</v>
          </cell>
          <cell r="J735" t="str">
            <v>J</v>
          </cell>
        </row>
        <row r="736">
          <cell r="B736">
            <v>8630</v>
          </cell>
          <cell r="C736" t="str">
            <v>一般风险准备_其他综合收益增加权益</v>
          </cell>
          <cell r="D736">
            <v>-1</v>
          </cell>
          <cell r="E736" t="str">
            <v>N</v>
          </cell>
          <cell r="F736">
            <v>0</v>
          </cell>
          <cell r="G736" t="str">
            <v>（二）其他综合收益</v>
          </cell>
          <cell r="H736">
            <v>0</v>
          </cell>
          <cell r="I736">
            <v>8630</v>
          </cell>
          <cell r="J736" t="str">
            <v>J</v>
          </cell>
        </row>
        <row r="737">
          <cell r="B737">
            <v>8651</v>
          </cell>
          <cell r="C737" t="str">
            <v>一般风险准备_所有者投入资本增加权益</v>
          </cell>
          <cell r="D737">
            <v>-1</v>
          </cell>
          <cell r="E737" t="str">
            <v>N</v>
          </cell>
          <cell r="F737">
            <v>0</v>
          </cell>
          <cell r="G737" t="str">
            <v>所有者投入资本</v>
          </cell>
          <cell r="H737">
            <v>0</v>
          </cell>
          <cell r="I737">
            <v>8651</v>
          </cell>
          <cell r="J737" t="str">
            <v>J</v>
          </cell>
        </row>
        <row r="738">
          <cell r="B738">
            <v>8652</v>
          </cell>
          <cell r="C738" t="str">
            <v>一般风险准备_股份支付计入所有者权益的金额</v>
          </cell>
          <cell r="D738">
            <v>-1</v>
          </cell>
          <cell r="E738" t="str">
            <v>N</v>
          </cell>
          <cell r="F738">
            <v>0</v>
          </cell>
          <cell r="G738" t="str">
            <v>股份支付计入所有者权益的金额</v>
          </cell>
          <cell r="H738">
            <v>0</v>
          </cell>
          <cell r="I738">
            <v>8652</v>
          </cell>
          <cell r="J738" t="str">
            <v>J</v>
          </cell>
        </row>
        <row r="739">
          <cell r="B739">
            <v>8661</v>
          </cell>
          <cell r="C739" t="str">
            <v>一般风险准备_提取盈余公积影响权益</v>
          </cell>
          <cell r="D739">
            <v>-1</v>
          </cell>
          <cell r="E739" t="str">
            <v>N</v>
          </cell>
          <cell r="F739">
            <v>0</v>
          </cell>
          <cell r="G739" t="str">
            <v>提取盈余公积</v>
          </cell>
          <cell r="H739">
            <v>0</v>
          </cell>
          <cell r="I739">
            <v>8661</v>
          </cell>
          <cell r="J739" t="str">
            <v>J</v>
          </cell>
        </row>
        <row r="740">
          <cell r="B740">
            <v>8663</v>
          </cell>
          <cell r="C740" t="str">
            <v>一般风险准备_对所有者的分配影响权益</v>
          </cell>
          <cell r="D740">
            <v>-1</v>
          </cell>
          <cell r="E740" t="str">
            <v>N</v>
          </cell>
          <cell r="F740">
            <v>0</v>
          </cell>
          <cell r="G740" t="str">
            <v>对所有者（或股东）的分配</v>
          </cell>
          <cell r="H740">
            <v>0</v>
          </cell>
          <cell r="I740">
            <v>8663</v>
          </cell>
          <cell r="J740" t="str">
            <v>J</v>
          </cell>
        </row>
        <row r="741">
          <cell r="B741">
            <v>8671</v>
          </cell>
          <cell r="C741" t="str">
            <v>一般风险准备_资本公积转增资本影响权益</v>
          </cell>
          <cell r="D741">
            <v>-1</v>
          </cell>
          <cell r="E741" t="str">
            <v>N</v>
          </cell>
          <cell r="F741">
            <v>0</v>
          </cell>
          <cell r="G741" t="str">
            <v>资本公积转增资本（或股本）</v>
          </cell>
          <cell r="H741">
            <v>0</v>
          </cell>
          <cell r="I741">
            <v>8671</v>
          </cell>
          <cell r="J741" t="str">
            <v>J</v>
          </cell>
        </row>
        <row r="742">
          <cell r="B742">
            <v>8672</v>
          </cell>
          <cell r="C742" t="str">
            <v>一般风险准备_盈余公积转增资本影响权益</v>
          </cell>
          <cell r="D742">
            <v>-1</v>
          </cell>
          <cell r="E742" t="str">
            <v>N</v>
          </cell>
          <cell r="F742">
            <v>0</v>
          </cell>
          <cell r="G742" t="str">
            <v>盈余公积转增资本（或股本）</v>
          </cell>
          <cell r="H742">
            <v>0</v>
          </cell>
          <cell r="I742">
            <v>8672</v>
          </cell>
          <cell r="J742" t="str">
            <v>J</v>
          </cell>
        </row>
        <row r="743">
          <cell r="B743">
            <v>8673</v>
          </cell>
          <cell r="C743" t="str">
            <v>一般风险准备_盈余公积弥补亏损影响权益</v>
          </cell>
          <cell r="D743">
            <v>-1</v>
          </cell>
          <cell r="E743" t="str">
            <v>N</v>
          </cell>
          <cell r="F743">
            <v>0</v>
          </cell>
          <cell r="G743" t="str">
            <v>盈余公积弥补亏损</v>
          </cell>
          <cell r="H743">
            <v>0</v>
          </cell>
          <cell r="I743">
            <v>8673</v>
          </cell>
          <cell r="J743" t="str">
            <v>J</v>
          </cell>
        </row>
        <row r="744">
          <cell r="B744">
            <v>8681</v>
          </cell>
          <cell r="C744" t="str">
            <v>一般风险准备_专项储备本期提取</v>
          </cell>
          <cell r="D744">
            <v>-1</v>
          </cell>
          <cell r="E744" t="str">
            <v>N</v>
          </cell>
          <cell r="F744">
            <v>0</v>
          </cell>
          <cell r="G744" t="str">
            <v>本期提取</v>
          </cell>
          <cell r="H744">
            <v>0</v>
          </cell>
          <cell r="I744">
            <v>8681</v>
          </cell>
          <cell r="J744" t="str">
            <v>J</v>
          </cell>
        </row>
        <row r="745">
          <cell r="B745">
            <v>8682</v>
          </cell>
          <cell r="C745" t="str">
            <v>一般风险准备_专项储备本期使用</v>
          </cell>
          <cell r="D745">
            <v>-1</v>
          </cell>
          <cell r="E745" t="str">
            <v>N</v>
          </cell>
          <cell r="F745">
            <v>0</v>
          </cell>
          <cell r="G745" t="str">
            <v>本期使用</v>
          </cell>
          <cell r="H745">
            <v>0</v>
          </cell>
          <cell r="I745">
            <v>8682</v>
          </cell>
          <cell r="J745" t="str">
            <v>J</v>
          </cell>
        </row>
        <row r="746">
          <cell r="B746">
            <v>8730</v>
          </cell>
          <cell r="C746" t="str">
            <v>未分配利润_其他综合收益增加权益</v>
          </cell>
          <cell r="D746">
            <v>-1</v>
          </cell>
          <cell r="E746" t="str">
            <v>N</v>
          </cell>
          <cell r="F746">
            <v>0</v>
          </cell>
          <cell r="G746" t="str">
            <v>（二）其他综合收益</v>
          </cell>
          <cell r="H746">
            <v>0</v>
          </cell>
          <cell r="I746">
            <v>8730</v>
          </cell>
          <cell r="J746">
            <v>0</v>
          </cell>
        </row>
        <row r="747">
          <cell r="B747">
            <v>8751</v>
          </cell>
          <cell r="C747" t="str">
            <v>未分配利润_所有者投入资本增加权益</v>
          </cell>
          <cell r="D747">
            <v>-1</v>
          </cell>
          <cell r="E747" t="str">
            <v>N</v>
          </cell>
          <cell r="F747">
            <v>0</v>
          </cell>
          <cell r="G747" t="str">
            <v>所有者投入资本</v>
          </cell>
          <cell r="H747">
            <v>0</v>
          </cell>
          <cell r="I747">
            <v>8751</v>
          </cell>
          <cell r="J747" t="str">
            <v>J</v>
          </cell>
        </row>
        <row r="748">
          <cell r="B748">
            <v>8752</v>
          </cell>
          <cell r="C748" t="str">
            <v>未分配利润_股份支付计入所有者权益的金额</v>
          </cell>
          <cell r="D748">
            <v>-1</v>
          </cell>
          <cell r="E748" t="str">
            <v>N</v>
          </cell>
          <cell r="F748">
            <v>0</v>
          </cell>
          <cell r="G748" t="str">
            <v>股份支付计入所有者权益的金额</v>
          </cell>
          <cell r="H748">
            <v>0</v>
          </cell>
          <cell r="I748">
            <v>8752</v>
          </cell>
          <cell r="J748" t="str">
            <v>J</v>
          </cell>
        </row>
        <row r="749">
          <cell r="B749">
            <v>8771</v>
          </cell>
          <cell r="C749" t="str">
            <v>未分配利润_资本公积转增资本影响权益</v>
          </cell>
          <cell r="D749">
            <v>-1</v>
          </cell>
          <cell r="E749" t="str">
            <v>N</v>
          </cell>
          <cell r="F749">
            <v>0</v>
          </cell>
          <cell r="G749" t="str">
            <v>资本公积转增资本（或股本）</v>
          </cell>
          <cell r="H749">
            <v>0</v>
          </cell>
          <cell r="I749">
            <v>8771</v>
          </cell>
          <cell r="J749" t="str">
            <v>J</v>
          </cell>
        </row>
        <row r="750">
          <cell r="B750">
            <v>8772</v>
          </cell>
          <cell r="C750" t="str">
            <v>未分配利润_盈余公积转增资本影响权益</v>
          </cell>
          <cell r="D750">
            <v>-1</v>
          </cell>
          <cell r="E750" t="str">
            <v>N</v>
          </cell>
          <cell r="F750">
            <v>0</v>
          </cell>
          <cell r="G750" t="str">
            <v>盈余公积转增资本（或股本）</v>
          </cell>
          <cell r="H750">
            <v>0</v>
          </cell>
          <cell r="I750">
            <v>8772</v>
          </cell>
          <cell r="J750" t="str">
            <v>J</v>
          </cell>
        </row>
        <row r="751">
          <cell r="B751">
            <v>8961</v>
          </cell>
          <cell r="C751" t="str">
            <v>少数股东权益_提取盈余公积影响权益</v>
          </cell>
          <cell r="D751">
            <v>-1</v>
          </cell>
          <cell r="E751" t="str">
            <v>※N</v>
          </cell>
          <cell r="F751">
            <v>0</v>
          </cell>
          <cell r="G751" t="str">
            <v>提取盈余公积</v>
          </cell>
          <cell r="H751">
            <v>0</v>
          </cell>
          <cell r="I751">
            <v>8961</v>
          </cell>
          <cell r="J751" t="str">
            <v>J</v>
          </cell>
        </row>
        <row r="752">
          <cell r="B752">
            <v>8962</v>
          </cell>
          <cell r="C752" t="str">
            <v>少数股东权益_提取一般风险准备影响权益</v>
          </cell>
          <cell r="D752">
            <v>-1</v>
          </cell>
          <cell r="E752" t="str">
            <v>※N</v>
          </cell>
          <cell r="F752">
            <v>0</v>
          </cell>
          <cell r="G752" t="str">
            <v>提取一般风险准备</v>
          </cell>
          <cell r="H752">
            <v>0</v>
          </cell>
          <cell r="I752">
            <v>8962</v>
          </cell>
          <cell r="J752" t="str">
            <v>J</v>
          </cell>
        </row>
        <row r="753">
          <cell r="B753">
            <v>8971</v>
          </cell>
          <cell r="C753" t="str">
            <v>少数股东权益_资本公积转增资本影响权益</v>
          </cell>
          <cell r="D753">
            <v>-1</v>
          </cell>
          <cell r="E753" t="str">
            <v>※N</v>
          </cell>
          <cell r="F753">
            <v>0</v>
          </cell>
          <cell r="G753" t="str">
            <v>资本公积转增资本（或股本）</v>
          </cell>
          <cell r="H753">
            <v>0</v>
          </cell>
          <cell r="I753">
            <v>8971</v>
          </cell>
          <cell r="J753" t="str">
            <v>J</v>
          </cell>
        </row>
        <row r="754">
          <cell r="B754">
            <v>8972</v>
          </cell>
          <cell r="C754" t="str">
            <v>少数股东权益_盈余公积转增资本影响权益</v>
          </cell>
          <cell r="D754">
            <v>-1</v>
          </cell>
          <cell r="E754" t="str">
            <v>※N</v>
          </cell>
          <cell r="F754">
            <v>0</v>
          </cell>
          <cell r="G754" t="str">
            <v>盈余公积转增资本（或股本）</v>
          </cell>
          <cell r="H754">
            <v>0</v>
          </cell>
          <cell r="I754">
            <v>8972</v>
          </cell>
          <cell r="J754" t="str">
            <v>J</v>
          </cell>
        </row>
        <row r="755">
          <cell r="B755">
            <v>8973</v>
          </cell>
          <cell r="C755" t="str">
            <v>少数股东权益_盈余公积弥补亏损影响权益</v>
          </cell>
          <cell r="D755">
            <v>-1</v>
          </cell>
          <cell r="E755" t="str">
            <v>※N</v>
          </cell>
          <cell r="F755">
            <v>0</v>
          </cell>
          <cell r="G755" t="str">
            <v>盈余公积弥补亏损</v>
          </cell>
          <cell r="H755">
            <v>0</v>
          </cell>
          <cell r="I755">
            <v>8973</v>
          </cell>
          <cell r="J755" t="str">
            <v>J</v>
          </cell>
        </row>
        <row r="756">
          <cell r="B756">
            <v>8140</v>
          </cell>
          <cell r="C756" t="str">
            <v>实收资本_综合收益总额增加权益</v>
          </cell>
          <cell r="D756">
            <v>-1</v>
          </cell>
          <cell r="E756">
            <v>0</v>
          </cell>
          <cell r="F756">
            <v>0</v>
          </cell>
          <cell r="G756" t="str">
            <v>（一）综合收益总额</v>
          </cell>
          <cell r="H756">
            <v>0</v>
          </cell>
          <cell r="I756">
            <v>8140</v>
          </cell>
          <cell r="J756" t="str">
            <v>J</v>
          </cell>
        </row>
        <row r="757">
          <cell r="B757">
            <v>8160</v>
          </cell>
          <cell r="C757" t="str">
            <v>实收资本_利润分配影响权益</v>
          </cell>
          <cell r="D757">
            <v>0</v>
          </cell>
          <cell r="E757" t="str">
            <v>＝</v>
          </cell>
          <cell r="F757">
            <v>0</v>
          </cell>
          <cell r="G757" t="str">
            <v>（三）利润分配</v>
          </cell>
          <cell r="H757">
            <v>0</v>
          </cell>
          <cell r="I757">
            <v>8160</v>
          </cell>
          <cell r="J757">
            <v>0</v>
          </cell>
        </row>
        <row r="758">
          <cell r="B758">
            <v>8180</v>
          </cell>
          <cell r="C758" t="str">
            <v>实收资本_专项储备影响权益</v>
          </cell>
          <cell r="D758">
            <v>0</v>
          </cell>
          <cell r="E758" t="str">
            <v>＝</v>
          </cell>
          <cell r="F758">
            <v>0</v>
          </cell>
          <cell r="G758" t="str">
            <v>（五）专项储备</v>
          </cell>
          <cell r="H758">
            <v>0</v>
          </cell>
          <cell r="I758">
            <v>8180</v>
          </cell>
          <cell r="J758">
            <v>0</v>
          </cell>
        </row>
        <row r="759">
          <cell r="B759">
            <v>8280</v>
          </cell>
          <cell r="C759" t="str">
            <v>资本公积_专项储备影响权益</v>
          </cell>
          <cell r="D759">
            <v>0</v>
          </cell>
          <cell r="E759" t="str">
            <v>＝</v>
          </cell>
          <cell r="F759">
            <v>0</v>
          </cell>
          <cell r="G759" t="str">
            <v>（五）专项储备</v>
          </cell>
          <cell r="H759">
            <v>0</v>
          </cell>
          <cell r="I759">
            <v>8280</v>
          </cell>
          <cell r="J759">
            <v>0</v>
          </cell>
        </row>
        <row r="760">
          <cell r="B760">
            <v>8340</v>
          </cell>
          <cell r="C760" t="str">
            <v>库存股_综合收益总额增加权益</v>
          </cell>
          <cell r="D760">
            <v>1</v>
          </cell>
          <cell r="E760">
            <v>0</v>
          </cell>
          <cell r="F760">
            <v>0</v>
          </cell>
          <cell r="G760" t="str">
            <v>（一）综合收益总额</v>
          </cell>
          <cell r="H760">
            <v>0</v>
          </cell>
          <cell r="I760">
            <v>8340</v>
          </cell>
          <cell r="J760" t="str">
            <v>J</v>
          </cell>
        </row>
        <row r="761">
          <cell r="B761">
            <v>8380</v>
          </cell>
          <cell r="C761" t="str">
            <v>库存股_专项储备影响权益</v>
          </cell>
          <cell r="D761">
            <v>0</v>
          </cell>
          <cell r="E761" t="str">
            <v>＝</v>
          </cell>
          <cell r="F761">
            <v>0</v>
          </cell>
          <cell r="G761" t="str">
            <v>（五）专项储备</v>
          </cell>
          <cell r="H761">
            <v>0</v>
          </cell>
          <cell r="I761">
            <v>8380</v>
          </cell>
          <cell r="J761">
            <v>0</v>
          </cell>
        </row>
        <row r="762">
          <cell r="B762">
            <v>8440</v>
          </cell>
          <cell r="C762" t="str">
            <v>专项储备_综合收益总额增加权益</v>
          </cell>
          <cell r="D762">
            <v>-1</v>
          </cell>
          <cell r="E762">
            <v>0</v>
          </cell>
          <cell r="F762">
            <v>0</v>
          </cell>
          <cell r="G762" t="str">
            <v>（一）综合收益总额</v>
          </cell>
          <cell r="H762">
            <v>0</v>
          </cell>
          <cell r="I762">
            <v>8440</v>
          </cell>
          <cell r="J762" t="str">
            <v>J</v>
          </cell>
        </row>
        <row r="763">
          <cell r="B763">
            <v>8450</v>
          </cell>
          <cell r="C763" t="str">
            <v>专项储备_所有者投入和减少资本影响权益</v>
          </cell>
          <cell r="D763">
            <v>0</v>
          </cell>
          <cell r="E763" t="str">
            <v>＝</v>
          </cell>
          <cell r="F763">
            <v>0</v>
          </cell>
          <cell r="G763" t="str">
            <v>（二）所有者投入和减少资本</v>
          </cell>
          <cell r="H763">
            <v>0</v>
          </cell>
          <cell r="I763">
            <v>8450</v>
          </cell>
          <cell r="J763">
            <v>0</v>
          </cell>
        </row>
        <row r="764">
          <cell r="B764">
            <v>8460</v>
          </cell>
          <cell r="C764" t="str">
            <v>专项储备_利润分配影响权益</v>
          </cell>
          <cell r="D764">
            <v>0</v>
          </cell>
          <cell r="E764" t="str">
            <v>＝</v>
          </cell>
          <cell r="F764">
            <v>0</v>
          </cell>
          <cell r="G764" t="str">
            <v>（三）利润分配</v>
          </cell>
          <cell r="H764">
            <v>0</v>
          </cell>
          <cell r="I764">
            <v>8460</v>
          </cell>
          <cell r="J764">
            <v>0</v>
          </cell>
        </row>
        <row r="765">
          <cell r="B765">
            <v>8540</v>
          </cell>
          <cell r="C765" t="str">
            <v>盈余公积_综合收益总额增加权益</v>
          </cell>
          <cell r="D765">
            <v>-1</v>
          </cell>
          <cell r="E765">
            <v>0</v>
          </cell>
          <cell r="F765">
            <v>0</v>
          </cell>
          <cell r="G765" t="str">
            <v>（一）综合收益总额</v>
          </cell>
          <cell r="H765">
            <v>0</v>
          </cell>
          <cell r="I765">
            <v>8540</v>
          </cell>
          <cell r="J765" t="str">
            <v>J</v>
          </cell>
        </row>
        <row r="766">
          <cell r="B766">
            <v>8580</v>
          </cell>
          <cell r="C766" t="str">
            <v>盈余公积_专项储备影响权益</v>
          </cell>
          <cell r="D766">
            <v>0</v>
          </cell>
          <cell r="E766" t="str">
            <v>＝</v>
          </cell>
          <cell r="F766">
            <v>0</v>
          </cell>
          <cell r="G766" t="str">
            <v>（五）专项储备</v>
          </cell>
          <cell r="H766">
            <v>0</v>
          </cell>
          <cell r="I766">
            <v>8580</v>
          </cell>
          <cell r="J766">
            <v>0</v>
          </cell>
        </row>
        <row r="767">
          <cell r="B767">
            <v>8640</v>
          </cell>
          <cell r="C767" t="str">
            <v>一般风险准备_综合收益总额增加权益</v>
          </cell>
          <cell r="D767">
            <v>-1</v>
          </cell>
          <cell r="E767">
            <v>0</v>
          </cell>
          <cell r="F767">
            <v>0</v>
          </cell>
          <cell r="G767" t="str">
            <v>（一）综合收益总额</v>
          </cell>
          <cell r="H767">
            <v>0</v>
          </cell>
          <cell r="I767">
            <v>8640</v>
          </cell>
          <cell r="J767" t="str">
            <v>J</v>
          </cell>
        </row>
        <row r="768">
          <cell r="B768">
            <v>8680</v>
          </cell>
          <cell r="C768" t="str">
            <v>一般风险准备_专项储备影响权益</v>
          </cell>
          <cell r="D768">
            <v>0</v>
          </cell>
          <cell r="E768" t="str">
            <v>＝</v>
          </cell>
          <cell r="F768">
            <v>0</v>
          </cell>
          <cell r="G768" t="str">
            <v>（五）专项储备</v>
          </cell>
          <cell r="H768">
            <v>0</v>
          </cell>
          <cell r="I768">
            <v>8680</v>
          </cell>
          <cell r="J768">
            <v>0</v>
          </cell>
        </row>
        <row r="769">
          <cell r="B769" t="str">
            <v>8a00</v>
          </cell>
          <cell r="C769" t="str">
            <v>其他权益工具增减变动</v>
          </cell>
          <cell r="D769">
            <v>0</v>
          </cell>
          <cell r="E769" t="str">
            <v>：OEI</v>
          </cell>
          <cell r="F769">
            <v>0</v>
          </cell>
          <cell r="G769" t="str">
            <v>其他权益工具增减变动</v>
          </cell>
          <cell r="H769">
            <v>0</v>
          </cell>
          <cell r="I769" t="str">
            <v>8a00</v>
          </cell>
          <cell r="J769">
            <v>0</v>
          </cell>
        </row>
        <row r="770">
          <cell r="B770" t="str">
            <v>8a01</v>
          </cell>
          <cell r="C770" t="str">
            <v>其他权益工具_上年年末余额</v>
          </cell>
          <cell r="D770">
            <v>-1</v>
          </cell>
          <cell r="E770" t="str">
            <v>OEI</v>
          </cell>
          <cell r="F770">
            <v>0</v>
          </cell>
          <cell r="G770" t="str">
            <v>一、上年年末余额</v>
          </cell>
          <cell r="H770">
            <v>0</v>
          </cell>
          <cell r="I770" t="str">
            <v>8a01</v>
          </cell>
          <cell r="J770">
            <v>0</v>
          </cell>
        </row>
        <row r="771">
          <cell r="B771" t="str">
            <v>8a02</v>
          </cell>
          <cell r="C771" t="str">
            <v>其他权益工具_会计政策变更调整上年年末余额</v>
          </cell>
          <cell r="D771">
            <v>-1</v>
          </cell>
          <cell r="E771" t="str">
            <v>OEI</v>
          </cell>
          <cell r="F771">
            <v>0</v>
          </cell>
          <cell r="G771" t="str">
            <v>加：会计政策变更</v>
          </cell>
          <cell r="H771">
            <v>0</v>
          </cell>
          <cell r="I771" t="str">
            <v>8a02</v>
          </cell>
          <cell r="J771">
            <v>0</v>
          </cell>
        </row>
        <row r="772">
          <cell r="B772" t="str">
            <v>8a03</v>
          </cell>
          <cell r="C772" t="str">
            <v>其他权益工具_前期差错更正调整上年年末余额</v>
          </cell>
          <cell r="D772">
            <v>-1</v>
          </cell>
          <cell r="E772" t="str">
            <v>OEI</v>
          </cell>
          <cell r="F772">
            <v>0</v>
          </cell>
          <cell r="G772" t="str">
            <v>前期差错更正</v>
          </cell>
          <cell r="H772">
            <v>0</v>
          </cell>
          <cell r="I772" t="str">
            <v>8a03</v>
          </cell>
          <cell r="J772">
            <v>0</v>
          </cell>
        </row>
        <row r="773">
          <cell r="B773" t="str">
            <v>8a04</v>
          </cell>
          <cell r="C773" t="str">
            <v>其他权益工具_同一控制下企业合并调整上年年末余额</v>
          </cell>
          <cell r="D773">
            <v>-1</v>
          </cell>
          <cell r="E773" t="str">
            <v>※OEI</v>
          </cell>
          <cell r="F773">
            <v>0</v>
          </cell>
          <cell r="G773" t="str">
            <v>同一控制下企业合并</v>
          </cell>
          <cell r="H773">
            <v>0</v>
          </cell>
          <cell r="I773" t="str">
            <v>8a04</v>
          </cell>
          <cell r="J773">
            <v>0</v>
          </cell>
        </row>
        <row r="774">
          <cell r="B774" t="str">
            <v>8a09</v>
          </cell>
          <cell r="C774" t="str">
            <v>其他权益工具_其他原因调整上年年末余额</v>
          </cell>
          <cell r="D774">
            <v>-1</v>
          </cell>
          <cell r="E774" t="str">
            <v>OEI</v>
          </cell>
          <cell r="F774">
            <v>0</v>
          </cell>
          <cell r="G774" t="str">
            <v>其他</v>
          </cell>
          <cell r="H774">
            <v>0</v>
          </cell>
          <cell r="I774" t="str">
            <v>8a09</v>
          </cell>
          <cell r="J774">
            <v>0</v>
          </cell>
        </row>
        <row r="775">
          <cell r="B775" t="str">
            <v>8a10</v>
          </cell>
          <cell r="C775" t="str">
            <v>其他权益工具_本年年初余额</v>
          </cell>
          <cell r="D775">
            <v>0</v>
          </cell>
          <cell r="E775" t="str">
            <v>OEI＝</v>
          </cell>
          <cell r="F775">
            <v>0</v>
          </cell>
          <cell r="G775" t="str">
            <v>二、本年年初余额</v>
          </cell>
          <cell r="H775">
            <v>0</v>
          </cell>
          <cell r="I775" t="str">
            <v>8a10</v>
          </cell>
          <cell r="J775">
            <v>0</v>
          </cell>
        </row>
        <row r="776">
          <cell r="B776" t="str">
            <v>8a90</v>
          </cell>
          <cell r="C776" t="str">
            <v>其他权益工具_本期增减变动金额</v>
          </cell>
          <cell r="D776">
            <v>0</v>
          </cell>
          <cell r="E776" t="str">
            <v>OEI＝</v>
          </cell>
          <cell r="F776">
            <v>0</v>
          </cell>
          <cell r="G776" t="str">
            <v>三、本期增减变动金额（减少以“-”号填列）</v>
          </cell>
          <cell r="H776">
            <v>0</v>
          </cell>
          <cell r="I776" t="str">
            <v>8a90</v>
          </cell>
          <cell r="J776">
            <v>0</v>
          </cell>
        </row>
        <row r="777">
          <cell r="B777" t="str">
            <v>8a40</v>
          </cell>
          <cell r="C777" t="str">
            <v>其他权益工具_综合收益总额增加权益</v>
          </cell>
          <cell r="D777">
            <v>0</v>
          </cell>
          <cell r="E777" t="str">
            <v>OEI</v>
          </cell>
          <cell r="F777">
            <v>0</v>
          </cell>
          <cell r="G777" t="str">
            <v>（一）综合收益总额</v>
          </cell>
          <cell r="H777">
            <v>0</v>
          </cell>
          <cell r="I777" t="str">
            <v>8a40</v>
          </cell>
          <cell r="J777">
            <v>0</v>
          </cell>
        </row>
        <row r="778">
          <cell r="B778" t="str">
            <v>8a50</v>
          </cell>
          <cell r="C778" t="str">
            <v>其他权益工具_所有者投入和减少资本影响权益</v>
          </cell>
          <cell r="D778">
            <v>0</v>
          </cell>
          <cell r="E778" t="str">
            <v>OEI＝</v>
          </cell>
          <cell r="F778">
            <v>0</v>
          </cell>
          <cell r="G778" t="str">
            <v>（二）所有者投入和减少资本</v>
          </cell>
          <cell r="H778">
            <v>0</v>
          </cell>
          <cell r="I778" t="str">
            <v>8a50</v>
          </cell>
          <cell r="J778">
            <v>0</v>
          </cell>
        </row>
        <row r="779">
          <cell r="B779" t="str">
            <v>8a51</v>
          </cell>
          <cell r="C779" t="str">
            <v>其他权益工具_所有者投入资本</v>
          </cell>
          <cell r="D779">
            <v>-1</v>
          </cell>
          <cell r="E779" t="str">
            <v>OEI</v>
          </cell>
          <cell r="F779">
            <v>0</v>
          </cell>
          <cell r="G779" t="str">
            <v>所有者投入资本</v>
          </cell>
          <cell r="H779">
            <v>0</v>
          </cell>
          <cell r="I779" t="str">
            <v>8a51</v>
          </cell>
          <cell r="J779">
            <v>0</v>
          </cell>
        </row>
        <row r="780">
          <cell r="B780" t="str">
            <v>8a52</v>
          </cell>
          <cell r="C780" t="str">
            <v>其他权益工具_股份支付</v>
          </cell>
          <cell r="D780">
            <v>-1</v>
          </cell>
          <cell r="E780" t="str">
            <v>OEI</v>
          </cell>
          <cell r="F780">
            <v>0</v>
          </cell>
          <cell r="G780" t="str">
            <v>股份支付计入所有者权益的金额</v>
          </cell>
          <cell r="H780">
            <v>0</v>
          </cell>
          <cell r="I780" t="str">
            <v>8a52</v>
          </cell>
          <cell r="J780">
            <v>0</v>
          </cell>
        </row>
        <row r="781">
          <cell r="B781" t="str">
            <v>8a53</v>
          </cell>
          <cell r="C781" t="str">
            <v>其他权益工具_其他权益工具持有者投入资本</v>
          </cell>
          <cell r="D781">
            <v>-1</v>
          </cell>
          <cell r="E781" t="str">
            <v>OEI</v>
          </cell>
          <cell r="F781">
            <v>0</v>
          </cell>
          <cell r="G781" t="str">
            <v>其他权益工具持有者投入资本</v>
          </cell>
          <cell r="H781">
            <v>0</v>
          </cell>
          <cell r="I781" t="str">
            <v>8a53</v>
          </cell>
          <cell r="J781">
            <v>0</v>
          </cell>
        </row>
        <row r="782">
          <cell r="B782" t="str">
            <v>8a56</v>
          </cell>
          <cell r="C782" t="str">
            <v>其他权益工具_所有者其他投入和减少资本</v>
          </cell>
          <cell r="D782">
            <v>-1</v>
          </cell>
          <cell r="E782" t="str">
            <v>OEI</v>
          </cell>
          <cell r="F782">
            <v>0</v>
          </cell>
          <cell r="G782" t="str">
            <v>其他</v>
          </cell>
          <cell r="H782">
            <v>0</v>
          </cell>
          <cell r="I782" t="str">
            <v>8a56</v>
          </cell>
          <cell r="J782">
            <v>0</v>
          </cell>
        </row>
        <row r="783">
          <cell r="B783" t="str">
            <v>8a60</v>
          </cell>
          <cell r="C783" t="str">
            <v>其他权益工具_利润分配影响权益</v>
          </cell>
          <cell r="D783">
            <v>0</v>
          </cell>
          <cell r="E783" t="str">
            <v>OEI＝</v>
          </cell>
          <cell r="F783">
            <v>0</v>
          </cell>
          <cell r="G783" t="str">
            <v>（三）利润分配</v>
          </cell>
          <cell r="H783">
            <v>0</v>
          </cell>
          <cell r="I783" t="str">
            <v>8a60</v>
          </cell>
          <cell r="J783">
            <v>0</v>
          </cell>
        </row>
        <row r="784">
          <cell r="B784" t="str">
            <v>8a61</v>
          </cell>
          <cell r="C784" t="str">
            <v>其他权益工具_提取盈余公积</v>
          </cell>
          <cell r="D784">
            <v>-1</v>
          </cell>
          <cell r="E784" t="str">
            <v>OEI</v>
          </cell>
          <cell r="F784">
            <v>0</v>
          </cell>
          <cell r="G784" t="str">
            <v>提取盈余公积</v>
          </cell>
          <cell r="H784">
            <v>0</v>
          </cell>
          <cell r="I784" t="str">
            <v>8a61</v>
          </cell>
          <cell r="J784">
            <v>0</v>
          </cell>
        </row>
        <row r="785">
          <cell r="B785" t="str">
            <v>8a62</v>
          </cell>
          <cell r="C785" t="str">
            <v>其他权益工具_提取一般风险准备</v>
          </cell>
          <cell r="D785">
            <v>-1</v>
          </cell>
          <cell r="E785" t="str">
            <v>OEI</v>
          </cell>
          <cell r="F785">
            <v>0</v>
          </cell>
          <cell r="G785" t="str">
            <v>提取一般风险准备</v>
          </cell>
          <cell r="H785">
            <v>0</v>
          </cell>
          <cell r="I785" t="str">
            <v>8a62</v>
          </cell>
          <cell r="J785">
            <v>0</v>
          </cell>
        </row>
        <row r="786">
          <cell r="B786" t="str">
            <v>8a63</v>
          </cell>
          <cell r="C786" t="str">
            <v>其他权益工具_对所有者的分配</v>
          </cell>
          <cell r="D786">
            <v>-1</v>
          </cell>
          <cell r="E786" t="str">
            <v>OEI</v>
          </cell>
          <cell r="F786">
            <v>0</v>
          </cell>
          <cell r="G786" t="str">
            <v>对所有者（或股东）的分配</v>
          </cell>
          <cell r="H786">
            <v>0</v>
          </cell>
          <cell r="I786" t="str">
            <v>8a63</v>
          </cell>
          <cell r="J786">
            <v>0</v>
          </cell>
        </row>
        <row r="787">
          <cell r="B787" t="str">
            <v>8a66</v>
          </cell>
          <cell r="C787" t="str">
            <v>其他权益工具_其他利润分配</v>
          </cell>
          <cell r="D787">
            <v>-1</v>
          </cell>
          <cell r="E787" t="str">
            <v>OEI</v>
          </cell>
          <cell r="F787">
            <v>0</v>
          </cell>
          <cell r="G787" t="str">
            <v>其他</v>
          </cell>
          <cell r="H787">
            <v>0</v>
          </cell>
          <cell r="I787" t="str">
            <v>8a66</v>
          </cell>
          <cell r="J787">
            <v>0</v>
          </cell>
        </row>
        <row r="788">
          <cell r="B788" t="str">
            <v>8a70</v>
          </cell>
          <cell r="C788" t="str">
            <v>其他权益工具_所有者权益内部结转</v>
          </cell>
          <cell r="D788">
            <v>0</v>
          </cell>
          <cell r="E788" t="str">
            <v>OEI＝</v>
          </cell>
          <cell r="F788">
            <v>0</v>
          </cell>
          <cell r="G788" t="str">
            <v>（四）所有者权益内部结转</v>
          </cell>
          <cell r="H788">
            <v>0</v>
          </cell>
          <cell r="I788" t="str">
            <v>8a70</v>
          </cell>
          <cell r="J788">
            <v>0</v>
          </cell>
        </row>
        <row r="789">
          <cell r="B789" t="str">
            <v>8a71</v>
          </cell>
          <cell r="C789" t="str">
            <v>其他权益工具_资本公积转增资本</v>
          </cell>
          <cell r="D789">
            <v>-1</v>
          </cell>
          <cell r="E789" t="str">
            <v>OEI</v>
          </cell>
          <cell r="F789">
            <v>0</v>
          </cell>
          <cell r="G789" t="str">
            <v>资本公积转增资本（或股本）</v>
          </cell>
          <cell r="H789">
            <v>0</v>
          </cell>
          <cell r="I789" t="str">
            <v>8a71</v>
          </cell>
          <cell r="J789">
            <v>0</v>
          </cell>
        </row>
        <row r="790">
          <cell r="B790" t="str">
            <v>8a72</v>
          </cell>
          <cell r="C790" t="str">
            <v>其他权益工具_盈余公积转增资本</v>
          </cell>
          <cell r="D790">
            <v>-1</v>
          </cell>
          <cell r="E790" t="str">
            <v>OEI</v>
          </cell>
          <cell r="F790">
            <v>0</v>
          </cell>
          <cell r="G790" t="str">
            <v>盈余公积转增资本（或股本）</v>
          </cell>
          <cell r="H790">
            <v>0</v>
          </cell>
          <cell r="I790" t="str">
            <v>8a72</v>
          </cell>
          <cell r="J790">
            <v>0</v>
          </cell>
        </row>
        <row r="791">
          <cell r="B791" t="str">
            <v>8a73</v>
          </cell>
          <cell r="C791" t="str">
            <v>其他权益工具_盈余公积弥补亏损</v>
          </cell>
          <cell r="D791">
            <v>-1</v>
          </cell>
          <cell r="E791" t="str">
            <v>OEI</v>
          </cell>
          <cell r="F791">
            <v>0</v>
          </cell>
          <cell r="G791" t="str">
            <v>盈余公积弥补亏损</v>
          </cell>
          <cell r="H791">
            <v>0</v>
          </cell>
          <cell r="I791" t="str">
            <v>8a73</v>
          </cell>
          <cell r="J791">
            <v>0</v>
          </cell>
        </row>
        <row r="792">
          <cell r="B792" t="str">
            <v>8a75</v>
          </cell>
          <cell r="C792" t="str">
            <v>其他权益工具_结转重新计量设定受益计划净负债或净资产所产生的变动</v>
          </cell>
          <cell r="D792">
            <v>-1</v>
          </cell>
          <cell r="E792" t="str">
            <v>OEI</v>
          </cell>
          <cell r="F792">
            <v>0</v>
          </cell>
          <cell r="G792" t="str">
            <v>结转重新计量设定受益计划净负债或净资产所产生的变动</v>
          </cell>
          <cell r="H792">
            <v>0</v>
          </cell>
          <cell r="I792" t="str">
            <v>8a75</v>
          </cell>
          <cell r="J792">
            <v>0</v>
          </cell>
        </row>
        <row r="793">
          <cell r="B793" t="str">
            <v>8a76</v>
          </cell>
          <cell r="C793" t="str">
            <v>其他权益工具_所有者权益其他内部结转</v>
          </cell>
          <cell r="D793">
            <v>-1</v>
          </cell>
          <cell r="E793" t="str">
            <v>OEI</v>
          </cell>
          <cell r="F793">
            <v>0</v>
          </cell>
          <cell r="G793" t="str">
            <v>其他</v>
          </cell>
          <cell r="H793">
            <v>0</v>
          </cell>
          <cell r="I793" t="str">
            <v>8a76</v>
          </cell>
          <cell r="J793">
            <v>0</v>
          </cell>
        </row>
        <row r="794">
          <cell r="B794" t="str">
            <v>8a80</v>
          </cell>
          <cell r="C794" t="str">
            <v>其他权益工具_专项储备影响权益</v>
          </cell>
          <cell r="D794">
            <v>0</v>
          </cell>
          <cell r="E794" t="str">
            <v>OEI＝</v>
          </cell>
          <cell r="F794">
            <v>0</v>
          </cell>
          <cell r="G794" t="str">
            <v>（五）专项储备</v>
          </cell>
          <cell r="H794">
            <v>0</v>
          </cell>
          <cell r="I794" t="str">
            <v>8a80</v>
          </cell>
          <cell r="J794">
            <v>0</v>
          </cell>
        </row>
        <row r="795">
          <cell r="B795" t="str">
            <v>8a81</v>
          </cell>
          <cell r="C795" t="str">
            <v>其他权益工具_专项储备本期提取</v>
          </cell>
          <cell r="D795">
            <v>-1</v>
          </cell>
          <cell r="E795" t="str">
            <v>OEI</v>
          </cell>
          <cell r="F795">
            <v>0</v>
          </cell>
          <cell r="G795" t="str">
            <v>本期提取</v>
          </cell>
          <cell r="H795">
            <v>0</v>
          </cell>
          <cell r="I795" t="str">
            <v>8a81</v>
          </cell>
          <cell r="J795">
            <v>0</v>
          </cell>
        </row>
        <row r="796">
          <cell r="B796" t="str">
            <v>8a82</v>
          </cell>
          <cell r="C796" t="str">
            <v>其他权益工具_专项储备本期使用</v>
          </cell>
          <cell r="D796">
            <v>-1</v>
          </cell>
          <cell r="E796" t="str">
            <v>OEI</v>
          </cell>
          <cell r="F796">
            <v>0</v>
          </cell>
          <cell r="G796" t="str">
            <v>本期使用</v>
          </cell>
          <cell r="H796">
            <v>0</v>
          </cell>
          <cell r="I796" t="str">
            <v>8a82</v>
          </cell>
          <cell r="J796">
            <v>0</v>
          </cell>
        </row>
        <row r="797">
          <cell r="B797" t="str">
            <v>8a96</v>
          </cell>
          <cell r="C797" t="str">
            <v>其他权益工具_本期其他增减变动</v>
          </cell>
          <cell r="D797">
            <v>-1</v>
          </cell>
          <cell r="E797" t="str">
            <v>OEI</v>
          </cell>
          <cell r="F797">
            <v>0</v>
          </cell>
          <cell r="G797" t="str">
            <v>（七）其他</v>
          </cell>
          <cell r="H797">
            <v>0</v>
          </cell>
          <cell r="I797" t="str">
            <v>8a96</v>
          </cell>
          <cell r="J797">
            <v>0</v>
          </cell>
        </row>
        <row r="798">
          <cell r="B798" t="str">
            <v>8a99</v>
          </cell>
          <cell r="C798" t="str">
            <v>其他权益工具_本期期末余额</v>
          </cell>
          <cell r="D798">
            <v>0</v>
          </cell>
          <cell r="E798" t="str">
            <v>OEI＝</v>
          </cell>
          <cell r="F798">
            <v>0</v>
          </cell>
          <cell r="G798" t="str">
            <v>四、本期期末余额</v>
          </cell>
          <cell r="H798">
            <v>0</v>
          </cell>
          <cell r="I798" t="str">
            <v>8a99</v>
          </cell>
          <cell r="J798">
            <v>0</v>
          </cell>
        </row>
        <row r="799">
          <cell r="B799">
            <v>7400</v>
          </cell>
          <cell r="C799" t="str">
            <v>现金流量调整</v>
          </cell>
          <cell r="D799">
            <v>1</v>
          </cell>
          <cell r="E799">
            <v>0</v>
          </cell>
          <cell r="F799">
            <v>0</v>
          </cell>
          <cell r="G799" t="str">
            <v>现金流量调整</v>
          </cell>
          <cell r="H799">
            <v>0</v>
          </cell>
          <cell r="I799">
            <v>7400</v>
          </cell>
          <cell r="J799">
            <v>0</v>
          </cell>
        </row>
        <row r="800">
          <cell r="B800">
            <v>9325</v>
          </cell>
          <cell r="C800" t="str">
            <v>金融工具及风险管理</v>
          </cell>
          <cell r="D800">
            <v>0</v>
          </cell>
          <cell r="E800">
            <v>0</v>
          </cell>
          <cell r="F800">
            <v>0</v>
          </cell>
          <cell r="G800">
            <v>0</v>
          </cell>
          <cell r="H800">
            <v>0</v>
          </cell>
          <cell r="I800">
            <v>9325</v>
          </cell>
          <cell r="J800">
            <v>0</v>
          </cell>
        </row>
        <row r="801">
          <cell r="B801">
            <v>9690</v>
          </cell>
          <cell r="C801" t="str">
            <v>补充资料</v>
          </cell>
          <cell r="D801">
            <v>0</v>
          </cell>
          <cell r="E801">
            <v>0</v>
          </cell>
          <cell r="F801">
            <v>0</v>
          </cell>
          <cell r="G801">
            <v>0</v>
          </cell>
          <cell r="H801">
            <v>0</v>
          </cell>
          <cell r="I801">
            <v>9690</v>
          </cell>
          <cell r="J801">
            <v>0</v>
          </cell>
        </row>
        <row r="802">
          <cell r="B802">
            <v>1521.1523</v>
          </cell>
          <cell r="C802" t="str">
            <v>投资性房地产累计折旧</v>
          </cell>
          <cell r="D802">
            <v>-1</v>
          </cell>
          <cell r="I802">
            <v>1521.1523</v>
          </cell>
          <cell r="J802" t="str">
            <v>J</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C5" t="str">
            <v>中设设计集团股份有限 公司</v>
          </cell>
          <cell r="F5">
            <v>42735</v>
          </cell>
        </row>
        <row r="6">
          <cell r="F6">
            <v>42369</v>
          </cell>
        </row>
        <row r="7">
          <cell r="F7" t="str">
            <v xml:space="preserve">2016年度 </v>
          </cell>
        </row>
        <row r="8">
          <cell r="F8" t="str">
            <v xml:space="preserve">2015年度 </v>
          </cell>
        </row>
      </sheetData>
      <sheetData sheetId="26"/>
      <sheetData sheetId="27">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E9">
            <v>0</v>
          </cell>
          <cell r="F9">
            <v>0</v>
          </cell>
          <cell r="G9">
            <v>0</v>
          </cell>
          <cell r="H9">
            <v>2000</v>
          </cell>
          <cell r="I9" t="str">
            <v>流动负债：</v>
          </cell>
          <cell r="J9">
            <v>0</v>
          </cell>
          <cell r="K9">
            <v>0</v>
          </cell>
          <cell r="L9">
            <v>0</v>
          </cell>
        </row>
        <row r="10">
          <cell r="C10">
            <v>1015</v>
          </cell>
          <cell r="D10" t="str">
            <v>货币资金</v>
          </cell>
          <cell r="E10">
            <v>0</v>
          </cell>
          <cell r="F10">
            <v>541473634.77999997</v>
          </cell>
          <cell r="G10">
            <v>436146264.87</v>
          </cell>
          <cell r="H10">
            <v>2001</v>
          </cell>
          <cell r="I10" t="str">
            <v>短期借款</v>
          </cell>
          <cell r="J10">
            <v>0</v>
          </cell>
          <cell r="K10">
            <v>200000000</v>
          </cell>
          <cell r="L10">
            <v>195000000</v>
          </cell>
        </row>
        <row r="11">
          <cell r="C11">
            <v>1021</v>
          </cell>
          <cell r="D11" t="str">
            <v>结算备付金</v>
          </cell>
          <cell r="E11">
            <v>0</v>
          </cell>
          <cell r="F11">
            <v>0</v>
          </cell>
          <cell r="G11">
            <v>0</v>
          </cell>
          <cell r="H11">
            <v>2004</v>
          </cell>
          <cell r="I11" t="str">
            <v>向中央银行借款</v>
          </cell>
          <cell r="J11">
            <v>0</v>
          </cell>
          <cell r="K11">
            <v>0</v>
          </cell>
          <cell r="L11">
            <v>0</v>
          </cell>
        </row>
        <row r="12">
          <cell r="C12">
            <v>1302</v>
          </cell>
          <cell r="D12" t="str">
            <v>拆出资金</v>
          </cell>
          <cell r="E12">
            <v>0</v>
          </cell>
          <cell r="F12">
            <v>0</v>
          </cell>
          <cell r="G12">
            <v>0</v>
          </cell>
          <cell r="H12">
            <v>2010</v>
          </cell>
          <cell r="I12" t="str">
            <v>吸收存款及同业存放</v>
          </cell>
          <cell r="J12">
            <v>0</v>
          </cell>
          <cell r="K12">
            <v>0</v>
          </cell>
          <cell r="L12">
            <v>0</v>
          </cell>
        </row>
        <row r="13">
          <cell r="C13">
            <v>0</v>
          </cell>
          <cell r="D13">
            <v>0</v>
          </cell>
          <cell r="E13">
            <v>0</v>
          </cell>
          <cell r="F13">
            <v>0</v>
          </cell>
          <cell r="G13">
            <v>0</v>
          </cell>
          <cell r="H13">
            <v>2003</v>
          </cell>
          <cell r="I13" t="str">
            <v>拆入资金</v>
          </cell>
          <cell r="J13">
            <v>0</v>
          </cell>
          <cell r="K13">
            <v>0</v>
          </cell>
          <cell r="L13">
            <v>0</v>
          </cell>
        </row>
        <row r="14">
          <cell r="C14">
            <v>1101</v>
          </cell>
          <cell r="D14" t="str">
            <v>以公允价值计量且其变动计入当期损益的金融资产</v>
          </cell>
          <cell r="E14">
            <v>0</v>
          </cell>
          <cell r="F14">
            <v>0</v>
          </cell>
          <cell r="G14">
            <v>0</v>
          </cell>
          <cell r="H14">
            <v>2101</v>
          </cell>
          <cell r="I14" t="str">
            <v>以公允价值计量且其变动计入当期损益的金融负债</v>
          </cell>
          <cell r="J14">
            <v>0</v>
          </cell>
          <cell r="K14">
            <v>0</v>
          </cell>
          <cell r="L14">
            <v>0</v>
          </cell>
        </row>
        <row r="15">
          <cell r="C15">
            <v>1115</v>
          </cell>
          <cell r="D15" t="str">
            <v>衍生金融资产</v>
          </cell>
          <cell r="E15">
            <v>0</v>
          </cell>
          <cell r="F15">
            <v>0</v>
          </cell>
          <cell r="G15">
            <v>0</v>
          </cell>
          <cell r="H15">
            <v>2115</v>
          </cell>
          <cell r="I15" t="str">
            <v>衍生金融负债</v>
          </cell>
          <cell r="J15">
            <v>0</v>
          </cell>
          <cell r="K15">
            <v>0</v>
          </cell>
          <cell r="L15">
            <v>0</v>
          </cell>
        </row>
        <row r="16">
          <cell r="C16">
            <v>1121</v>
          </cell>
          <cell r="D16" t="str">
            <v>应收票据</v>
          </cell>
          <cell r="E16">
            <v>0</v>
          </cell>
          <cell r="F16">
            <v>1561000</v>
          </cell>
          <cell r="G16">
            <v>7460000</v>
          </cell>
          <cell r="H16">
            <v>2201</v>
          </cell>
          <cell r="I16" t="str">
            <v>应付票据</v>
          </cell>
          <cell r="J16">
            <v>0</v>
          </cell>
          <cell r="K16">
            <v>0</v>
          </cell>
          <cell r="L16">
            <v>0</v>
          </cell>
        </row>
        <row r="17">
          <cell r="C17">
            <v>1122</v>
          </cell>
          <cell r="D17" t="str">
            <v>应收账款</v>
          </cell>
          <cell r="E17">
            <v>0</v>
          </cell>
          <cell r="F17">
            <v>1657130221.8699999</v>
          </cell>
          <cell r="G17">
            <v>1417746164.6400001</v>
          </cell>
          <cell r="H17">
            <v>2202</v>
          </cell>
          <cell r="I17" t="str">
            <v>应付账款</v>
          </cell>
          <cell r="J17">
            <v>0</v>
          </cell>
          <cell r="K17">
            <v>952540547.12</v>
          </cell>
          <cell r="L17">
            <v>848192794.30999994</v>
          </cell>
        </row>
        <row r="18">
          <cell r="C18">
            <v>1125</v>
          </cell>
          <cell r="D18" t="str">
            <v>预付款项</v>
          </cell>
          <cell r="E18">
            <v>0</v>
          </cell>
          <cell r="F18">
            <v>137506290.69999999</v>
          </cell>
          <cell r="G18">
            <v>87411384.170000002</v>
          </cell>
          <cell r="H18">
            <v>2205</v>
          </cell>
          <cell r="I18" t="str">
            <v>预收款项</v>
          </cell>
          <cell r="J18">
            <v>0</v>
          </cell>
          <cell r="K18">
            <v>572864524.98000002</v>
          </cell>
          <cell r="L18">
            <v>456008828.24000001</v>
          </cell>
        </row>
        <row r="19">
          <cell r="C19">
            <v>1127</v>
          </cell>
          <cell r="D19" t="str">
            <v>应收保费</v>
          </cell>
          <cell r="E19">
            <v>0</v>
          </cell>
          <cell r="F19">
            <v>0</v>
          </cell>
          <cell r="G19">
            <v>0</v>
          </cell>
          <cell r="H19">
            <v>2111</v>
          </cell>
          <cell r="I19" t="str">
            <v>卖出回购金融资产款</v>
          </cell>
          <cell r="J19">
            <v>0</v>
          </cell>
          <cell r="K19">
            <v>0</v>
          </cell>
          <cell r="L19">
            <v>0</v>
          </cell>
        </row>
        <row r="20">
          <cell r="C20">
            <v>1211</v>
          </cell>
          <cell r="D20" t="str">
            <v>应收分保账款</v>
          </cell>
          <cell r="E20">
            <v>0</v>
          </cell>
          <cell r="F20">
            <v>0</v>
          </cell>
          <cell r="G20">
            <v>0</v>
          </cell>
          <cell r="H20">
            <v>2240</v>
          </cell>
          <cell r="I20" t="str">
            <v>应付手续费及佣金</v>
          </cell>
          <cell r="J20">
            <v>0</v>
          </cell>
          <cell r="K20">
            <v>0</v>
          </cell>
          <cell r="L20">
            <v>0</v>
          </cell>
        </row>
        <row r="21">
          <cell r="C21">
            <v>1212</v>
          </cell>
          <cell r="D21" t="str">
            <v>应收分保合同准备金</v>
          </cell>
          <cell r="E21">
            <v>0</v>
          </cell>
          <cell r="F21">
            <v>0</v>
          </cell>
          <cell r="G21">
            <v>0</v>
          </cell>
          <cell r="H21">
            <v>0</v>
          </cell>
          <cell r="I21">
            <v>0</v>
          </cell>
          <cell r="J21">
            <v>0</v>
          </cell>
          <cell r="K21">
            <v>0</v>
          </cell>
          <cell r="L21">
            <v>0</v>
          </cell>
        </row>
        <row r="22">
          <cell r="C22">
            <v>1132</v>
          </cell>
          <cell r="D22" t="str">
            <v>应收利息</v>
          </cell>
          <cell r="E22">
            <v>0</v>
          </cell>
          <cell r="F22">
            <v>0</v>
          </cell>
          <cell r="G22">
            <v>0</v>
          </cell>
          <cell r="H22">
            <v>2211</v>
          </cell>
          <cell r="I22" t="str">
            <v>应付职工薪酬</v>
          </cell>
          <cell r="J22">
            <v>0</v>
          </cell>
          <cell r="K22">
            <v>304877290.74000001</v>
          </cell>
          <cell r="L22">
            <v>225048659.19</v>
          </cell>
        </row>
        <row r="23">
          <cell r="C23">
            <v>1131</v>
          </cell>
          <cell r="D23" t="str">
            <v>应收股利</v>
          </cell>
          <cell r="E23">
            <v>0</v>
          </cell>
          <cell r="F23">
            <v>0</v>
          </cell>
          <cell r="G23">
            <v>0</v>
          </cell>
          <cell r="H23">
            <v>2221</v>
          </cell>
          <cell r="I23" t="str">
            <v>应交税费</v>
          </cell>
          <cell r="J23">
            <v>0</v>
          </cell>
          <cell r="K23">
            <v>44320132.259999998</v>
          </cell>
          <cell r="L23">
            <v>30898313.27</v>
          </cell>
        </row>
        <row r="24">
          <cell r="C24">
            <v>1221</v>
          </cell>
          <cell r="D24" t="str">
            <v>其他应收款</v>
          </cell>
          <cell r="E24">
            <v>0</v>
          </cell>
          <cell r="F24">
            <v>152311059.25</v>
          </cell>
          <cell r="G24">
            <v>193301834.74000001</v>
          </cell>
          <cell r="H24">
            <v>2231</v>
          </cell>
          <cell r="I24" t="str">
            <v>应付利息</v>
          </cell>
          <cell r="J24">
            <v>0</v>
          </cell>
          <cell r="K24">
            <v>253206.25</v>
          </cell>
          <cell r="L24">
            <v>335472.21999999997</v>
          </cell>
        </row>
        <row r="25">
          <cell r="C25">
            <v>1111</v>
          </cell>
          <cell r="D25" t="str">
            <v>买入返售金融资产</v>
          </cell>
          <cell r="E25">
            <v>0</v>
          </cell>
          <cell r="F25">
            <v>0</v>
          </cell>
          <cell r="G25">
            <v>0</v>
          </cell>
          <cell r="H25">
            <v>0</v>
          </cell>
          <cell r="I25">
            <v>0</v>
          </cell>
          <cell r="J25">
            <v>0</v>
          </cell>
          <cell r="K25">
            <v>0</v>
          </cell>
          <cell r="L25">
            <v>0</v>
          </cell>
        </row>
        <row r="26">
          <cell r="C26">
            <v>1400</v>
          </cell>
          <cell r="D26" t="str">
            <v>存货</v>
          </cell>
          <cell r="E26">
            <v>0</v>
          </cell>
          <cell r="F26">
            <v>364455409.25</v>
          </cell>
          <cell r="G26">
            <v>357995476.5</v>
          </cell>
          <cell r="H26">
            <v>2232</v>
          </cell>
          <cell r="I26" t="str">
            <v>应付股利</v>
          </cell>
          <cell r="J26">
            <v>0</v>
          </cell>
          <cell r="K26">
            <v>0</v>
          </cell>
          <cell r="L26">
            <v>0</v>
          </cell>
        </row>
        <row r="27">
          <cell r="C27">
            <v>0</v>
          </cell>
          <cell r="D27">
            <v>0</v>
          </cell>
          <cell r="E27">
            <v>0</v>
          </cell>
          <cell r="F27">
            <v>0</v>
          </cell>
          <cell r="G27">
            <v>0</v>
          </cell>
          <cell r="H27">
            <v>2241</v>
          </cell>
          <cell r="I27" t="str">
            <v>其他应付款</v>
          </cell>
          <cell r="J27">
            <v>0</v>
          </cell>
          <cell r="K27">
            <v>138050038.31</v>
          </cell>
          <cell r="L27">
            <v>136087357.00999999</v>
          </cell>
        </row>
        <row r="28">
          <cell r="C28">
            <v>0</v>
          </cell>
          <cell r="D28">
            <v>0</v>
          </cell>
          <cell r="E28">
            <v>0</v>
          </cell>
          <cell r="F28">
            <v>0</v>
          </cell>
          <cell r="G28">
            <v>0</v>
          </cell>
          <cell r="H28">
            <v>2261</v>
          </cell>
          <cell r="I28" t="str">
            <v>应付分保账款</v>
          </cell>
          <cell r="J28">
            <v>0</v>
          </cell>
          <cell r="K28">
            <v>0</v>
          </cell>
          <cell r="L28">
            <v>0</v>
          </cell>
        </row>
        <row r="29">
          <cell r="C29">
            <v>0</v>
          </cell>
          <cell r="D29">
            <v>0</v>
          </cell>
          <cell r="E29">
            <v>0</v>
          </cell>
          <cell r="F29">
            <v>0</v>
          </cell>
          <cell r="G29">
            <v>0</v>
          </cell>
          <cell r="H29">
            <v>2310</v>
          </cell>
          <cell r="I29" t="str">
            <v>保险合同准备金</v>
          </cell>
          <cell r="J29">
            <v>0</v>
          </cell>
          <cell r="K29">
            <v>0</v>
          </cell>
          <cell r="L29">
            <v>0</v>
          </cell>
        </row>
        <row r="30">
          <cell r="C30">
            <v>0</v>
          </cell>
          <cell r="D30">
            <v>0</v>
          </cell>
          <cell r="E30">
            <v>0</v>
          </cell>
          <cell r="F30">
            <v>0</v>
          </cell>
          <cell r="G30">
            <v>0</v>
          </cell>
          <cell r="H30">
            <v>2311</v>
          </cell>
          <cell r="I30" t="str">
            <v>代理买卖证券款</v>
          </cell>
          <cell r="J30">
            <v>0</v>
          </cell>
          <cell r="K30">
            <v>0</v>
          </cell>
          <cell r="L30">
            <v>0</v>
          </cell>
        </row>
        <row r="31">
          <cell r="C31">
            <v>0</v>
          </cell>
          <cell r="D31">
            <v>0</v>
          </cell>
          <cell r="E31">
            <v>0</v>
          </cell>
          <cell r="F31">
            <v>0</v>
          </cell>
          <cell r="G31">
            <v>0</v>
          </cell>
          <cell r="H31">
            <v>2312</v>
          </cell>
          <cell r="I31" t="str">
            <v>代理承销证券款</v>
          </cell>
          <cell r="J31">
            <v>0</v>
          </cell>
          <cell r="K31">
            <v>0</v>
          </cell>
          <cell r="L31">
            <v>0</v>
          </cell>
        </row>
        <row r="32">
          <cell r="C32">
            <v>1315</v>
          </cell>
          <cell r="D32" t="str">
            <v>划分为持有待售的资产</v>
          </cell>
          <cell r="E32">
            <v>0</v>
          </cell>
          <cell r="F32">
            <v>0</v>
          </cell>
          <cell r="G32">
            <v>0</v>
          </cell>
          <cell r="H32">
            <v>2315</v>
          </cell>
          <cell r="I32" t="str">
            <v>划分为持有待售的负债</v>
          </cell>
          <cell r="J32">
            <v>0</v>
          </cell>
          <cell r="K32">
            <v>0</v>
          </cell>
          <cell r="L32">
            <v>0</v>
          </cell>
        </row>
        <row r="33">
          <cell r="C33">
            <v>1495</v>
          </cell>
          <cell r="D33" t="str">
            <v>一年内到期的非流动资产</v>
          </cell>
          <cell r="E33">
            <v>0</v>
          </cell>
          <cell r="F33">
            <v>0</v>
          </cell>
          <cell r="G33">
            <v>0</v>
          </cell>
          <cell r="H33">
            <v>2395</v>
          </cell>
          <cell r="I33" t="str">
            <v>一年内到期的非流动负债</v>
          </cell>
          <cell r="J33">
            <v>0</v>
          </cell>
          <cell r="K33">
            <v>0</v>
          </cell>
          <cell r="L33">
            <v>0</v>
          </cell>
        </row>
        <row r="34">
          <cell r="C34">
            <v>1496</v>
          </cell>
          <cell r="D34" t="str">
            <v>其他流动资产</v>
          </cell>
          <cell r="E34">
            <v>0</v>
          </cell>
          <cell r="F34">
            <v>0</v>
          </cell>
          <cell r="G34">
            <v>170000000</v>
          </cell>
          <cell r="H34">
            <v>2396</v>
          </cell>
          <cell r="I34" t="str">
            <v>其他流动负债</v>
          </cell>
          <cell r="J34">
            <v>0</v>
          </cell>
          <cell r="K34">
            <v>0</v>
          </cell>
          <cell r="L34">
            <v>0</v>
          </cell>
        </row>
        <row r="35">
          <cell r="C35">
            <v>1498</v>
          </cell>
          <cell r="D35" t="str">
            <v>流动资产合计</v>
          </cell>
          <cell r="E35">
            <v>0</v>
          </cell>
          <cell r="F35">
            <v>2854437615.8499999</v>
          </cell>
          <cell r="G35">
            <v>2670061124.9200001</v>
          </cell>
          <cell r="H35">
            <v>2498</v>
          </cell>
          <cell r="I35" t="str">
            <v>流动负债合计</v>
          </cell>
          <cell r="J35">
            <v>0</v>
          </cell>
          <cell r="K35">
            <v>2212905739.6599998</v>
          </cell>
          <cell r="L35">
            <v>1891571424.24</v>
          </cell>
        </row>
        <row r="36">
          <cell r="C36">
            <v>1500</v>
          </cell>
          <cell r="D36" t="str">
            <v>非流动资产：</v>
          </cell>
          <cell r="E36">
            <v>0</v>
          </cell>
          <cell r="F36">
            <v>0</v>
          </cell>
          <cell r="G36">
            <v>0</v>
          </cell>
          <cell r="H36">
            <v>2500</v>
          </cell>
          <cell r="I36" t="str">
            <v>非流动负债：</v>
          </cell>
          <cell r="J36">
            <v>0</v>
          </cell>
          <cell r="K36">
            <v>0</v>
          </cell>
          <cell r="L36">
            <v>0</v>
          </cell>
        </row>
        <row r="37">
          <cell r="C37">
            <v>1600</v>
          </cell>
          <cell r="D37" t="str">
            <v>发放委托贷款及垫款</v>
          </cell>
          <cell r="E37">
            <v>0</v>
          </cell>
          <cell r="F37">
            <v>0</v>
          </cell>
          <cell r="G37">
            <v>0</v>
          </cell>
          <cell r="H37">
            <v>0</v>
          </cell>
          <cell r="I37">
            <v>0</v>
          </cell>
          <cell r="J37">
            <v>0</v>
          </cell>
          <cell r="K37">
            <v>0</v>
          </cell>
          <cell r="L37">
            <v>0</v>
          </cell>
        </row>
        <row r="38">
          <cell r="C38">
            <v>1503</v>
          </cell>
          <cell r="D38" t="str">
            <v>可供出售金融资产</v>
          </cell>
          <cell r="E38">
            <v>0</v>
          </cell>
          <cell r="F38">
            <v>83437000</v>
          </cell>
          <cell r="G38">
            <v>27062000</v>
          </cell>
          <cell r="H38">
            <v>2501</v>
          </cell>
          <cell r="I38" t="str">
            <v>长期借款</v>
          </cell>
          <cell r="J38">
            <v>0</v>
          </cell>
          <cell r="K38">
            <v>0</v>
          </cell>
          <cell r="L38">
            <v>0</v>
          </cell>
        </row>
        <row r="39">
          <cell r="C39">
            <v>1501</v>
          </cell>
          <cell r="D39" t="str">
            <v>持有至到期投资</v>
          </cell>
          <cell r="E39">
            <v>0</v>
          </cell>
          <cell r="F39">
            <v>0</v>
          </cell>
          <cell r="G39">
            <v>0</v>
          </cell>
          <cell r="H39">
            <v>0</v>
          </cell>
          <cell r="I39">
            <v>0</v>
          </cell>
          <cell r="J39">
            <v>0</v>
          </cell>
          <cell r="K39">
            <v>0</v>
          </cell>
          <cell r="L39">
            <v>0</v>
          </cell>
        </row>
        <row r="40">
          <cell r="C40">
            <v>1531</v>
          </cell>
          <cell r="D40" t="str">
            <v>长期应收款</v>
          </cell>
          <cell r="E40">
            <v>0</v>
          </cell>
          <cell r="F40">
            <v>0</v>
          </cell>
          <cell r="G40">
            <v>0</v>
          </cell>
          <cell r="H40">
            <v>2502</v>
          </cell>
          <cell r="I40" t="str">
            <v>应付债券</v>
          </cell>
          <cell r="J40">
            <v>0</v>
          </cell>
          <cell r="K40">
            <v>0</v>
          </cell>
          <cell r="L40">
            <v>0</v>
          </cell>
        </row>
        <row r="41">
          <cell r="C41">
            <v>1515</v>
          </cell>
          <cell r="D41" t="str">
            <v>设定受益计划净资产</v>
          </cell>
          <cell r="E41">
            <v>0</v>
          </cell>
          <cell r="F41">
            <v>0</v>
          </cell>
          <cell r="G41">
            <v>0</v>
          </cell>
          <cell r="H41">
            <v>2502.11</v>
          </cell>
          <cell r="I41" t="str">
            <v>其中：优先股</v>
          </cell>
          <cell r="J41">
            <v>0</v>
          </cell>
          <cell r="K41">
            <v>0</v>
          </cell>
          <cell r="L41">
            <v>0</v>
          </cell>
        </row>
        <row r="42">
          <cell r="C42">
            <v>0</v>
          </cell>
          <cell r="D42">
            <v>0</v>
          </cell>
          <cell r="E42">
            <v>0</v>
          </cell>
          <cell r="F42">
            <v>0</v>
          </cell>
          <cell r="G42">
            <v>0</v>
          </cell>
          <cell r="H42">
            <v>2502.31</v>
          </cell>
          <cell r="I42" t="str">
            <v xml:space="preserve">      永续债</v>
          </cell>
          <cell r="J42">
            <v>0</v>
          </cell>
          <cell r="K42">
            <v>0</v>
          </cell>
          <cell r="L42">
            <v>0</v>
          </cell>
        </row>
        <row r="43">
          <cell r="C43">
            <v>1511</v>
          </cell>
          <cell r="D43" t="str">
            <v>长期股权投资</v>
          </cell>
          <cell r="E43">
            <v>0</v>
          </cell>
          <cell r="F43">
            <v>565211338.21000004</v>
          </cell>
          <cell r="G43">
            <v>408638494.83999997</v>
          </cell>
          <cell r="H43">
            <v>2701</v>
          </cell>
          <cell r="I43" t="str">
            <v>长期应付款</v>
          </cell>
          <cell r="J43">
            <v>0</v>
          </cell>
          <cell r="K43">
            <v>0</v>
          </cell>
          <cell r="L43">
            <v>0</v>
          </cell>
        </row>
        <row r="44">
          <cell r="C44">
            <v>1521</v>
          </cell>
          <cell r="D44" t="str">
            <v>投资性房地产</v>
          </cell>
          <cell r="E44">
            <v>0</v>
          </cell>
          <cell r="F44">
            <v>29096738.66</v>
          </cell>
          <cell r="G44">
            <v>30063963.07</v>
          </cell>
          <cell r="H44">
            <v>2715</v>
          </cell>
          <cell r="I44" t="str">
            <v>长期应付职工薪酬</v>
          </cell>
          <cell r="J44">
            <v>0</v>
          </cell>
          <cell r="K44">
            <v>0</v>
          </cell>
          <cell r="L44">
            <v>0</v>
          </cell>
        </row>
        <row r="45">
          <cell r="C45">
            <v>1601</v>
          </cell>
          <cell r="D45" t="str">
            <v>固定资产</v>
          </cell>
          <cell r="E45">
            <v>0</v>
          </cell>
          <cell r="F45">
            <v>337948402.01999998</v>
          </cell>
          <cell r="G45">
            <v>336538980.54000002</v>
          </cell>
          <cell r="H45">
            <v>2711</v>
          </cell>
          <cell r="I45" t="str">
            <v>专项应付款</v>
          </cell>
          <cell r="J45">
            <v>0</v>
          </cell>
          <cell r="K45">
            <v>0</v>
          </cell>
          <cell r="L45">
            <v>0</v>
          </cell>
        </row>
        <row r="46">
          <cell r="C46">
            <v>1604</v>
          </cell>
          <cell r="D46" t="str">
            <v>在建工程</v>
          </cell>
          <cell r="E46">
            <v>0</v>
          </cell>
          <cell r="F46">
            <v>0</v>
          </cell>
          <cell r="G46">
            <v>0</v>
          </cell>
          <cell r="H46">
            <v>2801</v>
          </cell>
          <cell r="I46" t="str">
            <v>预计负债</v>
          </cell>
          <cell r="J46">
            <v>0</v>
          </cell>
          <cell r="K46">
            <v>0</v>
          </cell>
          <cell r="L46">
            <v>0</v>
          </cell>
        </row>
        <row r="47">
          <cell r="C47">
            <v>1605</v>
          </cell>
          <cell r="D47" t="str">
            <v>工程物资</v>
          </cell>
          <cell r="E47">
            <v>0</v>
          </cell>
          <cell r="F47">
            <v>0</v>
          </cell>
          <cell r="G47">
            <v>0</v>
          </cell>
          <cell r="H47">
            <v>2401</v>
          </cell>
          <cell r="I47" t="str">
            <v>递延收益</v>
          </cell>
          <cell r="J47">
            <v>0</v>
          </cell>
          <cell r="K47">
            <v>2034126.49</v>
          </cell>
          <cell r="L47">
            <v>2325126.4900000002</v>
          </cell>
        </row>
        <row r="48">
          <cell r="C48">
            <v>1606</v>
          </cell>
          <cell r="D48" t="str">
            <v>固定资产清理</v>
          </cell>
          <cell r="E48">
            <v>0</v>
          </cell>
          <cell r="F48">
            <v>0</v>
          </cell>
          <cell r="G48">
            <v>0</v>
          </cell>
          <cell r="H48">
            <v>2901</v>
          </cell>
          <cell r="I48" t="str">
            <v>递延所得税负债</v>
          </cell>
          <cell r="J48">
            <v>0</v>
          </cell>
          <cell r="K48">
            <v>0</v>
          </cell>
          <cell r="L48">
            <v>0</v>
          </cell>
        </row>
        <row r="49">
          <cell r="C49">
            <v>1621</v>
          </cell>
          <cell r="D49" t="str">
            <v>生产性生物资产</v>
          </cell>
          <cell r="E49">
            <v>0</v>
          </cell>
          <cell r="F49">
            <v>0</v>
          </cell>
          <cell r="G49">
            <v>0</v>
          </cell>
          <cell r="H49">
            <v>2996</v>
          </cell>
          <cell r="I49" t="str">
            <v>其他非流动负债</v>
          </cell>
          <cell r="J49">
            <v>0</v>
          </cell>
          <cell r="K49">
            <v>0</v>
          </cell>
          <cell r="L49">
            <v>0</v>
          </cell>
        </row>
        <row r="50">
          <cell r="C50">
            <v>1631</v>
          </cell>
          <cell r="D50" t="str">
            <v>油气资产</v>
          </cell>
          <cell r="E50">
            <v>0</v>
          </cell>
          <cell r="F50">
            <v>0</v>
          </cell>
          <cell r="G50">
            <v>0</v>
          </cell>
          <cell r="H50">
            <v>2998</v>
          </cell>
          <cell r="I50" t="str">
            <v>非流动负债合计</v>
          </cell>
          <cell r="J50">
            <v>0</v>
          </cell>
          <cell r="K50">
            <v>2034126.49</v>
          </cell>
          <cell r="L50">
            <v>2325126.4900000002</v>
          </cell>
        </row>
        <row r="51">
          <cell r="C51">
            <v>1701</v>
          </cell>
          <cell r="D51" t="str">
            <v>无形资产</v>
          </cell>
          <cell r="E51">
            <v>0</v>
          </cell>
          <cell r="F51">
            <v>51463305.420000002</v>
          </cell>
          <cell r="G51">
            <v>47679865.25</v>
          </cell>
          <cell r="H51">
            <v>2999</v>
          </cell>
          <cell r="I51" t="str">
            <v>负债合计</v>
          </cell>
          <cell r="J51">
            <v>0</v>
          </cell>
          <cell r="K51">
            <v>2214939866.1500001</v>
          </cell>
          <cell r="L51">
            <v>1893896550.73</v>
          </cell>
        </row>
        <row r="52">
          <cell r="C52">
            <v>1700</v>
          </cell>
          <cell r="D52" t="str">
            <v>开发支出</v>
          </cell>
          <cell r="E52">
            <v>0</v>
          </cell>
          <cell r="F52">
            <v>0</v>
          </cell>
          <cell r="G52">
            <v>0</v>
          </cell>
          <cell r="H52">
            <v>4000</v>
          </cell>
          <cell r="I52" t="str">
            <v>所有者权益(或股东权益)：</v>
          </cell>
          <cell r="J52">
            <v>0</v>
          </cell>
          <cell r="K52">
            <v>0</v>
          </cell>
          <cell r="L52">
            <v>0</v>
          </cell>
        </row>
        <row r="53">
          <cell r="C53">
            <v>1711</v>
          </cell>
          <cell r="D53" t="str">
            <v>商誉</v>
          </cell>
          <cell r="E53">
            <v>0</v>
          </cell>
          <cell r="F53">
            <v>0</v>
          </cell>
          <cell r="G53">
            <v>0</v>
          </cell>
          <cell r="H53">
            <v>4001</v>
          </cell>
          <cell r="I53" t="str">
            <v>实收资本（或股本）</v>
          </cell>
          <cell r="J53">
            <v>0</v>
          </cell>
          <cell r="K53">
            <v>208000000</v>
          </cell>
          <cell r="L53">
            <v>104000000</v>
          </cell>
        </row>
        <row r="54">
          <cell r="C54">
            <v>0</v>
          </cell>
          <cell r="D54">
            <v>0</v>
          </cell>
          <cell r="E54">
            <v>0</v>
          </cell>
          <cell r="F54">
            <v>0</v>
          </cell>
          <cell r="G54">
            <v>0</v>
          </cell>
          <cell r="H54">
            <v>4015</v>
          </cell>
          <cell r="I54" t="str">
            <v>其他权益工具</v>
          </cell>
          <cell r="J54">
            <v>0</v>
          </cell>
          <cell r="K54">
            <v>0</v>
          </cell>
          <cell r="L54">
            <v>0</v>
          </cell>
        </row>
        <row r="55">
          <cell r="C55">
            <v>0</v>
          </cell>
          <cell r="D55">
            <v>0</v>
          </cell>
          <cell r="E55">
            <v>0</v>
          </cell>
          <cell r="F55">
            <v>0</v>
          </cell>
          <cell r="G55">
            <v>0</v>
          </cell>
          <cell r="H55">
            <v>4015.11</v>
          </cell>
          <cell r="I55" t="str">
            <v>其中：优先股</v>
          </cell>
          <cell r="J55">
            <v>0</v>
          </cell>
          <cell r="K55">
            <v>0</v>
          </cell>
          <cell r="L55">
            <v>0</v>
          </cell>
        </row>
        <row r="56">
          <cell r="C56">
            <v>0</v>
          </cell>
          <cell r="D56">
            <v>0</v>
          </cell>
          <cell r="E56">
            <v>0</v>
          </cell>
          <cell r="F56">
            <v>0</v>
          </cell>
          <cell r="G56">
            <v>0</v>
          </cell>
          <cell r="H56">
            <v>4015.31</v>
          </cell>
          <cell r="I56" t="str">
            <v xml:space="preserve">      永续债</v>
          </cell>
          <cell r="J56">
            <v>0</v>
          </cell>
          <cell r="K56">
            <v>0</v>
          </cell>
          <cell r="L56">
            <v>0</v>
          </cell>
        </row>
        <row r="57">
          <cell r="C57">
            <v>1801</v>
          </cell>
          <cell r="D57" t="str">
            <v>长期待摊费用</v>
          </cell>
          <cell r="E57">
            <v>0</v>
          </cell>
          <cell r="F57">
            <v>1686405.48</v>
          </cell>
          <cell r="G57">
            <v>857971</v>
          </cell>
          <cell r="H57">
            <v>4002</v>
          </cell>
          <cell r="I57" t="str">
            <v>资本公积</v>
          </cell>
          <cell r="J57">
            <v>0</v>
          </cell>
          <cell r="K57">
            <v>828973955</v>
          </cell>
          <cell r="L57">
            <v>932973955</v>
          </cell>
        </row>
        <row r="58">
          <cell r="C58">
            <v>1811</v>
          </cell>
          <cell r="D58" t="str">
            <v>递延所得税资产</v>
          </cell>
          <cell r="E58">
            <v>0</v>
          </cell>
          <cell r="F58">
            <v>48548595.420000002</v>
          </cell>
          <cell r="G58">
            <v>37744914.189999998</v>
          </cell>
          <cell r="H58">
            <v>4201</v>
          </cell>
          <cell r="I58" t="str">
            <v>减：库存股</v>
          </cell>
          <cell r="J58">
            <v>0</v>
          </cell>
          <cell r="K58">
            <v>0</v>
          </cell>
          <cell r="L58">
            <v>0</v>
          </cell>
        </row>
        <row r="59">
          <cell r="C59">
            <v>1996</v>
          </cell>
          <cell r="D59" t="str">
            <v>其他非流动资产</v>
          </cell>
          <cell r="E59">
            <v>0</v>
          </cell>
          <cell r="F59">
            <v>0</v>
          </cell>
          <cell r="G59">
            <v>0</v>
          </cell>
          <cell r="H59">
            <v>4215</v>
          </cell>
          <cell r="I59" t="str">
            <v>其他综合收益</v>
          </cell>
          <cell r="J59">
            <v>0</v>
          </cell>
          <cell r="K59">
            <v>0</v>
          </cell>
          <cell r="L59">
            <v>0</v>
          </cell>
        </row>
        <row r="60">
          <cell r="C60">
            <v>0</v>
          </cell>
          <cell r="D60">
            <v>0</v>
          </cell>
          <cell r="E60">
            <v>0</v>
          </cell>
          <cell r="F60">
            <v>0</v>
          </cell>
          <cell r="G60">
            <v>0</v>
          </cell>
          <cell r="H60">
            <v>4301</v>
          </cell>
          <cell r="I60" t="str">
            <v>专项储备</v>
          </cell>
          <cell r="J60">
            <v>0</v>
          </cell>
          <cell r="K60">
            <v>0</v>
          </cell>
          <cell r="L60">
            <v>0</v>
          </cell>
        </row>
        <row r="61">
          <cell r="C61">
            <v>0</v>
          </cell>
          <cell r="D61">
            <v>0</v>
          </cell>
          <cell r="E61">
            <v>0</v>
          </cell>
          <cell r="F61">
            <v>0</v>
          </cell>
          <cell r="G61">
            <v>0</v>
          </cell>
          <cell r="H61">
            <v>4101</v>
          </cell>
          <cell r="I61" t="str">
            <v>盈余公积</v>
          </cell>
          <cell r="J61">
            <v>0</v>
          </cell>
          <cell r="K61">
            <v>52000000</v>
          </cell>
          <cell r="L61">
            <v>52000000</v>
          </cell>
        </row>
        <row r="62">
          <cell r="C62">
            <v>0</v>
          </cell>
          <cell r="D62">
            <v>0</v>
          </cell>
          <cell r="E62">
            <v>0</v>
          </cell>
          <cell r="F62">
            <v>0</v>
          </cell>
          <cell r="G62">
            <v>0</v>
          </cell>
          <cell r="H62">
            <v>4102</v>
          </cell>
          <cell r="I62" t="str">
            <v>一般风险准备</v>
          </cell>
          <cell r="J62">
            <v>0</v>
          </cell>
          <cell r="K62">
            <v>0</v>
          </cell>
          <cell r="L62">
            <v>0</v>
          </cell>
        </row>
        <row r="63">
          <cell r="C63">
            <v>0</v>
          </cell>
          <cell r="D63">
            <v>0</v>
          </cell>
          <cell r="E63">
            <v>0</v>
          </cell>
          <cell r="F63">
            <v>0</v>
          </cell>
          <cell r="G63">
            <v>0</v>
          </cell>
          <cell r="H63">
            <v>4200</v>
          </cell>
          <cell r="I63" t="str">
            <v>未分配利润</v>
          </cell>
          <cell r="J63">
            <v>0</v>
          </cell>
          <cell r="K63">
            <v>667915579.90999997</v>
          </cell>
          <cell r="L63">
            <v>575776808.08000004</v>
          </cell>
        </row>
        <row r="64">
          <cell r="C64">
            <v>0</v>
          </cell>
          <cell r="D64">
            <v>0</v>
          </cell>
          <cell r="E64">
            <v>0</v>
          </cell>
          <cell r="F64">
            <v>0</v>
          </cell>
          <cell r="G64">
            <v>0</v>
          </cell>
          <cell r="H64">
            <v>4298</v>
          </cell>
          <cell r="I64" t="str">
            <v>归属于母公司所有者权益合计</v>
          </cell>
          <cell r="J64">
            <v>0</v>
          </cell>
          <cell r="K64">
            <v>1756889534.9100001</v>
          </cell>
          <cell r="L64">
            <v>1664750763.0799999</v>
          </cell>
        </row>
        <row r="65">
          <cell r="C65">
            <v>0</v>
          </cell>
          <cell r="D65">
            <v>0</v>
          </cell>
          <cell r="E65">
            <v>0</v>
          </cell>
          <cell r="F65">
            <v>0</v>
          </cell>
          <cell r="G65">
            <v>0</v>
          </cell>
          <cell r="H65">
            <v>4398</v>
          </cell>
          <cell r="I65" t="str">
            <v>少数股东权益</v>
          </cell>
          <cell r="J65">
            <v>0</v>
          </cell>
          <cell r="K65">
            <v>0</v>
          </cell>
          <cell r="L65">
            <v>0</v>
          </cell>
        </row>
        <row r="66">
          <cell r="C66">
            <v>1998</v>
          </cell>
          <cell r="D66" t="str">
            <v>非流动资产合计</v>
          </cell>
          <cell r="E66">
            <v>0</v>
          </cell>
          <cell r="F66">
            <v>1117391785.21</v>
          </cell>
          <cell r="G66">
            <v>888586188.88999999</v>
          </cell>
          <cell r="H66">
            <v>4999</v>
          </cell>
          <cell r="I66" t="str">
            <v>所有者权益合计</v>
          </cell>
          <cell r="J66">
            <v>0</v>
          </cell>
          <cell r="K66">
            <v>1756889534.9100001</v>
          </cell>
          <cell r="L66">
            <v>1664750763.0799999</v>
          </cell>
        </row>
        <row r="67">
          <cell r="C67">
            <v>1999</v>
          </cell>
          <cell r="D67" t="str">
            <v>资产总计</v>
          </cell>
          <cell r="E67">
            <v>0</v>
          </cell>
          <cell r="F67">
            <v>3971829401.0599999</v>
          </cell>
          <cell r="G67">
            <v>3558647313.8099999</v>
          </cell>
          <cell r="H67">
            <v>5000</v>
          </cell>
          <cell r="I67" t="str">
            <v>负债和所有者权益总计</v>
          </cell>
          <cell r="J67">
            <v>0</v>
          </cell>
          <cell r="K67">
            <v>3971829401.0599999</v>
          </cell>
          <cell r="L67">
            <v>3558647313.8099999</v>
          </cell>
        </row>
        <row r="70">
          <cell r="C70" t="str">
            <v>ItemId3</v>
          </cell>
          <cell r="D70" t="str">
            <v>补充资料：资产减值准备</v>
          </cell>
          <cell r="E70">
            <v>0</v>
          </cell>
          <cell r="F70" t="str">
            <v>期末余额</v>
          </cell>
          <cell r="G70" t="str">
            <v>年初余额</v>
          </cell>
        </row>
        <row r="71">
          <cell r="C71">
            <v>1122.1231</v>
          </cell>
          <cell r="D71" t="str">
            <v>应收账款坏账准备</v>
          </cell>
          <cell r="E71">
            <v>0</v>
          </cell>
          <cell r="F71">
            <v>0</v>
          </cell>
          <cell r="G71">
            <v>0</v>
          </cell>
        </row>
        <row r="72">
          <cell r="C72">
            <v>1125.1231</v>
          </cell>
          <cell r="D72" t="str">
            <v>预付款项坏账准备</v>
          </cell>
          <cell r="E72">
            <v>0</v>
          </cell>
          <cell r="F72">
            <v>0</v>
          </cell>
          <cell r="G72">
            <v>0</v>
          </cell>
        </row>
        <row r="73">
          <cell r="C73">
            <v>1221.1231</v>
          </cell>
          <cell r="D73" t="str">
            <v>其他应收款坏账准备</v>
          </cell>
          <cell r="E73">
            <v>0</v>
          </cell>
          <cell r="F73">
            <v>0</v>
          </cell>
          <cell r="G73">
            <v>0</v>
          </cell>
        </row>
        <row r="74">
          <cell r="C74">
            <v>1400.1470999999999</v>
          </cell>
          <cell r="D74" t="str">
            <v>存货跌价准备</v>
          </cell>
          <cell r="E74">
            <v>0</v>
          </cell>
          <cell r="F74">
            <v>0</v>
          </cell>
          <cell r="G74">
            <v>0</v>
          </cell>
        </row>
        <row r="75">
          <cell r="C75">
            <v>1503.1504</v>
          </cell>
          <cell r="D75" t="str">
            <v>可供出售金融资产减值准备</v>
          </cell>
          <cell r="E75">
            <v>0</v>
          </cell>
          <cell r="F75">
            <v>0</v>
          </cell>
          <cell r="G75">
            <v>0</v>
          </cell>
        </row>
        <row r="76">
          <cell r="C76">
            <v>1501.1502</v>
          </cell>
          <cell r="D76" t="str">
            <v>持有至到期投资减值准备</v>
          </cell>
          <cell r="E76">
            <v>0</v>
          </cell>
          <cell r="F76">
            <v>0</v>
          </cell>
          <cell r="G76">
            <v>0</v>
          </cell>
        </row>
        <row r="77">
          <cell r="C77">
            <v>1511.1512</v>
          </cell>
          <cell r="D77" t="str">
            <v>长期股权投资减值准备</v>
          </cell>
          <cell r="E77">
            <v>0</v>
          </cell>
          <cell r="F77">
            <v>0</v>
          </cell>
          <cell r="G77">
            <v>0</v>
          </cell>
        </row>
        <row r="78">
          <cell r="C78">
            <v>1521.1522</v>
          </cell>
          <cell r="D78" t="str">
            <v>投资性房地产减值准备</v>
          </cell>
          <cell r="E78">
            <v>0</v>
          </cell>
          <cell r="F78">
            <v>0</v>
          </cell>
          <cell r="G78">
            <v>0</v>
          </cell>
        </row>
        <row r="79">
          <cell r="C79">
            <v>1601.1603</v>
          </cell>
          <cell r="D79" t="str">
            <v>固定资产减值准备</v>
          </cell>
          <cell r="E79">
            <v>0</v>
          </cell>
          <cell r="F79">
            <v>0</v>
          </cell>
          <cell r="G79">
            <v>0</v>
          </cell>
        </row>
        <row r="80">
          <cell r="C80">
            <v>1605.1608000000001</v>
          </cell>
          <cell r="D80" t="str">
            <v>工程物资减值准备</v>
          </cell>
          <cell r="E80">
            <v>0</v>
          </cell>
          <cell r="F80">
            <v>0</v>
          </cell>
          <cell r="G80">
            <v>0</v>
          </cell>
        </row>
        <row r="81">
          <cell r="C81">
            <v>1604.1606999999999</v>
          </cell>
          <cell r="D81" t="str">
            <v>在建工程减值准备</v>
          </cell>
          <cell r="E81">
            <v>0</v>
          </cell>
          <cell r="F81">
            <v>0</v>
          </cell>
          <cell r="G81">
            <v>0</v>
          </cell>
        </row>
        <row r="82">
          <cell r="C82">
            <v>1621.1623999999999</v>
          </cell>
          <cell r="D82" t="str">
            <v>生产性生物资产减值准备</v>
          </cell>
          <cell r="E82">
            <v>0</v>
          </cell>
          <cell r="F82">
            <v>0</v>
          </cell>
          <cell r="G82">
            <v>0</v>
          </cell>
        </row>
        <row r="83">
          <cell r="C83">
            <v>1631.1632999999999</v>
          </cell>
          <cell r="D83" t="str">
            <v>油气资产减值准备</v>
          </cell>
          <cell r="E83">
            <v>0</v>
          </cell>
          <cell r="F83">
            <v>0</v>
          </cell>
          <cell r="G83">
            <v>0</v>
          </cell>
        </row>
        <row r="84">
          <cell r="C84">
            <v>1701.1703</v>
          </cell>
          <cell r="D84" t="str">
            <v>无形资产减值准备</v>
          </cell>
          <cell r="E84">
            <v>0</v>
          </cell>
          <cell r="F84">
            <v>0</v>
          </cell>
          <cell r="G84">
            <v>0</v>
          </cell>
        </row>
        <row r="85">
          <cell r="C85">
            <v>1711.1712</v>
          </cell>
          <cell r="D85" t="str">
            <v>商誉减值准备</v>
          </cell>
          <cell r="E85">
            <v>0</v>
          </cell>
          <cell r="F85">
            <v>0</v>
          </cell>
          <cell r="G85">
            <v>0</v>
          </cell>
        </row>
        <row r="86">
          <cell r="C86">
            <v>1991.1992</v>
          </cell>
          <cell r="D86" t="str">
            <v>其他</v>
          </cell>
          <cell r="E86">
            <v>0</v>
          </cell>
          <cell r="F86">
            <v>0</v>
          </cell>
          <cell r="G86">
            <v>0</v>
          </cell>
        </row>
        <row r="87">
          <cell r="C87">
            <v>1991</v>
          </cell>
          <cell r="D87" t="str">
            <v>资产减值准备小计</v>
          </cell>
          <cell r="E87">
            <v>0</v>
          </cell>
          <cell r="F87">
            <v>0</v>
          </cell>
          <cell r="G87">
            <v>0</v>
          </cell>
        </row>
      </sheetData>
      <sheetData sheetId="28">
        <row r="8">
          <cell r="B8" t="str">
            <v>项目编号</v>
          </cell>
          <cell r="C8" t="str">
            <v>项       目</v>
          </cell>
          <cell r="D8" t="str">
            <v>附注</v>
          </cell>
          <cell r="E8" t="str">
            <v>本期金额</v>
          </cell>
          <cell r="F8" t="str">
            <v>上期金额</v>
          </cell>
        </row>
        <row r="9">
          <cell r="B9">
            <v>6098</v>
          </cell>
          <cell r="C9" t="str">
            <v>一、营业总收入</v>
          </cell>
          <cell r="D9">
            <v>0</v>
          </cell>
          <cell r="E9">
            <v>1661605393.5599999</v>
          </cell>
          <cell r="F9">
            <v>1189697618.8299999</v>
          </cell>
        </row>
        <row r="10">
          <cell r="B10">
            <v>6001</v>
          </cell>
          <cell r="C10" t="str">
            <v>一、营业收入</v>
          </cell>
          <cell r="D10">
            <v>0</v>
          </cell>
          <cell r="E10">
            <v>1661605393.5599999</v>
          </cell>
          <cell r="F10">
            <v>1189697618.8299999</v>
          </cell>
        </row>
        <row r="11">
          <cell r="B11">
            <v>6011</v>
          </cell>
          <cell r="C11" t="str">
            <v>利息收入</v>
          </cell>
          <cell r="D11">
            <v>0</v>
          </cell>
          <cell r="E11">
            <v>0</v>
          </cell>
          <cell r="F11">
            <v>0</v>
          </cell>
        </row>
        <row r="12">
          <cell r="B12">
            <v>6030</v>
          </cell>
          <cell r="C12" t="str">
            <v>已赚保费</v>
          </cell>
          <cell r="D12">
            <v>0</v>
          </cell>
          <cell r="E12">
            <v>0</v>
          </cell>
          <cell r="F12">
            <v>0</v>
          </cell>
        </row>
        <row r="13">
          <cell r="B13">
            <v>6021</v>
          </cell>
          <cell r="C13" t="str">
            <v>手续费及佣金收入</v>
          </cell>
          <cell r="D13">
            <v>0</v>
          </cell>
          <cell r="E13">
            <v>0</v>
          </cell>
          <cell r="F13">
            <v>0</v>
          </cell>
        </row>
        <row r="14">
          <cell r="B14">
            <v>6598</v>
          </cell>
          <cell r="C14" t="str">
            <v>二、营业总成本</v>
          </cell>
          <cell r="D14">
            <v>0</v>
          </cell>
          <cell r="E14">
            <v>1514327395.28</v>
          </cell>
          <cell r="F14">
            <v>1054858481.22</v>
          </cell>
        </row>
        <row r="15">
          <cell r="B15">
            <v>6401</v>
          </cell>
          <cell r="C15" t="str">
            <v>减：营业成本</v>
          </cell>
          <cell r="D15">
            <v>0</v>
          </cell>
          <cell r="E15">
            <v>1205800452.8599999</v>
          </cell>
          <cell r="F15">
            <v>788605449.59000003</v>
          </cell>
        </row>
        <row r="16">
          <cell r="B16">
            <v>6411</v>
          </cell>
          <cell r="C16" t="str">
            <v>利息支出</v>
          </cell>
          <cell r="D16">
            <v>0</v>
          </cell>
          <cell r="E16">
            <v>0</v>
          </cell>
          <cell r="F16">
            <v>0</v>
          </cell>
        </row>
        <row r="17">
          <cell r="B17">
            <v>6421</v>
          </cell>
          <cell r="C17" t="str">
            <v>手续费及佣金支出</v>
          </cell>
          <cell r="D17">
            <v>0</v>
          </cell>
          <cell r="E17">
            <v>0</v>
          </cell>
          <cell r="F17">
            <v>0</v>
          </cell>
        </row>
        <row r="18">
          <cell r="B18">
            <v>6531</v>
          </cell>
          <cell r="C18" t="str">
            <v>退保金</v>
          </cell>
          <cell r="D18">
            <v>0</v>
          </cell>
          <cell r="E18">
            <v>0</v>
          </cell>
          <cell r="F18">
            <v>0</v>
          </cell>
        </row>
        <row r="19">
          <cell r="B19">
            <v>6510</v>
          </cell>
          <cell r="C19" t="str">
            <v>赔付支出净额</v>
          </cell>
          <cell r="D19">
            <v>0</v>
          </cell>
          <cell r="E19">
            <v>0</v>
          </cell>
          <cell r="F19">
            <v>0</v>
          </cell>
        </row>
        <row r="20">
          <cell r="B20">
            <v>6505</v>
          </cell>
          <cell r="C20" t="str">
            <v>提取保险合同准备金净额</v>
          </cell>
          <cell r="D20">
            <v>0</v>
          </cell>
          <cell r="E20">
            <v>0</v>
          </cell>
          <cell r="F20">
            <v>0</v>
          </cell>
        </row>
        <row r="21">
          <cell r="B21">
            <v>6521</v>
          </cell>
          <cell r="C21" t="str">
            <v>保单红利支出</v>
          </cell>
          <cell r="D21">
            <v>0</v>
          </cell>
          <cell r="E21">
            <v>0</v>
          </cell>
          <cell r="F21">
            <v>0</v>
          </cell>
        </row>
        <row r="22">
          <cell r="B22">
            <v>6542</v>
          </cell>
          <cell r="C22" t="str">
            <v>分保费用</v>
          </cell>
          <cell r="D22">
            <v>0</v>
          </cell>
          <cell r="E22">
            <v>0</v>
          </cell>
          <cell r="F22">
            <v>0</v>
          </cell>
        </row>
        <row r="23">
          <cell r="B23">
            <v>6600</v>
          </cell>
          <cell r="C23" t="str">
            <v>营业税金及附加</v>
          </cell>
          <cell r="D23">
            <v>0</v>
          </cell>
          <cell r="E23">
            <v>8822850.9900000002</v>
          </cell>
          <cell r="F23">
            <v>8308747.54</v>
          </cell>
        </row>
        <row r="24">
          <cell r="B24">
            <v>6601</v>
          </cell>
          <cell r="C24" t="str">
            <v>销售费用</v>
          </cell>
          <cell r="D24">
            <v>0</v>
          </cell>
          <cell r="E24">
            <v>84484619.629999995</v>
          </cell>
          <cell r="F24">
            <v>72822078.540000007</v>
          </cell>
        </row>
        <row r="25">
          <cell r="B25">
            <v>6602</v>
          </cell>
          <cell r="C25" t="str">
            <v>管理费用</v>
          </cell>
          <cell r="D25">
            <v>0</v>
          </cell>
          <cell r="E25">
            <v>137636266.37</v>
          </cell>
          <cell r="F25">
            <v>126423387.05</v>
          </cell>
        </row>
        <row r="26">
          <cell r="B26">
            <v>6603</v>
          </cell>
          <cell r="C26" t="str">
            <v>财务费用</v>
          </cell>
          <cell r="D26">
            <v>0</v>
          </cell>
          <cell r="E26">
            <v>5568512.7699999996</v>
          </cell>
          <cell r="F26">
            <v>5558215.46</v>
          </cell>
        </row>
        <row r="27">
          <cell r="B27">
            <v>6671</v>
          </cell>
          <cell r="C27" t="str">
            <v>资产减值损失</v>
          </cell>
          <cell r="D27">
            <v>0</v>
          </cell>
          <cell r="E27">
            <v>72014692.659999996</v>
          </cell>
          <cell r="F27">
            <v>53140603.039999999</v>
          </cell>
        </row>
        <row r="28">
          <cell r="B28">
            <v>6101</v>
          </cell>
          <cell r="C28" t="str">
            <v>加：公允价值变动收益（损失以“-”号填列）</v>
          </cell>
          <cell r="D28">
            <v>0</v>
          </cell>
          <cell r="E28">
            <v>0</v>
          </cell>
          <cell r="F28">
            <v>0</v>
          </cell>
        </row>
        <row r="29">
          <cell r="B29">
            <v>6111</v>
          </cell>
          <cell r="C29" t="str">
            <v>投资收益（损失以“-”号填列）</v>
          </cell>
          <cell r="D29">
            <v>0</v>
          </cell>
          <cell r="E29">
            <v>27434500.620000001</v>
          </cell>
          <cell r="F29">
            <v>19947082.23</v>
          </cell>
        </row>
        <row r="30">
          <cell r="B30">
            <v>6111.01</v>
          </cell>
          <cell r="C30" t="str">
            <v>其中：对联营企业和合营企业的投资收益</v>
          </cell>
          <cell r="D30">
            <v>0</v>
          </cell>
          <cell r="E30">
            <v>3419484.57</v>
          </cell>
          <cell r="F30">
            <v>4477880.8899999997</v>
          </cell>
        </row>
        <row r="31">
          <cell r="B31">
            <v>6161</v>
          </cell>
          <cell r="C31" t="str">
            <v>汇兑收益（损失以“-”号填列）</v>
          </cell>
          <cell r="D31">
            <v>0</v>
          </cell>
          <cell r="E31">
            <v>0</v>
          </cell>
          <cell r="F31">
            <v>0</v>
          </cell>
        </row>
        <row r="32">
          <cell r="B32">
            <v>6689</v>
          </cell>
          <cell r="C32" t="str">
            <v>二、营业利润（亏损以“-”号填列）</v>
          </cell>
          <cell r="D32">
            <v>0</v>
          </cell>
          <cell r="E32">
            <v>174712498.90000001</v>
          </cell>
          <cell r="F32">
            <v>154786219.84</v>
          </cell>
        </row>
        <row r="33">
          <cell r="B33">
            <v>6710</v>
          </cell>
          <cell r="C33" t="str">
            <v>加：营业外收入</v>
          </cell>
          <cell r="D33">
            <v>0</v>
          </cell>
          <cell r="E33">
            <v>4138115.52</v>
          </cell>
          <cell r="F33">
            <v>2052148.43</v>
          </cell>
        </row>
        <row r="34">
          <cell r="B34">
            <v>6710.11</v>
          </cell>
          <cell r="C34" t="str">
            <v>其中：非流动资产处置利得</v>
          </cell>
          <cell r="D34">
            <v>0</v>
          </cell>
          <cell r="E34">
            <v>1404563.83</v>
          </cell>
          <cell r="F34">
            <v>36148.43</v>
          </cell>
        </row>
        <row r="35">
          <cell r="B35">
            <v>6711</v>
          </cell>
          <cell r="C35" t="str">
            <v>减：营业外支出</v>
          </cell>
          <cell r="D35">
            <v>0</v>
          </cell>
          <cell r="E35">
            <v>482216.85</v>
          </cell>
          <cell r="F35">
            <v>410439.33</v>
          </cell>
        </row>
        <row r="36">
          <cell r="B36">
            <v>6711.01</v>
          </cell>
          <cell r="C36" t="str">
            <v>其中：非流动资产处置损失</v>
          </cell>
          <cell r="D36">
            <v>0</v>
          </cell>
          <cell r="E36">
            <v>29747.7</v>
          </cell>
          <cell r="F36">
            <v>59764.53</v>
          </cell>
        </row>
        <row r="37">
          <cell r="B37">
            <v>6788</v>
          </cell>
          <cell r="C37" t="str">
            <v>三、利润总额（亏损总额以“-”号填列）</v>
          </cell>
          <cell r="D37">
            <v>0</v>
          </cell>
          <cell r="E37">
            <v>178368397.56999999</v>
          </cell>
          <cell r="F37">
            <v>156427928.94</v>
          </cell>
        </row>
        <row r="38">
          <cell r="B38">
            <v>6791</v>
          </cell>
          <cell r="C38" t="str">
            <v>减：所得税费用</v>
          </cell>
          <cell r="D38">
            <v>0</v>
          </cell>
          <cell r="E38">
            <v>29115696.34</v>
          </cell>
          <cell r="F38">
            <v>23006086.98</v>
          </cell>
        </row>
        <row r="39">
          <cell r="B39">
            <v>6799</v>
          </cell>
          <cell r="C39" t="str">
            <v>四、净利润（净亏损以“-”号填列）</v>
          </cell>
          <cell r="D39">
            <v>0</v>
          </cell>
          <cell r="E39">
            <v>149252701.22999999</v>
          </cell>
          <cell r="F39">
            <v>133421841.95999999</v>
          </cell>
        </row>
        <row r="40">
          <cell r="B40">
            <v>6805</v>
          </cell>
          <cell r="C40" t="str">
            <v>其中：同一控制下企业合并的被合并方在合并前实现的净利润</v>
          </cell>
          <cell r="D40">
            <v>0</v>
          </cell>
          <cell r="E40">
            <v>0</v>
          </cell>
          <cell r="F40">
            <v>0</v>
          </cell>
        </row>
        <row r="41">
          <cell r="B41">
            <v>6811</v>
          </cell>
          <cell r="C41" t="str">
            <v>归属于母公司股东的净利润</v>
          </cell>
          <cell r="D41">
            <v>0</v>
          </cell>
          <cell r="E41">
            <v>149252701.22999999</v>
          </cell>
          <cell r="F41">
            <v>133421841.95999999</v>
          </cell>
        </row>
        <row r="42">
          <cell r="B42">
            <v>6812</v>
          </cell>
          <cell r="C42" t="str">
            <v>少数股东损益</v>
          </cell>
          <cell r="D42">
            <v>0</v>
          </cell>
          <cell r="E42">
            <v>0</v>
          </cell>
          <cell r="F42">
            <v>0</v>
          </cell>
        </row>
        <row r="43">
          <cell r="B43">
            <v>6829</v>
          </cell>
          <cell r="C43" t="str">
            <v>五、其他综合收益的税后净额</v>
          </cell>
          <cell r="D43">
            <v>0</v>
          </cell>
          <cell r="E43">
            <v>0</v>
          </cell>
          <cell r="F43">
            <v>0</v>
          </cell>
        </row>
        <row r="44">
          <cell r="B44">
            <v>6829.2</v>
          </cell>
          <cell r="C44" t="str">
            <v>归属于母公司股东的其他综合收益的税后净额</v>
          </cell>
          <cell r="D44">
            <v>0</v>
          </cell>
          <cell r="E44">
            <v>0</v>
          </cell>
          <cell r="F44">
            <v>0</v>
          </cell>
        </row>
        <row r="45">
          <cell r="B45">
            <v>6829.21</v>
          </cell>
          <cell r="C45" t="str">
            <v>（一）以后不能重分类进损益的其他综合收益</v>
          </cell>
          <cell r="D45">
            <v>0</v>
          </cell>
          <cell r="E45">
            <v>0</v>
          </cell>
          <cell r="F45">
            <v>0</v>
          </cell>
        </row>
        <row r="46">
          <cell r="B46">
            <v>6829.2110000000002</v>
          </cell>
          <cell r="C46" t="str">
            <v>1、重新计量设定受益计划净负债或净资产的变动</v>
          </cell>
          <cell r="D46">
            <v>0</v>
          </cell>
          <cell r="E46">
            <v>0</v>
          </cell>
          <cell r="F46">
            <v>0</v>
          </cell>
        </row>
        <row r="47">
          <cell r="B47">
            <v>6829.2120000000004</v>
          </cell>
          <cell r="C47" t="str">
            <v>2、权益法下在被投资单位不能重分类进损益的其他综合收益中享有的份额</v>
          </cell>
          <cell r="D47">
            <v>0</v>
          </cell>
          <cell r="E47">
            <v>0</v>
          </cell>
          <cell r="F47">
            <v>0</v>
          </cell>
        </row>
        <row r="48">
          <cell r="B48">
            <v>6829.2190000000001</v>
          </cell>
          <cell r="C48" t="str">
            <v>3、其他</v>
          </cell>
          <cell r="D48">
            <v>0</v>
          </cell>
          <cell r="E48">
            <v>0</v>
          </cell>
          <cell r="F48">
            <v>0</v>
          </cell>
        </row>
        <row r="49">
          <cell r="B49">
            <v>6829.23</v>
          </cell>
          <cell r="C49" t="str">
            <v>（二）以后将重分类进损益的其他综合收益</v>
          </cell>
          <cell r="D49">
            <v>0</v>
          </cell>
          <cell r="E49">
            <v>0</v>
          </cell>
          <cell r="F49">
            <v>0</v>
          </cell>
        </row>
        <row r="50">
          <cell r="B50">
            <v>6829.2309999999998</v>
          </cell>
          <cell r="C50" t="str">
            <v>1、权益法下在被投资单位以后将重分类进损益的其他综合收益中享有的份额</v>
          </cell>
          <cell r="D50">
            <v>0</v>
          </cell>
          <cell r="E50">
            <v>0</v>
          </cell>
          <cell r="F50">
            <v>0</v>
          </cell>
        </row>
        <row r="51">
          <cell r="B51">
            <v>6829.232</v>
          </cell>
          <cell r="C51" t="str">
            <v>2、可供出售金融资产公允价值变动损益</v>
          </cell>
          <cell r="D51">
            <v>0</v>
          </cell>
          <cell r="E51">
            <v>0</v>
          </cell>
          <cell r="F51">
            <v>0</v>
          </cell>
        </row>
        <row r="52">
          <cell r="B52">
            <v>6829.2330000000002</v>
          </cell>
          <cell r="C52" t="str">
            <v>3、持有至到期投资重分类为可供出售金融资产损益</v>
          </cell>
          <cell r="D52">
            <v>0</v>
          </cell>
          <cell r="E52">
            <v>0</v>
          </cell>
          <cell r="F52">
            <v>0</v>
          </cell>
        </row>
        <row r="53">
          <cell r="B53">
            <v>6829.2340000000004</v>
          </cell>
          <cell r="C53" t="str">
            <v>4、现金流量套期损益的有效部分</v>
          </cell>
          <cell r="D53">
            <v>0</v>
          </cell>
          <cell r="E53">
            <v>0</v>
          </cell>
          <cell r="F53">
            <v>0</v>
          </cell>
        </row>
        <row r="54">
          <cell r="B54">
            <v>6829.2349999999997</v>
          </cell>
          <cell r="C54" t="str">
            <v>5、外币财务报表折算差额</v>
          </cell>
          <cell r="D54">
            <v>0</v>
          </cell>
          <cell r="E54">
            <v>0</v>
          </cell>
          <cell r="F54">
            <v>0</v>
          </cell>
        </row>
        <row r="55">
          <cell r="B55">
            <v>6829.2359999999999</v>
          </cell>
          <cell r="C55" t="str">
            <v>6、自用房地产或作为存货的房地产转换为以公允价值计量的投资性房地产在转换日公允价值大于账面价值部分</v>
          </cell>
          <cell r="D55">
            <v>0</v>
          </cell>
          <cell r="E55">
            <v>0</v>
          </cell>
          <cell r="F55">
            <v>0</v>
          </cell>
        </row>
        <row r="56">
          <cell r="B56">
            <v>6829.2370000000001</v>
          </cell>
          <cell r="C56" t="str">
            <v>7、多次交易分步处置子公司股权构成一揽子交易的，丧失控制权之前各次交易处置价款与对应净资产账面价值份额的差额</v>
          </cell>
          <cell r="D56">
            <v>0</v>
          </cell>
          <cell r="E56">
            <v>0</v>
          </cell>
          <cell r="F56">
            <v>0</v>
          </cell>
        </row>
        <row r="57">
          <cell r="B57">
            <v>6829.2389999999996</v>
          </cell>
          <cell r="C57" t="str">
            <v>8、其他</v>
          </cell>
          <cell r="D57">
            <v>0</v>
          </cell>
          <cell r="E57">
            <v>0</v>
          </cell>
          <cell r="F57">
            <v>0</v>
          </cell>
        </row>
        <row r="58">
          <cell r="B58">
            <v>6829.5</v>
          </cell>
          <cell r="C58" t="str">
            <v>归属于少数股东的其他综合收益的税后净额</v>
          </cell>
          <cell r="D58">
            <v>0</v>
          </cell>
          <cell r="E58">
            <v>0</v>
          </cell>
          <cell r="F58">
            <v>0</v>
          </cell>
        </row>
        <row r="59">
          <cell r="B59">
            <v>6839</v>
          </cell>
          <cell r="C59" t="str">
            <v>六、综合收益总额</v>
          </cell>
          <cell r="D59">
            <v>0</v>
          </cell>
          <cell r="E59">
            <v>149252701.22999999</v>
          </cell>
          <cell r="F59">
            <v>133421841.95999999</v>
          </cell>
        </row>
        <row r="60">
          <cell r="B60">
            <v>6841</v>
          </cell>
          <cell r="C60" t="str">
            <v>归属于母公司股东的综合收益总额</v>
          </cell>
          <cell r="D60">
            <v>0</v>
          </cell>
          <cell r="E60">
            <v>149252701.22999999</v>
          </cell>
          <cell r="F60">
            <v>133421841.95999999</v>
          </cell>
        </row>
        <row r="61">
          <cell r="B61">
            <v>6842</v>
          </cell>
          <cell r="C61" t="str">
            <v>归属于少数股东的综合收益总额</v>
          </cell>
          <cell r="D61">
            <v>0</v>
          </cell>
          <cell r="E61">
            <v>0</v>
          </cell>
          <cell r="F61">
            <v>0</v>
          </cell>
        </row>
        <row r="62">
          <cell r="B62">
            <v>6820</v>
          </cell>
          <cell r="C62" t="str">
            <v>七、每股收益：</v>
          </cell>
          <cell r="D62">
            <v>0</v>
          </cell>
          <cell r="E62">
            <v>0</v>
          </cell>
          <cell r="F62">
            <v>0</v>
          </cell>
        </row>
        <row r="63">
          <cell r="B63">
            <v>6821</v>
          </cell>
          <cell r="C63" t="str">
            <v>（一）基本每股收益</v>
          </cell>
          <cell r="D63">
            <v>0</v>
          </cell>
          <cell r="E63">
            <v>0</v>
          </cell>
          <cell r="F63">
            <v>0</v>
          </cell>
        </row>
        <row r="64">
          <cell r="B64">
            <v>6822</v>
          </cell>
          <cell r="C64" t="str">
            <v>（二）稀释每股收益</v>
          </cell>
          <cell r="D64">
            <v>0</v>
          </cell>
          <cell r="E64">
            <v>0</v>
          </cell>
          <cell r="F64">
            <v>0</v>
          </cell>
        </row>
      </sheetData>
      <sheetData sheetId="29">
        <row r="8">
          <cell r="B8" t="str">
            <v>项目编号</v>
          </cell>
          <cell r="C8" t="str">
            <v>项       目</v>
          </cell>
          <cell r="D8" t="str">
            <v>附注</v>
          </cell>
          <cell r="E8" t="str">
            <v>本期金额</v>
          </cell>
          <cell r="F8" t="str">
            <v>上期金额</v>
          </cell>
        </row>
        <row r="9">
          <cell r="B9">
            <v>7000</v>
          </cell>
          <cell r="C9" t="str">
            <v>一、经营活动产生的现金流量：</v>
          </cell>
          <cell r="D9">
            <v>0</v>
          </cell>
          <cell r="E9">
            <v>0</v>
          </cell>
          <cell r="F9">
            <v>0</v>
          </cell>
        </row>
        <row r="10">
          <cell r="B10">
            <v>7001</v>
          </cell>
          <cell r="C10" t="str">
            <v>销售商品、提供劳务收到的现金</v>
          </cell>
          <cell r="D10">
            <v>0</v>
          </cell>
          <cell r="E10">
            <v>1571000605.05</v>
          </cell>
          <cell r="F10">
            <v>1129339231.51</v>
          </cell>
        </row>
        <row r="11">
          <cell r="B11">
            <v>7011</v>
          </cell>
          <cell r="C11" t="str">
            <v>客户存款和同业存放款项净增加额</v>
          </cell>
          <cell r="D11">
            <v>0</v>
          </cell>
          <cell r="E11">
            <v>0</v>
          </cell>
          <cell r="F11">
            <v>0</v>
          </cell>
        </row>
        <row r="12">
          <cell r="B12">
            <v>7012</v>
          </cell>
          <cell r="C12" t="str">
            <v>向中央银行借款净增加额</v>
          </cell>
          <cell r="D12">
            <v>0</v>
          </cell>
          <cell r="E12">
            <v>0</v>
          </cell>
          <cell r="F12">
            <v>0</v>
          </cell>
        </row>
        <row r="13">
          <cell r="B13">
            <v>7013</v>
          </cell>
          <cell r="C13" t="str">
            <v>向其他金融机构拆入资金净增加额</v>
          </cell>
          <cell r="D13">
            <v>0</v>
          </cell>
          <cell r="E13">
            <v>0</v>
          </cell>
          <cell r="F13">
            <v>0</v>
          </cell>
        </row>
        <row r="14">
          <cell r="B14">
            <v>7014</v>
          </cell>
          <cell r="C14" t="str">
            <v>收到原保险合同保费取得的现金</v>
          </cell>
          <cell r="D14">
            <v>0</v>
          </cell>
          <cell r="E14">
            <v>0</v>
          </cell>
          <cell r="F14">
            <v>0</v>
          </cell>
        </row>
        <row r="15">
          <cell r="B15">
            <v>7015</v>
          </cell>
          <cell r="C15" t="str">
            <v>收到再保险业务现金净额</v>
          </cell>
          <cell r="D15">
            <v>0</v>
          </cell>
          <cell r="E15">
            <v>0</v>
          </cell>
          <cell r="F15">
            <v>0</v>
          </cell>
        </row>
        <row r="16">
          <cell r="B16">
            <v>7016</v>
          </cell>
          <cell r="C16" t="str">
            <v>保户储金及投资款净增加额</v>
          </cell>
          <cell r="D16">
            <v>0</v>
          </cell>
          <cell r="E16">
            <v>0</v>
          </cell>
          <cell r="F16">
            <v>0</v>
          </cell>
        </row>
        <row r="17">
          <cell r="B17">
            <v>7021</v>
          </cell>
          <cell r="C17" t="str">
            <v>处置交易性金融资产净增加额</v>
          </cell>
          <cell r="D17">
            <v>0</v>
          </cell>
          <cell r="E17">
            <v>0</v>
          </cell>
          <cell r="F17">
            <v>0</v>
          </cell>
        </row>
        <row r="18">
          <cell r="B18">
            <v>7023</v>
          </cell>
          <cell r="C18" t="str">
            <v>收取利息、手续费及佣金的现金</v>
          </cell>
          <cell r="D18">
            <v>0</v>
          </cell>
          <cell r="E18">
            <v>0</v>
          </cell>
          <cell r="F18">
            <v>0</v>
          </cell>
        </row>
        <row r="19">
          <cell r="B19">
            <v>7025</v>
          </cell>
          <cell r="C19" t="str">
            <v>拆入资金净增加额</v>
          </cell>
          <cell r="D19">
            <v>0</v>
          </cell>
          <cell r="E19">
            <v>0</v>
          </cell>
          <cell r="F19">
            <v>0</v>
          </cell>
        </row>
        <row r="20">
          <cell r="B20">
            <v>7026</v>
          </cell>
          <cell r="C20" t="str">
            <v>回购业务资金净增加额</v>
          </cell>
          <cell r="D20">
            <v>0</v>
          </cell>
          <cell r="E20">
            <v>0</v>
          </cell>
          <cell r="F20">
            <v>0</v>
          </cell>
        </row>
        <row r="21">
          <cell r="B21">
            <v>7031</v>
          </cell>
          <cell r="C21" t="str">
            <v>收到的税费返还</v>
          </cell>
          <cell r="D21">
            <v>0</v>
          </cell>
          <cell r="E21">
            <v>0</v>
          </cell>
          <cell r="F21">
            <v>0</v>
          </cell>
        </row>
        <row r="22">
          <cell r="B22">
            <v>7046</v>
          </cell>
          <cell r="C22" t="str">
            <v>收到其他与经营活动有关的现金</v>
          </cell>
          <cell r="D22">
            <v>0</v>
          </cell>
          <cell r="E22">
            <v>68377950.099999994</v>
          </cell>
          <cell r="F22">
            <v>33931131.859999999</v>
          </cell>
        </row>
        <row r="23">
          <cell r="B23">
            <v>7048</v>
          </cell>
          <cell r="C23" t="str">
            <v>经营活动现金流入小计</v>
          </cell>
          <cell r="D23">
            <v>0</v>
          </cell>
          <cell r="E23">
            <v>1639378555.1500001</v>
          </cell>
          <cell r="F23">
            <v>1163270363.3699999</v>
          </cell>
        </row>
        <row r="24">
          <cell r="B24">
            <v>7051</v>
          </cell>
          <cell r="C24" t="str">
            <v>购买商品、接受劳务支付的现金</v>
          </cell>
          <cell r="D24">
            <v>0</v>
          </cell>
          <cell r="E24">
            <v>734728986.13</v>
          </cell>
          <cell r="F24">
            <v>464599931.12</v>
          </cell>
        </row>
        <row r="25">
          <cell r="B25">
            <v>7053</v>
          </cell>
          <cell r="C25" t="str">
            <v>客户贷款及垫款净增加额</v>
          </cell>
          <cell r="D25">
            <v>0</v>
          </cell>
          <cell r="E25">
            <v>0</v>
          </cell>
          <cell r="F25">
            <v>0</v>
          </cell>
        </row>
        <row r="26">
          <cell r="B26">
            <v>7054</v>
          </cell>
          <cell r="C26" t="str">
            <v>存放中央银行和同业款项净增加额</v>
          </cell>
          <cell r="D26">
            <v>0</v>
          </cell>
          <cell r="E26">
            <v>0</v>
          </cell>
          <cell r="F26">
            <v>0</v>
          </cell>
        </row>
        <row r="27">
          <cell r="B27">
            <v>7055</v>
          </cell>
          <cell r="C27" t="str">
            <v>支付原保险合同赔付款项的现金</v>
          </cell>
          <cell r="D27">
            <v>0</v>
          </cell>
          <cell r="E27">
            <v>0</v>
          </cell>
          <cell r="F27">
            <v>0</v>
          </cell>
        </row>
        <row r="28">
          <cell r="B28">
            <v>7056</v>
          </cell>
          <cell r="C28" t="str">
            <v>支付利息、手续费及佣金的现金</v>
          </cell>
          <cell r="D28">
            <v>0</v>
          </cell>
          <cell r="E28">
            <v>0</v>
          </cell>
          <cell r="F28">
            <v>0</v>
          </cell>
        </row>
        <row r="29">
          <cell r="B29">
            <v>7057</v>
          </cell>
          <cell r="C29" t="str">
            <v>支付保单红利的现金</v>
          </cell>
          <cell r="D29">
            <v>0</v>
          </cell>
          <cell r="E29">
            <v>0</v>
          </cell>
          <cell r="F29">
            <v>0</v>
          </cell>
        </row>
        <row r="30">
          <cell r="B30">
            <v>7061</v>
          </cell>
          <cell r="C30" t="str">
            <v>支付给职工以及为职工支付的现金</v>
          </cell>
          <cell r="D30">
            <v>0</v>
          </cell>
          <cell r="E30">
            <v>417002624.35000002</v>
          </cell>
          <cell r="F30">
            <v>376557148.45999998</v>
          </cell>
        </row>
        <row r="31">
          <cell r="B31">
            <v>7071</v>
          </cell>
          <cell r="C31" t="str">
            <v>支付的各项税费</v>
          </cell>
          <cell r="D31">
            <v>0</v>
          </cell>
          <cell r="E31">
            <v>114313475.2</v>
          </cell>
          <cell r="F31">
            <v>85193024.099999994</v>
          </cell>
        </row>
        <row r="32">
          <cell r="B32">
            <v>7096</v>
          </cell>
          <cell r="C32" t="str">
            <v>支付其他与经营活动有关的现金</v>
          </cell>
          <cell r="D32">
            <v>0</v>
          </cell>
          <cell r="E32">
            <v>156580403.63999999</v>
          </cell>
          <cell r="F32">
            <v>174929562.5</v>
          </cell>
        </row>
        <row r="33">
          <cell r="B33">
            <v>7098</v>
          </cell>
          <cell r="C33" t="str">
            <v>经营活动现金流出小计</v>
          </cell>
          <cell r="D33">
            <v>0</v>
          </cell>
          <cell r="E33">
            <v>1422625489.3199999</v>
          </cell>
          <cell r="F33">
            <v>1101279666.1800001</v>
          </cell>
        </row>
        <row r="34">
          <cell r="B34">
            <v>7099</v>
          </cell>
          <cell r="C34" t="str">
            <v>经营活动产生的现金流量净额</v>
          </cell>
          <cell r="D34">
            <v>0</v>
          </cell>
          <cell r="E34">
            <v>216753065.83000001</v>
          </cell>
          <cell r="F34">
            <v>61990697.189999998</v>
          </cell>
        </row>
        <row r="35">
          <cell r="B35">
            <v>7100</v>
          </cell>
          <cell r="C35" t="str">
            <v>二、投资活动产生的现金流量：</v>
          </cell>
          <cell r="D35">
            <v>0</v>
          </cell>
          <cell r="E35">
            <v>0</v>
          </cell>
          <cell r="F35">
            <v>0</v>
          </cell>
        </row>
        <row r="36">
          <cell r="B36">
            <v>7101</v>
          </cell>
          <cell r="C36" t="str">
            <v>收回投资收到的现金</v>
          </cell>
          <cell r="D36">
            <v>0</v>
          </cell>
          <cell r="E36">
            <v>484900000</v>
          </cell>
          <cell r="F36">
            <v>560000000</v>
          </cell>
        </row>
        <row r="37">
          <cell r="B37">
            <v>7105</v>
          </cell>
          <cell r="C37" t="str">
            <v>取得投资收益收到的现金</v>
          </cell>
          <cell r="D37">
            <v>0</v>
          </cell>
          <cell r="E37">
            <v>23781266.25</v>
          </cell>
          <cell r="F37">
            <v>16297301.34</v>
          </cell>
        </row>
        <row r="38">
          <cell r="B38">
            <v>7111</v>
          </cell>
          <cell r="C38" t="str">
            <v>处置固定资产、无形资产和其他长期资产收回的现金净额</v>
          </cell>
          <cell r="D38">
            <v>0</v>
          </cell>
          <cell r="E38">
            <v>1996228.7</v>
          </cell>
          <cell r="F38">
            <v>1652556.6</v>
          </cell>
        </row>
        <row r="39">
          <cell r="B39">
            <v>7121</v>
          </cell>
          <cell r="C39" t="str">
            <v>处置子公司及其他营业单位收到的现金净额</v>
          </cell>
          <cell r="D39">
            <v>0</v>
          </cell>
          <cell r="E39">
            <v>0</v>
          </cell>
          <cell r="F39">
            <v>0</v>
          </cell>
        </row>
        <row r="40">
          <cell r="B40">
            <v>7146</v>
          </cell>
          <cell r="C40" t="str">
            <v>收到其他与投资活动有关的现金</v>
          </cell>
          <cell r="D40">
            <v>0</v>
          </cell>
          <cell r="E40">
            <v>0</v>
          </cell>
          <cell r="F40">
            <v>0</v>
          </cell>
        </row>
        <row r="41">
          <cell r="B41">
            <v>7148</v>
          </cell>
          <cell r="C41" t="str">
            <v>投资活动现金流入小计</v>
          </cell>
          <cell r="D41">
            <v>0</v>
          </cell>
          <cell r="E41">
            <v>510677494.94999999</v>
          </cell>
          <cell r="F41">
            <v>577949857.94000006</v>
          </cell>
        </row>
        <row r="42">
          <cell r="B42">
            <v>7151</v>
          </cell>
          <cell r="C42" t="str">
            <v>购置固定资产、无形资产和其他长期资产支付的现金</v>
          </cell>
          <cell r="D42">
            <v>0</v>
          </cell>
          <cell r="E42">
            <v>40825116.159999996</v>
          </cell>
          <cell r="F42">
            <v>42519626.329999998</v>
          </cell>
        </row>
        <row r="43">
          <cell r="B43">
            <v>7161</v>
          </cell>
          <cell r="C43" t="str">
            <v>投资支付的现金</v>
          </cell>
          <cell r="D43">
            <v>0</v>
          </cell>
          <cell r="E43">
            <v>412875000</v>
          </cell>
          <cell r="F43">
            <v>591400000</v>
          </cell>
        </row>
        <row r="44">
          <cell r="B44">
            <v>7165</v>
          </cell>
          <cell r="C44" t="str">
            <v>质押贷款净增加额</v>
          </cell>
          <cell r="D44">
            <v>0</v>
          </cell>
          <cell r="E44">
            <v>0</v>
          </cell>
          <cell r="F44">
            <v>0</v>
          </cell>
        </row>
        <row r="45">
          <cell r="B45">
            <v>7171</v>
          </cell>
          <cell r="C45" t="str">
            <v>取得子公司及其他营业单位支付的现金净额</v>
          </cell>
          <cell r="D45">
            <v>0</v>
          </cell>
          <cell r="E45">
            <v>111183867.95</v>
          </cell>
          <cell r="F45">
            <v>274996288.02999997</v>
          </cell>
        </row>
        <row r="46">
          <cell r="B46">
            <v>7196</v>
          </cell>
          <cell r="C46" t="str">
            <v>支付其他与投资活动有关的现金</v>
          </cell>
          <cell r="D46">
            <v>0</v>
          </cell>
          <cell r="E46">
            <v>0</v>
          </cell>
          <cell r="F46">
            <v>0</v>
          </cell>
        </row>
        <row r="47">
          <cell r="B47">
            <v>7198</v>
          </cell>
          <cell r="C47" t="str">
            <v>投资活动现金流出小计</v>
          </cell>
          <cell r="D47">
            <v>0</v>
          </cell>
          <cell r="E47">
            <v>564883984.11000001</v>
          </cell>
          <cell r="F47">
            <v>908915914.36000001</v>
          </cell>
        </row>
        <row r="48">
          <cell r="B48">
            <v>7199</v>
          </cell>
          <cell r="C48" t="str">
            <v>投资活动产生的现金流量净额</v>
          </cell>
          <cell r="D48">
            <v>0</v>
          </cell>
          <cell r="E48">
            <v>-54206489.159999996</v>
          </cell>
          <cell r="F48">
            <v>-330966056.42000002</v>
          </cell>
        </row>
        <row r="49">
          <cell r="B49">
            <v>7200</v>
          </cell>
          <cell r="C49" t="str">
            <v>三、筹资活动产生的现金流量：</v>
          </cell>
          <cell r="D49">
            <v>0</v>
          </cell>
          <cell r="E49">
            <v>0</v>
          </cell>
          <cell r="F49">
            <v>0</v>
          </cell>
        </row>
        <row r="50">
          <cell r="B50">
            <v>7201</v>
          </cell>
          <cell r="C50" t="str">
            <v>吸收投资收到的现金</v>
          </cell>
          <cell r="D50">
            <v>0</v>
          </cell>
          <cell r="E50">
            <v>0</v>
          </cell>
          <cell r="F50">
            <v>0</v>
          </cell>
        </row>
        <row r="51">
          <cell r="B51">
            <v>7201.01</v>
          </cell>
          <cell r="C51" t="str">
            <v>其中：子公司吸收少数股东权益性投资收到的现金</v>
          </cell>
          <cell r="D51">
            <v>0</v>
          </cell>
          <cell r="E51">
            <v>0</v>
          </cell>
          <cell r="F51">
            <v>0</v>
          </cell>
        </row>
        <row r="52">
          <cell r="B52">
            <v>7211</v>
          </cell>
          <cell r="C52" t="str">
            <v>取得借款收到的现金</v>
          </cell>
          <cell r="D52">
            <v>0</v>
          </cell>
          <cell r="E52">
            <v>200000000</v>
          </cell>
          <cell r="F52">
            <v>245000000</v>
          </cell>
        </row>
        <row r="53">
          <cell r="B53">
            <v>7221</v>
          </cell>
          <cell r="C53" t="str">
            <v>发行债券收到的现金</v>
          </cell>
          <cell r="D53">
            <v>0</v>
          </cell>
          <cell r="E53">
            <v>0</v>
          </cell>
          <cell r="F53">
            <v>0</v>
          </cell>
        </row>
        <row r="54">
          <cell r="B54">
            <v>7246</v>
          </cell>
          <cell r="C54" t="str">
            <v>收到其他与筹资活动有关的现金</v>
          </cell>
          <cell r="D54">
            <v>0</v>
          </cell>
          <cell r="E54">
            <v>0</v>
          </cell>
          <cell r="F54">
            <v>0</v>
          </cell>
        </row>
        <row r="55">
          <cell r="B55">
            <v>7248</v>
          </cell>
          <cell r="C55" t="str">
            <v>筹资活动现金流入小计</v>
          </cell>
          <cell r="D55">
            <v>0</v>
          </cell>
          <cell r="E55">
            <v>200000000</v>
          </cell>
          <cell r="F55">
            <v>245000000</v>
          </cell>
        </row>
        <row r="56">
          <cell r="B56">
            <v>7251</v>
          </cell>
          <cell r="C56" t="str">
            <v>偿还债务支付的现金</v>
          </cell>
          <cell r="D56">
            <v>0</v>
          </cell>
          <cell r="E56">
            <v>195000000</v>
          </cell>
          <cell r="F56">
            <v>50000000</v>
          </cell>
        </row>
        <row r="57">
          <cell r="B57">
            <v>7261</v>
          </cell>
          <cell r="C57" t="str">
            <v>分配股利、利润或偿付利息支付的现金</v>
          </cell>
          <cell r="D57">
            <v>0</v>
          </cell>
          <cell r="E57">
            <v>59659992.07</v>
          </cell>
          <cell r="F57">
            <v>44675004.729999997</v>
          </cell>
        </row>
        <row r="58">
          <cell r="B58">
            <v>7261.01</v>
          </cell>
          <cell r="C58" t="str">
            <v>其中：子公司支付少数股东的现金股利</v>
          </cell>
          <cell r="D58">
            <v>0</v>
          </cell>
          <cell r="E58">
            <v>0</v>
          </cell>
          <cell r="F58">
            <v>0</v>
          </cell>
        </row>
        <row r="59">
          <cell r="B59">
            <v>7296</v>
          </cell>
          <cell r="C59" t="str">
            <v>支付其他与筹资活动有关的现金</v>
          </cell>
          <cell r="D59">
            <v>0</v>
          </cell>
          <cell r="E59">
            <v>0</v>
          </cell>
          <cell r="F59">
            <v>0</v>
          </cell>
        </row>
        <row r="60">
          <cell r="B60">
            <v>7296.11</v>
          </cell>
          <cell r="C60" t="str">
            <v>其中：子公司减资支付给少数股东的现金</v>
          </cell>
          <cell r="D60">
            <v>0</v>
          </cell>
          <cell r="E60">
            <v>0</v>
          </cell>
          <cell r="F60">
            <v>0</v>
          </cell>
        </row>
        <row r="61">
          <cell r="B61">
            <v>7298</v>
          </cell>
          <cell r="C61" t="str">
            <v>筹资活动现金流出小计</v>
          </cell>
          <cell r="D61">
            <v>0</v>
          </cell>
          <cell r="E61">
            <v>254659992.06999999</v>
          </cell>
          <cell r="F61">
            <v>94675004.730000004</v>
          </cell>
        </row>
        <row r="62">
          <cell r="B62">
            <v>7299</v>
          </cell>
          <cell r="C62" t="str">
            <v>筹资活动产生的现金流量净额</v>
          </cell>
          <cell r="D62">
            <v>0</v>
          </cell>
          <cell r="E62">
            <v>-54659992.07</v>
          </cell>
          <cell r="F62">
            <v>150324995.27000001</v>
          </cell>
        </row>
        <row r="63">
          <cell r="B63">
            <v>7309</v>
          </cell>
          <cell r="C63" t="str">
            <v>四、汇率变动对现金及现金等价物的影响</v>
          </cell>
          <cell r="D63">
            <v>0</v>
          </cell>
          <cell r="E63">
            <v>65576.77</v>
          </cell>
          <cell r="F63">
            <v>15261.77</v>
          </cell>
        </row>
        <row r="64">
          <cell r="B64">
            <v>7348</v>
          </cell>
          <cell r="C64" t="str">
            <v>五、现金及现金等价物净增加额</v>
          </cell>
          <cell r="D64">
            <v>0</v>
          </cell>
          <cell r="E64">
            <v>107952161.37</v>
          </cell>
          <cell r="F64">
            <v>-118635102.19</v>
          </cell>
        </row>
        <row r="65">
          <cell r="B65">
            <v>7349</v>
          </cell>
          <cell r="C65" t="str">
            <v>加：期初现金及现金等价物余额</v>
          </cell>
          <cell r="D65">
            <v>0</v>
          </cell>
          <cell r="E65">
            <v>432495654.86000001</v>
          </cell>
          <cell r="F65">
            <v>551130757.04999995</v>
          </cell>
        </row>
        <row r="66">
          <cell r="B66">
            <v>7399</v>
          </cell>
          <cell r="C66" t="str">
            <v>六、期末现金及现金等价物余额</v>
          </cell>
          <cell r="D66">
            <v>0</v>
          </cell>
          <cell r="E66">
            <v>540447816.23000002</v>
          </cell>
          <cell r="F66">
            <v>432495654.86000001</v>
          </cell>
        </row>
        <row r="70">
          <cell r="B70">
            <v>0</v>
          </cell>
          <cell r="C70" t="str">
            <v>补充资料</v>
          </cell>
          <cell r="D70">
            <v>0</v>
          </cell>
          <cell r="E70" t="str">
            <v>本年金额</v>
          </cell>
          <cell r="F70" t="str">
            <v>上年金额</v>
          </cell>
        </row>
        <row r="71">
          <cell r="B71">
            <v>7501</v>
          </cell>
          <cell r="C71" t="str">
            <v>1.将净利润调节为经营活动现金流量：</v>
          </cell>
          <cell r="D71">
            <v>0</v>
          </cell>
          <cell r="E71">
            <v>0</v>
          </cell>
          <cell r="F71">
            <v>0</v>
          </cell>
        </row>
        <row r="72">
          <cell r="B72">
            <v>7502</v>
          </cell>
          <cell r="C72" t="str">
            <v>净利润</v>
          </cell>
          <cell r="D72">
            <v>0</v>
          </cell>
          <cell r="E72">
            <v>149252701.22999999</v>
          </cell>
          <cell r="F72">
            <v>133421841.95999999</v>
          </cell>
        </row>
        <row r="73">
          <cell r="B73">
            <v>7503</v>
          </cell>
          <cell r="C73" t="str">
            <v>加：资产减值准备</v>
          </cell>
          <cell r="D73">
            <v>0</v>
          </cell>
          <cell r="E73">
            <v>71811999.5</v>
          </cell>
          <cell r="F73">
            <v>53140603.039999999</v>
          </cell>
        </row>
        <row r="74">
          <cell r="B74">
            <v>7505</v>
          </cell>
          <cell r="C74" t="str">
            <v>固定资产折旧、油气资产折耗、生产性生物资产折旧</v>
          </cell>
          <cell r="D74">
            <v>0</v>
          </cell>
          <cell r="E74">
            <v>18685289.219999999</v>
          </cell>
          <cell r="F74">
            <v>18846036.890000001</v>
          </cell>
        </row>
        <row r="75">
          <cell r="B75">
            <v>7506</v>
          </cell>
          <cell r="C75" t="str">
            <v>无形资产摊销</v>
          </cell>
          <cell r="D75">
            <v>0</v>
          </cell>
          <cell r="E75">
            <v>4458654.68</v>
          </cell>
          <cell r="F75">
            <v>2880801.31</v>
          </cell>
        </row>
        <row r="76">
          <cell r="B76">
            <v>7507</v>
          </cell>
          <cell r="C76" t="str">
            <v>长期待摊费用摊销</v>
          </cell>
          <cell r="D76">
            <v>0</v>
          </cell>
          <cell r="E76">
            <v>277459.27</v>
          </cell>
          <cell r="F76">
            <v>0</v>
          </cell>
        </row>
        <row r="77">
          <cell r="B77">
            <v>7508</v>
          </cell>
          <cell r="C77" t="str">
            <v>处置固定资产、无形资产和其他长期资产的损失（收益以“－”号填列）</v>
          </cell>
          <cell r="D77">
            <v>0</v>
          </cell>
          <cell r="E77">
            <v>-1282966.81</v>
          </cell>
          <cell r="F77">
            <v>-23616.1</v>
          </cell>
        </row>
        <row r="78">
          <cell r="B78">
            <v>7509</v>
          </cell>
          <cell r="C78" t="str">
            <v>固定资产报废损失（收益以“－”号填列）</v>
          </cell>
          <cell r="D78">
            <v>0</v>
          </cell>
          <cell r="E78">
            <v>0</v>
          </cell>
          <cell r="F78">
            <v>0</v>
          </cell>
        </row>
        <row r="79">
          <cell r="B79">
            <v>7510</v>
          </cell>
          <cell r="C79" t="str">
            <v>公允价值变动损失（收益以“－”号填列）</v>
          </cell>
          <cell r="D79">
            <v>0</v>
          </cell>
          <cell r="E79">
            <v>0</v>
          </cell>
          <cell r="F79">
            <v>0</v>
          </cell>
        </row>
        <row r="80">
          <cell r="B80">
            <v>7511</v>
          </cell>
          <cell r="C80" t="str">
            <v>财务费用（收益以“－”号填列）</v>
          </cell>
          <cell r="D80">
            <v>0</v>
          </cell>
          <cell r="E80">
            <v>7643302.8700000001</v>
          </cell>
          <cell r="F80">
            <v>8595215.1799999997</v>
          </cell>
        </row>
        <row r="81">
          <cell r="B81">
            <v>7512</v>
          </cell>
          <cell r="C81" t="str">
            <v>投资损失（收益以“－”号填列）</v>
          </cell>
          <cell r="D81">
            <v>0</v>
          </cell>
          <cell r="E81">
            <v>-27434500.620000001</v>
          </cell>
          <cell r="F81">
            <v>-19947082.23</v>
          </cell>
        </row>
        <row r="82">
          <cell r="B82">
            <v>7515</v>
          </cell>
          <cell r="C82" t="str">
            <v>递延所得税资产减少（增加以“－”号填列）</v>
          </cell>
          <cell r="D82">
            <v>0</v>
          </cell>
          <cell r="E82">
            <v>-10771799.93</v>
          </cell>
          <cell r="F82">
            <v>-7971090.46</v>
          </cell>
        </row>
        <row r="83">
          <cell r="B83">
            <v>7516</v>
          </cell>
          <cell r="C83" t="str">
            <v>递延所得税负债增加（减少以“－”号填列）</v>
          </cell>
          <cell r="D83">
            <v>0</v>
          </cell>
          <cell r="E83">
            <v>0</v>
          </cell>
          <cell r="F83">
            <v>0</v>
          </cell>
        </row>
        <row r="84">
          <cell r="B84">
            <v>7517</v>
          </cell>
          <cell r="C84" t="str">
            <v>存货的减少（增加以“－”号填列）</v>
          </cell>
          <cell r="D84">
            <v>0</v>
          </cell>
          <cell r="E84">
            <v>-24247637.379999999</v>
          </cell>
          <cell r="F84">
            <v>-104371845.54000001</v>
          </cell>
        </row>
        <row r="85">
          <cell r="B85">
            <v>7518</v>
          </cell>
          <cell r="C85" t="str">
            <v>经营性应收项目的减少（增加以“－”号填列）</v>
          </cell>
          <cell r="D85">
            <v>0</v>
          </cell>
          <cell r="E85">
            <v>-340601311.18000001</v>
          </cell>
          <cell r="F85">
            <v>-318103543.29000002</v>
          </cell>
        </row>
        <row r="86">
          <cell r="B86">
            <v>7519</v>
          </cell>
          <cell r="C86" t="str">
            <v>经营性应付项目的增加（减少以“－”号填列）</v>
          </cell>
          <cell r="D86">
            <v>0</v>
          </cell>
          <cell r="E86">
            <v>375131177.57999998</v>
          </cell>
          <cell r="F86">
            <v>295814376.43000001</v>
          </cell>
        </row>
        <row r="87">
          <cell r="B87">
            <v>7523</v>
          </cell>
          <cell r="C87" t="str">
            <v>其他</v>
          </cell>
          <cell r="D87">
            <v>0</v>
          </cell>
          <cell r="E87">
            <v>-291000</v>
          </cell>
          <cell r="F87">
            <v>-291000</v>
          </cell>
        </row>
        <row r="88">
          <cell r="B88">
            <v>7525</v>
          </cell>
          <cell r="C88" t="str">
            <v>经营活动产生的现金流量净额</v>
          </cell>
          <cell r="D88">
            <v>0</v>
          </cell>
          <cell r="E88">
            <v>222631368.43000001</v>
          </cell>
          <cell r="F88">
            <v>61990697.189999998</v>
          </cell>
        </row>
        <row r="89">
          <cell r="B89">
            <v>7526</v>
          </cell>
          <cell r="C89" t="str">
            <v>2.不涉及现金收支的重大投资和筹资活动：</v>
          </cell>
          <cell r="D89">
            <v>0</v>
          </cell>
          <cell r="E89">
            <v>0</v>
          </cell>
          <cell r="F89">
            <v>0</v>
          </cell>
        </row>
        <row r="90">
          <cell r="B90">
            <v>7527</v>
          </cell>
          <cell r="C90" t="str">
            <v>债务转为资本</v>
          </cell>
          <cell r="D90">
            <v>0</v>
          </cell>
          <cell r="E90">
            <v>0</v>
          </cell>
          <cell r="F90">
            <v>0</v>
          </cell>
        </row>
        <row r="91">
          <cell r="B91">
            <v>7528</v>
          </cell>
          <cell r="C91" t="str">
            <v>一年内到期的可转换公司债券</v>
          </cell>
          <cell r="D91">
            <v>0</v>
          </cell>
          <cell r="E91">
            <v>0</v>
          </cell>
          <cell r="F91">
            <v>0</v>
          </cell>
        </row>
        <row r="92">
          <cell r="B92">
            <v>7529</v>
          </cell>
          <cell r="C92" t="str">
            <v>融资租入固定资产</v>
          </cell>
          <cell r="D92">
            <v>0</v>
          </cell>
          <cell r="E92">
            <v>0</v>
          </cell>
          <cell r="F92">
            <v>0</v>
          </cell>
        </row>
        <row r="93">
          <cell r="B93">
            <v>7533</v>
          </cell>
          <cell r="C93" t="str">
            <v>3.现金及现金等价物净变动情况：</v>
          </cell>
          <cell r="D93">
            <v>0</v>
          </cell>
          <cell r="E93">
            <v>0</v>
          </cell>
          <cell r="F93">
            <v>0</v>
          </cell>
        </row>
        <row r="94">
          <cell r="B94">
            <v>7535</v>
          </cell>
          <cell r="C94" t="str">
            <v>现金的期末余额</v>
          </cell>
          <cell r="D94">
            <v>0</v>
          </cell>
          <cell r="E94">
            <v>540447816.23000002</v>
          </cell>
          <cell r="F94">
            <v>432495654.86000001</v>
          </cell>
        </row>
        <row r="95">
          <cell r="B95">
            <v>7536</v>
          </cell>
          <cell r="C95" t="str">
            <v>减：现金的年初余额</v>
          </cell>
          <cell r="D95">
            <v>0</v>
          </cell>
          <cell r="E95">
            <v>432495654.86000001</v>
          </cell>
          <cell r="F95">
            <v>551130757.04999995</v>
          </cell>
        </row>
        <row r="96">
          <cell r="B96">
            <v>7537</v>
          </cell>
          <cell r="C96" t="str">
            <v>加：现金等价物的期末余额</v>
          </cell>
          <cell r="D96">
            <v>0</v>
          </cell>
          <cell r="E96">
            <v>0</v>
          </cell>
          <cell r="F96">
            <v>0</v>
          </cell>
        </row>
        <row r="97">
          <cell r="B97">
            <v>7538</v>
          </cell>
          <cell r="C97" t="str">
            <v>减：现金等价物的年初余额</v>
          </cell>
          <cell r="D97">
            <v>0</v>
          </cell>
          <cell r="E97">
            <v>0</v>
          </cell>
          <cell r="F97">
            <v>0</v>
          </cell>
        </row>
        <row r="98">
          <cell r="B98">
            <v>7539</v>
          </cell>
          <cell r="C98" t="str">
            <v>现金及现金等价物净增加额</v>
          </cell>
          <cell r="D98">
            <v>0</v>
          </cell>
          <cell r="E98">
            <v>107952161.37</v>
          </cell>
          <cell r="F98">
            <v>-118635102.19</v>
          </cell>
        </row>
      </sheetData>
      <sheetData sheetId="30">
        <row r="7">
          <cell r="D7">
            <v>242317753.47999999</v>
          </cell>
        </row>
      </sheetData>
      <sheetData sheetId="31"/>
      <sheetData sheetId="32"/>
      <sheetData sheetId="33">
        <row r="170">
          <cell r="J170">
            <v>0</v>
          </cell>
        </row>
      </sheetData>
      <sheetData sheetId="34"/>
      <sheetData sheetId="35">
        <row r="34">
          <cell r="E34">
            <v>100000</v>
          </cell>
        </row>
      </sheetData>
      <sheetData sheetId="36"/>
      <sheetData sheetId="37"/>
      <sheetData sheetId="38">
        <row r="2">
          <cell r="B2">
            <v>0</v>
          </cell>
          <cell r="C2">
            <v>0</v>
          </cell>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row>
        <row r="4">
          <cell r="B4">
            <v>0</v>
          </cell>
          <cell r="C4" t="str">
            <v xml:space="preserve">2016年度 </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t="str">
            <v>会企04表</v>
          </cell>
        </row>
        <row r="5">
          <cell r="B5">
            <v>0</v>
          </cell>
          <cell r="C5" t="str">
            <v>编制单位：中设设计集团股份有限 公司</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t="str">
            <v>单位：元   币种：人民币</v>
          </cell>
          <cell r="AB5">
            <v>0</v>
          </cell>
          <cell r="AC5">
            <v>0</v>
          </cell>
          <cell r="AD5">
            <v>0</v>
          </cell>
          <cell r="AE5">
            <v>0</v>
          </cell>
        </row>
        <row r="6">
          <cell r="B6">
            <v>0</v>
          </cell>
          <cell r="C6">
            <v>0</v>
          </cell>
          <cell r="D6" t="str">
            <v>本期金额</v>
          </cell>
          <cell r="E6">
            <v>0</v>
          </cell>
          <cell r="F6">
            <v>0</v>
          </cell>
          <cell r="G6">
            <v>0</v>
          </cell>
          <cell r="H6">
            <v>0</v>
          </cell>
          <cell r="I6">
            <v>0</v>
          </cell>
          <cell r="J6">
            <v>0</v>
          </cell>
          <cell r="K6">
            <v>0</v>
          </cell>
          <cell r="L6">
            <v>0</v>
          </cell>
          <cell r="M6">
            <v>0</v>
          </cell>
          <cell r="N6">
            <v>0</v>
          </cell>
          <cell r="O6">
            <v>0</v>
          </cell>
          <cell r="P6">
            <v>0</v>
          </cell>
          <cell r="Q6">
            <v>0</v>
          </cell>
          <cell r="R6" t="str">
            <v>上年同期金额</v>
          </cell>
          <cell r="S6">
            <v>0</v>
          </cell>
          <cell r="T6">
            <v>0</v>
          </cell>
          <cell r="U6">
            <v>0</v>
          </cell>
          <cell r="V6">
            <v>0</v>
          </cell>
          <cell r="W6">
            <v>0</v>
          </cell>
          <cell r="X6">
            <v>0</v>
          </cell>
          <cell r="Y6">
            <v>0</v>
          </cell>
          <cell r="Z6">
            <v>0</v>
          </cell>
          <cell r="AA6">
            <v>0</v>
          </cell>
          <cell r="AB6">
            <v>0</v>
          </cell>
          <cell r="AC6">
            <v>0</v>
          </cell>
          <cell r="AD6">
            <v>0</v>
          </cell>
          <cell r="AE6">
            <v>0</v>
          </cell>
        </row>
        <row r="7">
          <cell r="B7">
            <v>0</v>
          </cell>
          <cell r="C7">
            <v>0</v>
          </cell>
          <cell r="D7" t="str">
            <v>归属于母公司所有者权益</v>
          </cell>
          <cell r="E7">
            <v>0</v>
          </cell>
          <cell r="F7">
            <v>0</v>
          </cell>
          <cell r="G7">
            <v>0</v>
          </cell>
          <cell r="H7">
            <v>0</v>
          </cell>
          <cell r="I7">
            <v>0</v>
          </cell>
          <cell r="J7">
            <v>0</v>
          </cell>
          <cell r="K7">
            <v>0</v>
          </cell>
          <cell r="L7">
            <v>0</v>
          </cell>
          <cell r="M7">
            <v>0</v>
          </cell>
          <cell r="N7">
            <v>0</v>
          </cell>
          <cell r="O7">
            <v>0</v>
          </cell>
          <cell r="P7">
            <v>0</v>
          </cell>
          <cell r="Q7">
            <v>0</v>
          </cell>
          <cell r="R7" t="str">
            <v>归属于母公司所有者权益</v>
          </cell>
          <cell r="S7">
            <v>0</v>
          </cell>
          <cell r="T7">
            <v>0</v>
          </cell>
          <cell r="U7">
            <v>0</v>
          </cell>
          <cell r="V7">
            <v>0</v>
          </cell>
          <cell r="W7">
            <v>0</v>
          </cell>
          <cell r="X7">
            <v>0</v>
          </cell>
          <cell r="Y7">
            <v>0</v>
          </cell>
          <cell r="Z7">
            <v>0</v>
          </cell>
          <cell r="AA7">
            <v>0</v>
          </cell>
          <cell r="AB7">
            <v>0</v>
          </cell>
          <cell r="AC7">
            <v>0</v>
          </cell>
          <cell r="AD7">
            <v>0</v>
          </cell>
          <cell r="AE7">
            <v>0</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104000000</v>
          </cell>
          <cell r="E9">
            <v>0</v>
          </cell>
          <cell r="F9">
            <v>0</v>
          </cell>
          <cell r="G9">
            <v>0</v>
          </cell>
          <cell r="H9">
            <v>932973955</v>
          </cell>
          <cell r="I9">
            <v>0</v>
          </cell>
          <cell r="J9">
            <v>0</v>
          </cell>
          <cell r="K9">
            <v>0</v>
          </cell>
          <cell r="L9">
            <v>52000000</v>
          </cell>
          <cell r="M9">
            <v>0</v>
          </cell>
          <cell r="N9">
            <v>575776808.08000004</v>
          </cell>
          <cell r="O9">
            <v>0</v>
          </cell>
          <cell r="P9">
            <v>0</v>
          </cell>
          <cell r="Q9">
            <v>1664750763.0799999</v>
          </cell>
          <cell r="R9">
            <v>104000000</v>
          </cell>
          <cell r="S9">
            <v>0</v>
          </cell>
          <cell r="T9">
            <v>0</v>
          </cell>
          <cell r="U9">
            <v>0</v>
          </cell>
          <cell r="V9">
            <v>932973955</v>
          </cell>
          <cell r="W9">
            <v>0</v>
          </cell>
          <cell r="X9">
            <v>0</v>
          </cell>
          <cell r="Y9">
            <v>0</v>
          </cell>
          <cell r="Z9">
            <v>52000000</v>
          </cell>
          <cell r="AA9">
            <v>0</v>
          </cell>
          <cell r="AB9">
            <v>478754966.12</v>
          </cell>
          <cell r="AC9">
            <v>0</v>
          </cell>
          <cell r="AD9">
            <v>0</v>
          </cell>
          <cell r="AE9">
            <v>1567728921.1199999</v>
          </cell>
        </row>
        <row r="10">
          <cell r="B10" t="str">
            <v>02</v>
          </cell>
          <cell r="C10" t="str">
            <v>加：会计政策变更</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D11">
            <v>0</v>
          </cell>
          <cell r="E11">
            <v>0</v>
          </cell>
          <cell r="F11">
            <v>0</v>
          </cell>
          <cell r="G11">
            <v>0</v>
          </cell>
          <cell r="H11">
            <v>0</v>
          </cell>
          <cell r="I11">
            <v>0</v>
          </cell>
          <cell r="J11">
            <v>0</v>
          </cell>
          <cell r="K11">
            <v>0</v>
          </cell>
          <cell r="L11">
            <v>0</v>
          </cell>
          <cell r="M11">
            <v>0</v>
          </cell>
          <cell r="N11">
            <v>-5113929.4000000004</v>
          </cell>
          <cell r="O11">
            <v>0</v>
          </cell>
          <cell r="P11">
            <v>0</v>
          </cell>
          <cell r="Q11">
            <v>-5113929.4000000004</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104000000</v>
          </cell>
          <cell r="E14">
            <v>0</v>
          </cell>
          <cell r="F14">
            <v>0</v>
          </cell>
          <cell r="G14">
            <v>0</v>
          </cell>
          <cell r="H14">
            <v>932973955</v>
          </cell>
          <cell r="I14">
            <v>0</v>
          </cell>
          <cell r="J14">
            <v>0</v>
          </cell>
          <cell r="K14">
            <v>0</v>
          </cell>
          <cell r="L14">
            <v>52000000</v>
          </cell>
          <cell r="M14">
            <v>0</v>
          </cell>
          <cell r="N14">
            <v>570662878.67999995</v>
          </cell>
          <cell r="O14">
            <v>0</v>
          </cell>
          <cell r="P14">
            <v>0</v>
          </cell>
          <cell r="Q14">
            <v>1659636833.6800001</v>
          </cell>
          <cell r="R14">
            <v>104000000</v>
          </cell>
          <cell r="S14">
            <v>0</v>
          </cell>
          <cell r="T14">
            <v>0</v>
          </cell>
          <cell r="U14">
            <v>0</v>
          </cell>
          <cell r="V14">
            <v>932973955</v>
          </cell>
          <cell r="W14">
            <v>0</v>
          </cell>
          <cell r="X14">
            <v>0</v>
          </cell>
          <cell r="Y14">
            <v>0</v>
          </cell>
          <cell r="Z14">
            <v>52000000</v>
          </cell>
          <cell r="AA14">
            <v>0</v>
          </cell>
          <cell r="AB14">
            <v>478754966.12</v>
          </cell>
          <cell r="AC14">
            <v>0</v>
          </cell>
          <cell r="AD14">
            <v>0</v>
          </cell>
          <cell r="AE14">
            <v>1567728921.1199999</v>
          </cell>
        </row>
        <row r="15">
          <cell r="B15" t="str">
            <v>90</v>
          </cell>
          <cell r="C15" t="str">
            <v>三、本年增减变动金额（减少以“－”号填列）</v>
          </cell>
          <cell r="D15">
            <v>104000000</v>
          </cell>
          <cell r="E15">
            <v>0</v>
          </cell>
          <cell r="F15">
            <v>0</v>
          </cell>
          <cell r="G15">
            <v>0</v>
          </cell>
          <cell r="H15">
            <v>-104000000</v>
          </cell>
          <cell r="I15">
            <v>0</v>
          </cell>
          <cell r="J15">
            <v>0</v>
          </cell>
          <cell r="K15">
            <v>0</v>
          </cell>
          <cell r="L15">
            <v>0</v>
          </cell>
          <cell r="M15">
            <v>0</v>
          </cell>
          <cell r="N15">
            <v>97252701.230000004</v>
          </cell>
          <cell r="O15">
            <v>0</v>
          </cell>
          <cell r="P15">
            <v>0</v>
          </cell>
          <cell r="Q15">
            <v>97252701.230000004</v>
          </cell>
          <cell r="R15">
            <v>0</v>
          </cell>
          <cell r="S15">
            <v>0</v>
          </cell>
          <cell r="T15">
            <v>0</v>
          </cell>
          <cell r="U15">
            <v>0</v>
          </cell>
          <cell r="V15">
            <v>0</v>
          </cell>
          <cell r="W15">
            <v>0</v>
          </cell>
          <cell r="X15">
            <v>0</v>
          </cell>
          <cell r="Y15">
            <v>0</v>
          </cell>
          <cell r="Z15">
            <v>0</v>
          </cell>
          <cell r="AA15">
            <v>0</v>
          </cell>
          <cell r="AB15">
            <v>97021841.959999993</v>
          </cell>
          <cell r="AC15">
            <v>0</v>
          </cell>
          <cell r="AD15">
            <v>0</v>
          </cell>
          <cell r="AE15">
            <v>97021841.959999993</v>
          </cell>
        </row>
        <row r="16">
          <cell r="B16" t="str">
            <v>21</v>
          </cell>
          <cell r="C16" t="str">
            <v>（一）净利润</v>
          </cell>
          <cell r="D16">
            <v>0</v>
          </cell>
          <cell r="E16">
            <v>0</v>
          </cell>
          <cell r="F16">
            <v>0</v>
          </cell>
          <cell r="G16">
            <v>0</v>
          </cell>
          <cell r="H16">
            <v>0</v>
          </cell>
          <cell r="I16">
            <v>0</v>
          </cell>
          <cell r="J16">
            <v>0</v>
          </cell>
          <cell r="K16">
            <v>0</v>
          </cell>
          <cell r="L16">
            <v>0</v>
          </cell>
          <cell r="M16">
            <v>0</v>
          </cell>
          <cell r="N16">
            <v>149252701.22999999</v>
          </cell>
          <cell r="O16">
            <v>0</v>
          </cell>
          <cell r="P16">
            <v>0</v>
          </cell>
          <cell r="Q16">
            <v>149252701.22999999</v>
          </cell>
          <cell r="R16">
            <v>0</v>
          </cell>
          <cell r="S16">
            <v>0</v>
          </cell>
          <cell r="T16">
            <v>0</v>
          </cell>
          <cell r="U16">
            <v>0</v>
          </cell>
          <cell r="V16">
            <v>0</v>
          </cell>
          <cell r="W16">
            <v>0</v>
          </cell>
          <cell r="X16">
            <v>0</v>
          </cell>
          <cell r="Y16">
            <v>0</v>
          </cell>
          <cell r="Z16">
            <v>0</v>
          </cell>
          <cell r="AA16">
            <v>0</v>
          </cell>
          <cell r="AB16">
            <v>133421841.95999999</v>
          </cell>
          <cell r="AC16">
            <v>0</v>
          </cell>
          <cell r="AD16">
            <v>0</v>
          </cell>
          <cell r="AE16">
            <v>133421841.95999999</v>
          </cell>
        </row>
        <row r="17">
          <cell r="B17" t="str">
            <v>30</v>
          </cell>
          <cell r="C17" t="str">
            <v>（二）其他综合收益</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D18">
            <v>0</v>
          </cell>
          <cell r="E18">
            <v>0</v>
          </cell>
          <cell r="F18">
            <v>0</v>
          </cell>
          <cell r="G18">
            <v>0</v>
          </cell>
          <cell r="H18">
            <v>0</v>
          </cell>
          <cell r="I18">
            <v>0</v>
          </cell>
          <cell r="J18">
            <v>0</v>
          </cell>
          <cell r="K18">
            <v>0</v>
          </cell>
          <cell r="L18">
            <v>0</v>
          </cell>
          <cell r="M18">
            <v>0</v>
          </cell>
          <cell r="N18">
            <v>149252701.22999999</v>
          </cell>
          <cell r="O18">
            <v>0</v>
          </cell>
          <cell r="P18">
            <v>0</v>
          </cell>
          <cell r="Q18">
            <v>149252701.22999999</v>
          </cell>
          <cell r="R18">
            <v>0</v>
          </cell>
          <cell r="S18">
            <v>0</v>
          </cell>
          <cell r="T18">
            <v>0</v>
          </cell>
          <cell r="U18">
            <v>0</v>
          </cell>
          <cell r="V18">
            <v>0</v>
          </cell>
          <cell r="W18">
            <v>0</v>
          </cell>
          <cell r="X18">
            <v>0</v>
          </cell>
          <cell r="Y18">
            <v>0</v>
          </cell>
          <cell r="Z18">
            <v>0</v>
          </cell>
          <cell r="AA18">
            <v>0</v>
          </cell>
          <cell r="AB18">
            <v>133421841.95999999</v>
          </cell>
          <cell r="AC18">
            <v>0</v>
          </cell>
          <cell r="AD18">
            <v>0</v>
          </cell>
          <cell r="AE18">
            <v>133421841.95999999</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row>
        <row r="20">
          <cell r="B20" t="str">
            <v>51</v>
          </cell>
          <cell r="C20" t="str">
            <v>1．股东投入的普通股</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row r="21">
          <cell r="B21" t="str">
            <v>53</v>
          </cell>
          <cell r="C21" t="str">
            <v>2．其他权益工具持有者投入资本</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row>
        <row r="23">
          <cell r="B23" t="str">
            <v>56</v>
          </cell>
          <cell r="C23" t="str">
            <v>4．其他</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-52000000</v>
          </cell>
          <cell r="O24">
            <v>0</v>
          </cell>
          <cell r="P24">
            <v>0</v>
          </cell>
          <cell r="Q24">
            <v>-52000000</v>
          </cell>
          <cell r="R24">
            <v>0</v>
          </cell>
          <cell r="S24">
            <v>0</v>
          </cell>
          <cell r="T24">
            <v>0</v>
          </cell>
          <cell r="U24">
            <v>0</v>
          </cell>
          <cell r="V24">
            <v>0</v>
          </cell>
          <cell r="W24">
            <v>0</v>
          </cell>
          <cell r="X24">
            <v>0</v>
          </cell>
          <cell r="Y24">
            <v>0</v>
          </cell>
          <cell r="Z24">
            <v>0</v>
          </cell>
          <cell r="AA24">
            <v>0</v>
          </cell>
          <cell r="AB24">
            <v>-36400000</v>
          </cell>
          <cell r="AC24">
            <v>0</v>
          </cell>
          <cell r="AD24">
            <v>0</v>
          </cell>
          <cell r="AE24">
            <v>-36400000</v>
          </cell>
        </row>
        <row r="25">
          <cell r="B25" t="str">
            <v>61</v>
          </cell>
          <cell r="C25" t="str">
            <v>1．提取盈余公积</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row>
        <row r="26">
          <cell r="B26" t="str">
            <v>62</v>
          </cell>
          <cell r="C26" t="str">
            <v>2．提取一般风险准备</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2．对股东（或所有者）的分配</v>
          </cell>
          <cell r="D27">
            <v>0</v>
          </cell>
          <cell r="E27">
            <v>0</v>
          </cell>
          <cell r="F27">
            <v>0</v>
          </cell>
          <cell r="G27">
            <v>0</v>
          </cell>
          <cell r="H27">
            <v>0</v>
          </cell>
          <cell r="I27">
            <v>0</v>
          </cell>
          <cell r="J27">
            <v>0</v>
          </cell>
          <cell r="K27">
            <v>0</v>
          </cell>
          <cell r="L27">
            <v>0</v>
          </cell>
          <cell r="M27">
            <v>0</v>
          </cell>
          <cell r="N27">
            <v>-52000000</v>
          </cell>
          <cell r="O27">
            <v>0</v>
          </cell>
          <cell r="P27">
            <v>0</v>
          </cell>
          <cell r="Q27">
            <v>-52000000</v>
          </cell>
          <cell r="R27">
            <v>0</v>
          </cell>
          <cell r="S27">
            <v>0</v>
          </cell>
          <cell r="T27">
            <v>0</v>
          </cell>
          <cell r="U27">
            <v>0</v>
          </cell>
          <cell r="V27">
            <v>0</v>
          </cell>
          <cell r="W27">
            <v>0</v>
          </cell>
          <cell r="X27">
            <v>0</v>
          </cell>
          <cell r="Y27">
            <v>0</v>
          </cell>
          <cell r="Z27">
            <v>0</v>
          </cell>
          <cell r="AA27">
            <v>0</v>
          </cell>
          <cell r="AB27">
            <v>-36400000</v>
          </cell>
          <cell r="AC27">
            <v>0</v>
          </cell>
          <cell r="AD27">
            <v>0</v>
          </cell>
          <cell r="AE27">
            <v>-36400000</v>
          </cell>
        </row>
        <row r="28">
          <cell r="B28" t="str">
            <v>66</v>
          </cell>
          <cell r="C28" t="str">
            <v>3．其他</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104000000</v>
          </cell>
          <cell r="E29">
            <v>0</v>
          </cell>
          <cell r="F29">
            <v>0</v>
          </cell>
          <cell r="G29">
            <v>0</v>
          </cell>
          <cell r="H29">
            <v>-104000000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D30">
            <v>104000000</v>
          </cell>
          <cell r="E30">
            <v>0</v>
          </cell>
          <cell r="F30">
            <v>0</v>
          </cell>
          <cell r="G30">
            <v>0</v>
          </cell>
          <cell r="H30">
            <v>-104000000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4．结转重新计量设定受益计划净负债或净资产所产生的变动</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row>
        <row r="36">
          <cell r="B36" t="str">
            <v>81</v>
          </cell>
          <cell r="C36" t="str">
            <v>1．本期提取</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row>
        <row r="37">
          <cell r="B37" t="str">
            <v>82</v>
          </cell>
          <cell r="C37" t="str">
            <v>2．本期使用（以负号填列）</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208000000</v>
          </cell>
          <cell r="E39">
            <v>0</v>
          </cell>
          <cell r="F39">
            <v>0</v>
          </cell>
          <cell r="G39">
            <v>0</v>
          </cell>
          <cell r="H39">
            <v>828973955</v>
          </cell>
          <cell r="I39">
            <v>0</v>
          </cell>
          <cell r="J39">
            <v>0</v>
          </cell>
          <cell r="K39">
            <v>0</v>
          </cell>
          <cell r="L39">
            <v>52000000</v>
          </cell>
          <cell r="M39">
            <v>0</v>
          </cell>
          <cell r="N39">
            <v>667915579.90999997</v>
          </cell>
          <cell r="O39">
            <v>0</v>
          </cell>
          <cell r="P39">
            <v>0</v>
          </cell>
          <cell r="Q39">
            <v>1756889534.9100001</v>
          </cell>
          <cell r="R39">
            <v>104000000</v>
          </cell>
          <cell r="S39">
            <v>0</v>
          </cell>
          <cell r="T39">
            <v>0</v>
          </cell>
          <cell r="U39">
            <v>0</v>
          </cell>
          <cell r="V39">
            <v>932973955</v>
          </cell>
          <cell r="W39">
            <v>0</v>
          </cell>
          <cell r="X39">
            <v>0</v>
          </cell>
          <cell r="Y39">
            <v>0</v>
          </cell>
          <cell r="Z39">
            <v>52000000</v>
          </cell>
          <cell r="AA39">
            <v>0</v>
          </cell>
          <cell r="AB39">
            <v>575776808.08000004</v>
          </cell>
          <cell r="AC39">
            <v>0</v>
          </cell>
          <cell r="AD39">
            <v>0</v>
          </cell>
          <cell r="AE39">
            <v>1664750763.0799999</v>
          </cell>
        </row>
      </sheetData>
      <sheetData sheetId="39">
        <row r="6">
          <cell r="D6">
            <v>0</v>
          </cell>
          <cell r="E6">
            <v>0</v>
          </cell>
          <cell r="F6" t="str">
            <v>本期</v>
          </cell>
          <cell r="G6" t="str">
            <v>本期</v>
          </cell>
          <cell r="H6" t="str">
            <v>本期</v>
          </cell>
          <cell r="I6" t="str">
            <v>本期</v>
          </cell>
          <cell r="J6" t="str">
            <v>上期</v>
          </cell>
          <cell r="K6" t="str">
            <v>上期</v>
          </cell>
          <cell r="L6" t="str">
            <v>上期</v>
          </cell>
          <cell r="M6" t="str">
            <v>上期</v>
          </cell>
        </row>
        <row r="7">
          <cell r="D7">
            <v>0</v>
          </cell>
          <cell r="E7">
            <v>0</v>
          </cell>
          <cell r="F7" t="str">
            <v>本期</v>
          </cell>
          <cell r="G7">
            <v>0</v>
          </cell>
          <cell r="H7">
            <v>0</v>
          </cell>
          <cell r="I7">
            <v>0</v>
          </cell>
          <cell r="J7" t="str">
            <v>上期</v>
          </cell>
          <cell r="K7">
            <v>0</v>
          </cell>
          <cell r="L7">
            <v>0</v>
          </cell>
          <cell r="M7">
            <v>0</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row>
        <row r="9">
          <cell r="D9">
            <v>1</v>
          </cell>
          <cell r="E9" t="str">
            <v>资产负债表</v>
          </cell>
          <cell r="F9">
            <v>0</v>
          </cell>
          <cell r="G9">
            <v>0</v>
          </cell>
          <cell r="H9">
            <v>0</v>
          </cell>
          <cell r="I9">
            <v>0</v>
          </cell>
          <cell r="J9">
            <v>0</v>
          </cell>
          <cell r="K9">
            <v>0</v>
          </cell>
          <cell r="L9">
            <v>0</v>
          </cell>
          <cell r="M9">
            <v>0</v>
          </cell>
        </row>
        <row r="10">
          <cell r="D10">
            <v>1000</v>
          </cell>
          <cell r="E10" t="str">
            <v>流动资产项目</v>
          </cell>
          <cell r="F10">
            <v>0</v>
          </cell>
          <cell r="G10">
            <v>0</v>
          </cell>
          <cell r="H10">
            <v>0</v>
          </cell>
          <cell r="I10">
            <v>0</v>
          </cell>
          <cell r="J10">
            <v>0</v>
          </cell>
          <cell r="K10">
            <v>0</v>
          </cell>
          <cell r="L10">
            <v>0</v>
          </cell>
          <cell r="M10">
            <v>0</v>
          </cell>
        </row>
        <row r="11">
          <cell r="D11">
            <v>1015</v>
          </cell>
          <cell r="E11" t="str">
            <v>货币资金</v>
          </cell>
          <cell r="F11">
            <v>541473634.77999997</v>
          </cell>
          <cell r="G11">
            <v>0</v>
          </cell>
          <cell r="H11">
            <v>0</v>
          </cell>
          <cell r="I11">
            <v>541473634.77999997</v>
          </cell>
          <cell r="J11">
            <v>436146264.87</v>
          </cell>
          <cell r="K11">
            <v>0</v>
          </cell>
          <cell r="L11">
            <v>0</v>
          </cell>
          <cell r="M11">
            <v>436146264.87</v>
          </cell>
        </row>
        <row r="12">
          <cell r="D12">
            <v>1021</v>
          </cell>
          <cell r="E12" t="str">
            <v>结算备付金</v>
          </cell>
          <cell r="F12">
            <v>0</v>
          </cell>
          <cell r="G12">
            <v>0</v>
          </cell>
          <cell r="H12">
            <v>0</v>
          </cell>
          <cell r="I12">
            <v>0</v>
          </cell>
          <cell r="J12">
            <v>0</v>
          </cell>
          <cell r="K12">
            <v>0</v>
          </cell>
          <cell r="L12">
            <v>0</v>
          </cell>
          <cell r="M12">
            <v>0</v>
          </cell>
        </row>
        <row r="13">
          <cell r="D13">
            <v>1302</v>
          </cell>
          <cell r="E13" t="str">
            <v>拆出资金</v>
          </cell>
          <cell r="F13">
            <v>0</v>
          </cell>
          <cell r="G13">
            <v>0</v>
          </cell>
          <cell r="H13">
            <v>0</v>
          </cell>
          <cell r="I13">
            <v>0</v>
          </cell>
          <cell r="J13">
            <v>0</v>
          </cell>
          <cell r="K13">
            <v>0</v>
          </cell>
          <cell r="L13">
            <v>0</v>
          </cell>
          <cell r="M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row>
        <row r="15">
          <cell r="D15">
            <v>1115</v>
          </cell>
          <cell r="E15" t="str">
            <v>衍生金融资产</v>
          </cell>
          <cell r="F15">
            <v>0</v>
          </cell>
          <cell r="G15">
            <v>0</v>
          </cell>
          <cell r="H15">
            <v>0</v>
          </cell>
          <cell r="I15">
            <v>0</v>
          </cell>
          <cell r="J15">
            <v>0</v>
          </cell>
          <cell r="K15">
            <v>0</v>
          </cell>
          <cell r="L15">
            <v>0</v>
          </cell>
          <cell r="M15">
            <v>0</v>
          </cell>
        </row>
        <row r="16">
          <cell r="D16">
            <v>1121</v>
          </cell>
          <cell r="E16" t="str">
            <v>应收票据</v>
          </cell>
          <cell r="F16">
            <v>1561000</v>
          </cell>
          <cell r="G16">
            <v>0</v>
          </cell>
          <cell r="H16">
            <v>0</v>
          </cell>
          <cell r="I16">
            <v>1561000</v>
          </cell>
          <cell r="J16">
            <v>7460000</v>
          </cell>
          <cell r="K16">
            <v>0</v>
          </cell>
          <cell r="L16">
            <v>0</v>
          </cell>
          <cell r="M16">
            <v>7460000</v>
          </cell>
        </row>
        <row r="17">
          <cell r="D17">
            <v>1122</v>
          </cell>
          <cell r="E17" t="str">
            <v>应收账款</v>
          </cell>
          <cell r="F17">
            <v>1657130221.8699999</v>
          </cell>
          <cell r="G17">
            <v>25474851.789999999</v>
          </cell>
          <cell r="H17">
            <v>-157803.94</v>
          </cell>
          <cell r="I17">
            <v>1682762877.5999999</v>
          </cell>
          <cell r="J17">
            <v>1417746164.6400001</v>
          </cell>
          <cell r="K17">
            <v>0</v>
          </cell>
          <cell r="L17">
            <v>0</v>
          </cell>
          <cell r="M17">
            <v>1417746164.6400001</v>
          </cell>
        </row>
        <row r="18">
          <cell r="D18">
            <v>1125</v>
          </cell>
          <cell r="E18" t="str">
            <v>预付款项</v>
          </cell>
          <cell r="F18">
            <v>137506290.69999999</v>
          </cell>
          <cell r="G18">
            <v>-6568189.5999999996</v>
          </cell>
          <cell r="H18">
            <v>1685623.77</v>
          </cell>
          <cell r="I18">
            <v>129252477.33</v>
          </cell>
          <cell r="J18">
            <v>87411384.170000002</v>
          </cell>
          <cell r="K18">
            <v>0</v>
          </cell>
          <cell r="L18">
            <v>0</v>
          </cell>
          <cell r="M18">
            <v>87411384.170000002</v>
          </cell>
        </row>
        <row r="19">
          <cell r="D19">
            <v>1127</v>
          </cell>
          <cell r="E19" t="str">
            <v>应收保费</v>
          </cell>
          <cell r="F19">
            <v>0</v>
          </cell>
          <cell r="G19">
            <v>0</v>
          </cell>
          <cell r="H19">
            <v>0</v>
          </cell>
          <cell r="I19">
            <v>0</v>
          </cell>
          <cell r="J19">
            <v>0</v>
          </cell>
          <cell r="K19">
            <v>0</v>
          </cell>
          <cell r="L19">
            <v>0</v>
          </cell>
          <cell r="M19">
            <v>0</v>
          </cell>
        </row>
        <row r="20">
          <cell r="D20">
            <v>1211</v>
          </cell>
          <cell r="E20" t="str">
            <v>应收分保账款</v>
          </cell>
          <cell r="F20">
            <v>0</v>
          </cell>
          <cell r="G20">
            <v>0</v>
          </cell>
          <cell r="H20">
            <v>0</v>
          </cell>
          <cell r="I20">
            <v>0</v>
          </cell>
          <cell r="J20">
            <v>0</v>
          </cell>
          <cell r="K20">
            <v>0</v>
          </cell>
          <cell r="L20">
            <v>0</v>
          </cell>
          <cell r="M20">
            <v>0</v>
          </cell>
        </row>
        <row r="21">
          <cell r="D21">
            <v>1212</v>
          </cell>
          <cell r="E21" t="str">
            <v>应收分保合同准备金</v>
          </cell>
          <cell r="F21">
            <v>0</v>
          </cell>
          <cell r="G21">
            <v>0</v>
          </cell>
          <cell r="H21">
            <v>0</v>
          </cell>
          <cell r="I21">
            <v>0</v>
          </cell>
          <cell r="J21">
            <v>0</v>
          </cell>
          <cell r="K21">
            <v>0</v>
          </cell>
          <cell r="L21">
            <v>0</v>
          </cell>
          <cell r="M21">
            <v>0</v>
          </cell>
        </row>
        <row r="22">
          <cell r="D22">
            <v>1132</v>
          </cell>
          <cell r="E22" t="str">
            <v>应收利息</v>
          </cell>
          <cell r="F22">
            <v>0</v>
          </cell>
          <cell r="G22">
            <v>0</v>
          </cell>
          <cell r="H22">
            <v>0</v>
          </cell>
          <cell r="I22">
            <v>0</v>
          </cell>
          <cell r="J22">
            <v>0</v>
          </cell>
          <cell r="K22">
            <v>0</v>
          </cell>
          <cell r="L22">
            <v>0</v>
          </cell>
          <cell r="M22">
            <v>0</v>
          </cell>
        </row>
        <row r="23">
          <cell r="D23">
            <v>1131</v>
          </cell>
          <cell r="E23" t="str">
            <v>应收股利</v>
          </cell>
          <cell r="F23">
            <v>0</v>
          </cell>
          <cell r="G23">
            <v>0</v>
          </cell>
          <cell r="H23">
            <v>0</v>
          </cell>
          <cell r="I23">
            <v>0</v>
          </cell>
          <cell r="J23">
            <v>0</v>
          </cell>
          <cell r="K23">
            <v>0</v>
          </cell>
          <cell r="L23">
            <v>0</v>
          </cell>
          <cell r="M23">
            <v>0</v>
          </cell>
        </row>
        <row r="24">
          <cell r="D24">
            <v>1221</v>
          </cell>
          <cell r="E24" t="str">
            <v>其他应收款</v>
          </cell>
          <cell r="F24">
            <v>152311059.25</v>
          </cell>
          <cell r="G24">
            <v>-409618.69</v>
          </cell>
          <cell r="H24">
            <v>977050.32</v>
          </cell>
          <cell r="I24">
            <v>150924390.24000001</v>
          </cell>
          <cell r="J24">
            <v>193301834.74000001</v>
          </cell>
          <cell r="K24">
            <v>0</v>
          </cell>
          <cell r="L24">
            <v>0</v>
          </cell>
          <cell r="M24">
            <v>193301834.74000001</v>
          </cell>
        </row>
        <row r="25">
          <cell r="D25">
            <v>1111</v>
          </cell>
          <cell r="E25" t="str">
            <v>买入返售金融资产</v>
          </cell>
          <cell r="F25">
            <v>0</v>
          </cell>
          <cell r="G25">
            <v>0</v>
          </cell>
          <cell r="H25">
            <v>0</v>
          </cell>
          <cell r="I25">
            <v>0</v>
          </cell>
          <cell r="J25">
            <v>0</v>
          </cell>
          <cell r="K25">
            <v>0</v>
          </cell>
          <cell r="L25">
            <v>0</v>
          </cell>
          <cell r="M25">
            <v>0</v>
          </cell>
        </row>
        <row r="26">
          <cell r="D26">
            <v>1400</v>
          </cell>
          <cell r="E26" t="str">
            <v>存货</v>
          </cell>
          <cell r="F26">
            <v>364455409.25</v>
          </cell>
          <cell r="G26">
            <v>16365575.109999999</v>
          </cell>
          <cell r="H26">
            <v>11937337.42</v>
          </cell>
          <cell r="I26">
            <v>368883646.94</v>
          </cell>
          <cell r="J26">
            <v>357995476.5</v>
          </cell>
          <cell r="K26">
            <v>0</v>
          </cell>
          <cell r="L26">
            <v>0</v>
          </cell>
          <cell r="M26">
            <v>357995476.5</v>
          </cell>
        </row>
        <row r="27">
          <cell r="D27">
            <v>1315</v>
          </cell>
          <cell r="E27" t="str">
            <v>划分为持有待售的资产</v>
          </cell>
          <cell r="F27">
            <v>0</v>
          </cell>
          <cell r="G27">
            <v>0</v>
          </cell>
          <cell r="H27">
            <v>0</v>
          </cell>
          <cell r="I27">
            <v>0</v>
          </cell>
          <cell r="J27">
            <v>0</v>
          </cell>
          <cell r="K27">
            <v>0</v>
          </cell>
          <cell r="L27">
            <v>0</v>
          </cell>
          <cell r="M27">
            <v>0</v>
          </cell>
        </row>
        <row r="28">
          <cell r="D28">
            <v>1495</v>
          </cell>
          <cell r="E28" t="str">
            <v>一年内到期的非流动资产</v>
          </cell>
          <cell r="F28">
            <v>0</v>
          </cell>
          <cell r="G28">
            <v>0</v>
          </cell>
          <cell r="H28">
            <v>0</v>
          </cell>
          <cell r="I28">
            <v>0</v>
          </cell>
          <cell r="J28">
            <v>0</v>
          </cell>
          <cell r="K28">
            <v>0</v>
          </cell>
          <cell r="L28">
            <v>0</v>
          </cell>
          <cell r="M28">
            <v>0</v>
          </cell>
        </row>
        <row r="29">
          <cell r="D29">
            <v>1496</v>
          </cell>
          <cell r="E29" t="str">
            <v>其他流动资产</v>
          </cell>
          <cell r="F29">
            <v>0</v>
          </cell>
          <cell r="G29">
            <v>60000000</v>
          </cell>
          <cell r="H29">
            <v>0</v>
          </cell>
          <cell r="I29">
            <v>60000000</v>
          </cell>
          <cell r="J29">
            <v>170000000</v>
          </cell>
          <cell r="K29">
            <v>0</v>
          </cell>
          <cell r="L29">
            <v>0</v>
          </cell>
          <cell r="M29">
            <v>170000000</v>
          </cell>
        </row>
        <row r="30">
          <cell r="D30">
            <v>1498</v>
          </cell>
          <cell r="E30" t="str">
            <v>流动资产</v>
          </cell>
          <cell r="F30">
            <v>2854437615.8499999</v>
          </cell>
          <cell r="G30">
            <v>94862618.609999999</v>
          </cell>
          <cell r="H30">
            <v>14442207.57</v>
          </cell>
          <cell r="I30">
            <v>2934858026.8899999</v>
          </cell>
          <cell r="J30">
            <v>2670061124.9200001</v>
          </cell>
          <cell r="K30">
            <v>0</v>
          </cell>
          <cell r="L30">
            <v>0</v>
          </cell>
          <cell r="M30">
            <v>2670061124.9200001</v>
          </cell>
        </row>
        <row r="31">
          <cell r="D31">
            <v>1500</v>
          </cell>
          <cell r="E31" t="str">
            <v>非流动资产项目</v>
          </cell>
          <cell r="F31">
            <v>0</v>
          </cell>
          <cell r="G31">
            <v>0</v>
          </cell>
          <cell r="H31">
            <v>0</v>
          </cell>
          <cell r="I31">
            <v>0</v>
          </cell>
          <cell r="J31">
            <v>0</v>
          </cell>
          <cell r="K31">
            <v>0</v>
          </cell>
          <cell r="L31">
            <v>0</v>
          </cell>
          <cell r="M31">
            <v>0</v>
          </cell>
        </row>
        <row r="32">
          <cell r="D32">
            <v>1600</v>
          </cell>
          <cell r="E32" t="str">
            <v>发放委托贷款及垫款</v>
          </cell>
          <cell r="F32">
            <v>0</v>
          </cell>
          <cell r="G32">
            <v>0</v>
          </cell>
          <cell r="H32">
            <v>0</v>
          </cell>
          <cell r="I32">
            <v>0</v>
          </cell>
          <cell r="J32">
            <v>0</v>
          </cell>
          <cell r="K32">
            <v>0</v>
          </cell>
          <cell r="L32">
            <v>0</v>
          </cell>
          <cell r="M32">
            <v>0</v>
          </cell>
        </row>
        <row r="33">
          <cell r="D33">
            <v>1503</v>
          </cell>
          <cell r="E33" t="str">
            <v>可供出售金融资产</v>
          </cell>
          <cell r="F33">
            <v>83437000</v>
          </cell>
          <cell r="G33">
            <v>0</v>
          </cell>
          <cell r="H33">
            <v>60000000</v>
          </cell>
          <cell r="I33">
            <v>23437000</v>
          </cell>
          <cell r="J33">
            <v>27062000</v>
          </cell>
          <cell r="K33">
            <v>0</v>
          </cell>
          <cell r="L33">
            <v>0</v>
          </cell>
          <cell r="M33">
            <v>27062000</v>
          </cell>
        </row>
        <row r="34">
          <cell r="D34">
            <v>1501</v>
          </cell>
          <cell r="E34" t="str">
            <v>持有至到期投资</v>
          </cell>
          <cell r="F34">
            <v>0</v>
          </cell>
          <cell r="G34">
            <v>0</v>
          </cell>
          <cell r="H34">
            <v>0</v>
          </cell>
          <cell r="I34">
            <v>0</v>
          </cell>
          <cell r="J34">
            <v>0</v>
          </cell>
          <cell r="K34">
            <v>0</v>
          </cell>
          <cell r="L34">
            <v>0</v>
          </cell>
          <cell r="M34">
            <v>0</v>
          </cell>
        </row>
        <row r="35">
          <cell r="D35">
            <v>1531</v>
          </cell>
          <cell r="E35" t="str">
            <v>长期应收款</v>
          </cell>
          <cell r="F35">
            <v>0</v>
          </cell>
          <cell r="G35">
            <v>0</v>
          </cell>
          <cell r="H35">
            <v>0</v>
          </cell>
          <cell r="I35">
            <v>0</v>
          </cell>
          <cell r="J35">
            <v>0</v>
          </cell>
          <cell r="K35">
            <v>0</v>
          </cell>
          <cell r="L35">
            <v>0</v>
          </cell>
          <cell r="M35">
            <v>0</v>
          </cell>
        </row>
        <row r="36">
          <cell r="D36">
            <v>1515</v>
          </cell>
          <cell r="E36" t="str">
            <v>设定受益计划净资产</v>
          </cell>
          <cell r="F36">
            <v>0</v>
          </cell>
          <cell r="G36">
            <v>0</v>
          </cell>
          <cell r="H36">
            <v>0</v>
          </cell>
          <cell r="I36">
            <v>0</v>
          </cell>
          <cell r="J36">
            <v>0</v>
          </cell>
          <cell r="K36">
            <v>0</v>
          </cell>
          <cell r="L36">
            <v>0</v>
          </cell>
          <cell r="M36">
            <v>0</v>
          </cell>
        </row>
        <row r="37">
          <cell r="D37">
            <v>1511</v>
          </cell>
          <cell r="E37" t="str">
            <v>长期股权投资</v>
          </cell>
          <cell r="F37">
            <v>565211338.21000004</v>
          </cell>
          <cell r="G37">
            <v>0</v>
          </cell>
          <cell r="H37">
            <v>0</v>
          </cell>
          <cell r="I37">
            <v>565211338.21000004</v>
          </cell>
          <cell r="J37">
            <v>408638494.83999997</v>
          </cell>
          <cell r="K37">
            <v>0</v>
          </cell>
          <cell r="L37">
            <v>0</v>
          </cell>
          <cell r="M37">
            <v>408638494.83999997</v>
          </cell>
        </row>
        <row r="38">
          <cell r="D38">
            <v>1521</v>
          </cell>
          <cell r="E38" t="str">
            <v>投资性房地产</v>
          </cell>
          <cell r="F38">
            <v>29096738.66</v>
          </cell>
          <cell r="G38">
            <v>-107157.56</v>
          </cell>
          <cell r="H38">
            <v>-1836.99</v>
          </cell>
          <cell r="I38">
            <v>28991418.09</v>
          </cell>
          <cell r="J38">
            <v>30063963.07</v>
          </cell>
          <cell r="K38">
            <v>0</v>
          </cell>
          <cell r="L38">
            <v>0</v>
          </cell>
          <cell r="M38">
            <v>30063963.07</v>
          </cell>
        </row>
        <row r="39">
          <cell r="D39">
            <v>1601</v>
          </cell>
          <cell r="E39" t="str">
            <v>固定资产</v>
          </cell>
          <cell r="F39">
            <v>337948402.01999998</v>
          </cell>
          <cell r="G39">
            <v>0</v>
          </cell>
          <cell r="H39">
            <v>-7307.16</v>
          </cell>
          <cell r="I39">
            <v>337955709.18000001</v>
          </cell>
          <cell r="J39">
            <v>336538980.54000002</v>
          </cell>
          <cell r="K39">
            <v>0</v>
          </cell>
          <cell r="L39">
            <v>0</v>
          </cell>
          <cell r="M39">
            <v>336538980.54000002</v>
          </cell>
        </row>
        <row r="40">
          <cell r="D40">
            <v>1604</v>
          </cell>
          <cell r="E40" t="str">
            <v>在建工程</v>
          </cell>
          <cell r="F40">
            <v>0</v>
          </cell>
          <cell r="G40">
            <v>0</v>
          </cell>
          <cell r="H40">
            <v>0</v>
          </cell>
          <cell r="I40">
            <v>0</v>
          </cell>
          <cell r="J40">
            <v>0</v>
          </cell>
          <cell r="K40">
            <v>0</v>
          </cell>
          <cell r="L40">
            <v>0</v>
          </cell>
          <cell r="M40">
            <v>0</v>
          </cell>
        </row>
        <row r="41">
          <cell r="D41">
            <v>1605</v>
          </cell>
          <cell r="E41" t="str">
            <v>工程物资</v>
          </cell>
          <cell r="F41">
            <v>0</v>
          </cell>
          <cell r="G41">
            <v>0</v>
          </cell>
          <cell r="H41">
            <v>0</v>
          </cell>
          <cell r="I41">
            <v>0</v>
          </cell>
          <cell r="J41">
            <v>0</v>
          </cell>
          <cell r="K41">
            <v>0</v>
          </cell>
          <cell r="L41">
            <v>0</v>
          </cell>
          <cell r="M41">
            <v>0</v>
          </cell>
        </row>
        <row r="42">
          <cell r="D42">
            <v>1606</v>
          </cell>
          <cell r="E42" t="str">
            <v>固定资产清理</v>
          </cell>
          <cell r="F42">
            <v>0</v>
          </cell>
          <cell r="G42">
            <v>0</v>
          </cell>
          <cell r="H42">
            <v>0</v>
          </cell>
          <cell r="I42">
            <v>0</v>
          </cell>
          <cell r="J42">
            <v>0</v>
          </cell>
          <cell r="K42">
            <v>0</v>
          </cell>
          <cell r="L42">
            <v>0</v>
          </cell>
          <cell r="M42">
            <v>0</v>
          </cell>
        </row>
        <row r="43">
          <cell r="D43">
            <v>1621</v>
          </cell>
          <cell r="E43" t="str">
            <v>生产性生物资产</v>
          </cell>
          <cell r="F43">
            <v>0</v>
          </cell>
          <cell r="G43">
            <v>0</v>
          </cell>
          <cell r="H43">
            <v>0</v>
          </cell>
          <cell r="I43">
            <v>0</v>
          </cell>
          <cell r="J43">
            <v>0</v>
          </cell>
          <cell r="K43">
            <v>0</v>
          </cell>
          <cell r="L43">
            <v>0</v>
          </cell>
          <cell r="M43">
            <v>0</v>
          </cell>
        </row>
        <row r="44">
          <cell r="D44">
            <v>1631</v>
          </cell>
          <cell r="E44" t="str">
            <v>油气资产</v>
          </cell>
          <cell r="F44">
            <v>0</v>
          </cell>
          <cell r="G44">
            <v>0</v>
          </cell>
          <cell r="H44">
            <v>0</v>
          </cell>
          <cell r="I44">
            <v>0</v>
          </cell>
          <cell r="J44">
            <v>0</v>
          </cell>
          <cell r="K44">
            <v>0</v>
          </cell>
          <cell r="L44">
            <v>0</v>
          </cell>
          <cell r="M44">
            <v>0</v>
          </cell>
        </row>
        <row r="45">
          <cell r="D45">
            <v>1701</v>
          </cell>
          <cell r="E45" t="str">
            <v>无形资产</v>
          </cell>
          <cell r="F45">
            <v>51463305.420000002</v>
          </cell>
          <cell r="G45">
            <v>137774.04</v>
          </cell>
          <cell r="H45">
            <v>613422.68999999994</v>
          </cell>
          <cell r="I45">
            <v>50987656.770000003</v>
          </cell>
          <cell r="J45">
            <v>47679865.25</v>
          </cell>
          <cell r="K45">
            <v>0</v>
          </cell>
          <cell r="L45">
            <v>0</v>
          </cell>
          <cell r="M45">
            <v>47679865.25</v>
          </cell>
        </row>
        <row r="46">
          <cell r="D46">
            <v>1700</v>
          </cell>
          <cell r="E46" t="str">
            <v>开发支出</v>
          </cell>
          <cell r="F46">
            <v>0</v>
          </cell>
          <cell r="G46">
            <v>0</v>
          </cell>
          <cell r="H46">
            <v>0</v>
          </cell>
          <cell r="I46">
            <v>0</v>
          </cell>
          <cell r="J46">
            <v>0</v>
          </cell>
          <cell r="K46">
            <v>0</v>
          </cell>
          <cell r="L46">
            <v>0</v>
          </cell>
          <cell r="M46">
            <v>0</v>
          </cell>
        </row>
        <row r="47">
          <cell r="D47">
            <v>1711</v>
          </cell>
          <cell r="E47" t="str">
            <v>商誉</v>
          </cell>
          <cell r="F47">
            <v>0</v>
          </cell>
          <cell r="G47">
            <v>0</v>
          </cell>
          <cell r="H47">
            <v>0</v>
          </cell>
          <cell r="I47">
            <v>0</v>
          </cell>
          <cell r="J47">
            <v>0</v>
          </cell>
          <cell r="K47">
            <v>0</v>
          </cell>
          <cell r="L47">
            <v>0</v>
          </cell>
          <cell r="M47">
            <v>0</v>
          </cell>
        </row>
        <row r="48">
          <cell r="D48">
            <v>1801</v>
          </cell>
          <cell r="E48" t="str">
            <v>长期待摊费用</v>
          </cell>
          <cell r="F48">
            <v>1686405.48</v>
          </cell>
          <cell r="G48">
            <v>0</v>
          </cell>
          <cell r="H48">
            <v>0</v>
          </cell>
          <cell r="I48">
            <v>1686405.48</v>
          </cell>
          <cell r="J48">
            <v>857971</v>
          </cell>
          <cell r="K48">
            <v>0</v>
          </cell>
          <cell r="L48">
            <v>0</v>
          </cell>
          <cell r="M48">
            <v>857971</v>
          </cell>
        </row>
        <row r="49">
          <cell r="D49">
            <v>1811</v>
          </cell>
          <cell r="E49" t="str">
            <v>递延所得税资产</v>
          </cell>
          <cell r="F49">
            <v>48548595.420000002</v>
          </cell>
          <cell r="G49">
            <v>-31881.3</v>
          </cell>
          <cell r="H49">
            <v>0</v>
          </cell>
          <cell r="I49">
            <v>48516714.119999997</v>
          </cell>
          <cell r="J49">
            <v>37744914.189999998</v>
          </cell>
          <cell r="K49">
            <v>0</v>
          </cell>
          <cell r="L49">
            <v>0</v>
          </cell>
          <cell r="M49">
            <v>37744914.189999998</v>
          </cell>
        </row>
        <row r="50">
          <cell r="D50">
            <v>1996</v>
          </cell>
          <cell r="E50" t="str">
            <v>其他非流动资产</v>
          </cell>
          <cell r="F50">
            <v>0</v>
          </cell>
          <cell r="G50">
            <v>2233623.77</v>
          </cell>
          <cell r="H50">
            <v>0</v>
          </cell>
          <cell r="I50">
            <v>2233623.77</v>
          </cell>
          <cell r="J50">
            <v>0</v>
          </cell>
          <cell r="K50">
            <v>0</v>
          </cell>
          <cell r="L50">
            <v>0</v>
          </cell>
          <cell r="M50">
            <v>0</v>
          </cell>
        </row>
        <row r="51">
          <cell r="D51">
            <v>1998</v>
          </cell>
          <cell r="E51" t="str">
            <v>非流动资产</v>
          </cell>
          <cell r="F51">
            <v>1117391785.21</v>
          </cell>
          <cell r="G51">
            <v>2232358.9500000002</v>
          </cell>
          <cell r="H51">
            <v>60604278.539999999</v>
          </cell>
          <cell r="I51">
            <v>1059019865.62</v>
          </cell>
          <cell r="J51">
            <v>888586188.88999999</v>
          </cell>
          <cell r="K51">
            <v>0</v>
          </cell>
          <cell r="L51">
            <v>0</v>
          </cell>
          <cell r="M51">
            <v>888586188.88999999</v>
          </cell>
        </row>
        <row r="52">
          <cell r="D52">
            <v>1999</v>
          </cell>
          <cell r="E52" t="str">
            <v>资产</v>
          </cell>
          <cell r="F52">
            <v>3971829401.0599999</v>
          </cell>
          <cell r="G52">
            <v>97094977.560000002</v>
          </cell>
          <cell r="H52">
            <v>75046486.109999999</v>
          </cell>
          <cell r="I52">
            <v>3993877892.5100002</v>
          </cell>
          <cell r="J52">
            <v>3558647313.8099999</v>
          </cell>
          <cell r="K52">
            <v>0</v>
          </cell>
          <cell r="L52">
            <v>0</v>
          </cell>
          <cell r="M52">
            <v>3558647313.8099999</v>
          </cell>
        </row>
        <row r="53">
          <cell r="D53">
            <v>2000</v>
          </cell>
          <cell r="E53" t="str">
            <v>流动负债项目</v>
          </cell>
          <cell r="F53">
            <v>0</v>
          </cell>
          <cell r="G53">
            <v>0</v>
          </cell>
          <cell r="H53">
            <v>0</v>
          </cell>
          <cell r="I53">
            <v>0</v>
          </cell>
          <cell r="J53">
            <v>0</v>
          </cell>
          <cell r="K53">
            <v>0</v>
          </cell>
          <cell r="L53">
            <v>0</v>
          </cell>
          <cell r="M53">
            <v>0</v>
          </cell>
        </row>
        <row r="54">
          <cell r="D54">
            <v>2001</v>
          </cell>
          <cell r="E54" t="str">
            <v>短期借款</v>
          </cell>
          <cell r="F54">
            <v>200000000</v>
          </cell>
          <cell r="G54">
            <v>0</v>
          </cell>
          <cell r="H54">
            <v>0</v>
          </cell>
          <cell r="I54">
            <v>200000000</v>
          </cell>
          <cell r="J54">
            <v>195000000</v>
          </cell>
          <cell r="K54">
            <v>0</v>
          </cell>
          <cell r="L54">
            <v>0</v>
          </cell>
          <cell r="M54">
            <v>195000000</v>
          </cell>
        </row>
        <row r="55">
          <cell r="D55">
            <v>2004</v>
          </cell>
          <cell r="E55" t="str">
            <v>向中央银行借款</v>
          </cell>
          <cell r="F55">
            <v>0</v>
          </cell>
          <cell r="G55">
            <v>0</v>
          </cell>
          <cell r="H55">
            <v>0</v>
          </cell>
          <cell r="I55">
            <v>0</v>
          </cell>
          <cell r="J55">
            <v>0</v>
          </cell>
          <cell r="K55">
            <v>0</v>
          </cell>
          <cell r="L55">
            <v>0</v>
          </cell>
          <cell r="M55">
            <v>0</v>
          </cell>
        </row>
        <row r="56">
          <cell r="D56">
            <v>2010</v>
          </cell>
          <cell r="E56" t="str">
            <v>吸收存款及同业存放</v>
          </cell>
          <cell r="F56">
            <v>0</v>
          </cell>
          <cell r="G56">
            <v>0</v>
          </cell>
          <cell r="H56">
            <v>0</v>
          </cell>
          <cell r="I56">
            <v>0</v>
          </cell>
          <cell r="J56">
            <v>0</v>
          </cell>
          <cell r="K56">
            <v>0</v>
          </cell>
          <cell r="L56">
            <v>0</v>
          </cell>
          <cell r="M56">
            <v>0</v>
          </cell>
        </row>
        <row r="57">
          <cell r="D57">
            <v>2003</v>
          </cell>
          <cell r="E57" t="str">
            <v>拆入资金</v>
          </cell>
          <cell r="F57">
            <v>0</v>
          </cell>
          <cell r="G57">
            <v>0</v>
          </cell>
          <cell r="H57">
            <v>0</v>
          </cell>
          <cell r="I57">
            <v>0</v>
          </cell>
          <cell r="J57">
            <v>0</v>
          </cell>
          <cell r="K57">
            <v>0</v>
          </cell>
          <cell r="L57">
            <v>0</v>
          </cell>
          <cell r="M57">
            <v>0</v>
          </cell>
        </row>
        <row r="58">
          <cell r="D58">
            <v>2101</v>
          </cell>
          <cell r="E58" t="str">
            <v>以公允价值计量且其变动计入当期损益的金融负债</v>
          </cell>
          <cell r="F58">
            <v>0</v>
          </cell>
          <cell r="G58">
            <v>0</v>
          </cell>
          <cell r="H58">
            <v>0</v>
          </cell>
          <cell r="I58">
            <v>0</v>
          </cell>
          <cell r="J58">
            <v>0</v>
          </cell>
          <cell r="K58">
            <v>0</v>
          </cell>
          <cell r="L58">
            <v>0</v>
          </cell>
          <cell r="M58">
            <v>0</v>
          </cell>
        </row>
        <row r="59">
          <cell r="D59">
            <v>2115</v>
          </cell>
          <cell r="E59" t="str">
            <v>衍生金融负债</v>
          </cell>
          <cell r="F59">
            <v>0</v>
          </cell>
          <cell r="G59">
            <v>0</v>
          </cell>
          <cell r="H59">
            <v>0</v>
          </cell>
          <cell r="I59">
            <v>0</v>
          </cell>
          <cell r="J59">
            <v>0</v>
          </cell>
          <cell r="K59">
            <v>0</v>
          </cell>
          <cell r="L59">
            <v>0</v>
          </cell>
          <cell r="M59">
            <v>0</v>
          </cell>
        </row>
        <row r="60">
          <cell r="D60">
            <v>2201</v>
          </cell>
          <cell r="E60" t="str">
            <v>应付票据</v>
          </cell>
          <cell r="F60">
            <v>0</v>
          </cell>
          <cell r="G60">
            <v>0</v>
          </cell>
          <cell r="H60">
            <v>0</v>
          </cell>
          <cell r="I60">
            <v>0</v>
          </cell>
          <cell r="J60">
            <v>0</v>
          </cell>
          <cell r="K60">
            <v>0</v>
          </cell>
          <cell r="L60">
            <v>0</v>
          </cell>
          <cell r="M60">
            <v>0</v>
          </cell>
        </row>
        <row r="61">
          <cell r="D61">
            <v>2202</v>
          </cell>
          <cell r="E61" t="str">
            <v>应付账款</v>
          </cell>
          <cell r="F61">
            <v>952540547.12</v>
          </cell>
          <cell r="G61">
            <v>30000</v>
          </cell>
          <cell r="H61">
            <v>32217258.379999999</v>
          </cell>
          <cell r="I61">
            <v>984727805.5</v>
          </cell>
          <cell r="J61">
            <v>848192794.30999994</v>
          </cell>
          <cell r="K61">
            <v>0</v>
          </cell>
          <cell r="L61">
            <v>0</v>
          </cell>
          <cell r="M61">
            <v>848192794.30999994</v>
          </cell>
        </row>
        <row r="62">
          <cell r="D62">
            <v>2205</v>
          </cell>
          <cell r="E62" t="str">
            <v>预收款项</v>
          </cell>
          <cell r="F62">
            <v>572864524.98000002</v>
          </cell>
          <cell r="G62">
            <v>0</v>
          </cell>
          <cell r="H62">
            <v>14350129.25</v>
          </cell>
          <cell r="I62">
            <v>587214654.23000002</v>
          </cell>
          <cell r="J62">
            <v>456008828.24000001</v>
          </cell>
          <cell r="K62">
            <v>0</v>
          </cell>
          <cell r="L62">
            <v>0</v>
          </cell>
          <cell r="M62">
            <v>456008828.24000001</v>
          </cell>
        </row>
        <row r="63">
          <cell r="D63">
            <v>2111</v>
          </cell>
          <cell r="E63" t="str">
            <v>卖出回购金融资产款</v>
          </cell>
          <cell r="F63">
            <v>0</v>
          </cell>
          <cell r="G63">
            <v>0</v>
          </cell>
          <cell r="H63">
            <v>0</v>
          </cell>
          <cell r="I63">
            <v>0</v>
          </cell>
          <cell r="J63">
            <v>0</v>
          </cell>
          <cell r="K63">
            <v>0</v>
          </cell>
          <cell r="L63">
            <v>0</v>
          </cell>
          <cell r="M63">
            <v>0</v>
          </cell>
        </row>
        <row r="64">
          <cell r="D64">
            <v>2240</v>
          </cell>
          <cell r="E64" t="str">
            <v>应付手续费及佣金</v>
          </cell>
          <cell r="F64">
            <v>0</v>
          </cell>
          <cell r="G64">
            <v>0</v>
          </cell>
          <cell r="H64">
            <v>0</v>
          </cell>
          <cell r="I64">
            <v>0</v>
          </cell>
          <cell r="J64">
            <v>0</v>
          </cell>
          <cell r="K64">
            <v>0</v>
          </cell>
          <cell r="L64">
            <v>0</v>
          </cell>
          <cell r="M64">
            <v>0</v>
          </cell>
        </row>
        <row r="65">
          <cell r="D65">
            <v>2211</v>
          </cell>
          <cell r="E65" t="str">
            <v>应付职工薪酬</v>
          </cell>
          <cell r="F65">
            <v>304877290.74000001</v>
          </cell>
          <cell r="G65">
            <v>0</v>
          </cell>
          <cell r="H65">
            <v>6000000</v>
          </cell>
          <cell r="I65">
            <v>310877290.74000001</v>
          </cell>
          <cell r="J65">
            <v>225048659.19</v>
          </cell>
          <cell r="K65">
            <v>0</v>
          </cell>
          <cell r="L65">
            <v>0</v>
          </cell>
          <cell r="M65">
            <v>225048659.19</v>
          </cell>
        </row>
        <row r="66">
          <cell r="D66">
            <v>2221</v>
          </cell>
          <cell r="E66" t="str">
            <v>应交税费</v>
          </cell>
          <cell r="F66">
            <v>44320132.259999998</v>
          </cell>
          <cell r="G66">
            <v>0</v>
          </cell>
          <cell r="H66">
            <v>-469437.93</v>
          </cell>
          <cell r="I66">
            <v>43850694.329999998</v>
          </cell>
          <cell r="J66">
            <v>30898313.27</v>
          </cell>
          <cell r="K66">
            <v>0</v>
          </cell>
          <cell r="L66">
            <v>0</v>
          </cell>
          <cell r="M66">
            <v>30898313.27</v>
          </cell>
        </row>
        <row r="67">
          <cell r="D67">
            <v>2231</v>
          </cell>
          <cell r="E67" t="str">
            <v>应付利息</v>
          </cell>
          <cell r="F67">
            <v>253206.25</v>
          </cell>
          <cell r="G67">
            <v>0</v>
          </cell>
          <cell r="H67">
            <v>0</v>
          </cell>
          <cell r="I67">
            <v>253206.25</v>
          </cell>
          <cell r="J67">
            <v>335472.21999999997</v>
          </cell>
          <cell r="K67">
            <v>0</v>
          </cell>
          <cell r="L67">
            <v>0</v>
          </cell>
          <cell r="M67">
            <v>335472.21999999997</v>
          </cell>
        </row>
        <row r="68">
          <cell r="D68">
            <v>2232</v>
          </cell>
          <cell r="E68" t="str">
            <v>应付股利</v>
          </cell>
          <cell r="F68">
            <v>0</v>
          </cell>
          <cell r="G68">
            <v>0</v>
          </cell>
          <cell r="H68">
            <v>0</v>
          </cell>
          <cell r="I68">
            <v>0</v>
          </cell>
          <cell r="J68">
            <v>0</v>
          </cell>
          <cell r="K68">
            <v>0</v>
          </cell>
          <cell r="L68">
            <v>0</v>
          </cell>
          <cell r="M68">
            <v>0</v>
          </cell>
        </row>
        <row r="69">
          <cell r="D69">
            <v>2241</v>
          </cell>
          <cell r="E69" t="str">
            <v>其他应付款</v>
          </cell>
          <cell r="F69">
            <v>138050038.31</v>
          </cell>
          <cell r="G69">
            <v>23969511.780000001</v>
          </cell>
          <cell r="H69">
            <v>-171643.87</v>
          </cell>
          <cell r="I69">
            <v>113908882.66</v>
          </cell>
          <cell r="J69">
            <v>136087357.00999999</v>
          </cell>
          <cell r="K69">
            <v>0</v>
          </cell>
          <cell r="L69">
            <v>0</v>
          </cell>
          <cell r="M69">
            <v>136087357.00999999</v>
          </cell>
        </row>
        <row r="70">
          <cell r="D70">
            <v>2261</v>
          </cell>
          <cell r="E70" t="str">
            <v>应付分保账款</v>
          </cell>
          <cell r="F70">
            <v>0</v>
          </cell>
          <cell r="G70">
            <v>0</v>
          </cell>
          <cell r="H70">
            <v>0</v>
          </cell>
          <cell r="I70">
            <v>0</v>
          </cell>
          <cell r="J70">
            <v>0</v>
          </cell>
          <cell r="K70">
            <v>0</v>
          </cell>
          <cell r="L70">
            <v>0</v>
          </cell>
          <cell r="M70">
            <v>0</v>
          </cell>
        </row>
        <row r="71">
          <cell r="D71">
            <v>2310</v>
          </cell>
          <cell r="E71" t="str">
            <v>保险合同准备金</v>
          </cell>
          <cell r="F71">
            <v>0</v>
          </cell>
          <cell r="G71">
            <v>0</v>
          </cell>
          <cell r="H71">
            <v>0</v>
          </cell>
          <cell r="I71">
            <v>0</v>
          </cell>
          <cell r="J71">
            <v>0</v>
          </cell>
          <cell r="K71">
            <v>0</v>
          </cell>
          <cell r="L71">
            <v>0</v>
          </cell>
          <cell r="M71">
            <v>0</v>
          </cell>
        </row>
        <row r="72">
          <cell r="D72">
            <v>2311</v>
          </cell>
          <cell r="E72" t="str">
            <v>代理买卖证券款</v>
          </cell>
          <cell r="F72">
            <v>0</v>
          </cell>
          <cell r="G72">
            <v>0</v>
          </cell>
          <cell r="H72">
            <v>0</v>
          </cell>
          <cell r="I72">
            <v>0</v>
          </cell>
          <cell r="J72">
            <v>0</v>
          </cell>
          <cell r="K72">
            <v>0</v>
          </cell>
          <cell r="L72">
            <v>0</v>
          </cell>
          <cell r="M72">
            <v>0</v>
          </cell>
        </row>
        <row r="73">
          <cell r="D73">
            <v>2312</v>
          </cell>
          <cell r="E73" t="str">
            <v>代理承销证券款</v>
          </cell>
          <cell r="F73">
            <v>0</v>
          </cell>
          <cell r="G73">
            <v>0</v>
          </cell>
          <cell r="H73">
            <v>0</v>
          </cell>
          <cell r="I73">
            <v>0</v>
          </cell>
          <cell r="J73">
            <v>0</v>
          </cell>
          <cell r="K73">
            <v>0</v>
          </cell>
          <cell r="L73">
            <v>0</v>
          </cell>
          <cell r="M73">
            <v>0</v>
          </cell>
        </row>
        <row r="74">
          <cell r="D74">
            <v>2315</v>
          </cell>
          <cell r="E74" t="str">
            <v>划分为持有待售的负债</v>
          </cell>
          <cell r="F74">
            <v>0</v>
          </cell>
          <cell r="G74">
            <v>0</v>
          </cell>
          <cell r="H74">
            <v>0</v>
          </cell>
          <cell r="I74">
            <v>0</v>
          </cell>
          <cell r="J74">
            <v>0</v>
          </cell>
          <cell r="K74">
            <v>0</v>
          </cell>
          <cell r="L74">
            <v>0</v>
          </cell>
          <cell r="M74">
            <v>0</v>
          </cell>
        </row>
        <row r="75">
          <cell r="D75">
            <v>2395</v>
          </cell>
          <cell r="E75" t="str">
            <v>一年内到期的非流动负债</v>
          </cell>
          <cell r="F75">
            <v>0</v>
          </cell>
          <cell r="G75">
            <v>0</v>
          </cell>
          <cell r="H75">
            <v>0</v>
          </cell>
          <cell r="I75">
            <v>0</v>
          </cell>
          <cell r="J75">
            <v>0</v>
          </cell>
          <cell r="K75">
            <v>0</v>
          </cell>
          <cell r="L75">
            <v>0</v>
          </cell>
          <cell r="M75">
            <v>0</v>
          </cell>
        </row>
        <row r="76">
          <cell r="D76">
            <v>2396</v>
          </cell>
          <cell r="E76" t="str">
            <v>其他流动负债</v>
          </cell>
          <cell r="F76">
            <v>0</v>
          </cell>
          <cell r="G76">
            <v>0</v>
          </cell>
          <cell r="H76">
            <v>0</v>
          </cell>
          <cell r="I76">
            <v>0</v>
          </cell>
          <cell r="J76">
            <v>0</v>
          </cell>
          <cell r="K76">
            <v>0</v>
          </cell>
          <cell r="L76">
            <v>0</v>
          </cell>
          <cell r="M76">
            <v>0</v>
          </cell>
        </row>
        <row r="77">
          <cell r="D77">
            <v>2498</v>
          </cell>
          <cell r="E77" t="str">
            <v>流动负债</v>
          </cell>
          <cell r="F77">
            <v>2212905739.6599998</v>
          </cell>
          <cell r="G77">
            <v>23999511.780000001</v>
          </cell>
          <cell r="H77">
            <v>51926305.829999998</v>
          </cell>
          <cell r="I77">
            <v>2240832533.71</v>
          </cell>
          <cell r="J77">
            <v>1891571424.24</v>
          </cell>
          <cell r="K77">
            <v>0</v>
          </cell>
          <cell r="L77">
            <v>0</v>
          </cell>
          <cell r="M77">
            <v>1891571424.24</v>
          </cell>
        </row>
        <row r="78">
          <cell r="D78">
            <v>2500</v>
          </cell>
          <cell r="E78" t="str">
            <v>非流动负债项目</v>
          </cell>
          <cell r="F78">
            <v>0</v>
          </cell>
          <cell r="G78">
            <v>0</v>
          </cell>
          <cell r="H78">
            <v>0</v>
          </cell>
          <cell r="I78">
            <v>0</v>
          </cell>
          <cell r="J78">
            <v>0</v>
          </cell>
          <cell r="K78">
            <v>0</v>
          </cell>
          <cell r="L78">
            <v>0</v>
          </cell>
          <cell r="M78">
            <v>0</v>
          </cell>
        </row>
        <row r="79">
          <cell r="D79">
            <v>2501</v>
          </cell>
          <cell r="E79" t="str">
            <v>长期借款</v>
          </cell>
          <cell r="F79">
            <v>0</v>
          </cell>
          <cell r="G79">
            <v>0</v>
          </cell>
          <cell r="H79">
            <v>0</v>
          </cell>
          <cell r="I79">
            <v>0</v>
          </cell>
          <cell r="J79">
            <v>0</v>
          </cell>
          <cell r="K79">
            <v>0</v>
          </cell>
          <cell r="L79">
            <v>0</v>
          </cell>
          <cell r="M79">
            <v>0</v>
          </cell>
        </row>
        <row r="80">
          <cell r="D80">
            <v>2502</v>
          </cell>
          <cell r="E80" t="str">
            <v>应付债券</v>
          </cell>
          <cell r="F80">
            <v>0</v>
          </cell>
          <cell r="G80">
            <v>0</v>
          </cell>
          <cell r="H80">
            <v>0</v>
          </cell>
          <cell r="I80">
            <v>0</v>
          </cell>
          <cell r="J80">
            <v>0</v>
          </cell>
          <cell r="K80">
            <v>0</v>
          </cell>
          <cell r="L80">
            <v>0</v>
          </cell>
          <cell r="M80">
            <v>0</v>
          </cell>
        </row>
        <row r="81">
          <cell r="D81">
            <v>2502.11</v>
          </cell>
          <cell r="E81" t="str">
            <v>应付债券_优先股</v>
          </cell>
          <cell r="F81">
            <v>0</v>
          </cell>
          <cell r="G81">
            <v>0</v>
          </cell>
          <cell r="H81">
            <v>0</v>
          </cell>
          <cell r="I81">
            <v>0</v>
          </cell>
          <cell r="J81">
            <v>0</v>
          </cell>
          <cell r="K81">
            <v>0</v>
          </cell>
          <cell r="L81">
            <v>0</v>
          </cell>
          <cell r="M81">
            <v>0</v>
          </cell>
        </row>
        <row r="82">
          <cell r="D82">
            <v>2502.31</v>
          </cell>
          <cell r="E82" t="str">
            <v>应付债券_永续债</v>
          </cell>
          <cell r="F82">
            <v>0</v>
          </cell>
          <cell r="G82">
            <v>0</v>
          </cell>
          <cell r="H82">
            <v>0</v>
          </cell>
          <cell r="I82">
            <v>0</v>
          </cell>
          <cell r="J82">
            <v>0</v>
          </cell>
          <cell r="K82">
            <v>0</v>
          </cell>
          <cell r="L82">
            <v>0</v>
          </cell>
          <cell r="M82">
            <v>0</v>
          </cell>
        </row>
        <row r="83">
          <cell r="D83">
            <v>2701</v>
          </cell>
          <cell r="E83" t="str">
            <v>长期应付款</v>
          </cell>
          <cell r="F83">
            <v>0</v>
          </cell>
          <cell r="G83">
            <v>0</v>
          </cell>
          <cell r="H83">
            <v>0</v>
          </cell>
          <cell r="I83">
            <v>0</v>
          </cell>
          <cell r="J83">
            <v>0</v>
          </cell>
          <cell r="K83">
            <v>0</v>
          </cell>
          <cell r="L83">
            <v>0</v>
          </cell>
          <cell r="M83">
            <v>0</v>
          </cell>
        </row>
        <row r="84">
          <cell r="D84">
            <v>2715</v>
          </cell>
          <cell r="E84" t="str">
            <v>长期应付职工薪酬</v>
          </cell>
          <cell r="F84">
            <v>0</v>
          </cell>
          <cell r="G84">
            <v>0</v>
          </cell>
          <cell r="H84">
            <v>0</v>
          </cell>
          <cell r="I84">
            <v>0</v>
          </cell>
          <cell r="J84">
            <v>0</v>
          </cell>
          <cell r="K84">
            <v>0</v>
          </cell>
          <cell r="L84">
            <v>0</v>
          </cell>
          <cell r="M84">
            <v>0</v>
          </cell>
        </row>
        <row r="85">
          <cell r="D85">
            <v>2711</v>
          </cell>
          <cell r="E85" t="str">
            <v>专项应付款</v>
          </cell>
          <cell r="F85">
            <v>0</v>
          </cell>
          <cell r="G85">
            <v>0</v>
          </cell>
          <cell r="H85">
            <v>0</v>
          </cell>
          <cell r="I85">
            <v>0</v>
          </cell>
          <cell r="J85">
            <v>0</v>
          </cell>
          <cell r="K85">
            <v>0</v>
          </cell>
          <cell r="L85">
            <v>0</v>
          </cell>
          <cell r="M85">
            <v>0</v>
          </cell>
        </row>
        <row r="86">
          <cell r="D86">
            <v>2801</v>
          </cell>
          <cell r="E86" t="str">
            <v>预计负债</v>
          </cell>
          <cell r="F86">
            <v>0</v>
          </cell>
          <cell r="G86">
            <v>0</v>
          </cell>
          <cell r="H86">
            <v>0</v>
          </cell>
          <cell r="I86">
            <v>0</v>
          </cell>
          <cell r="J86">
            <v>0</v>
          </cell>
          <cell r="K86">
            <v>0</v>
          </cell>
          <cell r="L86">
            <v>0</v>
          </cell>
          <cell r="M86">
            <v>0</v>
          </cell>
        </row>
        <row r="87">
          <cell r="D87">
            <v>2401</v>
          </cell>
          <cell r="E87" t="str">
            <v>递延收益</v>
          </cell>
          <cell r="F87">
            <v>2034126.49</v>
          </cell>
          <cell r="G87">
            <v>0</v>
          </cell>
          <cell r="H87">
            <v>0</v>
          </cell>
          <cell r="I87">
            <v>2034126.49</v>
          </cell>
          <cell r="J87">
            <v>2325126.4900000002</v>
          </cell>
          <cell r="K87">
            <v>0</v>
          </cell>
          <cell r="L87">
            <v>0</v>
          </cell>
          <cell r="M87">
            <v>2325126.4900000002</v>
          </cell>
        </row>
        <row r="88">
          <cell r="D88">
            <v>2901</v>
          </cell>
          <cell r="E88" t="str">
            <v>递延所得税负债</v>
          </cell>
          <cell r="F88">
            <v>0</v>
          </cell>
          <cell r="G88">
            <v>0</v>
          </cell>
          <cell r="H88">
            <v>0</v>
          </cell>
          <cell r="I88">
            <v>0</v>
          </cell>
          <cell r="J88">
            <v>0</v>
          </cell>
          <cell r="K88">
            <v>0</v>
          </cell>
          <cell r="L88">
            <v>0</v>
          </cell>
          <cell r="M88">
            <v>0</v>
          </cell>
        </row>
        <row r="89">
          <cell r="D89">
            <v>2996</v>
          </cell>
          <cell r="E89" t="str">
            <v>其他非流动负债</v>
          </cell>
          <cell r="F89">
            <v>0</v>
          </cell>
          <cell r="G89">
            <v>0</v>
          </cell>
          <cell r="H89">
            <v>0</v>
          </cell>
          <cell r="I89">
            <v>0</v>
          </cell>
          <cell r="J89">
            <v>0</v>
          </cell>
          <cell r="K89">
            <v>0</v>
          </cell>
          <cell r="L89">
            <v>0</v>
          </cell>
          <cell r="M89">
            <v>0</v>
          </cell>
        </row>
        <row r="90">
          <cell r="D90">
            <v>2998</v>
          </cell>
          <cell r="E90" t="str">
            <v>非流动负债</v>
          </cell>
          <cell r="F90">
            <v>2034126.49</v>
          </cell>
          <cell r="G90">
            <v>0</v>
          </cell>
          <cell r="H90">
            <v>0</v>
          </cell>
          <cell r="I90">
            <v>2034126.49</v>
          </cell>
          <cell r="J90">
            <v>2325126.4900000002</v>
          </cell>
          <cell r="K90">
            <v>0</v>
          </cell>
          <cell r="L90">
            <v>0</v>
          </cell>
          <cell r="M90">
            <v>2325126.4900000002</v>
          </cell>
        </row>
        <row r="91">
          <cell r="D91">
            <v>2999</v>
          </cell>
          <cell r="E91" t="str">
            <v>负债</v>
          </cell>
          <cell r="F91">
            <v>2214939866.1500001</v>
          </cell>
          <cell r="G91">
            <v>23999511.780000001</v>
          </cell>
          <cell r="H91">
            <v>51926305.829999998</v>
          </cell>
          <cell r="I91">
            <v>2242866660.1999998</v>
          </cell>
          <cell r="J91">
            <v>1893896550.73</v>
          </cell>
          <cell r="K91">
            <v>0</v>
          </cell>
          <cell r="L91">
            <v>0</v>
          </cell>
          <cell r="M91">
            <v>1893896550.73</v>
          </cell>
        </row>
        <row r="92">
          <cell r="D92">
            <v>4000</v>
          </cell>
          <cell r="E92" t="str">
            <v>所有者权益项目</v>
          </cell>
          <cell r="F92">
            <v>0</v>
          </cell>
          <cell r="G92">
            <v>0</v>
          </cell>
          <cell r="H92">
            <v>0</v>
          </cell>
          <cell r="I92">
            <v>0</v>
          </cell>
          <cell r="J92">
            <v>0</v>
          </cell>
          <cell r="K92">
            <v>0</v>
          </cell>
          <cell r="L92">
            <v>0</v>
          </cell>
          <cell r="M92">
            <v>0</v>
          </cell>
        </row>
        <row r="93">
          <cell r="D93">
            <v>4001</v>
          </cell>
          <cell r="E93" t="str">
            <v>实收资本</v>
          </cell>
          <cell r="F93">
            <v>208000000</v>
          </cell>
          <cell r="G93">
            <v>0</v>
          </cell>
          <cell r="H93">
            <v>0</v>
          </cell>
          <cell r="I93">
            <v>208000000</v>
          </cell>
          <cell r="J93">
            <v>104000000</v>
          </cell>
          <cell r="K93">
            <v>0</v>
          </cell>
          <cell r="L93">
            <v>0</v>
          </cell>
          <cell r="M93">
            <v>104000000</v>
          </cell>
        </row>
        <row r="94">
          <cell r="D94">
            <v>4015</v>
          </cell>
          <cell r="E94" t="str">
            <v>其他权益工具</v>
          </cell>
          <cell r="F94">
            <v>0</v>
          </cell>
          <cell r="G94">
            <v>0</v>
          </cell>
          <cell r="H94">
            <v>0</v>
          </cell>
          <cell r="I94">
            <v>0</v>
          </cell>
          <cell r="J94">
            <v>0</v>
          </cell>
          <cell r="K94">
            <v>0</v>
          </cell>
          <cell r="L94">
            <v>0</v>
          </cell>
          <cell r="M94">
            <v>0</v>
          </cell>
        </row>
        <row r="95">
          <cell r="D95">
            <v>4015.11</v>
          </cell>
          <cell r="E95" t="str">
            <v>其他权益工具_优先股</v>
          </cell>
          <cell r="F95">
            <v>0</v>
          </cell>
          <cell r="G95">
            <v>0</v>
          </cell>
          <cell r="H95">
            <v>0</v>
          </cell>
          <cell r="I95">
            <v>0</v>
          </cell>
          <cell r="J95">
            <v>0</v>
          </cell>
          <cell r="K95">
            <v>0</v>
          </cell>
          <cell r="L95">
            <v>0</v>
          </cell>
          <cell r="M95">
            <v>0</v>
          </cell>
        </row>
        <row r="96">
          <cell r="D96">
            <v>4015.31</v>
          </cell>
          <cell r="E96" t="str">
            <v>其他权益工具_永续债</v>
          </cell>
          <cell r="F96">
            <v>0</v>
          </cell>
          <cell r="G96">
            <v>0</v>
          </cell>
          <cell r="H96">
            <v>0</v>
          </cell>
          <cell r="I96">
            <v>0</v>
          </cell>
          <cell r="J96">
            <v>0</v>
          </cell>
          <cell r="K96">
            <v>0</v>
          </cell>
          <cell r="L96">
            <v>0</v>
          </cell>
          <cell r="M96">
            <v>0</v>
          </cell>
        </row>
        <row r="97">
          <cell r="D97">
            <v>4002</v>
          </cell>
          <cell r="E97" t="str">
            <v>资本公积</v>
          </cell>
          <cell r="F97">
            <v>828973955</v>
          </cell>
          <cell r="G97">
            <v>0</v>
          </cell>
          <cell r="H97">
            <v>0</v>
          </cell>
          <cell r="I97">
            <v>828973955</v>
          </cell>
          <cell r="J97">
            <v>932973955</v>
          </cell>
          <cell r="K97">
            <v>0</v>
          </cell>
          <cell r="L97">
            <v>0</v>
          </cell>
          <cell r="M97">
            <v>932973955</v>
          </cell>
        </row>
        <row r="98">
          <cell r="D98">
            <v>4201</v>
          </cell>
          <cell r="E98" t="str">
            <v>库存股</v>
          </cell>
          <cell r="F98">
            <v>0</v>
          </cell>
          <cell r="G98">
            <v>0</v>
          </cell>
          <cell r="H98">
            <v>0</v>
          </cell>
          <cell r="I98">
            <v>0</v>
          </cell>
          <cell r="J98">
            <v>0</v>
          </cell>
          <cell r="K98">
            <v>0</v>
          </cell>
          <cell r="L98">
            <v>0</v>
          </cell>
          <cell r="M98">
            <v>0</v>
          </cell>
        </row>
        <row r="99">
          <cell r="D99">
            <v>4215</v>
          </cell>
          <cell r="E99" t="str">
            <v>其他综合收益</v>
          </cell>
          <cell r="F99">
            <v>0</v>
          </cell>
          <cell r="G99">
            <v>0</v>
          </cell>
          <cell r="H99">
            <v>0</v>
          </cell>
          <cell r="I99">
            <v>0</v>
          </cell>
          <cell r="J99">
            <v>0</v>
          </cell>
          <cell r="K99">
            <v>0</v>
          </cell>
          <cell r="L99">
            <v>0</v>
          </cell>
          <cell r="M99">
            <v>0</v>
          </cell>
        </row>
        <row r="100">
          <cell r="D100">
            <v>4301</v>
          </cell>
          <cell r="E100" t="str">
            <v>专项储备</v>
          </cell>
          <cell r="F100">
            <v>0</v>
          </cell>
          <cell r="G100">
            <v>0</v>
          </cell>
          <cell r="H100">
            <v>0</v>
          </cell>
          <cell r="I100">
            <v>0</v>
          </cell>
          <cell r="J100">
            <v>0</v>
          </cell>
          <cell r="K100">
            <v>0</v>
          </cell>
          <cell r="L100">
            <v>0</v>
          </cell>
          <cell r="M100">
            <v>0</v>
          </cell>
        </row>
        <row r="101">
          <cell r="D101">
            <v>4101</v>
          </cell>
          <cell r="E101" t="str">
            <v>盈余公积</v>
          </cell>
          <cell r="F101">
            <v>52000000</v>
          </cell>
          <cell r="G101">
            <v>0</v>
          </cell>
          <cell r="H101">
            <v>17000757.960000001</v>
          </cell>
          <cell r="I101">
            <v>69000757.959999993</v>
          </cell>
          <cell r="J101">
            <v>52000000</v>
          </cell>
          <cell r="K101">
            <v>0</v>
          </cell>
          <cell r="L101">
            <v>0</v>
          </cell>
          <cell r="M101">
            <v>52000000</v>
          </cell>
        </row>
        <row r="102">
          <cell r="D102">
            <v>4102</v>
          </cell>
          <cell r="E102" t="str">
            <v>一般风险准备</v>
          </cell>
          <cell r="F102">
            <v>0</v>
          </cell>
          <cell r="G102">
            <v>0</v>
          </cell>
          <cell r="H102">
            <v>0</v>
          </cell>
          <cell r="I102">
            <v>0</v>
          </cell>
          <cell r="J102">
            <v>0</v>
          </cell>
          <cell r="K102">
            <v>0</v>
          </cell>
          <cell r="L102">
            <v>0</v>
          </cell>
          <cell r="M102">
            <v>0</v>
          </cell>
        </row>
        <row r="103">
          <cell r="D103">
            <v>4200</v>
          </cell>
          <cell r="E103" t="str">
            <v>未分配利润</v>
          </cell>
          <cell r="F103">
            <v>667915579.90999997</v>
          </cell>
          <cell r="G103">
            <v>34605103.100000001</v>
          </cell>
          <cell r="H103">
            <v>11726042.539999999</v>
          </cell>
          <cell r="I103">
            <v>645036519.35000002</v>
          </cell>
          <cell r="J103">
            <v>575776808.08000004</v>
          </cell>
          <cell r="K103">
            <v>0</v>
          </cell>
          <cell r="L103">
            <v>0</v>
          </cell>
          <cell r="M103">
            <v>575776808.08000004</v>
          </cell>
        </row>
        <row r="104">
          <cell r="D104">
            <v>4210</v>
          </cell>
          <cell r="E104" t="str">
            <v>外币报表折算差额</v>
          </cell>
          <cell r="F104">
            <v>0</v>
          </cell>
          <cell r="G104">
            <v>0</v>
          </cell>
          <cell r="H104">
            <v>0</v>
          </cell>
          <cell r="I104">
            <v>0</v>
          </cell>
          <cell r="J104">
            <v>0</v>
          </cell>
          <cell r="K104">
            <v>0</v>
          </cell>
          <cell r="L104">
            <v>0</v>
          </cell>
          <cell r="M104">
            <v>0</v>
          </cell>
        </row>
        <row r="105">
          <cell r="D105">
            <v>4298</v>
          </cell>
          <cell r="E105" t="str">
            <v>归属于母公司所有者权益</v>
          </cell>
          <cell r="F105">
            <v>1756889534.9100001</v>
          </cell>
          <cell r="G105">
            <v>34605103.100000001</v>
          </cell>
          <cell r="H105">
            <v>28726800.5</v>
          </cell>
          <cell r="I105">
            <v>1751011232.3099999</v>
          </cell>
          <cell r="J105">
            <v>1664750763.0799999</v>
          </cell>
          <cell r="K105">
            <v>0</v>
          </cell>
          <cell r="L105">
            <v>0</v>
          </cell>
          <cell r="M105">
            <v>1664750763.0799999</v>
          </cell>
        </row>
        <row r="106">
          <cell r="D106">
            <v>4398</v>
          </cell>
          <cell r="E106" t="str">
            <v>少数股东权益</v>
          </cell>
          <cell r="F106">
            <v>0</v>
          </cell>
          <cell r="G106">
            <v>0</v>
          </cell>
          <cell r="H106">
            <v>0</v>
          </cell>
          <cell r="I106">
            <v>0</v>
          </cell>
          <cell r="J106">
            <v>0</v>
          </cell>
          <cell r="K106">
            <v>0</v>
          </cell>
          <cell r="L106">
            <v>0</v>
          </cell>
          <cell r="M106">
            <v>0</v>
          </cell>
        </row>
        <row r="107">
          <cell r="D107">
            <v>4999</v>
          </cell>
          <cell r="E107" t="str">
            <v>所有者权益</v>
          </cell>
          <cell r="F107">
            <v>1756889534.9100001</v>
          </cell>
          <cell r="G107">
            <v>34605103.100000001</v>
          </cell>
          <cell r="H107">
            <v>28726800.5</v>
          </cell>
          <cell r="I107">
            <v>1751011232.3099999</v>
          </cell>
          <cell r="J107">
            <v>1664750763.0799999</v>
          </cell>
          <cell r="K107">
            <v>0</v>
          </cell>
          <cell r="L107">
            <v>0</v>
          </cell>
          <cell r="M107">
            <v>1664750763.0799999</v>
          </cell>
        </row>
        <row r="108">
          <cell r="D108">
            <v>5000</v>
          </cell>
          <cell r="E108" t="str">
            <v>负债和所有者权益</v>
          </cell>
          <cell r="F108">
            <v>3971829401.0599999</v>
          </cell>
          <cell r="G108">
            <v>58604614.880000003</v>
          </cell>
          <cell r="H108">
            <v>80653106.329999998</v>
          </cell>
          <cell r="I108">
            <v>3993877892.5100002</v>
          </cell>
          <cell r="J108">
            <v>3558647313.8099999</v>
          </cell>
          <cell r="K108">
            <v>0</v>
          </cell>
          <cell r="L108">
            <v>0</v>
          </cell>
          <cell r="M108">
            <v>3558647313.8099999</v>
          </cell>
        </row>
        <row r="109">
          <cell r="D109">
            <v>6</v>
          </cell>
          <cell r="E109" t="str">
            <v>利润表</v>
          </cell>
          <cell r="F109">
            <v>0</v>
          </cell>
          <cell r="G109">
            <v>0</v>
          </cell>
          <cell r="H109">
            <v>0</v>
          </cell>
          <cell r="I109">
            <v>0</v>
          </cell>
          <cell r="J109">
            <v>0</v>
          </cell>
          <cell r="K109">
            <v>0</v>
          </cell>
          <cell r="L109">
            <v>0</v>
          </cell>
          <cell r="M109">
            <v>0</v>
          </cell>
        </row>
        <row r="110">
          <cell r="D110">
            <v>6098</v>
          </cell>
          <cell r="E110" t="str">
            <v>营业总收入</v>
          </cell>
          <cell r="F110">
            <v>1661605393.5599999</v>
          </cell>
          <cell r="G110">
            <v>0</v>
          </cell>
          <cell r="H110">
            <v>11379157.58</v>
          </cell>
          <cell r="I110">
            <v>1672984551.1400001</v>
          </cell>
          <cell r="J110">
            <v>1189697618.8299999</v>
          </cell>
          <cell r="K110">
            <v>0</v>
          </cell>
          <cell r="L110">
            <v>0</v>
          </cell>
          <cell r="M110">
            <v>1189697618.8299999</v>
          </cell>
        </row>
        <row r="111">
          <cell r="D111">
            <v>6001</v>
          </cell>
          <cell r="E111" t="str">
            <v>营业收入</v>
          </cell>
          <cell r="F111">
            <v>1661605393.5599999</v>
          </cell>
          <cell r="G111">
            <v>0</v>
          </cell>
          <cell r="H111">
            <v>11379157.58</v>
          </cell>
          <cell r="I111">
            <v>1672984551.1400001</v>
          </cell>
          <cell r="J111">
            <v>1189697618.8299999</v>
          </cell>
          <cell r="K111">
            <v>0</v>
          </cell>
          <cell r="L111">
            <v>0</v>
          </cell>
          <cell r="M111">
            <v>1189697618.8299999</v>
          </cell>
        </row>
        <row r="112">
          <cell r="D112">
            <v>6011</v>
          </cell>
          <cell r="E112" t="str">
            <v>利息收入</v>
          </cell>
          <cell r="F112">
            <v>0</v>
          </cell>
          <cell r="G112">
            <v>0</v>
          </cell>
          <cell r="H112">
            <v>0</v>
          </cell>
          <cell r="I112">
            <v>0</v>
          </cell>
          <cell r="J112">
            <v>0</v>
          </cell>
          <cell r="K112">
            <v>0</v>
          </cell>
          <cell r="L112">
            <v>0</v>
          </cell>
          <cell r="M112">
            <v>0</v>
          </cell>
        </row>
        <row r="113">
          <cell r="D113">
            <v>6030</v>
          </cell>
          <cell r="E113" t="str">
            <v>已赚保费</v>
          </cell>
          <cell r="F113">
            <v>0</v>
          </cell>
          <cell r="G113">
            <v>0</v>
          </cell>
          <cell r="H113">
            <v>0</v>
          </cell>
          <cell r="I113">
            <v>0</v>
          </cell>
          <cell r="J113">
            <v>0</v>
          </cell>
          <cell r="K113">
            <v>0</v>
          </cell>
          <cell r="L113">
            <v>0</v>
          </cell>
          <cell r="M113">
            <v>0</v>
          </cell>
        </row>
        <row r="114">
          <cell r="D114">
            <v>6021</v>
          </cell>
          <cell r="E114" t="str">
            <v>手续费及佣金收入</v>
          </cell>
          <cell r="F114">
            <v>0</v>
          </cell>
          <cell r="G114">
            <v>0</v>
          </cell>
          <cell r="H114">
            <v>0</v>
          </cell>
          <cell r="I114">
            <v>0</v>
          </cell>
          <cell r="J114">
            <v>0</v>
          </cell>
          <cell r="K114">
            <v>0</v>
          </cell>
          <cell r="L114">
            <v>0</v>
          </cell>
          <cell r="M114">
            <v>0</v>
          </cell>
        </row>
        <row r="115">
          <cell r="D115">
            <v>6598</v>
          </cell>
          <cell r="E115" t="str">
            <v>营业总成本</v>
          </cell>
          <cell r="F115">
            <v>1514327395.28</v>
          </cell>
          <cell r="G115">
            <v>18365353.620000001</v>
          </cell>
          <cell r="H115">
            <v>455451.73</v>
          </cell>
          <cell r="I115">
            <v>1532237297.1700001</v>
          </cell>
          <cell r="J115">
            <v>1054858481.22</v>
          </cell>
          <cell r="K115">
            <v>0</v>
          </cell>
          <cell r="L115">
            <v>0</v>
          </cell>
          <cell r="M115">
            <v>1054858481.22</v>
          </cell>
        </row>
        <row r="116">
          <cell r="D116">
            <v>6401</v>
          </cell>
          <cell r="E116" t="str">
            <v>营业成本</v>
          </cell>
          <cell r="F116">
            <v>1205800452.8599999</v>
          </cell>
          <cell r="G116">
            <v>12387439.970000001</v>
          </cell>
          <cell r="H116">
            <v>455451.73</v>
          </cell>
          <cell r="I116">
            <v>1217732441.0999999</v>
          </cell>
          <cell r="J116">
            <v>788605449.59000003</v>
          </cell>
          <cell r="K116">
            <v>0</v>
          </cell>
          <cell r="L116">
            <v>0</v>
          </cell>
          <cell r="M116">
            <v>788605449.59000003</v>
          </cell>
        </row>
        <row r="117">
          <cell r="D117">
            <v>6411</v>
          </cell>
          <cell r="E117" t="str">
            <v>利息支出</v>
          </cell>
          <cell r="F117">
            <v>0</v>
          </cell>
          <cell r="G117">
            <v>0</v>
          </cell>
          <cell r="H117">
            <v>0</v>
          </cell>
          <cell r="I117">
            <v>0</v>
          </cell>
          <cell r="J117">
            <v>0</v>
          </cell>
          <cell r="K117">
            <v>0</v>
          </cell>
          <cell r="L117">
            <v>0</v>
          </cell>
          <cell r="M117">
            <v>0</v>
          </cell>
        </row>
        <row r="118">
          <cell r="D118">
            <v>6421</v>
          </cell>
          <cell r="E118" t="str">
            <v>手续费及佣金支出</v>
          </cell>
          <cell r="F118">
            <v>0</v>
          </cell>
          <cell r="G118">
            <v>0</v>
          </cell>
          <cell r="H118">
            <v>0</v>
          </cell>
          <cell r="I118">
            <v>0</v>
          </cell>
          <cell r="J118">
            <v>0</v>
          </cell>
          <cell r="K118">
            <v>0</v>
          </cell>
          <cell r="L118">
            <v>0</v>
          </cell>
          <cell r="M118">
            <v>0</v>
          </cell>
        </row>
        <row r="119">
          <cell r="D119">
            <v>6531</v>
          </cell>
          <cell r="E119" t="str">
            <v>退保金</v>
          </cell>
          <cell r="F119">
            <v>0</v>
          </cell>
          <cell r="G119">
            <v>0</v>
          </cell>
          <cell r="H119">
            <v>0</v>
          </cell>
          <cell r="I119">
            <v>0</v>
          </cell>
          <cell r="J119">
            <v>0</v>
          </cell>
          <cell r="K119">
            <v>0</v>
          </cell>
          <cell r="L119">
            <v>0</v>
          </cell>
          <cell r="M119">
            <v>0</v>
          </cell>
        </row>
        <row r="120">
          <cell r="D120">
            <v>6510</v>
          </cell>
          <cell r="E120" t="str">
            <v>赔付支出净额</v>
          </cell>
          <cell r="F120">
            <v>0</v>
          </cell>
          <cell r="G120">
            <v>0</v>
          </cell>
          <cell r="H120">
            <v>0</v>
          </cell>
          <cell r="I120">
            <v>0</v>
          </cell>
          <cell r="J120">
            <v>0</v>
          </cell>
          <cell r="K120">
            <v>0</v>
          </cell>
          <cell r="L120">
            <v>0</v>
          </cell>
          <cell r="M120">
            <v>0</v>
          </cell>
        </row>
        <row r="121">
          <cell r="D121">
            <v>6505</v>
          </cell>
          <cell r="E121" t="str">
            <v>提取保险合同准备金净额</v>
          </cell>
          <cell r="F121">
            <v>0</v>
          </cell>
          <cell r="G121">
            <v>0</v>
          </cell>
          <cell r="H121">
            <v>0</v>
          </cell>
          <cell r="I121">
            <v>0</v>
          </cell>
          <cell r="J121">
            <v>0</v>
          </cell>
          <cell r="K121">
            <v>0</v>
          </cell>
          <cell r="L121">
            <v>0</v>
          </cell>
          <cell r="M121">
            <v>0</v>
          </cell>
        </row>
        <row r="122">
          <cell r="D122">
            <v>6521</v>
          </cell>
          <cell r="E122" t="str">
            <v>保单红利支出</v>
          </cell>
          <cell r="F122">
            <v>0</v>
          </cell>
          <cell r="G122">
            <v>0</v>
          </cell>
          <cell r="H122">
            <v>0</v>
          </cell>
          <cell r="I122">
            <v>0</v>
          </cell>
          <cell r="J122">
            <v>0</v>
          </cell>
          <cell r="K122">
            <v>0</v>
          </cell>
          <cell r="L122">
            <v>0</v>
          </cell>
          <cell r="M122">
            <v>0</v>
          </cell>
        </row>
        <row r="123">
          <cell r="D123">
            <v>6542</v>
          </cell>
          <cell r="E123" t="str">
            <v>分保费用</v>
          </cell>
          <cell r="F123">
            <v>0</v>
          </cell>
          <cell r="G123">
            <v>0</v>
          </cell>
          <cell r="H123">
            <v>0</v>
          </cell>
          <cell r="I123">
            <v>0</v>
          </cell>
          <cell r="J123">
            <v>0</v>
          </cell>
          <cell r="K123">
            <v>0</v>
          </cell>
          <cell r="L123">
            <v>0</v>
          </cell>
          <cell r="M123">
            <v>0</v>
          </cell>
        </row>
        <row r="124">
          <cell r="D124">
            <v>6600</v>
          </cell>
          <cell r="E124" t="str">
            <v>营业税金及附加</v>
          </cell>
          <cell r="F124">
            <v>8822850.9900000002</v>
          </cell>
          <cell r="G124">
            <v>5369815.9400000004</v>
          </cell>
          <cell r="H124">
            <v>0</v>
          </cell>
          <cell r="I124">
            <v>14192666.93</v>
          </cell>
          <cell r="J124">
            <v>8308747.54</v>
          </cell>
          <cell r="K124">
            <v>0</v>
          </cell>
          <cell r="L124">
            <v>0</v>
          </cell>
          <cell r="M124">
            <v>8308747.54</v>
          </cell>
        </row>
        <row r="125">
          <cell r="D125">
            <v>6601</v>
          </cell>
          <cell r="E125" t="str">
            <v>销售费用</v>
          </cell>
          <cell r="F125">
            <v>84484619.629999995</v>
          </cell>
          <cell r="G125">
            <v>0</v>
          </cell>
          <cell r="H125">
            <v>0</v>
          </cell>
          <cell r="I125">
            <v>84484619.629999995</v>
          </cell>
          <cell r="J125">
            <v>72822078.540000007</v>
          </cell>
          <cell r="K125">
            <v>0</v>
          </cell>
          <cell r="L125">
            <v>0</v>
          </cell>
          <cell r="M125">
            <v>72822078.540000007</v>
          </cell>
        </row>
        <row r="126">
          <cell r="D126">
            <v>6602</v>
          </cell>
          <cell r="E126" t="str">
            <v>管理费用</v>
          </cell>
          <cell r="F126">
            <v>137636266.37</v>
          </cell>
          <cell r="G126">
            <v>810790.87</v>
          </cell>
          <cell r="H126">
            <v>0</v>
          </cell>
          <cell r="I126">
            <v>138447057.24000001</v>
          </cell>
          <cell r="J126">
            <v>126423387.05</v>
          </cell>
          <cell r="K126">
            <v>0</v>
          </cell>
          <cell r="L126">
            <v>0</v>
          </cell>
          <cell r="M126">
            <v>126423387.05</v>
          </cell>
        </row>
        <row r="127">
          <cell r="D127">
            <v>6603</v>
          </cell>
          <cell r="E127" t="str">
            <v>财务费用</v>
          </cell>
          <cell r="F127">
            <v>5568512.7699999996</v>
          </cell>
          <cell r="G127">
            <v>0</v>
          </cell>
          <cell r="H127">
            <v>0</v>
          </cell>
          <cell r="I127">
            <v>5568512.7699999996</v>
          </cell>
          <cell r="J127">
            <v>5558215.46</v>
          </cell>
          <cell r="K127">
            <v>0</v>
          </cell>
          <cell r="L127">
            <v>0</v>
          </cell>
          <cell r="M127">
            <v>5558215.46</v>
          </cell>
        </row>
        <row r="128">
          <cell r="D128">
            <v>6671</v>
          </cell>
          <cell r="E128" t="str">
            <v>资产减值损失</v>
          </cell>
          <cell r="F128">
            <v>72014692.659999996</v>
          </cell>
          <cell r="G128">
            <v>-202693.16</v>
          </cell>
          <cell r="H128">
            <v>0</v>
          </cell>
          <cell r="I128">
            <v>71811999.5</v>
          </cell>
          <cell r="J128">
            <v>53140603.039999999</v>
          </cell>
          <cell r="K128">
            <v>0</v>
          </cell>
          <cell r="L128">
            <v>0</v>
          </cell>
          <cell r="M128">
            <v>53140603.039999999</v>
          </cell>
        </row>
        <row r="129">
          <cell r="D129">
            <v>6101</v>
          </cell>
          <cell r="E129" t="str">
            <v>公允价值变动收益</v>
          </cell>
          <cell r="F129">
            <v>0</v>
          </cell>
          <cell r="G129">
            <v>0</v>
          </cell>
          <cell r="H129">
            <v>0</v>
          </cell>
          <cell r="I129">
            <v>0</v>
          </cell>
          <cell r="J129">
            <v>0</v>
          </cell>
          <cell r="K129">
            <v>0</v>
          </cell>
          <cell r="L129">
            <v>0</v>
          </cell>
          <cell r="M129">
            <v>0</v>
          </cell>
        </row>
        <row r="130">
          <cell r="D130">
            <v>6111</v>
          </cell>
          <cell r="E130" t="str">
            <v>投资收益</v>
          </cell>
          <cell r="F130">
            <v>27434500.620000001</v>
          </cell>
          <cell r="G130">
            <v>0</v>
          </cell>
          <cell r="H130">
            <v>0</v>
          </cell>
          <cell r="I130">
            <v>27434500.620000001</v>
          </cell>
          <cell r="J130">
            <v>19947082.23</v>
          </cell>
          <cell r="K130">
            <v>0</v>
          </cell>
          <cell r="L130">
            <v>0</v>
          </cell>
          <cell r="M130">
            <v>19947082.23</v>
          </cell>
        </row>
        <row r="131">
          <cell r="D131">
            <v>6111.01</v>
          </cell>
          <cell r="E131" t="str">
            <v>对联营企业和合营企业的投资收益</v>
          </cell>
          <cell r="F131">
            <v>3419484.57</v>
          </cell>
          <cell r="G131">
            <v>0</v>
          </cell>
          <cell r="H131">
            <v>0</v>
          </cell>
          <cell r="I131">
            <v>3419484.57</v>
          </cell>
          <cell r="J131">
            <v>4477880.8899999997</v>
          </cell>
          <cell r="K131">
            <v>0</v>
          </cell>
          <cell r="L131">
            <v>0</v>
          </cell>
          <cell r="M131">
            <v>4477880.8899999997</v>
          </cell>
        </row>
        <row r="132">
          <cell r="D132">
            <v>6161</v>
          </cell>
          <cell r="E132" t="str">
            <v>汇兑收益</v>
          </cell>
          <cell r="F132">
            <v>0</v>
          </cell>
          <cell r="G132">
            <v>0</v>
          </cell>
          <cell r="H132">
            <v>0</v>
          </cell>
          <cell r="I132">
            <v>0</v>
          </cell>
          <cell r="J132">
            <v>0</v>
          </cell>
          <cell r="K132">
            <v>0</v>
          </cell>
          <cell r="L132">
            <v>0</v>
          </cell>
          <cell r="M132">
            <v>0</v>
          </cell>
        </row>
        <row r="133">
          <cell r="D133">
            <v>6689</v>
          </cell>
          <cell r="E133" t="str">
            <v>营业利润</v>
          </cell>
          <cell r="F133">
            <v>174712498.90000001</v>
          </cell>
          <cell r="G133">
            <v>18365353.620000001</v>
          </cell>
          <cell r="H133">
            <v>11834609.310000001</v>
          </cell>
          <cell r="I133">
            <v>168181754.59</v>
          </cell>
          <cell r="J133">
            <v>154786219.84</v>
          </cell>
          <cell r="K133">
            <v>0</v>
          </cell>
          <cell r="L133">
            <v>0</v>
          </cell>
          <cell r="M133">
            <v>154786219.84</v>
          </cell>
        </row>
        <row r="134">
          <cell r="D134">
            <v>6710</v>
          </cell>
          <cell r="E134" t="str">
            <v>营业外收入</v>
          </cell>
          <cell r="F134">
            <v>4138115.52</v>
          </cell>
          <cell r="G134">
            <v>0</v>
          </cell>
          <cell r="H134">
            <v>-91849.32</v>
          </cell>
          <cell r="I134">
            <v>4046266.2</v>
          </cell>
          <cell r="J134">
            <v>2052148.43</v>
          </cell>
          <cell r="K134">
            <v>0</v>
          </cell>
          <cell r="L134">
            <v>0</v>
          </cell>
          <cell r="M134">
            <v>2052148.43</v>
          </cell>
        </row>
        <row r="135">
          <cell r="D135">
            <v>6710.11</v>
          </cell>
          <cell r="E135" t="str">
            <v>营业外收入_非流动资产处置利得</v>
          </cell>
          <cell r="F135">
            <v>1404563.83</v>
          </cell>
          <cell r="G135">
            <v>0</v>
          </cell>
          <cell r="H135">
            <v>-91849.32</v>
          </cell>
          <cell r="I135">
            <v>1312714.51</v>
          </cell>
          <cell r="J135">
            <v>36148.43</v>
          </cell>
          <cell r="K135">
            <v>0</v>
          </cell>
          <cell r="L135">
            <v>0</v>
          </cell>
          <cell r="M135">
            <v>36148.43</v>
          </cell>
        </row>
        <row r="136">
          <cell r="D136">
            <v>6711</v>
          </cell>
          <cell r="E136" t="str">
            <v>营业外支出</v>
          </cell>
          <cell r="F136">
            <v>482216.85</v>
          </cell>
          <cell r="G136">
            <v>0</v>
          </cell>
          <cell r="H136">
            <v>0</v>
          </cell>
          <cell r="I136">
            <v>482216.85</v>
          </cell>
          <cell r="J136">
            <v>410439.33</v>
          </cell>
          <cell r="K136">
            <v>0</v>
          </cell>
          <cell r="L136">
            <v>0</v>
          </cell>
          <cell r="M136">
            <v>410439.33</v>
          </cell>
        </row>
        <row r="137">
          <cell r="D137">
            <v>6711.01</v>
          </cell>
          <cell r="E137" t="str">
            <v>非流动资产处置损失</v>
          </cell>
          <cell r="F137">
            <v>29747.7</v>
          </cell>
          <cell r="G137">
            <v>0</v>
          </cell>
          <cell r="H137">
            <v>0</v>
          </cell>
          <cell r="I137">
            <v>29747.7</v>
          </cell>
          <cell r="J137">
            <v>59764.53</v>
          </cell>
          <cell r="K137">
            <v>0</v>
          </cell>
          <cell r="L137">
            <v>0</v>
          </cell>
          <cell r="M137">
            <v>59764.53</v>
          </cell>
        </row>
        <row r="138">
          <cell r="D138">
            <v>6788</v>
          </cell>
          <cell r="E138" t="str">
            <v>利润总额</v>
          </cell>
          <cell r="F138">
            <v>178368397.56999999</v>
          </cell>
          <cell r="G138">
            <v>18365353.620000001</v>
          </cell>
          <cell r="H138">
            <v>11742759.99</v>
          </cell>
          <cell r="I138">
            <v>171745803.94</v>
          </cell>
          <cell r="J138">
            <v>156427928.94</v>
          </cell>
          <cell r="K138">
            <v>0</v>
          </cell>
          <cell r="L138">
            <v>0</v>
          </cell>
          <cell r="M138">
            <v>156427928.94</v>
          </cell>
        </row>
        <row r="139">
          <cell r="D139">
            <v>6791</v>
          </cell>
          <cell r="E139" t="str">
            <v>所得税费用</v>
          </cell>
          <cell r="F139">
            <v>29115696.34</v>
          </cell>
          <cell r="G139">
            <v>-761008.48</v>
          </cell>
          <cell r="H139">
            <v>-16717.45</v>
          </cell>
          <cell r="I139">
            <v>28371405.309999999</v>
          </cell>
          <cell r="J139">
            <v>23006086.98</v>
          </cell>
          <cell r="K139">
            <v>0</v>
          </cell>
          <cell r="L139">
            <v>0</v>
          </cell>
          <cell r="M139">
            <v>23006086.98</v>
          </cell>
        </row>
        <row r="140">
          <cell r="D140">
            <v>6799</v>
          </cell>
          <cell r="E140" t="str">
            <v>净利润</v>
          </cell>
          <cell r="F140">
            <v>149252701.22999999</v>
          </cell>
          <cell r="G140">
            <v>17604345.140000001</v>
          </cell>
          <cell r="H140">
            <v>11726042.539999999</v>
          </cell>
          <cell r="I140">
            <v>143374398.63</v>
          </cell>
          <cell r="J140">
            <v>133421841.95999999</v>
          </cell>
          <cell r="K140">
            <v>0</v>
          </cell>
          <cell r="L140">
            <v>0</v>
          </cell>
          <cell r="M140">
            <v>133421841.95999999</v>
          </cell>
        </row>
        <row r="141">
          <cell r="D141">
            <v>6805</v>
          </cell>
          <cell r="E141" t="str">
            <v>同一控制下企业合并的被合并方在合并前实现的净利润</v>
          </cell>
          <cell r="F141">
            <v>0</v>
          </cell>
          <cell r="G141">
            <v>0</v>
          </cell>
          <cell r="H141">
            <v>0</v>
          </cell>
          <cell r="I141">
            <v>0</v>
          </cell>
          <cell r="J141">
            <v>0</v>
          </cell>
          <cell r="K141">
            <v>0</v>
          </cell>
          <cell r="L141">
            <v>0</v>
          </cell>
          <cell r="M141">
            <v>0</v>
          </cell>
        </row>
        <row r="142">
          <cell r="D142">
            <v>6811</v>
          </cell>
          <cell r="E142" t="str">
            <v>归属于母公司所有者的净利润</v>
          </cell>
          <cell r="F142">
            <v>149252701.22999999</v>
          </cell>
          <cell r="G142">
            <v>17604345.140000001</v>
          </cell>
          <cell r="H142">
            <v>11726042.539999999</v>
          </cell>
          <cell r="I142">
            <v>143374398.63</v>
          </cell>
          <cell r="J142">
            <v>133421841.95999999</v>
          </cell>
          <cell r="K142">
            <v>0</v>
          </cell>
          <cell r="L142">
            <v>0</v>
          </cell>
          <cell r="M142">
            <v>133421841.95999999</v>
          </cell>
        </row>
        <row r="143">
          <cell r="D143">
            <v>6812</v>
          </cell>
          <cell r="E143" t="str">
            <v>少数股东损益</v>
          </cell>
          <cell r="F143">
            <v>0</v>
          </cell>
          <cell r="G143">
            <v>0</v>
          </cell>
          <cell r="H143">
            <v>0</v>
          </cell>
          <cell r="I143">
            <v>0</v>
          </cell>
          <cell r="J143">
            <v>0</v>
          </cell>
          <cell r="K143">
            <v>0</v>
          </cell>
          <cell r="L143">
            <v>0</v>
          </cell>
          <cell r="M143">
            <v>0</v>
          </cell>
        </row>
        <row r="144">
          <cell r="D144">
            <v>6829</v>
          </cell>
          <cell r="E144" t="str">
            <v>其他综合收益的税后净额</v>
          </cell>
          <cell r="F144">
            <v>0</v>
          </cell>
          <cell r="G144">
            <v>0</v>
          </cell>
          <cell r="H144">
            <v>0</v>
          </cell>
          <cell r="I144">
            <v>0</v>
          </cell>
          <cell r="J144">
            <v>0</v>
          </cell>
          <cell r="K144">
            <v>0</v>
          </cell>
          <cell r="L144">
            <v>0</v>
          </cell>
          <cell r="M144">
            <v>0</v>
          </cell>
        </row>
        <row r="145">
          <cell r="D145">
            <v>6829.2</v>
          </cell>
          <cell r="E145" t="str">
            <v>归属于母公司所有者的其他综合收益的税后净额</v>
          </cell>
          <cell r="F145">
            <v>0</v>
          </cell>
          <cell r="G145">
            <v>0</v>
          </cell>
          <cell r="H145">
            <v>0</v>
          </cell>
          <cell r="I145">
            <v>0</v>
          </cell>
          <cell r="J145">
            <v>0</v>
          </cell>
          <cell r="K145">
            <v>0</v>
          </cell>
          <cell r="L145">
            <v>0</v>
          </cell>
          <cell r="M145">
            <v>0</v>
          </cell>
        </row>
        <row r="146">
          <cell r="D146">
            <v>6829.21</v>
          </cell>
          <cell r="E146" t="str">
            <v>以后不能重分类进损益的其他综合收益</v>
          </cell>
          <cell r="F146">
            <v>0</v>
          </cell>
          <cell r="G146">
            <v>0</v>
          </cell>
          <cell r="H146">
            <v>0</v>
          </cell>
          <cell r="I146">
            <v>0</v>
          </cell>
          <cell r="J146">
            <v>0</v>
          </cell>
          <cell r="K146">
            <v>0</v>
          </cell>
          <cell r="L146">
            <v>0</v>
          </cell>
          <cell r="M146">
            <v>0</v>
          </cell>
        </row>
        <row r="147">
          <cell r="D147">
            <v>6829.2110000000002</v>
          </cell>
          <cell r="E147" t="str">
            <v>重新计量设定受益计划净负债或净资产的变动</v>
          </cell>
          <cell r="F147">
            <v>0</v>
          </cell>
          <cell r="G147">
            <v>0</v>
          </cell>
          <cell r="H147">
            <v>0</v>
          </cell>
          <cell r="I147">
            <v>0</v>
          </cell>
          <cell r="J147">
            <v>0</v>
          </cell>
          <cell r="K147">
            <v>0</v>
          </cell>
          <cell r="L147">
            <v>0</v>
          </cell>
          <cell r="M147">
            <v>0</v>
          </cell>
        </row>
        <row r="148">
          <cell r="D148">
            <v>6829.2120000000004</v>
          </cell>
          <cell r="E148" t="str">
            <v>权益法下在被投资单位不能重分类进损益的其他综合收益中享有的份额</v>
          </cell>
          <cell r="F148">
            <v>0</v>
          </cell>
          <cell r="G148">
            <v>0</v>
          </cell>
          <cell r="H148">
            <v>0</v>
          </cell>
          <cell r="I148">
            <v>0</v>
          </cell>
          <cell r="J148">
            <v>0</v>
          </cell>
          <cell r="K148">
            <v>0</v>
          </cell>
          <cell r="L148">
            <v>0</v>
          </cell>
          <cell r="M148">
            <v>0</v>
          </cell>
        </row>
        <row r="149">
          <cell r="D149">
            <v>6829.2190000000001</v>
          </cell>
          <cell r="E149" t="str">
            <v>其他以后不能重分类进损益的其他综合收益</v>
          </cell>
          <cell r="F149">
            <v>0</v>
          </cell>
          <cell r="G149">
            <v>0</v>
          </cell>
          <cell r="H149">
            <v>0</v>
          </cell>
          <cell r="I149">
            <v>0</v>
          </cell>
          <cell r="J149">
            <v>0</v>
          </cell>
          <cell r="K149">
            <v>0</v>
          </cell>
          <cell r="L149">
            <v>0</v>
          </cell>
          <cell r="M149">
            <v>0</v>
          </cell>
        </row>
        <row r="150">
          <cell r="D150">
            <v>6829.23</v>
          </cell>
          <cell r="E150" t="str">
            <v>以后将重分类进损益的其他综合收益</v>
          </cell>
          <cell r="F150">
            <v>0</v>
          </cell>
          <cell r="G150">
            <v>0</v>
          </cell>
          <cell r="H150">
            <v>0</v>
          </cell>
          <cell r="I150">
            <v>0</v>
          </cell>
          <cell r="J150">
            <v>0</v>
          </cell>
          <cell r="K150">
            <v>0</v>
          </cell>
          <cell r="L150">
            <v>0</v>
          </cell>
          <cell r="M150">
            <v>0</v>
          </cell>
        </row>
        <row r="151">
          <cell r="D151">
            <v>6829.2309999999998</v>
          </cell>
          <cell r="E151" t="str">
            <v>权益法下在被投资单位以后将重分类进损益的其他综合收益中享有的份额</v>
          </cell>
          <cell r="F151">
            <v>0</v>
          </cell>
          <cell r="G151">
            <v>0</v>
          </cell>
          <cell r="H151">
            <v>0</v>
          </cell>
          <cell r="I151">
            <v>0</v>
          </cell>
          <cell r="J151">
            <v>0</v>
          </cell>
          <cell r="K151">
            <v>0</v>
          </cell>
          <cell r="L151">
            <v>0</v>
          </cell>
          <cell r="M151">
            <v>0</v>
          </cell>
        </row>
        <row r="152">
          <cell r="D152">
            <v>6829.232</v>
          </cell>
          <cell r="E152" t="str">
            <v>可供出售金融资产公允价值变动损益</v>
          </cell>
          <cell r="F152">
            <v>0</v>
          </cell>
          <cell r="G152">
            <v>0</v>
          </cell>
          <cell r="H152">
            <v>0</v>
          </cell>
          <cell r="I152">
            <v>0</v>
          </cell>
          <cell r="J152">
            <v>0</v>
          </cell>
          <cell r="K152">
            <v>0</v>
          </cell>
          <cell r="L152">
            <v>0</v>
          </cell>
          <cell r="M152">
            <v>0</v>
          </cell>
        </row>
        <row r="153">
          <cell r="D153">
            <v>6829.2330000000002</v>
          </cell>
          <cell r="E153" t="str">
            <v>持有至到期投资重分类为可供出售金融资产损益</v>
          </cell>
          <cell r="F153">
            <v>0</v>
          </cell>
          <cell r="G153">
            <v>0</v>
          </cell>
          <cell r="H153">
            <v>0</v>
          </cell>
          <cell r="I153">
            <v>0</v>
          </cell>
          <cell r="J153">
            <v>0</v>
          </cell>
          <cell r="K153">
            <v>0</v>
          </cell>
          <cell r="L153">
            <v>0</v>
          </cell>
          <cell r="M153">
            <v>0</v>
          </cell>
        </row>
        <row r="154">
          <cell r="D154">
            <v>6829.2340000000004</v>
          </cell>
          <cell r="E154" t="str">
            <v>现金流量套期损益的有效部分</v>
          </cell>
          <cell r="F154">
            <v>0</v>
          </cell>
          <cell r="G154">
            <v>0</v>
          </cell>
          <cell r="H154">
            <v>0</v>
          </cell>
          <cell r="I154">
            <v>0</v>
          </cell>
          <cell r="J154">
            <v>0</v>
          </cell>
          <cell r="K154">
            <v>0</v>
          </cell>
          <cell r="L154">
            <v>0</v>
          </cell>
          <cell r="M154">
            <v>0</v>
          </cell>
        </row>
        <row r="155">
          <cell r="D155">
            <v>6829.2349999999997</v>
          </cell>
          <cell r="E155" t="str">
            <v>外币财务报表折算差额</v>
          </cell>
          <cell r="F155">
            <v>0</v>
          </cell>
          <cell r="G155">
            <v>0</v>
          </cell>
          <cell r="H155">
            <v>0</v>
          </cell>
          <cell r="I155">
            <v>0</v>
          </cell>
          <cell r="J155">
            <v>0</v>
          </cell>
          <cell r="K155">
            <v>0</v>
          </cell>
          <cell r="L155">
            <v>0</v>
          </cell>
          <cell r="M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J156">
            <v>0</v>
          </cell>
          <cell r="K156">
            <v>0</v>
          </cell>
          <cell r="L156">
            <v>0</v>
          </cell>
          <cell r="M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J157">
            <v>0</v>
          </cell>
          <cell r="K157">
            <v>0</v>
          </cell>
          <cell r="L157">
            <v>0</v>
          </cell>
          <cell r="M157">
            <v>0</v>
          </cell>
        </row>
        <row r="158">
          <cell r="D158">
            <v>6829.2389999999996</v>
          </cell>
          <cell r="E158" t="str">
            <v>其他以后将重分类进损益的其他综合收益</v>
          </cell>
          <cell r="F158">
            <v>0</v>
          </cell>
          <cell r="G158">
            <v>0</v>
          </cell>
          <cell r="H158">
            <v>0</v>
          </cell>
          <cell r="I158">
            <v>0</v>
          </cell>
          <cell r="J158">
            <v>0</v>
          </cell>
          <cell r="K158">
            <v>0</v>
          </cell>
          <cell r="L158">
            <v>0</v>
          </cell>
          <cell r="M158">
            <v>0</v>
          </cell>
        </row>
        <row r="159">
          <cell r="D159">
            <v>6829.5</v>
          </cell>
          <cell r="E159" t="str">
            <v>归属于少数股东的其他综合收益的税后净额</v>
          </cell>
          <cell r="F159">
            <v>0</v>
          </cell>
          <cell r="G159">
            <v>0</v>
          </cell>
          <cell r="H159">
            <v>0</v>
          </cell>
          <cell r="I159">
            <v>0</v>
          </cell>
          <cell r="J159">
            <v>0</v>
          </cell>
          <cell r="K159">
            <v>0</v>
          </cell>
          <cell r="L159">
            <v>0</v>
          </cell>
          <cell r="M159">
            <v>0</v>
          </cell>
        </row>
        <row r="160">
          <cell r="D160">
            <v>6839</v>
          </cell>
          <cell r="E160" t="str">
            <v>综合收益总额</v>
          </cell>
          <cell r="F160">
            <v>149252701.22999999</v>
          </cell>
          <cell r="G160">
            <v>17604345.140000001</v>
          </cell>
          <cell r="H160">
            <v>11726042.539999999</v>
          </cell>
          <cell r="I160">
            <v>143374398.63</v>
          </cell>
          <cell r="J160">
            <v>133421841.95999999</v>
          </cell>
          <cell r="K160">
            <v>0</v>
          </cell>
          <cell r="L160">
            <v>0</v>
          </cell>
          <cell r="M160">
            <v>133421841.95999999</v>
          </cell>
        </row>
        <row r="161">
          <cell r="D161">
            <v>6841</v>
          </cell>
          <cell r="E161" t="str">
            <v>归属于母公司所有者的综合收益总额</v>
          </cell>
          <cell r="F161">
            <v>149252701.22999999</v>
          </cell>
          <cell r="G161">
            <v>17604345.140000001</v>
          </cell>
          <cell r="H161">
            <v>11726042.539999999</v>
          </cell>
          <cell r="I161">
            <v>143374398.63</v>
          </cell>
          <cell r="J161">
            <v>133421841.95999999</v>
          </cell>
          <cell r="K161">
            <v>0</v>
          </cell>
          <cell r="L161">
            <v>0</v>
          </cell>
          <cell r="M161">
            <v>133421841.95999999</v>
          </cell>
        </row>
        <row r="162">
          <cell r="D162">
            <v>6842</v>
          </cell>
          <cell r="E162" t="str">
            <v>归属于少数股东的综合收益总额</v>
          </cell>
          <cell r="F162">
            <v>0</v>
          </cell>
          <cell r="G162">
            <v>0</v>
          </cell>
          <cell r="H162">
            <v>0</v>
          </cell>
          <cell r="I162">
            <v>0</v>
          </cell>
          <cell r="J162">
            <v>0</v>
          </cell>
          <cell r="K162">
            <v>0</v>
          </cell>
          <cell r="L162">
            <v>0</v>
          </cell>
          <cell r="M162">
            <v>0</v>
          </cell>
        </row>
        <row r="163">
          <cell r="D163">
            <v>6820</v>
          </cell>
          <cell r="E163" t="str">
            <v>每股收益</v>
          </cell>
          <cell r="F163">
            <v>0</v>
          </cell>
          <cell r="G163">
            <v>0</v>
          </cell>
          <cell r="H163">
            <v>0</v>
          </cell>
          <cell r="I163">
            <v>0</v>
          </cell>
          <cell r="J163">
            <v>0</v>
          </cell>
          <cell r="K163">
            <v>0</v>
          </cell>
          <cell r="L163">
            <v>0</v>
          </cell>
          <cell r="M163">
            <v>0</v>
          </cell>
        </row>
        <row r="164">
          <cell r="D164">
            <v>6821</v>
          </cell>
          <cell r="E164" t="str">
            <v>基本每股收益</v>
          </cell>
          <cell r="F164">
            <v>0</v>
          </cell>
          <cell r="G164">
            <v>0</v>
          </cell>
          <cell r="H164">
            <v>0</v>
          </cell>
          <cell r="I164">
            <v>0</v>
          </cell>
          <cell r="J164">
            <v>0</v>
          </cell>
          <cell r="K164">
            <v>0</v>
          </cell>
          <cell r="L164">
            <v>0</v>
          </cell>
          <cell r="M164">
            <v>0</v>
          </cell>
        </row>
        <row r="165">
          <cell r="D165">
            <v>6822</v>
          </cell>
          <cell r="E165" t="str">
            <v>稀释每股收益</v>
          </cell>
          <cell r="F165">
            <v>0</v>
          </cell>
          <cell r="G165">
            <v>0</v>
          </cell>
          <cell r="H165">
            <v>0</v>
          </cell>
          <cell r="I165">
            <v>0</v>
          </cell>
          <cell r="J165">
            <v>0</v>
          </cell>
          <cell r="K165">
            <v>0</v>
          </cell>
          <cell r="L165">
            <v>0</v>
          </cell>
          <cell r="M165">
            <v>0</v>
          </cell>
        </row>
        <row r="166">
          <cell r="D166">
            <v>8</v>
          </cell>
          <cell r="E166" t="str">
            <v>所有者权益变动表</v>
          </cell>
          <cell r="F166">
            <v>0</v>
          </cell>
          <cell r="G166">
            <v>0</v>
          </cell>
          <cell r="H166">
            <v>0</v>
          </cell>
          <cell r="I166">
            <v>0</v>
          </cell>
          <cell r="J166">
            <v>0</v>
          </cell>
          <cell r="K166">
            <v>0</v>
          </cell>
          <cell r="L166">
            <v>0</v>
          </cell>
          <cell r="M166">
            <v>0</v>
          </cell>
        </row>
        <row r="167">
          <cell r="D167">
            <v>8000</v>
          </cell>
          <cell r="E167" t="str">
            <v>所有者权益增减变动</v>
          </cell>
          <cell r="F167">
            <v>0</v>
          </cell>
          <cell r="G167">
            <v>0</v>
          </cell>
          <cell r="H167">
            <v>0</v>
          </cell>
          <cell r="I167">
            <v>0</v>
          </cell>
          <cell r="J167">
            <v>0</v>
          </cell>
          <cell r="K167">
            <v>0</v>
          </cell>
          <cell r="L167">
            <v>0</v>
          </cell>
          <cell r="M167">
            <v>0</v>
          </cell>
        </row>
        <row r="168">
          <cell r="D168">
            <v>8001</v>
          </cell>
          <cell r="E168" t="str">
            <v>所有者权益_上年年末余额</v>
          </cell>
          <cell r="F168">
            <v>1664750763.0799999</v>
          </cell>
          <cell r="G168">
            <v>0</v>
          </cell>
          <cell r="H168">
            <v>0</v>
          </cell>
          <cell r="I168">
            <v>1664750763.0799999</v>
          </cell>
          <cell r="J168">
            <v>1567728921.1199999</v>
          </cell>
          <cell r="K168">
            <v>0</v>
          </cell>
          <cell r="L168">
            <v>0</v>
          </cell>
          <cell r="M168">
            <v>1567728921.1199999</v>
          </cell>
        </row>
        <row r="169">
          <cell r="D169">
            <v>8002</v>
          </cell>
          <cell r="E169" t="str">
            <v>所有者权益_会计政策变更调整上年年末余额</v>
          </cell>
          <cell r="F169">
            <v>0</v>
          </cell>
          <cell r="G169">
            <v>0</v>
          </cell>
          <cell r="H169">
            <v>0</v>
          </cell>
          <cell r="I169">
            <v>0</v>
          </cell>
          <cell r="J169">
            <v>0</v>
          </cell>
          <cell r="K169">
            <v>0</v>
          </cell>
          <cell r="L169">
            <v>0</v>
          </cell>
          <cell r="M169">
            <v>0</v>
          </cell>
        </row>
        <row r="170">
          <cell r="D170">
            <v>8003</v>
          </cell>
          <cell r="E170" t="str">
            <v>所有者权益_前期差错更正调整上年年末余额</v>
          </cell>
          <cell r="F170">
            <v>-5113929.4000000004</v>
          </cell>
          <cell r="G170">
            <v>0</v>
          </cell>
          <cell r="H170">
            <v>0</v>
          </cell>
          <cell r="I170">
            <v>-5113929.4000000004</v>
          </cell>
          <cell r="J170">
            <v>0</v>
          </cell>
          <cell r="K170">
            <v>0</v>
          </cell>
          <cell r="L170">
            <v>0</v>
          </cell>
          <cell r="M170">
            <v>0</v>
          </cell>
        </row>
        <row r="171">
          <cell r="D171">
            <v>8004</v>
          </cell>
          <cell r="E171" t="str">
            <v>所有者权益_同一控制下企业合并调整上年年末余额</v>
          </cell>
          <cell r="F171">
            <v>0</v>
          </cell>
          <cell r="G171">
            <v>0</v>
          </cell>
          <cell r="H171">
            <v>0</v>
          </cell>
          <cell r="I171">
            <v>0</v>
          </cell>
          <cell r="J171">
            <v>0</v>
          </cell>
          <cell r="K171">
            <v>0</v>
          </cell>
          <cell r="L171">
            <v>0</v>
          </cell>
          <cell r="M171">
            <v>0</v>
          </cell>
        </row>
        <row r="172">
          <cell r="D172">
            <v>8009</v>
          </cell>
          <cell r="E172" t="str">
            <v>所有者权益_其他原因调整上年年末余额</v>
          </cell>
          <cell r="F172">
            <v>0</v>
          </cell>
          <cell r="G172">
            <v>0</v>
          </cell>
          <cell r="H172">
            <v>0</v>
          </cell>
          <cell r="I172">
            <v>0</v>
          </cell>
          <cell r="J172">
            <v>0</v>
          </cell>
          <cell r="K172">
            <v>0</v>
          </cell>
          <cell r="L172">
            <v>0</v>
          </cell>
          <cell r="M172">
            <v>0</v>
          </cell>
        </row>
        <row r="173">
          <cell r="D173">
            <v>8010</v>
          </cell>
          <cell r="E173" t="str">
            <v>所有者权益_本年年初余额</v>
          </cell>
          <cell r="F173">
            <v>1659636833.6800001</v>
          </cell>
          <cell r="G173">
            <v>0</v>
          </cell>
          <cell r="H173">
            <v>0</v>
          </cell>
          <cell r="I173">
            <v>1659636833.6800001</v>
          </cell>
          <cell r="J173">
            <v>1567728921.1199999</v>
          </cell>
          <cell r="K173">
            <v>0</v>
          </cell>
          <cell r="L173">
            <v>0</v>
          </cell>
          <cell r="M173">
            <v>1567728921.1199999</v>
          </cell>
        </row>
        <row r="174">
          <cell r="D174">
            <v>8090</v>
          </cell>
          <cell r="E174" t="str">
            <v>所有者权益_本期增减变动金额</v>
          </cell>
          <cell r="F174">
            <v>97252701.230000004</v>
          </cell>
          <cell r="G174">
            <v>34605103.100000001</v>
          </cell>
          <cell r="H174">
            <v>28726800.5</v>
          </cell>
          <cell r="I174">
            <v>91374398.629999995</v>
          </cell>
          <cell r="J174">
            <v>97021841.959999993</v>
          </cell>
          <cell r="K174">
            <v>0</v>
          </cell>
          <cell r="L174">
            <v>0</v>
          </cell>
          <cell r="M174">
            <v>97021841.959999993</v>
          </cell>
        </row>
        <row r="175">
          <cell r="D175">
            <v>8021</v>
          </cell>
          <cell r="E175" t="str">
            <v>所有者权益_净利润增加权益</v>
          </cell>
          <cell r="F175">
            <v>149252701.22999999</v>
          </cell>
          <cell r="G175">
            <v>17604345.140000001</v>
          </cell>
          <cell r="H175">
            <v>11726042.539999999</v>
          </cell>
          <cell r="I175">
            <v>143374398.63</v>
          </cell>
          <cell r="J175">
            <v>133421841.95999999</v>
          </cell>
          <cell r="K175">
            <v>0</v>
          </cell>
          <cell r="L175">
            <v>0</v>
          </cell>
          <cell r="M175">
            <v>133421841.95999999</v>
          </cell>
        </row>
        <row r="176">
          <cell r="D176">
            <v>8030</v>
          </cell>
          <cell r="E176" t="str">
            <v>所有者权益_其他综合收益增加权益</v>
          </cell>
          <cell r="F176">
            <v>0</v>
          </cell>
          <cell r="G176">
            <v>0</v>
          </cell>
          <cell r="H176">
            <v>0</v>
          </cell>
          <cell r="I176">
            <v>0</v>
          </cell>
          <cell r="J176">
            <v>0</v>
          </cell>
          <cell r="K176">
            <v>0</v>
          </cell>
          <cell r="L176">
            <v>0</v>
          </cell>
          <cell r="M176">
            <v>0</v>
          </cell>
        </row>
        <row r="177">
          <cell r="D177">
            <v>8040</v>
          </cell>
          <cell r="E177" t="str">
            <v>所有者权益_综合收益总额增加权益</v>
          </cell>
          <cell r="F177">
            <v>149252701.22999999</v>
          </cell>
          <cell r="G177">
            <v>17604345.140000001</v>
          </cell>
          <cell r="H177">
            <v>11726042.539999999</v>
          </cell>
          <cell r="I177">
            <v>143374398.63</v>
          </cell>
          <cell r="J177">
            <v>133421841.95999999</v>
          </cell>
          <cell r="K177">
            <v>0</v>
          </cell>
          <cell r="L177">
            <v>0</v>
          </cell>
          <cell r="M177">
            <v>133421841.95999999</v>
          </cell>
        </row>
        <row r="178">
          <cell r="D178">
            <v>8050</v>
          </cell>
          <cell r="E178" t="str">
            <v>所有者权益_所有者投入和减少资本影响权益</v>
          </cell>
          <cell r="F178">
            <v>0</v>
          </cell>
          <cell r="G178">
            <v>0</v>
          </cell>
          <cell r="H178">
            <v>0</v>
          </cell>
          <cell r="I178">
            <v>0</v>
          </cell>
          <cell r="J178">
            <v>0</v>
          </cell>
          <cell r="K178">
            <v>0</v>
          </cell>
          <cell r="L178">
            <v>0</v>
          </cell>
          <cell r="M178">
            <v>0</v>
          </cell>
        </row>
        <row r="179">
          <cell r="D179">
            <v>8051</v>
          </cell>
          <cell r="E179" t="str">
            <v>所有者权益_所有者投入资本增加权益</v>
          </cell>
          <cell r="F179">
            <v>0</v>
          </cell>
          <cell r="G179">
            <v>0</v>
          </cell>
          <cell r="H179">
            <v>0</v>
          </cell>
          <cell r="I179">
            <v>0</v>
          </cell>
          <cell r="J179">
            <v>0</v>
          </cell>
          <cell r="K179">
            <v>0</v>
          </cell>
          <cell r="L179">
            <v>0</v>
          </cell>
          <cell r="M179">
            <v>0</v>
          </cell>
        </row>
        <row r="180">
          <cell r="D180">
            <v>8053</v>
          </cell>
          <cell r="E180" t="str">
            <v>所有者权益_其他权益工具持有者投入资本</v>
          </cell>
          <cell r="F180">
            <v>0</v>
          </cell>
          <cell r="G180">
            <v>0</v>
          </cell>
          <cell r="H180">
            <v>0</v>
          </cell>
          <cell r="I180">
            <v>0</v>
          </cell>
          <cell r="J180">
            <v>0</v>
          </cell>
          <cell r="K180">
            <v>0</v>
          </cell>
          <cell r="L180">
            <v>0</v>
          </cell>
          <cell r="M180">
            <v>0</v>
          </cell>
        </row>
        <row r="181">
          <cell r="D181">
            <v>8052</v>
          </cell>
          <cell r="E181" t="str">
            <v>所有者权益_股份支付计入所有者权益的金额</v>
          </cell>
          <cell r="F181">
            <v>0</v>
          </cell>
          <cell r="G181">
            <v>0</v>
          </cell>
          <cell r="H181">
            <v>0</v>
          </cell>
          <cell r="I181">
            <v>0</v>
          </cell>
          <cell r="J181">
            <v>0</v>
          </cell>
          <cell r="K181">
            <v>0</v>
          </cell>
          <cell r="L181">
            <v>0</v>
          </cell>
          <cell r="M181">
            <v>0</v>
          </cell>
        </row>
        <row r="182">
          <cell r="D182">
            <v>8056</v>
          </cell>
          <cell r="E182" t="str">
            <v>所有者权益_所有者其他投入和减少资本</v>
          </cell>
          <cell r="F182">
            <v>0</v>
          </cell>
          <cell r="G182">
            <v>0</v>
          </cell>
          <cell r="H182">
            <v>0</v>
          </cell>
          <cell r="I182">
            <v>0</v>
          </cell>
          <cell r="J182">
            <v>0</v>
          </cell>
          <cell r="K182">
            <v>0</v>
          </cell>
          <cell r="L182">
            <v>0</v>
          </cell>
          <cell r="M182">
            <v>0</v>
          </cell>
        </row>
        <row r="183">
          <cell r="D183">
            <v>8060</v>
          </cell>
          <cell r="E183" t="str">
            <v>所有者权益_利润分配影响权益</v>
          </cell>
          <cell r="F183">
            <v>-52000000</v>
          </cell>
          <cell r="G183">
            <v>17000757.960000001</v>
          </cell>
          <cell r="H183">
            <v>17000757.960000001</v>
          </cell>
          <cell r="I183">
            <v>-52000000</v>
          </cell>
          <cell r="J183">
            <v>-36400000</v>
          </cell>
          <cell r="K183">
            <v>0</v>
          </cell>
          <cell r="L183">
            <v>0</v>
          </cell>
          <cell r="M183">
            <v>-36400000</v>
          </cell>
        </row>
        <row r="184">
          <cell r="D184">
            <v>8061</v>
          </cell>
          <cell r="E184" t="str">
            <v>所有者权益_提取盈余公积影响权益</v>
          </cell>
          <cell r="F184">
            <v>0</v>
          </cell>
          <cell r="G184">
            <v>17000757.960000001</v>
          </cell>
          <cell r="H184">
            <v>17000757.960000001</v>
          </cell>
          <cell r="I184">
            <v>0</v>
          </cell>
          <cell r="J184">
            <v>0</v>
          </cell>
          <cell r="K184">
            <v>0</v>
          </cell>
          <cell r="L184">
            <v>0</v>
          </cell>
          <cell r="M184">
            <v>0</v>
          </cell>
        </row>
        <row r="185">
          <cell r="D185">
            <v>8062</v>
          </cell>
          <cell r="E185" t="str">
            <v>所有者权益_提取一般风险准备影响权益</v>
          </cell>
          <cell r="F185">
            <v>0</v>
          </cell>
          <cell r="G185">
            <v>0</v>
          </cell>
          <cell r="H185">
            <v>0</v>
          </cell>
          <cell r="I185">
            <v>0</v>
          </cell>
          <cell r="J185">
            <v>0</v>
          </cell>
          <cell r="K185">
            <v>0</v>
          </cell>
          <cell r="L185">
            <v>0</v>
          </cell>
          <cell r="M185">
            <v>0</v>
          </cell>
        </row>
        <row r="186">
          <cell r="D186">
            <v>8063</v>
          </cell>
          <cell r="E186" t="str">
            <v>所有者权益_对所有者的分配影响权益</v>
          </cell>
          <cell r="F186">
            <v>-52000000</v>
          </cell>
          <cell r="G186">
            <v>0</v>
          </cell>
          <cell r="H186">
            <v>0</v>
          </cell>
          <cell r="I186">
            <v>-52000000</v>
          </cell>
          <cell r="J186">
            <v>-36400000</v>
          </cell>
          <cell r="K186">
            <v>0</v>
          </cell>
          <cell r="L186">
            <v>0</v>
          </cell>
          <cell r="M186">
            <v>-36400000</v>
          </cell>
        </row>
        <row r="187">
          <cell r="D187">
            <v>8066</v>
          </cell>
          <cell r="E187" t="str">
            <v>所有者权益_其他利润分配影响权益</v>
          </cell>
          <cell r="F187">
            <v>0</v>
          </cell>
          <cell r="G187">
            <v>0</v>
          </cell>
          <cell r="H187">
            <v>0</v>
          </cell>
          <cell r="I187">
            <v>0</v>
          </cell>
          <cell r="J187">
            <v>0</v>
          </cell>
          <cell r="K187">
            <v>0</v>
          </cell>
          <cell r="L187">
            <v>0</v>
          </cell>
          <cell r="M187">
            <v>0</v>
          </cell>
        </row>
        <row r="188">
          <cell r="D188">
            <v>8070</v>
          </cell>
          <cell r="E188" t="str">
            <v>所有者权益_所有者权益内部结转</v>
          </cell>
          <cell r="F188">
            <v>0</v>
          </cell>
          <cell r="G188">
            <v>0</v>
          </cell>
          <cell r="H188">
            <v>0</v>
          </cell>
          <cell r="I188">
            <v>0</v>
          </cell>
          <cell r="J188">
            <v>0</v>
          </cell>
          <cell r="K188">
            <v>0</v>
          </cell>
          <cell r="L188">
            <v>0</v>
          </cell>
          <cell r="M188">
            <v>0</v>
          </cell>
        </row>
        <row r="189">
          <cell r="D189">
            <v>8071</v>
          </cell>
          <cell r="E189" t="str">
            <v>所有者权益_资本公积转增资本影响权益</v>
          </cell>
          <cell r="F189">
            <v>0</v>
          </cell>
          <cell r="G189">
            <v>0</v>
          </cell>
          <cell r="H189">
            <v>0</v>
          </cell>
          <cell r="I189">
            <v>0</v>
          </cell>
          <cell r="J189">
            <v>0</v>
          </cell>
          <cell r="K189">
            <v>0</v>
          </cell>
          <cell r="L189">
            <v>0</v>
          </cell>
          <cell r="M189">
            <v>0</v>
          </cell>
        </row>
        <row r="190">
          <cell r="D190">
            <v>8072</v>
          </cell>
          <cell r="E190" t="str">
            <v>所有者权益_盈余公积转增资本影响权益</v>
          </cell>
          <cell r="F190">
            <v>0</v>
          </cell>
          <cell r="G190">
            <v>0</v>
          </cell>
          <cell r="H190">
            <v>0</v>
          </cell>
          <cell r="I190">
            <v>0</v>
          </cell>
          <cell r="J190">
            <v>0</v>
          </cell>
          <cell r="K190">
            <v>0</v>
          </cell>
          <cell r="L190">
            <v>0</v>
          </cell>
          <cell r="M190">
            <v>0</v>
          </cell>
        </row>
        <row r="191">
          <cell r="D191">
            <v>8073</v>
          </cell>
          <cell r="E191" t="str">
            <v>所有者权益_盈余公积弥补亏损影响权益</v>
          </cell>
          <cell r="F191">
            <v>0</v>
          </cell>
          <cell r="G191">
            <v>0</v>
          </cell>
          <cell r="H191">
            <v>0</v>
          </cell>
          <cell r="I191">
            <v>0</v>
          </cell>
          <cell r="J191">
            <v>0</v>
          </cell>
          <cell r="K191">
            <v>0</v>
          </cell>
          <cell r="L191">
            <v>0</v>
          </cell>
          <cell r="M191">
            <v>0</v>
          </cell>
        </row>
        <row r="192">
          <cell r="D192">
            <v>8075</v>
          </cell>
          <cell r="E192" t="str">
            <v>所有者权益_结转重新计量设定受益计划净负债或净资产所产生的变动</v>
          </cell>
          <cell r="F192">
            <v>0</v>
          </cell>
          <cell r="G192">
            <v>0</v>
          </cell>
          <cell r="H192">
            <v>0</v>
          </cell>
          <cell r="I192">
            <v>0</v>
          </cell>
          <cell r="J192">
            <v>0</v>
          </cell>
          <cell r="K192">
            <v>0</v>
          </cell>
          <cell r="L192">
            <v>0</v>
          </cell>
          <cell r="M192">
            <v>0</v>
          </cell>
        </row>
        <row r="193">
          <cell r="D193">
            <v>8076</v>
          </cell>
          <cell r="E193" t="str">
            <v>所有者权益_所有者权益其他内部结转</v>
          </cell>
          <cell r="F193">
            <v>0</v>
          </cell>
          <cell r="G193">
            <v>0</v>
          </cell>
          <cell r="H193">
            <v>0</v>
          </cell>
          <cell r="I193">
            <v>0</v>
          </cell>
          <cell r="J193">
            <v>0</v>
          </cell>
          <cell r="K193">
            <v>0</v>
          </cell>
          <cell r="L193">
            <v>0</v>
          </cell>
          <cell r="M193">
            <v>0</v>
          </cell>
        </row>
        <row r="194">
          <cell r="D194">
            <v>8080</v>
          </cell>
          <cell r="E194" t="str">
            <v>所有者权益_专项储备影响权益</v>
          </cell>
          <cell r="F194">
            <v>0</v>
          </cell>
          <cell r="G194">
            <v>0</v>
          </cell>
          <cell r="H194">
            <v>0</v>
          </cell>
          <cell r="I194">
            <v>0</v>
          </cell>
          <cell r="J194">
            <v>0</v>
          </cell>
          <cell r="K194">
            <v>0</v>
          </cell>
          <cell r="L194">
            <v>0</v>
          </cell>
          <cell r="M194">
            <v>0</v>
          </cell>
        </row>
        <row r="195">
          <cell r="D195">
            <v>8081</v>
          </cell>
          <cell r="E195" t="str">
            <v>所有者权益_专项储备本期提取</v>
          </cell>
          <cell r="F195">
            <v>0</v>
          </cell>
          <cell r="G195">
            <v>0</v>
          </cell>
          <cell r="H195">
            <v>0</v>
          </cell>
          <cell r="I195">
            <v>0</v>
          </cell>
          <cell r="J195">
            <v>0</v>
          </cell>
          <cell r="K195">
            <v>0</v>
          </cell>
          <cell r="L195">
            <v>0</v>
          </cell>
          <cell r="M195">
            <v>0</v>
          </cell>
        </row>
        <row r="196">
          <cell r="D196">
            <v>8082</v>
          </cell>
          <cell r="E196" t="str">
            <v>所有者权益_专项储备本期使用</v>
          </cell>
          <cell r="F196">
            <v>0</v>
          </cell>
          <cell r="G196">
            <v>0</v>
          </cell>
          <cell r="H196">
            <v>0</v>
          </cell>
          <cell r="I196">
            <v>0</v>
          </cell>
          <cell r="J196">
            <v>0</v>
          </cell>
          <cell r="K196">
            <v>0</v>
          </cell>
          <cell r="L196">
            <v>0</v>
          </cell>
          <cell r="M196">
            <v>0</v>
          </cell>
        </row>
        <row r="197">
          <cell r="D197">
            <v>8096</v>
          </cell>
          <cell r="E197" t="str">
            <v>所有者权益_本期其他增减变动</v>
          </cell>
          <cell r="F197">
            <v>0</v>
          </cell>
          <cell r="G197">
            <v>0</v>
          </cell>
          <cell r="H197">
            <v>0</v>
          </cell>
          <cell r="I197">
            <v>0</v>
          </cell>
          <cell r="J197">
            <v>0</v>
          </cell>
          <cell r="K197">
            <v>0</v>
          </cell>
          <cell r="L197">
            <v>0</v>
          </cell>
          <cell r="M197">
            <v>0</v>
          </cell>
        </row>
        <row r="198">
          <cell r="D198">
            <v>8099</v>
          </cell>
          <cell r="E198" t="str">
            <v>所有者权益_本期期末余额</v>
          </cell>
          <cell r="F198">
            <v>1756889534.9100001</v>
          </cell>
          <cell r="G198">
            <v>34605103.100000001</v>
          </cell>
          <cell r="H198">
            <v>28726800.5</v>
          </cell>
          <cell r="I198">
            <v>1751011232.3099999</v>
          </cell>
          <cell r="J198">
            <v>1664750763.0799999</v>
          </cell>
          <cell r="K198">
            <v>0</v>
          </cell>
          <cell r="L198">
            <v>0</v>
          </cell>
          <cell r="M198">
            <v>1664750763.0799999</v>
          </cell>
        </row>
        <row r="199">
          <cell r="D199">
            <v>8100</v>
          </cell>
          <cell r="E199" t="str">
            <v>实收资本增减变动</v>
          </cell>
          <cell r="F199">
            <v>0</v>
          </cell>
          <cell r="G199">
            <v>0</v>
          </cell>
          <cell r="H199">
            <v>0</v>
          </cell>
          <cell r="I199">
            <v>0</v>
          </cell>
          <cell r="J199">
            <v>0</v>
          </cell>
          <cell r="K199">
            <v>0</v>
          </cell>
          <cell r="L199">
            <v>0</v>
          </cell>
          <cell r="M199">
            <v>0</v>
          </cell>
        </row>
        <row r="200">
          <cell r="D200">
            <v>8101</v>
          </cell>
          <cell r="E200" t="str">
            <v>实收资本_上年年末余额</v>
          </cell>
          <cell r="F200">
            <v>104000000</v>
          </cell>
          <cell r="G200">
            <v>0</v>
          </cell>
          <cell r="H200">
            <v>0</v>
          </cell>
          <cell r="I200">
            <v>104000000</v>
          </cell>
          <cell r="J200">
            <v>104000000</v>
          </cell>
          <cell r="K200">
            <v>0</v>
          </cell>
          <cell r="L200">
            <v>0</v>
          </cell>
          <cell r="M200">
            <v>104000000</v>
          </cell>
        </row>
        <row r="201">
          <cell r="D201">
            <v>8102</v>
          </cell>
          <cell r="E201" t="str">
            <v>实收资本_会计政策变更调整上年年末余额</v>
          </cell>
          <cell r="F201">
            <v>0</v>
          </cell>
          <cell r="G201">
            <v>0</v>
          </cell>
          <cell r="H201">
            <v>0</v>
          </cell>
          <cell r="I201">
            <v>0</v>
          </cell>
          <cell r="J201">
            <v>0</v>
          </cell>
          <cell r="K201">
            <v>0</v>
          </cell>
          <cell r="L201">
            <v>0</v>
          </cell>
          <cell r="M201">
            <v>0</v>
          </cell>
        </row>
        <row r="202">
          <cell r="D202">
            <v>8103</v>
          </cell>
          <cell r="E202" t="str">
            <v>实收资本_前期差错更正调整上年年末余额</v>
          </cell>
          <cell r="F202">
            <v>0</v>
          </cell>
          <cell r="G202">
            <v>0</v>
          </cell>
          <cell r="H202">
            <v>0</v>
          </cell>
          <cell r="I202">
            <v>0</v>
          </cell>
          <cell r="J202">
            <v>0</v>
          </cell>
          <cell r="K202">
            <v>0</v>
          </cell>
          <cell r="L202">
            <v>0</v>
          </cell>
          <cell r="M202">
            <v>0</v>
          </cell>
        </row>
        <row r="203">
          <cell r="D203">
            <v>8104</v>
          </cell>
          <cell r="E203" t="str">
            <v>实收资本_同一控制下企业合并调整上年年末余额</v>
          </cell>
          <cell r="F203">
            <v>0</v>
          </cell>
          <cell r="G203">
            <v>0</v>
          </cell>
          <cell r="H203">
            <v>0</v>
          </cell>
          <cell r="I203">
            <v>0</v>
          </cell>
          <cell r="J203">
            <v>0</v>
          </cell>
          <cell r="K203">
            <v>0</v>
          </cell>
          <cell r="L203">
            <v>0</v>
          </cell>
          <cell r="M203">
            <v>0</v>
          </cell>
        </row>
        <row r="204">
          <cell r="D204">
            <v>8109</v>
          </cell>
          <cell r="E204" t="str">
            <v>实收资本_其他原因调整上年年末余额</v>
          </cell>
          <cell r="F204">
            <v>0</v>
          </cell>
          <cell r="G204">
            <v>0</v>
          </cell>
          <cell r="H204">
            <v>0</v>
          </cell>
          <cell r="I204">
            <v>0</v>
          </cell>
          <cell r="J204">
            <v>0</v>
          </cell>
          <cell r="K204">
            <v>0</v>
          </cell>
          <cell r="L204">
            <v>0</v>
          </cell>
          <cell r="M204">
            <v>0</v>
          </cell>
        </row>
        <row r="205">
          <cell r="D205">
            <v>8110</v>
          </cell>
          <cell r="E205" t="str">
            <v>实收资本_本年年初余额</v>
          </cell>
          <cell r="F205">
            <v>104000000</v>
          </cell>
          <cell r="G205">
            <v>0</v>
          </cell>
          <cell r="H205">
            <v>0</v>
          </cell>
          <cell r="I205">
            <v>104000000</v>
          </cell>
          <cell r="J205">
            <v>104000000</v>
          </cell>
          <cell r="K205">
            <v>0</v>
          </cell>
          <cell r="L205">
            <v>0</v>
          </cell>
          <cell r="M205">
            <v>104000000</v>
          </cell>
        </row>
        <row r="206">
          <cell r="D206">
            <v>8190</v>
          </cell>
          <cell r="E206" t="str">
            <v>实收资本_本期增减变动金额</v>
          </cell>
          <cell r="F206">
            <v>104000000</v>
          </cell>
          <cell r="G206">
            <v>0</v>
          </cell>
          <cell r="H206">
            <v>0</v>
          </cell>
          <cell r="I206">
            <v>104000000</v>
          </cell>
          <cell r="J206">
            <v>0</v>
          </cell>
          <cell r="K206">
            <v>0</v>
          </cell>
          <cell r="L206">
            <v>0</v>
          </cell>
          <cell r="M206">
            <v>0</v>
          </cell>
        </row>
        <row r="207">
          <cell r="D207">
            <v>8121</v>
          </cell>
          <cell r="E207" t="str">
            <v>实收资本_净利润增加权益</v>
          </cell>
          <cell r="F207">
            <v>0</v>
          </cell>
          <cell r="G207">
            <v>0</v>
          </cell>
          <cell r="H207">
            <v>0</v>
          </cell>
          <cell r="I207">
            <v>0</v>
          </cell>
          <cell r="J207">
            <v>0</v>
          </cell>
          <cell r="K207">
            <v>0</v>
          </cell>
          <cell r="L207">
            <v>0</v>
          </cell>
          <cell r="M207">
            <v>0</v>
          </cell>
        </row>
        <row r="208">
          <cell r="D208">
            <v>8130</v>
          </cell>
          <cell r="E208" t="str">
            <v>实收资本_其他综合收益增加权益</v>
          </cell>
          <cell r="F208">
            <v>0</v>
          </cell>
          <cell r="G208">
            <v>0</v>
          </cell>
          <cell r="H208">
            <v>0</v>
          </cell>
          <cell r="I208">
            <v>0</v>
          </cell>
          <cell r="J208">
            <v>0</v>
          </cell>
          <cell r="K208">
            <v>0</v>
          </cell>
          <cell r="L208">
            <v>0</v>
          </cell>
          <cell r="M208">
            <v>0</v>
          </cell>
        </row>
        <row r="209">
          <cell r="D209">
            <v>8140</v>
          </cell>
          <cell r="E209" t="str">
            <v>实收资本_综合收益总额增加权益</v>
          </cell>
          <cell r="F209">
            <v>0</v>
          </cell>
          <cell r="G209">
            <v>0</v>
          </cell>
          <cell r="H209">
            <v>0</v>
          </cell>
          <cell r="I209">
            <v>0</v>
          </cell>
          <cell r="J209">
            <v>0</v>
          </cell>
          <cell r="K209">
            <v>0</v>
          </cell>
          <cell r="L209">
            <v>0</v>
          </cell>
          <cell r="M209">
            <v>0</v>
          </cell>
        </row>
        <row r="210">
          <cell r="D210">
            <v>8150</v>
          </cell>
          <cell r="E210" t="str">
            <v>实收资本_所有者投入和减少资本影响权益</v>
          </cell>
          <cell r="F210">
            <v>0</v>
          </cell>
          <cell r="G210">
            <v>0</v>
          </cell>
          <cell r="H210">
            <v>0</v>
          </cell>
          <cell r="I210">
            <v>0</v>
          </cell>
          <cell r="J210">
            <v>0</v>
          </cell>
          <cell r="K210">
            <v>0</v>
          </cell>
          <cell r="L210">
            <v>0</v>
          </cell>
          <cell r="M210">
            <v>0</v>
          </cell>
        </row>
        <row r="211">
          <cell r="D211">
            <v>8151</v>
          </cell>
          <cell r="E211" t="str">
            <v>实收资本_所有者投入资本</v>
          </cell>
          <cell r="F211">
            <v>0</v>
          </cell>
          <cell r="G211">
            <v>0</v>
          </cell>
          <cell r="H211">
            <v>0</v>
          </cell>
          <cell r="I211">
            <v>0</v>
          </cell>
          <cell r="J211">
            <v>0</v>
          </cell>
          <cell r="K211">
            <v>0</v>
          </cell>
          <cell r="L211">
            <v>0</v>
          </cell>
          <cell r="M211">
            <v>0</v>
          </cell>
        </row>
        <row r="212">
          <cell r="D212">
            <v>8153</v>
          </cell>
          <cell r="E212" t="str">
            <v>实收资本_其他权益工具持有者投入资本</v>
          </cell>
          <cell r="F212">
            <v>0</v>
          </cell>
          <cell r="G212">
            <v>0</v>
          </cell>
          <cell r="H212">
            <v>0</v>
          </cell>
          <cell r="I212">
            <v>0</v>
          </cell>
          <cell r="J212">
            <v>0</v>
          </cell>
          <cell r="K212">
            <v>0</v>
          </cell>
          <cell r="L212">
            <v>0</v>
          </cell>
          <cell r="M212">
            <v>0</v>
          </cell>
        </row>
        <row r="213">
          <cell r="D213">
            <v>8152</v>
          </cell>
          <cell r="E213" t="str">
            <v>实收资本_股份支付计入所有者权益的金额</v>
          </cell>
          <cell r="F213">
            <v>0</v>
          </cell>
          <cell r="G213">
            <v>0</v>
          </cell>
          <cell r="H213">
            <v>0</v>
          </cell>
          <cell r="I213">
            <v>0</v>
          </cell>
          <cell r="J213">
            <v>0</v>
          </cell>
          <cell r="K213">
            <v>0</v>
          </cell>
          <cell r="L213">
            <v>0</v>
          </cell>
          <cell r="M213">
            <v>0</v>
          </cell>
        </row>
        <row r="214">
          <cell r="D214">
            <v>8156</v>
          </cell>
          <cell r="E214" t="str">
            <v>实收资本_所有者其他投入和减少资本</v>
          </cell>
          <cell r="F214">
            <v>0</v>
          </cell>
          <cell r="G214">
            <v>0</v>
          </cell>
          <cell r="H214">
            <v>0</v>
          </cell>
          <cell r="I214">
            <v>0</v>
          </cell>
          <cell r="J214">
            <v>0</v>
          </cell>
          <cell r="K214">
            <v>0</v>
          </cell>
          <cell r="L214">
            <v>0</v>
          </cell>
          <cell r="M214">
            <v>0</v>
          </cell>
        </row>
        <row r="215">
          <cell r="D215">
            <v>8160</v>
          </cell>
          <cell r="E215" t="str">
            <v>实收资本_利润分配影响权益</v>
          </cell>
          <cell r="F215">
            <v>0</v>
          </cell>
          <cell r="G215">
            <v>0</v>
          </cell>
          <cell r="H215">
            <v>0</v>
          </cell>
          <cell r="I215">
            <v>0</v>
          </cell>
          <cell r="J215">
            <v>0</v>
          </cell>
          <cell r="K215">
            <v>0</v>
          </cell>
          <cell r="L215">
            <v>0</v>
          </cell>
          <cell r="M215">
            <v>0</v>
          </cell>
        </row>
        <row r="216">
          <cell r="D216">
            <v>8161</v>
          </cell>
          <cell r="E216" t="str">
            <v>实收资本_提取盈余公积影响权益</v>
          </cell>
          <cell r="F216">
            <v>0</v>
          </cell>
          <cell r="G216">
            <v>0</v>
          </cell>
          <cell r="H216">
            <v>0</v>
          </cell>
          <cell r="I216">
            <v>0</v>
          </cell>
          <cell r="J216">
            <v>0</v>
          </cell>
          <cell r="K216">
            <v>0</v>
          </cell>
          <cell r="L216">
            <v>0</v>
          </cell>
          <cell r="M216">
            <v>0</v>
          </cell>
        </row>
        <row r="217">
          <cell r="D217">
            <v>8162</v>
          </cell>
          <cell r="E217" t="str">
            <v>实收资本_提取一般风险准备影响权益</v>
          </cell>
          <cell r="F217">
            <v>0</v>
          </cell>
          <cell r="G217">
            <v>0</v>
          </cell>
          <cell r="H217">
            <v>0</v>
          </cell>
          <cell r="I217">
            <v>0</v>
          </cell>
          <cell r="J217">
            <v>0</v>
          </cell>
          <cell r="K217">
            <v>0</v>
          </cell>
          <cell r="L217">
            <v>0</v>
          </cell>
          <cell r="M217">
            <v>0</v>
          </cell>
        </row>
        <row r="218">
          <cell r="D218">
            <v>8163</v>
          </cell>
          <cell r="E218" t="str">
            <v>实收资本_对所有者的分配影响权益</v>
          </cell>
          <cell r="F218">
            <v>0</v>
          </cell>
          <cell r="G218">
            <v>0</v>
          </cell>
          <cell r="H218">
            <v>0</v>
          </cell>
          <cell r="I218">
            <v>0</v>
          </cell>
          <cell r="J218">
            <v>0</v>
          </cell>
          <cell r="K218">
            <v>0</v>
          </cell>
          <cell r="L218">
            <v>0</v>
          </cell>
          <cell r="M218">
            <v>0</v>
          </cell>
        </row>
        <row r="219">
          <cell r="D219">
            <v>8166</v>
          </cell>
          <cell r="E219" t="str">
            <v>实收资本_其他利润分配影响权益</v>
          </cell>
          <cell r="F219">
            <v>0</v>
          </cell>
          <cell r="G219">
            <v>0</v>
          </cell>
          <cell r="H219">
            <v>0</v>
          </cell>
          <cell r="I219">
            <v>0</v>
          </cell>
          <cell r="J219">
            <v>0</v>
          </cell>
          <cell r="K219">
            <v>0</v>
          </cell>
          <cell r="L219">
            <v>0</v>
          </cell>
          <cell r="M219">
            <v>0</v>
          </cell>
        </row>
        <row r="220">
          <cell r="D220">
            <v>8170</v>
          </cell>
          <cell r="E220" t="str">
            <v>实收资本_所有者权益内部结转</v>
          </cell>
          <cell r="F220">
            <v>104000000</v>
          </cell>
          <cell r="G220">
            <v>0</v>
          </cell>
          <cell r="H220">
            <v>0</v>
          </cell>
          <cell r="I220">
            <v>104000000</v>
          </cell>
          <cell r="J220">
            <v>0</v>
          </cell>
          <cell r="K220">
            <v>0</v>
          </cell>
          <cell r="L220">
            <v>0</v>
          </cell>
          <cell r="M220">
            <v>0</v>
          </cell>
        </row>
        <row r="221">
          <cell r="D221">
            <v>8171</v>
          </cell>
          <cell r="E221" t="str">
            <v>实收资本_资本公积转增</v>
          </cell>
          <cell r="F221">
            <v>104000000</v>
          </cell>
          <cell r="G221">
            <v>0</v>
          </cell>
          <cell r="H221">
            <v>0</v>
          </cell>
          <cell r="I221">
            <v>104000000</v>
          </cell>
          <cell r="J221">
            <v>0</v>
          </cell>
          <cell r="K221">
            <v>0</v>
          </cell>
          <cell r="L221">
            <v>0</v>
          </cell>
          <cell r="M221">
            <v>0</v>
          </cell>
        </row>
        <row r="222">
          <cell r="D222">
            <v>8172</v>
          </cell>
          <cell r="E222" t="str">
            <v>实收资本_盈余公积转增</v>
          </cell>
          <cell r="F222">
            <v>0</v>
          </cell>
          <cell r="G222">
            <v>0</v>
          </cell>
          <cell r="H222">
            <v>0</v>
          </cell>
          <cell r="I222">
            <v>0</v>
          </cell>
          <cell r="J222">
            <v>0</v>
          </cell>
          <cell r="K222">
            <v>0</v>
          </cell>
          <cell r="L222">
            <v>0</v>
          </cell>
          <cell r="M222">
            <v>0</v>
          </cell>
        </row>
        <row r="223">
          <cell r="D223">
            <v>8173</v>
          </cell>
          <cell r="E223" t="str">
            <v>实收资本_盈余公积弥补亏损影响权益</v>
          </cell>
          <cell r="F223">
            <v>0</v>
          </cell>
          <cell r="G223">
            <v>0</v>
          </cell>
          <cell r="H223">
            <v>0</v>
          </cell>
          <cell r="I223">
            <v>0</v>
          </cell>
          <cell r="J223">
            <v>0</v>
          </cell>
          <cell r="K223">
            <v>0</v>
          </cell>
          <cell r="L223">
            <v>0</v>
          </cell>
          <cell r="M223">
            <v>0</v>
          </cell>
        </row>
        <row r="224">
          <cell r="D224">
            <v>8175</v>
          </cell>
          <cell r="E224" t="str">
            <v>实收资本_结转重新计量设定受益计划净负债或净资产所产生的变动</v>
          </cell>
          <cell r="F224">
            <v>0</v>
          </cell>
          <cell r="G224">
            <v>0</v>
          </cell>
          <cell r="H224">
            <v>0</v>
          </cell>
          <cell r="I224">
            <v>0</v>
          </cell>
          <cell r="J224">
            <v>0</v>
          </cell>
          <cell r="K224">
            <v>0</v>
          </cell>
          <cell r="L224">
            <v>0</v>
          </cell>
          <cell r="M224">
            <v>0</v>
          </cell>
        </row>
        <row r="225">
          <cell r="D225">
            <v>8176</v>
          </cell>
          <cell r="E225" t="str">
            <v>实收资本_所有者权益其他内部结转</v>
          </cell>
          <cell r="F225">
            <v>0</v>
          </cell>
          <cell r="G225">
            <v>0</v>
          </cell>
          <cell r="H225">
            <v>0</v>
          </cell>
          <cell r="I225">
            <v>0</v>
          </cell>
          <cell r="J225">
            <v>0</v>
          </cell>
          <cell r="K225">
            <v>0</v>
          </cell>
          <cell r="L225">
            <v>0</v>
          </cell>
          <cell r="M225">
            <v>0</v>
          </cell>
        </row>
        <row r="226">
          <cell r="D226">
            <v>8180</v>
          </cell>
          <cell r="E226" t="str">
            <v>实收资本_专项储备影响权益</v>
          </cell>
          <cell r="F226">
            <v>0</v>
          </cell>
          <cell r="G226">
            <v>0</v>
          </cell>
          <cell r="H226">
            <v>0</v>
          </cell>
          <cell r="I226">
            <v>0</v>
          </cell>
          <cell r="J226">
            <v>0</v>
          </cell>
          <cell r="K226">
            <v>0</v>
          </cell>
          <cell r="L226">
            <v>0</v>
          </cell>
          <cell r="M226">
            <v>0</v>
          </cell>
        </row>
        <row r="227">
          <cell r="D227">
            <v>8181</v>
          </cell>
          <cell r="E227" t="str">
            <v>实收资本_专项储备本期提取</v>
          </cell>
          <cell r="F227">
            <v>0</v>
          </cell>
          <cell r="G227">
            <v>0</v>
          </cell>
          <cell r="H227">
            <v>0</v>
          </cell>
          <cell r="I227">
            <v>0</v>
          </cell>
          <cell r="J227">
            <v>0</v>
          </cell>
          <cell r="K227">
            <v>0</v>
          </cell>
          <cell r="L227">
            <v>0</v>
          </cell>
          <cell r="M227">
            <v>0</v>
          </cell>
        </row>
        <row r="228">
          <cell r="D228">
            <v>8182</v>
          </cell>
          <cell r="E228" t="str">
            <v>实收资本_专项储备本期使用</v>
          </cell>
          <cell r="F228">
            <v>0</v>
          </cell>
          <cell r="G228">
            <v>0</v>
          </cell>
          <cell r="H228">
            <v>0</v>
          </cell>
          <cell r="I228">
            <v>0</v>
          </cell>
          <cell r="J228">
            <v>0</v>
          </cell>
          <cell r="K228">
            <v>0</v>
          </cell>
          <cell r="L228">
            <v>0</v>
          </cell>
          <cell r="M228">
            <v>0</v>
          </cell>
        </row>
        <row r="229">
          <cell r="D229">
            <v>8196</v>
          </cell>
          <cell r="E229" t="str">
            <v>实收资本_本期其他增减变动</v>
          </cell>
          <cell r="F229">
            <v>0</v>
          </cell>
          <cell r="G229">
            <v>0</v>
          </cell>
          <cell r="H229">
            <v>0</v>
          </cell>
          <cell r="I229">
            <v>0</v>
          </cell>
          <cell r="J229">
            <v>0</v>
          </cell>
          <cell r="K229">
            <v>0</v>
          </cell>
          <cell r="L229">
            <v>0</v>
          </cell>
          <cell r="M229">
            <v>0</v>
          </cell>
        </row>
        <row r="230">
          <cell r="D230">
            <v>8199</v>
          </cell>
          <cell r="E230" t="str">
            <v>实收资本_本期期末余额</v>
          </cell>
          <cell r="F230">
            <v>208000000</v>
          </cell>
          <cell r="G230">
            <v>0</v>
          </cell>
          <cell r="H230">
            <v>0</v>
          </cell>
          <cell r="I230">
            <v>208000000</v>
          </cell>
          <cell r="J230">
            <v>104000000</v>
          </cell>
          <cell r="K230">
            <v>0</v>
          </cell>
          <cell r="L230">
            <v>0</v>
          </cell>
          <cell r="M230">
            <v>104000000</v>
          </cell>
        </row>
        <row r="231">
          <cell r="D231" t="str">
            <v>8b00</v>
          </cell>
          <cell r="E231" t="str">
            <v>其他权益工具（优先股）增减变动</v>
          </cell>
          <cell r="F231">
            <v>0</v>
          </cell>
          <cell r="G231">
            <v>0</v>
          </cell>
          <cell r="H231">
            <v>0</v>
          </cell>
          <cell r="I231">
            <v>0</v>
          </cell>
          <cell r="J231">
            <v>0</v>
          </cell>
          <cell r="K231">
            <v>0</v>
          </cell>
          <cell r="L231">
            <v>0</v>
          </cell>
          <cell r="M231">
            <v>0</v>
          </cell>
        </row>
        <row r="232">
          <cell r="D232" t="str">
            <v>8b01</v>
          </cell>
          <cell r="E232" t="str">
            <v>其他权益工具（优先股）_上年年末余额</v>
          </cell>
          <cell r="F232">
            <v>0</v>
          </cell>
          <cell r="G232">
            <v>0</v>
          </cell>
          <cell r="H232">
            <v>0</v>
          </cell>
          <cell r="I232">
            <v>0</v>
          </cell>
          <cell r="J232">
            <v>0</v>
          </cell>
          <cell r="K232">
            <v>0</v>
          </cell>
          <cell r="L232">
            <v>0</v>
          </cell>
          <cell r="M232">
            <v>0</v>
          </cell>
        </row>
        <row r="233">
          <cell r="D233" t="str">
            <v>8b02</v>
          </cell>
          <cell r="E233" t="str">
            <v>其他权益工具（优先股）_会计政策变更调整上年年末余额</v>
          </cell>
          <cell r="F233">
            <v>0</v>
          </cell>
          <cell r="G233">
            <v>0</v>
          </cell>
          <cell r="H233">
            <v>0</v>
          </cell>
          <cell r="I233">
            <v>0</v>
          </cell>
          <cell r="J233">
            <v>0</v>
          </cell>
          <cell r="K233">
            <v>0</v>
          </cell>
          <cell r="L233">
            <v>0</v>
          </cell>
          <cell r="M233">
            <v>0</v>
          </cell>
        </row>
        <row r="234">
          <cell r="D234" t="str">
            <v>8b03</v>
          </cell>
          <cell r="E234" t="str">
            <v>其他权益工具（优先股）_前期差错更正调整上年年末余额</v>
          </cell>
          <cell r="F234">
            <v>0</v>
          </cell>
          <cell r="G234">
            <v>0</v>
          </cell>
          <cell r="H234">
            <v>0</v>
          </cell>
          <cell r="I234">
            <v>0</v>
          </cell>
          <cell r="J234">
            <v>0</v>
          </cell>
          <cell r="K234">
            <v>0</v>
          </cell>
          <cell r="L234">
            <v>0</v>
          </cell>
          <cell r="M234">
            <v>0</v>
          </cell>
        </row>
        <row r="235">
          <cell r="D235" t="str">
            <v>8b04</v>
          </cell>
          <cell r="E235" t="str">
            <v>其他权益工具（优先股）_同一控制下企业合并调整上年年末余额</v>
          </cell>
          <cell r="F235">
            <v>0</v>
          </cell>
          <cell r="G235">
            <v>0</v>
          </cell>
          <cell r="H235">
            <v>0</v>
          </cell>
          <cell r="I235">
            <v>0</v>
          </cell>
          <cell r="J235">
            <v>0</v>
          </cell>
          <cell r="K235">
            <v>0</v>
          </cell>
          <cell r="L235">
            <v>0</v>
          </cell>
          <cell r="M235">
            <v>0</v>
          </cell>
        </row>
        <row r="236">
          <cell r="D236" t="str">
            <v>8b09</v>
          </cell>
          <cell r="E236" t="str">
            <v>其他权益工具（优先股）_其他原因调整上年年末余额</v>
          </cell>
          <cell r="F236">
            <v>0</v>
          </cell>
          <cell r="G236">
            <v>0</v>
          </cell>
          <cell r="H236">
            <v>0</v>
          </cell>
          <cell r="I236">
            <v>0</v>
          </cell>
          <cell r="J236">
            <v>0</v>
          </cell>
          <cell r="K236">
            <v>0</v>
          </cell>
          <cell r="L236">
            <v>0</v>
          </cell>
          <cell r="M236">
            <v>0</v>
          </cell>
        </row>
        <row r="237">
          <cell r="D237" t="str">
            <v>8b10</v>
          </cell>
          <cell r="E237" t="str">
            <v>其他权益工具（优先股）_本年年初余额</v>
          </cell>
          <cell r="F237">
            <v>0</v>
          </cell>
          <cell r="G237">
            <v>0</v>
          </cell>
          <cell r="H237">
            <v>0</v>
          </cell>
          <cell r="I237">
            <v>0</v>
          </cell>
          <cell r="J237">
            <v>0</v>
          </cell>
          <cell r="K237">
            <v>0</v>
          </cell>
          <cell r="L237">
            <v>0</v>
          </cell>
          <cell r="M237">
            <v>0</v>
          </cell>
        </row>
        <row r="238">
          <cell r="D238" t="str">
            <v>8b90</v>
          </cell>
          <cell r="E238" t="str">
            <v>其他权益工具（优先股）_本期增减变动金额</v>
          </cell>
          <cell r="F238">
            <v>0</v>
          </cell>
          <cell r="G238">
            <v>0</v>
          </cell>
          <cell r="H238">
            <v>0</v>
          </cell>
          <cell r="I238">
            <v>0</v>
          </cell>
          <cell r="J238">
            <v>0</v>
          </cell>
          <cell r="K238">
            <v>0</v>
          </cell>
          <cell r="L238">
            <v>0</v>
          </cell>
          <cell r="M238">
            <v>0</v>
          </cell>
        </row>
        <row r="239">
          <cell r="D239" t="str">
            <v>8b40</v>
          </cell>
          <cell r="E239" t="str">
            <v>其他权益工具（优先股）_综合收益总额增加权益</v>
          </cell>
          <cell r="F239">
            <v>0</v>
          </cell>
          <cell r="G239">
            <v>0</v>
          </cell>
          <cell r="H239">
            <v>0</v>
          </cell>
          <cell r="I239">
            <v>0</v>
          </cell>
          <cell r="J239">
            <v>0</v>
          </cell>
          <cell r="K239">
            <v>0</v>
          </cell>
          <cell r="L239">
            <v>0</v>
          </cell>
          <cell r="M239">
            <v>0</v>
          </cell>
        </row>
        <row r="240">
          <cell r="D240" t="str">
            <v>8b50</v>
          </cell>
          <cell r="E240" t="str">
            <v>其他权益工具（优先股）_所有者投入和减少资本影响权益</v>
          </cell>
          <cell r="F240">
            <v>0</v>
          </cell>
          <cell r="G240">
            <v>0</v>
          </cell>
          <cell r="H240">
            <v>0</v>
          </cell>
          <cell r="I240">
            <v>0</v>
          </cell>
          <cell r="J240">
            <v>0</v>
          </cell>
          <cell r="K240">
            <v>0</v>
          </cell>
          <cell r="L240">
            <v>0</v>
          </cell>
          <cell r="M240">
            <v>0</v>
          </cell>
        </row>
        <row r="241">
          <cell r="D241" t="str">
            <v>8b51</v>
          </cell>
          <cell r="E241" t="str">
            <v>其他权益工具（优先股）_所有者投入资本</v>
          </cell>
          <cell r="F241">
            <v>0</v>
          </cell>
          <cell r="G241">
            <v>0</v>
          </cell>
          <cell r="H241">
            <v>0</v>
          </cell>
          <cell r="I241">
            <v>0</v>
          </cell>
          <cell r="J241">
            <v>0</v>
          </cell>
          <cell r="K241">
            <v>0</v>
          </cell>
          <cell r="L241">
            <v>0</v>
          </cell>
          <cell r="M241">
            <v>0</v>
          </cell>
        </row>
        <row r="242">
          <cell r="D242" t="str">
            <v>8b53</v>
          </cell>
          <cell r="E242" t="str">
            <v>其他权益工具（优先股）_其他权益工具持有者投入资本</v>
          </cell>
          <cell r="F242">
            <v>0</v>
          </cell>
          <cell r="G242">
            <v>0</v>
          </cell>
          <cell r="H242">
            <v>0</v>
          </cell>
          <cell r="I242">
            <v>0</v>
          </cell>
          <cell r="J242">
            <v>0</v>
          </cell>
          <cell r="K242">
            <v>0</v>
          </cell>
          <cell r="L242">
            <v>0</v>
          </cell>
          <cell r="M242">
            <v>0</v>
          </cell>
        </row>
        <row r="243">
          <cell r="D243" t="str">
            <v>8b52</v>
          </cell>
          <cell r="E243" t="str">
            <v>其他权益工具（优先股）_股份支付</v>
          </cell>
          <cell r="F243">
            <v>0</v>
          </cell>
          <cell r="G243">
            <v>0</v>
          </cell>
          <cell r="H243">
            <v>0</v>
          </cell>
          <cell r="I243">
            <v>0</v>
          </cell>
          <cell r="J243">
            <v>0</v>
          </cell>
          <cell r="K243">
            <v>0</v>
          </cell>
          <cell r="L243">
            <v>0</v>
          </cell>
          <cell r="M243">
            <v>0</v>
          </cell>
        </row>
        <row r="244">
          <cell r="D244" t="str">
            <v>8b56</v>
          </cell>
          <cell r="E244" t="str">
            <v>其他权益工具（优先股）_所有者其他投入和减少资本</v>
          </cell>
          <cell r="F244">
            <v>0</v>
          </cell>
          <cell r="G244">
            <v>0</v>
          </cell>
          <cell r="H244">
            <v>0</v>
          </cell>
          <cell r="I244">
            <v>0</v>
          </cell>
          <cell r="J244">
            <v>0</v>
          </cell>
          <cell r="K244">
            <v>0</v>
          </cell>
          <cell r="L244">
            <v>0</v>
          </cell>
          <cell r="M244">
            <v>0</v>
          </cell>
        </row>
        <row r="245">
          <cell r="D245" t="str">
            <v>8b60</v>
          </cell>
          <cell r="E245" t="str">
            <v>其他权益工具（优先股）_利润分配影响权益</v>
          </cell>
          <cell r="F245">
            <v>0</v>
          </cell>
          <cell r="G245">
            <v>0</v>
          </cell>
          <cell r="H245">
            <v>0</v>
          </cell>
          <cell r="I245">
            <v>0</v>
          </cell>
          <cell r="J245">
            <v>0</v>
          </cell>
          <cell r="K245">
            <v>0</v>
          </cell>
          <cell r="L245">
            <v>0</v>
          </cell>
          <cell r="M245">
            <v>0</v>
          </cell>
        </row>
        <row r="246">
          <cell r="D246" t="str">
            <v>8b61</v>
          </cell>
          <cell r="E246" t="str">
            <v>其他权益工具（优先股）_提取盈余公积</v>
          </cell>
          <cell r="F246">
            <v>0</v>
          </cell>
          <cell r="G246">
            <v>0</v>
          </cell>
          <cell r="H246">
            <v>0</v>
          </cell>
          <cell r="I246">
            <v>0</v>
          </cell>
          <cell r="J246">
            <v>0</v>
          </cell>
          <cell r="K246">
            <v>0</v>
          </cell>
          <cell r="L246">
            <v>0</v>
          </cell>
          <cell r="M246">
            <v>0</v>
          </cell>
        </row>
        <row r="247">
          <cell r="D247" t="str">
            <v>8b62</v>
          </cell>
          <cell r="E247" t="str">
            <v>其他权益工具（优先股）_提取一般风险准备</v>
          </cell>
          <cell r="F247">
            <v>0</v>
          </cell>
          <cell r="G247">
            <v>0</v>
          </cell>
          <cell r="H247">
            <v>0</v>
          </cell>
          <cell r="I247">
            <v>0</v>
          </cell>
          <cell r="J247">
            <v>0</v>
          </cell>
          <cell r="K247">
            <v>0</v>
          </cell>
          <cell r="L247">
            <v>0</v>
          </cell>
          <cell r="M247">
            <v>0</v>
          </cell>
        </row>
        <row r="248">
          <cell r="D248" t="str">
            <v>8b63</v>
          </cell>
          <cell r="E248" t="str">
            <v>其他权益工具（优先股）_对所有者的分配</v>
          </cell>
          <cell r="F248">
            <v>0</v>
          </cell>
          <cell r="G248">
            <v>0</v>
          </cell>
          <cell r="H248">
            <v>0</v>
          </cell>
          <cell r="I248">
            <v>0</v>
          </cell>
          <cell r="J248">
            <v>0</v>
          </cell>
          <cell r="K248">
            <v>0</v>
          </cell>
          <cell r="L248">
            <v>0</v>
          </cell>
          <cell r="M248">
            <v>0</v>
          </cell>
        </row>
        <row r="249">
          <cell r="D249" t="str">
            <v>8b66</v>
          </cell>
          <cell r="E249" t="str">
            <v>其他权益工具（优先股）_其他利润分配</v>
          </cell>
          <cell r="F249">
            <v>0</v>
          </cell>
          <cell r="G249">
            <v>0</v>
          </cell>
          <cell r="H249">
            <v>0</v>
          </cell>
          <cell r="I249">
            <v>0</v>
          </cell>
          <cell r="J249">
            <v>0</v>
          </cell>
          <cell r="K249">
            <v>0</v>
          </cell>
          <cell r="L249">
            <v>0</v>
          </cell>
          <cell r="M249">
            <v>0</v>
          </cell>
        </row>
        <row r="250">
          <cell r="D250" t="str">
            <v>8b70</v>
          </cell>
          <cell r="E250" t="str">
            <v>其他权益工具（优先股）_所有者权益内部结转</v>
          </cell>
          <cell r="F250">
            <v>0</v>
          </cell>
          <cell r="G250">
            <v>0</v>
          </cell>
          <cell r="H250">
            <v>0</v>
          </cell>
          <cell r="I250">
            <v>0</v>
          </cell>
          <cell r="J250">
            <v>0</v>
          </cell>
          <cell r="K250">
            <v>0</v>
          </cell>
          <cell r="L250">
            <v>0</v>
          </cell>
          <cell r="M250">
            <v>0</v>
          </cell>
        </row>
        <row r="251">
          <cell r="D251" t="str">
            <v>8b71</v>
          </cell>
          <cell r="E251" t="str">
            <v>其他权益工具（优先股）_资本公积转增资本</v>
          </cell>
          <cell r="F251">
            <v>0</v>
          </cell>
          <cell r="G251">
            <v>0</v>
          </cell>
          <cell r="H251">
            <v>0</v>
          </cell>
          <cell r="I251">
            <v>0</v>
          </cell>
          <cell r="J251">
            <v>0</v>
          </cell>
          <cell r="K251">
            <v>0</v>
          </cell>
          <cell r="L251">
            <v>0</v>
          </cell>
          <cell r="M251">
            <v>0</v>
          </cell>
        </row>
        <row r="252">
          <cell r="D252" t="str">
            <v>8b72</v>
          </cell>
          <cell r="E252" t="str">
            <v>其他权益工具（优先股）_盈余公积转增资本</v>
          </cell>
          <cell r="F252">
            <v>0</v>
          </cell>
          <cell r="G252">
            <v>0</v>
          </cell>
          <cell r="H252">
            <v>0</v>
          </cell>
          <cell r="I252">
            <v>0</v>
          </cell>
          <cell r="J252">
            <v>0</v>
          </cell>
          <cell r="K252">
            <v>0</v>
          </cell>
          <cell r="L252">
            <v>0</v>
          </cell>
          <cell r="M252">
            <v>0</v>
          </cell>
        </row>
        <row r="253">
          <cell r="D253" t="str">
            <v>8b73</v>
          </cell>
          <cell r="E253" t="str">
            <v>其他权益工具（优先股）_盈余公积弥补亏损</v>
          </cell>
          <cell r="F253">
            <v>0</v>
          </cell>
          <cell r="G253">
            <v>0</v>
          </cell>
          <cell r="H253">
            <v>0</v>
          </cell>
          <cell r="I253">
            <v>0</v>
          </cell>
          <cell r="J253">
            <v>0</v>
          </cell>
          <cell r="K253">
            <v>0</v>
          </cell>
          <cell r="L253">
            <v>0</v>
          </cell>
          <cell r="M253">
            <v>0</v>
          </cell>
        </row>
        <row r="254">
          <cell r="D254" t="str">
            <v>8b75</v>
          </cell>
          <cell r="E254" t="str">
            <v>其他权益工具（优先股）_结转重新计量设定受益计划净负债或净资产所产生的变动</v>
          </cell>
          <cell r="F254">
            <v>0</v>
          </cell>
          <cell r="G254">
            <v>0</v>
          </cell>
          <cell r="H254">
            <v>0</v>
          </cell>
          <cell r="I254">
            <v>0</v>
          </cell>
          <cell r="J254">
            <v>0</v>
          </cell>
          <cell r="K254">
            <v>0</v>
          </cell>
          <cell r="L254">
            <v>0</v>
          </cell>
          <cell r="M254">
            <v>0</v>
          </cell>
        </row>
        <row r="255">
          <cell r="D255" t="str">
            <v>8b76</v>
          </cell>
          <cell r="E255" t="str">
            <v>其他权益工具（优先股）_所有者权益其他内部结转</v>
          </cell>
          <cell r="F255">
            <v>0</v>
          </cell>
          <cell r="G255">
            <v>0</v>
          </cell>
          <cell r="H255">
            <v>0</v>
          </cell>
          <cell r="I255">
            <v>0</v>
          </cell>
          <cell r="J255">
            <v>0</v>
          </cell>
          <cell r="K255">
            <v>0</v>
          </cell>
          <cell r="L255">
            <v>0</v>
          </cell>
          <cell r="M255">
            <v>0</v>
          </cell>
        </row>
        <row r="256">
          <cell r="D256" t="str">
            <v>8b80</v>
          </cell>
          <cell r="E256" t="str">
            <v>其他权益工具（优先股）_专项储备影响权益</v>
          </cell>
          <cell r="F256">
            <v>0</v>
          </cell>
          <cell r="G256">
            <v>0</v>
          </cell>
          <cell r="H256">
            <v>0</v>
          </cell>
          <cell r="I256">
            <v>0</v>
          </cell>
          <cell r="J256">
            <v>0</v>
          </cell>
          <cell r="K256">
            <v>0</v>
          </cell>
          <cell r="L256">
            <v>0</v>
          </cell>
          <cell r="M256">
            <v>0</v>
          </cell>
        </row>
        <row r="257">
          <cell r="D257" t="str">
            <v>8b81</v>
          </cell>
          <cell r="E257" t="str">
            <v>其他权益工具（优先股）_专项储备本期提取</v>
          </cell>
          <cell r="F257">
            <v>0</v>
          </cell>
          <cell r="G257">
            <v>0</v>
          </cell>
          <cell r="H257">
            <v>0</v>
          </cell>
          <cell r="I257">
            <v>0</v>
          </cell>
          <cell r="J257">
            <v>0</v>
          </cell>
          <cell r="K257">
            <v>0</v>
          </cell>
          <cell r="L257">
            <v>0</v>
          </cell>
          <cell r="M257">
            <v>0</v>
          </cell>
        </row>
        <row r="258">
          <cell r="D258" t="str">
            <v>8b82</v>
          </cell>
          <cell r="E258" t="str">
            <v>其他权益工具（优先股）_专项储备本期使用</v>
          </cell>
          <cell r="F258">
            <v>0</v>
          </cell>
          <cell r="G258">
            <v>0</v>
          </cell>
          <cell r="H258">
            <v>0</v>
          </cell>
          <cell r="I258">
            <v>0</v>
          </cell>
          <cell r="J258">
            <v>0</v>
          </cell>
          <cell r="K258">
            <v>0</v>
          </cell>
          <cell r="L258">
            <v>0</v>
          </cell>
          <cell r="M258">
            <v>0</v>
          </cell>
        </row>
        <row r="259">
          <cell r="D259" t="str">
            <v>8b96</v>
          </cell>
          <cell r="E259" t="str">
            <v>其他权益工具（优先股）_本期其他增减变动</v>
          </cell>
          <cell r="F259">
            <v>0</v>
          </cell>
          <cell r="G259">
            <v>0</v>
          </cell>
          <cell r="H259">
            <v>0</v>
          </cell>
          <cell r="I259">
            <v>0</v>
          </cell>
          <cell r="J259">
            <v>0</v>
          </cell>
          <cell r="K259">
            <v>0</v>
          </cell>
          <cell r="L259">
            <v>0</v>
          </cell>
          <cell r="M259">
            <v>0</v>
          </cell>
        </row>
        <row r="260">
          <cell r="D260" t="str">
            <v>8b99</v>
          </cell>
          <cell r="E260" t="str">
            <v>其他权益工具（优先股）_本期期末余额</v>
          </cell>
          <cell r="F260">
            <v>0</v>
          </cell>
          <cell r="G260">
            <v>0</v>
          </cell>
          <cell r="H260">
            <v>0</v>
          </cell>
          <cell r="I260">
            <v>0</v>
          </cell>
          <cell r="J260">
            <v>0</v>
          </cell>
          <cell r="K260">
            <v>0</v>
          </cell>
          <cell r="L260">
            <v>0</v>
          </cell>
          <cell r="M260">
            <v>0</v>
          </cell>
        </row>
        <row r="261">
          <cell r="D261" t="str">
            <v>8c00</v>
          </cell>
          <cell r="E261" t="str">
            <v>其他权益工具（永续债）增减变动</v>
          </cell>
          <cell r="F261">
            <v>0</v>
          </cell>
          <cell r="G261">
            <v>0</v>
          </cell>
          <cell r="H261">
            <v>0</v>
          </cell>
          <cell r="I261">
            <v>0</v>
          </cell>
          <cell r="J261">
            <v>0</v>
          </cell>
          <cell r="K261">
            <v>0</v>
          </cell>
          <cell r="L261">
            <v>0</v>
          </cell>
          <cell r="M261">
            <v>0</v>
          </cell>
        </row>
        <row r="262">
          <cell r="D262" t="str">
            <v>8c01</v>
          </cell>
          <cell r="E262" t="str">
            <v>其他权益工具（永续债）_上年年末余额</v>
          </cell>
          <cell r="F262">
            <v>0</v>
          </cell>
          <cell r="G262">
            <v>0</v>
          </cell>
          <cell r="H262">
            <v>0</v>
          </cell>
          <cell r="I262">
            <v>0</v>
          </cell>
          <cell r="J262">
            <v>0</v>
          </cell>
          <cell r="K262">
            <v>0</v>
          </cell>
          <cell r="L262">
            <v>0</v>
          </cell>
          <cell r="M262">
            <v>0</v>
          </cell>
        </row>
        <row r="263">
          <cell r="D263" t="str">
            <v>8c02</v>
          </cell>
          <cell r="E263" t="str">
            <v>其他权益工具（永续债）_会计政策变更调整上年年末余额</v>
          </cell>
          <cell r="F263">
            <v>0</v>
          </cell>
          <cell r="G263">
            <v>0</v>
          </cell>
          <cell r="H263">
            <v>0</v>
          </cell>
          <cell r="I263">
            <v>0</v>
          </cell>
          <cell r="J263">
            <v>0</v>
          </cell>
          <cell r="K263">
            <v>0</v>
          </cell>
          <cell r="L263">
            <v>0</v>
          </cell>
          <cell r="M263">
            <v>0</v>
          </cell>
        </row>
        <row r="264">
          <cell r="D264" t="str">
            <v>8c03</v>
          </cell>
          <cell r="E264" t="str">
            <v>其他权益工具（永续债）_前期差错更正调整上年年末余额</v>
          </cell>
          <cell r="F264">
            <v>0</v>
          </cell>
          <cell r="G264">
            <v>0</v>
          </cell>
          <cell r="H264">
            <v>0</v>
          </cell>
          <cell r="I264">
            <v>0</v>
          </cell>
          <cell r="J264">
            <v>0</v>
          </cell>
          <cell r="K264">
            <v>0</v>
          </cell>
          <cell r="L264">
            <v>0</v>
          </cell>
          <cell r="M264">
            <v>0</v>
          </cell>
        </row>
        <row r="265">
          <cell r="D265" t="str">
            <v>8c04</v>
          </cell>
          <cell r="E265" t="str">
            <v>其他权益工具（永续债）_同一控制下企业合并调整上年年末余额</v>
          </cell>
          <cell r="F265">
            <v>0</v>
          </cell>
          <cell r="G265">
            <v>0</v>
          </cell>
          <cell r="H265">
            <v>0</v>
          </cell>
          <cell r="I265">
            <v>0</v>
          </cell>
          <cell r="J265">
            <v>0</v>
          </cell>
          <cell r="K265">
            <v>0</v>
          </cell>
          <cell r="L265">
            <v>0</v>
          </cell>
          <cell r="M265">
            <v>0</v>
          </cell>
        </row>
        <row r="266">
          <cell r="D266" t="str">
            <v>8c09</v>
          </cell>
          <cell r="E266" t="str">
            <v>其他权益工具（永续债）_其他原因调整上年年末余额</v>
          </cell>
          <cell r="F266">
            <v>0</v>
          </cell>
          <cell r="G266">
            <v>0</v>
          </cell>
          <cell r="H266">
            <v>0</v>
          </cell>
          <cell r="I266">
            <v>0</v>
          </cell>
          <cell r="J266">
            <v>0</v>
          </cell>
          <cell r="K266">
            <v>0</v>
          </cell>
          <cell r="L266">
            <v>0</v>
          </cell>
          <cell r="M266">
            <v>0</v>
          </cell>
        </row>
        <row r="267">
          <cell r="D267" t="str">
            <v>8c10</v>
          </cell>
          <cell r="E267" t="str">
            <v>其他权益工具（永续债）_本年年初余额</v>
          </cell>
          <cell r="F267">
            <v>0</v>
          </cell>
          <cell r="G267">
            <v>0</v>
          </cell>
          <cell r="H267">
            <v>0</v>
          </cell>
          <cell r="I267">
            <v>0</v>
          </cell>
          <cell r="J267">
            <v>0</v>
          </cell>
          <cell r="K267">
            <v>0</v>
          </cell>
          <cell r="L267">
            <v>0</v>
          </cell>
          <cell r="M267">
            <v>0</v>
          </cell>
        </row>
        <row r="268">
          <cell r="D268" t="str">
            <v>8c90</v>
          </cell>
          <cell r="E268" t="str">
            <v>其他权益工具（永续债）_本期增减变动金额</v>
          </cell>
          <cell r="F268">
            <v>0</v>
          </cell>
          <cell r="G268">
            <v>0</v>
          </cell>
          <cell r="H268">
            <v>0</v>
          </cell>
          <cell r="I268">
            <v>0</v>
          </cell>
          <cell r="J268">
            <v>0</v>
          </cell>
          <cell r="K268">
            <v>0</v>
          </cell>
          <cell r="L268">
            <v>0</v>
          </cell>
          <cell r="M268">
            <v>0</v>
          </cell>
        </row>
        <row r="269">
          <cell r="D269" t="str">
            <v>8c40</v>
          </cell>
          <cell r="E269" t="str">
            <v>其他权益工具（永续债）_综合收益总额增加权益</v>
          </cell>
          <cell r="F269">
            <v>0</v>
          </cell>
          <cell r="G269">
            <v>0</v>
          </cell>
          <cell r="H269">
            <v>0</v>
          </cell>
          <cell r="I269">
            <v>0</v>
          </cell>
          <cell r="J269">
            <v>0</v>
          </cell>
          <cell r="K269">
            <v>0</v>
          </cell>
          <cell r="L269">
            <v>0</v>
          </cell>
          <cell r="M269">
            <v>0</v>
          </cell>
        </row>
        <row r="270">
          <cell r="D270" t="str">
            <v>8c50</v>
          </cell>
          <cell r="E270" t="str">
            <v>其他权益工具（永续债）_所有者投入和减少资本影响权益</v>
          </cell>
          <cell r="F270">
            <v>0</v>
          </cell>
          <cell r="G270">
            <v>0</v>
          </cell>
          <cell r="H270">
            <v>0</v>
          </cell>
          <cell r="I270">
            <v>0</v>
          </cell>
          <cell r="J270">
            <v>0</v>
          </cell>
          <cell r="K270">
            <v>0</v>
          </cell>
          <cell r="L270">
            <v>0</v>
          </cell>
          <cell r="M270">
            <v>0</v>
          </cell>
        </row>
        <row r="271">
          <cell r="D271" t="str">
            <v>8c51</v>
          </cell>
          <cell r="E271" t="str">
            <v>其他权益工具（永续债）_所有者投入资本</v>
          </cell>
          <cell r="F271">
            <v>0</v>
          </cell>
          <cell r="G271">
            <v>0</v>
          </cell>
          <cell r="H271">
            <v>0</v>
          </cell>
          <cell r="I271">
            <v>0</v>
          </cell>
          <cell r="J271">
            <v>0</v>
          </cell>
          <cell r="K271">
            <v>0</v>
          </cell>
          <cell r="L271">
            <v>0</v>
          </cell>
          <cell r="M271">
            <v>0</v>
          </cell>
        </row>
        <row r="272">
          <cell r="D272" t="str">
            <v>8c53</v>
          </cell>
          <cell r="E272" t="str">
            <v>其他权益工具（永续债）_其他权益工具持有者投入资本</v>
          </cell>
          <cell r="F272">
            <v>0</v>
          </cell>
          <cell r="G272">
            <v>0</v>
          </cell>
          <cell r="H272">
            <v>0</v>
          </cell>
          <cell r="I272">
            <v>0</v>
          </cell>
          <cell r="J272">
            <v>0</v>
          </cell>
          <cell r="K272">
            <v>0</v>
          </cell>
          <cell r="L272">
            <v>0</v>
          </cell>
          <cell r="M272">
            <v>0</v>
          </cell>
        </row>
        <row r="273">
          <cell r="D273" t="str">
            <v>8c52</v>
          </cell>
          <cell r="E273" t="str">
            <v>其他权益工具（永续债）_股份支付</v>
          </cell>
          <cell r="F273">
            <v>0</v>
          </cell>
          <cell r="G273">
            <v>0</v>
          </cell>
          <cell r="H273">
            <v>0</v>
          </cell>
          <cell r="I273">
            <v>0</v>
          </cell>
          <cell r="J273">
            <v>0</v>
          </cell>
          <cell r="K273">
            <v>0</v>
          </cell>
          <cell r="L273">
            <v>0</v>
          </cell>
          <cell r="M273">
            <v>0</v>
          </cell>
        </row>
        <row r="274">
          <cell r="D274" t="str">
            <v>8c56</v>
          </cell>
          <cell r="E274" t="str">
            <v>其他权益工具（永续债）_所有者其他投入和减少资本</v>
          </cell>
          <cell r="F274">
            <v>0</v>
          </cell>
          <cell r="G274">
            <v>0</v>
          </cell>
          <cell r="H274">
            <v>0</v>
          </cell>
          <cell r="I274">
            <v>0</v>
          </cell>
          <cell r="J274">
            <v>0</v>
          </cell>
          <cell r="K274">
            <v>0</v>
          </cell>
          <cell r="L274">
            <v>0</v>
          </cell>
          <cell r="M274">
            <v>0</v>
          </cell>
        </row>
        <row r="275">
          <cell r="D275" t="str">
            <v>8c60</v>
          </cell>
          <cell r="E275" t="str">
            <v>其他权益工具（永续债）_利润分配影响权益</v>
          </cell>
          <cell r="F275">
            <v>0</v>
          </cell>
          <cell r="G275">
            <v>0</v>
          </cell>
          <cell r="H275">
            <v>0</v>
          </cell>
          <cell r="I275">
            <v>0</v>
          </cell>
          <cell r="J275">
            <v>0</v>
          </cell>
          <cell r="K275">
            <v>0</v>
          </cell>
          <cell r="L275">
            <v>0</v>
          </cell>
          <cell r="M275">
            <v>0</v>
          </cell>
        </row>
        <row r="276">
          <cell r="D276" t="str">
            <v>8c61</v>
          </cell>
          <cell r="E276" t="str">
            <v>其他权益工具（永续债）_提取盈余公积</v>
          </cell>
          <cell r="F276">
            <v>0</v>
          </cell>
          <cell r="G276">
            <v>0</v>
          </cell>
          <cell r="H276">
            <v>0</v>
          </cell>
          <cell r="I276">
            <v>0</v>
          </cell>
          <cell r="J276">
            <v>0</v>
          </cell>
          <cell r="K276">
            <v>0</v>
          </cell>
          <cell r="L276">
            <v>0</v>
          </cell>
          <cell r="M276">
            <v>0</v>
          </cell>
        </row>
        <row r="277">
          <cell r="D277" t="str">
            <v>8c62</v>
          </cell>
          <cell r="E277" t="str">
            <v>其他权益工具（永续债）_提取一般风险准备</v>
          </cell>
          <cell r="F277">
            <v>0</v>
          </cell>
          <cell r="G277">
            <v>0</v>
          </cell>
          <cell r="H277">
            <v>0</v>
          </cell>
          <cell r="I277">
            <v>0</v>
          </cell>
          <cell r="J277">
            <v>0</v>
          </cell>
          <cell r="K277">
            <v>0</v>
          </cell>
          <cell r="L277">
            <v>0</v>
          </cell>
          <cell r="M277">
            <v>0</v>
          </cell>
        </row>
        <row r="278">
          <cell r="D278" t="str">
            <v>8c63</v>
          </cell>
          <cell r="E278" t="str">
            <v>其他权益工具（永续债）_对所有者的分配</v>
          </cell>
          <cell r="F278">
            <v>0</v>
          </cell>
          <cell r="G278">
            <v>0</v>
          </cell>
          <cell r="H278">
            <v>0</v>
          </cell>
          <cell r="I278">
            <v>0</v>
          </cell>
          <cell r="J278">
            <v>0</v>
          </cell>
          <cell r="K278">
            <v>0</v>
          </cell>
          <cell r="L278">
            <v>0</v>
          </cell>
          <cell r="M278">
            <v>0</v>
          </cell>
        </row>
        <row r="279">
          <cell r="D279" t="str">
            <v>8c66</v>
          </cell>
          <cell r="E279" t="str">
            <v>其他权益工具（永续债）_其他利润分配</v>
          </cell>
          <cell r="F279">
            <v>0</v>
          </cell>
          <cell r="G279">
            <v>0</v>
          </cell>
          <cell r="H279">
            <v>0</v>
          </cell>
          <cell r="I279">
            <v>0</v>
          </cell>
          <cell r="J279">
            <v>0</v>
          </cell>
          <cell r="K279">
            <v>0</v>
          </cell>
          <cell r="L279">
            <v>0</v>
          </cell>
          <cell r="M279">
            <v>0</v>
          </cell>
        </row>
        <row r="280">
          <cell r="D280" t="str">
            <v>8c70</v>
          </cell>
          <cell r="E280" t="str">
            <v>其他权益工具（永续债）_所有者权益内部结转</v>
          </cell>
          <cell r="F280">
            <v>0</v>
          </cell>
          <cell r="G280">
            <v>0</v>
          </cell>
          <cell r="H280">
            <v>0</v>
          </cell>
          <cell r="I280">
            <v>0</v>
          </cell>
          <cell r="J280">
            <v>0</v>
          </cell>
          <cell r="K280">
            <v>0</v>
          </cell>
          <cell r="L280">
            <v>0</v>
          </cell>
          <cell r="M280">
            <v>0</v>
          </cell>
        </row>
        <row r="281">
          <cell r="D281" t="str">
            <v>8c71</v>
          </cell>
          <cell r="E281" t="str">
            <v>其他权益工具（永续债）_资本公积转增资本</v>
          </cell>
          <cell r="F281">
            <v>0</v>
          </cell>
          <cell r="G281">
            <v>0</v>
          </cell>
          <cell r="H281">
            <v>0</v>
          </cell>
          <cell r="I281">
            <v>0</v>
          </cell>
          <cell r="J281">
            <v>0</v>
          </cell>
          <cell r="K281">
            <v>0</v>
          </cell>
          <cell r="L281">
            <v>0</v>
          </cell>
          <cell r="M281">
            <v>0</v>
          </cell>
        </row>
        <row r="282">
          <cell r="D282" t="str">
            <v>8c72</v>
          </cell>
          <cell r="E282" t="str">
            <v>其他权益工具（永续债）_盈余公积转增资本</v>
          </cell>
          <cell r="F282">
            <v>0</v>
          </cell>
          <cell r="G282">
            <v>0</v>
          </cell>
          <cell r="H282">
            <v>0</v>
          </cell>
          <cell r="I282">
            <v>0</v>
          </cell>
          <cell r="J282">
            <v>0</v>
          </cell>
          <cell r="K282">
            <v>0</v>
          </cell>
          <cell r="L282">
            <v>0</v>
          </cell>
          <cell r="M282">
            <v>0</v>
          </cell>
        </row>
        <row r="283">
          <cell r="D283" t="str">
            <v>8c73</v>
          </cell>
          <cell r="E283" t="str">
            <v>其他权益工具（永续债）_盈余公积弥补亏损</v>
          </cell>
          <cell r="F283">
            <v>0</v>
          </cell>
          <cell r="G283">
            <v>0</v>
          </cell>
          <cell r="H283">
            <v>0</v>
          </cell>
          <cell r="I283">
            <v>0</v>
          </cell>
          <cell r="J283">
            <v>0</v>
          </cell>
          <cell r="K283">
            <v>0</v>
          </cell>
          <cell r="L283">
            <v>0</v>
          </cell>
          <cell r="M283">
            <v>0</v>
          </cell>
        </row>
        <row r="284">
          <cell r="D284" t="str">
            <v>8c75</v>
          </cell>
          <cell r="E284" t="str">
            <v>其他权益工具（永续债）_结转重新计量设定受益计划净负债或净资产所产生的变动</v>
          </cell>
          <cell r="F284">
            <v>0</v>
          </cell>
          <cell r="G284">
            <v>0</v>
          </cell>
          <cell r="H284">
            <v>0</v>
          </cell>
          <cell r="I284">
            <v>0</v>
          </cell>
          <cell r="J284">
            <v>0</v>
          </cell>
          <cell r="K284">
            <v>0</v>
          </cell>
          <cell r="L284">
            <v>0</v>
          </cell>
          <cell r="M284">
            <v>0</v>
          </cell>
        </row>
        <row r="285">
          <cell r="D285" t="str">
            <v>8c76</v>
          </cell>
          <cell r="E285" t="str">
            <v>其他权益工具（永续债）_所有者权益其他内部结转</v>
          </cell>
          <cell r="F285">
            <v>0</v>
          </cell>
          <cell r="G285">
            <v>0</v>
          </cell>
          <cell r="H285">
            <v>0</v>
          </cell>
          <cell r="I285">
            <v>0</v>
          </cell>
          <cell r="J285">
            <v>0</v>
          </cell>
          <cell r="K285">
            <v>0</v>
          </cell>
          <cell r="L285">
            <v>0</v>
          </cell>
          <cell r="M285">
            <v>0</v>
          </cell>
        </row>
        <row r="286">
          <cell r="D286" t="str">
            <v>8c80</v>
          </cell>
          <cell r="E286" t="str">
            <v>其他权益工具（永续债）_专项储备影响权益</v>
          </cell>
          <cell r="F286">
            <v>0</v>
          </cell>
          <cell r="G286">
            <v>0</v>
          </cell>
          <cell r="H286">
            <v>0</v>
          </cell>
          <cell r="I286">
            <v>0</v>
          </cell>
          <cell r="J286">
            <v>0</v>
          </cell>
          <cell r="K286">
            <v>0</v>
          </cell>
          <cell r="L286">
            <v>0</v>
          </cell>
          <cell r="M286">
            <v>0</v>
          </cell>
        </row>
        <row r="287">
          <cell r="D287" t="str">
            <v>8c81</v>
          </cell>
          <cell r="E287" t="str">
            <v>其他权益工具（永续债）_专项储备本期提取</v>
          </cell>
          <cell r="F287">
            <v>0</v>
          </cell>
          <cell r="G287">
            <v>0</v>
          </cell>
          <cell r="H287">
            <v>0</v>
          </cell>
          <cell r="I287">
            <v>0</v>
          </cell>
          <cell r="J287">
            <v>0</v>
          </cell>
          <cell r="K287">
            <v>0</v>
          </cell>
          <cell r="L287">
            <v>0</v>
          </cell>
          <cell r="M287">
            <v>0</v>
          </cell>
        </row>
        <row r="288">
          <cell r="D288" t="str">
            <v>8c82</v>
          </cell>
          <cell r="E288" t="str">
            <v>其他权益工具（永续债）_专项储备本期使用</v>
          </cell>
          <cell r="F288">
            <v>0</v>
          </cell>
          <cell r="G288">
            <v>0</v>
          </cell>
          <cell r="H288">
            <v>0</v>
          </cell>
          <cell r="I288">
            <v>0</v>
          </cell>
          <cell r="J288">
            <v>0</v>
          </cell>
          <cell r="K288">
            <v>0</v>
          </cell>
          <cell r="L288">
            <v>0</v>
          </cell>
          <cell r="M288">
            <v>0</v>
          </cell>
        </row>
        <row r="289">
          <cell r="D289" t="str">
            <v>8c96</v>
          </cell>
          <cell r="E289" t="str">
            <v>其他权益工具（永续债）_本期其他增减变动</v>
          </cell>
          <cell r="F289">
            <v>0</v>
          </cell>
          <cell r="G289">
            <v>0</v>
          </cell>
          <cell r="H289">
            <v>0</v>
          </cell>
          <cell r="I289">
            <v>0</v>
          </cell>
          <cell r="J289">
            <v>0</v>
          </cell>
          <cell r="K289">
            <v>0</v>
          </cell>
          <cell r="L289">
            <v>0</v>
          </cell>
          <cell r="M289">
            <v>0</v>
          </cell>
        </row>
        <row r="290">
          <cell r="D290" t="str">
            <v>8c99</v>
          </cell>
          <cell r="E290" t="str">
            <v>其他权益工具（永续债）_本期期末余额</v>
          </cell>
          <cell r="F290">
            <v>0</v>
          </cell>
          <cell r="G290">
            <v>0</v>
          </cell>
          <cell r="H290">
            <v>0</v>
          </cell>
          <cell r="I290">
            <v>0</v>
          </cell>
          <cell r="J290">
            <v>0</v>
          </cell>
          <cell r="K290">
            <v>0</v>
          </cell>
          <cell r="L290">
            <v>0</v>
          </cell>
          <cell r="M290">
            <v>0</v>
          </cell>
        </row>
        <row r="291">
          <cell r="D291" t="str">
            <v>8d00</v>
          </cell>
          <cell r="E291" t="str">
            <v>其他权益工具（其他）增减变动</v>
          </cell>
          <cell r="F291">
            <v>0</v>
          </cell>
          <cell r="G291">
            <v>0</v>
          </cell>
          <cell r="H291">
            <v>0</v>
          </cell>
          <cell r="I291">
            <v>0</v>
          </cell>
          <cell r="J291">
            <v>0</v>
          </cell>
          <cell r="K291">
            <v>0</v>
          </cell>
          <cell r="L291">
            <v>0</v>
          </cell>
          <cell r="M291">
            <v>0</v>
          </cell>
        </row>
        <row r="292">
          <cell r="D292" t="str">
            <v>8d01</v>
          </cell>
          <cell r="E292" t="str">
            <v>其他权益工具（其他）_上年年末余额</v>
          </cell>
          <cell r="F292">
            <v>0</v>
          </cell>
          <cell r="G292">
            <v>0</v>
          </cell>
          <cell r="H292">
            <v>0</v>
          </cell>
          <cell r="I292">
            <v>0</v>
          </cell>
          <cell r="J292">
            <v>0</v>
          </cell>
          <cell r="K292">
            <v>0</v>
          </cell>
          <cell r="L292">
            <v>0</v>
          </cell>
          <cell r="M292">
            <v>0</v>
          </cell>
        </row>
        <row r="293">
          <cell r="D293" t="str">
            <v>8d02</v>
          </cell>
          <cell r="E293" t="str">
            <v>其他权益工具（其他）_会计政策变更调整上年年末余额</v>
          </cell>
          <cell r="F293">
            <v>0</v>
          </cell>
          <cell r="G293">
            <v>0</v>
          </cell>
          <cell r="H293">
            <v>0</v>
          </cell>
          <cell r="I293">
            <v>0</v>
          </cell>
          <cell r="J293">
            <v>0</v>
          </cell>
          <cell r="K293">
            <v>0</v>
          </cell>
          <cell r="L293">
            <v>0</v>
          </cell>
          <cell r="M293">
            <v>0</v>
          </cell>
        </row>
        <row r="294">
          <cell r="D294" t="str">
            <v>8d03</v>
          </cell>
          <cell r="E294" t="str">
            <v>其他权益工具（其他）_前期差错更正调整上年年末余额</v>
          </cell>
          <cell r="F294">
            <v>0</v>
          </cell>
          <cell r="G294">
            <v>0</v>
          </cell>
          <cell r="H294">
            <v>0</v>
          </cell>
          <cell r="I294">
            <v>0</v>
          </cell>
          <cell r="J294">
            <v>0</v>
          </cell>
          <cell r="K294">
            <v>0</v>
          </cell>
          <cell r="L294">
            <v>0</v>
          </cell>
          <cell r="M294">
            <v>0</v>
          </cell>
        </row>
        <row r="295">
          <cell r="D295" t="str">
            <v>8d04</v>
          </cell>
          <cell r="E295" t="str">
            <v>其他权益工具（其他）_同一控制下企业合并调整上年年末余额</v>
          </cell>
          <cell r="F295">
            <v>0</v>
          </cell>
          <cell r="G295">
            <v>0</v>
          </cell>
          <cell r="H295">
            <v>0</v>
          </cell>
          <cell r="I295">
            <v>0</v>
          </cell>
          <cell r="J295">
            <v>0</v>
          </cell>
          <cell r="K295">
            <v>0</v>
          </cell>
          <cell r="L295">
            <v>0</v>
          </cell>
          <cell r="M295">
            <v>0</v>
          </cell>
        </row>
        <row r="296">
          <cell r="D296" t="str">
            <v>8d09</v>
          </cell>
          <cell r="E296" t="str">
            <v>其他权益工具（其他）_其他原因调整上年年末余额</v>
          </cell>
          <cell r="F296">
            <v>0</v>
          </cell>
          <cell r="G296">
            <v>0</v>
          </cell>
          <cell r="H296">
            <v>0</v>
          </cell>
          <cell r="I296">
            <v>0</v>
          </cell>
          <cell r="J296">
            <v>0</v>
          </cell>
          <cell r="K296">
            <v>0</v>
          </cell>
          <cell r="L296">
            <v>0</v>
          </cell>
          <cell r="M296">
            <v>0</v>
          </cell>
        </row>
        <row r="297">
          <cell r="D297" t="str">
            <v>8d10</v>
          </cell>
          <cell r="E297" t="str">
            <v>其他权益工具（其他）_本年年初余额</v>
          </cell>
          <cell r="F297">
            <v>0</v>
          </cell>
          <cell r="G297">
            <v>0</v>
          </cell>
          <cell r="H297">
            <v>0</v>
          </cell>
          <cell r="I297">
            <v>0</v>
          </cell>
          <cell r="J297">
            <v>0</v>
          </cell>
          <cell r="K297">
            <v>0</v>
          </cell>
          <cell r="L297">
            <v>0</v>
          </cell>
          <cell r="M297">
            <v>0</v>
          </cell>
        </row>
        <row r="298">
          <cell r="D298" t="str">
            <v>8d90</v>
          </cell>
          <cell r="E298" t="str">
            <v>其他权益工具（其他）_本期增减变动金额</v>
          </cell>
          <cell r="F298">
            <v>0</v>
          </cell>
          <cell r="G298">
            <v>0</v>
          </cell>
          <cell r="H298">
            <v>0</v>
          </cell>
          <cell r="I298">
            <v>0</v>
          </cell>
          <cell r="J298">
            <v>0</v>
          </cell>
          <cell r="K298">
            <v>0</v>
          </cell>
          <cell r="L298">
            <v>0</v>
          </cell>
          <cell r="M298">
            <v>0</v>
          </cell>
        </row>
        <row r="299">
          <cell r="D299" t="str">
            <v>8d40</v>
          </cell>
          <cell r="E299" t="str">
            <v>其他权益工具（其他）_综合收益总额增加权益</v>
          </cell>
          <cell r="F299">
            <v>0</v>
          </cell>
          <cell r="G299">
            <v>0</v>
          </cell>
          <cell r="H299">
            <v>0</v>
          </cell>
          <cell r="I299">
            <v>0</v>
          </cell>
          <cell r="J299">
            <v>0</v>
          </cell>
          <cell r="K299">
            <v>0</v>
          </cell>
          <cell r="L299">
            <v>0</v>
          </cell>
          <cell r="M299">
            <v>0</v>
          </cell>
        </row>
        <row r="300">
          <cell r="D300" t="str">
            <v>8d50</v>
          </cell>
          <cell r="E300" t="str">
            <v>其他权益工具（其他）_所有者投入和减少资本影响权益</v>
          </cell>
          <cell r="F300">
            <v>0</v>
          </cell>
          <cell r="G300">
            <v>0</v>
          </cell>
          <cell r="H300">
            <v>0</v>
          </cell>
          <cell r="I300">
            <v>0</v>
          </cell>
          <cell r="J300">
            <v>0</v>
          </cell>
          <cell r="K300">
            <v>0</v>
          </cell>
          <cell r="L300">
            <v>0</v>
          </cell>
          <cell r="M300">
            <v>0</v>
          </cell>
        </row>
        <row r="301">
          <cell r="D301" t="str">
            <v>8d51</v>
          </cell>
          <cell r="E301" t="str">
            <v>其他权益工具（其他）_所有者投入资本</v>
          </cell>
          <cell r="F301">
            <v>0</v>
          </cell>
          <cell r="G301">
            <v>0</v>
          </cell>
          <cell r="H301">
            <v>0</v>
          </cell>
          <cell r="I301">
            <v>0</v>
          </cell>
          <cell r="J301">
            <v>0</v>
          </cell>
          <cell r="K301">
            <v>0</v>
          </cell>
          <cell r="L301">
            <v>0</v>
          </cell>
          <cell r="M301">
            <v>0</v>
          </cell>
        </row>
        <row r="302">
          <cell r="D302" t="str">
            <v>8d53</v>
          </cell>
          <cell r="E302" t="str">
            <v>其他权益工具（其他）_其他权益工具持有者投入资本</v>
          </cell>
          <cell r="F302">
            <v>0</v>
          </cell>
          <cell r="G302">
            <v>0</v>
          </cell>
          <cell r="H302">
            <v>0</v>
          </cell>
          <cell r="I302">
            <v>0</v>
          </cell>
          <cell r="J302">
            <v>0</v>
          </cell>
          <cell r="K302">
            <v>0</v>
          </cell>
          <cell r="L302">
            <v>0</v>
          </cell>
          <cell r="M302">
            <v>0</v>
          </cell>
        </row>
        <row r="303">
          <cell r="D303" t="str">
            <v>8d52</v>
          </cell>
          <cell r="E303" t="str">
            <v>其他权益工具（其他）_股份支付</v>
          </cell>
          <cell r="F303">
            <v>0</v>
          </cell>
          <cell r="G303">
            <v>0</v>
          </cell>
          <cell r="H303">
            <v>0</v>
          </cell>
          <cell r="I303">
            <v>0</v>
          </cell>
          <cell r="J303">
            <v>0</v>
          </cell>
          <cell r="K303">
            <v>0</v>
          </cell>
          <cell r="L303">
            <v>0</v>
          </cell>
          <cell r="M303">
            <v>0</v>
          </cell>
        </row>
        <row r="304">
          <cell r="D304" t="str">
            <v>8d56</v>
          </cell>
          <cell r="E304" t="str">
            <v>其他权益工具（其他）_所有者其他投入和减少资本</v>
          </cell>
          <cell r="F304">
            <v>0</v>
          </cell>
          <cell r="G304">
            <v>0</v>
          </cell>
          <cell r="H304">
            <v>0</v>
          </cell>
          <cell r="I304">
            <v>0</v>
          </cell>
          <cell r="J304">
            <v>0</v>
          </cell>
          <cell r="K304">
            <v>0</v>
          </cell>
          <cell r="L304">
            <v>0</v>
          </cell>
          <cell r="M304">
            <v>0</v>
          </cell>
        </row>
        <row r="305">
          <cell r="D305" t="str">
            <v>8d60</v>
          </cell>
          <cell r="E305" t="str">
            <v>其他权益工具（其他）_利润分配影响权益</v>
          </cell>
          <cell r="F305">
            <v>0</v>
          </cell>
          <cell r="G305">
            <v>0</v>
          </cell>
          <cell r="H305">
            <v>0</v>
          </cell>
          <cell r="I305">
            <v>0</v>
          </cell>
          <cell r="J305">
            <v>0</v>
          </cell>
          <cell r="K305">
            <v>0</v>
          </cell>
          <cell r="L305">
            <v>0</v>
          </cell>
          <cell r="M305">
            <v>0</v>
          </cell>
        </row>
        <row r="306">
          <cell r="D306" t="str">
            <v>8d61</v>
          </cell>
          <cell r="E306" t="str">
            <v>其他权益工具（其他）_提取盈余公积</v>
          </cell>
          <cell r="F306">
            <v>0</v>
          </cell>
          <cell r="G306">
            <v>0</v>
          </cell>
          <cell r="H306">
            <v>0</v>
          </cell>
          <cell r="I306">
            <v>0</v>
          </cell>
          <cell r="J306">
            <v>0</v>
          </cell>
          <cell r="K306">
            <v>0</v>
          </cell>
          <cell r="L306">
            <v>0</v>
          </cell>
          <cell r="M306">
            <v>0</v>
          </cell>
        </row>
        <row r="307">
          <cell r="D307" t="str">
            <v>8d62</v>
          </cell>
          <cell r="E307" t="str">
            <v>其他权益工具（其他）_提取一般风险准备</v>
          </cell>
          <cell r="F307">
            <v>0</v>
          </cell>
          <cell r="G307">
            <v>0</v>
          </cell>
          <cell r="H307">
            <v>0</v>
          </cell>
          <cell r="I307">
            <v>0</v>
          </cell>
          <cell r="J307">
            <v>0</v>
          </cell>
          <cell r="K307">
            <v>0</v>
          </cell>
          <cell r="L307">
            <v>0</v>
          </cell>
          <cell r="M307">
            <v>0</v>
          </cell>
        </row>
        <row r="308">
          <cell r="D308" t="str">
            <v>8d63</v>
          </cell>
          <cell r="E308" t="str">
            <v>其他权益工具（其他）_对所有者的分配</v>
          </cell>
          <cell r="F308">
            <v>0</v>
          </cell>
          <cell r="G308">
            <v>0</v>
          </cell>
          <cell r="H308">
            <v>0</v>
          </cell>
          <cell r="I308">
            <v>0</v>
          </cell>
          <cell r="J308">
            <v>0</v>
          </cell>
          <cell r="K308">
            <v>0</v>
          </cell>
          <cell r="L308">
            <v>0</v>
          </cell>
          <cell r="M308">
            <v>0</v>
          </cell>
        </row>
        <row r="309">
          <cell r="D309" t="str">
            <v>8d66</v>
          </cell>
          <cell r="E309" t="str">
            <v>其他权益工具（其他）_其他利润分配</v>
          </cell>
          <cell r="F309">
            <v>0</v>
          </cell>
          <cell r="G309">
            <v>0</v>
          </cell>
          <cell r="H309">
            <v>0</v>
          </cell>
          <cell r="I309">
            <v>0</v>
          </cell>
          <cell r="J309">
            <v>0</v>
          </cell>
          <cell r="K309">
            <v>0</v>
          </cell>
          <cell r="L309">
            <v>0</v>
          </cell>
          <cell r="M309">
            <v>0</v>
          </cell>
        </row>
        <row r="310">
          <cell r="D310" t="str">
            <v>8d70</v>
          </cell>
          <cell r="E310" t="str">
            <v>其他权益工具（其他）_所有者权益内部结转</v>
          </cell>
          <cell r="F310">
            <v>0</v>
          </cell>
          <cell r="G310">
            <v>0</v>
          </cell>
          <cell r="H310">
            <v>0</v>
          </cell>
          <cell r="I310">
            <v>0</v>
          </cell>
          <cell r="J310">
            <v>0</v>
          </cell>
          <cell r="K310">
            <v>0</v>
          </cell>
          <cell r="L310">
            <v>0</v>
          </cell>
          <cell r="M310">
            <v>0</v>
          </cell>
        </row>
        <row r="311">
          <cell r="D311" t="str">
            <v>8d71</v>
          </cell>
          <cell r="E311" t="str">
            <v>其他权益工具（其他）_资本公积转增资本</v>
          </cell>
          <cell r="F311">
            <v>0</v>
          </cell>
          <cell r="G311">
            <v>0</v>
          </cell>
          <cell r="H311">
            <v>0</v>
          </cell>
          <cell r="I311">
            <v>0</v>
          </cell>
          <cell r="J311">
            <v>0</v>
          </cell>
          <cell r="K311">
            <v>0</v>
          </cell>
          <cell r="L311">
            <v>0</v>
          </cell>
          <cell r="M311">
            <v>0</v>
          </cell>
        </row>
        <row r="312">
          <cell r="D312" t="str">
            <v>8d72</v>
          </cell>
          <cell r="E312" t="str">
            <v>其他权益工具（其他）_盈余公积转增资本</v>
          </cell>
          <cell r="F312">
            <v>0</v>
          </cell>
          <cell r="G312">
            <v>0</v>
          </cell>
          <cell r="H312">
            <v>0</v>
          </cell>
          <cell r="I312">
            <v>0</v>
          </cell>
          <cell r="J312">
            <v>0</v>
          </cell>
          <cell r="K312">
            <v>0</v>
          </cell>
          <cell r="L312">
            <v>0</v>
          </cell>
          <cell r="M312">
            <v>0</v>
          </cell>
        </row>
        <row r="313">
          <cell r="D313" t="str">
            <v>8d73</v>
          </cell>
          <cell r="E313" t="str">
            <v>其他权益工具（其他）_盈余公积弥补亏损</v>
          </cell>
          <cell r="F313">
            <v>0</v>
          </cell>
          <cell r="G313">
            <v>0</v>
          </cell>
          <cell r="H313">
            <v>0</v>
          </cell>
          <cell r="I313">
            <v>0</v>
          </cell>
          <cell r="J313">
            <v>0</v>
          </cell>
          <cell r="K313">
            <v>0</v>
          </cell>
          <cell r="L313">
            <v>0</v>
          </cell>
          <cell r="M313">
            <v>0</v>
          </cell>
        </row>
        <row r="314">
          <cell r="D314" t="str">
            <v>8d75</v>
          </cell>
          <cell r="E314" t="str">
            <v>其他权益工具（其他）_结转重新计量设定受益计划净负债或净资产所产生的变动</v>
          </cell>
          <cell r="F314">
            <v>0</v>
          </cell>
          <cell r="G314">
            <v>0</v>
          </cell>
          <cell r="H314">
            <v>0</v>
          </cell>
          <cell r="I314">
            <v>0</v>
          </cell>
          <cell r="J314">
            <v>0</v>
          </cell>
          <cell r="K314">
            <v>0</v>
          </cell>
          <cell r="L314">
            <v>0</v>
          </cell>
          <cell r="M314">
            <v>0</v>
          </cell>
        </row>
        <row r="315">
          <cell r="D315" t="str">
            <v>8d76</v>
          </cell>
          <cell r="E315" t="str">
            <v>其他权益工具（其他）_所有者权益其他内部结转</v>
          </cell>
          <cell r="F315">
            <v>0</v>
          </cell>
          <cell r="G315">
            <v>0</v>
          </cell>
          <cell r="H315">
            <v>0</v>
          </cell>
          <cell r="I315">
            <v>0</v>
          </cell>
          <cell r="J315">
            <v>0</v>
          </cell>
          <cell r="K315">
            <v>0</v>
          </cell>
          <cell r="L315">
            <v>0</v>
          </cell>
          <cell r="M315">
            <v>0</v>
          </cell>
        </row>
        <row r="316">
          <cell r="D316" t="str">
            <v>8d80</v>
          </cell>
          <cell r="E316" t="str">
            <v>其他权益工具（其他）_专项储备影响权益</v>
          </cell>
          <cell r="F316">
            <v>0</v>
          </cell>
          <cell r="G316">
            <v>0</v>
          </cell>
          <cell r="H316">
            <v>0</v>
          </cell>
          <cell r="I316">
            <v>0</v>
          </cell>
          <cell r="J316">
            <v>0</v>
          </cell>
          <cell r="K316">
            <v>0</v>
          </cell>
          <cell r="L316">
            <v>0</v>
          </cell>
          <cell r="M316">
            <v>0</v>
          </cell>
        </row>
        <row r="317">
          <cell r="D317" t="str">
            <v>8d81</v>
          </cell>
          <cell r="E317" t="str">
            <v>其他权益工具（其他）_专项储备本期提取</v>
          </cell>
          <cell r="F317">
            <v>0</v>
          </cell>
          <cell r="G317">
            <v>0</v>
          </cell>
          <cell r="H317">
            <v>0</v>
          </cell>
          <cell r="I317">
            <v>0</v>
          </cell>
          <cell r="J317">
            <v>0</v>
          </cell>
          <cell r="K317">
            <v>0</v>
          </cell>
          <cell r="L317">
            <v>0</v>
          </cell>
          <cell r="M317">
            <v>0</v>
          </cell>
        </row>
        <row r="318">
          <cell r="D318" t="str">
            <v>8d82</v>
          </cell>
          <cell r="E318" t="str">
            <v>其他权益工具（其他）_专项储备本期使用</v>
          </cell>
          <cell r="F318">
            <v>0</v>
          </cell>
          <cell r="G318">
            <v>0</v>
          </cell>
          <cell r="H318">
            <v>0</v>
          </cell>
          <cell r="I318">
            <v>0</v>
          </cell>
          <cell r="J318">
            <v>0</v>
          </cell>
          <cell r="K318">
            <v>0</v>
          </cell>
          <cell r="L318">
            <v>0</v>
          </cell>
          <cell r="M318">
            <v>0</v>
          </cell>
        </row>
        <row r="319">
          <cell r="D319" t="str">
            <v>8d96</v>
          </cell>
          <cell r="E319" t="str">
            <v>其他权益工具（其他）_本期其他增减变动</v>
          </cell>
          <cell r="F319">
            <v>0</v>
          </cell>
          <cell r="G319">
            <v>0</v>
          </cell>
          <cell r="H319">
            <v>0</v>
          </cell>
          <cell r="I319">
            <v>0</v>
          </cell>
          <cell r="J319">
            <v>0</v>
          </cell>
          <cell r="K319">
            <v>0</v>
          </cell>
          <cell r="L319">
            <v>0</v>
          </cell>
          <cell r="M319">
            <v>0</v>
          </cell>
        </row>
        <row r="320">
          <cell r="D320" t="str">
            <v>8d99</v>
          </cell>
          <cell r="E320" t="str">
            <v>其他权益工具（其他）_本期期末余额</v>
          </cell>
          <cell r="F320">
            <v>0</v>
          </cell>
          <cell r="G320">
            <v>0</v>
          </cell>
          <cell r="H320">
            <v>0</v>
          </cell>
          <cell r="I320">
            <v>0</v>
          </cell>
          <cell r="J320">
            <v>0</v>
          </cell>
          <cell r="K320">
            <v>0</v>
          </cell>
          <cell r="L320">
            <v>0</v>
          </cell>
          <cell r="M320">
            <v>0</v>
          </cell>
        </row>
        <row r="321">
          <cell r="D321">
            <v>8200</v>
          </cell>
          <cell r="E321" t="str">
            <v>资本公积增减变动</v>
          </cell>
          <cell r="F321">
            <v>0</v>
          </cell>
          <cell r="G321">
            <v>0</v>
          </cell>
          <cell r="H321">
            <v>0</v>
          </cell>
          <cell r="I321">
            <v>0</v>
          </cell>
          <cell r="J321">
            <v>0</v>
          </cell>
          <cell r="K321">
            <v>0</v>
          </cell>
          <cell r="L321">
            <v>0</v>
          </cell>
          <cell r="M321">
            <v>0</v>
          </cell>
        </row>
        <row r="322">
          <cell r="D322">
            <v>8201</v>
          </cell>
          <cell r="E322" t="str">
            <v>资本公积_上年年末余额</v>
          </cell>
          <cell r="F322">
            <v>932973955</v>
          </cell>
          <cell r="G322">
            <v>0</v>
          </cell>
          <cell r="H322">
            <v>0</v>
          </cell>
          <cell r="I322">
            <v>932973955</v>
          </cell>
          <cell r="J322">
            <v>932973955</v>
          </cell>
          <cell r="K322">
            <v>0</v>
          </cell>
          <cell r="L322">
            <v>0</v>
          </cell>
          <cell r="M322">
            <v>932973955</v>
          </cell>
        </row>
        <row r="323">
          <cell r="D323">
            <v>8202</v>
          </cell>
          <cell r="E323" t="str">
            <v>资本公积_会计政策变更调整上年年末余额</v>
          </cell>
          <cell r="F323">
            <v>0</v>
          </cell>
          <cell r="G323">
            <v>0</v>
          </cell>
          <cell r="H323">
            <v>0</v>
          </cell>
          <cell r="I323">
            <v>0</v>
          </cell>
          <cell r="J323">
            <v>0</v>
          </cell>
          <cell r="K323">
            <v>0</v>
          </cell>
          <cell r="L323">
            <v>0</v>
          </cell>
          <cell r="M323">
            <v>0</v>
          </cell>
        </row>
        <row r="324">
          <cell r="D324">
            <v>8203</v>
          </cell>
          <cell r="E324" t="str">
            <v>资本公积_前期差错更正调整上年年末余额</v>
          </cell>
          <cell r="F324">
            <v>0</v>
          </cell>
          <cell r="G324">
            <v>0</v>
          </cell>
          <cell r="H324">
            <v>0</v>
          </cell>
          <cell r="I324">
            <v>0</v>
          </cell>
          <cell r="J324">
            <v>0</v>
          </cell>
          <cell r="K324">
            <v>0</v>
          </cell>
          <cell r="L324">
            <v>0</v>
          </cell>
          <cell r="M324">
            <v>0</v>
          </cell>
        </row>
        <row r="325">
          <cell r="D325">
            <v>8204</v>
          </cell>
          <cell r="E325" t="str">
            <v>资本公积_同一控制下企业合并调整上年年末余额</v>
          </cell>
          <cell r="F325">
            <v>0</v>
          </cell>
          <cell r="G325">
            <v>0</v>
          </cell>
          <cell r="H325">
            <v>0</v>
          </cell>
          <cell r="I325">
            <v>0</v>
          </cell>
          <cell r="J325">
            <v>0</v>
          </cell>
          <cell r="K325">
            <v>0</v>
          </cell>
          <cell r="L325">
            <v>0</v>
          </cell>
          <cell r="M325">
            <v>0</v>
          </cell>
        </row>
        <row r="326">
          <cell r="D326">
            <v>8209</v>
          </cell>
          <cell r="E326" t="str">
            <v>资本公积_其他原因调整上年年末余额</v>
          </cell>
          <cell r="F326">
            <v>0</v>
          </cell>
          <cell r="G326">
            <v>0</v>
          </cell>
          <cell r="H326">
            <v>0</v>
          </cell>
          <cell r="I326">
            <v>0</v>
          </cell>
          <cell r="J326">
            <v>0</v>
          </cell>
          <cell r="K326">
            <v>0</v>
          </cell>
          <cell r="L326">
            <v>0</v>
          </cell>
          <cell r="M326">
            <v>0</v>
          </cell>
        </row>
        <row r="327">
          <cell r="D327">
            <v>8210</v>
          </cell>
          <cell r="E327" t="str">
            <v>资本公积_本年年初余额</v>
          </cell>
          <cell r="F327">
            <v>932973955</v>
          </cell>
          <cell r="G327">
            <v>0</v>
          </cell>
          <cell r="H327">
            <v>0</v>
          </cell>
          <cell r="I327">
            <v>932973955</v>
          </cell>
          <cell r="J327">
            <v>932973955</v>
          </cell>
          <cell r="K327">
            <v>0</v>
          </cell>
          <cell r="L327">
            <v>0</v>
          </cell>
          <cell r="M327">
            <v>932973955</v>
          </cell>
        </row>
        <row r="328">
          <cell r="D328">
            <v>8290</v>
          </cell>
          <cell r="E328" t="str">
            <v>资本公积_本期增减变动金额</v>
          </cell>
          <cell r="F328">
            <v>-104000000</v>
          </cell>
          <cell r="G328">
            <v>0</v>
          </cell>
          <cell r="H328">
            <v>0</v>
          </cell>
          <cell r="I328">
            <v>-104000000</v>
          </cell>
          <cell r="J328">
            <v>0</v>
          </cell>
          <cell r="K328">
            <v>0</v>
          </cell>
          <cell r="L328">
            <v>0</v>
          </cell>
          <cell r="M328">
            <v>0</v>
          </cell>
        </row>
        <row r="329">
          <cell r="D329">
            <v>8221</v>
          </cell>
          <cell r="E329" t="str">
            <v>资本公积_净利润增加权益</v>
          </cell>
          <cell r="F329">
            <v>0</v>
          </cell>
          <cell r="G329">
            <v>0</v>
          </cell>
          <cell r="H329">
            <v>0</v>
          </cell>
          <cell r="I329">
            <v>0</v>
          </cell>
          <cell r="J329">
            <v>0</v>
          </cell>
          <cell r="K329">
            <v>0</v>
          </cell>
          <cell r="L329">
            <v>0</v>
          </cell>
          <cell r="M329">
            <v>0</v>
          </cell>
        </row>
        <row r="330">
          <cell r="D330">
            <v>8230</v>
          </cell>
          <cell r="E330" t="str">
            <v>资本公积_其他综合收益</v>
          </cell>
          <cell r="F330">
            <v>0</v>
          </cell>
          <cell r="G330">
            <v>0</v>
          </cell>
          <cell r="H330">
            <v>0</v>
          </cell>
          <cell r="I330">
            <v>0</v>
          </cell>
          <cell r="J330">
            <v>0</v>
          </cell>
          <cell r="K330">
            <v>0</v>
          </cell>
          <cell r="L330">
            <v>0</v>
          </cell>
          <cell r="M330">
            <v>0</v>
          </cell>
        </row>
        <row r="331">
          <cell r="D331">
            <v>8240</v>
          </cell>
          <cell r="E331" t="str">
            <v>资本公积_综合收益总额增加权益</v>
          </cell>
          <cell r="F331">
            <v>0</v>
          </cell>
          <cell r="G331">
            <v>0</v>
          </cell>
          <cell r="H331">
            <v>0</v>
          </cell>
          <cell r="I331">
            <v>0</v>
          </cell>
          <cell r="J331">
            <v>0</v>
          </cell>
          <cell r="K331">
            <v>0</v>
          </cell>
          <cell r="L331">
            <v>0</v>
          </cell>
          <cell r="M331">
            <v>0</v>
          </cell>
        </row>
        <row r="332">
          <cell r="D332">
            <v>8250</v>
          </cell>
          <cell r="E332" t="str">
            <v>资本公积_所有者投入和减少资本影响权益</v>
          </cell>
          <cell r="F332">
            <v>0</v>
          </cell>
          <cell r="G332">
            <v>0</v>
          </cell>
          <cell r="H332">
            <v>0</v>
          </cell>
          <cell r="I332">
            <v>0</v>
          </cell>
          <cell r="J332">
            <v>0</v>
          </cell>
          <cell r="K332">
            <v>0</v>
          </cell>
          <cell r="L332">
            <v>0</v>
          </cell>
          <cell r="M332">
            <v>0</v>
          </cell>
        </row>
        <row r="333">
          <cell r="D333">
            <v>8251</v>
          </cell>
          <cell r="E333" t="str">
            <v>资本公积_所有者投入资本</v>
          </cell>
          <cell r="F333">
            <v>0</v>
          </cell>
          <cell r="G333">
            <v>0</v>
          </cell>
          <cell r="H333">
            <v>0</v>
          </cell>
          <cell r="I333">
            <v>0</v>
          </cell>
          <cell r="J333">
            <v>0</v>
          </cell>
          <cell r="K333">
            <v>0</v>
          </cell>
          <cell r="L333">
            <v>0</v>
          </cell>
          <cell r="M333">
            <v>0</v>
          </cell>
        </row>
        <row r="334">
          <cell r="D334">
            <v>8253</v>
          </cell>
          <cell r="E334" t="str">
            <v>资本公积_其他权益工具持有者投入资本</v>
          </cell>
          <cell r="F334">
            <v>0</v>
          </cell>
          <cell r="G334">
            <v>0</v>
          </cell>
          <cell r="H334">
            <v>0</v>
          </cell>
          <cell r="I334">
            <v>0</v>
          </cell>
          <cell r="J334">
            <v>0</v>
          </cell>
          <cell r="K334">
            <v>0</v>
          </cell>
          <cell r="L334">
            <v>0</v>
          </cell>
          <cell r="M334">
            <v>0</v>
          </cell>
        </row>
        <row r="335">
          <cell r="D335">
            <v>8252</v>
          </cell>
          <cell r="E335" t="str">
            <v>资本公积_股份支付</v>
          </cell>
          <cell r="F335">
            <v>0</v>
          </cell>
          <cell r="G335">
            <v>0</v>
          </cell>
          <cell r="H335">
            <v>0</v>
          </cell>
          <cell r="I335">
            <v>0</v>
          </cell>
          <cell r="J335">
            <v>0</v>
          </cell>
          <cell r="K335">
            <v>0</v>
          </cell>
          <cell r="L335">
            <v>0</v>
          </cell>
          <cell r="M335">
            <v>0</v>
          </cell>
        </row>
        <row r="336">
          <cell r="D336">
            <v>8256</v>
          </cell>
          <cell r="E336" t="str">
            <v>资本公积_所有者其他投入和减少资本</v>
          </cell>
          <cell r="F336">
            <v>0</v>
          </cell>
          <cell r="G336">
            <v>0</v>
          </cell>
          <cell r="H336">
            <v>0</v>
          </cell>
          <cell r="I336">
            <v>0</v>
          </cell>
          <cell r="J336">
            <v>0</v>
          </cell>
          <cell r="K336">
            <v>0</v>
          </cell>
          <cell r="L336">
            <v>0</v>
          </cell>
          <cell r="M336">
            <v>0</v>
          </cell>
        </row>
        <row r="337">
          <cell r="D337">
            <v>8260</v>
          </cell>
          <cell r="E337" t="str">
            <v>资本公积_利润分配影响权益</v>
          </cell>
          <cell r="F337">
            <v>0</v>
          </cell>
          <cell r="G337">
            <v>0</v>
          </cell>
          <cell r="H337">
            <v>0</v>
          </cell>
          <cell r="I337">
            <v>0</v>
          </cell>
          <cell r="J337">
            <v>0</v>
          </cell>
          <cell r="K337">
            <v>0</v>
          </cell>
          <cell r="L337">
            <v>0</v>
          </cell>
          <cell r="M337">
            <v>0</v>
          </cell>
        </row>
        <row r="338">
          <cell r="D338">
            <v>8261</v>
          </cell>
          <cell r="E338" t="str">
            <v>资本公积_提取盈余公积影响权益</v>
          </cell>
          <cell r="F338">
            <v>0</v>
          </cell>
          <cell r="G338">
            <v>0</v>
          </cell>
          <cell r="H338">
            <v>0</v>
          </cell>
          <cell r="I338">
            <v>0</v>
          </cell>
          <cell r="J338">
            <v>0</v>
          </cell>
          <cell r="K338">
            <v>0</v>
          </cell>
          <cell r="L338">
            <v>0</v>
          </cell>
          <cell r="M338">
            <v>0</v>
          </cell>
        </row>
        <row r="339">
          <cell r="D339">
            <v>8262</v>
          </cell>
          <cell r="E339" t="str">
            <v>资本公积_提取一般风险准备影响权益</v>
          </cell>
          <cell r="F339">
            <v>0</v>
          </cell>
          <cell r="G339">
            <v>0</v>
          </cell>
          <cell r="H339">
            <v>0</v>
          </cell>
          <cell r="I339">
            <v>0</v>
          </cell>
          <cell r="J339">
            <v>0</v>
          </cell>
          <cell r="K339">
            <v>0</v>
          </cell>
          <cell r="L339">
            <v>0</v>
          </cell>
          <cell r="M339">
            <v>0</v>
          </cell>
        </row>
        <row r="340">
          <cell r="D340">
            <v>8263</v>
          </cell>
          <cell r="E340" t="str">
            <v>资本公积_对所有者的分配影响权益</v>
          </cell>
          <cell r="F340">
            <v>0</v>
          </cell>
          <cell r="G340">
            <v>0</v>
          </cell>
          <cell r="H340">
            <v>0</v>
          </cell>
          <cell r="I340">
            <v>0</v>
          </cell>
          <cell r="J340">
            <v>0</v>
          </cell>
          <cell r="K340">
            <v>0</v>
          </cell>
          <cell r="L340">
            <v>0</v>
          </cell>
          <cell r="M340">
            <v>0</v>
          </cell>
        </row>
        <row r="341">
          <cell r="D341">
            <v>8266</v>
          </cell>
          <cell r="E341" t="str">
            <v>资本公积_其他利润分配</v>
          </cell>
          <cell r="F341">
            <v>0</v>
          </cell>
          <cell r="G341">
            <v>0</v>
          </cell>
          <cell r="H341">
            <v>0</v>
          </cell>
          <cell r="I341">
            <v>0</v>
          </cell>
          <cell r="J341">
            <v>0</v>
          </cell>
          <cell r="K341">
            <v>0</v>
          </cell>
          <cell r="L341">
            <v>0</v>
          </cell>
          <cell r="M341">
            <v>0</v>
          </cell>
        </row>
        <row r="342">
          <cell r="D342">
            <v>8270</v>
          </cell>
          <cell r="E342" t="str">
            <v>资本公积_所有者权益内部结转</v>
          </cell>
          <cell r="F342">
            <v>-104000000</v>
          </cell>
          <cell r="G342">
            <v>0</v>
          </cell>
          <cell r="H342">
            <v>0</v>
          </cell>
          <cell r="I342">
            <v>-104000000</v>
          </cell>
          <cell r="J342">
            <v>0</v>
          </cell>
          <cell r="K342">
            <v>0</v>
          </cell>
          <cell r="L342">
            <v>0</v>
          </cell>
          <cell r="M342">
            <v>0</v>
          </cell>
        </row>
        <row r="343">
          <cell r="D343">
            <v>8271</v>
          </cell>
          <cell r="E343" t="str">
            <v>资本公积_转增资本</v>
          </cell>
          <cell r="F343">
            <v>-104000000</v>
          </cell>
          <cell r="G343">
            <v>0</v>
          </cell>
          <cell r="H343">
            <v>0</v>
          </cell>
          <cell r="I343">
            <v>-104000000</v>
          </cell>
          <cell r="J343">
            <v>0</v>
          </cell>
          <cell r="K343">
            <v>0</v>
          </cell>
          <cell r="L343">
            <v>0</v>
          </cell>
          <cell r="M343">
            <v>0</v>
          </cell>
        </row>
        <row r="344">
          <cell r="D344">
            <v>8272</v>
          </cell>
          <cell r="E344" t="str">
            <v>资本公积_盈余公积转增资本影响权益</v>
          </cell>
          <cell r="F344">
            <v>0</v>
          </cell>
          <cell r="G344">
            <v>0</v>
          </cell>
          <cell r="H344">
            <v>0</v>
          </cell>
          <cell r="I344">
            <v>0</v>
          </cell>
          <cell r="J344">
            <v>0</v>
          </cell>
          <cell r="K344">
            <v>0</v>
          </cell>
          <cell r="L344">
            <v>0</v>
          </cell>
          <cell r="M344">
            <v>0</v>
          </cell>
        </row>
        <row r="345">
          <cell r="D345">
            <v>8273</v>
          </cell>
          <cell r="E345" t="str">
            <v>资本公积_盈余公积弥补亏损影响权益</v>
          </cell>
          <cell r="F345">
            <v>0</v>
          </cell>
          <cell r="G345">
            <v>0</v>
          </cell>
          <cell r="H345">
            <v>0</v>
          </cell>
          <cell r="I345">
            <v>0</v>
          </cell>
          <cell r="J345">
            <v>0</v>
          </cell>
          <cell r="K345">
            <v>0</v>
          </cell>
          <cell r="L345">
            <v>0</v>
          </cell>
          <cell r="M345">
            <v>0</v>
          </cell>
        </row>
        <row r="346">
          <cell r="D346">
            <v>8275</v>
          </cell>
          <cell r="E346" t="str">
            <v>资本公积_结转重新计量设定受益计划净负债或净资产所产生的变动</v>
          </cell>
          <cell r="F346">
            <v>0</v>
          </cell>
          <cell r="G346">
            <v>0</v>
          </cell>
          <cell r="H346">
            <v>0</v>
          </cell>
          <cell r="I346">
            <v>0</v>
          </cell>
          <cell r="J346">
            <v>0</v>
          </cell>
          <cell r="K346">
            <v>0</v>
          </cell>
          <cell r="L346">
            <v>0</v>
          </cell>
          <cell r="M346">
            <v>0</v>
          </cell>
        </row>
        <row r="347">
          <cell r="D347">
            <v>8276</v>
          </cell>
          <cell r="E347" t="str">
            <v>资本公积_所有者权益其他内部结转</v>
          </cell>
          <cell r="F347">
            <v>0</v>
          </cell>
          <cell r="G347">
            <v>0</v>
          </cell>
          <cell r="H347">
            <v>0</v>
          </cell>
          <cell r="I347">
            <v>0</v>
          </cell>
          <cell r="J347">
            <v>0</v>
          </cell>
          <cell r="K347">
            <v>0</v>
          </cell>
          <cell r="L347">
            <v>0</v>
          </cell>
          <cell r="M347">
            <v>0</v>
          </cell>
        </row>
        <row r="348">
          <cell r="D348">
            <v>8280</v>
          </cell>
          <cell r="E348" t="str">
            <v>资本公积_专项储备影响权益</v>
          </cell>
          <cell r="F348">
            <v>0</v>
          </cell>
          <cell r="G348">
            <v>0</v>
          </cell>
          <cell r="H348">
            <v>0</v>
          </cell>
          <cell r="I348">
            <v>0</v>
          </cell>
          <cell r="J348">
            <v>0</v>
          </cell>
          <cell r="K348">
            <v>0</v>
          </cell>
          <cell r="L348">
            <v>0</v>
          </cell>
          <cell r="M348">
            <v>0</v>
          </cell>
        </row>
        <row r="349">
          <cell r="D349">
            <v>8281</v>
          </cell>
          <cell r="E349" t="str">
            <v>资本公积_专项储备本期提取</v>
          </cell>
          <cell r="F349">
            <v>0</v>
          </cell>
          <cell r="G349">
            <v>0</v>
          </cell>
          <cell r="H349">
            <v>0</v>
          </cell>
          <cell r="I349">
            <v>0</v>
          </cell>
          <cell r="J349">
            <v>0</v>
          </cell>
          <cell r="K349">
            <v>0</v>
          </cell>
          <cell r="L349">
            <v>0</v>
          </cell>
          <cell r="M349">
            <v>0</v>
          </cell>
        </row>
        <row r="350">
          <cell r="D350">
            <v>8282</v>
          </cell>
          <cell r="E350" t="str">
            <v>资本公积_专项储备本期使用</v>
          </cell>
          <cell r="F350">
            <v>0</v>
          </cell>
          <cell r="G350">
            <v>0</v>
          </cell>
          <cell r="H350">
            <v>0</v>
          </cell>
          <cell r="I350">
            <v>0</v>
          </cell>
          <cell r="J350">
            <v>0</v>
          </cell>
          <cell r="K350">
            <v>0</v>
          </cell>
          <cell r="L350">
            <v>0</v>
          </cell>
          <cell r="M350">
            <v>0</v>
          </cell>
        </row>
        <row r="351">
          <cell r="D351">
            <v>8296</v>
          </cell>
          <cell r="E351" t="str">
            <v>资本公积_本期其他增减变动</v>
          </cell>
          <cell r="F351">
            <v>0</v>
          </cell>
          <cell r="G351">
            <v>0</v>
          </cell>
          <cell r="H351">
            <v>0</v>
          </cell>
          <cell r="I351">
            <v>0</v>
          </cell>
          <cell r="J351">
            <v>0</v>
          </cell>
          <cell r="K351">
            <v>0</v>
          </cell>
          <cell r="L351">
            <v>0</v>
          </cell>
          <cell r="M351">
            <v>0</v>
          </cell>
        </row>
        <row r="352">
          <cell r="D352">
            <v>8299</v>
          </cell>
          <cell r="E352" t="str">
            <v>资本公积_本期期末余额</v>
          </cell>
          <cell r="F352">
            <v>828973955</v>
          </cell>
          <cell r="G352">
            <v>0</v>
          </cell>
          <cell r="H352">
            <v>0</v>
          </cell>
          <cell r="I352">
            <v>828973955</v>
          </cell>
          <cell r="J352">
            <v>932973955</v>
          </cell>
          <cell r="K352">
            <v>0</v>
          </cell>
          <cell r="L352">
            <v>0</v>
          </cell>
          <cell r="M352">
            <v>932973955</v>
          </cell>
        </row>
        <row r="353">
          <cell r="D353">
            <v>8300</v>
          </cell>
          <cell r="E353" t="str">
            <v>库存股增减变动</v>
          </cell>
          <cell r="F353">
            <v>0</v>
          </cell>
          <cell r="G353">
            <v>0</v>
          </cell>
          <cell r="H353">
            <v>0</v>
          </cell>
          <cell r="I353">
            <v>0</v>
          </cell>
          <cell r="J353">
            <v>0</v>
          </cell>
          <cell r="K353">
            <v>0</v>
          </cell>
          <cell r="L353">
            <v>0</v>
          </cell>
          <cell r="M353">
            <v>0</v>
          </cell>
        </row>
        <row r="354">
          <cell r="D354">
            <v>8301</v>
          </cell>
          <cell r="E354" t="str">
            <v>库存股_上年年末余额</v>
          </cell>
          <cell r="F354">
            <v>0</v>
          </cell>
          <cell r="G354">
            <v>0</v>
          </cell>
          <cell r="H354">
            <v>0</v>
          </cell>
          <cell r="I354">
            <v>0</v>
          </cell>
          <cell r="J354">
            <v>0</v>
          </cell>
          <cell r="K354">
            <v>0</v>
          </cell>
          <cell r="L354">
            <v>0</v>
          </cell>
          <cell r="M354">
            <v>0</v>
          </cell>
        </row>
        <row r="355">
          <cell r="D355">
            <v>8302</v>
          </cell>
          <cell r="E355" t="str">
            <v>库存股_会计政策变更调整上年年末余额</v>
          </cell>
          <cell r="F355">
            <v>0</v>
          </cell>
          <cell r="G355">
            <v>0</v>
          </cell>
          <cell r="H355">
            <v>0</v>
          </cell>
          <cell r="I355">
            <v>0</v>
          </cell>
          <cell r="J355">
            <v>0</v>
          </cell>
          <cell r="K355">
            <v>0</v>
          </cell>
          <cell r="L355">
            <v>0</v>
          </cell>
          <cell r="M355">
            <v>0</v>
          </cell>
        </row>
        <row r="356">
          <cell r="D356">
            <v>8303</v>
          </cell>
          <cell r="E356" t="str">
            <v>库存股_前期差错更正调整上年年末余额</v>
          </cell>
          <cell r="F356">
            <v>0</v>
          </cell>
          <cell r="G356">
            <v>0</v>
          </cell>
          <cell r="H356">
            <v>0</v>
          </cell>
          <cell r="I356">
            <v>0</v>
          </cell>
          <cell r="J356">
            <v>0</v>
          </cell>
          <cell r="K356">
            <v>0</v>
          </cell>
          <cell r="L356">
            <v>0</v>
          </cell>
          <cell r="M356">
            <v>0</v>
          </cell>
        </row>
        <row r="357">
          <cell r="D357">
            <v>8304</v>
          </cell>
          <cell r="E357" t="str">
            <v>库存股_同一控制下企业合并调整上年年末余额</v>
          </cell>
          <cell r="F357">
            <v>0</v>
          </cell>
          <cell r="G357">
            <v>0</v>
          </cell>
          <cell r="H357">
            <v>0</v>
          </cell>
          <cell r="I357">
            <v>0</v>
          </cell>
          <cell r="J357">
            <v>0</v>
          </cell>
          <cell r="K357">
            <v>0</v>
          </cell>
          <cell r="L357">
            <v>0</v>
          </cell>
          <cell r="M357">
            <v>0</v>
          </cell>
        </row>
        <row r="358">
          <cell r="D358">
            <v>8309</v>
          </cell>
          <cell r="E358" t="str">
            <v>库存股_其他原因调整上年年末余额</v>
          </cell>
          <cell r="F358">
            <v>0</v>
          </cell>
          <cell r="G358">
            <v>0</v>
          </cell>
          <cell r="H358">
            <v>0</v>
          </cell>
          <cell r="I358">
            <v>0</v>
          </cell>
          <cell r="J358">
            <v>0</v>
          </cell>
          <cell r="K358">
            <v>0</v>
          </cell>
          <cell r="L358">
            <v>0</v>
          </cell>
          <cell r="M358">
            <v>0</v>
          </cell>
        </row>
        <row r="359">
          <cell r="D359">
            <v>8310</v>
          </cell>
          <cell r="E359" t="str">
            <v>库存股_本年年初余额</v>
          </cell>
          <cell r="F359">
            <v>0</v>
          </cell>
          <cell r="G359">
            <v>0</v>
          </cell>
          <cell r="H359">
            <v>0</v>
          </cell>
          <cell r="I359">
            <v>0</v>
          </cell>
          <cell r="J359">
            <v>0</v>
          </cell>
          <cell r="K359">
            <v>0</v>
          </cell>
          <cell r="L359">
            <v>0</v>
          </cell>
          <cell r="M359">
            <v>0</v>
          </cell>
        </row>
        <row r="360">
          <cell r="D360">
            <v>8390</v>
          </cell>
          <cell r="E360" t="str">
            <v>库存股_本期增减变动金额</v>
          </cell>
          <cell r="F360">
            <v>0</v>
          </cell>
          <cell r="G360">
            <v>0</v>
          </cell>
          <cell r="H360">
            <v>0</v>
          </cell>
          <cell r="I360">
            <v>0</v>
          </cell>
          <cell r="J360">
            <v>0</v>
          </cell>
          <cell r="K360">
            <v>0</v>
          </cell>
          <cell r="L360">
            <v>0</v>
          </cell>
          <cell r="M360">
            <v>0</v>
          </cell>
        </row>
        <row r="361">
          <cell r="D361">
            <v>8321</v>
          </cell>
          <cell r="E361" t="str">
            <v>库存股_净利润增加权益</v>
          </cell>
          <cell r="F361">
            <v>0</v>
          </cell>
          <cell r="G361">
            <v>0</v>
          </cell>
          <cell r="H361">
            <v>0</v>
          </cell>
          <cell r="I361">
            <v>0</v>
          </cell>
          <cell r="J361">
            <v>0</v>
          </cell>
          <cell r="K361">
            <v>0</v>
          </cell>
          <cell r="L361">
            <v>0</v>
          </cell>
          <cell r="M361">
            <v>0</v>
          </cell>
        </row>
        <row r="362">
          <cell r="D362">
            <v>8330</v>
          </cell>
          <cell r="E362" t="str">
            <v>库存股_其他综合收益增加权益</v>
          </cell>
          <cell r="F362">
            <v>0</v>
          </cell>
          <cell r="G362">
            <v>0</v>
          </cell>
          <cell r="H362">
            <v>0</v>
          </cell>
          <cell r="I362">
            <v>0</v>
          </cell>
          <cell r="J362">
            <v>0</v>
          </cell>
          <cell r="K362">
            <v>0</v>
          </cell>
          <cell r="L362">
            <v>0</v>
          </cell>
          <cell r="M362">
            <v>0</v>
          </cell>
        </row>
        <row r="363">
          <cell r="D363">
            <v>8340</v>
          </cell>
          <cell r="E363" t="str">
            <v>库存股_综合收益总额增加权益</v>
          </cell>
          <cell r="F363">
            <v>0</v>
          </cell>
          <cell r="G363">
            <v>0</v>
          </cell>
          <cell r="H363">
            <v>0</v>
          </cell>
          <cell r="I363">
            <v>0</v>
          </cell>
          <cell r="J363">
            <v>0</v>
          </cell>
          <cell r="K363">
            <v>0</v>
          </cell>
          <cell r="L363">
            <v>0</v>
          </cell>
          <cell r="M363">
            <v>0</v>
          </cell>
        </row>
        <row r="364">
          <cell r="D364">
            <v>8350</v>
          </cell>
          <cell r="E364" t="str">
            <v>库存股_所有者投入和减少资本影响权益</v>
          </cell>
          <cell r="F364">
            <v>0</v>
          </cell>
          <cell r="G364">
            <v>0</v>
          </cell>
          <cell r="H364">
            <v>0</v>
          </cell>
          <cell r="I364">
            <v>0</v>
          </cell>
          <cell r="J364">
            <v>0</v>
          </cell>
          <cell r="K364">
            <v>0</v>
          </cell>
          <cell r="L364">
            <v>0</v>
          </cell>
          <cell r="M364">
            <v>0</v>
          </cell>
        </row>
        <row r="365">
          <cell r="D365">
            <v>8351</v>
          </cell>
          <cell r="E365" t="str">
            <v>库存股_所有者投入资本</v>
          </cell>
          <cell r="F365">
            <v>0</v>
          </cell>
          <cell r="G365">
            <v>0</v>
          </cell>
          <cell r="H365">
            <v>0</v>
          </cell>
          <cell r="I365">
            <v>0</v>
          </cell>
          <cell r="J365">
            <v>0</v>
          </cell>
          <cell r="K365">
            <v>0</v>
          </cell>
          <cell r="L365">
            <v>0</v>
          </cell>
          <cell r="M365">
            <v>0</v>
          </cell>
        </row>
        <row r="366">
          <cell r="D366">
            <v>8353</v>
          </cell>
          <cell r="E366" t="str">
            <v>库存股_其他权益工具持有者投入资本</v>
          </cell>
          <cell r="F366">
            <v>0</v>
          </cell>
          <cell r="G366">
            <v>0</v>
          </cell>
          <cell r="H366">
            <v>0</v>
          </cell>
          <cell r="I366">
            <v>0</v>
          </cell>
          <cell r="J366">
            <v>0</v>
          </cell>
          <cell r="K366">
            <v>0</v>
          </cell>
          <cell r="L366">
            <v>0</v>
          </cell>
          <cell r="M366">
            <v>0</v>
          </cell>
        </row>
        <row r="367">
          <cell r="D367">
            <v>8352</v>
          </cell>
          <cell r="E367" t="str">
            <v>库存股_股份支付</v>
          </cell>
          <cell r="F367">
            <v>0</v>
          </cell>
          <cell r="G367">
            <v>0</v>
          </cell>
          <cell r="H367">
            <v>0</v>
          </cell>
          <cell r="I367">
            <v>0</v>
          </cell>
          <cell r="J367">
            <v>0</v>
          </cell>
          <cell r="K367">
            <v>0</v>
          </cell>
          <cell r="L367">
            <v>0</v>
          </cell>
          <cell r="M367">
            <v>0</v>
          </cell>
        </row>
        <row r="368">
          <cell r="D368">
            <v>8356</v>
          </cell>
          <cell r="E368" t="str">
            <v>库存股_所有者其他投入和减少资本</v>
          </cell>
          <cell r="F368">
            <v>0</v>
          </cell>
          <cell r="G368">
            <v>0</v>
          </cell>
          <cell r="H368">
            <v>0</v>
          </cell>
          <cell r="I368">
            <v>0</v>
          </cell>
          <cell r="J368">
            <v>0</v>
          </cell>
          <cell r="K368">
            <v>0</v>
          </cell>
          <cell r="L368">
            <v>0</v>
          </cell>
          <cell r="M368">
            <v>0</v>
          </cell>
        </row>
        <row r="369">
          <cell r="D369">
            <v>8360</v>
          </cell>
          <cell r="E369" t="str">
            <v>库存股_利润分配影响权益</v>
          </cell>
          <cell r="F369">
            <v>0</v>
          </cell>
          <cell r="G369">
            <v>0</v>
          </cell>
          <cell r="H369">
            <v>0</v>
          </cell>
          <cell r="I369">
            <v>0</v>
          </cell>
          <cell r="J369">
            <v>0</v>
          </cell>
          <cell r="K369">
            <v>0</v>
          </cell>
          <cell r="L369">
            <v>0</v>
          </cell>
          <cell r="M369">
            <v>0</v>
          </cell>
        </row>
        <row r="370">
          <cell r="D370">
            <v>8361</v>
          </cell>
          <cell r="E370" t="str">
            <v>库存股_提取盈余公积影响权益</v>
          </cell>
          <cell r="F370">
            <v>0</v>
          </cell>
          <cell r="G370">
            <v>0</v>
          </cell>
          <cell r="H370">
            <v>0</v>
          </cell>
          <cell r="I370">
            <v>0</v>
          </cell>
          <cell r="J370">
            <v>0</v>
          </cell>
          <cell r="K370">
            <v>0</v>
          </cell>
          <cell r="L370">
            <v>0</v>
          </cell>
          <cell r="M370">
            <v>0</v>
          </cell>
        </row>
        <row r="371">
          <cell r="D371">
            <v>8362</v>
          </cell>
          <cell r="E371" t="str">
            <v>库存股_提取一般风险准备影响权益</v>
          </cell>
          <cell r="F371">
            <v>0</v>
          </cell>
          <cell r="G371">
            <v>0</v>
          </cell>
          <cell r="H371">
            <v>0</v>
          </cell>
          <cell r="I371">
            <v>0</v>
          </cell>
          <cell r="J371">
            <v>0</v>
          </cell>
          <cell r="K371">
            <v>0</v>
          </cell>
          <cell r="L371">
            <v>0</v>
          </cell>
          <cell r="M371">
            <v>0</v>
          </cell>
        </row>
        <row r="372">
          <cell r="D372">
            <v>8363</v>
          </cell>
          <cell r="E372" t="str">
            <v>库存股_对所有者的分配</v>
          </cell>
          <cell r="F372">
            <v>0</v>
          </cell>
          <cell r="G372">
            <v>0</v>
          </cell>
          <cell r="H372">
            <v>0</v>
          </cell>
          <cell r="I372">
            <v>0</v>
          </cell>
          <cell r="J372">
            <v>0</v>
          </cell>
          <cell r="K372">
            <v>0</v>
          </cell>
          <cell r="L372">
            <v>0</v>
          </cell>
          <cell r="M372">
            <v>0</v>
          </cell>
        </row>
        <row r="373">
          <cell r="D373">
            <v>8366</v>
          </cell>
          <cell r="E373" t="str">
            <v>库存股_其他利润分配</v>
          </cell>
          <cell r="F373">
            <v>0</v>
          </cell>
          <cell r="G373">
            <v>0</v>
          </cell>
          <cell r="H373">
            <v>0</v>
          </cell>
          <cell r="I373">
            <v>0</v>
          </cell>
          <cell r="J373">
            <v>0</v>
          </cell>
          <cell r="K373">
            <v>0</v>
          </cell>
          <cell r="L373">
            <v>0</v>
          </cell>
          <cell r="M373">
            <v>0</v>
          </cell>
        </row>
        <row r="374">
          <cell r="D374">
            <v>8370</v>
          </cell>
          <cell r="E374" t="str">
            <v>库存股_所有者权益内部结转</v>
          </cell>
          <cell r="F374">
            <v>0</v>
          </cell>
          <cell r="G374">
            <v>0</v>
          </cell>
          <cell r="H374">
            <v>0</v>
          </cell>
          <cell r="I374">
            <v>0</v>
          </cell>
          <cell r="J374">
            <v>0</v>
          </cell>
          <cell r="K374">
            <v>0</v>
          </cell>
          <cell r="L374">
            <v>0</v>
          </cell>
          <cell r="M374">
            <v>0</v>
          </cell>
        </row>
        <row r="375">
          <cell r="D375">
            <v>8371</v>
          </cell>
          <cell r="E375" t="str">
            <v>库存股_资本公积转增资本影响权益</v>
          </cell>
          <cell r="F375">
            <v>0</v>
          </cell>
          <cell r="G375">
            <v>0</v>
          </cell>
          <cell r="H375">
            <v>0</v>
          </cell>
          <cell r="I375">
            <v>0</v>
          </cell>
          <cell r="J375">
            <v>0</v>
          </cell>
          <cell r="K375">
            <v>0</v>
          </cell>
          <cell r="L375">
            <v>0</v>
          </cell>
          <cell r="M375">
            <v>0</v>
          </cell>
        </row>
        <row r="376">
          <cell r="D376">
            <v>8372</v>
          </cell>
          <cell r="E376" t="str">
            <v>库存股_盈余公积转增资本影响权益</v>
          </cell>
          <cell r="F376">
            <v>0</v>
          </cell>
          <cell r="G376">
            <v>0</v>
          </cell>
          <cell r="H376">
            <v>0</v>
          </cell>
          <cell r="I376">
            <v>0</v>
          </cell>
          <cell r="J376">
            <v>0</v>
          </cell>
          <cell r="K376">
            <v>0</v>
          </cell>
          <cell r="L376">
            <v>0</v>
          </cell>
          <cell r="M376">
            <v>0</v>
          </cell>
        </row>
        <row r="377">
          <cell r="D377">
            <v>8373</v>
          </cell>
          <cell r="E377" t="str">
            <v>库存股_盈余公积弥补亏损影响权益</v>
          </cell>
          <cell r="F377">
            <v>0</v>
          </cell>
          <cell r="G377">
            <v>0</v>
          </cell>
          <cell r="H377">
            <v>0</v>
          </cell>
          <cell r="I377">
            <v>0</v>
          </cell>
          <cell r="J377">
            <v>0</v>
          </cell>
          <cell r="K377">
            <v>0</v>
          </cell>
          <cell r="L377">
            <v>0</v>
          </cell>
          <cell r="M377">
            <v>0</v>
          </cell>
        </row>
        <row r="378">
          <cell r="D378">
            <v>8375</v>
          </cell>
          <cell r="E378" t="str">
            <v>库存股_结转重新计量设定受益计划净负债或净资产所产生的变动</v>
          </cell>
          <cell r="F378">
            <v>0</v>
          </cell>
          <cell r="G378">
            <v>0</v>
          </cell>
          <cell r="H378">
            <v>0</v>
          </cell>
          <cell r="I378">
            <v>0</v>
          </cell>
          <cell r="J378">
            <v>0</v>
          </cell>
          <cell r="K378">
            <v>0</v>
          </cell>
          <cell r="L378">
            <v>0</v>
          </cell>
          <cell r="M378">
            <v>0</v>
          </cell>
        </row>
        <row r="379">
          <cell r="D379">
            <v>8376</v>
          </cell>
          <cell r="E379" t="str">
            <v>库存股_所有者权益其他内部结转</v>
          </cell>
          <cell r="F379">
            <v>0</v>
          </cell>
          <cell r="G379">
            <v>0</v>
          </cell>
          <cell r="H379">
            <v>0</v>
          </cell>
          <cell r="I379">
            <v>0</v>
          </cell>
          <cell r="J379">
            <v>0</v>
          </cell>
          <cell r="K379">
            <v>0</v>
          </cell>
          <cell r="L379">
            <v>0</v>
          </cell>
          <cell r="M379">
            <v>0</v>
          </cell>
        </row>
        <row r="380">
          <cell r="D380">
            <v>8380</v>
          </cell>
          <cell r="E380" t="str">
            <v>库存股_专项储备影响权益</v>
          </cell>
          <cell r="F380">
            <v>0</v>
          </cell>
          <cell r="G380">
            <v>0</v>
          </cell>
          <cell r="H380">
            <v>0</v>
          </cell>
          <cell r="I380">
            <v>0</v>
          </cell>
          <cell r="J380">
            <v>0</v>
          </cell>
          <cell r="K380">
            <v>0</v>
          </cell>
          <cell r="L380">
            <v>0</v>
          </cell>
          <cell r="M380">
            <v>0</v>
          </cell>
        </row>
        <row r="381">
          <cell r="D381">
            <v>8381</v>
          </cell>
          <cell r="E381" t="str">
            <v>库存股_专项储备本期提取</v>
          </cell>
          <cell r="F381">
            <v>0</v>
          </cell>
          <cell r="G381">
            <v>0</v>
          </cell>
          <cell r="H381">
            <v>0</v>
          </cell>
          <cell r="I381">
            <v>0</v>
          </cell>
          <cell r="J381">
            <v>0</v>
          </cell>
          <cell r="K381">
            <v>0</v>
          </cell>
          <cell r="L381">
            <v>0</v>
          </cell>
          <cell r="M381">
            <v>0</v>
          </cell>
        </row>
        <row r="382">
          <cell r="D382">
            <v>8382</v>
          </cell>
          <cell r="E382" t="str">
            <v>库存股_专项储备本期使用</v>
          </cell>
          <cell r="F382">
            <v>0</v>
          </cell>
          <cell r="G382">
            <v>0</v>
          </cell>
          <cell r="H382">
            <v>0</v>
          </cell>
          <cell r="I382">
            <v>0</v>
          </cell>
          <cell r="J382">
            <v>0</v>
          </cell>
          <cell r="K382">
            <v>0</v>
          </cell>
          <cell r="L382">
            <v>0</v>
          </cell>
          <cell r="M382">
            <v>0</v>
          </cell>
        </row>
        <row r="383">
          <cell r="D383">
            <v>8396</v>
          </cell>
          <cell r="E383" t="str">
            <v>库存股_本期其他增减变动</v>
          </cell>
          <cell r="F383">
            <v>0</v>
          </cell>
          <cell r="G383">
            <v>0</v>
          </cell>
          <cell r="H383">
            <v>0</v>
          </cell>
          <cell r="I383">
            <v>0</v>
          </cell>
          <cell r="J383">
            <v>0</v>
          </cell>
          <cell r="K383">
            <v>0</v>
          </cell>
          <cell r="L383">
            <v>0</v>
          </cell>
          <cell r="M383">
            <v>0</v>
          </cell>
        </row>
        <row r="384">
          <cell r="D384">
            <v>8399</v>
          </cell>
          <cell r="E384" t="str">
            <v>库存股_本期期末余额</v>
          </cell>
          <cell r="F384">
            <v>0</v>
          </cell>
          <cell r="G384">
            <v>0</v>
          </cell>
          <cell r="H384">
            <v>0</v>
          </cell>
          <cell r="I384">
            <v>0</v>
          </cell>
          <cell r="J384">
            <v>0</v>
          </cell>
          <cell r="K384">
            <v>0</v>
          </cell>
          <cell r="L384">
            <v>0</v>
          </cell>
          <cell r="M384">
            <v>0</v>
          </cell>
        </row>
        <row r="385">
          <cell r="D385" t="str">
            <v>8g00</v>
          </cell>
          <cell r="E385" t="str">
            <v>其他综合收益增减变动</v>
          </cell>
          <cell r="F385">
            <v>0</v>
          </cell>
          <cell r="G385">
            <v>0</v>
          </cell>
          <cell r="H385">
            <v>0</v>
          </cell>
          <cell r="I385">
            <v>0</v>
          </cell>
          <cell r="J385">
            <v>0</v>
          </cell>
          <cell r="K385">
            <v>0</v>
          </cell>
          <cell r="L385">
            <v>0</v>
          </cell>
          <cell r="M385">
            <v>0</v>
          </cell>
        </row>
        <row r="386">
          <cell r="D386" t="str">
            <v>8g01</v>
          </cell>
          <cell r="E386" t="str">
            <v>其他综合收益_上年年末余额</v>
          </cell>
          <cell r="F386">
            <v>0</v>
          </cell>
          <cell r="G386">
            <v>0</v>
          </cell>
          <cell r="H386">
            <v>0</v>
          </cell>
          <cell r="I386">
            <v>0</v>
          </cell>
          <cell r="J386">
            <v>0</v>
          </cell>
          <cell r="K386">
            <v>0</v>
          </cell>
          <cell r="L386">
            <v>0</v>
          </cell>
          <cell r="M386">
            <v>0</v>
          </cell>
        </row>
        <row r="387">
          <cell r="D387" t="str">
            <v>8g02</v>
          </cell>
          <cell r="E387" t="str">
            <v>其他综合收益_会计政策变更调整上年年末余额</v>
          </cell>
          <cell r="F387">
            <v>0</v>
          </cell>
          <cell r="G387">
            <v>0</v>
          </cell>
          <cell r="H387">
            <v>0</v>
          </cell>
          <cell r="I387">
            <v>0</v>
          </cell>
          <cell r="J387">
            <v>0</v>
          </cell>
          <cell r="K387">
            <v>0</v>
          </cell>
          <cell r="L387">
            <v>0</v>
          </cell>
          <cell r="M387">
            <v>0</v>
          </cell>
        </row>
        <row r="388">
          <cell r="D388" t="str">
            <v>8g03</v>
          </cell>
          <cell r="E388" t="str">
            <v>其他综合收益_前期差错更正调整上年年末余额</v>
          </cell>
          <cell r="F388">
            <v>0</v>
          </cell>
          <cell r="G388">
            <v>0</v>
          </cell>
          <cell r="H388">
            <v>0</v>
          </cell>
          <cell r="I388">
            <v>0</v>
          </cell>
          <cell r="J388">
            <v>0</v>
          </cell>
          <cell r="K388">
            <v>0</v>
          </cell>
          <cell r="L388">
            <v>0</v>
          </cell>
          <cell r="M388">
            <v>0</v>
          </cell>
        </row>
        <row r="389">
          <cell r="D389" t="str">
            <v>8g04</v>
          </cell>
          <cell r="E389" t="str">
            <v>其他综合收益_同一控制下企业合并调整上年年末余额</v>
          </cell>
          <cell r="F389">
            <v>0</v>
          </cell>
          <cell r="G389">
            <v>0</v>
          </cell>
          <cell r="H389">
            <v>0</v>
          </cell>
          <cell r="I389">
            <v>0</v>
          </cell>
          <cell r="J389">
            <v>0</v>
          </cell>
          <cell r="K389">
            <v>0</v>
          </cell>
          <cell r="L389">
            <v>0</v>
          </cell>
          <cell r="M389">
            <v>0</v>
          </cell>
        </row>
        <row r="390">
          <cell r="D390" t="str">
            <v>8g09</v>
          </cell>
          <cell r="E390" t="str">
            <v>其他综合收益_其他原因调整上年年末余额</v>
          </cell>
          <cell r="F390">
            <v>0</v>
          </cell>
          <cell r="G390">
            <v>0</v>
          </cell>
          <cell r="H390">
            <v>0</v>
          </cell>
          <cell r="I390">
            <v>0</v>
          </cell>
          <cell r="J390">
            <v>0</v>
          </cell>
          <cell r="K390">
            <v>0</v>
          </cell>
          <cell r="L390">
            <v>0</v>
          </cell>
          <cell r="M390">
            <v>0</v>
          </cell>
        </row>
        <row r="391">
          <cell r="D391" t="str">
            <v>8g10</v>
          </cell>
          <cell r="E391" t="str">
            <v>其他综合收益_本年年初余额</v>
          </cell>
          <cell r="F391">
            <v>0</v>
          </cell>
          <cell r="G391">
            <v>0</v>
          </cell>
          <cell r="H391">
            <v>0</v>
          </cell>
          <cell r="I391">
            <v>0</v>
          </cell>
          <cell r="J391">
            <v>0</v>
          </cell>
          <cell r="K391">
            <v>0</v>
          </cell>
          <cell r="L391">
            <v>0</v>
          </cell>
          <cell r="M391">
            <v>0</v>
          </cell>
        </row>
        <row r="392">
          <cell r="D392" t="str">
            <v>8g90</v>
          </cell>
          <cell r="E392" t="str">
            <v>其他综合收益_本期增减变动金额</v>
          </cell>
          <cell r="F392">
            <v>0</v>
          </cell>
          <cell r="G392">
            <v>0</v>
          </cell>
          <cell r="H392">
            <v>0</v>
          </cell>
          <cell r="I392">
            <v>0</v>
          </cell>
          <cell r="J392">
            <v>0</v>
          </cell>
          <cell r="K392">
            <v>0</v>
          </cell>
          <cell r="L392">
            <v>0</v>
          </cell>
          <cell r="M392">
            <v>0</v>
          </cell>
        </row>
        <row r="393">
          <cell r="D393" t="str">
            <v>8g40</v>
          </cell>
          <cell r="E393" t="str">
            <v>其他综合收益_综合收益总额增加权益</v>
          </cell>
          <cell r="F393">
            <v>0</v>
          </cell>
          <cell r="G393">
            <v>0</v>
          </cell>
          <cell r="H393">
            <v>0</v>
          </cell>
          <cell r="I393">
            <v>0</v>
          </cell>
          <cell r="J393">
            <v>0</v>
          </cell>
          <cell r="K393">
            <v>0</v>
          </cell>
          <cell r="L393">
            <v>0</v>
          </cell>
          <cell r="M393">
            <v>0</v>
          </cell>
        </row>
        <row r="394">
          <cell r="D394" t="str">
            <v>8g50</v>
          </cell>
          <cell r="E394" t="str">
            <v>其他综合收益_所有者投入和减少资本影响权益</v>
          </cell>
          <cell r="F394">
            <v>0</v>
          </cell>
          <cell r="G394">
            <v>0</v>
          </cell>
          <cell r="H394">
            <v>0</v>
          </cell>
          <cell r="I394">
            <v>0</v>
          </cell>
          <cell r="J394">
            <v>0</v>
          </cell>
          <cell r="K394">
            <v>0</v>
          </cell>
          <cell r="L394">
            <v>0</v>
          </cell>
          <cell r="M394">
            <v>0</v>
          </cell>
        </row>
        <row r="395">
          <cell r="D395" t="str">
            <v>8g51</v>
          </cell>
          <cell r="E395" t="str">
            <v>其他综合收益_所有者投入资本</v>
          </cell>
          <cell r="F395">
            <v>0</v>
          </cell>
          <cell r="G395">
            <v>0</v>
          </cell>
          <cell r="H395">
            <v>0</v>
          </cell>
          <cell r="I395">
            <v>0</v>
          </cell>
          <cell r="J395">
            <v>0</v>
          </cell>
          <cell r="K395">
            <v>0</v>
          </cell>
          <cell r="L395">
            <v>0</v>
          </cell>
          <cell r="M395">
            <v>0</v>
          </cell>
        </row>
        <row r="396">
          <cell r="D396" t="str">
            <v>8g53</v>
          </cell>
          <cell r="E396" t="str">
            <v>其他综合收益_其他权益工具持有者投入资本</v>
          </cell>
          <cell r="F396">
            <v>0</v>
          </cell>
          <cell r="G396">
            <v>0</v>
          </cell>
          <cell r="H396">
            <v>0</v>
          </cell>
          <cell r="I396">
            <v>0</v>
          </cell>
          <cell r="J396">
            <v>0</v>
          </cell>
          <cell r="K396">
            <v>0</v>
          </cell>
          <cell r="L396">
            <v>0</v>
          </cell>
          <cell r="M396">
            <v>0</v>
          </cell>
        </row>
        <row r="397">
          <cell r="D397" t="str">
            <v>8g52</v>
          </cell>
          <cell r="E397" t="str">
            <v>其他综合收益_股份支付</v>
          </cell>
          <cell r="F397">
            <v>0</v>
          </cell>
          <cell r="G397">
            <v>0</v>
          </cell>
          <cell r="H397">
            <v>0</v>
          </cell>
          <cell r="I397">
            <v>0</v>
          </cell>
          <cell r="J397">
            <v>0</v>
          </cell>
          <cell r="K397">
            <v>0</v>
          </cell>
          <cell r="L397">
            <v>0</v>
          </cell>
          <cell r="M397">
            <v>0</v>
          </cell>
        </row>
        <row r="398">
          <cell r="D398" t="str">
            <v>8g56</v>
          </cell>
          <cell r="E398" t="str">
            <v>其他综合收益_所有者其他投入和减少资本</v>
          </cell>
          <cell r="F398">
            <v>0</v>
          </cell>
          <cell r="G398">
            <v>0</v>
          </cell>
          <cell r="H398">
            <v>0</v>
          </cell>
          <cell r="I398">
            <v>0</v>
          </cell>
          <cell r="J398">
            <v>0</v>
          </cell>
          <cell r="K398">
            <v>0</v>
          </cell>
          <cell r="L398">
            <v>0</v>
          </cell>
          <cell r="M398">
            <v>0</v>
          </cell>
        </row>
        <row r="399">
          <cell r="D399" t="str">
            <v>8g60</v>
          </cell>
          <cell r="E399" t="str">
            <v>其他综合收益_利润分配影响权益</v>
          </cell>
          <cell r="F399">
            <v>0</v>
          </cell>
          <cell r="G399">
            <v>0</v>
          </cell>
          <cell r="H399">
            <v>0</v>
          </cell>
          <cell r="I399">
            <v>0</v>
          </cell>
          <cell r="J399">
            <v>0</v>
          </cell>
          <cell r="K399">
            <v>0</v>
          </cell>
          <cell r="L399">
            <v>0</v>
          </cell>
          <cell r="M399">
            <v>0</v>
          </cell>
        </row>
        <row r="400">
          <cell r="D400" t="str">
            <v>8g61</v>
          </cell>
          <cell r="E400" t="str">
            <v>其他综合收益_提取盈余公积</v>
          </cell>
          <cell r="F400">
            <v>0</v>
          </cell>
          <cell r="G400">
            <v>0</v>
          </cell>
          <cell r="H400">
            <v>0</v>
          </cell>
          <cell r="I400">
            <v>0</v>
          </cell>
          <cell r="J400">
            <v>0</v>
          </cell>
          <cell r="K400">
            <v>0</v>
          </cell>
          <cell r="L400">
            <v>0</v>
          </cell>
          <cell r="M400">
            <v>0</v>
          </cell>
        </row>
        <row r="401">
          <cell r="D401" t="str">
            <v>8g62</v>
          </cell>
          <cell r="E401" t="str">
            <v>其他综合收益_提取一般风险准备</v>
          </cell>
          <cell r="F401">
            <v>0</v>
          </cell>
          <cell r="G401">
            <v>0</v>
          </cell>
          <cell r="H401">
            <v>0</v>
          </cell>
          <cell r="I401">
            <v>0</v>
          </cell>
          <cell r="J401">
            <v>0</v>
          </cell>
          <cell r="K401">
            <v>0</v>
          </cell>
          <cell r="L401">
            <v>0</v>
          </cell>
          <cell r="M401">
            <v>0</v>
          </cell>
        </row>
        <row r="402">
          <cell r="D402" t="str">
            <v>8g63</v>
          </cell>
          <cell r="E402" t="str">
            <v>其他综合收益_对所有者的分配</v>
          </cell>
          <cell r="F402">
            <v>0</v>
          </cell>
          <cell r="G402">
            <v>0</v>
          </cell>
          <cell r="H402">
            <v>0</v>
          </cell>
          <cell r="I402">
            <v>0</v>
          </cell>
          <cell r="J402">
            <v>0</v>
          </cell>
          <cell r="K402">
            <v>0</v>
          </cell>
          <cell r="L402">
            <v>0</v>
          </cell>
          <cell r="M402">
            <v>0</v>
          </cell>
        </row>
        <row r="403">
          <cell r="D403" t="str">
            <v>8g66</v>
          </cell>
          <cell r="E403" t="str">
            <v>其他综合收益_其他利润分配</v>
          </cell>
          <cell r="F403">
            <v>0</v>
          </cell>
          <cell r="G403">
            <v>0</v>
          </cell>
          <cell r="H403">
            <v>0</v>
          </cell>
          <cell r="I403">
            <v>0</v>
          </cell>
          <cell r="J403">
            <v>0</v>
          </cell>
          <cell r="K403">
            <v>0</v>
          </cell>
          <cell r="L403">
            <v>0</v>
          </cell>
          <cell r="M403">
            <v>0</v>
          </cell>
        </row>
        <row r="404">
          <cell r="D404" t="str">
            <v>8g70</v>
          </cell>
          <cell r="E404" t="str">
            <v>其他综合收益_所有者权益内部结转</v>
          </cell>
          <cell r="F404">
            <v>0</v>
          </cell>
          <cell r="G404">
            <v>0</v>
          </cell>
          <cell r="H404">
            <v>0</v>
          </cell>
          <cell r="I404">
            <v>0</v>
          </cell>
          <cell r="J404">
            <v>0</v>
          </cell>
          <cell r="K404">
            <v>0</v>
          </cell>
          <cell r="L404">
            <v>0</v>
          </cell>
          <cell r="M404">
            <v>0</v>
          </cell>
        </row>
        <row r="405">
          <cell r="D405" t="str">
            <v>8g71</v>
          </cell>
          <cell r="E405" t="str">
            <v>其他综合收益_资本公积转增资本</v>
          </cell>
          <cell r="F405">
            <v>0</v>
          </cell>
          <cell r="G405">
            <v>0</v>
          </cell>
          <cell r="H405">
            <v>0</v>
          </cell>
          <cell r="I405">
            <v>0</v>
          </cell>
          <cell r="J405">
            <v>0</v>
          </cell>
          <cell r="K405">
            <v>0</v>
          </cell>
          <cell r="L405">
            <v>0</v>
          </cell>
          <cell r="M405">
            <v>0</v>
          </cell>
        </row>
        <row r="406">
          <cell r="D406" t="str">
            <v>8g72</v>
          </cell>
          <cell r="E406" t="str">
            <v>其他综合收益_盈余公积转增资本</v>
          </cell>
          <cell r="F406">
            <v>0</v>
          </cell>
          <cell r="G406">
            <v>0</v>
          </cell>
          <cell r="H406">
            <v>0</v>
          </cell>
          <cell r="I406">
            <v>0</v>
          </cell>
          <cell r="J406">
            <v>0</v>
          </cell>
          <cell r="K406">
            <v>0</v>
          </cell>
          <cell r="L406">
            <v>0</v>
          </cell>
          <cell r="M406">
            <v>0</v>
          </cell>
        </row>
        <row r="407">
          <cell r="D407" t="str">
            <v>8g73</v>
          </cell>
          <cell r="E407" t="str">
            <v>其他综合收益_盈余公积弥补亏损</v>
          </cell>
          <cell r="F407">
            <v>0</v>
          </cell>
          <cell r="G407">
            <v>0</v>
          </cell>
          <cell r="H407">
            <v>0</v>
          </cell>
          <cell r="I407">
            <v>0</v>
          </cell>
          <cell r="J407">
            <v>0</v>
          </cell>
          <cell r="K407">
            <v>0</v>
          </cell>
          <cell r="L407">
            <v>0</v>
          </cell>
          <cell r="M407">
            <v>0</v>
          </cell>
        </row>
        <row r="408">
          <cell r="D408" t="str">
            <v>8g75</v>
          </cell>
          <cell r="E408" t="str">
            <v>其他综合收益_结转重新计量设定受益计划净负债或净资产所产生的变动</v>
          </cell>
          <cell r="F408">
            <v>0</v>
          </cell>
          <cell r="G408">
            <v>0</v>
          </cell>
          <cell r="H408">
            <v>0</v>
          </cell>
          <cell r="I408">
            <v>0</v>
          </cell>
          <cell r="J408">
            <v>0</v>
          </cell>
          <cell r="K408">
            <v>0</v>
          </cell>
          <cell r="L408">
            <v>0</v>
          </cell>
          <cell r="M408">
            <v>0</v>
          </cell>
        </row>
        <row r="409">
          <cell r="D409" t="str">
            <v>8g76</v>
          </cell>
          <cell r="E409" t="str">
            <v>其他综合收益_所有者权益其他内部结转</v>
          </cell>
          <cell r="F409">
            <v>0</v>
          </cell>
          <cell r="G409">
            <v>0</v>
          </cell>
          <cell r="H409">
            <v>0</v>
          </cell>
          <cell r="I409">
            <v>0</v>
          </cell>
          <cell r="J409">
            <v>0</v>
          </cell>
          <cell r="K409">
            <v>0</v>
          </cell>
          <cell r="L409">
            <v>0</v>
          </cell>
          <cell r="M409">
            <v>0</v>
          </cell>
        </row>
        <row r="410">
          <cell r="D410" t="str">
            <v>8g80</v>
          </cell>
          <cell r="E410" t="str">
            <v>其他综合收益_专项储备影响权益</v>
          </cell>
          <cell r="F410">
            <v>0</v>
          </cell>
          <cell r="G410">
            <v>0</v>
          </cell>
          <cell r="H410">
            <v>0</v>
          </cell>
          <cell r="I410">
            <v>0</v>
          </cell>
          <cell r="J410">
            <v>0</v>
          </cell>
          <cell r="K410">
            <v>0</v>
          </cell>
          <cell r="L410">
            <v>0</v>
          </cell>
          <cell r="M410">
            <v>0</v>
          </cell>
        </row>
        <row r="411">
          <cell r="D411" t="str">
            <v>8g81</v>
          </cell>
          <cell r="E411" t="str">
            <v>其他综合收益_专项储备本期提取</v>
          </cell>
          <cell r="F411">
            <v>0</v>
          </cell>
          <cell r="G411">
            <v>0</v>
          </cell>
          <cell r="H411">
            <v>0</v>
          </cell>
          <cell r="I411">
            <v>0</v>
          </cell>
          <cell r="J411">
            <v>0</v>
          </cell>
          <cell r="K411">
            <v>0</v>
          </cell>
          <cell r="L411">
            <v>0</v>
          </cell>
          <cell r="M411">
            <v>0</v>
          </cell>
        </row>
        <row r="412">
          <cell r="D412" t="str">
            <v>8g82</v>
          </cell>
          <cell r="E412" t="str">
            <v>其他综合收益_专项储备本期使用</v>
          </cell>
          <cell r="F412">
            <v>0</v>
          </cell>
          <cell r="G412">
            <v>0</v>
          </cell>
          <cell r="H412">
            <v>0</v>
          </cell>
          <cell r="I412">
            <v>0</v>
          </cell>
          <cell r="J412">
            <v>0</v>
          </cell>
          <cell r="K412">
            <v>0</v>
          </cell>
          <cell r="L412">
            <v>0</v>
          </cell>
          <cell r="M412">
            <v>0</v>
          </cell>
        </row>
        <row r="413">
          <cell r="D413" t="str">
            <v>8g96</v>
          </cell>
          <cell r="E413" t="str">
            <v>其他综合收益_本期其他增减变动</v>
          </cell>
          <cell r="F413">
            <v>0</v>
          </cell>
          <cell r="G413">
            <v>0</v>
          </cell>
          <cell r="H413">
            <v>0</v>
          </cell>
          <cell r="I413">
            <v>0</v>
          </cell>
          <cell r="J413">
            <v>0</v>
          </cell>
          <cell r="K413">
            <v>0</v>
          </cell>
          <cell r="L413">
            <v>0</v>
          </cell>
          <cell r="M413">
            <v>0</v>
          </cell>
        </row>
        <row r="414">
          <cell r="D414" t="str">
            <v>8g99</v>
          </cell>
          <cell r="E414" t="str">
            <v>其他综合收益_本期期末余额</v>
          </cell>
          <cell r="F414">
            <v>0</v>
          </cell>
          <cell r="G414">
            <v>0</v>
          </cell>
          <cell r="H414">
            <v>0</v>
          </cell>
          <cell r="I414">
            <v>0</v>
          </cell>
          <cell r="J414">
            <v>0</v>
          </cell>
          <cell r="K414">
            <v>0</v>
          </cell>
          <cell r="L414">
            <v>0</v>
          </cell>
          <cell r="M414">
            <v>0</v>
          </cell>
        </row>
        <row r="415">
          <cell r="D415">
            <v>8400</v>
          </cell>
          <cell r="E415" t="str">
            <v>专项储备增减变动</v>
          </cell>
          <cell r="F415">
            <v>0</v>
          </cell>
          <cell r="G415">
            <v>0</v>
          </cell>
          <cell r="H415">
            <v>0</v>
          </cell>
          <cell r="I415">
            <v>0</v>
          </cell>
          <cell r="J415">
            <v>0</v>
          </cell>
          <cell r="K415">
            <v>0</v>
          </cell>
          <cell r="L415">
            <v>0</v>
          </cell>
          <cell r="M415">
            <v>0</v>
          </cell>
        </row>
        <row r="416">
          <cell r="D416">
            <v>8401</v>
          </cell>
          <cell r="E416" t="str">
            <v>专项储备_上年年末余额</v>
          </cell>
          <cell r="F416">
            <v>0</v>
          </cell>
          <cell r="G416">
            <v>0</v>
          </cell>
          <cell r="H416">
            <v>0</v>
          </cell>
          <cell r="I416">
            <v>0</v>
          </cell>
          <cell r="J416">
            <v>0</v>
          </cell>
          <cell r="K416">
            <v>0</v>
          </cell>
          <cell r="L416">
            <v>0</v>
          </cell>
          <cell r="M416">
            <v>0</v>
          </cell>
        </row>
        <row r="417">
          <cell r="D417">
            <v>8402</v>
          </cell>
          <cell r="E417" t="str">
            <v>专项储备_会计政策变更调整上年年末余额</v>
          </cell>
          <cell r="F417">
            <v>0</v>
          </cell>
          <cell r="G417">
            <v>0</v>
          </cell>
          <cell r="H417">
            <v>0</v>
          </cell>
          <cell r="I417">
            <v>0</v>
          </cell>
          <cell r="J417">
            <v>0</v>
          </cell>
          <cell r="K417">
            <v>0</v>
          </cell>
          <cell r="L417">
            <v>0</v>
          </cell>
          <cell r="M417">
            <v>0</v>
          </cell>
        </row>
        <row r="418">
          <cell r="D418">
            <v>8403</v>
          </cell>
          <cell r="E418" t="str">
            <v>专项储备_前期差错更正调整上年年末余额</v>
          </cell>
          <cell r="F418">
            <v>0</v>
          </cell>
          <cell r="G418">
            <v>0</v>
          </cell>
          <cell r="H418">
            <v>0</v>
          </cell>
          <cell r="I418">
            <v>0</v>
          </cell>
          <cell r="J418">
            <v>0</v>
          </cell>
          <cell r="K418">
            <v>0</v>
          </cell>
          <cell r="L418">
            <v>0</v>
          </cell>
          <cell r="M418">
            <v>0</v>
          </cell>
        </row>
        <row r="419">
          <cell r="D419">
            <v>8404</v>
          </cell>
          <cell r="E419" t="str">
            <v>专项储备_同一控制下企业合并调整上年年末余额</v>
          </cell>
          <cell r="F419">
            <v>0</v>
          </cell>
          <cell r="G419">
            <v>0</v>
          </cell>
          <cell r="H419">
            <v>0</v>
          </cell>
          <cell r="I419">
            <v>0</v>
          </cell>
          <cell r="J419">
            <v>0</v>
          </cell>
          <cell r="K419">
            <v>0</v>
          </cell>
          <cell r="L419">
            <v>0</v>
          </cell>
          <cell r="M419">
            <v>0</v>
          </cell>
        </row>
        <row r="420">
          <cell r="D420">
            <v>8409</v>
          </cell>
          <cell r="E420" t="str">
            <v>专项储备_其他原因调整上年年末余额</v>
          </cell>
          <cell r="F420">
            <v>0</v>
          </cell>
          <cell r="G420">
            <v>0</v>
          </cell>
          <cell r="H420">
            <v>0</v>
          </cell>
          <cell r="I420">
            <v>0</v>
          </cell>
          <cell r="J420">
            <v>0</v>
          </cell>
          <cell r="K420">
            <v>0</v>
          </cell>
          <cell r="L420">
            <v>0</v>
          </cell>
          <cell r="M420">
            <v>0</v>
          </cell>
        </row>
        <row r="421">
          <cell r="D421">
            <v>8410</v>
          </cell>
          <cell r="E421" t="str">
            <v>专项储备_本年年初余额</v>
          </cell>
          <cell r="F421">
            <v>0</v>
          </cell>
          <cell r="G421">
            <v>0</v>
          </cell>
          <cell r="H421">
            <v>0</v>
          </cell>
          <cell r="I421">
            <v>0</v>
          </cell>
          <cell r="J421">
            <v>0</v>
          </cell>
          <cell r="K421">
            <v>0</v>
          </cell>
          <cell r="L421">
            <v>0</v>
          </cell>
          <cell r="M421">
            <v>0</v>
          </cell>
        </row>
        <row r="422">
          <cell r="D422">
            <v>8490</v>
          </cell>
          <cell r="E422" t="str">
            <v>专项储备_本期增减变动金额</v>
          </cell>
          <cell r="F422">
            <v>0</v>
          </cell>
          <cell r="G422">
            <v>0</v>
          </cell>
          <cell r="H422">
            <v>0</v>
          </cell>
          <cell r="I422">
            <v>0</v>
          </cell>
          <cell r="J422">
            <v>0</v>
          </cell>
          <cell r="K422">
            <v>0</v>
          </cell>
          <cell r="L422">
            <v>0</v>
          </cell>
          <cell r="M422">
            <v>0</v>
          </cell>
        </row>
        <row r="423">
          <cell r="D423">
            <v>8421</v>
          </cell>
          <cell r="E423" t="str">
            <v>专项储备_净利润增加权益</v>
          </cell>
          <cell r="F423">
            <v>0</v>
          </cell>
          <cell r="G423">
            <v>0</v>
          </cell>
          <cell r="H423">
            <v>0</v>
          </cell>
          <cell r="I423">
            <v>0</v>
          </cell>
          <cell r="J423">
            <v>0</v>
          </cell>
          <cell r="K423">
            <v>0</v>
          </cell>
          <cell r="L423">
            <v>0</v>
          </cell>
          <cell r="M423">
            <v>0</v>
          </cell>
        </row>
        <row r="424">
          <cell r="D424">
            <v>8430</v>
          </cell>
          <cell r="E424" t="str">
            <v>专项储备_其他综合收益增加权益</v>
          </cell>
          <cell r="F424">
            <v>0</v>
          </cell>
          <cell r="G424">
            <v>0</v>
          </cell>
          <cell r="H424">
            <v>0</v>
          </cell>
          <cell r="I424">
            <v>0</v>
          </cell>
          <cell r="J424">
            <v>0</v>
          </cell>
          <cell r="K424">
            <v>0</v>
          </cell>
          <cell r="L424">
            <v>0</v>
          </cell>
          <cell r="M424">
            <v>0</v>
          </cell>
        </row>
        <row r="425">
          <cell r="D425">
            <v>8440</v>
          </cell>
          <cell r="E425" t="str">
            <v>专项储备_综合收益总额增加权益</v>
          </cell>
          <cell r="F425">
            <v>0</v>
          </cell>
          <cell r="G425">
            <v>0</v>
          </cell>
          <cell r="H425">
            <v>0</v>
          </cell>
          <cell r="I425">
            <v>0</v>
          </cell>
          <cell r="J425">
            <v>0</v>
          </cell>
          <cell r="K425">
            <v>0</v>
          </cell>
          <cell r="L425">
            <v>0</v>
          </cell>
          <cell r="M425">
            <v>0</v>
          </cell>
        </row>
        <row r="426">
          <cell r="D426">
            <v>8450</v>
          </cell>
          <cell r="E426" t="str">
            <v>专项储备_所有者投入和减少资本影响权益</v>
          </cell>
          <cell r="F426">
            <v>0</v>
          </cell>
          <cell r="G426">
            <v>0</v>
          </cell>
          <cell r="H426">
            <v>0</v>
          </cell>
          <cell r="I426">
            <v>0</v>
          </cell>
          <cell r="J426">
            <v>0</v>
          </cell>
          <cell r="K426">
            <v>0</v>
          </cell>
          <cell r="L426">
            <v>0</v>
          </cell>
          <cell r="M426">
            <v>0</v>
          </cell>
        </row>
        <row r="427">
          <cell r="D427">
            <v>8451</v>
          </cell>
          <cell r="E427" t="str">
            <v>专项储备_所有者投入资本增加权益</v>
          </cell>
          <cell r="F427">
            <v>0</v>
          </cell>
          <cell r="G427">
            <v>0</v>
          </cell>
          <cell r="H427">
            <v>0</v>
          </cell>
          <cell r="I427">
            <v>0</v>
          </cell>
          <cell r="J427">
            <v>0</v>
          </cell>
          <cell r="K427">
            <v>0</v>
          </cell>
          <cell r="L427">
            <v>0</v>
          </cell>
          <cell r="M427">
            <v>0</v>
          </cell>
        </row>
        <row r="428">
          <cell r="D428">
            <v>8453</v>
          </cell>
          <cell r="E428" t="str">
            <v>专项储备_其他权益工具持有者投入资本</v>
          </cell>
          <cell r="F428">
            <v>0</v>
          </cell>
          <cell r="G428">
            <v>0</v>
          </cell>
          <cell r="H428">
            <v>0</v>
          </cell>
          <cell r="I428">
            <v>0</v>
          </cell>
          <cell r="J428">
            <v>0</v>
          </cell>
          <cell r="K428">
            <v>0</v>
          </cell>
          <cell r="L428">
            <v>0</v>
          </cell>
          <cell r="M428">
            <v>0</v>
          </cell>
        </row>
        <row r="429">
          <cell r="D429">
            <v>8452</v>
          </cell>
          <cell r="E429" t="str">
            <v>专项储备_股份支付计入所有者权益的金额</v>
          </cell>
          <cell r="F429">
            <v>0</v>
          </cell>
          <cell r="G429">
            <v>0</v>
          </cell>
          <cell r="H429">
            <v>0</v>
          </cell>
          <cell r="I429">
            <v>0</v>
          </cell>
          <cell r="J429">
            <v>0</v>
          </cell>
          <cell r="K429">
            <v>0</v>
          </cell>
          <cell r="L429">
            <v>0</v>
          </cell>
          <cell r="M429">
            <v>0</v>
          </cell>
        </row>
        <row r="430">
          <cell r="D430">
            <v>8456</v>
          </cell>
          <cell r="E430" t="str">
            <v>专项储备_所有者其他投入和减少资本</v>
          </cell>
          <cell r="F430">
            <v>0</v>
          </cell>
          <cell r="G430">
            <v>0</v>
          </cell>
          <cell r="H430">
            <v>0</v>
          </cell>
          <cell r="I430">
            <v>0</v>
          </cell>
          <cell r="J430">
            <v>0</v>
          </cell>
          <cell r="K430">
            <v>0</v>
          </cell>
          <cell r="L430">
            <v>0</v>
          </cell>
          <cell r="M430">
            <v>0</v>
          </cell>
        </row>
        <row r="431">
          <cell r="D431">
            <v>8460</v>
          </cell>
          <cell r="E431" t="str">
            <v>专项储备_利润分配影响权益</v>
          </cell>
          <cell r="F431">
            <v>0</v>
          </cell>
          <cell r="G431">
            <v>0</v>
          </cell>
          <cell r="H431">
            <v>0</v>
          </cell>
          <cell r="I431">
            <v>0</v>
          </cell>
          <cell r="J431">
            <v>0</v>
          </cell>
          <cell r="K431">
            <v>0</v>
          </cell>
          <cell r="L431">
            <v>0</v>
          </cell>
          <cell r="M431">
            <v>0</v>
          </cell>
        </row>
        <row r="432">
          <cell r="D432">
            <v>8461</v>
          </cell>
          <cell r="E432" t="str">
            <v>专项储备_提取盈余公积影响权益</v>
          </cell>
          <cell r="F432">
            <v>0</v>
          </cell>
          <cell r="G432">
            <v>0</v>
          </cell>
          <cell r="H432">
            <v>0</v>
          </cell>
          <cell r="I432">
            <v>0</v>
          </cell>
          <cell r="J432">
            <v>0</v>
          </cell>
          <cell r="K432">
            <v>0</v>
          </cell>
          <cell r="L432">
            <v>0</v>
          </cell>
          <cell r="M432">
            <v>0</v>
          </cell>
        </row>
        <row r="433">
          <cell r="D433">
            <v>8462</v>
          </cell>
          <cell r="E433" t="str">
            <v>专项储备_提取一般风险准备影响权益</v>
          </cell>
          <cell r="F433">
            <v>0</v>
          </cell>
          <cell r="G433">
            <v>0</v>
          </cell>
          <cell r="H433">
            <v>0</v>
          </cell>
          <cell r="I433">
            <v>0</v>
          </cell>
          <cell r="J433">
            <v>0</v>
          </cell>
          <cell r="K433">
            <v>0</v>
          </cell>
          <cell r="L433">
            <v>0</v>
          </cell>
          <cell r="M433">
            <v>0</v>
          </cell>
        </row>
        <row r="434">
          <cell r="D434">
            <v>8463</v>
          </cell>
          <cell r="E434" t="str">
            <v>专项储备_对所有者的分配影响权益</v>
          </cell>
          <cell r="F434">
            <v>0</v>
          </cell>
          <cell r="G434">
            <v>0</v>
          </cell>
          <cell r="H434">
            <v>0</v>
          </cell>
          <cell r="I434">
            <v>0</v>
          </cell>
          <cell r="J434">
            <v>0</v>
          </cell>
          <cell r="K434">
            <v>0</v>
          </cell>
          <cell r="L434">
            <v>0</v>
          </cell>
          <cell r="M434">
            <v>0</v>
          </cell>
        </row>
        <row r="435">
          <cell r="D435">
            <v>8466</v>
          </cell>
          <cell r="E435" t="str">
            <v>专项储备_其他利润分配影响权益</v>
          </cell>
          <cell r="F435">
            <v>0</v>
          </cell>
          <cell r="G435">
            <v>0</v>
          </cell>
          <cell r="H435">
            <v>0</v>
          </cell>
          <cell r="I435">
            <v>0</v>
          </cell>
          <cell r="J435">
            <v>0</v>
          </cell>
          <cell r="K435">
            <v>0</v>
          </cell>
          <cell r="L435">
            <v>0</v>
          </cell>
          <cell r="M435">
            <v>0</v>
          </cell>
        </row>
        <row r="436">
          <cell r="D436">
            <v>8470</v>
          </cell>
          <cell r="E436" t="str">
            <v>专项储备_所有者权益内部结转</v>
          </cell>
          <cell r="F436">
            <v>0</v>
          </cell>
          <cell r="G436">
            <v>0</v>
          </cell>
          <cell r="H436">
            <v>0</v>
          </cell>
          <cell r="I436">
            <v>0</v>
          </cell>
          <cell r="J436">
            <v>0</v>
          </cell>
          <cell r="K436">
            <v>0</v>
          </cell>
          <cell r="L436">
            <v>0</v>
          </cell>
          <cell r="M436">
            <v>0</v>
          </cell>
        </row>
        <row r="437">
          <cell r="D437">
            <v>8471</v>
          </cell>
          <cell r="E437" t="str">
            <v>专项储备_资本公积转增资本影响权益</v>
          </cell>
          <cell r="F437">
            <v>0</v>
          </cell>
          <cell r="G437">
            <v>0</v>
          </cell>
          <cell r="H437">
            <v>0</v>
          </cell>
          <cell r="I437">
            <v>0</v>
          </cell>
          <cell r="J437">
            <v>0</v>
          </cell>
          <cell r="K437">
            <v>0</v>
          </cell>
          <cell r="L437">
            <v>0</v>
          </cell>
          <cell r="M437">
            <v>0</v>
          </cell>
        </row>
        <row r="438">
          <cell r="D438">
            <v>8472</v>
          </cell>
          <cell r="E438" t="str">
            <v>专项储备_盈余公积转增资本影响权益</v>
          </cell>
          <cell r="F438">
            <v>0</v>
          </cell>
          <cell r="G438">
            <v>0</v>
          </cell>
          <cell r="H438">
            <v>0</v>
          </cell>
          <cell r="I438">
            <v>0</v>
          </cell>
          <cell r="J438">
            <v>0</v>
          </cell>
          <cell r="K438">
            <v>0</v>
          </cell>
          <cell r="L438">
            <v>0</v>
          </cell>
          <cell r="M438">
            <v>0</v>
          </cell>
        </row>
        <row r="439">
          <cell r="D439">
            <v>8473</v>
          </cell>
          <cell r="E439" t="str">
            <v>专项储备_盈余公积弥补亏损影响权益</v>
          </cell>
          <cell r="F439">
            <v>0</v>
          </cell>
          <cell r="G439">
            <v>0</v>
          </cell>
          <cell r="H439">
            <v>0</v>
          </cell>
          <cell r="I439">
            <v>0</v>
          </cell>
          <cell r="J439">
            <v>0</v>
          </cell>
          <cell r="K439">
            <v>0</v>
          </cell>
          <cell r="L439">
            <v>0</v>
          </cell>
          <cell r="M439">
            <v>0</v>
          </cell>
        </row>
        <row r="440">
          <cell r="D440">
            <v>8475</v>
          </cell>
          <cell r="E440" t="str">
            <v>专项储备_结转重新计量设定受益计划净负债或净资产所产生的变动</v>
          </cell>
          <cell r="F440">
            <v>0</v>
          </cell>
          <cell r="G440">
            <v>0</v>
          </cell>
          <cell r="H440">
            <v>0</v>
          </cell>
          <cell r="I440">
            <v>0</v>
          </cell>
          <cell r="J440">
            <v>0</v>
          </cell>
          <cell r="K440">
            <v>0</v>
          </cell>
          <cell r="L440">
            <v>0</v>
          </cell>
          <cell r="M440">
            <v>0</v>
          </cell>
        </row>
        <row r="441">
          <cell r="D441">
            <v>8476</v>
          </cell>
          <cell r="E441" t="str">
            <v>专项储备_所有者权益其他内部结转</v>
          </cell>
          <cell r="F441">
            <v>0</v>
          </cell>
          <cell r="G441">
            <v>0</v>
          </cell>
          <cell r="H441">
            <v>0</v>
          </cell>
          <cell r="I441">
            <v>0</v>
          </cell>
          <cell r="J441">
            <v>0</v>
          </cell>
          <cell r="K441">
            <v>0</v>
          </cell>
          <cell r="L441">
            <v>0</v>
          </cell>
          <cell r="M441">
            <v>0</v>
          </cell>
        </row>
        <row r="442">
          <cell r="D442">
            <v>8480</v>
          </cell>
          <cell r="E442" t="str">
            <v>专项储备_专项储备影响权益</v>
          </cell>
          <cell r="F442">
            <v>0</v>
          </cell>
          <cell r="G442">
            <v>0</v>
          </cell>
          <cell r="H442">
            <v>0</v>
          </cell>
          <cell r="I442">
            <v>0</v>
          </cell>
          <cell r="J442">
            <v>0</v>
          </cell>
          <cell r="K442">
            <v>0</v>
          </cell>
          <cell r="L442">
            <v>0</v>
          </cell>
          <cell r="M442">
            <v>0</v>
          </cell>
        </row>
        <row r="443">
          <cell r="D443">
            <v>8481</v>
          </cell>
          <cell r="E443" t="str">
            <v>专项储备_本期提取</v>
          </cell>
          <cell r="F443">
            <v>0</v>
          </cell>
          <cell r="G443">
            <v>0</v>
          </cell>
          <cell r="H443">
            <v>0</v>
          </cell>
          <cell r="I443">
            <v>0</v>
          </cell>
          <cell r="J443">
            <v>0</v>
          </cell>
          <cell r="K443">
            <v>0</v>
          </cell>
          <cell r="L443">
            <v>0</v>
          </cell>
          <cell r="M443">
            <v>0</v>
          </cell>
        </row>
        <row r="444">
          <cell r="D444">
            <v>8482</v>
          </cell>
          <cell r="E444" t="str">
            <v>专项储备_本期使用</v>
          </cell>
          <cell r="F444">
            <v>0</v>
          </cell>
          <cell r="G444">
            <v>0</v>
          </cell>
          <cell r="H444">
            <v>0</v>
          </cell>
          <cell r="I444">
            <v>0</v>
          </cell>
          <cell r="J444">
            <v>0</v>
          </cell>
          <cell r="K444">
            <v>0</v>
          </cell>
          <cell r="L444">
            <v>0</v>
          </cell>
          <cell r="M444">
            <v>0</v>
          </cell>
        </row>
        <row r="445">
          <cell r="D445">
            <v>8496</v>
          </cell>
          <cell r="E445" t="str">
            <v>专项储备_本期其他增减变动</v>
          </cell>
          <cell r="F445">
            <v>0</v>
          </cell>
          <cell r="G445">
            <v>0</v>
          </cell>
          <cell r="H445">
            <v>0</v>
          </cell>
          <cell r="I445">
            <v>0</v>
          </cell>
          <cell r="J445">
            <v>0</v>
          </cell>
          <cell r="K445">
            <v>0</v>
          </cell>
          <cell r="L445">
            <v>0</v>
          </cell>
          <cell r="M445">
            <v>0</v>
          </cell>
        </row>
        <row r="446">
          <cell r="D446">
            <v>8499</v>
          </cell>
          <cell r="E446" t="str">
            <v>专项储备_本期期末余额</v>
          </cell>
          <cell r="F446">
            <v>0</v>
          </cell>
          <cell r="G446">
            <v>0</v>
          </cell>
          <cell r="H446">
            <v>0</v>
          </cell>
          <cell r="I446">
            <v>0</v>
          </cell>
          <cell r="J446">
            <v>0</v>
          </cell>
          <cell r="K446">
            <v>0</v>
          </cell>
          <cell r="L446">
            <v>0</v>
          </cell>
          <cell r="M446">
            <v>0</v>
          </cell>
        </row>
        <row r="447">
          <cell r="D447">
            <v>8500</v>
          </cell>
          <cell r="E447" t="str">
            <v>盈余公积增减变动</v>
          </cell>
          <cell r="F447">
            <v>0</v>
          </cell>
          <cell r="G447">
            <v>0</v>
          </cell>
          <cell r="H447">
            <v>0</v>
          </cell>
          <cell r="I447">
            <v>0</v>
          </cell>
          <cell r="J447">
            <v>0</v>
          </cell>
          <cell r="K447">
            <v>0</v>
          </cell>
          <cell r="L447">
            <v>0</v>
          </cell>
          <cell r="M447">
            <v>0</v>
          </cell>
        </row>
        <row r="448">
          <cell r="D448">
            <v>8501</v>
          </cell>
          <cell r="E448" t="str">
            <v>盈余公积_上年年末余额</v>
          </cell>
          <cell r="F448">
            <v>52000000</v>
          </cell>
          <cell r="G448">
            <v>0</v>
          </cell>
          <cell r="H448">
            <v>0</v>
          </cell>
          <cell r="I448">
            <v>52000000</v>
          </cell>
          <cell r="J448">
            <v>52000000</v>
          </cell>
          <cell r="K448">
            <v>0</v>
          </cell>
          <cell r="L448">
            <v>0</v>
          </cell>
          <cell r="M448">
            <v>52000000</v>
          </cell>
        </row>
        <row r="449">
          <cell r="D449">
            <v>8502</v>
          </cell>
          <cell r="E449" t="str">
            <v>盈余公积_会计政策变更调整上年年末余额</v>
          </cell>
          <cell r="F449">
            <v>0</v>
          </cell>
          <cell r="G449">
            <v>0</v>
          </cell>
          <cell r="H449">
            <v>0</v>
          </cell>
          <cell r="I449">
            <v>0</v>
          </cell>
          <cell r="J449">
            <v>0</v>
          </cell>
          <cell r="K449">
            <v>0</v>
          </cell>
          <cell r="L449">
            <v>0</v>
          </cell>
          <cell r="M449">
            <v>0</v>
          </cell>
        </row>
        <row r="450">
          <cell r="D450">
            <v>8503</v>
          </cell>
          <cell r="E450" t="str">
            <v>盈余公积_前期差错更正调整上年年末余额</v>
          </cell>
          <cell r="F450">
            <v>0</v>
          </cell>
          <cell r="G450">
            <v>0</v>
          </cell>
          <cell r="H450">
            <v>0</v>
          </cell>
          <cell r="I450">
            <v>0</v>
          </cell>
          <cell r="J450">
            <v>0</v>
          </cell>
          <cell r="K450">
            <v>0</v>
          </cell>
          <cell r="L450">
            <v>0</v>
          </cell>
          <cell r="M450">
            <v>0</v>
          </cell>
        </row>
        <row r="451">
          <cell r="D451">
            <v>8504</v>
          </cell>
          <cell r="E451" t="str">
            <v>盈余公积_同一控制下企业合并调整上年年末余额</v>
          </cell>
          <cell r="F451">
            <v>0</v>
          </cell>
          <cell r="G451">
            <v>0</v>
          </cell>
          <cell r="H451">
            <v>0</v>
          </cell>
          <cell r="I451">
            <v>0</v>
          </cell>
          <cell r="J451">
            <v>0</v>
          </cell>
          <cell r="K451">
            <v>0</v>
          </cell>
          <cell r="L451">
            <v>0</v>
          </cell>
          <cell r="M451">
            <v>0</v>
          </cell>
        </row>
        <row r="452">
          <cell r="D452">
            <v>8509</v>
          </cell>
          <cell r="E452" t="str">
            <v>盈余公积_其他原因调整上年年末余额</v>
          </cell>
          <cell r="F452">
            <v>0</v>
          </cell>
          <cell r="G452">
            <v>0</v>
          </cell>
          <cell r="H452">
            <v>0</v>
          </cell>
          <cell r="I452">
            <v>0</v>
          </cell>
          <cell r="J452">
            <v>0</v>
          </cell>
          <cell r="K452">
            <v>0</v>
          </cell>
          <cell r="L452">
            <v>0</v>
          </cell>
          <cell r="M452">
            <v>0</v>
          </cell>
        </row>
        <row r="453">
          <cell r="D453">
            <v>8510</v>
          </cell>
          <cell r="E453" t="str">
            <v>盈余公积_本年年初余额</v>
          </cell>
          <cell r="F453">
            <v>52000000</v>
          </cell>
          <cell r="G453">
            <v>0</v>
          </cell>
          <cell r="H453">
            <v>0</v>
          </cell>
          <cell r="I453">
            <v>52000000</v>
          </cell>
          <cell r="J453">
            <v>52000000</v>
          </cell>
          <cell r="K453">
            <v>0</v>
          </cell>
          <cell r="L453">
            <v>0</v>
          </cell>
          <cell r="M453">
            <v>52000000</v>
          </cell>
        </row>
        <row r="454">
          <cell r="D454">
            <v>8590</v>
          </cell>
          <cell r="E454" t="str">
            <v>盈余公积_本期增减变动金额</v>
          </cell>
          <cell r="F454">
            <v>0</v>
          </cell>
          <cell r="G454">
            <v>0</v>
          </cell>
          <cell r="H454">
            <v>17000757.960000001</v>
          </cell>
          <cell r="I454">
            <v>17000757.960000001</v>
          </cell>
          <cell r="J454">
            <v>0</v>
          </cell>
          <cell r="K454">
            <v>0</v>
          </cell>
          <cell r="L454">
            <v>0</v>
          </cell>
          <cell r="M454">
            <v>0</v>
          </cell>
        </row>
        <row r="455">
          <cell r="D455">
            <v>8521</v>
          </cell>
          <cell r="E455" t="str">
            <v>盈余公积_净利润增加权益</v>
          </cell>
          <cell r="F455">
            <v>0</v>
          </cell>
          <cell r="G455">
            <v>0</v>
          </cell>
          <cell r="H455">
            <v>0</v>
          </cell>
          <cell r="I455">
            <v>0</v>
          </cell>
          <cell r="J455">
            <v>0</v>
          </cell>
          <cell r="K455">
            <v>0</v>
          </cell>
          <cell r="L455">
            <v>0</v>
          </cell>
          <cell r="M455">
            <v>0</v>
          </cell>
        </row>
        <row r="456">
          <cell r="D456">
            <v>8530</v>
          </cell>
          <cell r="E456" t="str">
            <v>盈余公积_其他综合收益增加权益</v>
          </cell>
          <cell r="F456">
            <v>0</v>
          </cell>
          <cell r="G456">
            <v>0</v>
          </cell>
          <cell r="H456">
            <v>0</v>
          </cell>
          <cell r="I456">
            <v>0</v>
          </cell>
          <cell r="J456">
            <v>0</v>
          </cell>
          <cell r="K456">
            <v>0</v>
          </cell>
          <cell r="L456">
            <v>0</v>
          </cell>
          <cell r="M456">
            <v>0</v>
          </cell>
        </row>
        <row r="457">
          <cell r="D457">
            <v>8540</v>
          </cell>
          <cell r="E457" t="str">
            <v>盈余公积_综合收益总额增加权益</v>
          </cell>
          <cell r="F457">
            <v>0</v>
          </cell>
          <cell r="G457">
            <v>0</v>
          </cell>
          <cell r="H457">
            <v>0</v>
          </cell>
          <cell r="I457">
            <v>0</v>
          </cell>
          <cell r="J457">
            <v>0</v>
          </cell>
          <cell r="K457">
            <v>0</v>
          </cell>
          <cell r="L457">
            <v>0</v>
          </cell>
          <cell r="M457">
            <v>0</v>
          </cell>
        </row>
        <row r="458">
          <cell r="D458">
            <v>8550</v>
          </cell>
          <cell r="E458" t="str">
            <v>盈余公积_所有者投入和减少资本影响权益</v>
          </cell>
          <cell r="F458">
            <v>0</v>
          </cell>
          <cell r="G458">
            <v>0</v>
          </cell>
          <cell r="H458">
            <v>0</v>
          </cell>
          <cell r="I458">
            <v>0</v>
          </cell>
          <cell r="J458">
            <v>0</v>
          </cell>
          <cell r="K458">
            <v>0</v>
          </cell>
          <cell r="L458">
            <v>0</v>
          </cell>
          <cell r="M458">
            <v>0</v>
          </cell>
        </row>
        <row r="459">
          <cell r="D459">
            <v>8551</v>
          </cell>
          <cell r="E459" t="str">
            <v>盈余公积_所有者投入资本增加权益</v>
          </cell>
          <cell r="F459">
            <v>0</v>
          </cell>
          <cell r="G459">
            <v>0</v>
          </cell>
          <cell r="H459">
            <v>0</v>
          </cell>
          <cell r="I459">
            <v>0</v>
          </cell>
          <cell r="J459">
            <v>0</v>
          </cell>
          <cell r="K459">
            <v>0</v>
          </cell>
          <cell r="L459">
            <v>0</v>
          </cell>
          <cell r="M459">
            <v>0</v>
          </cell>
        </row>
        <row r="460">
          <cell r="D460">
            <v>8553</v>
          </cell>
          <cell r="E460" t="str">
            <v>盈余公积_其他权益工具持有者投入资本</v>
          </cell>
          <cell r="F460">
            <v>0</v>
          </cell>
          <cell r="G460">
            <v>0</v>
          </cell>
          <cell r="H460">
            <v>0</v>
          </cell>
          <cell r="I460">
            <v>0</v>
          </cell>
          <cell r="J460">
            <v>0</v>
          </cell>
          <cell r="K460">
            <v>0</v>
          </cell>
          <cell r="L460">
            <v>0</v>
          </cell>
          <cell r="M460">
            <v>0</v>
          </cell>
        </row>
        <row r="461">
          <cell r="D461">
            <v>8552</v>
          </cell>
          <cell r="E461" t="str">
            <v>盈余公积_股份支付计入所有者权益的金额</v>
          </cell>
          <cell r="F461">
            <v>0</v>
          </cell>
          <cell r="G461">
            <v>0</v>
          </cell>
          <cell r="H461">
            <v>0</v>
          </cell>
          <cell r="I461">
            <v>0</v>
          </cell>
          <cell r="J461">
            <v>0</v>
          </cell>
          <cell r="K461">
            <v>0</v>
          </cell>
          <cell r="L461">
            <v>0</v>
          </cell>
          <cell r="M461">
            <v>0</v>
          </cell>
        </row>
        <row r="462">
          <cell r="D462">
            <v>8556</v>
          </cell>
          <cell r="E462" t="str">
            <v>盈余公积_所有者其他投入和减少资本</v>
          </cell>
          <cell r="F462">
            <v>0</v>
          </cell>
          <cell r="G462">
            <v>0</v>
          </cell>
          <cell r="H462">
            <v>0</v>
          </cell>
          <cell r="I462">
            <v>0</v>
          </cell>
          <cell r="J462">
            <v>0</v>
          </cell>
          <cell r="K462">
            <v>0</v>
          </cell>
          <cell r="L462">
            <v>0</v>
          </cell>
          <cell r="M462">
            <v>0</v>
          </cell>
        </row>
        <row r="463">
          <cell r="D463">
            <v>8560</v>
          </cell>
          <cell r="E463" t="str">
            <v>盈余公积_利润分配影响权益</v>
          </cell>
          <cell r="F463">
            <v>0</v>
          </cell>
          <cell r="G463">
            <v>0</v>
          </cell>
          <cell r="H463">
            <v>17000757.960000001</v>
          </cell>
          <cell r="I463">
            <v>17000757.960000001</v>
          </cell>
          <cell r="J463">
            <v>0</v>
          </cell>
          <cell r="K463">
            <v>0</v>
          </cell>
          <cell r="L463">
            <v>0</v>
          </cell>
          <cell r="M463">
            <v>0</v>
          </cell>
        </row>
        <row r="464">
          <cell r="D464">
            <v>8561</v>
          </cell>
          <cell r="E464" t="str">
            <v>盈余公积_提取</v>
          </cell>
          <cell r="F464">
            <v>0</v>
          </cell>
          <cell r="G464">
            <v>0</v>
          </cell>
          <cell r="H464">
            <v>17000757.960000001</v>
          </cell>
          <cell r="I464">
            <v>17000757.960000001</v>
          </cell>
          <cell r="J464">
            <v>0</v>
          </cell>
          <cell r="K464">
            <v>0</v>
          </cell>
          <cell r="L464">
            <v>0</v>
          </cell>
          <cell r="M464">
            <v>0</v>
          </cell>
        </row>
        <row r="465">
          <cell r="D465">
            <v>8562</v>
          </cell>
          <cell r="E465" t="str">
            <v>盈余公积_提取一般风险准备影响权益</v>
          </cell>
          <cell r="F465">
            <v>0</v>
          </cell>
          <cell r="G465">
            <v>0</v>
          </cell>
          <cell r="H465">
            <v>0</v>
          </cell>
          <cell r="I465">
            <v>0</v>
          </cell>
          <cell r="J465">
            <v>0</v>
          </cell>
          <cell r="K465">
            <v>0</v>
          </cell>
          <cell r="L465">
            <v>0</v>
          </cell>
          <cell r="M465">
            <v>0</v>
          </cell>
        </row>
        <row r="466">
          <cell r="D466">
            <v>8563</v>
          </cell>
          <cell r="E466" t="str">
            <v>盈余公积_对所有者的分配</v>
          </cell>
          <cell r="F466">
            <v>0</v>
          </cell>
          <cell r="G466">
            <v>0</v>
          </cell>
          <cell r="H466">
            <v>0</v>
          </cell>
          <cell r="I466">
            <v>0</v>
          </cell>
          <cell r="J466">
            <v>0</v>
          </cell>
          <cell r="K466">
            <v>0</v>
          </cell>
          <cell r="L466">
            <v>0</v>
          </cell>
          <cell r="M466">
            <v>0</v>
          </cell>
        </row>
        <row r="467">
          <cell r="D467">
            <v>8566</v>
          </cell>
          <cell r="E467" t="str">
            <v>盈余公积_其他利润分配</v>
          </cell>
          <cell r="F467">
            <v>0</v>
          </cell>
          <cell r="G467">
            <v>0</v>
          </cell>
          <cell r="H467">
            <v>0</v>
          </cell>
          <cell r="I467">
            <v>0</v>
          </cell>
          <cell r="J467">
            <v>0</v>
          </cell>
          <cell r="K467">
            <v>0</v>
          </cell>
          <cell r="L467">
            <v>0</v>
          </cell>
          <cell r="M467">
            <v>0</v>
          </cell>
        </row>
        <row r="468">
          <cell r="D468">
            <v>8570</v>
          </cell>
          <cell r="E468" t="str">
            <v>盈余公积_所有者权益内部结转</v>
          </cell>
          <cell r="F468">
            <v>0</v>
          </cell>
          <cell r="G468">
            <v>0</v>
          </cell>
          <cell r="H468">
            <v>0</v>
          </cell>
          <cell r="I468">
            <v>0</v>
          </cell>
          <cell r="J468">
            <v>0</v>
          </cell>
          <cell r="K468">
            <v>0</v>
          </cell>
          <cell r="L468">
            <v>0</v>
          </cell>
          <cell r="M468">
            <v>0</v>
          </cell>
        </row>
        <row r="469">
          <cell r="D469">
            <v>8571</v>
          </cell>
          <cell r="E469" t="str">
            <v>盈余公积_资本公积转增资本影响权益</v>
          </cell>
          <cell r="F469">
            <v>0</v>
          </cell>
          <cell r="G469">
            <v>0</v>
          </cell>
          <cell r="H469">
            <v>0</v>
          </cell>
          <cell r="I469">
            <v>0</v>
          </cell>
          <cell r="J469">
            <v>0</v>
          </cell>
          <cell r="K469">
            <v>0</v>
          </cell>
          <cell r="L469">
            <v>0</v>
          </cell>
          <cell r="M469">
            <v>0</v>
          </cell>
        </row>
        <row r="470">
          <cell r="D470">
            <v>8572</v>
          </cell>
          <cell r="E470" t="str">
            <v>盈余公积_转增资本</v>
          </cell>
          <cell r="F470">
            <v>0</v>
          </cell>
          <cell r="G470">
            <v>0</v>
          </cell>
          <cell r="H470">
            <v>0</v>
          </cell>
          <cell r="I470">
            <v>0</v>
          </cell>
          <cell r="J470">
            <v>0</v>
          </cell>
          <cell r="K470">
            <v>0</v>
          </cell>
          <cell r="L470">
            <v>0</v>
          </cell>
          <cell r="M470">
            <v>0</v>
          </cell>
        </row>
        <row r="471">
          <cell r="D471">
            <v>8573</v>
          </cell>
          <cell r="E471" t="str">
            <v>盈余公积_弥补亏损</v>
          </cell>
          <cell r="F471">
            <v>0</v>
          </cell>
          <cell r="G471">
            <v>0</v>
          </cell>
          <cell r="H471">
            <v>0</v>
          </cell>
          <cell r="I471">
            <v>0</v>
          </cell>
          <cell r="J471">
            <v>0</v>
          </cell>
          <cell r="K471">
            <v>0</v>
          </cell>
          <cell r="L471">
            <v>0</v>
          </cell>
          <cell r="M471">
            <v>0</v>
          </cell>
        </row>
        <row r="472">
          <cell r="D472">
            <v>8575</v>
          </cell>
          <cell r="E472" t="str">
            <v>盈余公积_结转重新计量设定受益计划净负债或净资产所产生的变动</v>
          </cell>
          <cell r="F472">
            <v>0</v>
          </cell>
          <cell r="G472">
            <v>0</v>
          </cell>
          <cell r="H472">
            <v>0</v>
          </cell>
          <cell r="I472">
            <v>0</v>
          </cell>
          <cell r="J472">
            <v>0</v>
          </cell>
          <cell r="K472">
            <v>0</v>
          </cell>
          <cell r="L472">
            <v>0</v>
          </cell>
          <cell r="M472">
            <v>0</v>
          </cell>
        </row>
        <row r="473">
          <cell r="D473">
            <v>8576</v>
          </cell>
          <cell r="E473" t="str">
            <v>盈余公积_所有者权益其他内部结转</v>
          </cell>
          <cell r="F473">
            <v>0</v>
          </cell>
          <cell r="G473">
            <v>0</v>
          </cell>
          <cell r="H473">
            <v>0</v>
          </cell>
          <cell r="I473">
            <v>0</v>
          </cell>
          <cell r="J473">
            <v>0</v>
          </cell>
          <cell r="K473">
            <v>0</v>
          </cell>
          <cell r="L473">
            <v>0</v>
          </cell>
          <cell r="M473">
            <v>0</v>
          </cell>
        </row>
        <row r="474">
          <cell r="D474">
            <v>8580</v>
          </cell>
          <cell r="E474" t="str">
            <v>盈余公积_专项储备影响权益</v>
          </cell>
          <cell r="F474">
            <v>0</v>
          </cell>
          <cell r="G474">
            <v>0</v>
          </cell>
          <cell r="H474">
            <v>0</v>
          </cell>
          <cell r="I474">
            <v>0</v>
          </cell>
          <cell r="J474">
            <v>0</v>
          </cell>
          <cell r="K474">
            <v>0</v>
          </cell>
          <cell r="L474">
            <v>0</v>
          </cell>
          <cell r="M474">
            <v>0</v>
          </cell>
        </row>
        <row r="475">
          <cell r="D475">
            <v>8581</v>
          </cell>
          <cell r="E475" t="str">
            <v>盈余公积_专项储备本期提取</v>
          </cell>
          <cell r="F475">
            <v>0</v>
          </cell>
          <cell r="G475">
            <v>0</v>
          </cell>
          <cell r="H475">
            <v>0</v>
          </cell>
          <cell r="I475">
            <v>0</v>
          </cell>
          <cell r="J475">
            <v>0</v>
          </cell>
          <cell r="K475">
            <v>0</v>
          </cell>
          <cell r="L475">
            <v>0</v>
          </cell>
          <cell r="M475">
            <v>0</v>
          </cell>
        </row>
        <row r="476">
          <cell r="D476">
            <v>8582</v>
          </cell>
          <cell r="E476" t="str">
            <v>盈余公积_专项储备本期使用</v>
          </cell>
          <cell r="F476">
            <v>0</v>
          </cell>
          <cell r="G476">
            <v>0</v>
          </cell>
          <cell r="H476">
            <v>0</v>
          </cell>
          <cell r="I476">
            <v>0</v>
          </cell>
          <cell r="J476">
            <v>0</v>
          </cell>
          <cell r="K476">
            <v>0</v>
          </cell>
          <cell r="L476">
            <v>0</v>
          </cell>
          <cell r="M476">
            <v>0</v>
          </cell>
        </row>
        <row r="477">
          <cell r="D477">
            <v>8596</v>
          </cell>
          <cell r="E477" t="str">
            <v>盈余公积_本期其他增减变动</v>
          </cell>
          <cell r="F477">
            <v>0</v>
          </cell>
          <cell r="G477">
            <v>0</v>
          </cell>
          <cell r="H477">
            <v>0</v>
          </cell>
          <cell r="I477">
            <v>0</v>
          </cell>
          <cell r="J477">
            <v>0</v>
          </cell>
          <cell r="K477">
            <v>0</v>
          </cell>
          <cell r="L477">
            <v>0</v>
          </cell>
          <cell r="M477">
            <v>0</v>
          </cell>
        </row>
        <row r="478">
          <cell r="D478">
            <v>8599</v>
          </cell>
          <cell r="E478" t="str">
            <v>盈余公积_本期期末余额</v>
          </cell>
          <cell r="F478">
            <v>52000000</v>
          </cell>
          <cell r="G478">
            <v>0</v>
          </cell>
          <cell r="H478">
            <v>17000757.960000001</v>
          </cell>
          <cell r="I478">
            <v>69000757.959999993</v>
          </cell>
          <cell r="J478">
            <v>52000000</v>
          </cell>
          <cell r="K478">
            <v>0</v>
          </cell>
          <cell r="L478">
            <v>0</v>
          </cell>
          <cell r="M478">
            <v>52000000</v>
          </cell>
        </row>
        <row r="479">
          <cell r="D479">
            <v>8600</v>
          </cell>
          <cell r="E479" t="str">
            <v>一般风险准备增减变动</v>
          </cell>
          <cell r="F479">
            <v>0</v>
          </cell>
          <cell r="G479">
            <v>0</v>
          </cell>
          <cell r="H479">
            <v>0</v>
          </cell>
          <cell r="I479">
            <v>0</v>
          </cell>
          <cell r="J479">
            <v>0</v>
          </cell>
          <cell r="K479">
            <v>0</v>
          </cell>
          <cell r="L479">
            <v>0</v>
          </cell>
          <cell r="M479">
            <v>0</v>
          </cell>
        </row>
        <row r="480">
          <cell r="D480">
            <v>8601</v>
          </cell>
          <cell r="E480" t="str">
            <v>一般风险准备_上年年末余额</v>
          </cell>
          <cell r="F480">
            <v>0</v>
          </cell>
          <cell r="G480">
            <v>0</v>
          </cell>
          <cell r="H480">
            <v>0</v>
          </cell>
          <cell r="I480">
            <v>0</v>
          </cell>
          <cell r="J480">
            <v>0</v>
          </cell>
          <cell r="K480">
            <v>0</v>
          </cell>
          <cell r="L480">
            <v>0</v>
          </cell>
          <cell r="M480">
            <v>0</v>
          </cell>
        </row>
        <row r="481">
          <cell r="D481">
            <v>8602</v>
          </cell>
          <cell r="E481" t="str">
            <v>一般风险准备_会计政策变更调整上年年末余额</v>
          </cell>
          <cell r="F481">
            <v>0</v>
          </cell>
          <cell r="G481">
            <v>0</v>
          </cell>
          <cell r="H481">
            <v>0</v>
          </cell>
          <cell r="I481">
            <v>0</v>
          </cell>
          <cell r="J481">
            <v>0</v>
          </cell>
          <cell r="K481">
            <v>0</v>
          </cell>
          <cell r="L481">
            <v>0</v>
          </cell>
          <cell r="M481">
            <v>0</v>
          </cell>
        </row>
        <row r="482">
          <cell r="D482">
            <v>8603</v>
          </cell>
          <cell r="E482" t="str">
            <v>一般风险准备_前期差错更正调整上年年末余额</v>
          </cell>
          <cell r="F482">
            <v>0</v>
          </cell>
          <cell r="G482">
            <v>0</v>
          </cell>
          <cell r="H482">
            <v>0</v>
          </cell>
          <cell r="I482">
            <v>0</v>
          </cell>
          <cell r="J482">
            <v>0</v>
          </cell>
          <cell r="K482">
            <v>0</v>
          </cell>
          <cell r="L482">
            <v>0</v>
          </cell>
          <cell r="M482">
            <v>0</v>
          </cell>
        </row>
        <row r="483">
          <cell r="D483">
            <v>8604</v>
          </cell>
          <cell r="E483" t="str">
            <v>一般风险准备_同一控制下企业合并调整上年年末余额</v>
          </cell>
          <cell r="F483">
            <v>0</v>
          </cell>
          <cell r="G483">
            <v>0</v>
          </cell>
          <cell r="H483">
            <v>0</v>
          </cell>
          <cell r="I483">
            <v>0</v>
          </cell>
          <cell r="J483">
            <v>0</v>
          </cell>
          <cell r="K483">
            <v>0</v>
          </cell>
          <cell r="L483">
            <v>0</v>
          </cell>
          <cell r="M483">
            <v>0</v>
          </cell>
        </row>
        <row r="484">
          <cell r="D484">
            <v>8609</v>
          </cell>
          <cell r="E484" t="str">
            <v>一般风险准备_其他原因调整上年年末余额</v>
          </cell>
          <cell r="F484">
            <v>0</v>
          </cell>
          <cell r="G484">
            <v>0</v>
          </cell>
          <cell r="H484">
            <v>0</v>
          </cell>
          <cell r="I484">
            <v>0</v>
          </cell>
          <cell r="J484">
            <v>0</v>
          </cell>
          <cell r="K484">
            <v>0</v>
          </cell>
          <cell r="L484">
            <v>0</v>
          </cell>
          <cell r="M484">
            <v>0</v>
          </cell>
        </row>
        <row r="485">
          <cell r="D485">
            <v>8610</v>
          </cell>
          <cell r="E485" t="str">
            <v>一般风险准备_本年年初余额</v>
          </cell>
          <cell r="F485">
            <v>0</v>
          </cell>
          <cell r="G485">
            <v>0</v>
          </cell>
          <cell r="H485">
            <v>0</v>
          </cell>
          <cell r="I485">
            <v>0</v>
          </cell>
          <cell r="J485">
            <v>0</v>
          </cell>
          <cell r="K485">
            <v>0</v>
          </cell>
          <cell r="L485">
            <v>0</v>
          </cell>
          <cell r="M485">
            <v>0</v>
          </cell>
        </row>
        <row r="486">
          <cell r="D486">
            <v>8690</v>
          </cell>
          <cell r="E486" t="str">
            <v>一般风险准备_本期增减变动金额</v>
          </cell>
          <cell r="F486">
            <v>0</v>
          </cell>
          <cell r="G486">
            <v>0</v>
          </cell>
          <cell r="H486">
            <v>0</v>
          </cell>
          <cell r="I486">
            <v>0</v>
          </cell>
          <cell r="J486">
            <v>0</v>
          </cell>
          <cell r="K486">
            <v>0</v>
          </cell>
          <cell r="L486">
            <v>0</v>
          </cell>
          <cell r="M486">
            <v>0</v>
          </cell>
        </row>
        <row r="487">
          <cell r="D487">
            <v>8621</v>
          </cell>
          <cell r="E487" t="str">
            <v>一般风险准备_净利润增加权益</v>
          </cell>
          <cell r="F487">
            <v>0</v>
          </cell>
          <cell r="G487">
            <v>0</v>
          </cell>
          <cell r="H487">
            <v>0</v>
          </cell>
          <cell r="I487">
            <v>0</v>
          </cell>
          <cell r="J487">
            <v>0</v>
          </cell>
          <cell r="K487">
            <v>0</v>
          </cell>
          <cell r="L487">
            <v>0</v>
          </cell>
          <cell r="M487">
            <v>0</v>
          </cell>
        </row>
        <row r="488">
          <cell r="D488">
            <v>8630</v>
          </cell>
          <cell r="E488" t="str">
            <v>一般风险准备_其他综合收益增加权益</v>
          </cell>
          <cell r="F488">
            <v>0</v>
          </cell>
          <cell r="G488">
            <v>0</v>
          </cell>
          <cell r="H488">
            <v>0</v>
          </cell>
          <cell r="I488">
            <v>0</v>
          </cell>
          <cell r="J488">
            <v>0</v>
          </cell>
          <cell r="K488">
            <v>0</v>
          </cell>
          <cell r="L488">
            <v>0</v>
          </cell>
          <cell r="M488">
            <v>0</v>
          </cell>
        </row>
        <row r="489">
          <cell r="D489">
            <v>8640</v>
          </cell>
          <cell r="E489" t="str">
            <v>一般风险准备_综合收益总额增加权益</v>
          </cell>
          <cell r="F489">
            <v>0</v>
          </cell>
          <cell r="G489">
            <v>0</v>
          </cell>
          <cell r="H489">
            <v>0</v>
          </cell>
          <cell r="I489">
            <v>0</v>
          </cell>
          <cell r="J489">
            <v>0</v>
          </cell>
          <cell r="K489">
            <v>0</v>
          </cell>
          <cell r="L489">
            <v>0</v>
          </cell>
          <cell r="M489">
            <v>0</v>
          </cell>
        </row>
        <row r="490">
          <cell r="D490">
            <v>8650</v>
          </cell>
          <cell r="E490" t="str">
            <v>一般风险准备_所有者投入和减少资本影响权益</v>
          </cell>
          <cell r="F490">
            <v>0</v>
          </cell>
          <cell r="G490">
            <v>0</v>
          </cell>
          <cell r="H490">
            <v>0</v>
          </cell>
          <cell r="I490">
            <v>0</v>
          </cell>
          <cell r="J490">
            <v>0</v>
          </cell>
          <cell r="K490">
            <v>0</v>
          </cell>
          <cell r="L490">
            <v>0</v>
          </cell>
          <cell r="M490">
            <v>0</v>
          </cell>
        </row>
        <row r="491">
          <cell r="D491">
            <v>8651</v>
          </cell>
          <cell r="E491" t="str">
            <v>一般风险准备_所有者投入资本增加权益</v>
          </cell>
          <cell r="F491">
            <v>0</v>
          </cell>
          <cell r="G491">
            <v>0</v>
          </cell>
          <cell r="H491">
            <v>0</v>
          </cell>
          <cell r="I491">
            <v>0</v>
          </cell>
          <cell r="J491">
            <v>0</v>
          </cell>
          <cell r="K491">
            <v>0</v>
          </cell>
          <cell r="L491">
            <v>0</v>
          </cell>
          <cell r="M491">
            <v>0</v>
          </cell>
        </row>
        <row r="492">
          <cell r="D492">
            <v>8653</v>
          </cell>
          <cell r="E492" t="str">
            <v>一般风险准备_其他权益工具持有者投入资本</v>
          </cell>
          <cell r="F492">
            <v>0</v>
          </cell>
          <cell r="G492">
            <v>0</v>
          </cell>
          <cell r="H492">
            <v>0</v>
          </cell>
          <cell r="I492">
            <v>0</v>
          </cell>
          <cell r="J492">
            <v>0</v>
          </cell>
          <cell r="K492">
            <v>0</v>
          </cell>
          <cell r="L492">
            <v>0</v>
          </cell>
          <cell r="M492">
            <v>0</v>
          </cell>
        </row>
        <row r="493">
          <cell r="D493">
            <v>8652</v>
          </cell>
          <cell r="E493" t="str">
            <v>一般风险准备_股份支付计入所有者权益的金额</v>
          </cell>
          <cell r="F493">
            <v>0</v>
          </cell>
          <cell r="G493">
            <v>0</v>
          </cell>
          <cell r="H493">
            <v>0</v>
          </cell>
          <cell r="I493">
            <v>0</v>
          </cell>
          <cell r="J493">
            <v>0</v>
          </cell>
          <cell r="K493">
            <v>0</v>
          </cell>
          <cell r="L493">
            <v>0</v>
          </cell>
          <cell r="M493">
            <v>0</v>
          </cell>
        </row>
        <row r="494">
          <cell r="D494">
            <v>8656</v>
          </cell>
          <cell r="E494" t="str">
            <v>一般风险准备_所有者其他投入和减少资本</v>
          </cell>
          <cell r="F494">
            <v>0</v>
          </cell>
          <cell r="G494">
            <v>0</v>
          </cell>
          <cell r="H494">
            <v>0</v>
          </cell>
          <cell r="I494">
            <v>0</v>
          </cell>
          <cell r="J494">
            <v>0</v>
          </cell>
          <cell r="K494">
            <v>0</v>
          </cell>
          <cell r="L494">
            <v>0</v>
          </cell>
          <cell r="M494">
            <v>0</v>
          </cell>
        </row>
        <row r="495">
          <cell r="D495">
            <v>8660</v>
          </cell>
          <cell r="E495" t="str">
            <v>一般风险准备_利润分配影响权益</v>
          </cell>
          <cell r="F495">
            <v>0</v>
          </cell>
          <cell r="G495">
            <v>0</v>
          </cell>
          <cell r="H495">
            <v>0</v>
          </cell>
          <cell r="I495">
            <v>0</v>
          </cell>
          <cell r="J495">
            <v>0</v>
          </cell>
          <cell r="K495">
            <v>0</v>
          </cell>
          <cell r="L495">
            <v>0</v>
          </cell>
          <cell r="M495">
            <v>0</v>
          </cell>
        </row>
        <row r="496">
          <cell r="D496">
            <v>8661</v>
          </cell>
          <cell r="E496" t="str">
            <v>一般风险准备_提取盈余公积影响权益</v>
          </cell>
          <cell r="F496">
            <v>0</v>
          </cell>
          <cell r="G496">
            <v>0</v>
          </cell>
          <cell r="H496">
            <v>0</v>
          </cell>
          <cell r="I496">
            <v>0</v>
          </cell>
          <cell r="J496">
            <v>0</v>
          </cell>
          <cell r="K496">
            <v>0</v>
          </cell>
          <cell r="L496">
            <v>0</v>
          </cell>
          <cell r="M496">
            <v>0</v>
          </cell>
        </row>
        <row r="497">
          <cell r="D497">
            <v>8662</v>
          </cell>
          <cell r="E497" t="str">
            <v>一般风险准备_提取</v>
          </cell>
          <cell r="F497">
            <v>0</v>
          </cell>
          <cell r="G497">
            <v>0</v>
          </cell>
          <cell r="H497">
            <v>0</v>
          </cell>
          <cell r="I497">
            <v>0</v>
          </cell>
          <cell r="J497">
            <v>0</v>
          </cell>
          <cell r="K497">
            <v>0</v>
          </cell>
          <cell r="L497">
            <v>0</v>
          </cell>
          <cell r="M497">
            <v>0</v>
          </cell>
        </row>
        <row r="498">
          <cell r="D498">
            <v>8663</v>
          </cell>
          <cell r="E498" t="str">
            <v>一般风险准备_对所有者的分配影响权益</v>
          </cell>
          <cell r="F498">
            <v>0</v>
          </cell>
          <cell r="G498">
            <v>0</v>
          </cell>
          <cell r="H498">
            <v>0</v>
          </cell>
          <cell r="I498">
            <v>0</v>
          </cell>
          <cell r="J498">
            <v>0</v>
          </cell>
          <cell r="K498">
            <v>0</v>
          </cell>
          <cell r="L498">
            <v>0</v>
          </cell>
          <cell r="M498">
            <v>0</v>
          </cell>
        </row>
        <row r="499">
          <cell r="D499">
            <v>8666</v>
          </cell>
          <cell r="E499" t="str">
            <v>一般风险准备_其他利润分配</v>
          </cell>
          <cell r="F499">
            <v>0</v>
          </cell>
          <cell r="G499">
            <v>0</v>
          </cell>
          <cell r="H499">
            <v>0</v>
          </cell>
          <cell r="I499">
            <v>0</v>
          </cell>
          <cell r="J499">
            <v>0</v>
          </cell>
          <cell r="K499">
            <v>0</v>
          </cell>
          <cell r="L499">
            <v>0</v>
          </cell>
          <cell r="M499">
            <v>0</v>
          </cell>
        </row>
        <row r="500">
          <cell r="D500">
            <v>8670</v>
          </cell>
          <cell r="E500" t="str">
            <v>一般风险准备_所有者权益内部结转</v>
          </cell>
          <cell r="F500">
            <v>0</v>
          </cell>
          <cell r="G500">
            <v>0</v>
          </cell>
          <cell r="H500">
            <v>0</v>
          </cell>
          <cell r="I500">
            <v>0</v>
          </cell>
          <cell r="J500">
            <v>0</v>
          </cell>
          <cell r="K500">
            <v>0</v>
          </cell>
          <cell r="L500">
            <v>0</v>
          </cell>
          <cell r="M500">
            <v>0</v>
          </cell>
        </row>
        <row r="501">
          <cell r="D501">
            <v>8671</v>
          </cell>
          <cell r="E501" t="str">
            <v>一般风险准备_资本公积转增资本影响权益</v>
          </cell>
          <cell r="F501">
            <v>0</v>
          </cell>
          <cell r="G501">
            <v>0</v>
          </cell>
          <cell r="H501">
            <v>0</v>
          </cell>
          <cell r="I501">
            <v>0</v>
          </cell>
          <cell r="J501">
            <v>0</v>
          </cell>
          <cell r="K501">
            <v>0</v>
          </cell>
          <cell r="L501">
            <v>0</v>
          </cell>
          <cell r="M501">
            <v>0</v>
          </cell>
        </row>
        <row r="502">
          <cell r="D502">
            <v>8672</v>
          </cell>
          <cell r="E502" t="str">
            <v>一般风险准备_盈余公积转增资本影响权益</v>
          </cell>
          <cell r="F502">
            <v>0</v>
          </cell>
          <cell r="G502">
            <v>0</v>
          </cell>
          <cell r="H502">
            <v>0</v>
          </cell>
          <cell r="I502">
            <v>0</v>
          </cell>
          <cell r="J502">
            <v>0</v>
          </cell>
          <cell r="K502">
            <v>0</v>
          </cell>
          <cell r="L502">
            <v>0</v>
          </cell>
          <cell r="M502">
            <v>0</v>
          </cell>
        </row>
        <row r="503">
          <cell r="D503">
            <v>8673</v>
          </cell>
          <cell r="E503" t="str">
            <v>一般风险准备_盈余公积弥补亏损影响权益</v>
          </cell>
          <cell r="F503">
            <v>0</v>
          </cell>
          <cell r="G503">
            <v>0</v>
          </cell>
          <cell r="H503">
            <v>0</v>
          </cell>
          <cell r="I503">
            <v>0</v>
          </cell>
          <cell r="J503">
            <v>0</v>
          </cell>
          <cell r="K503">
            <v>0</v>
          </cell>
          <cell r="L503">
            <v>0</v>
          </cell>
          <cell r="M503">
            <v>0</v>
          </cell>
        </row>
        <row r="504">
          <cell r="D504">
            <v>8675</v>
          </cell>
          <cell r="E504" t="str">
            <v>一般风险准备_结转重新计量设定受益计划净负债或净资产所产生的变动</v>
          </cell>
          <cell r="F504">
            <v>0</v>
          </cell>
          <cell r="G504">
            <v>0</v>
          </cell>
          <cell r="H504">
            <v>0</v>
          </cell>
          <cell r="I504">
            <v>0</v>
          </cell>
          <cell r="J504">
            <v>0</v>
          </cell>
          <cell r="K504">
            <v>0</v>
          </cell>
          <cell r="L504">
            <v>0</v>
          </cell>
          <cell r="M504">
            <v>0</v>
          </cell>
        </row>
        <row r="505">
          <cell r="D505">
            <v>8676</v>
          </cell>
          <cell r="E505" t="str">
            <v>一般风险准备_所有者权益其他内部结转</v>
          </cell>
          <cell r="F505">
            <v>0</v>
          </cell>
          <cell r="G505">
            <v>0</v>
          </cell>
          <cell r="H505">
            <v>0</v>
          </cell>
          <cell r="I505">
            <v>0</v>
          </cell>
          <cell r="J505">
            <v>0</v>
          </cell>
          <cell r="K505">
            <v>0</v>
          </cell>
          <cell r="L505">
            <v>0</v>
          </cell>
          <cell r="M505">
            <v>0</v>
          </cell>
        </row>
        <row r="506">
          <cell r="D506">
            <v>8680</v>
          </cell>
          <cell r="E506" t="str">
            <v>一般风险准备_专项储备影响权益</v>
          </cell>
          <cell r="F506">
            <v>0</v>
          </cell>
          <cell r="G506">
            <v>0</v>
          </cell>
          <cell r="H506">
            <v>0</v>
          </cell>
          <cell r="I506">
            <v>0</v>
          </cell>
          <cell r="J506">
            <v>0</v>
          </cell>
          <cell r="K506">
            <v>0</v>
          </cell>
          <cell r="L506">
            <v>0</v>
          </cell>
          <cell r="M506">
            <v>0</v>
          </cell>
        </row>
        <row r="507">
          <cell r="D507">
            <v>8681</v>
          </cell>
          <cell r="E507" t="str">
            <v>一般风险准备_专项储备本期提取</v>
          </cell>
          <cell r="F507">
            <v>0</v>
          </cell>
          <cell r="G507">
            <v>0</v>
          </cell>
          <cell r="H507">
            <v>0</v>
          </cell>
          <cell r="I507">
            <v>0</v>
          </cell>
          <cell r="J507">
            <v>0</v>
          </cell>
          <cell r="K507">
            <v>0</v>
          </cell>
          <cell r="L507">
            <v>0</v>
          </cell>
          <cell r="M507">
            <v>0</v>
          </cell>
        </row>
        <row r="508">
          <cell r="D508">
            <v>8682</v>
          </cell>
          <cell r="E508" t="str">
            <v>一般风险准备_专项储备本期使用</v>
          </cell>
          <cell r="F508">
            <v>0</v>
          </cell>
          <cell r="G508">
            <v>0</v>
          </cell>
          <cell r="H508">
            <v>0</v>
          </cell>
          <cell r="I508">
            <v>0</v>
          </cell>
          <cell r="J508">
            <v>0</v>
          </cell>
          <cell r="K508">
            <v>0</v>
          </cell>
          <cell r="L508">
            <v>0</v>
          </cell>
          <cell r="M508">
            <v>0</v>
          </cell>
        </row>
        <row r="509">
          <cell r="D509">
            <v>8696</v>
          </cell>
          <cell r="E509" t="str">
            <v>一般风险准备_本期其他增减变动</v>
          </cell>
          <cell r="F509">
            <v>0</v>
          </cell>
          <cell r="G509">
            <v>0</v>
          </cell>
          <cell r="H509">
            <v>0</v>
          </cell>
          <cell r="I509">
            <v>0</v>
          </cell>
          <cell r="J509">
            <v>0</v>
          </cell>
          <cell r="K509">
            <v>0</v>
          </cell>
          <cell r="L509">
            <v>0</v>
          </cell>
          <cell r="M509">
            <v>0</v>
          </cell>
        </row>
        <row r="510">
          <cell r="D510">
            <v>8699</v>
          </cell>
          <cell r="E510" t="str">
            <v>一般风险准备_本期期末余额</v>
          </cell>
          <cell r="F510">
            <v>0</v>
          </cell>
          <cell r="G510">
            <v>0</v>
          </cell>
          <cell r="H510">
            <v>0</v>
          </cell>
          <cell r="I510">
            <v>0</v>
          </cell>
          <cell r="J510">
            <v>0</v>
          </cell>
          <cell r="K510">
            <v>0</v>
          </cell>
          <cell r="L510">
            <v>0</v>
          </cell>
          <cell r="M510">
            <v>0</v>
          </cell>
        </row>
        <row r="511">
          <cell r="D511">
            <v>8700</v>
          </cell>
          <cell r="E511" t="str">
            <v>未分配利润增减变动</v>
          </cell>
          <cell r="F511">
            <v>0</v>
          </cell>
          <cell r="G511">
            <v>0</v>
          </cell>
          <cell r="H511">
            <v>0</v>
          </cell>
          <cell r="I511">
            <v>0</v>
          </cell>
          <cell r="J511">
            <v>0</v>
          </cell>
          <cell r="K511">
            <v>0</v>
          </cell>
          <cell r="L511">
            <v>0</v>
          </cell>
          <cell r="M511">
            <v>0</v>
          </cell>
        </row>
        <row r="512">
          <cell r="D512">
            <v>8701</v>
          </cell>
          <cell r="E512" t="str">
            <v>未分配利润_上年年末余额</v>
          </cell>
          <cell r="F512">
            <v>575776808.08000004</v>
          </cell>
          <cell r="G512">
            <v>0</v>
          </cell>
          <cell r="H512">
            <v>0</v>
          </cell>
          <cell r="I512">
            <v>575776808.08000004</v>
          </cell>
          <cell r="J512">
            <v>478754966.12</v>
          </cell>
          <cell r="K512">
            <v>0</v>
          </cell>
          <cell r="L512">
            <v>0</v>
          </cell>
          <cell r="M512">
            <v>478754966.12</v>
          </cell>
        </row>
        <row r="513">
          <cell r="D513">
            <v>8702</v>
          </cell>
          <cell r="E513" t="str">
            <v>未分配利润_会计政策变更调整上年年末余额</v>
          </cell>
          <cell r="F513">
            <v>0</v>
          </cell>
          <cell r="G513">
            <v>0</v>
          </cell>
          <cell r="H513">
            <v>0</v>
          </cell>
          <cell r="I513">
            <v>0</v>
          </cell>
          <cell r="J513">
            <v>0</v>
          </cell>
          <cell r="K513">
            <v>0</v>
          </cell>
          <cell r="L513">
            <v>0</v>
          </cell>
          <cell r="M513">
            <v>0</v>
          </cell>
        </row>
        <row r="514">
          <cell r="D514">
            <v>8703</v>
          </cell>
          <cell r="E514" t="str">
            <v>未分配利润_前期差错更正调整上年年末余额</v>
          </cell>
          <cell r="F514">
            <v>-5113929.4000000004</v>
          </cell>
          <cell r="G514">
            <v>0</v>
          </cell>
          <cell r="H514">
            <v>0</v>
          </cell>
          <cell r="I514">
            <v>-5113929.4000000004</v>
          </cell>
          <cell r="J514">
            <v>0</v>
          </cell>
          <cell r="K514">
            <v>0</v>
          </cell>
          <cell r="L514">
            <v>0</v>
          </cell>
          <cell r="M514">
            <v>0</v>
          </cell>
        </row>
        <row r="515">
          <cell r="D515">
            <v>8704</v>
          </cell>
          <cell r="E515" t="str">
            <v>未分配利润_同一控制下企业合并调整上年年末余额</v>
          </cell>
          <cell r="F515">
            <v>0</v>
          </cell>
          <cell r="G515">
            <v>0</v>
          </cell>
          <cell r="H515">
            <v>0</v>
          </cell>
          <cell r="I515">
            <v>0</v>
          </cell>
          <cell r="J515">
            <v>0</v>
          </cell>
          <cell r="K515">
            <v>0</v>
          </cell>
          <cell r="L515">
            <v>0</v>
          </cell>
          <cell r="M515">
            <v>0</v>
          </cell>
        </row>
        <row r="516">
          <cell r="D516">
            <v>8709</v>
          </cell>
          <cell r="E516" t="str">
            <v>未分配利润_其他原因调整上年年末余额</v>
          </cell>
          <cell r="F516">
            <v>0</v>
          </cell>
          <cell r="G516">
            <v>0</v>
          </cell>
          <cell r="H516">
            <v>0</v>
          </cell>
          <cell r="I516">
            <v>0</v>
          </cell>
          <cell r="J516">
            <v>0</v>
          </cell>
          <cell r="K516">
            <v>0</v>
          </cell>
          <cell r="L516">
            <v>0</v>
          </cell>
          <cell r="M516">
            <v>0</v>
          </cell>
        </row>
        <row r="517">
          <cell r="D517">
            <v>8710</v>
          </cell>
          <cell r="E517" t="str">
            <v>未分配利润_本年年初余额</v>
          </cell>
          <cell r="F517">
            <v>570662878.67999995</v>
          </cell>
          <cell r="G517">
            <v>0</v>
          </cell>
          <cell r="H517">
            <v>0</v>
          </cell>
          <cell r="I517">
            <v>570662878.67999995</v>
          </cell>
          <cell r="J517">
            <v>478754966.12</v>
          </cell>
          <cell r="K517">
            <v>0</v>
          </cell>
          <cell r="L517">
            <v>0</v>
          </cell>
          <cell r="M517">
            <v>478754966.12</v>
          </cell>
        </row>
        <row r="518">
          <cell r="D518">
            <v>8790</v>
          </cell>
          <cell r="E518" t="str">
            <v>未分配利润_本期增减变动金额</v>
          </cell>
          <cell r="F518">
            <v>97252701.230000004</v>
          </cell>
          <cell r="G518">
            <v>34605103.100000001</v>
          </cell>
          <cell r="H518">
            <v>11726042.539999999</v>
          </cell>
          <cell r="I518">
            <v>74373640.670000002</v>
          </cell>
          <cell r="J518">
            <v>97021841.959999993</v>
          </cell>
          <cell r="K518">
            <v>0</v>
          </cell>
          <cell r="L518">
            <v>0</v>
          </cell>
          <cell r="M518">
            <v>97021841.959999993</v>
          </cell>
        </row>
        <row r="519">
          <cell r="D519">
            <v>8721</v>
          </cell>
          <cell r="E519" t="str">
            <v>未分配利润_净利润增加权益</v>
          </cell>
          <cell r="F519">
            <v>149252701.22999999</v>
          </cell>
          <cell r="G519">
            <v>17604345.140000001</v>
          </cell>
          <cell r="H519">
            <v>11726042.539999999</v>
          </cell>
          <cell r="I519">
            <v>143374398.63</v>
          </cell>
          <cell r="J519">
            <v>133421841.95999999</v>
          </cell>
          <cell r="K519">
            <v>0</v>
          </cell>
          <cell r="L519">
            <v>0</v>
          </cell>
          <cell r="M519">
            <v>133421841.95999999</v>
          </cell>
        </row>
        <row r="520">
          <cell r="D520">
            <v>8730</v>
          </cell>
          <cell r="E520" t="str">
            <v>未分配利润_其他综合收益增加权益</v>
          </cell>
          <cell r="F520">
            <v>0</v>
          </cell>
          <cell r="G520">
            <v>0</v>
          </cell>
          <cell r="H520">
            <v>0</v>
          </cell>
          <cell r="I520">
            <v>0</v>
          </cell>
          <cell r="J520">
            <v>0</v>
          </cell>
          <cell r="K520">
            <v>0</v>
          </cell>
          <cell r="L520">
            <v>0</v>
          </cell>
          <cell r="M520">
            <v>0</v>
          </cell>
        </row>
        <row r="521">
          <cell r="D521">
            <v>8740</v>
          </cell>
          <cell r="E521" t="str">
            <v>未分配利润_综合收益总额增加权益</v>
          </cell>
          <cell r="F521">
            <v>149252701.22999999</v>
          </cell>
          <cell r="G521">
            <v>17604345.140000001</v>
          </cell>
          <cell r="H521">
            <v>11726042.539999999</v>
          </cell>
          <cell r="I521">
            <v>143374398.63</v>
          </cell>
          <cell r="J521">
            <v>133421841.95999999</v>
          </cell>
          <cell r="K521">
            <v>0</v>
          </cell>
          <cell r="L521">
            <v>0</v>
          </cell>
          <cell r="M521">
            <v>133421841.95999999</v>
          </cell>
        </row>
        <row r="522">
          <cell r="D522">
            <v>8750</v>
          </cell>
          <cell r="E522" t="str">
            <v>未分配利润_所有者投入和减少资本影响权益</v>
          </cell>
          <cell r="F522">
            <v>0</v>
          </cell>
          <cell r="G522">
            <v>0</v>
          </cell>
          <cell r="H522">
            <v>0</v>
          </cell>
          <cell r="I522">
            <v>0</v>
          </cell>
          <cell r="J522">
            <v>0</v>
          </cell>
          <cell r="K522">
            <v>0</v>
          </cell>
          <cell r="L522">
            <v>0</v>
          </cell>
          <cell r="M522">
            <v>0</v>
          </cell>
        </row>
        <row r="523">
          <cell r="D523">
            <v>8751</v>
          </cell>
          <cell r="E523" t="str">
            <v>未分配利润_所有者投入资本增加权益</v>
          </cell>
          <cell r="F523">
            <v>0</v>
          </cell>
          <cell r="G523">
            <v>0</v>
          </cell>
          <cell r="H523">
            <v>0</v>
          </cell>
          <cell r="I523">
            <v>0</v>
          </cell>
          <cell r="J523">
            <v>0</v>
          </cell>
          <cell r="K523">
            <v>0</v>
          </cell>
          <cell r="L523">
            <v>0</v>
          </cell>
          <cell r="M523">
            <v>0</v>
          </cell>
        </row>
        <row r="524">
          <cell r="D524">
            <v>8753</v>
          </cell>
          <cell r="E524" t="str">
            <v>未分配利润_其他权益工具持有者投入资本</v>
          </cell>
          <cell r="F524">
            <v>0</v>
          </cell>
          <cell r="G524">
            <v>0</v>
          </cell>
          <cell r="H524">
            <v>0</v>
          </cell>
          <cell r="I524">
            <v>0</v>
          </cell>
          <cell r="J524">
            <v>0</v>
          </cell>
          <cell r="K524">
            <v>0</v>
          </cell>
          <cell r="L524">
            <v>0</v>
          </cell>
          <cell r="M524">
            <v>0</v>
          </cell>
        </row>
        <row r="525">
          <cell r="D525">
            <v>8752</v>
          </cell>
          <cell r="E525" t="str">
            <v>未分配利润_股份支付计入所有者权益的金额</v>
          </cell>
          <cell r="F525">
            <v>0</v>
          </cell>
          <cell r="G525">
            <v>0</v>
          </cell>
          <cell r="H525">
            <v>0</v>
          </cell>
          <cell r="I525">
            <v>0</v>
          </cell>
          <cell r="J525">
            <v>0</v>
          </cell>
          <cell r="K525">
            <v>0</v>
          </cell>
          <cell r="L525">
            <v>0</v>
          </cell>
          <cell r="M525">
            <v>0</v>
          </cell>
        </row>
        <row r="526">
          <cell r="D526">
            <v>8756</v>
          </cell>
          <cell r="E526" t="str">
            <v>未分配利润_所有者其他投入和减少资本</v>
          </cell>
          <cell r="F526">
            <v>0</v>
          </cell>
          <cell r="G526">
            <v>0</v>
          </cell>
          <cell r="H526">
            <v>0</v>
          </cell>
          <cell r="I526">
            <v>0</v>
          </cell>
          <cell r="J526">
            <v>0</v>
          </cell>
          <cell r="K526">
            <v>0</v>
          </cell>
          <cell r="L526">
            <v>0</v>
          </cell>
          <cell r="M526">
            <v>0</v>
          </cell>
        </row>
        <row r="527">
          <cell r="D527">
            <v>8760</v>
          </cell>
          <cell r="E527" t="str">
            <v>未分配利润_利润分配影响权益</v>
          </cell>
          <cell r="F527">
            <v>-52000000</v>
          </cell>
          <cell r="G527">
            <v>17000757.960000001</v>
          </cell>
          <cell r="H527">
            <v>0</v>
          </cell>
          <cell r="I527">
            <v>-69000757.959999993</v>
          </cell>
          <cell r="J527">
            <v>-36400000</v>
          </cell>
          <cell r="K527">
            <v>0</v>
          </cell>
          <cell r="L527">
            <v>0</v>
          </cell>
          <cell r="M527">
            <v>-36400000</v>
          </cell>
        </row>
        <row r="528">
          <cell r="D528">
            <v>8761</v>
          </cell>
          <cell r="E528" t="str">
            <v>未分配利润_提取盈余公积</v>
          </cell>
          <cell r="F528">
            <v>0</v>
          </cell>
          <cell r="G528">
            <v>17000757.960000001</v>
          </cell>
          <cell r="H528">
            <v>0</v>
          </cell>
          <cell r="I528">
            <v>-17000757.960000001</v>
          </cell>
          <cell r="J528">
            <v>0</v>
          </cell>
          <cell r="K528">
            <v>0</v>
          </cell>
          <cell r="L528">
            <v>0</v>
          </cell>
          <cell r="M528">
            <v>0</v>
          </cell>
        </row>
        <row r="529">
          <cell r="D529">
            <v>8762</v>
          </cell>
          <cell r="E529" t="str">
            <v>未分配利润_提取一般风险准备</v>
          </cell>
          <cell r="F529">
            <v>0</v>
          </cell>
          <cell r="G529">
            <v>0</v>
          </cell>
          <cell r="H529">
            <v>0</v>
          </cell>
          <cell r="I529">
            <v>0</v>
          </cell>
          <cell r="J529">
            <v>0</v>
          </cell>
          <cell r="K529">
            <v>0</v>
          </cell>
          <cell r="L529">
            <v>0</v>
          </cell>
          <cell r="M529">
            <v>0</v>
          </cell>
        </row>
        <row r="530">
          <cell r="D530">
            <v>8763</v>
          </cell>
          <cell r="E530" t="str">
            <v>未分配利润_对所有者的分配</v>
          </cell>
          <cell r="F530">
            <v>-52000000</v>
          </cell>
          <cell r="G530">
            <v>0</v>
          </cell>
          <cell r="H530">
            <v>0</v>
          </cell>
          <cell r="I530">
            <v>-52000000</v>
          </cell>
          <cell r="J530">
            <v>-36400000</v>
          </cell>
          <cell r="K530">
            <v>0</v>
          </cell>
          <cell r="L530">
            <v>0</v>
          </cell>
          <cell r="M530">
            <v>-36400000</v>
          </cell>
        </row>
        <row r="531">
          <cell r="D531">
            <v>8766</v>
          </cell>
          <cell r="E531" t="str">
            <v>未分配利润_其他利润分配</v>
          </cell>
          <cell r="F531">
            <v>0</v>
          </cell>
          <cell r="G531">
            <v>0</v>
          </cell>
          <cell r="H531">
            <v>0</v>
          </cell>
          <cell r="I531">
            <v>0</v>
          </cell>
          <cell r="J531">
            <v>0</v>
          </cell>
          <cell r="K531">
            <v>0</v>
          </cell>
          <cell r="L531">
            <v>0</v>
          </cell>
          <cell r="M531">
            <v>0</v>
          </cell>
        </row>
        <row r="532">
          <cell r="D532">
            <v>8770</v>
          </cell>
          <cell r="E532" t="str">
            <v>未分配利润_所有者权益内部结转</v>
          </cell>
          <cell r="F532">
            <v>0</v>
          </cell>
          <cell r="G532">
            <v>0</v>
          </cell>
          <cell r="H532">
            <v>0</v>
          </cell>
          <cell r="I532">
            <v>0</v>
          </cell>
          <cell r="J532">
            <v>0</v>
          </cell>
          <cell r="K532">
            <v>0</v>
          </cell>
          <cell r="L532">
            <v>0</v>
          </cell>
          <cell r="M532">
            <v>0</v>
          </cell>
        </row>
        <row r="533">
          <cell r="D533">
            <v>8771</v>
          </cell>
          <cell r="E533" t="str">
            <v>未分配利润_资本公积转增资本影响权益</v>
          </cell>
          <cell r="F533">
            <v>0</v>
          </cell>
          <cell r="G533">
            <v>0</v>
          </cell>
          <cell r="H533">
            <v>0</v>
          </cell>
          <cell r="I533">
            <v>0</v>
          </cell>
          <cell r="J533">
            <v>0</v>
          </cell>
          <cell r="K533">
            <v>0</v>
          </cell>
          <cell r="L533">
            <v>0</v>
          </cell>
          <cell r="M533">
            <v>0</v>
          </cell>
        </row>
        <row r="534">
          <cell r="D534">
            <v>8772</v>
          </cell>
          <cell r="E534" t="str">
            <v>未分配利润_盈余公积转增资本影响权益</v>
          </cell>
          <cell r="F534">
            <v>0</v>
          </cell>
          <cell r="G534">
            <v>0</v>
          </cell>
          <cell r="H534">
            <v>0</v>
          </cell>
          <cell r="I534">
            <v>0</v>
          </cell>
          <cell r="J534">
            <v>0</v>
          </cell>
          <cell r="K534">
            <v>0</v>
          </cell>
          <cell r="L534">
            <v>0</v>
          </cell>
          <cell r="M534">
            <v>0</v>
          </cell>
        </row>
        <row r="535">
          <cell r="D535">
            <v>8773</v>
          </cell>
          <cell r="E535" t="str">
            <v>未分配利润_盈余公积弥补亏损</v>
          </cell>
          <cell r="F535">
            <v>0</v>
          </cell>
          <cell r="G535">
            <v>0</v>
          </cell>
          <cell r="H535">
            <v>0</v>
          </cell>
          <cell r="I535">
            <v>0</v>
          </cell>
          <cell r="J535">
            <v>0</v>
          </cell>
          <cell r="K535">
            <v>0</v>
          </cell>
          <cell r="L535">
            <v>0</v>
          </cell>
          <cell r="M535">
            <v>0</v>
          </cell>
        </row>
        <row r="536">
          <cell r="D536">
            <v>8775</v>
          </cell>
          <cell r="E536" t="str">
            <v>未分配利润_结转重新计量设定受益计划净负债或净资产所产生的变动</v>
          </cell>
          <cell r="F536">
            <v>0</v>
          </cell>
          <cell r="G536">
            <v>0</v>
          </cell>
          <cell r="H536">
            <v>0</v>
          </cell>
          <cell r="I536">
            <v>0</v>
          </cell>
          <cell r="J536">
            <v>0</v>
          </cell>
          <cell r="K536">
            <v>0</v>
          </cell>
          <cell r="L536">
            <v>0</v>
          </cell>
          <cell r="M536">
            <v>0</v>
          </cell>
        </row>
        <row r="537">
          <cell r="D537">
            <v>8776</v>
          </cell>
          <cell r="E537" t="str">
            <v>未分配利润_所有者权益其他内部结转</v>
          </cell>
          <cell r="F537">
            <v>0</v>
          </cell>
          <cell r="G537">
            <v>0</v>
          </cell>
          <cell r="H537">
            <v>0</v>
          </cell>
          <cell r="I537">
            <v>0</v>
          </cell>
          <cell r="J537">
            <v>0</v>
          </cell>
          <cell r="K537">
            <v>0</v>
          </cell>
          <cell r="L537">
            <v>0</v>
          </cell>
          <cell r="M537">
            <v>0</v>
          </cell>
        </row>
        <row r="538">
          <cell r="D538">
            <v>8780</v>
          </cell>
          <cell r="E538" t="str">
            <v>未分配利润_专项储备影响权益</v>
          </cell>
          <cell r="F538">
            <v>0</v>
          </cell>
          <cell r="G538">
            <v>0</v>
          </cell>
          <cell r="H538">
            <v>0</v>
          </cell>
          <cell r="I538">
            <v>0</v>
          </cell>
          <cell r="J538">
            <v>0</v>
          </cell>
          <cell r="K538">
            <v>0</v>
          </cell>
          <cell r="L538">
            <v>0</v>
          </cell>
          <cell r="M538">
            <v>0</v>
          </cell>
        </row>
        <row r="539">
          <cell r="D539">
            <v>8781</v>
          </cell>
          <cell r="E539" t="str">
            <v>未分配利润_专项储备本期提取</v>
          </cell>
          <cell r="F539">
            <v>0</v>
          </cell>
          <cell r="G539">
            <v>0</v>
          </cell>
          <cell r="H539">
            <v>0</v>
          </cell>
          <cell r="I539">
            <v>0</v>
          </cell>
          <cell r="J539">
            <v>0</v>
          </cell>
          <cell r="K539">
            <v>0</v>
          </cell>
          <cell r="L539">
            <v>0</v>
          </cell>
          <cell r="M539">
            <v>0</v>
          </cell>
        </row>
        <row r="540">
          <cell r="D540">
            <v>8782</v>
          </cell>
          <cell r="E540" t="str">
            <v>未分配利润_专项储备本期使用</v>
          </cell>
          <cell r="F540">
            <v>0</v>
          </cell>
          <cell r="G540">
            <v>0</v>
          </cell>
          <cell r="H540">
            <v>0</v>
          </cell>
          <cell r="I540">
            <v>0</v>
          </cell>
          <cell r="J540">
            <v>0</v>
          </cell>
          <cell r="K540">
            <v>0</v>
          </cell>
          <cell r="L540">
            <v>0</v>
          </cell>
          <cell r="M540">
            <v>0</v>
          </cell>
        </row>
        <row r="541">
          <cell r="D541">
            <v>8796</v>
          </cell>
          <cell r="E541" t="str">
            <v>未分配利润_本期其他增减变动</v>
          </cell>
          <cell r="F541">
            <v>0</v>
          </cell>
          <cell r="G541">
            <v>0</v>
          </cell>
          <cell r="H541">
            <v>0</v>
          </cell>
          <cell r="I541">
            <v>0</v>
          </cell>
          <cell r="J541">
            <v>0</v>
          </cell>
          <cell r="K541">
            <v>0</v>
          </cell>
          <cell r="L541">
            <v>0</v>
          </cell>
          <cell r="M541">
            <v>0</v>
          </cell>
        </row>
        <row r="542">
          <cell r="D542">
            <v>8799</v>
          </cell>
          <cell r="E542" t="str">
            <v>未分配利润_本期期末余额</v>
          </cell>
          <cell r="F542">
            <v>667915579.90999997</v>
          </cell>
          <cell r="G542">
            <v>34605103.100000001</v>
          </cell>
          <cell r="H542">
            <v>11726042.539999999</v>
          </cell>
          <cell r="I542">
            <v>645036519.35000002</v>
          </cell>
          <cell r="J542">
            <v>575776808.08000004</v>
          </cell>
          <cell r="K542">
            <v>0</v>
          </cell>
          <cell r="L542">
            <v>0</v>
          </cell>
          <cell r="M542">
            <v>575776808.08000004</v>
          </cell>
        </row>
        <row r="543">
          <cell r="D543">
            <v>8800</v>
          </cell>
          <cell r="E543" t="str">
            <v>其他归属于母公司所有者权益增减变动</v>
          </cell>
          <cell r="F543">
            <v>0</v>
          </cell>
          <cell r="G543">
            <v>0</v>
          </cell>
          <cell r="H543">
            <v>0</v>
          </cell>
          <cell r="I543">
            <v>0</v>
          </cell>
          <cell r="J543">
            <v>0</v>
          </cell>
          <cell r="K543">
            <v>0</v>
          </cell>
          <cell r="L543">
            <v>0</v>
          </cell>
          <cell r="M543">
            <v>0</v>
          </cell>
        </row>
        <row r="544">
          <cell r="D544">
            <v>8801</v>
          </cell>
          <cell r="E544" t="str">
            <v>其他归属于母公司所有者权益_上年年末余额</v>
          </cell>
          <cell r="F544">
            <v>0</v>
          </cell>
          <cell r="G544">
            <v>0</v>
          </cell>
          <cell r="H544">
            <v>0</v>
          </cell>
          <cell r="I544">
            <v>0</v>
          </cell>
          <cell r="J544">
            <v>0</v>
          </cell>
          <cell r="K544">
            <v>0</v>
          </cell>
          <cell r="L544">
            <v>0</v>
          </cell>
          <cell r="M544">
            <v>0</v>
          </cell>
        </row>
        <row r="545">
          <cell r="D545">
            <v>8802</v>
          </cell>
          <cell r="E545" t="str">
            <v>其他归属于母公司所有者权益_会计政策变更调整上年年末余额</v>
          </cell>
          <cell r="F545">
            <v>0</v>
          </cell>
          <cell r="G545">
            <v>0</v>
          </cell>
          <cell r="H545">
            <v>0</v>
          </cell>
          <cell r="I545">
            <v>0</v>
          </cell>
          <cell r="J545">
            <v>0</v>
          </cell>
          <cell r="K545">
            <v>0</v>
          </cell>
          <cell r="L545">
            <v>0</v>
          </cell>
          <cell r="M545">
            <v>0</v>
          </cell>
        </row>
        <row r="546">
          <cell r="D546">
            <v>8803</v>
          </cell>
          <cell r="E546" t="str">
            <v>其他归属于母公司所有者权益_前期差错更正调整上年年末余额</v>
          </cell>
          <cell r="F546">
            <v>0</v>
          </cell>
          <cell r="G546">
            <v>0</v>
          </cell>
          <cell r="H546">
            <v>0</v>
          </cell>
          <cell r="I546">
            <v>0</v>
          </cell>
          <cell r="J546">
            <v>0</v>
          </cell>
          <cell r="K546">
            <v>0</v>
          </cell>
          <cell r="L546">
            <v>0</v>
          </cell>
          <cell r="M546">
            <v>0</v>
          </cell>
        </row>
        <row r="547">
          <cell r="D547">
            <v>8804</v>
          </cell>
          <cell r="E547" t="str">
            <v>其他归属于母公司所有者权益_同一控制下企业合并调整上年年末余额</v>
          </cell>
          <cell r="F547">
            <v>0</v>
          </cell>
          <cell r="G547">
            <v>0</v>
          </cell>
          <cell r="H547">
            <v>0</v>
          </cell>
          <cell r="I547">
            <v>0</v>
          </cell>
          <cell r="J547">
            <v>0</v>
          </cell>
          <cell r="K547">
            <v>0</v>
          </cell>
          <cell r="L547">
            <v>0</v>
          </cell>
          <cell r="M547">
            <v>0</v>
          </cell>
        </row>
        <row r="548">
          <cell r="D548">
            <v>8809</v>
          </cell>
          <cell r="E548" t="str">
            <v>其他归属于母公司所有者权益_其他原因调整上年年末余额</v>
          </cell>
          <cell r="F548">
            <v>0</v>
          </cell>
          <cell r="G548">
            <v>0</v>
          </cell>
          <cell r="H548">
            <v>0</v>
          </cell>
          <cell r="I548">
            <v>0</v>
          </cell>
          <cell r="J548">
            <v>0</v>
          </cell>
          <cell r="K548">
            <v>0</v>
          </cell>
          <cell r="L548">
            <v>0</v>
          </cell>
          <cell r="M548">
            <v>0</v>
          </cell>
        </row>
        <row r="549">
          <cell r="D549">
            <v>8810</v>
          </cell>
          <cell r="E549" t="str">
            <v>其他归属于母公司所有者权益_本年年初余额</v>
          </cell>
          <cell r="F549">
            <v>0</v>
          </cell>
          <cell r="G549">
            <v>0</v>
          </cell>
          <cell r="H549">
            <v>0</v>
          </cell>
          <cell r="I549">
            <v>0</v>
          </cell>
          <cell r="J549">
            <v>0</v>
          </cell>
          <cell r="K549">
            <v>0</v>
          </cell>
          <cell r="L549">
            <v>0</v>
          </cell>
          <cell r="M549">
            <v>0</v>
          </cell>
        </row>
        <row r="550">
          <cell r="D550">
            <v>8890</v>
          </cell>
          <cell r="E550" t="str">
            <v>其他归属于母公司所有者权益_本期增减变动金额</v>
          </cell>
          <cell r="F550">
            <v>0</v>
          </cell>
          <cell r="G550">
            <v>0</v>
          </cell>
          <cell r="H550">
            <v>0</v>
          </cell>
          <cell r="I550">
            <v>0</v>
          </cell>
          <cell r="J550">
            <v>0</v>
          </cell>
          <cell r="K550">
            <v>0</v>
          </cell>
          <cell r="L550">
            <v>0</v>
          </cell>
          <cell r="M550">
            <v>0</v>
          </cell>
        </row>
        <row r="551">
          <cell r="D551">
            <v>8821</v>
          </cell>
          <cell r="E551" t="str">
            <v>其他归属于母公司所有者权益_净利润增加权益</v>
          </cell>
          <cell r="F551">
            <v>0</v>
          </cell>
          <cell r="G551">
            <v>0</v>
          </cell>
          <cell r="H551">
            <v>0</v>
          </cell>
          <cell r="I551">
            <v>0</v>
          </cell>
          <cell r="J551">
            <v>0</v>
          </cell>
          <cell r="K551">
            <v>0</v>
          </cell>
          <cell r="L551">
            <v>0</v>
          </cell>
          <cell r="M551">
            <v>0</v>
          </cell>
        </row>
        <row r="552">
          <cell r="D552">
            <v>8830</v>
          </cell>
          <cell r="E552" t="str">
            <v>其他归属于母公司所有者权益_其他综合收益</v>
          </cell>
          <cell r="F552">
            <v>0</v>
          </cell>
          <cell r="G552">
            <v>0</v>
          </cell>
          <cell r="H552">
            <v>0</v>
          </cell>
          <cell r="I552">
            <v>0</v>
          </cell>
          <cell r="J552">
            <v>0</v>
          </cell>
          <cell r="K552">
            <v>0</v>
          </cell>
          <cell r="L552">
            <v>0</v>
          </cell>
          <cell r="M552">
            <v>0</v>
          </cell>
        </row>
        <row r="553">
          <cell r="D553">
            <v>8840</v>
          </cell>
          <cell r="E553" t="str">
            <v>其他归属于母公司所有者权益_综合收益总额增加权益</v>
          </cell>
          <cell r="F553">
            <v>0</v>
          </cell>
          <cell r="G553">
            <v>0</v>
          </cell>
          <cell r="H553">
            <v>0</v>
          </cell>
          <cell r="I553">
            <v>0</v>
          </cell>
          <cell r="J553">
            <v>0</v>
          </cell>
          <cell r="K553">
            <v>0</v>
          </cell>
          <cell r="L553">
            <v>0</v>
          </cell>
          <cell r="M553">
            <v>0</v>
          </cell>
        </row>
        <row r="554">
          <cell r="D554">
            <v>8850</v>
          </cell>
          <cell r="E554" t="str">
            <v>其他归属于母公司所有者权益_所有者投入和减少资本影响权益</v>
          </cell>
          <cell r="F554">
            <v>0</v>
          </cell>
          <cell r="G554">
            <v>0</v>
          </cell>
          <cell r="H554">
            <v>0</v>
          </cell>
          <cell r="I554">
            <v>0</v>
          </cell>
          <cell r="J554">
            <v>0</v>
          </cell>
          <cell r="K554">
            <v>0</v>
          </cell>
          <cell r="L554">
            <v>0</v>
          </cell>
          <cell r="M554">
            <v>0</v>
          </cell>
        </row>
        <row r="555">
          <cell r="D555">
            <v>8851</v>
          </cell>
          <cell r="E555" t="str">
            <v>其他归属于母公司所有者权益_所有者投入资本</v>
          </cell>
          <cell r="F555">
            <v>0</v>
          </cell>
          <cell r="G555">
            <v>0</v>
          </cell>
          <cell r="H555">
            <v>0</v>
          </cell>
          <cell r="I555">
            <v>0</v>
          </cell>
          <cell r="J555">
            <v>0</v>
          </cell>
          <cell r="K555">
            <v>0</v>
          </cell>
          <cell r="L555">
            <v>0</v>
          </cell>
          <cell r="M555">
            <v>0</v>
          </cell>
        </row>
        <row r="556">
          <cell r="D556">
            <v>8853</v>
          </cell>
          <cell r="E556" t="str">
            <v>其他归属于母公司所有者权益_其他权益工具持有者投入资本</v>
          </cell>
          <cell r="F556">
            <v>0</v>
          </cell>
          <cell r="G556">
            <v>0</v>
          </cell>
          <cell r="H556">
            <v>0</v>
          </cell>
          <cell r="I556">
            <v>0</v>
          </cell>
          <cell r="J556">
            <v>0</v>
          </cell>
          <cell r="K556">
            <v>0</v>
          </cell>
          <cell r="L556">
            <v>0</v>
          </cell>
          <cell r="M556">
            <v>0</v>
          </cell>
        </row>
        <row r="557">
          <cell r="D557">
            <v>8852</v>
          </cell>
          <cell r="E557" t="str">
            <v>其他归属于母公司所有者权益_股份支付</v>
          </cell>
          <cell r="F557">
            <v>0</v>
          </cell>
          <cell r="G557">
            <v>0</v>
          </cell>
          <cell r="H557">
            <v>0</v>
          </cell>
          <cell r="I557">
            <v>0</v>
          </cell>
          <cell r="J557">
            <v>0</v>
          </cell>
          <cell r="K557">
            <v>0</v>
          </cell>
          <cell r="L557">
            <v>0</v>
          </cell>
          <cell r="M557">
            <v>0</v>
          </cell>
        </row>
        <row r="558">
          <cell r="D558">
            <v>8856</v>
          </cell>
          <cell r="E558" t="str">
            <v>其他归属于母公司所有者权益_所有者其他投入和减少资本</v>
          </cell>
          <cell r="F558">
            <v>0</v>
          </cell>
          <cell r="G558">
            <v>0</v>
          </cell>
          <cell r="H558">
            <v>0</v>
          </cell>
          <cell r="I558">
            <v>0</v>
          </cell>
          <cell r="J558">
            <v>0</v>
          </cell>
          <cell r="K558">
            <v>0</v>
          </cell>
          <cell r="L558">
            <v>0</v>
          </cell>
          <cell r="M558">
            <v>0</v>
          </cell>
        </row>
        <row r="559">
          <cell r="D559">
            <v>8860</v>
          </cell>
          <cell r="E559" t="str">
            <v>其他归属于母公司所有者权益_利润分配影响权益</v>
          </cell>
          <cell r="F559">
            <v>0</v>
          </cell>
          <cell r="G559">
            <v>0</v>
          </cell>
          <cell r="H559">
            <v>0</v>
          </cell>
          <cell r="I559">
            <v>0</v>
          </cell>
          <cell r="J559">
            <v>0</v>
          </cell>
          <cell r="K559">
            <v>0</v>
          </cell>
          <cell r="L559">
            <v>0</v>
          </cell>
          <cell r="M559">
            <v>0</v>
          </cell>
        </row>
        <row r="560">
          <cell r="D560">
            <v>8861</v>
          </cell>
          <cell r="E560" t="str">
            <v>其他归属于母公司所有者权益_提取盈余公积</v>
          </cell>
          <cell r="F560">
            <v>0</v>
          </cell>
          <cell r="G560">
            <v>0</v>
          </cell>
          <cell r="H560">
            <v>0</v>
          </cell>
          <cell r="I560">
            <v>0</v>
          </cell>
          <cell r="J560">
            <v>0</v>
          </cell>
          <cell r="K560">
            <v>0</v>
          </cell>
          <cell r="L560">
            <v>0</v>
          </cell>
          <cell r="M560">
            <v>0</v>
          </cell>
        </row>
        <row r="561">
          <cell r="D561">
            <v>8862</v>
          </cell>
          <cell r="E561" t="str">
            <v>其他归属于母公司所有者权益_提取一般风险准备</v>
          </cell>
          <cell r="F561">
            <v>0</v>
          </cell>
          <cell r="G561">
            <v>0</v>
          </cell>
          <cell r="H561">
            <v>0</v>
          </cell>
          <cell r="I561">
            <v>0</v>
          </cell>
          <cell r="J561">
            <v>0</v>
          </cell>
          <cell r="K561">
            <v>0</v>
          </cell>
          <cell r="L561">
            <v>0</v>
          </cell>
          <cell r="M561">
            <v>0</v>
          </cell>
        </row>
        <row r="562">
          <cell r="D562">
            <v>8863</v>
          </cell>
          <cell r="E562" t="str">
            <v>其他归属于母公司所有者权益_对所有者的分配</v>
          </cell>
          <cell r="F562">
            <v>0</v>
          </cell>
          <cell r="G562">
            <v>0</v>
          </cell>
          <cell r="H562">
            <v>0</v>
          </cell>
          <cell r="I562">
            <v>0</v>
          </cell>
          <cell r="J562">
            <v>0</v>
          </cell>
          <cell r="K562">
            <v>0</v>
          </cell>
          <cell r="L562">
            <v>0</v>
          </cell>
          <cell r="M562">
            <v>0</v>
          </cell>
        </row>
        <row r="563">
          <cell r="D563">
            <v>8866</v>
          </cell>
          <cell r="E563" t="str">
            <v>其他归属于母公司所有者权益_其他利润分配</v>
          </cell>
          <cell r="F563">
            <v>0</v>
          </cell>
          <cell r="G563">
            <v>0</v>
          </cell>
          <cell r="H563">
            <v>0</v>
          </cell>
          <cell r="I563">
            <v>0</v>
          </cell>
          <cell r="J563">
            <v>0</v>
          </cell>
          <cell r="K563">
            <v>0</v>
          </cell>
          <cell r="L563">
            <v>0</v>
          </cell>
          <cell r="M563">
            <v>0</v>
          </cell>
        </row>
        <row r="564">
          <cell r="D564">
            <v>8870</v>
          </cell>
          <cell r="E564" t="str">
            <v>其他归属于母公司所有者权益_所有者权益内部结转</v>
          </cell>
          <cell r="F564">
            <v>0</v>
          </cell>
          <cell r="G564">
            <v>0</v>
          </cell>
          <cell r="H564">
            <v>0</v>
          </cell>
          <cell r="I564">
            <v>0</v>
          </cell>
          <cell r="J564">
            <v>0</v>
          </cell>
          <cell r="K564">
            <v>0</v>
          </cell>
          <cell r="L564">
            <v>0</v>
          </cell>
          <cell r="M564">
            <v>0</v>
          </cell>
        </row>
        <row r="565">
          <cell r="D565">
            <v>8871</v>
          </cell>
          <cell r="E565" t="str">
            <v>其他归属于母公司所有者权益_资本公积转增资本</v>
          </cell>
          <cell r="F565">
            <v>0</v>
          </cell>
          <cell r="G565">
            <v>0</v>
          </cell>
          <cell r="H565">
            <v>0</v>
          </cell>
          <cell r="I565">
            <v>0</v>
          </cell>
          <cell r="J565">
            <v>0</v>
          </cell>
          <cell r="K565">
            <v>0</v>
          </cell>
          <cell r="L565">
            <v>0</v>
          </cell>
          <cell r="M565">
            <v>0</v>
          </cell>
        </row>
        <row r="566">
          <cell r="D566">
            <v>8872</v>
          </cell>
          <cell r="E566" t="str">
            <v>其他归属于母公司所有者权益_盈余公积转增资本</v>
          </cell>
          <cell r="F566">
            <v>0</v>
          </cell>
          <cell r="G566">
            <v>0</v>
          </cell>
          <cell r="H566">
            <v>0</v>
          </cell>
          <cell r="I566">
            <v>0</v>
          </cell>
          <cell r="J566">
            <v>0</v>
          </cell>
          <cell r="K566">
            <v>0</v>
          </cell>
          <cell r="L566">
            <v>0</v>
          </cell>
          <cell r="M566">
            <v>0</v>
          </cell>
        </row>
        <row r="567">
          <cell r="D567">
            <v>8873</v>
          </cell>
          <cell r="E567" t="str">
            <v>其他归属于母公司所有者权益_盈余公积弥补亏损</v>
          </cell>
          <cell r="F567">
            <v>0</v>
          </cell>
          <cell r="G567">
            <v>0</v>
          </cell>
          <cell r="H567">
            <v>0</v>
          </cell>
          <cell r="I567">
            <v>0</v>
          </cell>
          <cell r="J567">
            <v>0</v>
          </cell>
          <cell r="K567">
            <v>0</v>
          </cell>
          <cell r="L567">
            <v>0</v>
          </cell>
          <cell r="M567">
            <v>0</v>
          </cell>
        </row>
        <row r="568">
          <cell r="D568">
            <v>8875</v>
          </cell>
          <cell r="E568" t="str">
            <v>其他归属于母公司所有者权益_结转重新计量设定受益计划净负债或净资产所产生的变动</v>
          </cell>
          <cell r="F568">
            <v>0</v>
          </cell>
          <cell r="G568">
            <v>0</v>
          </cell>
          <cell r="H568">
            <v>0</v>
          </cell>
          <cell r="I568">
            <v>0</v>
          </cell>
          <cell r="J568">
            <v>0</v>
          </cell>
          <cell r="K568">
            <v>0</v>
          </cell>
          <cell r="L568">
            <v>0</v>
          </cell>
          <cell r="M568">
            <v>0</v>
          </cell>
        </row>
        <row r="569">
          <cell r="D569">
            <v>8876</v>
          </cell>
          <cell r="E569" t="str">
            <v>其他归属于母公司所有者权益_所有者权益其他内部结转</v>
          </cell>
          <cell r="F569">
            <v>0</v>
          </cell>
          <cell r="G569">
            <v>0</v>
          </cell>
          <cell r="H569">
            <v>0</v>
          </cell>
          <cell r="I569">
            <v>0</v>
          </cell>
          <cell r="J569">
            <v>0</v>
          </cell>
          <cell r="K569">
            <v>0</v>
          </cell>
          <cell r="L569">
            <v>0</v>
          </cell>
          <cell r="M569">
            <v>0</v>
          </cell>
        </row>
        <row r="570">
          <cell r="D570">
            <v>8880</v>
          </cell>
          <cell r="E570" t="str">
            <v>其他归属于母公司所有者权益_专项储备影响权益</v>
          </cell>
          <cell r="F570">
            <v>0</v>
          </cell>
          <cell r="G570">
            <v>0</v>
          </cell>
          <cell r="H570">
            <v>0</v>
          </cell>
          <cell r="I570">
            <v>0</v>
          </cell>
          <cell r="J570">
            <v>0</v>
          </cell>
          <cell r="K570">
            <v>0</v>
          </cell>
          <cell r="L570">
            <v>0</v>
          </cell>
          <cell r="M570">
            <v>0</v>
          </cell>
        </row>
        <row r="571">
          <cell r="D571">
            <v>8881</v>
          </cell>
          <cell r="E571" t="str">
            <v>其他归属于母公司所有者权益_专项储备本期提取</v>
          </cell>
          <cell r="F571">
            <v>0</v>
          </cell>
          <cell r="G571">
            <v>0</v>
          </cell>
          <cell r="H571">
            <v>0</v>
          </cell>
          <cell r="I571">
            <v>0</v>
          </cell>
          <cell r="J571">
            <v>0</v>
          </cell>
          <cell r="K571">
            <v>0</v>
          </cell>
          <cell r="L571">
            <v>0</v>
          </cell>
          <cell r="M571">
            <v>0</v>
          </cell>
        </row>
        <row r="572">
          <cell r="D572">
            <v>8882</v>
          </cell>
          <cell r="E572" t="str">
            <v>其他归属于母公司所有者权益_专项储备本期使用</v>
          </cell>
          <cell r="F572">
            <v>0</v>
          </cell>
          <cell r="G572">
            <v>0</v>
          </cell>
          <cell r="H572">
            <v>0</v>
          </cell>
          <cell r="I572">
            <v>0</v>
          </cell>
          <cell r="J572">
            <v>0</v>
          </cell>
          <cell r="K572">
            <v>0</v>
          </cell>
          <cell r="L572">
            <v>0</v>
          </cell>
          <cell r="M572">
            <v>0</v>
          </cell>
        </row>
        <row r="573">
          <cell r="D573">
            <v>8896</v>
          </cell>
          <cell r="E573" t="str">
            <v>其他归属于母公司所有者权益_本期其他增减变动</v>
          </cell>
          <cell r="F573">
            <v>0</v>
          </cell>
          <cell r="G573">
            <v>0</v>
          </cell>
          <cell r="H573">
            <v>0</v>
          </cell>
          <cell r="I573">
            <v>0</v>
          </cell>
          <cell r="J573">
            <v>0</v>
          </cell>
          <cell r="K573">
            <v>0</v>
          </cell>
          <cell r="L573">
            <v>0</v>
          </cell>
          <cell r="M573">
            <v>0</v>
          </cell>
        </row>
        <row r="574">
          <cell r="D574">
            <v>8899</v>
          </cell>
          <cell r="E574" t="str">
            <v>其他归属于母公司所有者权益_本期期末余额</v>
          </cell>
          <cell r="F574">
            <v>0</v>
          </cell>
          <cell r="G574">
            <v>0</v>
          </cell>
          <cell r="H574">
            <v>0</v>
          </cell>
          <cell r="I574">
            <v>0</v>
          </cell>
          <cell r="J574">
            <v>0</v>
          </cell>
          <cell r="K574">
            <v>0</v>
          </cell>
          <cell r="L574">
            <v>0</v>
          </cell>
          <cell r="M574">
            <v>0</v>
          </cell>
        </row>
        <row r="575">
          <cell r="D575">
            <v>8900</v>
          </cell>
          <cell r="E575" t="str">
            <v>少数股东权益增减变动</v>
          </cell>
          <cell r="F575">
            <v>0</v>
          </cell>
          <cell r="G575">
            <v>0</v>
          </cell>
          <cell r="H575">
            <v>0</v>
          </cell>
          <cell r="I575">
            <v>0</v>
          </cell>
          <cell r="J575">
            <v>0</v>
          </cell>
          <cell r="K575">
            <v>0</v>
          </cell>
          <cell r="L575">
            <v>0</v>
          </cell>
          <cell r="M575">
            <v>0</v>
          </cell>
        </row>
        <row r="576">
          <cell r="D576">
            <v>8901</v>
          </cell>
          <cell r="E576" t="str">
            <v>少数股东权益_上年年末余额</v>
          </cell>
          <cell r="F576">
            <v>0</v>
          </cell>
          <cell r="G576">
            <v>0</v>
          </cell>
          <cell r="H576">
            <v>0</v>
          </cell>
          <cell r="I576">
            <v>0</v>
          </cell>
          <cell r="J576">
            <v>0</v>
          </cell>
          <cell r="K576">
            <v>0</v>
          </cell>
          <cell r="L576">
            <v>0</v>
          </cell>
          <cell r="M576">
            <v>0</v>
          </cell>
        </row>
        <row r="577">
          <cell r="D577">
            <v>8902</v>
          </cell>
          <cell r="E577" t="str">
            <v>少数股东权益_会计政策变更调整上年年末余额</v>
          </cell>
          <cell r="F577">
            <v>0</v>
          </cell>
          <cell r="G577">
            <v>0</v>
          </cell>
          <cell r="H577">
            <v>0</v>
          </cell>
          <cell r="I577">
            <v>0</v>
          </cell>
          <cell r="J577">
            <v>0</v>
          </cell>
          <cell r="K577">
            <v>0</v>
          </cell>
          <cell r="L577">
            <v>0</v>
          </cell>
          <cell r="M577">
            <v>0</v>
          </cell>
        </row>
        <row r="578">
          <cell r="D578">
            <v>8903</v>
          </cell>
          <cell r="E578" t="str">
            <v>少数股东权益_前期差错更正调整上年年末余额</v>
          </cell>
          <cell r="F578">
            <v>0</v>
          </cell>
          <cell r="G578">
            <v>0</v>
          </cell>
          <cell r="H578">
            <v>0</v>
          </cell>
          <cell r="I578">
            <v>0</v>
          </cell>
          <cell r="J578">
            <v>0</v>
          </cell>
          <cell r="K578">
            <v>0</v>
          </cell>
          <cell r="L578">
            <v>0</v>
          </cell>
          <cell r="M578">
            <v>0</v>
          </cell>
        </row>
        <row r="579">
          <cell r="D579">
            <v>8904</v>
          </cell>
          <cell r="E579" t="str">
            <v>少数股东权益_同一控制下企业合并调整上年年末余额</v>
          </cell>
          <cell r="F579">
            <v>0</v>
          </cell>
          <cell r="G579">
            <v>0</v>
          </cell>
          <cell r="H579">
            <v>0</v>
          </cell>
          <cell r="I579">
            <v>0</v>
          </cell>
          <cell r="J579">
            <v>0</v>
          </cell>
          <cell r="K579">
            <v>0</v>
          </cell>
          <cell r="L579">
            <v>0</v>
          </cell>
          <cell r="M579">
            <v>0</v>
          </cell>
        </row>
        <row r="580">
          <cell r="D580">
            <v>8909</v>
          </cell>
          <cell r="E580" t="str">
            <v>少数股东权益_其他原因调整上年年末余额</v>
          </cell>
          <cell r="F580">
            <v>0</v>
          </cell>
          <cell r="G580">
            <v>0</v>
          </cell>
          <cell r="H580">
            <v>0</v>
          </cell>
          <cell r="I580">
            <v>0</v>
          </cell>
          <cell r="J580">
            <v>0</v>
          </cell>
          <cell r="K580">
            <v>0</v>
          </cell>
          <cell r="L580">
            <v>0</v>
          </cell>
          <cell r="M580">
            <v>0</v>
          </cell>
        </row>
        <row r="581">
          <cell r="D581">
            <v>8910</v>
          </cell>
          <cell r="E581" t="str">
            <v>少数股东权益_本年年初余额</v>
          </cell>
          <cell r="F581">
            <v>0</v>
          </cell>
          <cell r="G581">
            <v>0</v>
          </cell>
          <cell r="H581">
            <v>0</v>
          </cell>
          <cell r="I581">
            <v>0</v>
          </cell>
          <cell r="J581">
            <v>0</v>
          </cell>
          <cell r="K581">
            <v>0</v>
          </cell>
          <cell r="L581">
            <v>0</v>
          </cell>
          <cell r="M581">
            <v>0</v>
          </cell>
        </row>
        <row r="582">
          <cell r="D582">
            <v>8990</v>
          </cell>
          <cell r="E582" t="str">
            <v>少数股东权益_本期增减变动金额</v>
          </cell>
          <cell r="F582">
            <v>0</v>
          </cell>
          <cell r="G582">
            <v>0</v>
          </cell>
          <cell r="H582">
            <v>0</v>
          </cell>
          <cell r="I582">
            <v>0</v>
          </cell>
          <cell r="J582">
            <v>0</v>
          </cell>
          <cell r="K582">
            <v>0</v>
          </cell>
          <cell r="L582">
            <v>0</v>
          </cell>
          <cell r="M582">
            <v>0</v>
          </cell>
        </row>
        <row r="583">
          <cell r="D583">
            <v>8921</v>
          </cell>
          <cell r="E583" t="str">
            <v>少数股东权益_净利润</v>
          </cell>
          <cell r="F583">
            <v>0</v>
          </cell>
          <cell r="G583">
            <v>0</v>
          </cell>
          <cell r="H583">
            <v>0</v>
          </cell>
          <cell r="I583">
            <v>0</v>
          </cell>
          <cell r="J583">
            <v>0</v>
          </cell>
          <cell r="K583">
            <v>0</v>
          </cell>
          <cell r="L583">
            <v>0</v>
          </cell>
          <cell r="M583">
            <v>0</v>
          </cell>
        </row>
        <row r="584">
          <cell r="D584">
            <v>8930</v>
          </cell>
          <cell r="E584" t="str">
            <v>少数股东权益_其他综合收益</v>
          </cell>
          <cell r="F584">
            <v>0</v>
          </cell>
          <cell r="G584">
            <v>0</v>
          </cell>
          <cell r="H584">
            <v>0</v>
          </cell>
          <cell r="I584">
            <v>0</v>
          </cell>
          <cell r="J584">
            <v>0</v>
          </cell>
          <cell r="K584">
            <v>0</v>
          </cell>
          <cell r="L584">
            <v>0</v>
          </cell>
          <cell r="M584">
            <v>0</v>
          </cell>
        </row>
        <row r="585">
          <cell r="D585">
            <v>8940</v>
          </cell>
          <cell r="E585" t="str">
            <v>少数股东权益_综合收益总额增加权益</v>
          </cell>
          <cell r="F585">
            <v>0</v>
          </cell>
          <cell r="G585">
            <v>0</v>
          </cell>
          <cell r="H585">
            <v>0</v>
          </cell>
          <cell r="I585">
            <v>0</v>
          </cell>
          <cell r="J585">
            <v>0</v>
          </cell>
          <cell r="K585">
            <v>0</v>
          </cell>
          <cell r="L585">
            <v>0</v>
          </cell>
          <cell r="M585">
            <v>0</v>
          </cell>
        </row>
        <row r="586">
          <cell r="D586">
            <v>8950</v>
          </cell>
          <cell r="E586" t="str">
            <v>少数股东权益_所有者投入和减少资本影响权益</v>
          </cell>
          <cell r="F586">
            <v>0</v>
          </cell>
          <cell r="G586">
            <v>0</v>
          </cell>
          <cell r="H586">
            <v>0</v>
          </cell>
          <cell r="I586">
            <v>0</v>
          </cell>
          <cell r="J586">
            <v>0</v>
          </cell>
          <cell r="K586">
            <v>0</v>
          </cell>
          <cell r="L586">
            <v>0</v>
          </cell>
          <cell r="M586">
            <v>0</v>
          </cell>
        </row>
        <row r="587">
          <cell r="D587">
            <v>8951</v>
          </cell>
          <cell r="E587" t="str">
            <v>少数股东权益_所有者投入资本</v>
          </cell>
          <cell r="F587">
            <v>0</v>
          </cell>
          <cell r="G587">
            <v>0</v>
          </cell>
          <cell r="H587">
            <v>0</v>
          </cell>
          <cell r="I587">
            <v>0</v>
          </cell>
          <cell r="J587">
            <v>0</v>
          </cell>
          <cell r="K587">
            <v>0</v>
          </cell>
          <cell r="L587">
            <v>0</v>
          </cell>
          <cell r="M587">
            <v>0</v>
          </cell>
        </row>
        <row r="588">
          <cell r="D588">
            <v>8953</v>
          </cell>
          <cell r="E588" t="str">
            <v>少数股东权益_其他权益工具持有者投入资本</v>
          </cell>
          <cell r="F588">
            <v>0</v>
          </cell>
          <cell r="G588">
            <v>0</v>
          </cell>
          <cell r="H588">
            <v>0</v>
          </cell>
          <cell r="I588">
            <v>0</v>
          </cell>
          <cell r="J588">
            <v>0</v>
          </cell>
          <cell r="K588">
            <v>0</v>
          </cell>
          <cell r="L588">
            <v>0</v>
          </cell>
          <cell r="M588">
            <v>0</v>
          </cell>
        </row>
        <row r="589">
          <cell r="D589">
            <v>8952</v>
          </cell>
          <cell r="E589" t="str">
            <v>少数股东权益_股份支付</v>
          </cell>
          <cell r="F589">
            <v>0</v>
          </cell>
          <cell r="G589">
            <v>0</v>
          </cell>
          <cell r="H589">
            <v>0</v>
          </cell>
          <cell r="I589">
            <v>0</v>
          </cell>
          <cell r="J589">
            <v>0</v>
          </cell>
          <cell r="K589">
            <v>0</v>
          </cell>
          <cell r="L589">
            <v>0</v>
          </cell>
          <cell r="M589">
            <v>0</v>
          </cell>
        </row>
        <row r="590">
          <cell r="D590">
            <v>8956</v>
          </cell>
          <cell r="E590" t="str">
            <v>少数股东权益_所有者其他投入和减少资本</v>
          </cell>
          <cell r="F590">
            <v>0</v>
          </cell>
          <cell r="G590">
            <v>0</v>
          </cell>
          <cell r="H590">
            <v>0</v>
          </cell>
          <cell r="I590">
            <v>0</v>
          </cell>
          <cell r="J590">
            <v>0</v>
          </cell>
          <cell r="K590">
            <v>0</v>
          </cell>
          <cell r="L590">
            <v>0</v>
          </cell>
          <cell r="M590">
            <v>0</v>
          </cell>
        </row>
        <row r="591">
          <cell r="D591">
            <v>8960</v>
          </cell>
          <cell r="E591" t="str">
            <v>少数股东权益_利润分配影响权益</v>
          </cell>
          <cell r="F591">
            <v>0</v>
          </cell>
          <cell r="G591">
            <v>0</v>
          </cell>
          <cell r="H591">
            <v>0</v>
          </cell>
          <cell r="I591">
            <v>0</v>
          </cell>
          <cell r="J591">
            <v>0</v>
          </cell>
          <cell r="K591">
            <v>0</v>
          </cell>
          <cell r="L591">
            <v>0</v>
          </cell>
          <cell r="M591">
            <v>0</v>
          </cell>
        </row>
        <row r="592">
          <cell r="D592">
            <v>8961</v>
          </cell>
          <cell r="E592" t="str">
            <v>少数股东权益_提取盈余公积影响权益</v>
          </cell>
          <cell r="F592">
            <v>0</v>
          </cell>
          <cell r="G592">
            <v>0</v>
          </cell>
          <cell r="H592">
            <v>0</v>
          </cell>
          <cell r="I592">
            <v>0</v>
          </cell>
          <cell r="J592">
            <v>0</v>
          </cell>
          <cell r="K592">
            <v>0</v>
          </cell>
          <cell r="L592">
            <v>0</v>
          </cell>
          <cell r="M592">
            <v>0</v>
          </cell>
        </row>
        <row r="593">
          <cell r="D593">
            <v>8962</v>
          </cell>
          <cell r="E593" t="str">
            <v>少数股东权益_提取一般风险准备影响权益</v>
          </cell>
          <cell r="F593">
            <v>0</v>
          </cell>
          <cell r="G593">
            <v>0</v>
          </cell>
          <cell r="H593">
            <v>0</v>
          </cell>
          <cell r="I593">
            <v>0</v>
          </cell>
          <cell r="J593">
            <v>0</v>
          </cell>
          <cell r="K593">
            <v>0</v>
          </cell>
          <cell r="L593">
            <v>0</v>
          </cell>
          <cell r="M593">
            <v>0</v>
          </cell>
        </row>
        <row r="594">
          <cell r="D594">
            <v>8963</v>
          </cell>
          <cell r="E594" t="str">
            <v>少数股东权益_对所有者的分配</v>
          </cell>
          <cell r="F594">
            <v>0</v>
          </cell>
          <cell r="G594">
            <v>0</v>
          </cell>
          <cell r="H594">
            <v>0</v>
          </cell>
          <cell r="I594">
            <v>0</v>
          </cell>
          <cell r="J594">
            <v>0</v>
          </cell>
          <cell r="K594">
            <v>0</v>
          </cell>
          <cell r="L594">
            <v>0</v>
          </cell>
          <cell r="M594">
            <v>0</v>
          </cell>
        </row>
        <row r="595">
          <cell r="D595">
            <v>8966</v>
          </cell>
          <cell r="E595" t="str">
            <v>少数股东权益_其他利润分配</v>
          </cell>
          <cell r="F595">
            <v>0</v>
          </cell>
          <cell r="G595">
            <v>0</v>
          </cell>
          <cell r="H595">
            <v>0</v>
          </cell>
          <cell r="I595">
            <v>0</v>
          </cell>
          <cell r="J595">
            <v>0</v>
          </cell>
          <cell r="K595">
            <v>0</v>
          </cell>
          <cell r="L595">
            <v>0</v>
          </cell>
          <cell r="M595">
            <v>0</v>
          </cell>
        </row>
        <row r="596">
          <cell r="D596">
            <v>8970</v>
          </cell>
          <cell r="E596" t="str">
            <v>少数股东权益_所有者权益内部结转</v>
          </cell>
          <cell r="F596">
            <v>0</v>
          </cell>
          <cell r="G596">
            <v>0</v>
          </cell>
          <cell r="H596">
            <v>0</v>
          </cell>
          <cell r="I596">
            <v>0</v>
          </cell>
          <cell r="J596">
            <v>0</v>
          </cell>
          <cell r="K596">
            <v>0</v>
          </cell>
          <cell r="L596">
            <v>0</v>
          </cell>
          <cell r="M596">
            <v>0</v>
          </cell>
        </row>
        <row r="597">
          <cell r="D597">
            <v>8971</v>
          </cell>
          <cell r="E597" t="str">
            <v>少数股东权益_资本公积转增资本影响权益</v>
          </cell>
          <cell r="F597">
            <v>0</v>
          </cell>
          <cell r="G597">
            <v>0</v>
          </cell>
          <cell r="H597">
            <v>0</v>
          </cell>
          <cell r="I597">
            <v>0</v>
          </cell>
          <cell r="J597">
            <v>0</v>
          </cell>
          <cell r="K597">
            <v>0</v>
          </cell>
          <cell r="L597">
            <v>0</v>
          </cell>
          <cell r="M597">
            <v>0</v>
          </cell>
        </row>
        <row r="598">
          <cell r="D598">
            <v>8972</v>
          </cell>
          <cell r="E598" t="str">
            <v>少数股东权益_盈余公积转增资本影响权益</v>
          </cell>
          <cell r="F598">
            <v>0</v>
          </cell>
          <cell r="G598">
            <v>0</v>
          </cell>
          <cell r="H598">
            <v>0</v>
          </cell>
          <cell r="I598">
            <v>0</v>
          </cell>
          <cell r="J598">
            <v>0</v>
          </cell>
          <cell r="K598">
            <v>0</v>
          </cell>
          <cell r="L598">
            <v>0</v>
          </cell>
          <cell r="M598">
            <v>0</v>
          </cell>
        </row>
        <row r="599">
          <cell r="D599">
            <v>8973</v>
          </cell>
          <cell r="E599" t="str">
            <v>少数股东权益_盈余公积弥补亏损影响权益</v>
          </cell>
          <cell r="F599">
            <v>0</v>
          </cell>
          <cell r="G599">
            <v>0</v>
          </cell>
          <cell r="H599">
            <v>0</v>
          </cell>
          <cell r="I599">
            <v>0</v>
          </cell>
          <cell r="J599">
            <v>0</v>
          </cell>
          <cell r="K599">
            <v>0</v>
          </cell>
          <cell r="L599">
            <v>0</v>
          </cell>
          <cell r="M599">
            <v>0</v>
          </cell>
        </row>
        <row r="600">
          <cell r="D600">
            <v>8975</v>
          </cell>
          <cell r="E600" t="str">
            <v>少数股东权益_结转重新计量设定受益计划净负债或净资产所产生的变动</v>
          </cell>
          <cell r="F600">
            <v>0</v>
          </cell>
          <cell r="G600">
            <v>0</v>
          </cell>
          <cell r="H600">
            <v>0</v>
          </cell>
          <cell r="I600">
            <v>0</v>
          </cell>
          <cell r="J600">
            <v>0</v>
          </cell>
          <cell r="K600">
            <v>0</v>
          </cell>
          <cell r="L600">
            <v>0</v>
          </cell>
          <cell r="M600">
            <v>0</v>
          </cell>
        </row>
        <row r="601">
          <cell r="D601">
            <v>8976</v>
          </cell>
          <cell r="E601" t="str">
            <v>少数股东权益_所有者权益其他内部结转</v>
          </cell>
          <cell r="F601">
            <v>0</v>
          </cell>
          <cell r="G601">
            <v>0</v>
          </cell>
          <cell r="H601">
            <v>0</v>
          </cell>
          <cell r="I601">
            <v>0</v>
          </cell>
          <cell r="J601">
            <v>0</v>
          </cell>
          <cell r="K601">
            <v>0</v>
          </cell>
          <cell r="L601">
            <v>0</v>
          </cell>
          <cell r="M601">
            <v>0</v>
          </cell>
        </row>
        <row r="602">
          <cell r="D602">
            <v>8980</v>
          </cell>
          <cell r="E602" t="str">
            <v>少数股东权益_专项储备影响权益</v>
          </cell>
          <cell r="F602">
            <v>0</v>
          </cell>
          <cell r="G602">
            <v>0</v>
          </cell>
          <cell r="H602">
            <v>0</v>
          </cell>
          <cell r="I602">
            <v>0</v>
          </cell>
          <cell r="J602">
            <v>0</v>
          </cell>
          <cell r="K602">
            <v>0</v>
          </cell>
          <cell r="L602">
            <v>0</v>
          </cell>
          <cell r="M602">
            <v>0</v>
          </cell>
        </row>
        <row r="603">
          <cell r="D603">
            <v>8981</v>
          </cell>
          <cell r="E603" t="str">
            <v>少数股东权益_专项储备本期提取</v>
          </cell>
          <cell r="F603">
            <v>0</v>
          </cell>
          <cell r="G603">
            <v>0</v>
          </cell>
          <cell r="H603">
            <v>0</v>
          </cell>
          <cell r="I603">
            <v>0</v>
          </cell>
          <cell r="J603">
            <v>0</v>
          </cell>
          <cell r="K603">
            <v>0</v>
          </cell>
          <cell r="L603">
            <v>0</v>
          </cell>
          <cell r="M603">
            <v>0</v>
          </cell>
        </row>
        <row r="604">
          <cell r="D604">
            <v>8982</v>
          </cell>
          <cell r="E604" t="str">
            <v>少数股东权益_专项储备本期使用</v>
          </cell>
          <cell r="F604">
            <v>0</v>
          </cell>
          <cell r="G604">
            <v>0</v>
          </cell>
          <cell r="H604">
            <v>0</v>
          </cell>
          <cell r="I604">
            <v>0</v>
          </cell>
          <cell r="J604">
            <v>0</v>
          </cell>
          <cell r="K604">
            <v>0</v>
          </cell>
          <cell r="L604">
            <v>0</v>
          </cell>
          <cell r="M604">
            <v>0</v>
          </cell>
        </row>
        <row r="605">
          <cell r="D605">
            <v>8996</v>
          </cell>
          <cell r="E605" t="str">
            <v>少数股东权益_本期其他增减变动</v>
          </cell>
          <cell r="F605">
            <v>0</v>
          </cell>
          <cell r="G605">
            <v>0</v>
          </cell>
          <cell r="H605">
            <v>0</v>
          </cell>
          <cell r="I605">
            <v>0</v>
          </cell>
          <cell r="J605">
            <v>0</v>
          </cell>
          <cell r="K605">
            <v>0</v>
          </cell>
          <cell r="L605">
            <v>0</v>
          </cell>
          <cell r="M605">
            <v>0</v>
          </cell>
        </row>
        <row r="606">
          <cell r="D606">
            <v>8999</v>
          </cell>
          <cell r="E606" t="str">
            <v>少数股东权益_本期期末余额</v>
          </cell>
          <cell r="F606">
            <v>0</v>
          </cell>
          <cell r="G606">
            <v>0</v>
          </cell>
          <cell r="H606">
            <v>0</v>
          </cell>
          <cell r="I606">
            <v>0</v>
          </cell>
          <cell r="J606">
            <v>0</v>
          </cell>
          <cell r="K606">
            <v>0</v>
          </cell>
          <cell r="L606">
            <v>0</v>
          </cell>
          <cell r="M606">
            <v>0</v>
          </cell>
        </row>
        <row r="607">
          <cell r="D607">
            <v>7</v>
          </cell>
          <cell r="E607" t="str">
            <v>现金流量表</v>
          </cell>
          <cell r="F607">
            <v>0</v>
          </cell>
          <cell r="G607">
            <v>0</v>
          </cell>
          <cell r="H607">
            <v>0</v>
          </cell>
          <cell r="I607">
            <v>0</v>
          </cell>
          <cell r="J607">
            <v>0</v>
          </cell>
          <cell r="K607">
            <v>0</v>
          </cell>
          <cell r="L607">
            <v>0</v>
          </cell>
          <cell r="M607">
            <v>0</v>
          </cell>
        </row>
        <row r="608">
          <cell r="D608">
            <v>7000</v>
          </cell>
          <cell r="E608" t="str">
            <v>经营活动现金流量项目</v>
          </cell>
          <cell r="F608">
            <v>0</v>
          </cell>
          <cell r="G608">
            <v>0</v>
          </cell>
          <cell r="H608">
            <v>0</v>
          </cell>
          <cell r="I608">
            <v>0</v>
          </cell>
          <cell r="J608">
            <v>0</v>
          </cell>
          <cell r="K608">
            <v>0</v>
          </cell>
          <cell r="L608">
            <v>0</v>
          </cell>
          <cell r="M608">
            <v>0</v>
          </cell>
        </row>
        <row r="609">
          <cell r="D609">
            <v>7001</v>
          </cell>
          <cell r="E609" t="str">
            <v>销售商品提供劳务收到的现金</v>
          </cell>
          <cell r="F609">
            <v>1571000605.05</v>
          </cell>
          <cell r="G609">
            <v>0</v>
          </cell>
          <cell r="H609">
            <v>0</v>
          </cell>
          <cell r="I609">
            <v>1571000605.05</v>
          </cell>
          <cell r="J609">
            <v>1129339231.51</v>
          </cell>
          <cell r="K609">
            <v>0</v>
          </cell>
          <cell r="L609">
            <v>0</v>
          </cell>
          <cell r="M609">
            <v>1129339231.51</v>
          </cell>
        </row>
        <row r="610">
          <cell r="D610">
            <v>7011</v>
          </cell>
          <cell r="E610" t="str">
            <v>客户存款和同业存放款项净增加额</v>
          </cell>
          <cell r="F610">
            <v>0</v>
          </cell>
          <cell r="G610">
            <v>0</v>
          </cell>
          <cell r="H610">
            <v>0</v>
          </cell>
          <cell r="I610">
            <v>0</v>
          </cell>
          <cell r="J610">
            <v>0</v>
          </cell>
          <cell r="K610">
            <v>0</v>
          </cell>
          <cell r="L610">
            <v>0</v>
          </cell>
          <cell r="M610">
            <v>0</v>
          </cell>
        </row>
        <row r="611">
          <cell r="D611">
            <v>7012</v>
          </cell>
          <cell r="E611" t="str">
            <v>向中央银行借款净增加额</v>
          </cell>
          <cell r="F611">
            <v>0</v>
          </cell>
          <cell r="G611">
            <v>0</v>
          </cell>
          <cell r="H611">
            <v>0</v>
          </cell>
          <cell r="I611">
            <v>0</v>
          </cell>
          <cell r="J611">
            <v>0</v>
          </cell>
          <cell r="K611">
            <v>0</v>
          </cell>
          <cell r="L611">
            <v>0</v>
          </cell>
          <cell r="M611">
            <v>0</v>
          </cell>
        </row>
        <row r="612">
          <cell r="D612">
            <v>7013</v>
          </cell>
          <cell r="E612" t="str">
            <v>向其他金融机构拆入资金净增加额</v>
          </cell>
          <cell r="F612">
            <v>0</v>
          </cell>
          <cell r="G612">
            <v>0</v>
          </cell>
          <cell r="H612">
            <v>0</v>
          </cell>
          <cell r="I612">
            <v>0</v>
          </cell>
          <cell r="J612">
            <v>0</v>
          </cell>
          <cell r="K612">
            <v>0</v>
          </cell>
          <cell r="L612">
            <v>0</v>
          </cell>
          <cell r="M612">
            <v>0</v>
          </cell>
        </row>
        <row r="613">
          <cell r="D613">
            <v>7014</v>
          </cell>
          <cell r="E613" t="str">
            <v>收到原保险合同保费取得的现金</v>
          </cell>
          <cell r="F613">
            <v>0</v>
          </cell>
          <cell r="G613">
            <v>0</v>
          </cell>
          <cell r="H613">
            <v>0</v>
          </cell>
          <cell r="I613">
            <v>0</v>
          </cell>
          <cell r="J613">
            <v>0</v>
          </cell>
          <cell r="K613">
            <v>0</v>
          </cell>
          <cell r="L613">
            <v>0</v>
          </cell>
          <cell r="M613">
            <v>0</v>
          </cell>
        </row>
        <row r="614">
          <cell r="D614">
            <v>7015</v>
          </cell>
          <cell r="E614" t="str">
            <v>收到再保险业务现金净额</v>
          </cell>
          <cell r="F614">
            <v>0</v>
          </cell>
          <cell r="G614">
            <v>0</v>
          </cell>
          <cell r="H614">
            <v>0</v>
          </cell>
          <cell r="I614">
            <v>0</v>
          </cell>
          <cell r="J614">
            <v>0</v>
          </cell>
          <cell r="K614">
            <v>0</v>
          </cell>
          <cell r="L614">
            <v>0</v>
          </cell>
          <cell r="M614">
            <v>0</v>
          </cell>
        </row>
        <row r="615">
          <cell r="D615">
            <v>7016</v>
          </cell>
          <cell r="E615" t="str">
            <v>保户储金及投资款净增加额</v>
          </cell>
          <cell r="F615">
            <v>0</v>
          </cell>
          <cell r="G615">
            <v>0</v>
          </cell>
          <cell r="H615">
            <v>0</v>
          </cell>
          <cell r="I615">
            <v>0</v>
          </cell>
          <cell r="J615">
            <v>0</v>
          </cell>
          <cell r="K615">
            <v>0</v>
          </cell>
          <cell r="L615">
            <v>0</v>
          </cell>
          <cell r="M615">
            <v>0</v>
          </cell>
        </row>
        <row r="616">
          <cell r="D616">
            <v>7021</v>
          </cell>
          <cell r="E616" t="str">
            <v>处置交易性金融资产净增加额</v>
          </cell>
          <cell r="F616">
            <v>0</v>
          </cell>
          <cell r="G616">
            <v>0</v>
          </cell>
          <cell r="H616">
            <v>0</v>
          </cell>
          <cell r="I616">
            <v>0</v>
          </cell>
          <cell r="J616">
            <v>0</v>
          </cell>
          <cell r="K616">
            <v>0</v>
          </cell>
          <cell r="L616">
            <v>0</v>
          </cell>
          <cell r="M616">
            <v>0</v>
          </cell>
        </row>
        <row r="617">
          <cell r="D617">
            <v>7023</v>
          </cell>
          <cell r="E617" t="str">
            <v>收取利息手续费及佣金的现金</v>
          </cell>
          <cell r="F617">
            <v>0</v>
          </cell>
          <cell r="G617">
            <v>0</v>
          </cell>
          <cell r="H617">
            <v>0</v>
          </cell>
          <cell r="I617">
            <v>0</v>
          </cell>
          <cell r="J617">
            <v>0</v>
          </cell>
          <cell r="K617">
            <v>0</v>
          </cell>
          <cell r="L617">
            <v>0</v>
          </cell>
          <cell r="M617">
            <v>0</v>
          </cell>
        </row>
        <row r="618">
          <cell r="D618">
            <v>7025</v>
          </cell>
          <cell r="E618" t="str">
            <v>拆入资金净增加额</v>
          </cell>
          <cell r="F618">
            <v>0</v>
          </cell>
          <cell r="G618">
            <v>0</v>
          </cell>
          <cell r="H618">
            <v>0</v>
          </cell>
          <cell r="I618">
            <v>0</v>
          </cell>
          <cell r="J618">
            <v>0</v>
          </cell>
          <cell r="K618">
            <v>0</v>
          </cell>
          <cell r="L618">
            <v>0</v>
          </cell>
          <cell r="M618">
            <v>0</v>
          </cell>
        </row>
        <row r="619">
          <cell r="D619">
            <v>7026</v>
          </cell>
          <cell r="E619" t="str">
            <v>回购业务资金净增加额</v>
          </cell>
          <cell r="F619">
            <v>0</v>
          </cell>
          <cell r="G619">
            <v>0</v>
          </cell>
          <cell r="H619">
            <v>0</v>
          </cell>
          <cell r="I619">
            <v>0</v>
          </cell>
          <cell r="J619">
            <v>0</v>
          </cell>
          <cell r="K619">
            <v>0</v>
          </cell>
          <cell r="L619">
            <v>0</v>
          </cell>
          <cell r="M619">
            <v>0</v>
          </cell>
        </row>
        <row r="620">
          <cell r="D620">
            <v>7031</v>
          </cell>
          <cell r="E620" t="str">
            <v>收到的税费返还</v>
          </cell>
          <cell r="F620">
            <v>0</v>
          </cell>
          <cell r="G620">
            <v>0</v>
          </cell>
          <cell r="H620">
            <v>0</v>
          </cell>
          <cell r="I620">
            <v>0</v>
          </cell>
          <cell r="J620">
            <v>0</v>
          </cell>
          <cell r="K620">
            <v>0</v>
          </cell>
          <cell r="L620">
            <v>0</v>
          </cell>
          <cell r="M620">
            <v>0</v>
          </cell>
        </row>
        <row r="621">
          <cell r="D621">
            <v>7046</v>
          </cell>
          <cell r="E621" t="str">
            <v>收到其他与经营活动有关的现金</v>
          </cell>
          <cell r="F621">
            <v>68377950.099999994</v>
          </cell>
          <cell r="G621">
            <v>0</v>
          </cell>
          <cell r="H621">
            <v>0</v>
          </cell>
          <cell r="I621">
            <v>68377950.099999994</v>
          </cell>
          <cell r="J621">
            <v>33931131.859999999</v>
          </cell>
          <cell r="K621">
            <v>0</v>
          </cell>
          <cell r="L621">
            <v>0</v>
          </cell>
          <cell r="M621">
            <v>33931131.859999999</v>
          </cell>
        </row>
        <row r="622">
          <cell r="D622">
            <v>7048</v>
          </cell>
          <cell r="E622" t="str">
            <v>经营活动现金流入</v>
          </cell>
          <cell r="F622">
            <v>1639378555.1500001</v>
          </cell>
          <cell r="G622">
            <v>0</v>
          </cell>
          <cell r="H622">
            <v>0</v>
          </cell>
          <cell r="I622">
            <v>1639378555.1500001</v>
          </cell>
          <cell r="J622">
            <v>1163270363.3699999</v>
          </cell>
          <cell r="K622">
            <v>0</v>
          </cell>
          <cell r="L622">
            <v>0</v>
          </cell>
          <cell r="M622">
            <v>1163270363.3699999</v>
          </cell>
        </row>
        <row r="623">
          <cell r="D623">
            <v>7051</v>
          </cell>
          <cell r="E623" t="str">
            <v>购买商品接受劳务支付的现金</v>
          </cell>
          <cell r="F623">
            <v>734728986.13</v>
          </cell>
          <cell r="G623">
            <v>0</v>
          </cell>
          <cell r="H623">
            <v>0</v>
          </cell>
          <cell r="I623">
            <v>734728986.13</v>
          </cell>
          <cell r="J623">
            <v>464599931.12</v>
          </cell>
          <cell r="K623">
            <v>0</v>
          </cell>
          <cell r="L623">
            <v>0</v>
          </cell>
          <cell r="M623">
            <v>464599931.12</v>
          </cell>
        </row>
        <row r="624">
          <cell r="D624">
            <v>7053</v>
          </cell>
          <cell r="E624" t="str">
            <v>客户贷款及垫款净增加额</v>
          </cell>
          <cell r="F624">
            <v>0</v>
          </cell>
          <cell r="G624">
            <v>0</v>
          </cell>
          <cell r="H624">
            <v>0</v>
          </cell>
          <cell r="I624">
            <v>0</v>
          </cell>
          <cell r="J624">
            <v>0</v>
          </cell>
          <cell r="K624">
            <v>0</v>
          </cell>
          <cell r="L624">
            <v>0</v>
          </cell>
          <cell r="M624">
            <v>0</v>
          </cell>
        </row>
        <row r="625">
          <cell r="D625">
            <v>7054</v>
          </cell>
          <cell r="E625" t="str">
            <v>存放中央银行和同业款项净增加额</v>
          </cell>
          <cell r="F625">
            <v>0</v>
          </cell>
          <cell r="G625">
            <v>0</v>
          </cell>
          <cell r="H625">
            <v>0</v>
          </cell>
          <cell r="I625">
            <v>0</v>
          </cell>
          <cell r="J625">
            <v>0</v>
          </cell>
          <cell r="K625">
            <v>0</v>
          </cell>
          <cell r="L625">
            <v>0</v>
          </cell>
          <cell r="M625">
            <v>0</v>
          </cell>
        </row>
        <row r="626">
          <cell r="D626">
            <v>7055</v>
          </cell>
          <cell r="E626" t="str">
            <v>支付原保险合同赔付款项的现金</v>
          </cell>
          <cell r="F626">
            <v>0</v>
          </cell>
          <cell r="G626">
            <v>0</v>
          </cell>
          <cell r="H626">
            <v>0</v>
          </cell>
          <cell r="I626">
            <v>0</v>
          </cell>
          <cell r="J626">
            <v>0</v>
          </cell>
          <cell r="K626">
            <v>0</v>
          </cell>
          <cell r="L626">
            <v>0</v>
          </cell>
          <cell r="M626">
            <v>0</v>
          </cell>
        </row>
        <row r="627">
          <cell r="D627">
            <v>7056</v>
          </cell>
          <cell r="E627" t="str">
            <v>支付利息手续费及佣金的现金</v>
          </cell>
          <cell r="F627">
            <v>0</v>
          </cell>
          <cell r="G627">
            <v>0</v>
          </cell>
          <cell r="H627">
            <v>0</v>
          </cell>
          <cell r="I627">
            <v>0</v>
          </cell>
          <cell r="J627">
            <v>0</v>
          </cell>
          <cell r="K627">
            <v>0</v>
          </cell>
          <cell r="L627">
            <v>0</v>
          </cell>
          <cell r="M627">
            <v>0</v>
          </cell>
        </row>
        <row r="628">
          <cell r="D628">
            <v>7057</v>
          </cell>
          <cell r="E628" t="str">
            <v>支付保单红利的现金</v>
          </cell>
          <cell r="F628">
            <v>0</v>
          </cell>
          <cell r="G628">
            <v>0</v>
          </cell>
          <cell r="H628">
            <v>0</v>
          </cell>
          <cell r="I628">
            <v>0</v>
          </cell>
          <cell r="J628">
            <v>0</v>
          </cell>
          <cell r="K628">
            <v>0</v>
          </cell>
          <cell r="L628">
            <v>0</v>
          </cell>
          <cell r="M628">
            <v>0</v>
          </cell>
        </row>
        <row r="629">
          <cell r="D629">
            <v>7061</v>
          </cell>
          <cell r="E629" t="str">
            <v>支付给职工以及为职工支付的现金</v>
          </cell>
          <cell r="F629">
            <v>417002624.35000002</v>
          </cell>
          <cell r="G629">
            <v>0</v>
          </cell>
          <cell r="H629">
            <v>0</v>
          </cell>
          <cell r="I629">
            <v>417002624.35000002</v>
          </cell>
          <cell r="J629">
            <v>376557148.45999998</v>
          </cell>
          <cell r="K629">
            <v>0</v>
          </cell>
          <cell r="L629">
            <v>0</v>
          </cell>
          <cell r="M629">
            <v>376557148.45999998</v>
          </cell>
        </row>
        <row r="630">
          <cell r="D630">
            <v>7071</v>
          </cell>
          <cell r="E630" t="str">
            <v>支付的各项税费</v>
          </cell>
          <cell r="F630">
            <v>114313475.2</v>
          </cell>
          <cell r="G630">
            <v>0</v>
          </cell>
          <cell r="H630">
            <v>0</v>
          </cell>
          <cell r="I630">
            <v>114313475.2</v>
          </cell>
          <cell r="J630">
            <v>85193024.099999994</v>
          </cell>
          <cell r="K630">
            <v>0</v>
          </cell>
          <cell r="L630">
            <v>0</v>
          </cell>
          <cell r="M630">
            <v>85193024.099999994</v>
          </cell>
        </row>
        <row r="631">
          <cell r="D631">
            <v>7096</v>
          </cell>
          <cell r="E631" t="str">
            <v>支付其他与经营活动有关的现金</v>
          </cell>
          <cell r="F631">
            <v>156580403.63999999</v>
          </cell>
          <cell r="G631">
            <v>0</v>
          </cell>
          <cell r="H631">
            <v>0</v>
          </cell>
          <cell r="I631">
            <v>156580403.63999999</v>
          </cell>
          <cell r="J631">
            <v>174929562.5</v>
          </cell>
          <cell r="K631">
            <v>0</v>
          </cell>
          <cell r="L631">
            <v>0</v>
          </cell>
          <cell r="M631">
            <v>174929562.5</v>
          </cell>
        </row>
        <row r="632">
          <cell r="D632">
            <v>7098</v>
          </cell>
          <cell r="E632" t="str">
            <v>经营活动现金流出</v>
          </cell>
          <cell r="F632">
            <v>1422625489.3199999</v>
          </cell>
          <cell r="G632">
            <v>0</v>
          </cell>
          <cell r="H632">
            <v>0</v>
          </cell>
          <cell r="I632">
            <v>1422625489.3199999</v>
          </cell>
          <cell r="J632">
            <v>1101279666.1800001</v>
          </cell>
          <cell r="K632">
            <v>0</v>
          </cell>
          <cell r="L632">
            <v>0</v>
          </cell>
          <cell r="M632">
            <v>1101279666.1800001</v>
          </cell>
        </row>
        <row r="633">
          <cell r="D633">
            <v>7099</v>
          </cell>
          <cell r="E633" t="str">
            <v>经营活动产生的现金流量净额</v>
          </cell>
          <cell r="F633">
            <v>216753065.83000001</v>
          </cell>
          <cell r="G633">
            <v>0</v>
          </cell>
          <cell r="H633">
            <v>0</v>
          </cell>
          <cell r="I633">
            <v>216753065.83000001</v>
          </cell>
          <cell r="J633">
            <v>61990697.189999998</v>
          </cell>
          <cell r="K633">
            <v>0</v>
          </cell>
          <cell r="L633">
            <v>0</v>
          </cell>
          <cell r="M633">
            <v>61990697.189999998</v>
          </cell>
        </row>
        <row r="634">
          <cell r="D634">
            <v>7100</v>
          </cell>
          <cell r="E634" t="str">
            <v>投资活动现金流量项目</v>
          </cell>
          <cell r="F634">
            <v>0</v>
          </cell>
          <cell r="G634">
            <v>0</v>
          </cell>
          <cell r="H634">
            <v>0</v>
          </cell>
          <cell r="I634">
            <v>0</v>
          </cell>
          <cell r="J634">
            <v>0</v>
          </cell>
          <cell r="K634">
            <v>0</v>
          </cell>
          <cell r="L634">
            <v>0</v>
          </cell>
          <cell r="M634">
            <v>0</v>
          </cell>
        </row>
        <row r="635">
          <cell r="D635">
            <v>7101</v>
          </cell>
          <cell r="E635" t="str">
            <v>收回投资收到的现金</v>
          </cell>
          <cell r="F635">
            <v>484900000</v>
          </cell>
          <cell r="G635">
            <v>0</v>
          </cell>
          <cell r="H635">
            <v>0</v>
          </cell>
          <cell r="I635">
            <v>484900000</v>
          </cell>
          <cell r="J635">
            <v>560000000</v>
          </cell>
          <cell r="K635">
            <v>0</v>
          </cell>
          <cell r="L635">
            <v>0</v>
          </cell>
          <cell r="M635">
            <v>560000000</v>
          </cell>
        </row>
        <row r="636">
          <cell r="D636">
            <v>7105</v>
          </cell>
          <cell r="E636" t="str">
            <v>取得投资收益收到的现金</v>
          </cell>
          <cell r="F636">
            <v>23781266.25</v>
          </cell>
          <cell r="G636">
            <v>0</v>
          </cell>
          <cell r="H636">
            <v>0</v>
          </cell>
          <cell r="I636">
            <v>23781266.25</v>
          </cell>
          <cell r="J636">
            <v>16297301.34</v>
          </cell>
          <cell r="K636">
            <v>0</v>
          </cell>
          <cell r="L636">
            <v>0</v>
          </cell>
          <cell r="M636">
            <v>16297301.34</v>
          </cell>
        </row>
        <row r="637">
          <cell r="D637">
            <v>7111</v>
          </cell>
          <cell r="E637" t="str">
            <v>处置固定资产无形资产长期资产收回的现金</v>
          </cell>
          <cell r="F637">
            <v>1996228.7</v>
          </cell>
          <cell r="G637">
            <v>0</v>
          </cell>
          <cell r="H637">
            <v>0</v>
          </cell>
          <cell r="I637">
            <v>1996228.7</v>
          </cell>
          <cell r="J637">
            <v>1652556.6</v>
          </cell>
          <cell r="K637">
            <v>0</v>
          </cell>
          <cell r="L637">
            <v>0</v>
          </cell>
          <cell r="M637">
            <v>1652556.6</v>
          </cell>
        </row>
        <row r="638">
          <cell r="D638">
            <v>7121</v>
          </cell>
          <cell r="E638" t="str">
            <v>处置子公司及其他营业单位收到的现金净额</v>
          </cell>
          <cell r="F638">
            <v>0</v>
          </cell>
          <cell r="G638">
            <v>0</v>
          </cell>
          <cell r="H638">
            <v>0</v>
          </cell>
          <cell r="I638">
            <v>0</v>
          </cell>
          <cell r="J638">
            <v>0</v>
          </cell>
          <cell r="K638">
            <v>0</v>
          </cell>
          <cell r="L638">
            <v>0</v>
          </cell>
          <cell r="M638">
            <v>0</v>
          </cell>
        </row>
        <row r="639">
          <cell r="D639">
            <v>7146</v>
          </cell>
          <cell r="E639" t="str">
            <v>收到其他与投资活动有关的现金</v>
          </cell>
          <cell r="F639">
            <v>0</v>
          </cell>
          <cell r="G639">
            <v>0</v>
          </cell>
          <cell r="H639">
            <v>0</v>
          </cell>
          <cell r="I639">
            <v>0</v>
          </cell>
          <cell r="J639">
            <v>0</v>
          </cell>
          <cell r="K639">
            <v>0</v>
          </cell>
          <cell r="L639">
            <v>0</v>
          </cell>
          <cell r="M639">
            <v>0</v>
          </cell>
        </row>
        <row r="640">
          <cell r="D640">
            <v>7148</v>
          </cell>
          <cell r="E640" t="str">
            <v>投资活动现金流入</v>
          </cell>
          <cell r="F640">
            <v>510677494.94999999</v>
          </cell>
          <cell r="G640">
            <v>0</v>
          </cell>
          <cell r="H640">
            <v>0</v>
          </cell>
          <cell r="I640">
            <v>510677494.94999999</v>
          </cell>
          <cell r="J640">
            <v>577949857.94000006</v>
          </cell>
          <cell r="K640">
            <v>0</v>
          </cell>
          <cell r="L640">
            <v>0</v>
          </cell>
          <cell r="M640">
            <v>577949857.94000006</v>
          </cell>
        </row>
        <row r="641">
          <cell r="D641">
            <v>7151</v>
          </cell>
          <cell r="E641" t="str">
            <v>购置固定资产无形资产长期资产支付的现金</v>
          </cell>
          <cell r="F641">
            <v>40825116.159999996</v>
          </cell>
          <cell r="G641">
            <v>0</v>
          </cell>
          <cell r="H641">
            <v>0</v>
          </cell>
          <cell r="I641">
            <v>40825116.159999996</v>
          </cell>
          <cell r="J641">
            <v>42519626.329999998</v>
          </cell>
          <cell r="K641">
            <v>0</v>
          </cell>
          <cell r="L641">
            <v>0</v>
          </cell>
          <cell r="M641">
            <v>42519626.329999998</v>
          </cell>
        </row>
        <row r="642">
          <cell r="D642">
            <v>7161</v>
          </cell>
          <cell r="E642" t="str">
            <v>投资支付的现金</v>
          </cell>
          <cell r="F642">
            <v>412875000</v>
          </cell>
          <cell r="G642">
            <v>0</v>
          </cell>
          <cell r="H642">
            <v>0</v>
          </cell>
          <cell r="I642">
            <v>412875000</v>
          </cell>
          <cell r="J642">
            <v>591400000</v>
          </cell>
          <cell r="K642">
            <v>0</v>
          </cell>
          <cell r="L642">
            <v>0</v>
          </cell>
          <cell r="M642">
            <v>591400000</v>
          </cell>
        </row>
        <row r="643">
          <cell r="D643">
            <v>7165</v>
          </cell>
          <cell r="E643" t="str">
            <v>质押贷款净增加额</v>
          </cell>
          <cell r="F643">
            <v>0</v>
          </cell>
          <cell r="G643">
            <v>0</v>
          </cell>
          <cell r="H643">
            <v>0</v>
          </cell>
          <cell r="I643">
            <v>0</v>
          </cell>
          <cell r="J643">
            <v>0</v>
          </cell>
          <cell r="K643">
            <v>0</v>
          </cell>
          <cell r="L643">
            <v>0</v>
          </cell>
          <cell r="M643">
            <v>0</v>
          </cell>
        </row>
        <row r="644">
          <cell r="D644">
            <v>7171</v>
          </cell>
          <cell r="E644" t="str">
            <v>取得子公司及其他营业单位支付的现金净额</v>
          </cell>
          <cell r="F644">
            <v>111183867.95</v>
          </cell>
          <cell r="G644">
            <v>0</v>
          </cell>
          <cell r="H644">
            <v>0</v>
          </cell>
          <cell r="I644">
            <v>111183867.95</v>
          </cell>
          <cell r="J644">
            <v>274996288.02999997</v>
          </cell>
          <cell r="K644">
            <v>0</v>
          </cell>
          <cell r="L644">
            <v>0</v>
          </cell>
          <cell r="M644">
            <v>274996288.02999997</v>
          </cell>
        </row>
        <row r="645">
          <cell r="D645">
            <v>7196</v>
          </cell>
          <cell r="E645" t="str">
            <v>支付其他与投资活动有关的现金</v>
          </cell>
          <cell r="F645">
            <v>0</v>
          </cell>
          <cell r="G645">
            <v>0</v>
          </cell>
          <cell r="H645">
            <v>0</v>
          </cell>
          <cell r="I645">
            <v>0</v>
          </cell>
          <cell r="J645">
            <v>0</v>
          </cell>
          <cell r="K645">
            <v>0</v>
          </cell>
          <cell r="L645">
            <v>0</v>
          </cell>
          <cell r="M645">
            <v>0</v>
          </cell>
        </row>
        <row r="646">
          <cell r="D646">
            <v>7198</v>
          </cell>
          <cell r="E646" t="str">
            <v>投资活动现金流出</v>
          </cell>
          <cell r="F646">
            <v>564883984.11000001</v>
          </cell>
          <cell r="G646">
            <v>0</v>
          </cell>
          <cell r="H646">
            <v>0</v>
          </cell>
          <cell r="I646">
            <v>564883984.11000001</v>
          </cell>
          <cell r="J646">
            <v>908915914.36000001</v>
          </cell>
          <cell r="K646">
            <v>0</v>
          </cell>
          <cell r="L646">
            <v>0</v>
          </cell>
          <cell r="M646">
            <v>908915914.36000001</v>
          </cell>
        </row>
        <row r="647">
          <cell r="D647">
            <v>7199</v>
          </cell>
          <cell r="E647" t="str">
            <v>投资活动产生的现金流量净额</v>
          </cell>
          <cell r="F647">
            <v>-54206489.159999996</v>
          </cell>
          <cell r="G647">
            <v>0</v>
          </cell>
          <cell r="H647">
            <v>0</v>
          </cell>
          <cell r="I647">
            <v>-54206489.159999996</v>
          </cell>
          <cell r="J647">
            <v>-330966056.42000002</v>
          </cell>
          <cell r="K647">
            <v>0</v>
          </cell>
          <cell r="L647">
            <v>0</v>
          </cell>
          <cell r="M647">
            <v>-330966056.42000002</v>
          </cell>
        </row>
        <row r="648">
          <cell r="D648">
            <v>7200</v>
          </cell>
          <cell r="E648" t="str">
            <v>筹资活动现金流量项目</v>
          </cell>
          <cell r="F648">
            <v>0</v>
          </cell>
          <cell r="G648">
            <v>0</v>
          </cell>
          <cell r="H648">
            <v>0</v>
          </cell>
          <cell r="I648">
            <v>0</v>
          </cell>
          <cell r="J648">
            <v>0</v>
          </cell>
          <cell r="K648">
            <v>0</v>
          </cell>
          <cell r="L648">
            <v>0</v>
          </cell>
          <cell r="M648">
            <v>0</v>
          </cell>
        </row>
        <row r="649">
          <cell r="D649">
            <v>7201</v>
          </cell>
          <cell r="E649" t="str">
            <v>吸收投资收到的现金</v>
          </cell>
          <cell r="F649">
            <v>0</v>
          </cell>
          <cell r="G649">
            <v>0</v>
          </cell>
          <cell r="H649">
            <v>0</v>
          </cell>
          <cell r="I649">
            <v>0</v>
          </cell>
          <cell r="J649">
            <v>0</v>
          </cell>
          <cell r="K649">
            <v>0</v>
          </cell>
          <cell r="L649">
            <v>0</v>
          </cell>
          <cell r="M649">
            <v>0</v>
          </cell>
        </row>
        <row r="650">
          <cell r="D650">
            <v>7201.01</v>
          </cell>
          <cell r="E650" t="str">
            <v>子公司吸收少数股东投资收到的现金</v>
          </cell>
          <cell r="F650">
            <v>0</v>
          </cell>
          <cell r="G650">
            <v>0</v>
          </cell>
          <cell r="H650">
            <v>0</v>
          </cell>
          <cell r="I650">
            <v>0</v>
          </cell>
          <cell r="J650">
            <v>0</v>
          </cell>
          <cell r="K650">
            <v>0</v>
          </cell>
          <cell r="L650">
            <v>0</v>
          </cell>
          <cell r="M650">
            <v>0</v>
          </cell>
        </row>
        <row r="651">
          <cell r="D651">
            <v>7211</v>
          </cell>
          <cell r="E651" t="str">
            <v>取得借款收到的现金</v>
          </cell>
          <cell r="F651">
            <v>200000000</v>
          </cell>
          <cell r="G651">
            <v>0</v>
          </cell>
          <cell r="H651">
            <v>0</v>
          </cell>
          <cell r="I651">
            <v>200000000</v>
          </cell>
          <cell r="J651">
            <v>245000000</v>
          </cell>
          <cell r="K651">
            <v>0</v>
          </cell>
          <cell r="L651">
            <v>0</v>
          </cell>
          <cell r="M651">
            <v>245000000</v>
          </cell>
        </row>
        <row r="652">
          <cell r="D652">
            <v>7221</v>
          </cell>
          <cell r="E652" t="str">
            <v>发行债券收到的现金</v>
          </cell>
          <cell r="F652">
            <v>0</v>
          </cell>
          <cell r="G652">
            <v>0</v>
          </cell>
          <cell r="H652">
            <v>0</v>
          </cell>
          <cell r="I652">
            <v>0</v>
          </cell>
          <cell r="J652">
            <v>0</v>
          </cell>
          <cell r="K652">
            <v>0</v>
          </cell>
          <cell r="L652">
            <v>0</v>
          </cell>
          <cell r="M652">
            <v>0</v>
          </cell>
        </row>
        <row r="653">
          <cell r="D653">
            <v>7246</v>
          </cell>
          <cell r="E653" t="str">
            <v>收到其他与筹资活动有关的现金</v>
          </cell>
          <cell r="F653">
            <v>0</v>
          </cell>
          <cell r="G653">
            <v>0</v>
          </cell>
          <cell r="H653">
            <v>0</v>
          </cell>
          <cell r="I653">
            <v>0</v>
          </cell>
          <cell r="J653">
            <v>0</v>
          </cell>
          <cell r="K653">
            <v>0</v>
          </cell>
          <cell r="L653">
            <v>0</v>
          </cell>
          <cell r="M653">
            <v>0</v>
          </cell>
        </row>
        <row r="654">
          <cell r="D654">
            <v>7248</v>
          </cell>
          <cell r="E654" t="str">
            <v>筹资活动现金流入</v>
          </cell>
          <cell r="F654">
            <v>200000000</v>
          </cell>
          <cell r="G654">
            <v>0</v>
          </cell>
          <cell r="H654">
            <v>0</v>
          </cell>
          <cell r="I654">
            <v>200000000</v>
          </cell>
          <cell r="J654">
            <v>245000000</v>
          </cell>
          <cell r="K654">
            <v>0</v>
          </cell>
          <cell r="L654">
            <v>0</v>
          </cell>
          <cell r="M654">
            <v>245000000</v>
          </cell>
        </row>
        <row r="655">
          <cell r="D655">
            <v>7251</v>
          </cell>
          <cell r="E655" t="str">
            <v>偿还债务支付的现金</v>
          </cell>
          <cell r="F655">
            <v>195000000</v>
          </cell>
          <cell r="G655">
            <v>0</v>
          </cell>
          <cell r="H655">
            <v>0</v>
          </cell>
          <cell r="I655">
            <v>195000000</v>
          </cell>
          <cell r="J655">
            <v>50000000</v>
          </cell>
          <cell r="K655">
            <v>0</v>
          </cell>
          <cell r="L655">
            <v>0</v>
          </cell>
          <cell r="M655">
            <v>50000000</v>
          </cell>
        </row>
        <row r="656">
          <cell r="D656">
            <v>7261</v>
          </cell>
          <cell r="E656" t="str">
            <v>分配利润偿付利息支付的现金</v>
          </cell>
          <cell r="F656">
            <v>59659992.07</v>
          </cell>
          <cell r="G656">
            <v>0</v>
          </cell>
          <cell r="H656">
            <v>0</v>
          </cell>
          <cell r="I656">
            <v>59659992.07</v>
          </cell>
          <cell r="J656">
            <v>44675004.729999997</v>
          </cell>
          <cell r="K656">
            <v>0</v>
          </cell>
          <cell r="L656">
            <v>0</v>
          </cell>
          <cell r="M656">
            <v>44675004.729999997</v>
          </cell>
        </row>
        <row r="657">
          <cell r="D657">
            <v>7261.01</v>
          </cell>
          <cell r="E657" t="str">
            <v>子公司支付少数股东的现金股利</v>
          </cell>
          <cell r="F657">
            <v>0</v>
          </cell>
          <cell r="G657">
            <v>0</v>
          </cell>
          <cell r="H657">
            <v>0</v>
          </cell>
          <cell r="I657">
            <v>0</v>
          </cell>
          <cell r="J657">
            <v>0</v>
          </cell>
          <cell r="K657">
            <v>0</v>
          </cell>
          <cell r="L657">
            <v>0</v>
          </cell>
          <cell r="M657">
            <v>0</v>
          </cell>
        </row>
        <row r="658">
          <cell r="D658">
            <v>7296</v>
          </cell>
          <cell r="E658" t="str">
            <v>支付其他与筹资活动有关的现金</v>
          </cell>
          <cell r="F658">
            <v>0</v>
          </cell>
          <cell r="G658">
            <v>0</v>
          </cell>
          <cell r="H658">
            <v>0</v>
          </cell>
          <cell r="I658">
            <v>0</v>
          </cell>
          <cell r="J658">
            <v>0</v>
          </cell>
          <cell r="K658">
            <v>0</v>
          </cell>
          <cell r="L658">
            <v>0</v>
          </cell>
          <cell r="M658">
            <v>0</v>
          </cell>
        </row>
        <row r="659">
          <cell r="D659">
            <v>7296.11</v>
          </cell>
          <cell r="E659" t="str">
            <v>子公司减资支付给少数股东的现金</v>
          </cell>
          <cell r="F659">
            <v>0</v>
          </cell>
          <cell r="G659">
            <v>0</v>
          </cell>
          <cell r="H659">
            <v>0</v>
          </cell>
          <cell r="I659">
            <v>0</v>
          </cell>
          <cell r="J659">
            <v>0</v>
          </cell>
          <cell r="K659">
            <v>0</v>
          </cell>
          <cell r="L659">
            <v>0</v>
          </cell>
          <cell r="M659">
            <v>0</v>
          </cell>
        </row>
        <row r="660">
          <cell r="D660">
            <v>7298</v>
          </cell>
          <cell r="E660" t="str">
            <v>筹资活动现金流出</v>
          </cell>
          <cell r="F660">
            <v>254659992.06999999</v>
          </cell>
          <cell r="G660">
            <v>0</v>
          </cell>
          <cell r="H660">
            <v>0</v>
          </cell>
          <cell r="I660">
            <v>254659992.06999999</v>
          </cell>
          <cell r="J660">
            <v>94675004.730000004</v>
          </cell>
          <cell r="K660">
            <v>0</v>
          </cell>
          <cell r="L660">
            <v>0</v>
          </cell>
          <cell r="M660">
            <v>94675004.730000004</v>
          </cell>
        </row>
        <row r="661">
          <cell r="D661">
            <v>7299</v>
          </cell>
          <cell r="E661" t="str">
            <v>筹资活动产生的现金流量净额</v>
          </cell>
          <cell r="F661">
            <v>-54659992.07</v>
          </cell>
          <cell r="G661">
            <v>0</v>
          </cell>
          <cell r="H661">
            <v>0</v>
          </cell>
          <cell r="I661">
            <v>-54659992.07</v>
          </cell>
          <cell r="J661">
            <v>150324995.27000001</v>
          </cell>
          <cell r="K661">
            <v>0</v>
          </cell>
          <cell r="L661">
            <v>0</v>
          </cell>
          <cell r="M661">
            <v>150324995.27000001</v>
          </cell>
        </row>
        <row r="662">
          <cell r="D662">
            <v>7309</v>
          </cell>
          <cell r="E662" t="str">
            <v>汇率变动对现金及现金等价物的影响</v>
          </cell>
          <cell r="F662">
            <v>65576.77</v>
          </cell>
          <cell r="G662">
            <v>0</v>
          </cell>
          <cell r="H662">
            <v>0</v>
          </cell>
          <cell r="I662">
            <v>65576.77</v>
          </cell>
          <cell r="J662">
            <v>15261.77</v>
          </cell>
          <cell r="K662">
            <v>0</v>
          </cell>
          <cell r="L662">
            <v>0</v>
          </cell>
          <cell r="M662">
            <v>15261.77</v>
          </cell>
        </row>
        <row r="663">
          <cell r="D663">
            <v>7348</v>
          </cell>
          <cell r="E663" t="str">
            <v>现金及现金等价物净增加额</v>
          </cell>
          <cell r="F663">
            <v>107952161.37</v>
          </cell>
          <cell r="G663">
            <v>0</v>
          </cell>
          <cell r="H663">
            <v>0</v>
          </cell>
          <cell r="I663">
            <v>107952161.37</v>
          </cell>
          <cell r="J663">
            <v>-118635102.19</v>
          </cell>
          <cell r="K663">
            <v>0</v>
          </cell>
          <cell r="L663">
            <v>0</v>
          </cell>
          <cell r="M663">
            <v>-118635102.19</v>
          </cell>
        </row>
        <row r="664">
          <cell r="D664">
            <v>7349</v>
          </cell>
          <cell r="E664" t="str">
            <v>期初现金及现金等价物余额</v>
          </cell>
          <cell r="F664">
            <v>432495654.86000001</v>
          </cell>
          <cell r="G664">
            <v>0</v>
          </cell>
          <cell r="H664">
            <v>0</v>
          </cell>
          <cell r="I664">
            <v>432495654.86000001</v>
          </cell>
          <cell r="J664">
            <v>551130757.04999995</v>
          </cell>
          <cell r="K664">
            <v>0</v>
          </cell>
          <cell r="L664">
            <v>0</v>
          </cell>
          <cell r="M664">
            <v>551130757.04999995</v>
          </cell>
        </row>
        <row r="665">
          <cell r="D665">
            <v>7399</v>
          </cell>
          <cell r="E665" t="str">
            <v>期末现金及现金等价物余额</v>
          </cell>
          <cell r="F665">
            <v>540447816.23000002</v>
          </cell>
          <cell r="G665">
            <v>0</v>
          </cell>
          <cell r="H665">
            <v>0</v>
          </cell>
          <cell r="I665">
            <v>540447816.23000002</v>
          </cell>
          <cell r="J665">
            <v>432495654.86000001</v>
          </cell>
          <cell r="K665">
            <v>0</v>
          </cell>
          <cell r="L665">
            <v>0</v>
          </cell>
          <cell r="M665">
            <v>432495654.86000001</v>
          </cell>
        </row>
        <row r="666">
          <cell r="D666">
            <v>19</v>
          </cell>
          <cell r="E666" t="str">
            <v>资产负债表补充资料：资产减值准备</v>
          </cell>
          <cell r="F666">
            <v>0</v>
          </cell>
          <cell r="G666">
            <v>0</v>
          </cell>
          <cell r="H666">
            <v>0</v>
          </cell>
          <cell r="I666">
            <v>0</v>
          </cell>
          <cell r="J666">
            <v>0</v>
          </cell>
          <cell r="K666">
            <v>0</v>
          </cell>
          <cell r="L666">
            <v>0</v>
          </cell>
          <cell r="M666">
            <v>0</v>
          </cell>
        </row>
        <row r="667">
          <cell r="D667">
            <v>1122.1231</v>
          </cell>
          <cell r="E667" t="str">
            <v>应收账款坏账准备</v>
          </cell>
          <cell r="F667">
            <v>0</v>
          </cell>
          <cell r="G667">
            <v>0</v>
          </cell>
          <cell r="H667">
            <v>600696.06000000006</v>
          </cell>
          <cell r="I667">
            <v>600696.06000000006</v>
          </cell>
          <cell r="J667">
            <v>0</v>
          </cell>
          <cell r="K667">
            <v>0</v>
          </cell>
          <cell r="L667">
            <v>0</v>
          </cell>
          <cell r="M667">
            <v>0</v>
          </cell>
        </row>
        <row r="668">
          <cell r="D668">
            <v>1125.1231</v>
          </cell>
          <cell r="E668" t="str">
            <v>预付款项坏账准备</v>
          </cell>
          <cell r="F668">
            <v>0</v>
          </cell>
          <cell r="G668">
            <v>0</v>
          </cell>
          <cell r="H668">
            <v>0</v>
          </cell>
          <cell r="I668">
            <v>0</v>
          </cell>
          <cell r="J668">
            <v>0</v>
          </cell>
          <cell r="K668">
            <v>0</v>
          </cell>
          <cell r="L668">
            <v>0</v>
          </cell>
          <cell r="M668">
            <v>0</v>
          </cell>
        </row>
        <row r="669">
          <cell r="D669">
            <v>1221.1231</v>
          </cell>
          <cell r="E669" t="str">
            <v>其他应收款坏账准备</v>
          </cell>
          <cell r="F669">
            <v>0</v>
          </cell>
          <cell r="G669">
            <v>0</v>
          </cell>
          <cell r="H669">
            <v>0</v>
          </cell>
          <cell r="I669">
            <v>0</v>
          </cell>
          <cell r="J669">
            <v>0</v>
          </cell>
          <cell r="K669">
            <v>0</v>
          </cell>
          <cell r="L669">
            <v>0</v>
          </cell>
          <cell r="M669">
            <v>0</v>
          </cell>
        </row>
        <row r="670">
          <cell r="D670">
            <v>1400.1470999999999</v>
          </cell>
          <cell r="E670" t="str">
            <v>存货跌价准备</v>
          </cell>
          <cell r="F670">
            <v>0</v>
          </cell>
          <cell r="G670">
            <v>0</v>
          </cell>
          <cell r="H670">
            <v>-691939.54</v>
          </cell>
          <cell r="I670">
            <v>-691939.54</v>
          </cell>
          <cell r="J670">
            <v>0</v>
          </cell>
          <cell r="K670">
            <v>0</v>
          </cell>
          <cell r="L670">
            <v>0</v>
          </cell>
          <cell r="M670">
            <v>0</v>
          </cell>
        </row>
        <row r="671">
          <cell r="D671">
            <v>1503.1504</v>
          </cell>
          <cell r="E671" t="str">
            <v>可供出售金融资产减值准备</v>
          </cell>
          <cell r="F671">
            <v>0</v>
          </cell>
          <cell r="G671">
            <v>0</v>
          </cell>
          <cell r="H671">
            <v>0</v>
          </cell>
          <cell r="I671">
            <v>0</v>
          </cell>
          <cell r="J671">
            <v>0</v>
          </cell>
          <cell r="K671">
            <v>0</v>
          </cell>
          <cell r="L671">
            <v>0</v>
          </cell>
          <cell r="M671">
            <v>0</v>
          </cell>
        </row>
        <row r="672">
          <cell r="D672">
            <v>1501.1502</v>
          </cell>
          <cell r="E672" t="str">
            <v>持有至到期投资减值准备</v>
          </cell>
          <cell r="F672">
            <v>0</v>
          </cell>
          <cell r="G672">
            <v>0</v>
          </cell>
          <cell r="H672">
            <v>0</v>
          </cell>
          <cell r="I672">
            <v>0</v>
          </cell>
          <cell r="J672">
            <v>0</v>
          </cell>
          <cell r="K672">
            <v>0</v>
          </cell>
          <cell r="L672">
            <v>0</v>
          </cell>
          <cell r="M672">
            <v>0</v>
          </cell>
        </row>
        <row r="673">
          <cell r="D673">
            <v>1511.1512</v>
          </cell>
          <cell r="E673" t="str">
            <v>长期股权投资减值准备</v>
          </cell>
          <cell r="F673">
            <v>0</v>
          </cell>
          <cell r="G673">
            <v>0</v>
          </cell>
          <cell r="H673">
            <v>0</v>
          </cell>
          <cell r="I673">
            <v>0</v>
          </cell>
          <cell r="J673">
            <v>0</v>
          </cell>
          <cell r="K673">
            <v>0</v>
          </cell>
          <cell r="L673">
            <v>0</v>
          </cell>
          <cell r="M673">
            <v>0</v>
          </cell>
        </row>
        <row r="674">
          <cell r="D674">
            <v>1521.1522</v>
          </cell>
          <cell r="E674" t="str">
            <v>投资性房地产减值准备</v>
          </cell>
          <cell r="F674">
            <v>0</v>
          </cell>
          <cell r="G674">
            <v>0</v>
          </cell>
          <cell r="H674">
            <v>0</v>
          </cell>
          <cell r="I674">
            <v>0</v>
          </cell>
          <cell r="J674">
            <v>0</v>
          </cell>
          <cell r="K674">
            <v>0</v>
          </cell>
          <cell r="L674">
            <v>0</v>
          </cell>
          <cell r="M674">
            <v>0</v>
          </cell>
        </row>
        <row r="675">
          <cell r="D675">
            <v>1601.1603</v>
          </cell>
          <cell r="E675" t="str">
            <v>固定资产减值准备</v>
          </cell>
          <cell r="F675">
            <v>0</v>
          </cell>
          <cell r="G675">
            <v>0</v>
          </cell>
          <cell r="H675">
            <v>0</v>
          </cell>
          <cell r="I675">
            <v>0</v>
          </cell>
          <cell r="J675">
            <v>0</v>
          </cell>
          <cell r="K675">
            <v>0</v>
          </cell>
          <cell r="L675">
            <v>0</v>
          </cell>
          <cell r="M675">
            <v>0</v>
          </cell>
        </row>
        <row r="676">
          <cell r="D676">
            <v>1605.1608000000001</v>
          </cell>
          <cell r="E676" t="str">
            <v>工程物资减值准备</v>
          </cell>
          <cell r="F676">
            <v>0</v>
          </cell>
          <cell r="G676">
            <v>0</v>
          </cell>
          <cell r="H676">
            <v>0</v>
          </cell>
          <cell r="I676">
            <v>0</v>
          </cell>
          <cell r="J676">
            <v>0</v>
          </cell>
          <cell r="K676">
            <v>0</v>
          </cell>
          <cell r="L676">
            <v>0</v>
          </cell>
          <cell r="M676">
            <v>0</v>
          </cell>
        </row>
        <row r="677">
          <cell r="D677">
            <v>1604.1606999999999</v>
          </cell>
          <cell r="E677" t="str">
            <v>在建工程减值准备</v>
          </cell>
          <cell r="F677">
            <v>0</v>
          </cell>
          <cell r="G677">
            <v>0</v>
          </cell>
          <cell r="H677">
            <v>0</v>
          </cell>
          <cell r="I677">
            <v>0</v>
          </cell>
          <cell r="J677">
            <v>0</v>
          </cell>
          <cell r="K677">
            <v>0</v>
          </cell>
          <cell r="L677">
            <v>0</v>
          </cell>
          <cell r="M677">
            <v>0</v>
          </cell>
        </row>
        <row r="678">
          <cell r="D678">
            <v>1621.1623999999999</v>
          </cell>
          <cell r="E678" t="str">
            <v>生产性生物资产减值准备</v>
          </cell>
          <cell r="F678">
            <v>0</v>
          </cell>
          <cell r="G678">
            <v>0</v>
          </cell>
          <cell r="H678">
            <v>0</v>
          </cell>
          <cell r="I678">
            <v>0</v>
          </cell>
          <cell r="J678">
            <v>0</v>
          </cell>
          <cell r="K678">
            <v>0</v>
          </cell>
          <cell r="L678">
            <v>0</v>
          </cell>
          <cell r="M678">
            <v>0</v>
          </cell>
        </row>
        <row r="679">
          <cell r="D679">
            <v>1631.1632999999999</v>
          </cell>
          <cell r="E679" t="str">
            <v>油气资产减值准备</v>
          </cell>
          <cell r="F679">
            <v>0</v>
          </cell>
          <cell r="G679">
            <v>0</v>
          </cell>
          <cell r="H679">
            <v>0</v>
          </cell>
          <cell r="I679">
            <v>0</v>
          </cell>
          <cell r="J679">
            <v>0</v>
          </cell>
          <cell r="K679">
            <v>0</v>
          </cell>
          <cell r="L679">
            <v>0</v>
          </cell>
          <cell r="M679">
            <v>0</v>
          </cell>
        </row>
        <row r="680">
          <cell r="D680">
            <v>1701.1703</v>
          </cell>
          <cell r="E680" t="str">
            <v>无形资产减值准备</v>
          </cell>
          <cell r="F680">
            <v>0</v>
          </cell>
          <cell r="G680">
            <v>0</v>
          </cell>
          <cell r="H680">
            <v>0</v>
          </cell>
          <cell r="I680">
            <v>0</v>
          </cell>
          <cell r="J680">
            <v>0</v>
          </cell>
          <cell r="K680">
            <v>0</v>
          </cell>
          <cell r="L680">
            <v>0</v>
          </cell>
          <cell r="M680">
            <v>0</v>
          </cell>
        </row>
        <row r="681">
          <cell r="D681">
            <v>1711.1712</v>
          </cell>
          <cell r="E681" t="str">
            <v>商誉减值准备</v>
          </cell>
          <cell r="F681">
            <v>0</v>
          </cell>
          <cell r="G681">
            <v>0</v>
          </cell>
          <cell r="H681">
            <v>0</v>
          </cell>
          <cell r="I681">
            <v>0</v>
          </cell>
          <cell r="J681">
            <v>0</v>
          </cell>
          <cell r="K681">
            <v>0</v>
          </cell>
          <cell r="L681">
            <v>0</v>
          </cell>
          <cell r="M681">
            <v>0</v>
          </cell>
        </row>
        <row r="682">
          <cell r="D682">
            <v>1991.1992</v>
          </cell>
          <cell r="E682" t="str">
            <v>其他减值准备</v>
          </cell>
          <cell r="F682">
            <v>0</v>
          </cell>
          <cell r="G682">
            <v>0</v>
          </cell>
          <cell r="H682">
            <v>0</v>
          </cell>
          <cell r="I682">
            <v>0</v>
          </cell>
          <cell r="J682">
            <v>0</v>
          </cell>
          <cell r="K682">
            <v>0</v>
          </cell>
          <cell r="L682">
            <v>0</v>
          </cell>
          <cell r="M682">
            <v>0</v>
          </cell>
        </row>
        <row r="683">
          <cell r="D683">
            <v>1991</v>
          </cell>
          <cell r="E683" t="str">
            <v>资产减值准备</v>
          </cell>
          <cell r="F683">
            <v>0</v>
          </cell>
          <cell r="G683">
            <v>0</v>
          </cell>
          <cell r="H683">
            <v>-91243.48</v>
          </cell>
          <cell r="I683">
            <v>-91243.48</v>
          </cell>
          <cell r="J683">
            <v>0</v>
          </cell>
          <cell r="K683">
            <v>0</v>
          </cell>
          <cell r="L683">
            <v>0</v>
          </cell>
          <cell r="M683">
            <v>0</v>
          </cell>
        </row>
        <row r="684">
          <cell r="D684">
            <v>7500</v>
          </cell>
          <cell r="E684" t="str">
            <v>现金流量表补充资料</v>
          </cell>
          <cell r="F684">
            <v>0</v>
          </cell>
          <cell r="G684" t="str">
            <v>以下须手工调整，不从CFJE表取数</v>
          </cell>
          <cell r="H684">
            <v>0</v>
          </cell>
          <cell r="I684">
            <v>0</v>
          </cell>
          <cell r="J684">
            <v>0</v>
          </cell>
          <cell r="K684" t="str">
            <v>以下须手工调整，不从CFJE表取数</v>
          </cell>
          <cell r="L684">
            <v>0</v>
          </cell>
          <cell r="M684">
            <v>0</v>
          </cell>
        </row>
        <row r="685">
          <cell r="D685">
            <v>7501</v>
          </cell>
          <cell r="E685" t="str">
            <v>将净利润调节为经营活动现金流量</v>
          </cell>
          <cell r="F685">
            <v>0</v>
          </cell>
          <cell r="G685" t="str">
            <v>调增</v>
          </cell>
          <cell r="H685" t="str">
            <v>调减</v>
          </cell>
          <cell r="I685">
            <v>0</v>
          </cell>
          <cell r="J685">
            <v>0</v>
          </cell>
          <cell r="K685" t="str">
            <v>调增</v>
          </cell>
          <cell r="L685" t="str">
            <v>调减</v>
          </cell>
          <cell r="M685">
            <v>0</v>
          </cell>
        </row>
        <row r="686">
          <cell r="D686">
            <v>7502</v>
          </cell>
          <cell r="E686" t="str">
            <v>净利润金额</v>
          </cell>
          <cell r="F686">
            <v>149252701.22999999</v>
          </cell>
          <cell r="G686">
            <v>-5878302.5999999996</v>
          </cell>
          <cell r="H686">
            <v>0</v>
          </cell>
          <cell r="I686">
            <v>143374398.63</v>
          </cell>
          <cell r="J686">
            <v>133421841.95999999</v>
          </cell>
          <cell r="K686">
            <v>0</v>
          </cell>
          <cell r="L686">
            <v>0</v>
          </cell>
          <cell r="M686">
            <v>133421841.95999999</v>
          </cell>
        </row>
        <row r="687">
          <cell r="D687">
            <v>7503</v>
          </cell>
          <cell r="E687" t="str">
            <v>资产减值准备金额</v>
          </cell>
          <cell r="F687">
            <v>71811999.5</v>
          </cell>
          <cell r="G687">
            <v>0</v>
          </cell>
          <cell r="H687">
            <v>0</v>
          </cell>
          <cell r="I687">
            <v>71811999.5</v>
          </cell>
          <cell r="J687">
            <v>53140603.039999999</v>
          </cell>
          <cell r="K687">
            <v>0</v>
          </cell>
          <cell r="L687">
            <v>0</v>
          </cell>
          <cell r="M687">
            <v>53140603.039999999</v>
          </cell>
        </row>
        <row r="688">
          <cell r="D688">
            <v>7505</v>
          </cell>
          <cell r="E688" t="str">
            <v>固定资产折旧、油气资产折耗、生产性生物资产折旧</v>
          </cell>
          <cell r="F688">
            <v>18685289.219999999</v>
          </cell>
          <cell r="G688">
            <v>0</v>
          </cell>
          <cell r="H688">
            <v>0</v>
          </cell>
          <cell r="I688">
            <v>18685289.219999999</v>
          </cell>
          <cell r="J688">
            <v>18846036.890000001</v>
          </cell>
          <cell r="K688">
            <v>0</v>
          </cell>
          <cell r="L688">
            <v>0</v>
          </cell>
          <cell r="M688">
            <v>18846036.890000001</v>
          </cell>
        </row>
        <row r="689">
          <cell r="D689">
            <v>7506</v>
          </cell>
          <cell r="E689" t="str">
            <v>无形资产摊销</v>
          </cell>
          <cell r="F689">
            <v>4458654.68</v>
          </cell>
          <cell r="G689">
            <v>0</v>
          </cell>
          <cell r="H689">
            <v>0</v>
          </cell>
          <cell r="I689">
            <v>4458654.68</v>
          </cell>
          <cell r="J689">
            <v>2880801.31</v>
          </cell>
          <cell r="K689">
            <v>0</v>
          </cell>
          <cell r="L689">
            <v>0</v>
          </cell>
          <cell r="M689">
            <v>2880801.31</v>
          </cell>
        </row>
        <row r="690">
          <cell r="D690">
            <v>7507</v>
          </cell>
          <cell r="E690" t="str">
            <v>长期待摊费用摊销</v>
          </cell>
          <cell r="F690">
            <v>277459.27</v>
          </cell>
          <cell r="G690">
            <v>0</v>
          </cell>
          <cell r="H690">
            <v>0</v>
          </cell>
          <cell r="I690">
            <v>277459.27</v>
          </cell>
          <cell r="J690">
            <v>0</v>
          </cell>
          <cell r="K690">
            <v>0</v>
          </cell>
          <cell r="L690">
            <v>0</v>
          </cell>
          <cell r="M690">
            <v>0</v>
          </cell>
        </row>
        <row r="691">
          <cell r="D691">
            <v>7508</v>
          </cell>
          <cell r="E691" t="str">
            <v>处置固定资产、无形资产和其他长期资产的损失</v>
          </cell>
          <cell r="F691">
            <v>-1282966.81</v>
          </cell>
          <cell r="G691">
            <v>0</v>
          </cell>
          <cell r="H691">
            <v>0</v>
          </cell>
          <cell r="I691">
            <v>-1282966.81</v>
          </cell>
          <cell r="J691">
            <v>-23616.1</v>
          </cell>
          <cell r="K691">
            <v>0</v>
          </cell>
          <cell r="L691">
            <v>0</v>
          </cell>
          <cell r="M691">
            <v>-23616.1</v>
          </cell>
        </row>
        <row r="692">
          <cell r="D692">
            <v>7509</v>
          </cell>
          <cell r="E692" t="str">
            <v>固定资产报废损失</v>
          </cell>
          <cell r="F692">
            <v>0</v>
          </cell>
          <cell r="G692">
            <v>0</v>
          </cell>
          <cell r="H692">
            <v>0</v>
          </cell>
          <cell r="I692">
            <v>0</v>
          </cell>
          <cell r="J692">
            <v>0</v>
          </cell>
          <cell r="K692">
            <v>0</v>
          </cell>
          <cell r="L692">
            <v>0</v>
          </cell>
          <cell r="M692">
            <v>0</v>
          </cell>
        </row>
        <row r="693">
          <cell r="D693">
            <v>7510</v>
          </cell>
          <cell r="E693" t="str">
            <v>公允价值变动损失</v>
          </cell>
          <cell r="F693">
            <v>0</v>
          </cell>
          <cell r="G693">
            <v>0</v>
          </cell>
          <cell r="H693">
            <v>0</v>
          </cell>
          <cell r="I693">
            <v>0</v>
          </cell>
          <cell r="J693">
            <v>0</v>
          </cell>
          <cell r="K693">
            <v>0</v>
          </cell>
          <cell r="L693">
            <v>0</v>
          </cell>
          <cell r="M693">
            <v>0</v>
          </cell>
        </row>
        <row r="694">
          <cell r="D694">
            <v>7511</v>
          </cell>
          <cell r="E694" t="str">
            <v>财务费用金额</v>
          </cell>
          <cell r="F694">
            <v>7643302.8700000001</v>
          </cell>
          <cell r="G694">
            <v>0</v>
          </cell>
          <cell r="H694">
            <v>0</v>
          </cell>
          <cell r="I694">
            <v>7643302.8700000001</v>
          </cell>
          <cell r="J694">
            <v>8595215.1799999997</v>
          </cell>
          <cell r="K694">
            <v>0</v>
          </cell>
          <cell r="L694">
            <v>0</v>
          </cell>
          <cell r="M694">
            <v>8595215.1799999997</v>
          </cell>
        </row>
        <row r="695">
          <cell r="D695">
            <v>7512</v>
          </cell>
          <cell r="E695" t="str">
            <v>投资损失</v>
          </cell>
          <cell r="F695">
            <v>-27434500.620000001</v>
          </cell>
          <cell r="G695">
            <v>0</v>
          </cell>
          <cell r="H695">
            <v>0</v>
          </cell>
          <cell r="I695">
            <v>-27434500.620000001</v>
          </cell>
          <cell r="J695">
            <v>-19947082.23</v>
          </cell>
          <cell r="K695">
            <v>0</v>
          </cell>
          <cell r="L695">
            <v>0</v>
          </cell>
          <cell r="M695">
            <v>-19947082.23</v>
          </cell>
        </row>
        <row r="696">
          <cell r="D696">
            <v>7515</v>
          </cell>
          <cell r="E696" t="str">
            <v>递延所得税资产减少</v>
          </cell>
          <cell r="F696">
            <v>-10771799.93</v>
          </cell>
          <cell r="G696">
            <v>0</v>
          </cell>
          <cell r="H696">
            <v>0</v>
          </cell>
          <cell r="I696">
            <v>-10771799.93</v>
          </cell>
          <cell r="J696">
            <v>-7971090.46</v>
          </cell>
          <cell r="K696">
            <v>0</v>
          </cell>
          <cell r="L696">
            <v>0</v>
          </cell>
          <cell r="M696">
            <v>-7971090.46</v>
          </cell>
        </row>
        <row r="697">
          <cell r="D697">
            <v>7516</v>
          </cell>
          <cell r="E697" t="str">
            <v>递延所得税负债增加</v>
          </cell>
          <cell r="F697">
            <v>0</v>
          </cell>
          <cell r="G697">
            <v>0</v>
          </cell>
          <cell r="H697">
            <v>0</v>
          </cell>
          <cell r="I697">
            <v>0</v>
          </cell>
          <cell r="J697">
            <v>0</v>
          </cell>
          <cell r="K697">
            <v>0</v>
          </cell>
          <cell r="L697">
            <v>0</v>
          </cell>
          <cell r="M697">
            <v>0</v>
          </cell>
        </row>
        <row r="698">
          <cell r="D698">
            <v>7517</v>
          </cell>
          <cell r="E698" t="str">
            <v>存货的减少</v>
          </cell>
          <cell r="F698">
            <v>-24247637.379999999</v>
          </cell>
          <cell r="G698">
            <v>0</v>
          </cell>
          <cell r="H698">
            <v>0</v>
          </cell>
          <cell r="I698">
            <v>-24247637.379999999</v>
          </cell>
          <cell r="J698">
            <v>-104371845.54000001</v>
          </cell>
          <cell r="K698">
            <v>0</v>
          </cell>
          <cell r="L698">
            <v>0</v>
          </cell>
          <cell r="M698">
            <v>-104371845.54000001</v>
          </cell>
        </row>
        <row r="699">
          <cell r="D699">
            <v>7518</v>
          </cell>
          <cell r="E699" t="str">
            <v>经营性应收项目的减少</v>
          </cell>
          <cell r="F699">
            <v>-340601311.18000001</v>
          </cell>
          <cell r="G699">
            <v>0</v>
          </cell>
          <cell r="H699">
            <v>0</v>
          </cell>
          <cell r="I699">
            <v>-340601311.18000001</v>
          </cell>
          <cell r="J699">
            <v>-318103543.29000002</v>
          </cell>
          <cell r="K699">
            <v>0</v>
          </cell>
          <cell r="L699">
            <v>0</v>
          </cell>
          <cell r="M699">
            <v>-318103543.29000002</v>
          </cell>
        </row>
        <row r="700">
          <cell r="D700">
            <v>7519</v>
          </cell>
          <cell r="E700" t="str">
            <v>经营性应付项目的增加</v>
          </cell>
          <cell r="F700">
            <v>375131177.57999998</v>
          </cell>
          <cell r="G700">
            <v>0</v>
          </cell>
          <cell r="H700">
            <v>0</v>
          </cell>
          <cell r="I700">
            <v>375131177.57999998</v>
          </cell>
          <cell r="J700">
            <v>295814376.43000001</v>
          </cell>
          <cell r="K700">
            <v>0</v>
          </cell>
          <cell r="L700">
            <v>0</v>
          </cell>
          <cell r="M700">
            <v>295814376.43000001</v>
          </cell>
        </row>
        <row r="701">
          <cell r="D701">
            <v>7523</v>
          </cell>
          <cell r="E701" t="str">
            <v>其他将净利润调节为经营活动现金流量项目</v>
          </cell>
          <cell r="F701">
            <v>-291000</v>
          </cell>
          <cell r="G701">
            <v>0</v>
          </cell>
          <cell r="H701">
            <v>0</v>
          </cell>
          <cell r="I701">
            <v>-291000</v>
          </cell>
          <cell r="J701">
            <v>-291000</v>
          </cell>
          <cell r="K701">
            <v>0</v>
          </cell>
          <cell r="L701">
            <v>0</v>
          </cell>
          <cell r="M701">
            <v>-291000</v>
          </cell>
        </row>
        <row r="702">
          <cell r="D702">
            <v>7525</v>
          </cell>
          <cell r="E702" t="str">
            <v>经营活动产生的现金流量净额</v>
          </cell>
          <cell r="F702">
            <v>222631368.43000001</v>
          </cell>
          <cell r="G702">
            <v>-5878302.5999999996</v>
          </cell>
          <cell r="H702">
            <v>0</v>
          </cell>
          <cell r="I702">
            <v>216753065.83000001</v>
          </cell>
          <cell r="J702">
            <v>61990697.189999998</v>
          </cell>
          <cell r="K702">
            <v>0</v>
          </cell>
          <cell r="L702">
            <v>0</v>
          </cell>
          <cell r="M702">
            <v>61990697.189999998</v>
          </cell>
        </row>
        <row r="703">
          <cell r="D703">
            <v>7526</v>
          </cell>
          <cell r="E703" t="str">
            <v>不涉及现金收支的重大投资和筹资活动</v>
          </cell>
          <cell r="F703">
            <v>0</v>
          </cell>
          <cell r="G703">
            <v>0</v>
          </cell>
          <cell r="H703">
            <v>0</v>
          </cell>
          <cell r="I703">
            <v>0</v>
          </cell>
          <cell r="J703">
            <v>0</v>
          </cell>
          <cell r="K703">
            <v>0</v>
          </cell>
          <cell r="L703">
            <v>0</v>
          </cell>
          <cell r="M703">
            <v>0</v>
          </cell>
        </row>
        <row r="704">
          <cell r="D704">
            <v>7527</v>
          </cell>
          <cell r="E704" t="str">
            <v>债务转为资本</v>
          </cell>
          <cell r="F704">
            <v>0</v>
          </cell>
          <cell r="G704">
            <v>0</v>
          </cell>
          <cell r="H704">
            <v>0</v>
          </cell>
          <cell r="I704">
            <v>0</v>
          </cell>
          <cell r="J704">
            <v>0</v>
          </cell>
          <cell r="K704">
            <v>0</v>
          </cell>
          <cell r="L704">
            <v>0</v>
          </cell>
          <cell r="M704">
            <v>0</v>
          </cell>
        </row>
        <row r="705">
          <cell r="D705">
            <v>7528</v>
          </cell>
          <cell r="E705" t="str">
            <v>一年内到期的可转换公司债券</v>
          </cell>
          <cell r="F705">
            <v>0</v>
          </cell>
          <cell r="G705">
            <v>0</v>
          </cell>
          <cell r="H705">
            <v>0</v>
          </cell>
          <cell r="I705">
            <v>0</v>
          </cell>
          <cell r="J705">
            <v>0</v>
          </cell>
          <cell r="K705">
            <v>0</v>
          </cell>
          <cell r="L705">
            <v>0</v>
          </cell>
          <cell r="M705">
            <v>0</v>
          </cell>
        </row>
        <row r="706">
          <cell r="D706">
            <v>7529</v>
          </cell>
          <cell r="E706" t="str">
            <v>融资租入固定资产</v>
          </cell>
          <cell r="F706">
            <v>0</v>
          </cell>
          <cell r="G706">
            <v>0</v>
          </cell>
          <cell r="H706">
            <v>0</v>
          </cell>
          <cell r="I706">
            <v>0</v>
          </cell>
          <cell r="J706">
            <v>0</v>
          </cell>
          <cell r="K706">
            <v>0</v>
          </cell>
          <cell r="L706">
            <v>0</v>
          </cell>
          <cell r="M706">
            <v>0</v>
          </cell>
        </row>
        <row r="707">
          <cell r="D707">
            <v>7533</v>
          </cell>
          <cell r="E707" t="str">
            <v>现金及现金等价物净变动情况</v>
          </cell>
          <cell r="F707">
            <v>0</v>
          </cell>
          <cell r="G707">
            <v>0</v>
          </cell>
          <cell r="H707">
            <v>0</v>
          </cell>
          <cell r="I707">
            <v>0</v>
          </cell>
          <cell r="J707">
            <v>0</v>
          </cell>
          <cell r="K707">
            <v>0</v>
          </cell>
          <cell r="L707">
            <v>0</v>
          </cell>
          <cell r="M707">
            <v>0</v>
          </cell>
        </row>
        <row r="708">
          <cell r="D708">
            <v>7535</v>
          </cell>
          <cell r="E708" t="str">
            <v>现金的期末余额</v>
          </cell>
          <cell r="F708">
            <v>540447816.23000002</v>
          </cell>
          <cell r="G708">
            <v>0</v>
          </cell>
          <cell r="H708">
            <v>0</v>
          </cell>
          <cell r="I708">
            <v>540447816.23000002</v>
          </cell>
          <cell r="J708">
            <v>432495654.86000001</v>
          </cell>
          <cell r="K708">
            <v>0</v>
          </cell>
          <cell r="L708">
            <v>0</v>
          </cell>
          <cell r="M708">
            <v>432495654.86000001</v>
          </cell>
        </row>
        <row r="709">
          <cell r="D709">
            <v>7536</v>
          </cell>
          <cell r="E709" t="str">
            <v>减：现金的年初余额</v>
          </cell>
          <cell r="F709">
            <v>432495654.86000001</v>
          </cell>
          <cell r="G709">
            <v>0</v>
          </cell>
          <cell r="H709">
            <v>0</v>
          </cell>
          <cell r="I709">
            <v>432495654.86000001</v>
          </cell>
          <cell r="J709">
            <v>551130757.04999995</v>
          </cell>
          <cell r="K709">
            <v>0</v>
          </cell>
          <cell r="L709">
            <v>0</v>
          </cell>
          <cell r="M709">
            <v>551130757.04999995</v>
          </cell>
        </row>
        <row r="710">
          <cell r="D710">
            <v>7537</v>
          </cell>
          <cell r="E710" t="str">
            <v>加：现金等价物的期末余额</v>
          </cell>
          <cell r="F710">
            <v>0</v>
          </cell>
          <cell r="G710">
            <v>0</v>
          </cell>
          <cell r="H710">
            <v>0</v>
          </cell>
          <cell r="I710">
            <v>0</v>
          </cell>
          <cell r="J710">
            <v>0</v>
          </cell>
          <cell r="K710">
            <v>0</v>
          </cell>
          <cell r="L710">
            <v>0</v>
          </cell>
          <cell r="M710">
            <v>0</v>
          </cell>
        </row>
        <row r="711">
          <cell r="D711">
            <v>7538</v>
          </cell>
          <cell r="E711" t="str">
            <v>减：现金等价物的年初余额</v>
          </cell>
          <cell r="F711">
            <v>0</v>
          </cell>
          <cell r="G711">
            <v>0</v>
          </cell>
          <cell r="H711">
            <v>0</v>
          </cell>
          <cell r="I711">
            <v>0</v>
          </cell>
          <cell r="J711">
            <v>0</v>
          </cell>
          <cell r="K711">
            <v>0</v>
          </cell>
          <cell r="L711">
            <v>0</v>
          </cell>
          <cell r="M711">
            <v>0</v>
          </cell>
        </row>
        <row r="712">
          <cell r="D712">
            <v>7539</v>
          </cell>
          <cell r="E712" t="str">
            <v>现金及现金等价物净增加额</v>
          </cell>
          <cell r="F712">
            <v>107952161.37</v>
          </cell>
          <cell r="G712">
            <v>0</v>
          </cell>
          <cell r="H712">
            <v>0</v>
          </cell>
          <cell r="I712">
            <v>107952161.37</v>
          </cell>
          <cell r="J712">
            <v>-118635102.19</v>
          </cell>
          <cell r="K712">
            <v>0</v>
          </cell>
          <cell r="L712">
            <v>0</v>
          </cell>
          <cell r="M712">
            <v>-118635102.19</v>
          </cell>
        </row>
      </sheetData>
      <sheetData sheetId="40">
        <row r="2">
          <cell r="E2" t="str">
            <v>资产负债表</v>
          </cell>
        </row>
      </sheetData>
      <sheetData sheetId="41">
        <row r="2">
          <cell r="C2" t="str">
            <v>利润表</v>
          </cell>
        </row>
      </sheetData>
      <sheetData sheetId="42">
        <row r="17">
          <cell r="E17">
            <v>216753065.83000001</v>
          </cell>
        </row>
      </sheetData>
      <sheetData sheetId="43"/>
      <sheetData sheetId="44">
        <row r="8">
          <cell r="K8" t="str">
            <v>报表项目/一级科目</v>
          </cell>
        </row>
      </sheetData>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事项"/>
      <sheetName val="上海电气(集团)总公司下属公司清单"/>
      <sheetName val="集优公司清单"/>
      <sheetName val="A300-试算平衡表"/>
      <sheetName val="A310-现金流量表"/>
      <sheetName val="source"/>
    </sheetNames>
    <sheetDataSet>
      <sheetData sheetId="0">
        <row r="3">
          <cell r="M3" t="str">
            <v>上海通用轴承有限公司</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A1"/>
      <sheetName val="A2"/>
      <sheetName val="A3"/>
      <sheetName val="B"/>
      <sheetName val="C"/>
      <sheetName val="D"/>
      <sheetName val="E"/>
      <sheetName val="F1"/>
      <sheetName val="F2"/>
      <sheetName val="G"/>
      <sheetName val="H"/>
      <sheetName val="Revenue"/>
      <sheetName val="AIE"/>
      <sheetName val="AMECO"/>
      <sheetName val="AC-Finance"/>
      <sheetName val="Beijing Aviation Equipment"/>
      <sheetName val="Air China Express"/>
      <sheetName val="Beijing Aviation Passenger"/>
      <sheetName val="Beijing Phoenix"/>
      <sheetName val="Investment Holdings"/>
      <sheetName val="Catering"/>
      <sheetName val="China travel Air Ltd"/>
      <sheetName val="Shantou"/>
      <sheetName val="AMS Forward"/>
      <sheetName val="Shenzhen Airlines"/>
      <sheetName val="carpet"/>
      <sheetName val="Hotel Property"/>
      <sheetName val="Sheet1"/>
      <sheetName val="Sheet2"/>
      <sheetName val="Sheet3"/>
      <sheetName val="ARP"/>
      <sheetName val="Beijing Aviatiof Equipment"/>
      <sheetName val="AMS Fkrward"/>
      <sheetName val="DATA"/>
      <sheetName val="Vendor Data"/>
      <sheetName val="master"/>
      <sheetName val="source"/>
      <sheetName val="AB03_A3"/>
      <sheetName val="F301_FG list"/>
      <sheetName val="E1020"/>
      <sheetName val="员工工资"/>
      <sheetName val="dm"/>
      <sheetName val="N510-月趋势分析"/>
      <sheetName val="N110-吸收存款明细"/>
      <sheetName val="N420-同业存放-cut off-1231"/>
      <sheetName val="U10调整汇总"/>
      <sheetName val="表E_04-03-对公贷款清单"/>
      <sheetName val="E2910境内分行"/>
      <sheetName val="MA结果-update"/>
      <sheetName val="G102"/>
      <sheetName val="U_dis"/>
      <sheetName val="企业表一"/>
      <sheetName val="M-5C"/>
      <sheetName val="M-5A"/>
      <sheetName val="Beijing_Aviation_Equipment"/>
      <sheetName val="Air_China_Express"/>
      <sheetName val="Beijing_Aviation_Passenger"/>
      <sheetName val="Beijing_Phoenix"/>
      <sheetName val="Investment_Holdings"/>
      <sheetName val="China_travel_Air_Ltd"/>
      <sheetName val="AMS_Forward"/>
      <sheetName val="Shenzhen_Airlines"/>
      <sheetName val="Hotel_Property"/>
      <sheetName val="Beijing_Aviatiof_Equipment"/>
      <sheetName val="AMS_Fkrward"/>
      <sheetName val="Vendor_Data"/>
      <sheetName val="F301_FG_list"/>
      <sheetName val="K200-PRC"/>
      <sheetName val="A6"/>
      <sheetName val="note(1)"/>
      <sheetName val="accode"/>
      <sheetName val="Defer tax"/>
      <sheetName val="管理"/>
      <sheetName val="2002年收入成本明细表"/>
      <sheetName val="2003年收入数量金额明细表"/>
      <sheetName val="2003年收入成本明细表"/>
      <sheetName val="#511BkRec"/>
      <sheetName val="H R"/>
      <sheetName val="C1"/>
      <sheetName val="U102"/>
      <sheetName val="TB"/>
      <sheetName val="Shine Best con BS"/>
      <sheetName val="关联交易-存款"/>
      <sheetName val="ACTINV"/>
      <sheetName val="Beijing_Aviation_Equipment1"/>
      <sheetName val="Air_China_Express1"/>
      <sheetName val="Beijing_Aviation_Passenger1"/>
      <sheetName val="Beijing_Phoenix1"/>
      <sheetName val="Investment_Holdings1"/>
      <sheetName val="China_travel_Air_Ltd1"/>
      <sheetName val="AMS_Forward1"/>
      <sheetName val="Shenzhen_Airlines1"/>
      <sheetName val="Hotel_Property1"/>
      <sheetName val="Beijing_Aviatiof_Equipment1"/>
      <sheetName val="AMS_Fkrward1"/>
      <sheetName val="Variablen"/>
      <sheetName val="应收票据(关联方)(5)"/>
      <sheetName val="參數"/>
      <sheetName val="以前年度损益调整"/>
      <sheetName val="Cash_Flow"/>
      <sheetName val="Financial Statistics"/>
      <sheetName val="Balance"/>
      <sheetName val="Income"/>
      <sheetName val="Page 1"/>
      <sheetName val="Page 2"/>
      <sheetName val="Wuxi_-Adj-revised"/>
      <sheetName val="XL4Poppy"/>
      <sheetName val="EE_OPEX"/>
      <sheetName val="ARP-U501"/>
      <sheetName val="Pls do not delete"/>
      <sheetName val="Raw materials"/>
      <sheetName val="合并底稿-自营"/>
      <sheetName val="F1910"/>
      <sheetName val="A810-ASM"/>
      <sheetName val="上报资产负债表"/>
      <sheetName val="上报损益表"/>
      <sheetName val="现金流量表（月报）"/>
      <sheetName val="补充表"/>
      <sheetName val="Namelist"/>
      <sheetName val="敏感性"/>
      <sheetName val="2001预提费用"/>
      <sheetName val="N201"/>
      <sheetName val="E100"/>
      <sheetName val="N100"/>
      <sheetName val="STD. COST"/>
      <sheetName val="K311 A_List02"/>
      <sheetName val="TB2000"/>
      <sheetName val="TB2001"/>
      <sheetName val="A-13"/>
      <sheetName val="M_5A"/>
      <sheetName val="M_5C"/>
      <sheetName val="____"/>
      <sheetName val="F100"/>
      <sheetName val="A1000"/>
      <sheetName val="Trial Balance"/>
      <sheetName val="CA_new"/>
      <sheetName val="FF-6"/>
      <sheetName val="K200-FA list (2)"/>
      <sheetName val="Info. Request"/>
      <sheetName val="Calculations"/>
      <sheetName val="ExRates"/>
      <sheetName val="_x0000__x0000__x0000__x0000__x0000__x0000__x0000__x0000_"/>
      <sheetName val="tri02end"/>
      <sheetName val="SAD effects"/>
      <sheetName val="Collateral"/>
      <sheetName val="BALANCE SHEET"/>
      <sheetName val="&lt;H225-3&gt;"/>
      <sheetName val="#REF!"/>
      <sheetName val="_x005f_x0000__x005f_x0000__x005f_x0000__x005f_x0000__x0"/>
      <sheetName val="accumdeprn"/>
      <sheetName val="for ey reviewer 销售费用"/>
      <sheetName val="for ey reviewer 制造费用"/>
      <sheetName val="ZLR1"/>
      <sheetName val="153541"/>
      <sheetName val="AGRO-DATA"/>
      <sheetName val="µ|²vªí"/>
      <sheetName val="_2U03营业费用"/>
      <sheetName val="2001年营业费用"/>
      <sheetName val="2001 DTT ADJ"/>
      <sheetName val="A300"/>
      <sheetName val="Conso-FS(OK)"/>
      <sheetName val="资产负债表"/>
      <sheetName val="base"/>
      <sheetName val="detailed list info"/>
      <sheetName val="INVDAYS"/>
      <sheetName val="14.customer tiering客户升级"/>
      <sheetName val="????????"/>
      <sheetName val="A"/>
      <sheetName val="#REF"/>
      <sheetName val="Understand the client"/>
      <sheetName val="Bokslutsprocessen"/>
      <sheetName val="H101(OK)"/>
      <sheetName val="U401(OK)"/>
      <sheetName val="IMPORT"/>
      <sheetName val="Sch C-4"/>
      <sheetName val="Sch C-6"/>
      <sheetName val="Sch C-18"/>
      <sheetName val="Sch A-5.6"/>
      <sheetName val="Asset"/>
      <sheetName val="Liability"/>
      <sheetName val="F101"/>
      <sheetName val="KKKKKKKK"/>
      <sheetName val="總計(按月份)"/>
      <sheetName val="IncidentsEAP"/>
      <sheetName val="____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master"/>
      <sheetName val="Sheet1"/>
      <sheetName val="營業額比較表"/>
      <sheetName val="Sheet3"/>
      <sheetName val="Source"/>
      <sheetName val="accumdeprn"/>
      <sheetName val="Parameters"/>
      <sheetName val="E1020"/>
      <sheetName val="企业表一"/>
      <sheetName val="M-5C"/>
      <sheetName val="M-5A"/>
      <sheetName val="E101"/>
      <sheetName val="accode"/>
      <sheetName val="FF-6"/>
      <sheetName val="VAS TB"/>
      <sheetName val="F40-Goodsin transit"/>
      <sheetName val="SAD Conclusion"/>
      <sheetName val="其他营业收入调整"/>
      <sheetName val="2002年12月预"/>
      <sheetName val="本部审计调整"/>
      <sheetName val="TT04"/>
      <sheetName val="K110"/>
      <sheetName val="G210"/>
      <sheetName val="O111"/>
      <sheetName val="mat'lSH"/>
      <sheetName val="Pls do not delete"/>
      <sheetName val="APP6C"/>
      <sheetName val="Within"/>
      <sheetName val="F130&quot;"/>
      <sheetName val="WORDTAB"/>
      <sheetName val="Mapping table"/>
      <sheetName val="其他业务利润明细表"/>
      <sheetName val="投资收益明细表"/>
      <sheetName val="未交税金明细表"/>
      <sheetName val="AFEMAI"/>
      <sheetName val="DEP12"/>
      <sheetName val="I1"/>
      <sheetName val="FSA"/>
      <sheetName val="物料编码"/>
      <sheetName val="P300"/>
      <sheetName val="list"/>
      <sheetName val="NAME"/>
      <sheetName val="Data List"/>
      <sheetName val="关联交易-存款"/>
      <sheetName val="WORDs"/>
      <sheetName val="P500-预提费用明细表"/>
      <sheetName val="FDREPORT"/>
      <sheetName val="H101(OK)"/>
      <sheetName val="B?_x0000__x0000__x0000__x0000__x0000__x0000__x0000__x0000__x0000__x0000__x0000__x0000__x0000__x0000__x0000__x0000__x0000__x0000_"/>
      <sheetName val="B_x0000__x0000__x0000_Ⴜ0Ӌ痨_x0002__x0000_郢ሃΨ_x0000_ଊ痨郢ሃ_x001c_绺"/>
      <sheetName val="B8_x0000__x0000_Ⴌ4Ӌ瘠_x0002__x0000_ඦΨ_x0000_ଊ瘠ඦ_x001c_绺"/>
      <sheetName val="A包装物"/>
      <sheetName val="C包装物"/>
      <sheetName val="材料明细账"/>
      <sheetName val="B_"/>
      <sheetName val="B8"/>
      <sheetName val="F101"/>
      <sheetName val="Upload Templ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客户填表注意事项"/>
      <sheetName val="银行存款"/>
      <sheetName val="应收账款"/>
      <sheetName val="其它应收帐款"/>
      <sheetName val="贷款明细表"/>
      <sheetName val="贷款呆帐准备明细"/>
      <sheetName val="贷款帐龄分析"/>
      <sheetName val="存放中央银行款项"/>
      <sheetName val="存放同业款项"/>
      <sheetName val="抵押贷款"/>
      <sheetName val="贴现"/>
      <sheetName val="委托贷款及委托存款"/>
      <sheetName val="委托投资"/>
      <sheetName val="短期投资"/>
      <sheetName val="买入返售证券"/>
      <sheetName val="流动资金贷款"/>
      <sheetName val="呆帐准备金帐龄分析"/>
      <sheetName val="呆账准备金变动表"/>
      <sheetName val="呆账准备金变动明细"/>
      <sheetName val="中长期贷款"/>
      <sheetName val="逾期贷款"/>
      <sheetName val="长期投资汇总"/>
      <sheetName val="长期投资-股票投资或股权投资"/>
      <sheetName val="长期投资-债券投资"/>
      <sheetName val="长期投资-其他投资"/>
      <sheetName val="固定资产"/>
      <sheetName val="房屋及建筑物"/>
      <sheetName val="机器设备"/>
      <sheetName val="运输设备"/>
      <sheetName val="其他设备"/>
      <sheetName val="固定资产增加"/>
      <sheetName val="固定资产减少"/>
      <sheetName val="待处理固定资产"/>
      <sheetName val="在建工程"/>
      <sheetName val="递延资产"/>
      <sheetName val="集团内公司清单"/>
      <sheetName val="员工工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客户填表注意事项 "/>
      <sheetName val="试算平衡表2005"/>
      <sheetName val="试算平衡表2004"/>
      <sheetName val="现金流量表"/>
      <sheetName val="银行存款"/>
      <sheetName val="其他货币资金"/>
      <sheetName val="短期投资"/>
      <sheetName val="委托贷款"/>
      <sheetName val="应收票据"/>
      <sheetName val="应收票据2"/>
      <sheetName val="应收账款"/>
      <sheetName val="应收账款(质保金)－1"/>
      <sheetName val="应收账款(质保金)－2"/>
      <sheetName val="应收账款期后回款"/>
      <sheetName val="应收股利"/>
      <sheetName val="预付账款"/>
      <sheetName val="其它应收帐款"/>
      <sheetName val="应收补贴款 "/>
      <sheetName val="存货"/>
      <sheetName val="期后发货及领用"/>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清单"/>
    </sheetNames>
    <sheetDataSet>
      <sheetData sheetId="0">
        <row r="3">
          <cell r="A3" t="str">
            <v xml:space="preserve">     已抵押或被限制使用#</v>
          </cell>
          <cell r="B3" t="str">
            <v xml:space="preserve">    银行本票存款</v>
          </cell>
          <cell r="C3" t="str">
            <v>短期投资--上市股票投资</v>
          </cell>
          <cell r="P3" t="str">
            <v>差旅费</v>
          </cell>
        </row>
        <row r="4">
          <cell r="A4" t="str">
            <v xml:space="preserve">     未抵押及未被限制使用**</v>
          </cell>
          <cell r="B4" t="str">
            <v xml:space="preserve">    银行汇票存款</v>
          </cell>
          <cell r="C4" t="str">
            <v>短期投资--非上市股票投资</v>
          </cell>
          <cell r="P4" t="str">
            <v>购货抵押金</v>
          </cell>
        </row>
        <row r="5">
          <cell r="B5" t="str">
            <v xml:space="preserve">    信用证存款</v>
          </cell>
          <cell r="C5" t="str">
            <v>短期投资--上市债券投资</v>
          </cell>
          <cell r="P5" t="str">
            <v>水电专项</v>
          </cell>
        </row>
        <row r="6">
          <cell r="A6" t="str">
            <v xml:space="preserve">      -  活期存款</v>
          </cell>
          <cell r="B6" t="str">
            <v xml:space="preserve">    信用证保证金存款(&gt;3个月)</v>
          </cell>
          <cell r="C6" t="str">
            <v>短期投资--非上市债券投资</v>
          </cell>
          <cell r="P6" t="str">
            <v>诉讼费用</v>
          </cell>
        </row>
        <row r="7">
          <cell r="A7" t="str">
            <v xml:space="preserve">      -  存款定期小于3个月*:</v>
          </cell>
          <cell r="B7" t="str">
            <v xml:space="preserve">    在途货币资金</v>
          </cell>
          <cell r="C7" t="str">
            <v>短期投资--可转换债券投资</v>
          </cell>
          <cell r="P7" t="str">
            <v>法院扣款</v>
          </cell>
        </row>
        <row r="8">
          <cell r="A8" t="str">
            <v xml:space="preserve">      -  存款定期为3个月或长于3个月*:</v>
          </cell>
          <cell r="B8" t="str">
            <v xml:space="preserve">    银行承兑汇票保证金</v>
          </cell>
          <cell r="C8" t="str">
            <v>短期投资--国债</v>
          </cell>
          <cell r="P8" t="str">
            <v>三包索赔</v>
          </cell>
        </row>
        <row r="9">
          <cell r="B9" t="str">
            <v xml:space="preserve">    信用卡保证金存款</v>
          </cell>
          <cell r="C9" t="str">
            <v>短期投资--上市基金投资</v>
          </cell>
          <cell r="P9" t="str">
            <v>员工借款</v>
          </cell>
        </row>
        <row r="10">
          <cell r="B10" t="str">
            <v xml:space="preserve">    委托投资资金</v>
          </cell>
          <cell r="C10" t="str">
            <v>短期投资--非上市基金投资</v>
          </cell>
          <cell r="P10" t="str">
            <v>备用金</v>
          </cell>
        </row>
        <row r="11">
          <cell r="B11" t="str">
            <v xml:space="preserve">    存放于中央银行的储备金</v>
          </cell>
          <cell r="C11" t="str">
            <v>短期投资--委托贷款</v>
          </cell>
          <cell r="P11" t="str">
            <v>短期借款 （第三方）</v>
          </cell>
        </row>
        <row r="12">
          <cell r="P12" t="str">
            <v>托收款</v>
          </cell>
        </row>
        <row r="13">
          <cell r="P13" t="str">
            <v>住房公积金管理中心</v>
          </cell>
        </row>
        <row r="14">
          <cell r="P14" t="str">
            <v>保险公司预缴保费</v>
          </cell>
        </row>
        <row r="15">
          <cell r="P15" t="str">
            <v>社会保险费</v>
          </cell>
        </row>
        <row r="16">
          <cell r="P16" t="str">
            <v>银行代扣款</v>
          </cell>
        </row>
        <row r="17">
          <cell r="P17" t="str">
            <v>海关、税务局押金</v>
          </cell>
        </row>
        <row r="18">
          <cell r="P18" t="str">
            <v>一次性往来单位</v>
          </cell>
        </row>
        <row r="19">
          <cell r="P19" t="str">
            <v>押金</v>
          </cell>
        </row>
        <row r="20">
          <cell r="P20" t="str">
            <v>业务费</v>
          </cell>
        </row>
        <row r="21">
          <cell r="P21" t="str">
            <v>未抵扣多交税金</v>
          </cell>
        </row>
        <row r="22">
          <cell r="P22" t="str">
            <v>广告费</v>
          </cell>
        </row>
        <row r="23">
          <cell r="P23" t="str">
            <v>其他应收货款</v>
          </cell>
        </row>
        <row r="24">
          <cell r="P24" t="str">
            <v>借工程款未决算</v>
          </cell>
        </row>
        <row r="25">
          <cell r="P25" t="str">
            <v>暂估进项税</v>
          </cell>
        </row>
        <row r="26">
          <cell r="P26" t="str">
            <v>其他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6B"/>
      <sheetName val="TB Link"/>
      <sheetName val="SCTB"/>
      <sheetName val="TB"/>
      <sheetName val="D1-C"/>
      <sheetName val="D1QP"/>
      <sheetName val="D1"/>
      <sheetName val="P1"/>
      <sheetName val="P1A"/>
      <sheetName val="P2"/>
      <sheetName val="P2A"/>
      <sheetName val="P3"/>
      <sheetName val="P3D"/>
      <sheetName val="D1-A"/>
      <sheetName val="Meeting"/>
      <sheetName val="D1-A (3)"/>
      <sheetName val="D1-A (2)"/>
      <sheetName val="D2"/>
      <sheetName val="D2explain"/>
      <sheetName val="CIP"/>
      <sheetName val="D5"/>
      <sheetName val="D9"/>
      <sheetName val="S1"/>
      <sheetName val="Sheet2"/>
      <sheetName val="prod"/>
      <sheetName val="STK"/>
      <sheetName val="BS"/>
      <sheetName val="PL"/>
      <sheetName val="PL-Analyses"/>
      <sheetName val="D3"/>
      <sheetName val="P7-QS"/>
      <sheetName val="P7-QX"/>
      <sheetName val="P7-QZB"/>
      <sheetName val="P8"/>
      <sheetName val="R78"/>
      <sheetName val="master"/>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íÍâÊÂÏî"/>
      <sheetName val="±íÍâÏîÄ¿£­ÒøÐÐ³Ð¶Ò»ãÆ±£¨Íâ±Ò£©"/>
      <sheetName val="±íÍâÏîÄ¿-ÒøÐÐ³Ð¶Ò»ãÆ±£¨ÈËÃñ±Ò£©"/>
      <sheetName val="±íÍâÏîÄ¿-¿ª³ö±£Ö¤Æ¾ÐÅ"/>
      <sheetName val="±íÍâÏîÄ¿-¿ªÀ´±£Ö¤Æ¾ÐÅ"/>
      <sheetName val="±íÍâ--ÐÅÓÃÖ¤ÏîÏÂ³ö¿Ú¿îÏî"/>
      <sheetName val="±íÍâÓ¦ÊÕÀûÏ¢"/>
      <sheetName val="´û¿îÇ°Ê®Ãû"/>
      <sheetName val="ÔÙÌùÏÖ"/>
      <sheetName val="×ªÌùÏÖ"/>
      <sheetName val="ÄÉË°µ÷Õû±í"/>
      <sheetName val="Î´¾öËßËÏÊÂÏî"/>
      <sheetName val="·¿ÎÝ×âÁÞ³ÐÅµ"/>
      <sheetName val="Ó¦¸¶ÀûÏ¢£¨°²ÓÀ£©"/>
      <sheetName val="²ÆÎñ³ÐÅµ£¨°²ÓÀ£©"/>
      <sheetName val="´ôÕÊ×¼±¸(°²ÓÀ£©"/>
      <sheetName val="¹ØÁª½»Ò×-´æ¿î"/>
      <sheetName val="¹ØÁª½»Ò×-´û¿î"/>
      <sheetName val="¹ØÁª½»Ò×--×Ê²ú¸ºÕ®ÀàÏîÄ¿"/>
      <sheetName val="¹ØÁª½»Ò×-±íÍâ¼°ÆäËûÒµÎñ"/>
      <sheetName val="M-5C"/>
      <sheetName val="企业表一"/>
      <sheetName val="M-5A"/>
      <sheetName val="master"/>
      <sheetName val="CRA-Detail"/>
      <sheetName val="E1020"/>
      <sheetName val="设备部房屋"/>
      <sheetName val="B"/>
      <sheetName val="A.R 01"/>
      <sheetName val="U110"/>
      <sheetName val="上报资产负债表"/>
      <sheetName val="上报损益表"/>
      <sheetName val="现金流量表（月报）"/>
      <sheetName val="补充表"/>
      <sheetName val="Defer tax"/>
      <sheetName val="M_5A"/>
      <sheetName val="M_5C"/>
      <sheetName val="____"/>
      <sheetName val="法士特"/>
      <sheetName val="陕重汽"/>
      <sheetName val="株洲齿轮"/>
      <sheetName val="火炬进出口"/>
      <sheetName val="机械制造"/>
      <sheetName val="火炬房地产"/>
      <sheetName val="火花塞"/>
      <sheetName val="汽车密封"/>
      <sheetName val="汽车灯具"/>
      <sheetName val="汽车电器"/>
      <sheetName val="东风越野"/>
      <sheetName val="富通"/>
      <sheetName val="新疆进出口"/>
      <sheetName val="北京汇科盈"/>
      <sheetName val="上海和达"/>
      <sheetName val="MAT"/>
      <sheetName val="小合并"/>
      <sheetName val="??????¡¤???¡À¨ª"/>
      <sheetName val="ADJ Sum(console)"/>
      <sheetName val="??ユ-蹿"/>
      <sheetName val="??交易-存款"/>
      <sheetName val="______¡¤___¡À¨ª"/>
      <sheetName val="Source"/>
      <sheetName val="Estimated AP 9.03"/>
      <sheetName val="__ユ-蹿"/>
      <sheetName val="__交易-存款"/>
      <sheetName val="表三"/>
      <sheetName val="11-1"/>
      <sheetName val="P201(F)"/>
      <sheetName val="C100-现金"/>
      <sheetName val="eqpmad2"/>
      <sheetName val="CCTL"/>
      <sheetName val="WIP"/>
      <sheetName val="资产负债表(1)"/>
      <sheetName val="其他业务收入成本明细表"/>
      <sheetName val="I"/>
      <sheetName val="申报表封面"/>
      <sheetName val="#REF!"/>
      <sheetName val="2005.06"/>
      <sheetName val="J200"/>
      <sheetName val="INDEX"/>
      <sheetName val="Tables"/>
      <sheetName val="Ã«ÀûÂÊ·ÖÎö±í"/>
      <sheetName val="E201"/>
      <sheetName val="M"/>
      <sheetName val="关联交易-存款a_x0000__x0000__x0000__x0000__x0000_"/>
      <sheetName val="关联交易-存款%ঀȿঀȿ_x0001_"/>
      <sheetName val="Mar OR"/>
      <sheetName val="F100"/>
      <sheetName val="选择报表"/>
      <sheetName val="A_R_01"/>
      <sheetName val="Defer_tax"/>
      <sheetName val="ADJ_Sum(console)"/>
      <sheetName val="Estimated_AP_9_03"/>
      <sheetName val="关联方"/>
      <sheetName val="项目"/>
      <sheetName val="申报表封面Cover"/>
      <sheetName val="2-分类汇总 Classified Summary"/>
      <sheetName val="REC 97"/>
      <sheetName val="RATE"/>
      <sheetName val="各年往来 (2)"/>
      <sheetName val="关联交易-存款%ঀȿঀȿ_x005f_x0001_"/>
      <sheetName val="关联交易-存款%ঀȿঀȿ_x005f_x005f_x005f_x0001_"/>
      <sheetName val="ENT"/>
      <sheetName val="FTHL"/>
      <sheetName val="GX"/>
      <sheetName val="IN"/>
      <sheetName val="ITCD"/>
      <sheetName val="LVLT"/>
      <sheetName val="MFNX"/>
      <sheetName val="NOPT"/>
      <sheetName val="TCM"/>
      <sheetName val="TSIX"/>
      <sheetName val="WCG"/>
      <sheetName val="关联交易-存款a_x005f_x0000__x005f_x0000__x005f_x0000__x"/>
      <sheetName val="±íÍâÏîÄ¿£­ÒøÐÐ³Ð6Ò»ãÆ±£¨Íâ±Ò£©"/>
      <sheetName val="±íÍâÏîÄ¿-ÒøÐÐ³Ð¶Ò»ãÆ±#¨ÈËÃñ±Ò£©"/>
      <sheetName val="±íÍâÏîÄ¿-¿ª³ö±£Ö¤Æ¾PÅ"/>
      <sheetName val="´û¿îÇ°J®Ãû"/>
      <sheetName val="×ªÌyÏÖ"/>
      <sheetName val="????-??"/>
      <sheetName val="应付明细表(07年)"/>
      <sheetName val="关联交易-存款h_x0001__x0000__x0001__x0000__x0000_"/>
      <sheetName val="关联交易-存款hࢀ ࢀ _x0001_"/>
      <sheetName val="Budget"/>
      <sheetName val="2002年预提费用"/>
      <sheetName val="U401"/>
      <sheetName val="U501"/>
      <sheetName val="________-____"/>
      <sheetName val="________"/>
      <sheetName val="______________________________"/>
      <sheetName val="________-______________________"/>
      <sheetName val="________-____________"/>
      <sheetName val="____--__________________"/>
      <sheetName val="____________"/>
      <sheetName val="__________"/>
      <sheetName val="______"/>
      <sheetName val="________________"/>
      <sheetName val="________(______"/>
      <sheetName val="________--______________"/>
      <sheetName val="________-______________"/>
      <sheetName val="????????-????"/>
      <sheetName val="????????"/>
      <sheetName val="??????????????????????????????"/>
      <sheetName val="????????-??????????????????????"/>
      <sheetName val="????????-????????????"/>
      <sheetName val="????--??????????????????"/>
      <sheetName val="????????????"/>
      <sheetName val="??????????"/>
      <sheetName val="??????"/>
      <sheetName val="????????????????"/>
      <sheetName val="????????(??????"/>
      <sheetName val="????????--??????????????"/>
      <sheetName val="????????-??????????????"/>
      <sheetName val="Financ. Overview"/>
      <sheetName val="Toolbox"/>
      <sheetName val="INVDAYS"/>
      <sheetName val="N23-1-预付、其他应收等"/>
      <sheetName val="公司清单"/>
      <sheetName val="SUMMARY"/>
      <sheetName val="20140331"/>
      <sheetName val="20130331"/>
      <sheetName val="20131231"/>
      <sheetName val="20121231"/>
      <sheetName val="20111231"/>
      <sheetName val="20101231"/>
      <sheetName val="SAD"/>
      <sheetName val="以前年度损益调整"/>
      <sheetName val="说明1"/>
      <sheetName val="DataEntry"/>
      <sheetName val="Assets"/>
      <sheetName val="Parameters"/>
      <sheetName val="daywork- Tham khao"/>
      <sheetName val="IFRS 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Z"/>
      <sheetName val="Sheet2"/>
      <sheetName val="Sheet3"/>
      <sheetName val="数据表核对"/>
      <sheetName val="数据核对附表"/>
      <sheetName val="基础数据表清单"/>
      <sheetName val="SCH-BS 资产负债表-年报"/>
      <sheetName val="SCH-C-1 现金及银行存款"/>
      <sheetName val="SCH-C-2 存放中央银行款项"/>
      <sheetName val="SCH-E-6 信用证"/>
      <sheetName val="SCH-G-4 其他流动资产"/>
      <sheetName val="SCH-H-1 投资"/>
      <sheetName val="SCH-H-2 投资收益"/>
      <sheetName val="SCH-H-7 长期股权投资"/>
      <sheetName val="SCH N-1 客户存款"/>
      <sheetName val="SCH-P-3 其它流动负债"/>
      <sheetName val="月计表科目"/>
      <sheetName val="资产负债表-月计表科目对照表"/>
      <sheetName val="资产负债表-损益明细表-对照表2003"/>
      <sheetName val="待摊费用（华兴）"/>
      <sheetName val="预提费用（华兴）"/>
      <sheetName val="全部"/>
      <sheetName val="省行已批复过"/>
      <sheetName val="安永审计预测"/>
      <sheetName val="损失调查表（200411）"/>
      <sheetName val="损失调查表（计财产-200411）"/>
      <sheetName val="20050319综合损失预测"/>
      <sheetName val="封面"/>
      <sheetName val="目录"/>
      <sheetName val="表1"/>
      <sheetName val="表2"/>
      <sheetName val="表3"/>
      <sheetName val="表4"/>
      <sheetName val="表4.1"/>
      <sheetName val="表4.2"/>
      <sheetName val="表4.3"/>
      <sheetName val="表5"/>
      <sheetName val="表6"/>
      <sheetName val="表6.1"/>
      <sheetName val="表6.2"/>
      <sheetName val="表7"/>
      <sheetName val="表8"/>
      <sheetName val="表9"/>
      <sheetName val="表9.1"/>
      <sheetName val="表10"/>
      <sheetName val="表11"/>
      <sheetName val="表12"/>
      <sheetName val="表12.1"/>
      <sheetName val="表12.2"/>
      <sheetName val="表12.3"/>
      <sheetName val="表12.4"/>
      <sheetName val="表12.5"/>
      <sheetName val="表12.6"/>
      <sheetName val="表12.7"/>
      <sheetName val="表12.8"/>
      <sheetName val="12.8附表"/>
      <sheetName val="表12.9"/>
      <sheetName val="表12.10"/>
      <sheetName val="表13"/>
      <sheetName val="表14"/>
      <sheetName val="表14.1"/>
      <sheetName val="表14.2"/>
      <sheetName val="表15"/>
      <sheetName val="表16"/>
      <sheetName val="表17"/>
      <sheetName val="表17.1"/>
      <sheetName val="表18"/>
      <sheetName val="表19"/>
      <sheetName val="表20"/>
      <sheetName val="表21"/>
      <sheetName val="表22"/>
      <sheetName val="表23"/>
      <sheetName val="表24"/>
      <sheetName val="表25"/>
      <sheetName val="表26"/>
      <sheetName val="表26.1"/>
      <sheetName val="表27"/>
      <sheetName val="表28"/>
      <sheetName val="表29"/>
      <sheetName val="表30"/>
      <sheetName val="表31"/>
      <sheetName val="表32"/>
      <sheetName val="表33"/>
      <sheetName val="表34"/>
      <sheetName val="表35"/>
      <sheetName val="表36"/>
      <sheetName val="表36.1"/>
      <sheetName val="表37"/>
      <sheetName val="表38"/>
      <sheetName val="表38.1"/>
      <sheetName val="表39"/>
      <sheetName val="表40"/>
      <sheetName val="表41"/>
      <sheetName val="表42"/>
      <sheetName val="表43"/>
      <sheetName val="表44"/>
      <sheetName val="#REF!"/>
      <sheetName val="#REF"/>
      <sheetName val="Êý¾Ý±íºË¶Ô"/>
      <sheetName val="Êý¾ÝºË¶Ô¸½±í"/>
      <sheetName val="»ù´¡Êý¾Ý±íÇåµ¥"/>
      <sheetName val="SCH-BS ×Ê²ú¸ºÕ®±í-Äê±¨"/>
      <sheetName val="SCH-C-1 ÏÖ½ð¼°ÒøÐÐ´æ¿î"/>
      <sheetName val="SCH-C-2 ´æ·ÅÖÐÑëÒøÐÐ¿îÏî"/>
      <sheetName val="SCH-E-6 ÐÅÓÃÖ¤"/>
      <sheetName val="SCH-G-4 ÆäËûÁ÷¶¯×Ê²ú"/>
      <sheetName val="SCH-H-1 Í¶×Ê"/>
      <sheetName val="SCH-H-2 Í¶×ÊÊÕÒæ"/>
      <sheetName val="SCH-H-7 ³¤ÆÚ¹ÉÈ¨Í¶×Ê"/>
      <sheetName val="SCH N-1 ¿Í»§´æ¿î"/>
      <sheetName val="SCH-P-3 ÆäËüÁ÷¶¯¸ºÕ®"/>
      <sheetName val="ÔÂ¼Æ±í¿ÆÄ¿"/>
      <sheetName val="×Ê²ú¸ºÕ®±í-ÔÂ¼Æ±í¿ÆÄ¿¶ÔÕÕ±í"/>
      <sheetName val="Ê²ú¸ºÕ®±í-ËðÒæÃ÷Ï¸±í-¶ÔÕÕ±í2003"/>
      <sheetName val="´ýÌ¯·ÑÓÃ£¨»ªÐË£©"/>
      <sheetName val="Ô¤Ìá·ÑÓÃ£¨»ªÐË£©"/>
      <sheetName val="È«²¿"/>
      <sheetName val="Ê¡ÐÐÒÑÅú¸´¹ý"/>
      <sheetName val="°²ÓÀÉó¼ÆÔ¤²â"/>
      <sheetName val="ËðÊ§µ÷²é±í£¨200411£©"/>
      <sheetName val="ËðÊ§µ÷²é±í£¨¼Æ²Æ²ú-200411£©"/>
      <sheetName val="20050319×ÛºÏËðÊ§Ô¤²â"/>
      <sheetName val="·âÃæ"/>
      <sheetName val="Ä¿Â¼"/>
      <sheetName val="±í1"/>
      <sheetName val="±í2"/>
      <sheetName val="±í3"/>
      <sheetName val="±í4"/>
      <sheetName val="±í4.1"/>
      <sheetName val="±í4.2"/>
      <sheetName val="±í4.3"/>
      <sheetName val="±í5"/>
      <sheetName val="±í6"/>
      <sheetName val="±í6.1"/>
      <sheetName val="±í6.2"/>
      <sheetName val="±í7"/>
      <sheetName val="±í8"/>
      <sheetName val="±í9"/>
      <sheetName val="±í9.1"/>
      <sheetName val="±í10"/>
      <sheetName val="±í11"/>
      <sheetName val="±í12"/>
      <sheetName val="±í12.1"/>
      <sheetName val="±í12.2"/>
      <sheetName val="±í12.3"/>
      <sheetName val="±í12.4"/>
      <sheetName val="±í12.5"/>
      <sheetName val="±í12.6"/>
      <sheetName val="±í12.7"/>
      <sheetName val="±í12.8"/>
      <sheetName val="12.8¸½±í"/>
      <sheetName val="±í12.9"/>
      <sheetName val="±í12.10"/>
      <sheetName val="±í13"/>
      <sheetName val="±í14"/>
      <sheetName val="±í14.1"/>
      <sheetName val="±í14.2"/>
      <sheetName val="±í15"/>
      <sheetName val="±í16"/>
      <sheetName val="±í17"/>
      <sheetName val="±í17.1"/>
      <sheetName val="±í18"/>
      <sheetName val="±í19"/>
      <sheetName val="±í20"/>
      <sheetName val="±í21"/>
      <sheetName val="±í22"/>
      <sheetName val="±í23"/>
      <sheetName val="±í24"/>
      <sheetName val="±í25"/>
      <sheetName val="±í26"/>
      <sheetName val="±í26.1"/>
      <sheetName val="±í27"/>
      <sheetName val="±í28"/>
      <sheetName val="±í29"/>
      <sheetName val="±í30"/>
      <sheetName val="±í31"/>
      <sheetName val="±í32"/>
      <sheetName val="±í33"/>
      <sheetName val="±í34"/>
      <sheetName val="±í35"/>
      <sheetName val="±í36"/>
      <sheetName val="±í36.1"/>
      <sheetName val="±í37"/>
      <sheetName val="±í38"/>
      <sheetName val="±í38.1"/>
      <sheetName val="±í39"/>
      <sheetName val="±í40"/>
      <sheetName val="±í41"/>
      <sheetName val="±í42"/>
      <sheetName val="±í43"/>
      <sheetName val="±í44"/>
      <sheetName val="SCH-H-耷 长期股权投资"/>
      <sheetName val="master"/>
      <sheetName val="source"/>
      <sheetName val="BALANCE SHEET"/>
      <sheetName val="B"/>
      <sheetName val="Sheet1"/>
      <sheetName val="Account"/>
      <sheetName val="Center"/>
      <sheetName val="details"/>
      <sheetName val="Links"/>
      <sheetName val="Lead"/>
      <sheetName val="Repayment Summary"/>
      <sheetName val="DATA"/>
      <sheetName val="综合"/>
      <sheetName val="SCH-BS_资产负债表-年报"/>
      <sheetName val="SCH-C-1_现金及银行存款"/>
      <sheetName val="SCH-C-2_存放中央银行款项"/>
      <sheetName val="SCH-E-6_信用证"/>
      <sheetName val="SCH-G-4_其他流动资产"/>
      <sheetName val="SCH-H-1_投资"/>
      <sheetName val="SCH-H-2_投资收益"/>
      <sheetName val="SCH-H-7_长期股权投资"/>
      <sheetName val="SCH_N-1_客户存款"/>
      <sheetName val="SCH-P-3_其它流动负债"/>
      <sheetName val="表4_1"/>
      <sheetName val="表4_2"/>
      <sheetName val="表4_3"/>
      <sheetName val="表6_1"/>
      <sheetName val="表6_2"/>
      <sheetName val="表9_1"/>
      <sheetName val="表12_1"/>
      <sheetName val="表12_2"/>
      <sheetName val="表12_3"/>
      <sheetName val="表12_4"/>
      <sheetName val="表12_5"/>
      <sheetName val="表12_6"/>
      <sheetName val="表12_7"/>
      <sheetName val="表12_8"/>
      <sheetName val="12_8附表"/>
      <sheetName val="表12_9"/>
      <sheetName val="表12_10"/>
      <sheetName val="表14_1"/>
      <sheetName val="表14_2"/>
      <sheetName val="表17_1"/>
      <sheetName val="表26_1"/>
      <sheetName val="表36_1"/>
      <sheetName val="表38_1"/>
      <sheetName val="SCH-BS_×Ê²ú¸ºÕ®±í-Äê±¨"/>
      <sheetName val="SCH-C-1_ÏÖ½ð¼°ÒøÐÐ´æ¿î"/>
      <sheetName val="SCH-C-2_´æ·ÅÖÐÑëÒøÐÐ¿îÏî"/>
      <sheetName val="SCH-E-6_ÐÅÓÃÖ¤"/>
      <sheetName val="SCH-G-4_ÆäËûÁ÷¶¯×Ê²ú"/>
      <sheetName val="SCH-H-1_Í¶×Ê"/>
      <sheetName val="SCH-H-2_Í¶×ÊÊÕÒæ"/>
      <sheetName val="SCH-H-7_³¤ÆÚ¹ÉÈ¨Í¶×Ê"/>
      <sheetName val="SCH_N-1_¿Í»§´æ¿î"/>
      <sheetName val="SCH-P-3_ÆäËüÁ÷¶¯¸ºÕ®"/>
      <sheetName val="±í4_1"/>
      <sheetName val="±í4_2"/>
      <sheetName val="±í4_3"/>
      <sheetName val="±í6_1"/>
      <sheetName val="±í6_2"/>
      <sheetName val="±í9_1"/>
      <sheetName val="±í12_1"/>
      <sheetName val="±í12_2"/>
      <sheetName val="±í12_3"/>
      <sheetName val="±í12_4"/>
      <sheetName val="±í12_5"/>
      <sheetName val="±í12_6"/>
      <sheetName val="±í12_7"/>
      <sheetName val="±í12_8"/>
      <sheetName val="12_8¸½±í"/>
      <sheetName val="±í12_9"/>
      <sheetName val="±í12_10"/>
      <sheetName val="±í14_1"/>
      <sheetName val="±í14_2"/>
      <sheetName val="±í17_1"/>
      <sheetName val="±í26_1"/>
      <sheetName val="±í36_1"/>
      <sheetName val="±í38_1"/>
      <sheetName val="SCH-H-耷_长期股权投资"/>
      <sheetName val="热力系统"/>
      <sheetName val="明细分类账"/>
      <sheetName val="D4RP"/>
      <sheetName val="LinkData"/>
      <sheetName val="Phase2 movementDEC"/>
      <sheetName val="Phase1f.a.DEC"/>
      <sheetName val="Phase2 f.a.DEC (2)"/>
      <sheetName val="关联交易-存款"/>
      <sheetName val="A3"/>
      <sheetName val="资产负债表"/>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CheckSheet"/>
      <sheetName val="Data_Entry"/>
      <sheetName val="M1S"/>
      <sheetName val="M3"/>
      <sheetName val="M5A_M5B"/>
      <sheetName val="M6"/>
      <sheetName val="M5_M6 Summary"/>
      <sheetName val="M7"/>
      <sheetName val="M7B"/>
      <sheetName val="M8"/>
      <sheetName val="M8A"/>
      <sheetName val="M9"/>
      <sheetName val="AF1"/>
      <sheetName val="MD1"/>
      <sheetName val="MD2"/>
      <sheetName val="FC1"/>
      <sheetName val="FC2"/>
      <sheetName val="W1"/>
      <sheetName val="Dialogs"/>
      <sheetName val="Macros"/>
      <sheetName val="AutoData"/>
      <sheetName val="上报资产负债表"/>
      <sheetName val="上报损益表"/>
      <sheetName val="现金流量表（月报）"/>
      <sheetName val="补充表"/>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300-长期应付款"/>
      <sheetName val="Q400-专项应付款"/>
      <sheetName val="Q500-其他长期负债"/>
      <sheetName val="S100-资本承诺-合同已签署"/>
      <sheetName val="S110-资本承诺-合同未签署"/>
      <sheetName val="S200-租赁承担及经营租约承担"/>
      <sheetName val="S300-或有负债"/>
      <sheetName val="T100-股本"/>
      <sheetName val="T100-资本公积"/>
      <sheetName val="T100-盈余公积"/>
      <sheetName val="T1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W300-关连交易明细表"/>
      <sheetName val="W400-利率风险"/>
      <sheetName val="master"/>
    </sheetNames>
    <sheetDataSet>
      <sheetData sheetId="0">
        <row r="2">
          <cell r="B2" t="str">
            <v>上海电气(集团)总公司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指南"/>
      <sheetName val="控制汇总表"/>
      <sheetName val="Group list"/>
      <sheetName val="Source"/>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G400-应收补贴款及应收出口退税"/>
      <sheetName val="H100-长期投资"/>
      <sheetName val="H200-联营公司-PRC"/>
      <sheetName val="H400-非合并子公司-PRC"/>
      <sheetName val="H500-合并价差-PRC"/>
      <sheetName val="H600-股票投资-PRC"/>
      <sheetName val="H700-其他股权投资-PRC"/>
      <sheetName val="H800-债券投资-PRC"/>
      <sheetName val="H900-其他债权投资-PRC"/>
      <sheetName val="H910-长期委托贷款-PRC"/>
      <sheetName val="H1000-长期投资-HK"/>
      <sheetName val="H1010-合并子公司基本情况汇总"/>
      <sheetName val="H1100-对联营公司投资-HK"/>
      <sheetName val="H1110- 对联营公司投资汇总-HK"/>
      <sheetName val="H1200-合营公司-HK"/>
      <sheetName val="H1210-对合营公司投资汇总-HK"/>
      <sheetName val="H1300-sub move-HK（仅适用于本部）"/>
      <sheetName val="H1400-商誉-HK"/>
      <sheetName val="H1500-非合并子公司-HK"/>
      <sheetName val="H1510-非合并子公司汇总-HK"/>
      <sheetName val="H1600-其它股票投资-HK"/>
      <sheetName val="H1610-其它股权投资-HK"/>
      <sheetName val="H1700-债券投资-HK"/>
      <sheetName val="H1710-其他债权投资-HK"/>
      <sheetName val="I100-内部往来"/>
      <sheetName val="I110财务公司往来"/>
      <sheetName val="I200-内部交易"/>
      <sheetName val="I300-未实现利润"/>
      <sheetName val="K100-在建工程、固定资产(PRC 04)"/>
      <sheetName val="K110-在建工程、固定资产 (HK 04)"/>
      <sheetName val="K200-在建工程-PRC"/>
      <sheetName val="K300-融资租入固定资产增减变动(PRC)"/>
      <sheetName val="K310-融资租入固定资产增减变动(HK) "/>
      <sheetName val="L100-无形资产 (PRC 04)"/>
      <sheetName val="L110-无形资产 (HK 04)"/>
      <sheetName val="L200-长期待摊费用"/>
      <sheetName val="L300-其他长期资产"/>
      <sheetName val="M100-短期借款"/>
      <sheetName val="N100-应付票据"/>
      <sheetName val="N200-应付帐款"/>
      <sheetName val="O100-应交税金"/>
      <sheetName val="O200-递延税款"/>
      <sheetName val="P100-预收货款"/>
      <sheetName val="P200-应付工资、福利费"/>
      <sheetName val="P300-应付股利"/>
      <sheetName val="P400-其他应交款"/>
      <sheetName val="P500-其他应付款"/>
      <sheetName val="P600-预提费用"/>
      <sheetName val="P700-预计负债"/>
      <sheetName val="P800-其他流动负债"/>
      <sheetName val="P900-一年内到期的长期负债"/>
      <sheetName val="Q100-长期借款"/>
      <sheetName val="Q200-长期应付款"/>
      <sheetName val="Q300-专项应付款"/>
      <sheetName val="Q400-其他长期负债"/>
      <sheetName val="S100-资本承诺"/>
      <sheetName val="S200-经营租赁"/>
      <sheetName val="S300-其他或有负债"/>
      <sheetName val="S400-法律诉讼"/>
      <sheetName val="T100-所有者权益变动表 "/>
      <sheetName val="T200少数股东权益"/>
      <sheetName val="U100-主营业务收支"/>
      <sheetName val="U110-销售成本倒轧表 "/>
      <sheetName val="U120-制造费用明细"/>
      <sheetName val="U200其他业务收支"/>
      <sheetName val="U210其它营运费用(HK)"/>
      <sheetName val="U300-销售费用"/>
      <sheetName val="U400-管理费用"/>
      <sheetName val="U500-财务费用"/>
      <sheetName val="U600-投资收益"/>
      <sheetName val="U700补贴收入"/>
      <sheetName val="U800-营业外收支"/>
      <sheetName val="W100关联方往来"/>
      <sheetName val="W200关联方交易"/>
      <sheetName val="W510-现金流量表附注1"/>
      <sheetName val="W520-现金流量表附注2"/>
      <sheetName val="W530-现金流量表附注3"/>
      <sheetName val="W600-HK Notes"/>
      <sheetName val="少数股东权益 -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总汇"/>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应收股利"/>
      <sheetName val="预付账款"/>
      <sheetName val="其它应收帐款"/>
      <sheetName val="应收补贴款 "/>
      <sheetName val="存货"/>
      <sheetName val="期后发货"/>
      <sheetName val="内部采购存货 "/>
      <sheetName val="已开票未发货"/>
      <sheetName val="已发货未开票清单"/>
      <sheetName val="暂估入库"/>
      <sheetName val="固定资产 "/>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股权投资"/>
      <sheetName val="长期投资-债券投资"/>
      <sheetName val="长期投资-其他投资"/>
      <sheetName val="集团内公司清单"/>
      <sheetName val="sourc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CF底稿"/>
      <sheetName val="preCE"/>
      <sheetName val="TB"/>
      <sheetName val="BS"/>
      <sheetName val="IS"/>
      <sheetName val="CF"/>
      <sheetName val="CE"/>
      <sheetName val="AJE"/>
      <sheetName val="CFJE"/>
      <sheetName val="UJE"/>
      <sheetName val="AJE1"/>
      <sheetName val="减值表-必填"/>
      <sheetName val="递延所得税-必填"/>
      <sheetName val="所得税费用-必填"/>
      <sheetName val="NOTES填写注意事项（必读）"/>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row r="51">
          <cell r="L51">
            <v>0</v>
          </cell>
        </row>
        <row r="62">
          <cell r="G62">
            <v>0</v>
          </cell>
        </row>
      </sheetData>
      <sheetData sheetId="4"/>
      <sheetData sheetId="5"/>
      <sheetData sheetId="6"/>
      <sheetData sheetId="7"/>
      <sheetData sheetId="8">
        <row r="6">
          <cell r="U6" t="str">
            <v>前1期</v>
          </cell>
        </row>
        <row r="8">
          <cell r="T8" t="str">
            <v>itemID</v>
          </cell>
          <cell r="U8" t="str">
            <v>调整后金额</v>
          </cell>
        </row>
        <row r="9">
          <cell r="T9">
            <v>1</v>
          </cell>
        </row>
        <row r="10">
          <cell r="T10">
            <v>1000</v>
          </cell>
        </row>
        <row r="11">
          <cell r="T11">
            <v>1015</v>
          </cell>
          <cell r="U11">
            <v>0</v>
          </cell>
        </row>
        <row r="12">
          <cell r="T12">
            <v>1021</v>
          </cell>
          <cell r="U12">
            <v>0</v>
          </cell>
        </row>
        <row r="13">
          <cell r="T13">
            <v>1302</v>
          </cell>
          <cell r="U13">
            <v>0</v>
          </cell>
        </row>
        <row r="14">
          <cell r="T14">
            <v>1101</v>
          </cell>
          <cell r="U14">
            <v>0</v>
          </cell>
        </row>
        <row r="15">
          <cell r="T15">
            <v>1115</v>
          </cell>
          <cell r="U15">
            <v>0</v>
          </cell>
        </row>
        <row r="16">
          <cell r="T16">
            <v>1123</v>
          </cell>
          <cell r="U16">
            <v>0</v>
          </cell>
        </row>
        <row r="17">
          <cell r="T17">
            <v>1121</v>
          </cell>
          <cell r="U17">
            <v>0</v>
          </cell>
        </row>
        <row r="18">
          <cell r="T18">
            <v>1122</v>
          </cell>
          <cell r="U18">
            <v>0</v>
          </cell>
        </row>
        <row r="19">
          <cell r="T19">
            <v>1125</v>
          </cell>
          <cell r="U19">
            <v>0</v>
          </cell>
        </row>
        <row r="20">
          <cell r="T20">
            <v>1127</v>
          </cell>
          <cell r="U20">
            <v>0</v>
          </cell>
        </row>
        <row r="21">
          <cell r="T21">
            <v>1211</v>
          </cell>
          <cell r="U21">
            <v>0</v>
          </cell>
        </row>
        <row r="22">
          <cell r="T22">
            <v>1212</v>
          </cell>
          <cell r="U22">
            <v>0</v>
          </cell>
        </row>
        <row r="23">
          <cell r="T23">
            <v>1220</v>
          </cell>
          <cell r="U23">
            <v>0</v>
          </cell>
        </row>
        <row r="24">
          <cell r="T24">
            <v>1132</v>
          </cell>
          <cell r="U24">
            <v>0</v>
          </cell>
        </row>
        <row r="25">
          <cell r="T25">
            <v>1131</v>
          </cell>
          <cell r="U25">
            <v>0</v>
          </cell>
        </row>
        <row r="26">
          <cell r="T26">
            <v>1221</v>
          </cell>
          <cell r="U26">
            <v>0</v>
          </cell>
        </row>
        <row r="27">
          <cell r="T27">
            <v>1111</v>
          </cell>
          <cell r="U27">
            <v>0</v>
          </cell>
        </row>
        <row r="28">
          <cell r="T28">
            <v>1400</v>
          </cell>
          <cell r="U28">
            <v>0</v>
          </cell>
        </row>
        <row r="29">
          <cell r="T29">
            <v>1315</v>
          </cell>
          <cell r="U29">
            <v>0</v>
          </cell>
        </row>
        <row r="30">
          <cell r="T30">
            <v>1495</v>
          </cell>
          <cell r="U30">
            <v>0</v>
          </cell>
        </row>
        <row r="31">
          <cell r="T31">
            <v>1496</v>
          </cell>
          <cell r="U31">
            <v>0</v>
          </cell>
        </row>
        <row r="32">
          <cell r="T32">
            <v>1498</v>
          </cell>
          <cell r="U32">
            <v>0</v>
          </cell>
        </row>
        <row r="33">
          <cell r="T33">
            <v>1500</v>
          </cell>
        </row>
        <row r="34">
          <cell r="T34">
            <v>1600</v>
          </cell>
          <cell r="U34">
            <v>0</v>
          </cell>
        </row>
        <row r="35">
          <cell r="T35">
            <v>1503</v>
          </cell>
          <cell r="U35">
            <v>0</v>
          </cell>
        </row>
        <row r="36">
          <cell r="T36">
            <v>1501</v>
          </cell>
          <cell r="U36">
            <v>0</v>
          </cell>
        </row>
        <row r="37">
          <cell r="T37">
            <v>1531</v>
          </cell>
          <cell r="U37">
            <v>0</v>
          </cell>
        </row>
        <row r="38">
          <cell r="T38">
            <v>1515</v>
          </cell>
          <cell r="U38">
            <v>0</v>
          </cell>
        </row>
        <row r="39">
          <cell r="T39">
            <v>1511</v>
          </cell>
          <cell r="U39">
            <v>0</v>
          </cell>
        </row>
        <row r="40">
          <cell r="T40">
            <v>1521</v>
          </cell>
          <cell r="U40">
            <v>0</v>
          </cell>
        </row>
        <row r="41">
          <cell r="T41">
            <v>1611</v>
          </cell>
          <cell r="U41">
            <v>0</v>
          </cell>
        </row>
        <row r="42">
          <cell r="T42">
            <v>1601</v>
          </cell>
          <cell r="U42">
            <v>0</v>
          </cell>
        </row>
        <row r="43">
          <cell r="T43">
            <v>1606</v>
          </cell>
          <cell r="U43">
            <v>0</v>
          </cell>
        </row>
        <row r="44">
          <cell r="T44">
            <v>1616</v>
          </cell>
          <cell r="U44">
            <v>0</v>
          </cell>
        </row>
        <row r="45">
          <cell r="T45">
            <v>1604</v>
          </cell>
          <cell r="U45">
            <v>0</v>
          </cell>
        </row>
        <row r="46">
          <cell r="T46">
            <v>1605</v>
          </cell>
          <cell r="U46">
            <v>0</v>
          </cell>
        </row>
        <row r="47">
          <cell r="T47">
            <v>1621</v>
          </cell>
          <cell r="U47">
            <v>0</v>
          </cell>
        </row>
        <row r="48">
          <cell r="T48">
            <v>1631</v>
          </cell>
          <cell r="U48">
            <v>0</v>
          </cell>
        </row>
        <row r="49">
          <cell r="T49">
            <v>1701</v>
          </cell>
          <cell r="U49">
            <v>0</v>
          </cell>
        </row>
        <row r="50">
          <cell r="T50">
            <v>1700</v>
          </cell>
          <cell r="U50">
            <v>0</v>
          </cell>
        </row>
        <row r="51">
          <cell r="T51">
            <v>1711</v>
          </cell>
          <cell r="U51">
            <v>0</v>
          </cell>
        </row>
        <row r="52">
          <cell r="T52">
            <v>1801</v>
          </cell>
          <cell r="U52">
            <v>0</v>
          </cell>
        </row>
        <row r="53">
          <cell r="T53">
            <v>1811</v>
          </cell>
          <cell r="U53">
            <v>0</v>
          </cell>
        </row>
        <row r="54">
          <cell r="T54">
            <v>1996</v>
          </cell>
          <cell r="U54">
            <v>0</v>
          </cell>
        </row>
        <row r="55">
          <cell r="T55">
            <v>1998</v>
          </cell>
          <cell r="U55">
            <v>0</v>
          </cell>
        </row>
        <row r="56">
          <cell r="T56">
            <v>1999</v>
          </cell>
          <cell r="U56">
            <v>0</v>
          </cell>
        </row>
        <row r="57">
          <cell r="T57">
            <v>2000</v>
          </cell>
          <cell r="U57">
            <v>0</v>
          </cell>
        </row>
        <row r="58">
          <cell r="T58">
            <v>2001</v>
          </cell>
          <cell r="U58">
            <v>0</v>
          </cell>
        </row>
        <row r="59">
          <cell r="T59">
            <v>2004</v>
          </cell>
          <cell r="U59">
            <v>0</v>
          </cell>
        </row>
        <row r="60">
          <cell r="T60">
            <v>2010</v>
          </cell>
          <cell r="U60">
            <v>0</v>
          </cell>
        </row>
        <row r="61">
          <cell r="T61">
            <v>2003</v>
          </cell>
          <cell r="U61">
            <v>0</v>
          </cell>
        </row>
        <row r="62">
          <cell r="T62">
            <v>2101</v>
          </cell>
          <cell r="U62">
            <v>0</v>
          </cell>
        </row>
        <row r="63">
          <cell r="T63">
            <v>2115</v>
          </cell>
          <cell r="U63">
            <v>0</v>
          </cell>
        </row>
        <row r="64">
          <cell r="T64">
            <v>2203</v>
          </cell>
          <cell r="U64">
            <v>0</v>
          </cell>
        </row>
        <row r="65">
          <cell r="T65">
            <v>2201</v>
          </cell>
          <cell r="U65">
            <v>0</v>
          </cell>
        </row>
        <row r="66">
          <cell r="T66">
            <v>2202</v>
          </cell>
          <cell r="U66">
            <v>0</v>
          </cell>
        </row>
        <row r="67">
          <cell r="T67">
            <v>2205</v>
          </cell>
          <cell r="U67">
            <v>0</v>
          </cell>
        </row>
        <row r="68">
          <cell r="T68">
            <v>2111</v>
          </cell>
          <cell r="U68">
            <v>0</v>
          </cell>
        </row>
        <row r="69">
          <cell r="T69">
            <v>2240</v>
          </cell>
          <cell r="U69">
            <v>0</v>
          </cell>
        </row>
        <row r="70">
          <cell r="T70">
            <v>2211</v>
          </cell>
          <cell r="U70">
            <v>0</v>
          </cell>
        </row>
        <row r="71">
          <cell r="T71">
            <v>2221</v>
          </cell>
          <cell r="U71">
            <v>0</v>
          </cell>
        </row>
        <row r="72">
          <cell r="T72">
            <v>2246</v>
          </cell>
          <cell r="U72">
            <v>0</v>
          </cell>
        </row>
        <row r="73">
          <cell r="T73">
            <v>2231</v>
          </cell>
          <cell r="U73">
            <v>0</v>
          </cell>
        </row>
        <row r="74">
          <cell r="T74">
            <v>2232</v>
          </cell>
          <cell r="U74">
            <v>0</v>
          </cell>
        </row>
        <row r="75">
          <cell r="T75">
            <v>2241</v>
          </cell>
          <cell r="U75">
            <v>0</v>
          </cell>
        </row>
        <row r="76">
          <cell r="T76">
            <v>2261</v>
          </cell>
          <cell r="U76">
            <v>0</v>
          </cell>
        </row>
        <row r="77">
          <cell r="T77">
            <v>2310</v>
          </cell>
          <cell r="U77">
            <v>0</v>
          </cell>
        </row>
        <row r="78">
          <cell r="T78">
            <v>2311</v>
          </cell>
          <cell r="U78">
            <v>0</v>
          </cell>
        </row>
        <row r="79">
          <cell r="T79">
            <v>2312</v>
          </cell>
          <cell r="U79">
            <v>0</v>
          </cell>
        </row>
        <row r="80">
          <cell r="T80">
            <v>2315</v>
          </cell>
          <cell r="U80">
            <v>0</v>
          </cell>
        </row>
        <row r="81">
          <cell r="T81">
            <v>2395</v>
          </cell>
          <cell r="U81">
            <v>0</v>
          </cell>
        </row>
        <row r="82">
          <cell r="T82">
            <v>2396</v>
          </cell>
          <cell r="U82">
            <v>0</v>
          </cell>
        </row>
        <row r="83">
          <cell r="T83">
            <v>2498</v>
          </cell>
          <cell r="U83">
            <v>0</v>
          </cell>
        </row>
        <row r="84">
          <cell r="T84">
            <v>2500</v>
          </cell>
        </row>
        <row r="85">
          <cell r="T85">
            <v>2501</v>
          </cell>
          <cell r="U85">
            <v>0</v>
          </cell>
        </row>
        <row r="86">
          <cell r="T86">
            <v>2502</v>
          </cell>
          <cell r="U86">
            <v>0</v>
          </cell>
        </row>
        <row r="87">
          <cell r="T87">
            <v>2502.11</v>
          </cell>
          <cell r="U87">
            <v>0</v>
          </cell>
        </row>
        <row r="88">
          <cell r="T88">
            <v>2502.31</v>
          </cell>
          <cell r="U88">
            <v>0</v>
          </cell>
        </row>
        <row r="89">
          <cell r="T89">
            <v>2706</v>
          </cell>
          <cell r="U89">
            <v>0</v>
          </cell>
        </row>
        <row r="90">
          <cell r="T90">
            <v>2701</v>
          </cell>
          <cell r="U90">
            <v>0</v>
          </cell>
        </row>
        <row r="91">
          <cell r="T91">
            <v>2711</v>
          </cell>
          <cell r="U91">
            <v>0</v>
          </cell>
        </row>
        <row r="92">
          <cell r="T92">
            <v>2715</v>
          </cell>
          <cell r="U92">
            <v>0</v>
          </cell>
        </row>
        <row r="93">
          <cell r="T93">
            <v>2801</v>
          </cell>
          <cell r="U93">
            <v>0</v>
          </cell>
        </row>
        <row r="94">
          <cell r="T94">
            <v>2401</v>
          </cell>
          <cell r="U94">
            <v>0</v>
          </cell>
        </row>
        <row r="95">
          <cell r="T95">
            <v>2901</v>
          </cell>
          <cell r="U95">
            <v>0</v>
          </cell>
        </row>
        <row r="96">
          <cell r="T96">
            <v>2996</v>
          </cell>
          <cell r="U96">
            <v>0</v>
          </cell>
        </row>
        <row r="97">
          <cell r="T97">
            <v>2998</v>
          </cell>
          <cell r="U97">
            <v>0</v>
          </cell>
        </row>
        <row r="98">
          <cell r="T98">
            <v>2999</v>
          </cell>
          <cell r="U98">
            <v>0</v>
          </cell>
        </row>
        <row r="99">
          <cell r="T99">
            <v>4000</v>
          </cell>
        </row>
        <row r="100">
          <cell r="T100">
            <v>4001</v>
          </cell>
          <cell r="U100">
            <v>0</v>
          </cell>
        </row>
        <row r="101">
          <cell r="T101">
            <v>4015</v>
          </cell>
          <cell r="U101">
            <v>0</v>
          </cell>
        </row>
        <row r="102">
          <cell r="T102">
            <v>4015.11</v>
          </cell>
          <cell r="U102">
            <v>0</v>
          </cell>
        </row>
        <row r="103">
          <cell r="T103">
            <v>4015.31</v>
          </cell>
          <cell r="U103">
            <v>0</v>
          </cell>
        </row>
        <row r="104">
          <cell r="T104">
            <v>4002</v>
          </cell>
          <cell r="U104">
            <v>0</v>
          </cell>
        </row>
        <row r="105">
          <cell r="T105">
            <v>4201</v>
          </cell>
          <cell r="U105">
            <v>0</v>
          </cell>
        </row>
        <row r="106">
          <cell r="T106">
            <v>4215</v>
          </cell>
          <cell r="U106">
            <v>0</v>
          </cell>
        </row>
        <row r="107">
          <cell r="T107">
            <v>4301</v>
          </cell>
          <cell r="U107">
            <v>0</v>
          </cell>
        </row>
        <row r="108">
          <cell r="T108">
            <v>4101</v>
          </cell>
          <cell r="U108">
            <v>0</v>
          </cell>
        </row>
        <row r="109">
          <cell r="T109">
            <v>4102</v>
          </cell>
          <cell r="U109">
            <v>0</v>
          </cell>
        </row>
        <row r="110">
          <cell r="T110">
            <v>4200</v>
          </cell>
          <cell r="U110">
            <v>0</v>
          </cell>
        </row>
        <row r="111">
          <cell r="T111">
            <v>4210</v>
          </cell>
          <cell r="U111">
            <v>0</v>
          </cell>
        </row>
        <row r="112">
          <cell r="T112">
            <v>4298</v>
          </cell>
          <cell r="U112">
            <v>0</v>
          </cell>
        </row>
        <row r="113">
          <cell r="T113">
            <v>4398</v>
          </cell>
          <cell r="U113">
            <v>0</v>
          </cell>
        </row>
        <row r="114">
          <cell r="T114">
            <v>4999</v>
          </cell>
          <cell r="U114">
            <v>0</v>
          </cell>
        </row>
        <row r="115">
          <cell r="T115">
            <v>5000</v>
          </cell>
          <cell r="U115">
            <v>0</v>
          </cell>
        </row>
        <row r="116">
          <cell r="T116">
            <v>6</v>
          </cell>
        </row>
        <row r="117">
          <cell r="T117">
            <v>6098</v>
          </cell>
          <cell r="U117">
            <v>0</v>
          </cell>
        </row>
        <row r="118">
          <cell r="T118">
            <v>6001</v>
          </cell>
          <cell r="U118">
            <v>0</v>
          </cell>
        </row>
        <row r="119">
          <cell r="T119">
            <v>6011</v>
          </cell>
          <cell r="U119">
            <v>0</v>
          </cell>
        </row>
        <row r="120">
          <cell r="T120">
            <v>6030</v>
          </cell>
          <cell r="U120">
            <v>0</v>
          </cell>
        </row>
        <row r="121">
          <cell r="T121">
            <v>6021</v>
          </cell>
          <cell r="U121">
            <v>0</v>
          </cell>
        </row>
        <row r="122">
          <cell r="T122">
            <v>6598</v>
          </cell>
          <cell r="U122">
            <v>0</v>
          </cell>
        </row>
        <row r="123">
          <cell r="T123">
            <v>6401</v>
          </cell>
          <cell r="U123">
            <v>0</v>
          </cell>
        </row>
        <row r="124">
          <cell r="T124">
            <v>6411</v>
          </cell>
          <cell r="U124">
            <v>0</v>
          </cell>
        </row>
        <row r="125">
          <cell r="T125">
            <v>6421</v>
          </cell>
          <cell r="U125">
            <v>0</v>
          </cell>
        </row>
        <row r="126">
          <cell r="T126">
            <v>6531</v>
          </cell>
          <cell r="U126">
            <v>0</v>
          </cell>
        </row>
        <row r="127">
          <cell r="T127">
            <v>6510</v>
          </cell>
          <cell r="U127">
            <v>0</v>
          </cell>
        </row>
        <row r="128">
          <cell r="T128">
            <v>6505</v>
          </cell>
          <cell r="U128">
            <v>0</v>
          </cell>
        </row>
        <row r="129">
          <cell r="T129">
            <v>6521</v>
          </cell>
          <cell r="U129">
            <v>0</v>
          </cell>
        </row>
        <row r="130">
          <cell r="T130">
            <v>6542</v>
          </cell>
          <cell r="U130">
            <v>0</v>
          </cell>
        </row>
        <row r="131">
          <cell r="T131">
            <v>6600</v>
          </cell>
          <cell r="U131">
            <v>0</v>
          </cell>
        </row>
        <row r="132">
          <cell r="T132">
            <v>6601</v>
          </cell>
          <cell r="U132">
            <v>0</v>
          </cell>
        </row>
        <row r="133">
          <cell r="T133">
            <v>6602</v>
          </cell>
          <cell r="U133">
            <v>0</v>
          </cell>
        </row>
        <row r="134">
          <cell r="T134">
            <v>6606</v>
          </cell>
          <cell r="U134">
            <v>0</v>
          </cell>
        </row>
        <row r="135">
          <cell r="T135">
            <v>6603</v>
          </cell>
          <cell r="U135">
            <v>0</v>
          </cell>
        </row>
        <row r="136">
          <cell r="T136" t="str">
            <v>6603_01</v>
          </cell>
          <cell r="U136">
            <v>0</v>
          </cell>
        </row>
        <row r="137">
          <cell r="T137" t="str">
            <v>6603_06</v>
          </cell>
          <cell r="U137">
            <v>0</v>
          </cell>
        </row>
        <row r="138">
          <cell r="T138">
            <v>6671</v>
          </cell>
          <cell r="U138">
            <v>0</v>
          </cell>
        </row>
        <row r="139">
          <cell r="T139">
            <v>6181</v>
          </cell>
          <cell r="U139">
            <v>0</v>
          </cell>
        </row>
        <row r="140">
          <cell r="T140">
            <v>6111</v>
          </cell>
          <cell r="U140">
            <v>0</v>
          </cell>
        </row>
        <row r="141">
          <cell r="T141">
            <v>6111.01</v>
          </cell>
          <cell r="U141">
            <v>0</v>
          </cell>
        </row>
        <row r="142">
          <cell r="T142">
            <v>6161</v>
          </cell>
          <cell r="U142">
            <v>0</v>
          </cell>
        </row>
        <row r="143">
          <cell r="T143">
            <v>6101</v>
          </cell>
          <cell r="U143">
            <v>0</v>
          </cell>
        </row>
        <row r="144">
          <cell r="T144">
            <v>6171</v>
          </cell>
          <cell r="U144">
            <v>0</v>
          </cell>
        </row>
        <row r="145">
          <cell r="T145">
            <v>6689</v>
          </cell>
          <cell r="U145">
            <v>0</v>
          </cell>
        </row>
        <row r="146">
          <cell r="T146">
            <v>6710</v>
          </cell>
          <cell r="U146">
            <v>0</v>
          </cell>
        </row>
        <row r="147">
          <cell r="T147">
            <v>6711</v>
          </cell>
          <cell r="U147">
            <v>0</v>
          </cell>
        </row>
        <row r="148">
          <cell r="T148">
            <v>6788</v>
          </cell>
          <cell r="U148">
            <v>0</v>
          </cell>
        </row>
        <row r="149">
          <cell r="T149">
            <v>6791</v>
          </cell>
          <cell r="U149">
            <v>0</v>
          </cell>
        </row>
        <row r="150">
          <cell r="T150">
            <v>6799</v>
          </cell>
          <cell r="U150">
            <v>0</v>
          </cell>
        </row>
        <row r="151">
          <cell r="T151">
            <v>6835</v>
          </cell>
        </row>
        <row r="152">
          <cell r="T152">
            <v>6816</v>
          </cell>
        </row>
        <row r="153">
          <cell r="T153">
            <v>6817</v>
          </cell>
        </row>
        <row r="154">
          <cell r="T154">
            <v>6830</v>
          </cell>
        </row>
        <row r="155">
          <cell r="T155">
            <v>6812</v>
          </cell>
          <cell r="U155">
            <v>0</v>
          </cell>
        </row>
        <row r="156">
          <cell r="T156">
            <v>6811</v>
          </cell>
          <cell r="U156">
            <v>0</v>
          </cell>
        </row>
        <row r="157">
          <cell r="T157">
            <v>6829</v>
          </cell>
          <cell r="U157">
            <v>0</v>
          </cell>
        </row>
        <row r="158">
          <cell r="T158">
            <v>6829.2</v>
          </cell>
          <cell r="U158">
            <v>0</v>
          </cell>
        </row>
        <row r="159">
          <cell r="T159">
            <v>6829.21</v>
          </cell>
          <cell r="U159">
            <v>0</v>
          </cell>
        </row>
        <row r="160">
          <cell r="T160">
            <v>6829.2110000000002</v>
          </cell>
          <cell r="U160">
            <v>0</v>
          </cell>
        </row>
        <row r="161">
          <cell r="T161">
            <v>6829.2120000000004</v>
          </cell>
          <cell r="U161">
            <v>0</v>
          </cell>
        </row>
        <row r="162">
          <cell r="T162">
            <v>6829.2190000000001</v>
          </cell>
          <cell r="U162">
            <v>0</v>
          </cell>
        </row>
        <row r="163">
          <cell r="T163">
            <v>6829.23</v>
          </cell>
          <cell r="U163">
            <v>0</v>
          </cell>
        </row>
        <row r="164">
          <cell r="T164">
            <v>6829.2309999999998</v>
          </cell>
          <cell r="U164">
            <v>0</v>
          </cell>
        </row>
        <row r="165">
          <cell r="T165">
            <v>6829.232</v>
          </cell>
          <cell r="U165">
            <v>0</v>
          </cell>
        </row>
        <row r="166">
          <cell r="T166">
            <v>6829.2330000000002</v>
          </cell>
          <cell r="U166">
            <v>0</v>
          </cell>
        </row>
        <row r="167">
          <cell r="T167">
            <v>6829.2340000000004</v>
          </cell>
          <cell r="U167">
            <v>0</v>
          </cell>
        </row>
        <row r="168">
          <cell r="T168">
            <v>6829.2349999999997</v>
          </cell>
          <cell r="U168">
            <v>0</v>
          </cell>
        </row>
        <row r="169">
          <cell r="T169">
            <v>6829.2359999999999</v>
          </cell>
          <cell r="U169">
            <v>0</v>
          </cell>
        </row>
        <row r="170">
          <cell r="T170">
            <v>6829.2370000000001</v>
          </cell>
          <cell r="U170">
            <v>0</v>
          </cell>
        </row>
        <row r="171">
          <cell r="T171">
            <v>6829.2389999999996</v>
          </cell>
          <cell r="U171">
            <v>0</v>
          </cell>
        </row>
        <row r="172">
          <cell r="T172">
            <v>6829.5</v>
          </cell>
          <cell r="U172">
            <v>0</v>
          </cell>
        </row>
        <row r="173">
          <cell r="T173">
            <v>6839</v>
          </cell>
          <cell r="U173">
            <v>0</v>
          </cell>
        </row>
        <row r="174">
          <cell r="T174">
            <v>6841</v>
          </cell>
          <cell r="U174">
            <v>0</v>
          </cell>
        </row>
        <row r="175">
          <cell r="T175">
            <v>6842</v>
          </cell>
          <cell r="U175">
            <v>0</v>
          </cell>
        </row>
        <row r="176">
          <cell r="T176">
            <v>6820</v>
          </cell>
        </row>
        <row r="177">
          <cell r="T177">
            <v>6821</v>
          </cell>
        </row>
        <row r="178">
          <cell r="T178">
            <v>6822</v>
          </cell>
        </row>
        <row r="179">
          <cell r="T179">
            <v>6710.11</v>
          </cell>
        </row>
        <row r="180">
          <cell r="T180">
            <v>6711.01</v>
          </cell>
        </row>
        <row r="181">
          <cell r="T181">
            <v>6805</v>
          </cell>
        </row>
        <row r="182">
          <cell r="T182">
            <v>8</v>
          </cell>
        </row>
        <row r="183">
          <cell r="T183">
            <v>8000</v>
          </cell>
        </row>
        <row r="184">
          <cell r="T184">
            <v>8001</v>
          </cell>
          <cell r="U184">
            <v>0</v>
          </cell>
        </row>
        <row r="185">
          <cell r="T185">
            <v>8002</v>
          </cell>
          <cell r="U185">
            <v>0</v>
          </cell>
        </row>
        <row r="186">
          <cell r="T186">
            <v>8003</v>
          </cell>
          <cell r="U186">
            <v>0</v>
          </cell>
        </row>
        <row r="187">
          <cell r="T187">
            <v>8004</v>
          </cell>
          <cell r="U187">
            <v>0</v>
          </cell>
        </row>
        <row r="188">
          <cell r="T188">
            <v>8009</v>
          </cell>
          <cell r="U188">
            <v>0</v>
          </cell>
        </row>
        <row r="189">
          <cell r="T189">
            <v>8010</v>
          </cell>
          <cell r="U189">
            <v>0</v>
          </cell>
        </row>
        <row r="190">
          <cell r="T190">
            <v>8090</v>
          </cell>
          <cell r="U190">
            <v>0</v>
          </cell>
        </row>
        <row r="191">
          <cell r="T191">
            <v>8021</v>
          </cell>
          <cell r="U191">
            <v>0</v>
          </cell>
        </row>
        <row r="192">
          <cell r="T192">
            <v>8030</v>
          </cell>
          <cell r="U192">
            <v>0</v>
          </cell>
        </row>
        <row r="193">
          <cell r="T193">
            <v>8040</v>
          </cell>
          <cell r="U193">
            <v>0</v>
          </cell>
        </row>
        <row r="194">
          <cell r="T194">
            <v>8050</v>
          </cell>
          <cell r="U194">
            <v>0</v>
          </cell>
        </row>
        <row r="195">
          <cell r="T195">
            <v>8051</v>
          </cell>
          <cell r="U195">
            <v>0</v>
          </cell>
        </row>
        <row r="196">
          <cell r="T196">
            <v>8053</v>
          </cell>
          <cell r="U196">
            <v>0</v>
          </cell>
        </row>
        <row r="197">
          <cell r="T197">
            <v>8052</v>
          </cell>
          <cell r="U197">
            <v>0</v>
          </cell>
        </row>
        <row r="198">
          <cell r="T198">
            <v>8056</v>
          </cell>
          <cell r="U198">
            <v>0</v>
          </cell>
        </row>
        <row r="199">
          <cell r="T199">
            <v>8060</v>
          </cell>
          <cell r="U199">
            <v>0</v>
          </cell>
        </row>
        <row r="200">
          <cell r="T200">
            <v>8061</v>
          </cell>
          <cell r="U200">
            <v>0</v>
          </cell>
        </row>
        <row r="201">
          <cell r="T201">
            <v>8062</v>
          </cell>
          <cell r="U201">
            <v>0</v>
          </cell>
        </row>
        <row r="202">
          <cell r="T202">
            <v>8063</v>
          </cell>
          <cell r="U202">
            <v>0</v>
          </cell>
        </row>
        <row r="203">
          <cell r="T203">
            <v>8066</v>
          </cell>
          <cell r="U203">
            <v>0</v>
          </cell>
        </row>
        <row r="204">
          <cell r="T204">
            <v>8070</v>
          </cell>
          <cell r="U204">
            <v>0</v>
          </cell>
        </row>
        <row r="205">
          <cell r="T205">
            <v>8071</v>
          </cell>
          <cell r="U205">
            <v>0</v>
          </cell>
        </row>
        <row r="206">
          <cell r="T206">
            <v>8072</v>
          </cell>
          <cell r="U206">
            <v>0</v>
          </cell>
        </row>
        <row r="207">
          <cell r="T207">
            <v>8073</v>
          </cell>
          <cell r="U207">
            <v>0</v>
          </cell>
        </row>
        <row r="208">
          <cell r="T208">
            <v>8075</v>
          </cell>
          <cell r="U208">
            <v>0</v>
          </cell>
        </row>
        <row r="209">
          <cell r="T209">
            <v>8076</v>
          </cell>
          <cell r="U209">
            <v>0</v>
          </cell>
        </row>
        <row r="210">
          <cell r="T210">
            <v>8080</v>
          </cell>
          <cell r="U210">
            <v>0</v>
          </cell>
        </row>
        <row r="211">
          <cell r="T211">
            <v>8081</v>
          </cell>
          <cell r="U211">
            <v>0</v>
          </cell>
        </row>
        <row r="212">
          <cell r="T212">
            <v>8082</v>
          </cell>
          <cell r="U212">
            <v>0</v>
          </cell>
        </row>
        <row r="213">
          <cell r="T213">
            <v>8096</v>
          </cell>
          <cell r="U213">
            <v>0</v>
          </cell>
        </row>
        <row r="214">
          <cell r="T214">
            <v>8099</v>
          </cell>
          <cell r="U214">
            <v>0</v>
          </cell>
        </row>
        <row r="215">
          <cell r="T215">
            <v>8100</v>
          </cell>
        </row>
        <row r="216">
          <cell r="T216">
            <v>8101</v>
          </cell>
          <cell r="U216">
            <v>0</v>
          </cell>
        </row>
        <row r="217">
          <cell r="T217">
            <v>8102</v>
          </cell>
          <cell r="U217">
            <v>0</v>
          </cell>
        </row>
        <row r="218">
          <cell r="T218">
            <v>8103</v>
          </cell>
          <cell r="U218">
            <v>0</v>
          </cell>
        </row>
        <row r="219">
          <cell r="T219">
            <v>8104</v>
          </cell>
          <cell r="U219">
            <v>0</v>
          </cell>
        </row>
        <row r="220">
          <cell r="T220">
            <v>8109</v>
          </cell>
          <cell r="U220">
            <v>0</v>
          </cell>
        </row>
        <row r="221">
          <cell r="T221">
            <v>8110</v>
          </cell>
          <cell r="U221">
            <v>0</v>
          </cell>
        </row>
        <row r="222">
          <cell r="T222">
            <v>8190</v>
          </cell>
          <cell r="U222">
            <v>0</v>
          </cell>
        </row>
        <row r="223">
          <cell r="T223">
            <v>8121</v>
          </cell>
          <cell r="U223">
            <v>0</v>
          </cell>
        </row>
        <row r="224">
          <cell r="T224">
            <v>8130</v>
          </cell>
          <cell r="U224">
            <v>0</v>
          </cell>
        </row>
        <row r="225">
          <cell r="T225">
            <v>8140</v>
          </cell>
          <cell r="U225">
            <v>0</v>
          </cell>
        </row>
        <row r="226">
          <cell r="T226">
            <v>8150</v>
          </cell>
          <cell r="U226">
            <v>0</v>
          </cell>
        </row>
        <row r="227">
          <cell r="T227">
            <v>8151</v>
          </cell>
          <cell r="U227">
            <v>0</v>
          </cell>
        </row>
        <row r="228">
          <cell r="T228">
            <v>8153</v>
          </cell>
          <cell r="U228">
            <v>0</v>
          </cell>
        </row>
        <row r="229">
          <cell r="T229">
            <v>8152</v>
          </cell>
          <cell r="U229">
            <v>0</v>
          </cell>
        </row>
        <row r="230">
          <cell r="T230">
            <v>8156</v>
          </cell>
          <cell r="U230">
            <v>0</v>
          </cell>
        </row>
        <row r="231">
          <cell r="T231">
            <v>8160</v>
          </cell>
          <cell r="U231">
            <v>0</v>
          </cell>
        </row>
        <row r="232">
          <cell r="T232">
            <v>8161</v>
          </cell>
          <cell r="U232">
            <v>0</v>
          </cell>
        </row>
        <row r="233">
          <cell r="T233">
            <v>8162</v>
          </cell>
          <cell r="U233">
            <v>0</v>
          </cell>
        </row>
        <row r="234">
          <cell r="T234">
            <v>8163</v>
          </cell>
          <cell r="U234">
            <v>0</v>
          </cell>
        </row>
        <row r="235">
          <cell r="T235">
            <v>8166</v>
          </cell>
          <cell r="U235">
            <v>0</v>
          </cell>
        </row>
        <row r="236">
          <cell r="T236">
            <v>8170</v>
          </cell>
          <cell r="U236">
            <v>0</v>
          </cell>
        </row>
        <row r="237">
          <cell r="T237">
            <v>8171</v>
          </cell>
          <cell r="U237">
            <v>0</v>
          </cell>
        </row>
        <row r="238">
          <cell r="T238">
            <v>8172</v>
          </cell>
          <cell r="U238">
            <v>0</v>
          </cell>
        </row>
        <row r="239">
          <cell r="T239">
            <v>8173</v>
          </cell>
          <cell r="U239">
            <v>0</v>
          </cell>
        </row>
        <row r="240">
          <cell r="T240">
            <v>8175</v>
          </cell>
          <cell r="U240">
            <v>0</v>
          </cell>
        </row>
        <row r="241">
          <cell r="T241">
            <v>8176</v>
          </cell>
          <cell r="U241">
            <v>0</v>
          </cell>
        </row>
        <row r="242">
          <cell r="T242">
            <v>8180</v>
          </cell>
          <cell r="U242">
            <v>0</v>
          </cell>
        </row>
        <row r="243">
          <cell r="T243">
            <v>8181</v>
          </cell>
          <cell r="U243">
            <v>0</v>
          </cell>
        </row>
        <row r="244">
          <cell r="T244">
            <v>8182</v>
          </cell>
          <cell r="U244">
            <v>0</v>
          </cell>
        </row>
        <row r="245">
          <cell r="T245">
            <v>8196</v>
          </cell>
          <cell r="U245">
            <v>0</v>
          </cell>
        </row>
        <row r="246">
          <cell r="T246">
            <v>8199</v>
          </cell>
          <cell r="U246">
            <v>0</v>
          </cell>
        </row>
        <row r="247">
          <cell r="T247" t="str">
            <v>8b00</v>
          </cell>
        </row>
        <row r="248">
          <cell r="T248" t="str">
            <v>8b01</v>
          </cell>
          <cell r="U248">
            <v>0</v>
          </cell>
        </row>
        <row r="249">
          <cell r="T249" t="str">
            <v>8b02</v>
          </cell>
          <cell r="U249">
            <v>0</v>
          </cell>
        </row>
        <row r="250">
          <cell r="T250" t="str">
            <v>8b03</v>
          </cell>
          <cell r="U250">
            <v>0</v>
          </cell>
        </row>
        <row r="251">
          <cell r="T251" t="str">
            <v>8b04</v>
          </cell>
          <cell r="U251">
            <v>0</v>
          </cell>
        </row>
        <row r="252">
          <cell r="T252" t="str">
            <v>8b09</v>
          </cell>
          <cell r="U252">
            <v>0</v>
          </cell>
        </row>
        <row r="253">
          <cell r="T253" t="str">
            <v>8b10</v>
          </cell>
          <cell r="U253">
            <v>0</v>
          </cell>
        </row>
        <row r="254">
          <cell r="T254" t="str">
            <v>8b90</v>
          </cell>
          <cell r="U254">
            <v>0</v>
          </cell>
        </row>
        <row r="255">
          <cell r="T255" t="str">
            <v>8b40</v>
          </cell>
          <cell r="U255">
            <v>0</v>
          </cell>
        </row>
        <row r="256">
          <cell r="T256" t="str">
            <v>8b50</v>
          </cell>
          <cell r="U256">
            <v>0</v>
          </cell>
        </row>
        <row r="257">
          <cell r="T257" t="str">
            <v>8b51</v>
          </cell>
          <cell r="U257">
            <v>0</v>
          </cell>
        </row>
        <row r="258">
          <cell r="T258" t="str">
            <v>8b53</v>
          </cell>
          <cell r="U258">
            <v>0</v>
          </cell>
        </row>
        <row r="259">
          <cell r="T259" t="str">
            <v>8b52</v>
          </cell>
          <cell r="U259">
            <v>0</v>
          </cell>
        </row>
        <row r="260">
          <cell r="T260" t="str">
            <v>8b56</v>
          </cell>
          <cell r="U260">
            <v>0</v>
          </cell>
        </row>
        <row r="261">
          <cell r="T261" t="str">
            <v>8b60</v>
          </cell>
          <cell r="U261">
            <v>0</v>
          </cell>
        </row>
        <row r="262">
          <cell r="T262" t="str">
            <v>8b61</v>
          </cell>
          <cell r="U262">
            <v>0</v>
          </cell>
        </row>
        <row r="263">
          <cell r="T263" t="str">
            <v>8b62</v>
          </cell>
          <cell r="U263">
            <v>0</v>
          </cell>
        </row>
        <row r="264">
          <cell r="T264" t="str">
            <v>8b63</v>
          </cell>
          <cell r="U264">
            <v>0</v>
          </cell>
        </row>
        <row r="265">
          <cell r="T265" t="str">
            <v>8b66</v>
          </cell>
          <cell r="U265">
            <v>0</v>
          </cell>
        </row>
        <row r="266">
          <cell r="T266" t="str">
            <v>8b70</v>
          </cell>
          <cell r="U266">
            <v>0</v>
          </cell>
        </row>
        <row r="267">
          <cell r="T267" t="str">
            <v>8b71</v>
          </cell>
          <cell r="U267">
            <v>0</v>
          </cell>
        </row>
        <row r="268">
          <cell r="T268" t="str">
            <v>8b72</v>
          </cell>
          <cell r="U268">
            <v>0</v>
          </cell>
        </row>
        <row r="269">
          <cell r="T269" t="str">
            <v>8b73</v>
          </cell>
          <cell r="U269">
            <v>0</v>
          </cell>
        </row>
        <row r="270">
          <cell r="T270" t="str">
            <v>8b75</v>
          </cell>
          <cell r="U270">
            <v>0</v>
          </cell>
        </row>
        <row r="271">
          <cell r="T271" t="str">
            <v>8b76</v>
          </cell>
          <cell r="U271">
            <v>0</v>
          </cell>
        </row>
        <row r="272">
          <cell r="T272" t="str">
            <v>8b80</v>
          </cell>
          <cell r="U272">
            <v>0</v>
          </cell>
        </row>
        <row r="273">
          <cell r="T273" t="str">
            <v>8b81</v>
          </cell>
          <cell r="U273">
            <v>0</v>
          </cell>
        </row>
        <row r="274">
          <cell r="T274" t="str">
            <v>8b82</v>
          </cell>
          <cell r="U274">
            <v>0</v>
          </cell>
        </row>
        <row r="275">
          <cell r="T275" t="str">
            <v>8b96</v>
          </cell>
          <cell r="U275">
            <v>0</v>
          </cell>
        </row>
        <row r="276">
          <cell r="T276" t="str">
            <v>8b99</v>
          </cell>
          <cell r="U276">
            <v>0</v>
          </cell>
        </row>
        <row r="277">
          <cell r="T277" t="str">
            <v>8c00</v>
          </cell>
        </row>
        <row r="278">
          <cell r="T278" t="str">
            <v>8c01</v>
          </cell>
          <cell r="U278">
            <v>0</v>
          </cell>
        </row>
        <row r="279">
          <cell r="T279" t="str">
            <v>8c02</v>
          </cell>
          <cell r="U279">
            <v>0</v>
          </cell>
        </row>
        <row r="280">
          <cell r="T280" t="str">
            <v>8c03</v>
          </cell>
          <cell r="U280">
            <v>0</v>
          </cell>
        </row>
        <row r="281">
          <cell r="T281" t="str">
            <v>8c04</v>
          </cell>
          <cell r="U281">
            <v>0</v>
          </cell>
        </row>
        <row r="282">
          <cell r="T282" t="str">
            <v>8c09</v>
          </cell>
          <cell r="U282">
            <v>0</v>
          </cell>
        </row>
        <row r="283">
          <cell r="T283" t="str">
            <v>8c10</v>
          </cell>
          <cell r="U283">
            <v>0</v>
          </cell>
        </row>
        <row r="284">
          <cell r="T284" t="str">
            <v>8c90</v>
          </cell>
          <cell r="U284">
            <v>0</v>
          </cell>
        </row>
        <row r="285">
          <cell r="T285" t="str">
            <v>8c40</v>
          </cell>
          <cell r="U285">
            <v>0</v>
          </cell>
        </row>
        <row r="286">
          <cell r="T286" t="str">
            <v>8c50</v>
          </cell>
          <cell r="U286">
            <v>0</v>
          </cell>
        </row>
        <row r="287">
          <cell r="T287" t="str">
            <v>8c51</v>
          </cell>
          <cell r="U287">
            <v>0</v>
          </cell>
        </row>
        <row r="288">
          <cell r="T288" t="str">
            <v>8c53</v>
          </cell>
          <cell r="U288">
            <v>0</v>
          </cell>
        </row>
        <row r="289">
          <cell r="T289" t="str">
            <v>8c52</v>
          </cell>
          <cell r="U289">
            <v>0</v>
          </cell>
        </row>
        <row r="290">
          <cell r="T290" t="str">
            <v>8c56</v>
          </cell>
          <cell r="U290">
            <v>0</v>
          </cell>
        </row>
        <row r="291">
          <cell r="T291" t="str">
            <v>8c60</v>
          </cell>
          <cell r="U291">
            <v>0</v>
          </cell>
        </row>
        <row r="292">
          <cell r="T292" t="str">
            <v>8c61</v>
          </cell>
          <cell r="U292">
            <v>0</v>
          </cell>
        </row>
        <row r="293">
          <cell r="T293" t="str">
            <v>8c62</v>
          </cell>
          <cell r="U293">
            <v>0</v>
          </cell>
        </row>
        <row r="294">
          <cell r="T294" t="str">
            <v>8c63</v>
          </cell>
          <cell r="U294">
            <v>0</v>
          </cell>
        </row>
        <row r="295">
          <cell r="T295" t="str">
            <v>8c66</v>
          </cell>
          <cell r="U295">
            <v>0</v>
          </cell>
        </row>
        <row r="296">
          <cell r="T296" t="str">
            <v>8c70</v>
          </cell>
          <cell r="U296">
            <v>0</v>
          </cell>
        </row>
        <row r="297">
          <cell r="T297" t="str">
            <v>8c71</v>
          </cell>
          <cell r="U297">
            <v>0</v>
          </cell>
        </row>
        <row r="298">
          <cell r="T298" t="str">
            <v>8c72</v>
          </cell>
          <cell r="U298">
            <v>0</v>
          </cell>
        </row>
        <row r="299">
          <cell r="T299" t="str">
            <v>8c73</v>
          </cell>
          <cell r="U299">
            <v>0</v>
          </cell>
        </row>
        <row r="300">
          <cell r="T300" t="str">
            <v>8c75</v>
          </cell>
          <cell r="U300">
            <v>0</v>
          </cell>
        </row>
        <row r="301">
          <cell r="T301" t="str">
            <v>8c76</v>
          </cell>
          <cell r="U301">
            <v>0</v>
          </cell>
        </row>
        <row r="302">
          <cell r="T302" t="str">
            <v>8c80</v>
          </cell>
          <cell r="U302">
            <v>0</v>
          </cell>
        </row>
        <row r="303">
          <cell r="T303" t="str">
            <v>8c81</v>
          </cell>
          <cell r="U303">
            <v>0</v>
          </cell>
        </row>
        <row r="304">
          <cell r="T304" t="str">
            <v>8c82</v>
          </cell>
          <cell r="U304">
            <v>0</v>
          </cell>
        </row>
        <row r="305">
          <cell r="T305" t="str">
            <v>8c96</v>
          </cell>
          <cell r="U305">
            <v>0</v>
          </cell>
        </row>
        <row r="306">
          <cell r="T306" t="str">
            <v>8c99</v>
          </cell>
          <cell r="U306">
            <v>0</v>
          </cell>
        </row>
        <row r="307">
          <cell r="T307" t="str">
            <v>8d00</v>
          </cell>
        </row>
        <row r="308">
          <cell r="T308" t="str">
            <v>8d01</v>
          </cell>
          <cell r="U308">
            <v>0</v>
          </cell>
        </row>
        <row r="309">
          <cell r="T309" t="str">
            <v>8d02</v>
          </cell>
          <cell r="U309">
            <v>0</v>
          </cell>
        </row>
        <row r="310">
          <cell r="T310" t="str">
            <v>8d03</v>
          </cell>
          <cell r="U310">
            <v>0</v>
          </cell>
        </row>
        <row r="311">
          <cell r="T311" t="str">
            <v>8d04</v>
          </cell>
          <cell r="U311">
            <v>0</v>
          </cell>
        </row>
        <row r="312">
          <cell r="T312" t="str">
            <v>8d09</v>
          </cell>
          <cell r="U312">
            <v>0</v>
          </cell>
        </row>
        <row r="313">
          <cell r="T313" t="str">
            <v>8d10</v>
          </cell>
          <cell r="U313">
            <v>0</v>
          </cell>
        </row>
        <row r="314">
          <cell r="T314" t="str">
            <v>8d90</v>
          </cell>
          <cell r="U314">
            <v>0</v>
          </cell>
        </row>
        <row r="315">
          <cell r="T315" t="str">
            <v>8d40</v>
          </cell>
          <cell r="U315">
            <v>0</v>
          </cell>
        </row>
        <row r="316">
          <cell r="T316" t="str">
            <v>8d50</v>
          </cell>
          <cell r="U316">
            <v>0</v>
          </cell>
        </row>
        <row r="317">
          <cell r="T317" t="str">
            <v>8d51</v>
          </cell>
          <cell r="U317">
            <v>0</v>
          </cell>
        </row>
        <row r="318">
          <cell r="T318" t="str">
            <v>8d53</v>
          </cell>
          <cell r="U318">
            <v>0</v>
          </cell>
        </row>
        <row r="319">
          <cell r="T319" t="str">
            <v>8d52</v>
          </cell>
          <cell r="U319">
            <v>0</v>
          </cell>
        </row>
        <row r="320">
          <cell r="T320" t="str">
            <v>8d56</v>
          </cell>
          <cell r="U320">
            <v>0</v>
          </cell>
        </row>
        <row r="321">
          <cell r="T321" t="str">
            <v>8d60</v>
          </cell>
          <cell r="U321">
            <v>0</v>
          </cell>
        </row>
        <row r="322">
          <cell r="T322" t="str">
            <v>8d61</v>
          </cell>
          <cell r="U322">
            <v>0</v>
          </cell>
        </row>
        <row r="323">
          <cell r="T323" t="str">
            <v>8d62</v>
          </cell>
          <cell r="U323">
            <v>0</v>
          </cell>
        </row>
        <row r="324">
          <cell r="T324" t="str">
            <v>8d63</v>
          </cell>
          <cell r="U324">
            <v>0</v>
          </cell>
        </row>
        <row r="325">
          <cell r="T325" t="str">
            <v>8d66</v>
          </cell>
          <cell r="U325">
            <v>0</v>
          </cell>
        </row>
        <row r="326">
          <cell r="T326" t="str">
            <v>8d70</v>
          </cell>
          <cell r="U326">
            <v>0</v>
          </cell>
        </row>
        <row r="327">
          <cell r="T327" t="str">
            <v>8d71</v>
          </cell>
          <cell r="U327">
            <v>0</v>
          </cell>
        </row>
        <row r="328">
          <cell r="T328" t="str">
            <v>8d72</v>
          </cell>
          <cell r="U328">
            <v>0</v>
          </cell>
        </row>
        <row r="329">
          <cell r="T329" t="str">
            <v>8d73</v>
          </cell>
          <cell r="U329">
            <v>0</v>
          </cell>
        </row>
        <row r="330">
          <cell r="T330" t="str">
            <v>8d75</v>
          </cell>
          <cell r="U330">
            <v>0</v>
          </cell>
        </row>
        <row r="331">
          <cell r="T331" t="str">
            <v>8d76</v>
          </cell>
          <cell r="U331">
            <v>0</v>
          </cell>
        </row>
        <row r="332">
          <cell r="T332" t="str">
            <v>8d80</v>
          </cell>
          <cell r="U332">
            <v>0</v>
          </cell>
        </row>
        <row r="333">
          <cell r="T333" t="str">
            <v>8d81</v>
          </cell>
          <cell r="U333">
            <v>0</v>
          </cell>
        </row>
        <row r="334">
          <cell r="T334" t="str">
            <v>8d82</v>
          </cell>
          <cell r="U334">
            <v>0</v>
          </cell>
        </row>
        <row r="335">
          <cell r="T335" t="str">
            <v>8d96</v>
          </cell>
          <cell r="U335">
            <v>0</v>
          </cell>
        </row>
        <row r="336">
          <cell r="T336" t="str">
            <v>8d99</v>
          </cell>
          <cell r="U336">
            <v>0</v>
          </cell>
        </row>
        <row r="337">
          <cell r="T337">
            <v>8200</v>
          </cell>
          <cell r="U337">
            <v>0</v>
          </cell>
        </row>
        <row r="338">
          <cell r="T338">
            <v>8201</v>
          </cell>
          <cell r="U338">
            <v>0</v>
          </cell>
        </row>
        <row r="339">
          <cell r="T339">
            <v>8202</v>
          </cell>
          <cell r="U339">
            <v>0</v>
          </cell>
        </row>
        <row r="340">
          <cell r="T340">
            <v>8203</v>
          </cell>
          <cell r="U340">
            <v>0</v>
          </cell>
        </row>
        <row r="341">
          <cell r="T341">
            <v>8204</v>
          </cell>
          <cell r="U341">
            <v>0</v>
          </cell>
        </row>
        <row r="342">
          <cell r="T342">
            <v>8209</v>
          </cell>
          <cell r="U342">
            <v>0</v>
          </cell>
        </row>
        <row r="343">
          <cell r="T343">
            <v>8210</v>
          </cell>
          <cell r="U343">
            <v>0</v>
          </cell>
        </row>
        <row r="344">
          <cell r="T344">
            <v>8290</v>
          </cell>
          <cell r="U344">
            <v>0</v>
          </cell>
        </row>
        <row r="345">
          <cell r="T345">
            <v>8221</v>
          </cell>
          <cell r="U345">
            <v>0</v>
          </cell>
        </row>
        <row r="346">
          <cell r="T346">
            <v>8230</v>
          </cell>
          <cell r="U346">
            <v>0</v>
          </cell>
        </row>
        <row r="347">
          <cell r="T347">
            <v>8240</v>
          </cell>
          <cell r="U347">
            <v>0</v>
          </cell>
        </row>
        <row r="348">
          <cell r="T348">
            <v>8250</v>
          </cell>
          <cell r="U348">
            <v>0</v>
          </cell>
        </row>
        <row r="349">
          <cell r="T349">
            <v>8251</v>
          </cell>
          <cell r="U349">
            <v>0</v>
          </cell>
        </row>
        <row r="350">
          <cell r="T350">
            <v>8253</v>
          </cell>
          <cell r="U350">
            <v>0</v>
          </cell>
        </row>
        <row r="351">
          <cell r="T351">
            <v>8252</v>
          </cell>
          <cell r="U351">
            <v>0</v>
          </cell>
        </row>
        <row r="352">
          <cell r="T352">
            <v>8256</v>
          </cell>
          <cell r="U352">
            <v>0</v>
          </cell>
        </row>
        <row r="353">
          <cell r="T353">
            <v>8260</v>
          </cell>
          <cell r="U353">
            <v>0</v>
          </cell>
        </row>
        <row r="354">
          <cell r="T354">
            <v>8261</v>
          </cell>
          <cell r="U354">
            <v>0</v>
          </cell>
        </row>
        <row r="355">
          <cell r="T355">
            <v>8262</v>
          </cell>
          <cell r="U355">
            <v>0</v>
          </cell>
        </row>
        <row r="356">
          <cell r="T356">
            <v>8263</v>
          </cell>
          <cell r="U356">
            <v>0</v>
          </cell>
        </row>
        <row r="357">
          <cell r="T357">
            <v>8266</v>
          </cell>
          <cell r="U357">
            <v>0</v>
          </cell>
        </row>
        <row r="358">
          <cell r="T358">
            <v>8270</v>
          </cell>
          <cell r="U358">
            <v>0</v>
          </cell>
        </row>
        <row r="359">
          <cell r="T359">
            <v>8271</v>
          </cell>
          <cell r="U359">
            <v>0</v>
          </cell>
        </row>
        <row r="360">
          <cell r="T360">
            <v>8272</v>
          </cell>
          <cell r="U360">
            <v>0</v>
          </cell>
        </row>
        <row r="361">
          <cell r="T361">
            <v>8273</v>
          </cell>
          <cell r="U361">
            <v>0</v>
          </cell>
        </row>
        <row r="362">
          <cell r="T362">
            <v>8275</v>
          </cell>
          <cell r="U362">
            <v>0</v>
          </cell>
        </row>
        <row r="363">
          <cell r="T363">
            <v>8276</v>
          </cell>
          <cell r="U363">
            <v>0</v>
          </cell>
        </row>
        <row r="364">
          <cell r="T364">
            <v>8280</v>
          </cell>
          <cell r="U364">
            <v>0</v>
          </cell>
        </row>
        <row r="365">
          <cell r="T365">
            <v>8281</v>
          </cell>
          <cell r="U365">
            <v>0</v>
          </cell>
        </row>
        <row r="366">
          <cell r="T366">
            <v>8282</v>
          </cell>
          <cell r="U366">
            <v>0</v>
          </cell>
        </row>
        <row r="367">
          <cell r="T367">
            <v>8296</v>
          </cell>
          <cell r="U367">
            <v>0</v>
          </cell>
        </row>
        <row r="368">
          <cell r="T368">
            <v>8299</v>
          </cell>
          <cell r="U368">
            <v>0</v>
          </cell>
        </row>
        <row r="369">
          <cell r="T369">
            <v>8300</v>
          </cell>
          <cell r="U369">
            <v>0</v>
          </cell>
        </row>
        <row r="370">
          <cell r="T370">
            <v>8301</v>
          </cell>
          <cell r="U370">
            <v>0</v>
          </cell>
        </row>
        <row r="371">
          <cell r="T371">
            <v>8302</v>
          </cell>
          <cell r="U371">
            <v>0</v>
          </cell>
        </row>
        <row r="372">
          <cell r="T372">
            <v>8303</v>
          </cell>
          <cell r="U372">
            <v>0</v>
          </cell>
        </row>
        <row r="373">
          <cell r="T373">
            <v>8304</v>
          </cell>
          <cell r="U373">
            <v>0</v>
          </cell>
        </row>
        <row r="374">
          <cell r="T374">
            <v>8309</v>
          </cell>
          <cell r="U374">
            <v>0</v>
          </cell>
        </row>
        <row r="375">
          <cell r="T375">
            <v>8310</v>
          </cell>
          <cell r="U375">
            <v>0</v>
          </cell>
        </row>
        <row r="376">
          <cell r="T376">
            <v>8390</v>
          </cell>
          <cell r="U376">
            <v>0</v>
          </cell>
        </row>
        <row r="377">
          <cell r="T377">
            <v>8321</v>
          </cell>
          <cell r="U377">
            <v>0</v>
          </cell>
        </row>
        <row r="378">
          <cell r="T378">
            <v>8330</v>
          </cell>
          <cell r="U378">
            <v>0</v>
          </cell>
        </row>
        <row r="379">
          <cell r="T379">
            <v>8340</v>
          </cell>
          <cell r="U379">
            <v>0</v>
          </cell>
        </row>
        <row r="380">
          <cell r="T380">
            <v>8350</v>
          </cell>
          <cell r="U380">
            <v>0</v>
          </cell>
        </row>
        <row r="381">
          <cell r="T381">
            <v>8351</v>
          </cell>
          <cell r="U381">
            <v>0</v>
          </cell>
        </row>
        <row r="382">
          <cell r="T382">
            <v>8353</v>
          </cell>
          <cell r="U382">
            <v>0</v>
          </cell>
        </row>
        <row r="383">
          <cell r="T383">
            <v>8352</v>
          </cell>
          <cell r="U383">
            <v>0</v>
          </cell>
        </row>
        <row r="384">
          <cell r="T384">
            <v>8356</v>
          </cell>
          <cell r="U384">
            <v>0</v>
          </cell>
        </row>
        <row r="385">
          <cell r="T385">
            <v>8360</v>
          </cell>
          <cell r="U385">
            <v>0</v>
          </cell>
        </row>
        <row r="386">
          <cell r="T386">
            <v>8361</v>
          </cell>
          <cell r="U386">
            <v>0</v>
          </cell>
        </row>
        <row r="387">
          <cell r="T387">
            <v>8362</v>
          </cell>
          <cell r="U387">
            <v>0</v>
          </cell>
        </row>
        <row r="388">
          <cell r="T388">
            <v>8363</v>
          </cell>
          <cell r="U388">
            <v>0</v>
          </cell>
        </row>
        <row r="389">
          <cell r="T389">
            <v>8366</v>
          </cell>
          <cell r="U389">
            <v>0</v>
          </cell>
        </row>
        <row r="390">
          <cell r="T390">
            <v>8370</v>
          </cell>
          <cell r="U390">
            <v>0</v>
          </cell>
        </row>
        <row r="391">
          <cell r="T391">
            <v>8371</v>
          </cell>
          <cell r="U391">
            <v>0</v>
          </cell>
        </row>
        <row r="392">
          <cell r="T392">
            <v>8372</v>
          </cell>
          <cell r="U392">
            <v>0</v>
          </cell>
        </row>
        <row r="393">
          <cell r="T393">
            <v>8373</v>
          </cell>
          <cell r="U393">
            <v>0</v>
          </cell>
        </row>
        <row r="394">
          <cell r="T394">
            <v>8375</v>
          </cell>
          <cell r="U394">
            <v>0</v>
          </cell>
        </row>
        <row r="395">
          <cell r="T395">
            <v>8376</v>
          </cell>
          <cell r="U395">
            <v>0</v>
          </cell>
        </row>
        <row r="396">
          <cell r="T396">
            <v>8380</v>
          </cell>
          <cell r="U396">
            <v>0</v>
          </cell>
        </row>
        <row r="397">
          <cell r="T397">
            <v>8381</v>
          </cell>
          <cell r="U397">
            <v>0</v>
          </cell>
        </row>
        <row r="398">
          <cell r="T398">
            <v>8382</v>
          </cell>
          <cell r="U398">
            <v>0</v>
          </cell>
        </row>
        <row r="399">
          <cell r="T399">
            <v>8396</v>
          </cell>
          <cell r="U399">
            <v>0</v>
          </cell>
        </row>
        <row r="400">
          <cell r="T400">
            <v>8399</v>
          </cell>
          <cell r="U400">
            <v>0</v>
          </cell>
        </row>
        <row r="401">
          <cell r="T401" t="str">
            <v>8g00</v>
          </cell>
        </row>
        <row r="402">
          <cell r="T402" t="str">
            <v>8g01</v>
          </cell>
          <cell r="U402">
            <v>0</v>
          </cell>
        </row>
        <row r="403">
          <cell r="T403" t="str">
            <v>8g02</v>
          </cell>
          <cell r="U403">
            <v>0</v>
          </cell>
        </row>
        <row r="404">
          <cell r="T404" t="str">
            <v>8g03</v>
          </cell>
          <cell r="U404">
            <v>0</v>
          </cell>
        </row>
        <row r="405">
          <cell r="T405" t="str">
            <v>8g04</v>
          </cell>
          <cell r="U405">
            <v>0</v>
          </cell>
        </row>
        <row r="406">
          <cell r="T406" t="str">
            <v>8g09</v>
          </cell>
          <cell r="U406">
            <v>0</v>
          </cell>
        </row>
        <row r="407">
          <cell r="T407" t="str">
            <v>8g10</v>
          </cell>
          <cell r="U407">
            <v>0</v>
          </cell>
        </row>
        <row r="408">
          <cell r="T408" t="str">
            <v>8g90</v>
          </cell>
          <cell r="U408">
            <v>0</v>
          </cell>
        </row>
        <row r="409">
          <cell r="T409" t="str">
            <v>8g40</v>
          </cell>
          <cell r="U409">
            <v>0</v>
          </cell>
        </row>
        <row r="410">
          <cell r="T410" t="str">
            <v>8g50</v>
          </cell>
          <cell r="U410">
            <v>0</v>
          </cell>
        </row>
        <row r="411">
          <cell r="T411" t="str">
            <v>8g51</v>
          </cell>
          <cell r="U411">
            <v>0</v>
          </cell>
        </row>
        <row r="412">
          <cell r="T412" t="str">
            <v>8g53</v>
          </cell>
          <cell r="U412">
            <v>0</v>
          </cell>
        </row>
        <row r="413">
          <cell r="T413" t="str">
            <v>8g52</v>
          </cell>
          <cell r="U413">
            <v>0</v>
          </cell>
        </row>
        <row r="414">
          <cell r="T414" t="str">
            <v>8g56</v>
          </cell>
          <cell r="U414">
            <v>0</v>
          </cell>
        </row>
        <row r="415">
          <cell r="T415" t="str">
            <v>8g60</v>
          </cell>
          <cell r="U415">
            <v>0</v>
          </cell>
        </row>
        <row r="416">
          <cell r="T416" t="str">
            <v>8g61</v>
          </cell>
          <cell r="U416">
            <v>0</v>
          </cell>
        </row>
        <row r="417">
          <cell r="T417" t="str">
            <v>8g62</v>
          </cell>
          <cell r="U417">
            <v>0</v>
          </cell>
        </row>
        <row r="418">
          <cell r="T418" t="str">
            <v>8g63</v>
          </cell>
          <cell r="U418">
            <v>0</v>
          </cell>
        </row>
        <row r="419">
          <cell r="T419" t="str">
            <v>8g66</v>
          </cell>
          <cell r="U419">
            <v>0</v>
          </cell>
        </row>
        <row r="420">
          <cell r="T420" t="str">
            <v>8g70</v>
          </cell>
          <cell r="U420">
            <v>0</v>
          </cell>
        </row>
        <row r="421">
          <cell r="T421" t="str">
            <v>8g71</v>
          </cell>
          <cell r="U421">
            <v>0</v>
          </cell>
        </row>
        <row r="422">
          <cell r="T422" t="str">
            <v>8g72</v>
          </cell>
          <cell r="U422">
            <v>0</v>
          </cell>
        </row>
        <row r="423">
          <cell r="T423" t="str">
            <v>8g73</v>
          </cell>
          <cell r="U423">
            <v>0</v>
          </cell>
        </row>
        <row r="424">
          <cell r="T424" t="str">
            <v>8g75</v>
          </cell>
          <cell r="U424">
            <v>0</v>
          </cell>
        </row>
        <row r="425">
          <cell r="T425" t="str">
            <v>8g76</v>
          </cell>
          <cell r="U425">
            <v>0</v>
          </cell>
        </row>
        <row r="426">
          <cell r="T426" t="str">
            <v>8g80</v>
          </cell>
          <cell r="U426">
            <v>0</v>
          </cell>
        </row>
        <row r="427">
          <cell r="T427" t="str">
            <v>8g81</v>
          </cell>
          <cell r="U427">
            <v>0</v>
          </cell>
        </row>
        <row r="428">
          <cell r="T428" t="str">
            <v>8g82</v>
          </cell>
          <cell r="U428">
            <v>0</v>
          </cell>
        </row>
        <row r="429">
          <cell r="T429" t="str">
            <v>8g96</v>
          </cell>
          <cell r="U429">
            <v>0</v>
          </cell>
        </row>
        <row r="430">
          <cell r="T430" t="str">
            <v>8g99</v>
          </cell>
          <cell r="U430">
            <v>0</v>
          </cell>
        </row>
        <row r="431">
          <cell r="T431">
            <v>8400</v>
          </cell>
          <cell r="U431">
            <v>0</v>
          </cell>
        </row>
        <row r="432">
          <cell r="T432">
            <v>8401</v>
          </cell>
          <cell r="U432">
            <v>0</v>
          </cell>
        </row>
        <row r="433">
          <cell r="T433">
            <v>8402</v>
          </cell>
          <cell r="U433">
            <v>0</v>
          </cell>
        </row>
        <row r="434">
          <cell r="T434">
            <v>8403</v>
          </cell>
          <cell r="U434">
            <v>0</v>
          </cell>
        </row>
        <row r="435">
          <cell r="T435">
            <v>8404</v>
          </cell>
          <cell r="U435">
            <v>0</v>
          </cell>
        </row>
        <row r="436">
          <cell r="T436">
            <v>8409</v>
          </cell>
          <cell r="U436">
            <v>0</v>
          </cell>
        </row>
        <row r="437">
          <cell r="T437">
            <v>8410</v>
          </cell>
          <cell r="U437">
            <v>0</v>
          </cell>
        </row>
        <row r="438">
          <cell r="T438">
            <v>8490</v>
          </cell>
          <cell r="U438">
            <v>0</v>
          </cell>
        </row>
        <row r="439">
          <cell r="T439">
            <v>8421</v>
          </cell>
          <cell r="U439">
            <v>0</v>
          </cell>
        </row>
        <row r="440">
          <cell r="T440">
            <v>8430</v>
          </cell>
          <cell r="U440">
            <v>0</v>
          </cell>
        </row>
        <row r="441">
          <cell r="T441">
            <v>8440</v>
          </cell>
          <cell r="U441">
            <v>0</v>
          </cell>
        </row>
        <row r="442">
          <cell r="T442">
            <v>8450</v>
          </cell>
          <cell r="U442">
            <v>0</v>
          </cell>
        </row>
        <row r="443">
          <cell r="T443">
            <v>8451</v>
          </cell>
          <cell r="U443">
            <v>0</v>
          </cell>
        </row>
        <row r="444">
          <cell r="T444">
            <v>8453</v>
          </cell>
          <cell r="U444">
            <v>0</v>
          </cell>
        </row>
        <row r="445">
          <cell r="T445">
            <v>8452</v>
          </cell>
          <cell r="U445">
            <v>0</v>
          </cell>
        </row>
        <row r="446">
          <cell r="T446">
            <v>8456</v>
          </cell>
          <cell r="U446">
            <v>0</v>
          </cell>
        </row>
        <row r="447">
          <cell r="T447">
            <v>8460</v>
          </cell>
          <cell r="U447">
            <v>0</v>
          </cell>
        </row>
        <row r="448">
          <cell r="T448">
            <v>8461</v>
          </cell>
          <cell r="U448">
            <v>0</v>
          </cell>
        </row>
        <row r="449">
          <cell r="T449">
            <v>8462</v>
          </cell>
          <cell r="U449">
            <v>0</v>
          </cell>
        </row>
        <row r="450">
          <cell r="T450">
            <v>8463</v>
          </cell>
          <cell r="U450">
            <v>0</v>
          </cell>
        </row>
        <row r="451">
          <cell r="T451">
            <v>8466</v>
          </cell>
          <cell r="U451">
            <v>0</v>
          </cell>
        </row>
        <row r="452">
          <cell r="T452">
            <v>8470</v>
          </cell>
          <cell r="U452">
            <v>0</v>
          </cell>
        </row>
        <row r="453">
          <cell r="T453">
            <v>8471</v>
          </cell>
          <cell r="U453">
            <v>0</v>
          </cell>
        </row>
        <row r="454">
          <cell r="T454">
            <v>8472</v>
          </cell>
          <cell r="U454">
            <v>0</v>
          </cell>
        </row>
        <row r="455">
          <cell r="T455">
            <v>8473</v>
          </cell>
          <cell r="U455">
            <v>0</v>
          </cell>
        </row>
        <row r="456">
          <cell r="T456">
            <v>8475</v>
          </cell>
          <cell r="U456">
            <v>0</v>
          </cell>
        </row>
        <row r="457">
          <cell r="T457">
            <v>8476</v>
          </cell>
          <cell r="U457">
            <v>0</v>
          </cell>
        </row>
        <row r="458">
          <cell r="T458">
            <v>8480</v>
          </cell>
          <cell r="U458">
            <v>0</v>
          </cell>
        </row>
        <row r="459">
          <cell r="T459">
            <v>8481</v>
          </cell>
          <cell r="U459">
            <v>0</v>
          </cell>
        </row>
        <row r="460">
          <cell r="T460">
            <v>8482</v>
          </cell>
          <cell r="U460">
            <v>0</v>
          </cell>
        </row>
        <row r="461">
          <cell r="T461">
            <v>8496</v>
          </cell>
          <cell r="U461">
            <v>0</v>
          </cell>
        </row>
        <row r="462">
          <cell r="T462">
            <v>8499</v>
          </cell>
          <cell r="U462">
            <v>0</v>
          </cell>
        </row>
        <row r="463">
          <cell r="T463">
            <v>8500</v>
          </cell>
          <cell r="U463">
            <v>0</v>
          </cell>
        </row>
        <row r="464">
          <cell r="T464">
            <v>8501</v>
          </cell>
          <cell r="U464">
            <v>0</v>
          </cell>
        </row>
        <row r="465">
          <cell r="T465">
            <v>8502</v>
          </cell>
          <cell r="U465">
            <v>0</v>
          </cell>
        </row>
        <row r="466">
          <cell r="T466">
            <v>8503</v>
          </cell>
          <cell r="U466">
            <v>0</v>
          </cell>
        </row>
        <row r="467">
          <cell r="T467">
            <v>8504</v>
          </cell>
          <cell r="U467">
            <v>0</v>
          </cell>
        </row>
        <row r="468">
          <cell r="T468">
            <v>8509</v>
          </cell>
          <cell r="U468">
            <v>0</v>
          </cell>
        </row>
        <row r="469">
          <cell r="T469">
            <v>8510</v>
          </cell>
          <cell r="U469">
            <v>0</v>
          </cell>
        </row>
        <row r="470">
          <cell r="T470">
            <v>8590</v>
          </cell>
          <cell r="U470">
            <v>0</v>
          </cell>
        </row>
        <row r="471">
          <cell r="T471">
            <v>8521</v>
          </cell>
          <cell r="U471">
            <v>0</v>
          </cell>
        </row>
        <row r="472">
          <cell r="T472">
            <v>8530</v>
          </cell>
          <cell r="U472">
            <v>0</v>
          </cell>
        </row>
        <row r="473">
          <cell r="T473">
            <v>8540</v>
          </cell>
          <cell r="U473">
            <v>0</v>
          </cell>
        </row>
        <row r="474">
          <cell r="T474">
            <v>8550</v>
          </cell>
          <cell r="U474">
            <v>0</v>
          </cell>
        </row>
        <row r="475">
          <cell r="T475">
            <v>8551</v>
          </cell>
          <cell r="U475">
            <v>0</v>
          </cell>
        </row>
        <row r="476">
          <cell r="T476">
            <v>8553</v>
          </cell>
          <cell r="U476">
            <v>0</v>
          </cell>
        </row>
        <row r="477">
          <cell r="T477">
            <v>8552</v>
          </cell>
          <cell r="U477">
            <v>0</v>
          </cell>
        </row>
        <row r="478">
          <cell r="T478">
            <v>8556</v>
          </cell>
          <cell r="U478">
            <v>0</v>
          </cell>
        </row>
        <row r="479">
          <cell r="T479">
            <v>8560</v>
          </cell>
          <cell r="U479">
            <v>0</v>
          </cell>
        </row>
        <row r="480">
          <cell r="T480">
            <v>8561</v>
          </cell>
          <cell r="U480">
            <v>0</v>
          </cell>
        </row>
        <row r="481">
          <cell r="T481">
            <v>8562</v>
          </cell>
          <cell r="U481">
            <v>0</v>
          </cell>
        </row>
        <row r="482">
          <cell r="T482">
            <v>8563</v>
          </cell>
          <cell r="U482">
            <v>0</v>
          </cell>
        </row>
        <row r="483">
          <cell r="T483">
            <v>8566</v>
          </cell>
          <cell r="U483">
            <v>0</v>
          </cell>
        </row>
        <row r="484">
          <cell r="T484">
            <v>8570</v>
          </cell>
          <cell r="U484">
            <v>0</v>
          </cell>
        </row>
        <row r="485">
          <cell r="T485">
            <v>8571</v>
          </cell>
          <cell r="U485">
            <v>0</v>
          </cell>
        </row>
        <row r="486">
          <cell r="T486">
            <v>8572</v>
          </cell>
          <cell r="U486">
            <v>0</v>
          </cell>
        </row>
        <row r="487">
          <cell r="T487">
            <v>8573</v>
          </cell>
          <cell r="U487">
            <v>0</v>
          </cell>
        </row>
        <row r="488">
          <cell r="T488">
            <v>8575</v>
          </cell>
          <cell r="U488">
            <v>0</v>
          </cell>
        </row>
        <row r="489">
          <cell r="T489">
            <v>8576</v>
          </cell>
          <cell r="U489">
            <v>0</v>
          </cell>
        </row>
        <row r="490">
          <cell r="T490">
            <v>8580</v>
          </cell>
          <cell r="U490">
            <v>0</v>
          </cell>
        </row>
        <row r="491">
          <cell r="T491">
            <v>8581</v>
          </cell>
          <cell r="U491">
            <v>0</v>
          </cell>
        </row>
        <row r="492">
          <cell r="T492">
            <v>8582</v>
          </cell>
          <cell r="U492">
            <v>0</v>
          </cell>
        </row>
        <row r="493">
          <cell r="T493">
            <v>8596</v>
          </cell>
          <cell r="U493">
            <v>0</v>
          </cell>
        </row>
        <row r="494">
          <cell r="T494">
            <v>8599</v>
          </cell>
          <cell r="U494">
            <v>0</v>
          </cell>
        </row>
        <row r="495">
          <cell r="T495">
            <v>8600</v>
          </cell>
          <cell r="U495">
            <v>0</v>
          </cell>
        </row>
        <row r="496">
          <cell r="T496">
            <v>8601</v>
          </cell>
          <cell r="U496">
            <v>0</v>
          </cell>
        </row>
        <row r="497">
          <cell r="T497">
            <v>8602</v>
          </cell>
          <cell r="U497">
            <v>0</v>
          </cell>
        </row>
        <row r="498">
          <cell r="T498">
            <v>8603</v>
          </cell>
          <cell r="U498">
            <v>0</v>
          </cell>
        </row>
        <row r="499">
          <cell r="T499">
            <v>8604</v>
          </cell>
          <cell r="U499">
            <v>0</v>
          </cell>
        </row>
        <row r="500">
          <cell r="T500">
            <v>8609</v>
          </cell>
          <cell r="U500">
            <v>0</v>
          </cell>
        </row>
        <row r="501">
          <cell r="T501">
            <v>8610</v>
          </cell>
          <cell r="U501">
            <v>0</v>
          </cell>
        </row>
        <row r="502">
          <cell r="T502">
            <v>8690</v>
          </cell>
          <cell r="U502">
            <v>0</v>
          </cell>
        </row>
        <row r="503">
          <cell r="T503">
            <v>8621</v>
          </cell>
          <cell r="U503">
            <v>0</v>
          </cell>
        </row>
        <row r="504">
          <cell r="T504">
            <v>8630</v>
          </cell>
          <cell r="U504">
            <v>0</v>
          </cell>
        </row>
        <row r="505">
          <cell r="T505">
            <v>8640</v>
          </cell>
          <cell r="U505">
            <v>0</v>
          </cell>
        </row>
        <row r="506">
          <cell r="T506">
            <v>8650</v>
          </cell>
          <cell r="U506">
            <v>0</v>
          </cell>
        </row>
        <row r="507">
          <cell r="T507">
            <v>8651</v>
          </cell>
          <cell r="U507">
            <v>0</v>
          </cell>
        </row>
        <row r="508">
          <cell r="T508">
            <v>8653</v>
          </cell>
          <cell r="U508">
            <v>0</v>
          </cell>
        </row>
        <row r="509">
          <cell r="T509">
            <v>8652</v>
          </cell>
          <cell r="U509">
            <v>0</v>
          </cell>
        </row>
        <row r="510">
          <cell r="T510">
            <v>8656</v>
          </cell>
          <cell r="U510">
            <v>0</v>
          </cell>
        </row>
        <row r="511">
          <cell r="T511">
            <v>8660</v>
          </cell>
          <cell r="U511">
            <v>0</v>
          </cell>
        </row>
        <row r="512">
          <cell r="T512">
            <v>8661</v>
          </cell>
          <cell r="U512">
            <v>0</v>
          </cell>
        </row>
        <row r="513">
          <cell r="T513">
            <v>8662</v>
          </cell>
          <cell r="U513">
            <v>0</v>
          </cell>
        </row>
        <row r="514">
          <cell r="T514">
            <v>8663</v>
          </cell>
          <cell r="U514">
            <v>0</v>
          </cell>
        </row>
        <row r="515">
          <cell r="T515">
            <v>8666</v>
          </cell>
          <cell r="U515">
            <v>0</v>
          </cell>
        </row>
        <row r="516">
          <cell r="T516">
            <v>8670</v>
          </cell>
          <cell r="U516">
            <v>0</v>
          </cell>
        </row>
        <row r="517">
          <cell r="T517">
            <v>8671</v>
          </cell>
          <cell r="U517">
            <v>0</v>
          </cell>
        </row>
        <row r="518">
          <cell r="T518">
            <v>8672</v>
          </cell>
          <cell r="U518">
            <v>0</v>
          </cell>
        </row>
        <row r="519">
          <cell r="T519">
            <v>8673</v>
          </cell>
          <cell r="U519">
            <v>0</v>
          </cell>
        </row>
        <row r="520">
          <cell r="T520">
            <v>8675</v>
          </cell>
          <cell r="U520">
            <v>0</v>
          </cell>
        </row>
        <row r="521">
          <cell r="T521">
            <v>8676</v>
          </cell>
          <cell r="U521">
            <v>0</v>
          </cell>
        </row>
        <row r="522">
          <cell r="T522">
            <v>8680</v>
          </cell>
          <cell r="U522">
            <v>0</v>
          </cell>
        </row>
        <row r="523">
          <cell r="T523">
            <v>8681</v>
          </cell>
          <cell r="U523">
            <v>0</v>
          </cell>
        </row>
        <row r="524">
          <cell r="T524">
            <v>8682</v>
          </cell>
          <cell r="U524">
            <v>0</v>
          </cell>
        </row>
        <row r="525">
          <cell r="T525">
            <v>8696</v>
          </cell>
          <cell r="U525">
            <v>0</v>
          </cell>
        </row>
        <row r="526">
          <cell r="T526">
            <v>8699</v>
          </cell>
          <cell r="U526">
            <v>0</v>
          </cell>
        </row>
        <row r="527">
          <cell r="T527">
            <v>8700</v>
          </cell>
          <cell r="U527">
            <v>0</v>
          </cell>
        </row>
        <row r="528">
          <cell r="T528">
            <v>8701</v>
          </cell>
          <cell r="U528">
            <v>0</v>
          </cell>
        </row>
        <row r="529">
          <cell r="T529">
            <v>8702</v>
          </cell>
          <cell r="U529">
            <v>0</v>
          </cell>
        </row>
        <row r="530">
          <cell r="T530">
            <v>8703</v>
          </cell>
          <cell r="U530">
            <v>0</v>
          </cell>
        </row>
        <row r="531">
          <cell r="T531">
            <v>8704</v>
          </cell>
          <cell r="U531">
            <v>0</v>
          </cell>
        </row>
        <row r="532">
          <cell r="T532">
            <v>8709</v>
          </cell>
          <cell r="U532">
            <v>0</v>
          </cell>
        </row>
        <row r="533">
          <cell r="T533">
            <v>8710</v>
          </cell>
          <cell r="U533">
            <v>0</v>
          </cell>
        </row>
        <row r="534">
          <cell r="T534">
            <v>8790</v>
          </cell>
          <cell r="U534">
            <v>0</v>
          </cell>
        </row>
        <row r="535">
          <cell r="T535">
            <v>8721</v>
          </cell>
          <cell r="U535">
            <v>0</v>
          </cell>
        </row>
        <row r="536">
          <cell r="T536">
            <v>8730</v>
          </cell>
        </row>
        <row r="537">
          <cell r="T537">
            <v>8740</v>
          </cell>
          <cell r="U537">
            <v>0</v>
          </cell>
        </row>
        <row r="538">
          <cell r="T538">
            <v>8750</v>
          </cell>
          <cell r="U538">
            <v>0</v>
          </cell>
        </row>
        <row r="539">
          <cell r="T539">
            <v>8751</v>
          </cell>
          <cell r="U539">
            <v>0</v>
          </cell>
        </row>
        <row r="540">
          <cell r="T540">
            <v>8753</v>
          </cell>
          <cell r="U540">
            <v>0</v>
          </cell>
        </row>
        <row r="541">
          <cell r="T541">
            <v>8752</v>
          </cell>
          <cell r="U541">
            <v>0</v>
          </cell>
        </row>
        <row r="542">
          <cell r="T542">
            <v>8756</v>
          </cell>
          <cell r="U542">
            <v>0</v>
          </cell>
        </row>
        <row r="543">
          <cell r="T543">
            <v>8760</v>
          </cell>
          <cell r="U543">
            <v>0</v>
          </cell>
        </row>
        <row r="544">
          <cell r="T544">
            <v>8761</v>
          </cell>
          <cell r="U544">
            <v>0</v>
          </cell>
        </row>
        <row r="545">
          <cell r="T545">
            <v>8762</v>
          </cell>
          <cell r="U545">
            <v>0</v>
          </cell>
        </row>
        <row r="546">
          <cell r="T546">
            <v>8763</v>
          </cell>
          <cell r="U546">
            <v>0</v>
          </cell>
        </row>
        <row r="547">
          <cell r="T547">
            <v>8766</v>
          </cell>
          <cell r="U547">
            <v>0</v>
          </cell>
        </row>
        <row r="548">
          <cell r="T548">
            <v>8770</v>
          </cell>
          <cell r="U548">
            <v>0</v>
          </cell>
        </row>
        <row r="549">
          <cell r="T549">
            <v>8771</v>
          </cell>
          <cell r="U549">
            <v>0</v>
          </cell>
        </row>
        <row r="550">
          <cell r="T550">
            <v>8772</v>
          </cell>
          <cell r="U550">
            <v>0</v>
          </cell>
        </row>
        <row r="551">
          <cell r="T551">
            <v>8773</v>
          </cell>
          <cell r="U551">
            <v>0</v>
          </cell>
        </row>
        <row r="552">
          <cell r="T552">
            <v>8775</v>
          </cell>
          <cell r="U552">
            <v>0</v>
          </cell>
        </row>
        <row r="553">
          <cell r="T553">
            <v>8776</v>
          </cell>
          <cell r="U553">
            <v>0</v>
          </cell>
        </row>
        <row r="554">
          <cell r="T554">
            <v>8780</v>
          </cell>
          <cell r="U554">
            <v>0</v>
          </cell>
        </row>
        <row r="555">
          <cell r="T555">
            <v>8781</v>
          </cell>
          <cell r="U555">
            <v>0</v>
          </cell>
        </row>
        <row r="556">
          <cell r="T556">
            <v>8782</v>
          </cell>
          <cell r="U556">
            <v>0</v>
          </cell>
        </row>
        <row r="557">
          <cell r="T557">
            <v>8796</v>
          </cell>
          <cell r="U557">
            <v>0</v>
          </cell>
        </row>
        <row r="558">
          <cell r="T558">
            <v>8799</v>
          </cell>
          <cell r="U558">
            <v>0</v>
          </cell>
        </row>
        <row r="559">
          <cell r="T559">
            <v>8800</v>
          </cell>
          <cell r="U559">
            <v>0</v>
          </cell>
        </row>
        <row r="560">
          <cell r="T560">
            <v>8801</v>
          </cell>
          <cell r="U560">
            <v>0</v>
          </cell>
        </row>
        <row r="561">
          <cell r="T561">
            <v>8802</v>
          </cell>
          <cell r="U561">
            <v>0</v>
          </cell>
        </row>
        <row r="562">
          <cell r="T562">
            <v>8803</v>
          </cell>
          <cell r="U562">
            <v>0</v>
          </cell>
        </row>
        <row r="563">
          <cell r="T563">
            <v>8804</v>
          </cell>
          <cell r="U563">
            <v>0</v>
          </cell>
        </row>
        <row r="564">
          <cell r="T564">
            <v>8809</v>
          </cell>
          <cell r="U564">
            <v>0</v>
          </cell>
        </row>
        <row r="565">
          <cell r="T565">
            <v>8810</v>
          </cell>
          <cell r="U565">
            <v>0</v>
          </cell>
        </row>
        <row r="566">
          <cell r="T566">
            <v>8890</v>
          </cell>
          <cell r="U566">
            <v>0</v>
          </cell>
        </row>
        <row r="567">
          <cell r="T567">
            <v>8821</v>
          </cell>
          <cell r="U567">
            <v>0</v>
          </cell>
        </row>
        <row r="568">
          <cell r="T568">
            <v>8830</v>
          </cell>
          <cell r="U568">
            <v>0</v>
          </cell>
        </row>
        <row r="569">
          <cell r="T569">
            <v>8840</v>
          </cell>
          <cell r="U569">
            <v>0</v>
          </cell>
        </row>
        <row r="570">
          <cell r="T570">
            <v>8850</v>
          </cell>
          <cell r="U570">
            <v>0</v>
          </cell>
        </row>
        <row r="571">
          <cell r="T571">
            <v>8851</v>
          </cell>
          <cell r="U571">
            <v>0</v>
          </cell>
        </row>
        <row r="572">
          <cell r="T572">
            <v>8853</v>
          </cell>
          <cell r="U572">
            <v>0</v>
          </cell>
        </row>
        <row r="573">
          <cell r="T573">
            <v>8852</v>
          </cell>
          <cell r="U573">
            <v>0</v>
          </cell>
        </row>
        <row r="574">
          <cell r="T574">
            <v>8856</v>
          </cell>
          <cell r="U574">
            <v>0</v>
          </cell>
        </row>
        <row r="575">
          <cell r="T575">
            <v>8860</v>
          </cell>
          <cell r="U575">
            <v>0</v>
          </cell>
        </row>
        <row r="576">
          <cell r="T576">
            <v>8861</v>
          </cell>
          <cell r="U576">
            <v>0</v>
          </cell>
        </row>
        <row r="577">
          <cell r="T577">
            <v>8862</v>
          </cell>
          <cell r="U577">
            <v>0</v>
          </cell>
        </row>
        <row r="578">
          <cell r="T578">
            <v>8863</v>
          </cell>
          <cell r="U578">
            <v>0</v>
          </cell>
        </row>
        <row r="579">
          <cell r="T579">
            <v>8866</v>
          </cell>
          <cell r="U579">
            <v>0</v>
          </cell>
        </row>
        <row r="580">
          <cell r="T580">
            <v>8870</v>
          </cell>
          <cell r="U580">
            <v>0</v>
          </cell>
        </row>
        <row r="581">
          <cell r="T581">
            <v>8871</v>
          </cell>
          <cell r="U581">
            <v>0</v>
          </cell>
        </row>
        <row r="582">
          <cell r="T582">
            <v>8872</v>
          </cell>
          <cell r="U582">
            <v>0</v>
          </cell>
        </row>
        <row r="583">
          <cell r="T583">
            <v>8873</v>
          </cell>
          <cell r="U583">
            <v>0</v>
          </cell>
        </row>
        <row r="584">
          <cell r="T584">
            <v>8875</v>
          </cell>
          <cell r="U584">
            <v>0</v>
          </cell>
        </row>
        <row r="585">
          <cell r="T585">
            <v>8876</v>
          </cell>
          <cell r="U585">
            <v>0</v>
          </cell>
        </row>
        <row r="586">
          <cell r="T586">
            <v>8880</v>
          </cell>
          <cell r="U586">
            <v>0</v>
          </cell>
        </row>
        <row r="587">
          <cell r="T587">
            <v>8881</v>
          </cell>
          <cell r="U587">
            <v>0</v>
          </cell>
        </row>
        <row r="588">
          <cell r="T588">
            <v>8882</v>
          </cell>
          <cell r="U588">
            <v>0</v>
          </cell>
        </row>
        <row r="589">
          <cell r="T589">
            <v>8896</v>
          </cell>
          <cell r="U589">
            <v>0</v>
          </cell>
        </row>
        <row r="590">
          <cell r="T590">
            <v>8899</v>
          </cell>
          <cell r="U590">
            <v>0</v>
          </cell>
        </row>
        <row r="591">
          <cell r="T591">
            <v>8900</v>
          </cell>
          <cell r="U591">
            <v>0</v>
          </cell>
        </row>
        <row r="592">
          <cell r="T592">
            <v>8901</v>
          </cell>
          <cell r="U592">
            <v>0</v>
          </cell>
        </row>
        <row r="593">
          <cell r="T593">
            <v>8902</v>
          </cell>
          <cell r="U593">
            <v>0</v>
          </cell>
        </row>
        <row r="594">
          <cell r="T594">
            <v>8903</v>
          </cell>
          <cell r="U594">
            <v>0</v>
          </cell>
        </row>
        <row r="595">
          <cell r="T595">
            <v>8904</v>
          </cell>
          <cell r="U595">
            <v>0</v>
          </cell>
        </row>
        <row r="596">
          <cell r="T596">
            <v>8909</v>
          </cell>
          <cell r="U596">
            <v>0</v>
          </cell>
        </row>
        <row r="597">
          <cell r="T597">
            <v>8910</v>
          </cell>
          <cell r="U597">
            <v>0</v>
          </cell>
        </row>
        <row r="598">
          <cell r="T598">
            <v>8990</v>
          </cell>
          <cell r="U598">
            <v>0</v>
          </cell>
        </row>
        <row r="599">
          <cell r="T599">
            <v>8921</v>
          </cell>
          <cell r="U599">
            <v>0</v>
          </cell>
        </row>
        <row r="600">
          <cell r="T600">
            <v>8930</v>
          </cell>
          <cell r="U600">
            <v>0</v>
          </cell>
        </row>
        <row r="601">
          <cell r="T601">
            <v>8940</v>
          </cell>
          <cell r="U601">
            <v>0</v>
          </cell>
        </row>
        <row r="602">
          <cell r="T602">
            <v>8950</v>
          </cell>
          <cell r="U602">
            <v>0</v>
          </cell>
        </row>
        <row r="603">
          <cell r="T603">
            <v>8951</v>
          </cell>
          <cell r="U603">
            <v>0</v>
          </cell>
        </row>
        <row r="604">
          <cell r="T604">
            <v>8953</v>
          </cell>
          <cell r="U604">
            <v>0</v>
          </cell>
        </row>
        <row r="605">
          <cell r="T605">
            <v>8952</v>
          </cell>
          <cell r="U605">
            <v>0</v>
          </cell>
        </row>
        <row r="606">
          <cell r="T606">
            <v>8956</v>
          </cell>
          <cell r="U606">
            <v>0</v>
          </cell>
        </row>
        <row r="607">
          <cell r="T607">
            <v>8960</v>
          </cell>
          <cell r="U607">
            <v>0</v>
          </cell>
        </row>
        <row r="608">
          <cell r="T608">
            <v>8961</v>
          </cell>
          <cell r="U608">
            <v>0</v>
          </cell>
        </row>
        <row r="609">
          <cell r="T609">
            <v>8962</v>
          </cell>
          <cell r="U609">
            <v>0</v>
          </cell>
        </row>
        <row r="610">
          <cell r="T610">
            <v>8963</v>
          </cell>
          <cell r="U610">
            <v>0</v>
          </cell>
        </row>
        <row r="611">
          <cell r="T611">
            <v>8966</v>
          </cell>
          <cell r="U611">
            <v>0</v>
          </cell>
        </row>
        <row r="612">
          <cell r="T612">
            <v>8970</v>
          </cell>
          <cell r="U612">
            <v>0</v>
          </cell>
        </row>
        <row r="613">
          <cell r="T613">
            <v>8971</v>
          </cell>
          <cell r="U613">
            <v>0</v>
          </cell>
        </row>
        <row r="614">
          <cell r="T614">
            <v>8972</v>
          </cell>
          <cell r="U614">
            <v>0</v>
          </cell>
        </row>
        <row r="615">
          <cell r="T615">
            <v>8973</v>
          </cell>
          <cell r="U615">
            <v>0</v>
          </cell>
        </row>
        <row r="616">
          <cell r="T616">
            <v>8975</v>
          </cell>
          <cell r="U616">
            <v>0</v>
          </cell>
        </row>
        <row r="617">
          <cell r="T617">
            <v>8976</v>
          </cell>
          <cell r="U617">
            <v>0</v>
          </cell>
        </row>
        <row r="618">
          <cell r="T618">
            <v>8980</v>
          </cell>
          <cell r="U618">
            <v>0</v>
          </cell>
        </row>
        <row r="619">
          <cell r="T619">
            <v>8981</v>
          </cell>
          <cell r="U619">
            <v>0</v>
          </cell>
        </row>
        <row r="620">
          <cell r="T620">
            <v>8982</v>
          </cell>
          <cell r="U620">
            <v>0</v>
          </cell>
        </row>
        <row r="621">
          <cell r="T621">
            <v>8996</v>
          </cell>
          <cell r="U621">
            <v>0</v>
          </cell>
        </row>
        <row r="622">
          <cell r="T622">
            <v>8999</v>
          </cell>
          <cell r="U622">
            <v>0</v>
          </cell>
        </row>
        <row r="623">
          <cell r="T623">
            <v>7</v>
          </cell>
        </row>
        <row r="624">
          <cell r="T624">
            <v>7000</v>
          </cell>
        </row>
        <row r="625">
          <cell r="T625">
            <v>7001</v>
          </cell>
          <cell r="U625">
            <v>0</v>
          </cell>
        </row>
        <row r="626">
          <cell r="T626">
            <v>7011</v>
          </cell>
          <cell r="U626">
            <v>0</v>
          </cell>
        </row>
        <row r="627">
          <cell r="T627">
            <v>7012</v>
          </cell>
          <cell r="U627">
            <v>0</v>
          </cell>
        </row>
        <row r="628">
          <cell r="T628">
            <v>7013</v>
          </cell>
          <cell r="U628">
            <v>0</v>
          </cell>
        </row>
        <row r="629">
          <cell r="T629">
            <v>7014</v>
          </cell>
          <cell r="U629">
            <v>0</v>
          </cell>
        </row>
        <row r="630">
          <cell r="T630">
            <v>7015</v>
          </cell>
          <cell r="U630">
            <v>0</v>
          </cell>
        </row>
        <row r="631">
          <cell r="T631">
            <v>7016</v>
          </cell>
          <cell r="U631">
            <v>0</v>
          </cell>
        </row>
        <row r="632">
          <cell r="T632">
            <v>7021</v>
          </cell>
          <cell r="U632">
            <v>0</v>
          </cell>
        </row>
        <row r="633">
          <cell r="T633">
            <v>7023</v>
          </cell>
          <cell r="U633">
            <v>0</v>
          </cell>
        </row>
        <row r="634">
          <cell r="T634">
            <v>7025</v>
          </cell>
          <cell r="U634">
            <v>0</v>
          </cell>
        </row>
        <row r="635">
          <cell r="T635">
            <v>7026</v>
          </cell>
          <cell r="U635">
            <v>0</v>
          </cell>
        </row>
        <row r="636">
          <cell r="T636">
            <v>7031</v>
          </cell>
          <cell r="U636">
            <v>0</v>
          </cell>
        </row>
        <row r="637">
          <cell r="T637">
            <v>7046</v>
          </cell>
          <cell r="U637">
            <v>0</v>
          </cell>
        </row>
        <row r="638">
          <cell r="T638">
            <v>7048</v>
          </cell>
          <cell r="U638">
            <v>0</v>
          </cell>
        </row>
        <row r="639">
          <cell r="T639">
            <v>7051</v>
          </cell>
          <cell r="U639">
            <v>0</v>
          </cell>
        </row>
        <row r="640">
          <cell r="T640">
            <v>7053</v>
          </cell>
          <cell r="U640">
            <v>0</v>
          </cell>
        </row>
        <row r="641">
          <cell r="T641">
            <v>7054</v>
          </cell>
          <cell r="U641">
            <v>0</v>
          </cell>
        </row>
        <row r="642">
          <cell r="T642">
            <v>7055</v>
          </cell>
          <cell r="U642">
            <v>0</v>
          </cell>
        </row>
        <row r="643">
          <cell r="T643">
            <v>7056</v>
          </cell>
          <cell r="U643">
            <v>0</v>
          </cell>
        </row>
        <row r="644">
          <cell r="T644">
            <v>7057</v>
          </cell>
          <cell r="U644">
            <v>0</v>
          </cell>
        </row>
        <row r="645">
          <cell r="T645">
            <v>7061</v>
          </cell>
          <cell r="U645">
            <v>0</v>
          </cell>
        </row>
        <row r="646">
          <cell r="T646">
            <v>7071</v>
          </cell>
          <cell r="U646">
            <v>0</v>
          </cell>
        </row>
        <row r="647">
          <cell r="T647">
            <v>7096</v>
          </cell>
          <cell r="U647">
            <v>0</v>
          </cell>
        </row>
        <row r="648">
          <cell r="T648">
            <v>7098</v>
          </cell>
          <cell r="U648">
            <v>0</v>
          </cell>
        </row>
        <row r="649">
          <cell r="T649">
            <v>7099</v>
          </cell>
          <cell r="U649">
            <v>0</v>
          </cell>
        </row>
        <row r="650">
          <cell r="T650">
            <v>7100</v>
          </cell>
          <cell r="U650">
            <v>0</v>
          </cell>
        </row>
        <row r="651">
          <cell r="T651">
            <v>7101</v>
          </cell>
          <cell r="U651">
            <v>0</v>
          </cell>
        </row>
        <row r="652">
          <cell r="T652">
            <v>7105</v>
          </cell>
          <cell r="U652">
            <v>0</v>
          </cell>
        </row>
        <row r="653">
          <cell r="T653">
            <v>7111</v>
          </cell>
          <cell r="U653">
            <v>0</v>
          </cell>
        </row>
        <row r="654">
          <cell r="T654">
            <v>7121</v>
          </cell>
          <cell r="U654">
            <v>0</v>
          </cell>
        </row>
        <row r="655">
          <cell r="T655">
            <v>7146</v>
          </cell>
          <cell r="U655">
            <v>0</v>
          </cell>
        </row>
        <row r="656">
          <cell r="T656">
            <v>7148</v>
          </cell>
          <cell r="U656">
            <v>0</v>
          </cell>
        </row>
        <row r="657">
          <cell r="T657">
            <v>7151</v>
          </cell>
          <cell r="U657">
            <v>0</v>
          </cell>
        </row>
        <row r="658">
          <cell r="T658">
            <v>7161</v>
          </cell>
          <cell r="U658">
            <v>0</v>
          </cell>
        </row>
        <row r="659">
          <cell r="T659">
            <v>7165</v>
          </cell>
          <cell r="U659">
            <v>0</v>
          </cell>
        </row>
        <row r="660">
          <cell r="T660">
            <v>7171</v>
          </cell>
          <cell r="U660">
            <v>0</v>
          </cell>
        </row>
        <row r="661">
          <cell r="T661">
            <v>7196</v>
          </cell>
          <cell r="U661">
            <v>0</v>
          </cell>
        </row>
        <row r="662">
          <cell r="T662">
            <v>7198</v>
          </cell>
          <cell r="U662">
            <v>0</v>
          </cell>
        </row>
        <row r="663">
          <cell r="T663">
            <v>7199</v>
          </cell>
          <cell r="U663">
            <v>0</v>
          </cell>
        </row>
        <row r="664">
          <cell r="T664">
            <v>7200</v>
          </cell>
          <cell r="U664">
            <v>0</v>
          </cell>
        </row>
        <row r="665">
          <cell r="T665">
            <v>7201</v>
          </cell>
          <cell r="U665">
            <v>0</v>
          </cell>
        </row>
        <row r="666">
          <cell r="T666">
            <v>7201.01</v>
          </cell>
          <cell r="U666">
            <v>0</v>
          </cell>
        </row>
        <row r="667">
          <cell r="T667">
            <v>7211</v>
          </cell>
          <cell r="U667">
            <v>0</v>
          </cell>
        </row>
        <row r="668">
          <cell r="T668">
            <v>7221</v>
          </cell>
          <cell r="U668">
            <v>0</v>
          </cell>
        </row>
        <row r="669">
          <cell r="T669">
            <v>7246</v>
          </cell>
          <cell r="U669">
            <v>0</v>
          </cell>
        </row>
        <row r="670">
          <cell r="T670">
            <v>7248</v>
          </cell>
          <cell r="U670">
            <v>0</v>
          </cell>
        </row>
        <row r="671">
          <cell r="T671">
            <v>7251</v>
          </cell>
          <cell r="U671">
            <v>0</v>
          </cell>
        </row>
        <row r="672">
          <cell r="T672">
            <v>7261</v>
          </cell>
          <cell r="U672">
            <v>0</v>
          </cell>
        </row>
        <row r="673">
          <cell r="T673">
            <v>7261.01</v>
          </cell>
          <cell r="U673">
            <v>0</v>
          </cell>
        </row>
        <row r="674">
          <cell r="T674">
            <v>7296</v>
          </cell>
          <cell r="U674">
            <v>0</v>
          </cell>
        </row>
        <row r="675">
          <cell r="T675">
            <v>7296.11</v>
          </cell>
          <cell r="U675">
            <v>0</v>
          </cell>
        </row>
        <row r="676">
          <cell r="T676">
            <v>7298</v>
          </cell>
          <cell r="U676">
            <v>0</v>
          </cell>
        </row>
        <row r="677">
          <cell r="T677">
            <v>7299</v>
          </cell>
          <cell r="U677">
            <v>0</v>
          </cell>
        </row>
        <row r="678">
          <cell r="T678">
            <v>7309</v>
          </cell>
          <cell r="U678">
            <v>0</v>
          </cell>
        </row>
        <row r="679">
          <cell r="T679">
            <v>7348</v>
          </cell>
          <cell r="U679">
            <v>0</v>
          </cell>
        </row>
        <row r="680">
          <cell r="T680">
            <v>7349</v>
          </cell>
          <cell r="U680">
            <v>0</v>
          </cell>
        </row>
        <row r="681">
          <cell r="T681">
            <v>7399</v>
          </cell>
          <cell r="U681">
            <v>0</v>
          </cell>
        </row>
        <row r="682">
          <cell r="T682">
            <v>19</v>
          </cell>
        </row>
        <row r="683">
          <cell r="T683">
            <v>1122.1231</v>
          </cell>
          <cell r="U683">
            <v>0</v>
          </cell>
        </row>
        <row r="684">
          <cell r="T684">
            <v>1125.1231</v>
          </cell>
          <cell r="U684">
            <v>0</v>
          </cell>
        </row>
        <row r="685">
          <cell r="T685">
            <v>1221.1231</v>
          </cell>
          <cell r="U685">
            <v>0</v>
          </cell>
        </row>
        <row r="686">
          <cell r="T686">
            <v>1400.1470999999999</v>
          </cell>
          <cell r="U686">
            <v>0</v>
          </cell>
        </row>
        <row r="687">
          <cell r="T687">
            <v>1503.1504</v>
          </cell>
          <cell r="U687">
            <v>0</v>
          </cell>
        </row>
        <row r="688">
          <cell r="T688">
            <v>1501.1502</v>
          </cell>
          <cell r="U688">
            <v>0</v>
          </cell>
        </row>
        <row r="689">
          <cell r="T689">
            <v>1511.1512</v>
          </cell>
          <cell r="U689">
            <v>0</v>
          </cell>
        </row>
        <row r="690">
          <cell r="T690">
            <v>1521.1522</v>
          </cell>
          <cell r="U690">
            <v>0</v>
          </cell>
        </row>
        <row r="691">
          <cell r="T691">
            <v>1601.1603</v>
          </cell>
          <cell r="U691">
            <v>0</v>
          </cell>
        </row>
        <row r="692">
          <cell r="T692">
            <v>1605.1608000000001</v>
          </cell>
          <cell r="U692">
            <v>0</v>
          </cell>
        </row>
        <row r="693">
          <cell r="T693">
            <v>1604.1606999999999</v>
          </cell>
          <cell r="U693">
            <v>0</v>
          </cell>
        </row>
        <row r="694">
          <cell r="T694">
            <v>1621.1623999999999</v>
          </cell>
          <cell r="U694">
            <v>0</v>
          </cell>
        </row>
        <row r="695">
          <cell r="T695">
            <v>1631.1632999999999</v>
          </cell>
          <cell r="U695">
            <v>0</v>
          </cell>
        </row>
        <row r="696">
          <cell r="T696">
            <v>1701.1703</v>
          </cell>
          <cell r="U696">
            <v>0</v>
          </cell>
        </row>
        <row r="697">
          <cell r="T697">
            <v>1711.1712</v>
          </cell>
          <cell r="U697">
            <v>0</v>
          </cell>
        </row>
        <row r="698">
          <cell r="T698">
            <v>1991.1992</v>
          </cell>
          <cell r="U698">
            <v>0</v>
          </cell>
        </row>
        <row r="699">
          <cell r="T699">
            <v>1991</v>
          </cell>
          <cell r="U699">
            <v>0</v>
          </cell>
        </row>
        <row r="700">
          <cell r="T700">
            <v>7500</v>
          </cell>
        </row>
        <row r="701">
          <cell r="T701">
            <v>7501</v>
          </cell>
        </row>
        <row r="702">
          <cell r="T702">
            <v>7502</v>
          </cell>
          <cell r="U702">
            <v>0</v>
          </cell>
        </row>
        <row r="703">
          <cell r="T703">
            <v>7503</v>
          </cell>
          <cell r="U703">
            <v>0</v>
          </cell>
        </row>
        <row r="704">
          <cell r="T704">
            <v>7505</v>
          </cell>
          <cell r="U704">
            <v>0</v>
          </cell>
        </row>
        <row r="705">
          <cell r="T705">
            <v>7506</v>
          </cell>
          <cell r="U705">
            <v>0</v>
          </cell>
        </row>
        <row r="706">
          <cell r="T706">
            <v>7507</v>
          </cell>
          <cell r="U706">
            <v>0</v>
          </cell>
        </row>
        <row r="707">
          <cell r="T707">
            <v>7508</v>
          </cell>
          <cell r="U707">
            <v>0</v>
          </cell>
        </row>
        <row r="708">
          <cell r="T708">
            <v>7509</v>
          </cell>
          <cell r="U708">
            <v>0</v>
          </cell>
        </row>
        <row r="709">
          <cell r="T709">
            <v>7510</v>
          </cell>
          <cell r="U709">
            <v>0</v>
          </cell>
        </row>
        <row r="710">
          <cell r="T710">
            <v>7511</v>
          </cell>
          <cell r="U710">
            <v>0</v>
          </cell>
        </row>
        <row r="711">
          <cell r="T711">
            <v>7512</v>
          </cell>
          <cell r="U711">
            <v>0</v>
          </cell>
        </row>
        <row r="712">
          <cell r="T712">
            <v>7515</v>
          </cell>
          <cell r="U712">
            <v>0</v>
          </cell>
        </row>
        <row r="713">
          <cell r="T713">
            <v>7516</v>
          </cell>
          <cell r="U713">
            <v>0</v>
          </cell>
        </row>
        <row r="714">
          <cell r="T714">
            <v>7517</v>
          </cell>
          <cell r="U714">
            <v>0</v>
          </cell>
        </row>
        <row r="715">
          <cell r="T715">
            <v>7518</v>
          </cell>
          <cell r="U715">
            <v>0</v>
          </cell>
        </row>
        <row r="716">
          <cell r="T716">
            <v>7519</v>
          </cell>
          <cell r="U716">
            <v>0</v>
          </cell>
        </row>
        <row r="717">
          <cell r="T717">
            <v>7523</v>
          </cell>
          <cell r="U717">
            <v>0</v>
          </cell>
        </row>
        <row r="718">
          <cell r="T718">
            <v>7525</v>
          </cell>
          <cell r="U718">
            <v>0</v>
          </cell>
        </row>
        <row r="719">
          <cell r="T719">
            <v>7526</v>
          </cell>
        </row>
        <row r="720">
          <cell r="T720">
            <v>7527</v>
          </cell>
          <cell r="U720">
            <v>0</v>
          </cell>
        </row>
        <row r="721">
          <cell r="T721">
            <v>7528</v>
          </cell>
          <cell r="U721">
            <v>0</v>
          </cell>
        </row>
        <row r="722">
          <cell r="T722">
            <v>7529</v>
          </cell>
          <cell r="U722">
            <v>0</v>
          </cell>
        </row>
        <row r="723">
          <cell r="T723">
            <v>7533</v>
          </cell>
        </row>
        <row r="724">
          <cell r="T724">
            <v>7535</v>
          </cell>
          <cell r="U724">
            <v>0</v>
          </cell>
        </row>
        <row r="725">
          <cell r="T725">
            <v>7536</v>
          </cell>
          <cell r="U725">
            <v>0</v>
          </cell>
        </row>
        <row r="726">
          <cell r="T726">
            <v>7537</v>
          </cell>
          <cell r="U726">
            <v>0</v>
          </cell>
        </row>
        <row r="727">
          <cell r="T727">
            <v>7538</v>
          </cell>
          <cell r="U727">
            <v>0</v>
          </cell>
        </row>
        <row r="728">
          <cell r="T728">
            <v>7539</v>
          </cell>
          <cell r="U728">
            <v>0</v>
          </cell>
        </row>
        <row r="729">
          <cell r="T729">
            <v>6829.5110000000004</v>
          </cell>
          <cell r="U729">
            <v>0</v>
          </cell>
        </row>
        <row r="730">
          <cell r="T730">
            <v>6829.5119999999997</v>
          </cell>
          <cell r="U730">
            <v>0</v>
          </cell>
        </row>
        <row r="731">
          <cell r="T731">
            <v>6829.5190000000002</v>
          </cell>
          <cell r="U731">
            <v>0</v>
          </cell>
        </row>
        <row r="732">
          <cell r="T732">
            <v>6829.5309999999999</v>
          </cell>
          <cell r="U732">
            <v>0</v>
          </cell>
        </row>
        <row r="733">
          <cell r="T733">
            <v>6829.5320000000002</v>
          </cell>
          <cell r="U733">
            <v>0</v>
          </cell>
        </row>
        <row r="734">
          <cell r="T734">
            <v>6829.5330000000004</v>
          </cell>
          <cell r="U734">
            <v>0</v>
          </cell>
        </row>
        <row r="735">
          <cell r="T735">
            <v>6829.5339999999997</v>
          </cell>
          <cell r="U735">
            <v>0</v>
          </cell>
        </row>
        <row r="736">
          <cell r="T736">
            <v>6829.5349999999999</v>
          </cell>
          <cell r="U736">
            <v>0</v>
          </cell>
        </row>
        <row r="737">
          <cell r="T737">
            <v>6829.5360000000001</v>
          </cell>
          <cell r="U737">
            <v>0</v>
          </cell>
        </row>
        <row r="738">
          <cell r="T738">
            <v>6829.5370000000003</v>
          </cell>
          <cell r="U738">
            <v>0</v>
          </cell>
        </row>
        <row r="739">
          <cell r="T739">
            <v>6829.5389999999998</v>
          </cell>
          <cell r="U739">
            <v>0</v>
          </cell>
        </row>
      </sheetData>
      <sheetData sheetId="9">
        <row r="12">
          <cell r="G12">
            <v>0</v>
          </cell>
        </row>
        <row r="13">
          <cell r="G13">
            <v>0</v>
          </cell>
          <cell r="H13">
            <v>0</v>
          </cell>
        </row>
        <row r="15">
          <cell r="G15">
            <v>0</v>
          </cell>
          <cell r="H15">
            <v>0</v>
          </cell>
        </row>
        <row r="16">
          <cell r="G16">
            <v>0</v>
          </cell>
          <cell r="H16">
            <v>0</v>
          </cell>
        </row>
        <row r="17">
          <cell r="G17">
            <v>0</v>
          </cell>
          <cell r="H17">
            <v>0</v>
          </cell>
        </row>
        <row r="18">
          <cell r="G18">
            <v>0</v>
          </cell>
          <cell r="H18">
            <v>0</v>
          </cell>
        </row>
        <row r="32">
          <cell r="K32">
            <v>0</v>
          </cell>
          <cell r="L32">
            <v>0</v>
          </cell>
        </row>
        <row r="38">
          <cell r="G38">
            <v>0</v>
          </cell>
          <cell r="H38">
            <v>0</v>
          </cell>
        </row>
      </sheetData>
      <sheetData sheetId="10">
        <row r="7">
          <cell r="E7">
            <v>0</v>
          </cell>
        </row>
        <row r="16">
          <cell r="E16">
            <v>0</v>
          </cell>
        </row>
        <row r="26">
          <cell r="E26">
            <v>0</v>
          </cell>
        </row>
      </sheetData>
      <sheetData sheetId="11"/>
      <sheetData sheetId="12"/>
      <sheetData sheetId="13"/>
      <sheetData sheetId="14"/>
      <sheetData sheetId="15"/>
      <sheetData sheetId="16"/>
      <sheetData sheetId="17">
        <row r="7">
          <cell r="H7">
            <v>0</v>
          </cell>
        </row>
      </sheetData>
      <sheetData sheetId="18"/>
      <sheetData sheetId="19"/>
      <sheetData sheetId="20"/>
      <sheetData sheetId="21"/>
      <sheetData sheetId="22">
        <row r="2652">
          <cell r="I2652">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1.1-12"/>
      <sheetName val="XREF"/>
      <sheetName val="Tickmarks"/>
      <sheetName val="#REF!"/>
      <sheetName val="F100-存货"/>
      <sheetName val="U_dis"/>
      <sheetName val="Source"/>
      <sheetName val="Sheet1"/>
      <sheetName val="#511BkRec"/>
      <sheetName val="F1"/>
      <sheetName val="E1020"/>
      <sheetName val="Test of Beginning"/>
      <sheetName val="BPR"/>
      <sheetName val="BALANCE SHEET"/>
      <sheetName val="master"/>
      <sheetName val="Key Data"/>
      <sheetName val="运煤预算"/>
      <sheetName val="SAP download"/>
      <sheetName val="PLAC"/>
      <sheetName val="AFA_O.A.B"/>
      <sheetName val="Tax movement"/>
      <sheetName val="Details"/>
      <sheetName val="Flow"/>
      <sheetName val="ws9"/>
      <sheetName val="2003-H300"/>
      <sheetName val="2002-H300"/>
      <sheetName val="2001-H300"/>
      <sheetName val="XL4Poppy"/>
      <sheetName val="ISO Code"/>
      <sheetName val="Balance-M"/>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Notice"/>
      <sheetName val="Mapping"/>
      <sheetName val="Notice-mapping"/>
      <sheetName val="mapping-财务公司"/>
      <sheetName val="A100-checklist PRC"/>
      <sheetName val="A110-checklist IAS"/>
      <sheetName val="A300-BS-PRC"/>
      <sheetName val="A310-PL-PRC"/>
      <sheetName val="A320-BS-IAS"/>
      <sheetName val="A330-PL-IAS"/>
      <sheetName val="A500-PRC adj"/>
      <sheetName val="mapping-general"/>
      <sheetName val="A510-IAS Adj"/>
      <sheetName val="C100-cash and bank"/>
      <sheetName val="C110-cash and bank"/>
      <sheetName val="D-ST invest"/>
      <sheetName val="E100-note rec"/>
      <sheetName val="E200-AR aging"/>
      <sheetName val="E210-AR "/>
      <sheetName val="E220-AR subseq sett"/>
      <sheetName val="F100-inventory"/>
      <sheetName val="F110-prov breakdown"/>
      <sheetName val="F200-sub usage"/>
      <sheetName val="G100-OR"/>
      <sheetName val="G110-OR 明细表"/>
      <sheetName val="G111-OR-其他"/>
      <sheetName val="G120-OR 关联方"/>
      <sheetName val="G130-OR-subseq sett"/>
      <sheetName val="G200-prepay"/>
      <sheetName val="G210-OR 关联方"/>
      <sheetName val="G220-prepay-subseq sett"/>
      <sheetName val="G300-ST deferred assets"/>
      <sheetName val="G400-subsidy rec"/>
      <sheetName val="H100-LT investment"/>
      <sheetName val="H200-associate move"/>
      <sheetName val="H210-JCE mov"/>
      <sheetName val="H220-unconcol move"/>
      <sheetName val="H230-sub move"/>
      <sheetName val="H300-goodwill"/>
      <sheetName val="H400-other stocks"/>
      <sheetName val="H410-others invest"/>
      <sheetName val="H500-bond invest"/>
      <sheetName val="H510-other debt invest"/>
      <sheetName val="H600-provision"/>
      <sheetName val="H700-pur of sub"/>
      <sheetName val="H710-sale of sub"/>
      <sheetName val="H800-basic info"/>
      <sheetName val="I100-intercom mapping"/>
      <sheetName val="J100-CIP"/>
      <sheetName val="J200-CIP project"/>
      <sheetName val="K100-fixed assets-PRC"/>
      <sheetName val="K110-fixed assets-IAS"/>
      <sheetName val="L100-intangible-PRC"/>
      <sheetName val="L110-intangible-IAS"/>
      <sheetName val="L200-LT deferred assets"/>
      <sheetName val="M-ST loan"/>
      <sheetName val="N100-note pay"/>
      <sheetName val="N200-AP"/>
      <sheetName val="N210-AP subseq sett"/>
      <sheetName val="O100-tax pay"/>
      <sheetName val="O200-deferred tax"/>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sheetName val="U210-surtax-其他"/>
      <sheetName val="U300-other revenue"/>
      <sheetName val="U310-其他业务收入-其他"/>
      <sheetName val="U320-其他业务支出-其他"/>
      <sheetName val="U400-selling exp"/>
      <sheetName val="U410-selling exp-其他"/>
      <sheetName val="U500-admin exp"/>
      <sheetName val="U510-admin exp-其他"/>
      <sheetName val="U600-finance exp"/>
      <sheetName val="U610-finance exp-其他"/>
      <sheetName val="U700-invest income"/>
      <sheetName val="U800-subsidy income"/>
      <sheetName val="U900-non-op income exp"/>
      <sheetName val="U910-non-op income-其他"/>
      <sheetName val="U920-non-op exp-其他"/>
      <sheetName val="U1000-MFG OH"/>
      <sheetName val="W100-R&amp;D by nature"/>
      <sheetName val="W110-R&amp;D by project"/>
      <sheetName val="W200-top 10 customers"/>
      <sheetName val="W210-top 10 suppliers"/>
      <sheetName val="W220-top 5 AR"/>
      <sheetName val="W230-top 5 AP"/>
      <sheetName val="W300-inter-co "/>
      <sheetName val="W310-related parties bal"/>
      <sheetName val="W400-RPT "/>
      <sheetName val="W410-related parties trans"/>
      <sheetName val="W500-财务公司往来"/>
      <sheetName val="W510-与财务公司贷款情况"/>
      <sheetName val="W600-cashflow info"/>
      <sheetName val="W610－cashflow"/>
      <sheetName val="W700-segment BS-PRC"/>
      <sheetName val="W710-segment BS-IAS"/>
      <sheetName val="W720-segement PL-PRC"/>
      <sheetName val="W730-segement PL-IAS"/>
      <sheetName val="mapping-²ÆÎñ¹«Ë¾"/>
      <sheetName val="G110-OR Ã÷Ï¸±í"/>
      <sheetName val="G111-OR-ÆäËû"/>
      <sheetName val="G120-OR ¹ØÁª·½"/>
      <sheetName val="G210-OR ¹ØÁª·½"/>
      <sheetName val="P200Ó¦¸¶¹¤×Ê"/>
      <sheetName val="P300Ó¦¸¶¸£Àû·Ñ"/>
      <sheetName val="P610-OP-ÆäËû"/>
      <sheetName val="P710-Ô¤Ìá·ÑÓÃÃ÷Ï¸-ÆäËû"/>
      <sheetName val="p800-Ô¤¼Æ¸ºÕ®"/>
      <sheetName val="P810-Ô¤¼Æ¸ºÕ®Ã÷Ï¸-ÆäËû"/>
      <sheetName val="P1000ÆäËûÁ÷¶¯¸ºÕ®"/>
      <sheetName val="Q300×¨ÏîÓ¦¸¶¿î"/>
      <sheetName val="Q400ÆäËû³¤ÆÚ¸ºÕ®"/>
      <sheetName val="Q500·ÇÁ÷¶¯¼ÆÏ¢½è¿î"/>
      <sheetName val="Q600·ÇÁ÷¶¯²»¼ÆÏ¢½è¿î"/>
      <sheetName val="U110-revenue-ÆäËû"/>
      <sheetName val="U120-COS-ÆäËû"/>
      <sheetName val="U210-surtax-ÆäËû"/>
      <sheetName val="U310-ÆäËûÒµÎñÊÕÈë-ÆäËû"/>
      <sheetName val="U320-ÆäËûÒµÎñÖ§³ö-ÆäËû"/>
      <sheetName val="U410-selling exp-ÆäËû"/>
      <sheetName val="U510-admin exp-ÆäËû"/>
      <sheetName val="U610-finance exp-ÆäËû"/>
      <sheetName val="U910-non-op income-ÆäËû"/>
      <sheetName val="U920-non-op exp-ÆäËû"/>
      <sheetName val="W500-²ÆÎñ¹«Ë¾ÍùÀ´"/>
      <sheetName val="W510-Óë²ÆÎñ¹«Ë¾´û¿îÇé¿ö"/>
      <sheetName val="W610£­cashflow"/>
      <sheetName val="XL4Poppy"/>
      <sheetName val="Master"/>
      <sheetName val="F101"/>
      <sheetName val="B"/>
      <sheetName val="M-5C"/>
      <sheetName val="企业表一"/>
      <sheetName val="M-5A"/>
      <sheetName val="02"/>
      <sheetName val="G102"/>
      <sheetName val="E302"/>
      <sheetName val="CY sales report"/>
      <sheetName val="劳保备件"/>
      <sheetName val="危险"/>
      <sheetName val="资产负债表"/>
      <sheetName val="初始设定"/>
      <sheetName val="U610-投资收益"/>
      <sheetName val="固定资产处理情况表"/>
      <sheetName val="固定资产清单"/>
      <sheetName val="DF consol package-2004-07-01(ta"/>
      <sheetName val="个人欠款账龄分析表"/>
      <sheetName val="2004、12"/>
      <sheetName val="2004、01"/>
      <sheetName val="account"/>
      <sheetName val="F102-RM Loss"/>
      <sheetName val="F101-RM Gain"/>
      <sheetName val="Namelist"/>
      <sheetName val="流资汇总"/>
      <sheetName val="Validation source"/>
      <sheetName val="A.R 01"/>
      <sheetName val="_x0000__x0000__x0000__x0000__x0000__x0000__x0000__x0000_"/>
      <sheetName val="K200-FA list (2)"/>
      <sheetName val="运煤预算"/>
      <sheetName val="G200"/>
      <sheetName val="K110"/>
      <sheetName val="G210"/>
      <sheetName val="O111"/>
      <sheetName val="表六 "/>
      <sheetName val="产成品品名"/>
      <sheetName val="U211B"/>
      <sheetName val="设备部房屋"/>
      <sheetName val="填写指南"/>
      <sheetName val="10-2121"/>
      <sheetName val="表二十九1（01）"/>
      <sheetName val="Profile"/>
      <sheetName val="制造费用"/>
      <sheetName val="U600-投资收益"/>
      <sheetName val="Sheet2"/>
      <sheetName val="cover_sheet"/>
      <sheetName val="A100-checklist_PRC"/>
      <sheetName val="A110-checklist_IAS"/>
      <sheetName val="A500-PRC_adj"/>
      <sheetName val="A510-IAS_Adj"/>
      <sheetName val="C100-cash_and_bank"/>
      <sheetName val="C110-cash_and_bank"/>
      <sheetName val="D-ST_invest"/>
      <sheetName val="E100-note_rec"/>
      <sheetName val="E200-AR_aging"/>
      <sheetName val="E210-AR_"/>
      <sheetName val="E220-AR_subseq_sett"/>
      <sheetName val="F110-prov_breakdown"/>
      <sheetName val="F200-sub_usage"/>
      <sheetName val="G110-OR_明细表"/>
      <sheetName val="G120-OR_关联方"/>
      <sheetName val="G130-OR-subseq_sett"/>
      <sheetName val="G210-OR_关联方"/>
      <sheetName val="G220-prepay-subseq_sett"/>
      <sheetName val="G300-ST_deferred_assets"/>
      <sheetName val="G400-subsidy_rec"/>
      <sheetName val="H100-LT_investment"/>
      <sheetName val="H200-associate_move"/>
      <sheetName val="H210-JCE_mov"/>
      <sheetName val="H220-unconcol_move"/>
      <sheetName val="H230-sub_move"/>
      <sheetName val="H400-other_stocks"/>
      <sheetName val="H410-others_invest"/>
      <sheetName val="H500-bond_invest"/>
      <sheetName val="H510-other_debt_invest"/>
      <sheetName val="H700-pur_of_sub"/>
      <sheetName val="H710-sale_of_sub"/>
      <sheetName val="H800-basic_info"/>
      <sheetName val="I100-intercom_mapping"/>
      <sheetName val="J200-CIP_project"/>
      <sheetName val="K100-fixed_assets-PRC"/>
      <sheetName val="K110-fixed_assets-IAS"/>
      <sheetName val="L200-LT_deferred_assets"/>
      <sheetName val="M-ST_loan"/>
      <sheetName val="N100-note_pay"/>
      <sheetName val="N210-AP_subseq_sett"/>
      <sheetName val="O100-tax_pay"/>
      <sheetName val="O200-deferred_tax"/>
      <sheetName val="P100-receipt_in_advance"/>
      <sheetName val="P400-dividend_pay"/>
      <sheetName val="P500-other_levies_pay"/>
      <sheetName val="P900-LT_liab_due_&lt;1_year"/>
      <sheetName val="Q100-LT_loan"/>
      <sheetName val="Q200-LT_pay"/>
      <sheetName val="S100-lease_commitment"/>
      <sheetName val="S200-capital_commitment-contrac"/>
      <sheetName val="S210-capital_commitment-appro"/>
      <sheetName val="T100-share_capital"/>
      <sheetName val="T200-capital_reserve"/>
      <sheetName val="T400-profit_appro"/>
      <sheetName val="U300-other_revenue"/>
      <sheetName val="U400-selling_exp"/>
      <sheetName val="U410-selling_exp-其他"/>
      <sheetName val="U500-admin_exp"/>
      <sheetName val="U510-admin_exp-其他"/>
      <sheetName val="U600-finance_exp"/>
      <sheetName val="U610-finance_exp-其他"/>
      <sheetName val="U700-invest_income"/>
      <sheetName val="U800-subsidy_income"/>
      <sheetName val="U900-non-op_income_exp"/>
      <sheetName val="U910-non-op_income-其他"/>
      <sheetName val="U920-non-op_exp-其他"/>
      <sheetName val="U1000-MFG_OH"/>
      <sheetName val="W100-R&amp;D_by_nature"/>
      <sheetName val="W110-R&amp;D_by_project"/>
      <sheetName val="W200-top_10_customers"/>
      <sheetName val="W210-top_10_suppliers"/>
      <sheetName val="W220-top_5_AR"/>
      <sheetName val="W230-top_5_AP"/>
      <sheetName val="W300-inter-co_"/>
      <sheetName val="W310-related_parties_bal"/>
      <sheetName val="W400-RPT_"/>
      <sheetName val="W410-related_parties_trans"/>
      <sheetName val="W600-cashflow_info"/>
      <sheetName val="W700-segment_BS-PRC"/>
      <sheetName val="W710-segment_BS-IAS"/>
      <sheetName val="W720-segement_PL-PRC"/>
      <sheetName val="W730-segement_PL-IAS"/>
      <sheetName val="G110-OR_Ã÷Ï¸±í"/>
      <sheetName val="G120-OR_¹ØÁª·½"/>
      <sheetName val="G210-OR_¹ØÁª·½"/>
      <sheetName val="U410-selling_exp-ÆäËû"/>
      <sheetName val="U510-admin_exp-ÆäËû"/>
      <sheetName val="U610-finance_exp-ÆäËû"/>
      <sheetName val="U910-non-op_income-ÆäËû"/>
      <sheetName val="U920-non-op_exp-ÆäËû"/>
      <sheetName val="科目表"/>
      <sheetName val="SFS(BUDGET)"/>
      <sheetName val="_x005f_x0000__x005f_x0000__x005f_x0000__x005f_x0000__x0"/>
      <sheetName val="ｺｽﾄｾﾝﾀｰ符号表"/>
      <sheetName val="主要规划指标"/>
      <sheetName val="财务费用明细表"/>
      <sheetName val="长期待摊费用明细表"/>
      <sheetName val="WIP"/>
      <sheetName val="5 Analysis"/>
      <sheetName val="管理费用明细"/>
      <sheetName val="资产负债表验证表"/>
      <sheetName val="Parameters"/>
      <sheetName val="选择报表"/>
      <sheetName val="Sheet1"/>
      <sheetName val="名称"/>
      <sheetName val="III-1-8"/>
      <sheetName val="III-1-4"/>
      <sheetName val="III-1-10"/>
      <sheetName val="III-1-9"/>
      <sheetName val="III-1-2-1"/>
      <sheetName val="III-1-6"/>
      <sheetName val="III-1-7"/>
      <sheetName val="III-1-5"/>
      <sheetName val="应收票据(关联方)"/>
      <sheetName val="KKKKKKKK"/>
      <sheetName val="成本"/>
      <sheetName val="_x0000__x0000__x0000__x0000__x0"/>
      <sheetName val="预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
      <sheetName val="E100"/>
      <sheetName val="E200"/>
      <sheetName val="#REF!"/>
      <sheetName val="A.R 01"/>
      <sheetName val="UFPrn20021113090847"/>
      <sheetName val="K110"/>
      <sheetName val="G210"/>
      <sheetName val="O111"/>
      <sheetName val="Sheet1"/>
      <sheetName val="source"/>
      <sheetName val="A_R_01"/>
      <sheetName val="2weeeks All  Excess and Shortag"/>
      <sheetName val="F101"/>
      <sheetName val="坏帐准备"/>
      <sheetName val="U100sales ARP"/>
      <sheetName val="附表6"/>
      <sheetName val="B"/>
      <sheetName val="ARP-U301"/>
      <sheetName val="U411"/>
      <sheetName val="N20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需补充资料清单"/>
      <sheetName val="填写指南"/>
      <sheetName val="准则差异指南"/>
      <sheetName val="财务公司科目对照表"/>
      <sheetName val="检查清单"/>
      <sheetName val="试算平衡表"/>
      <sheetName val="现金流量表"/>
      <sheetName val="现金流量表附注1"/>
      <sheetName val="现金流量表附注2"/>
      <sheetName val="现金流量表附注3"/>
      <sheetName val="PRC调整分录"/>
      <sheetName val="HK调整分录"/>
      <sheetName val="货币资金"/>
      <sheetName val="短期投资"/>
      <sheetName val="应收票据"/>
      <sheetName val="应收股利"/>
      <sheetName val="应收帐款"/>
      <sheetName val="存货"/>
      <sheetName val="其他应收款"/>
      <sheetName val="预付账款"/>
      <sheetName val="待摊费用"/>
      <sheetName val="应收补贴款及应收出口退税"/>
      <sheetName val="长期投资"/>
      <sheetName val="联营公司"/>
      <sheetName val="合营公司"/>
      <sheetName val="非合并子公司"/>
      <sheetName val="合并价差"/>
      <sheetName val="股票投资"/>
      <sheetName val="其他股权投资"/>
      <sheetName val="债券投资"/>
      <sheetName val="其他债权投资"/>
      <sheetName val="长期委托贷款"/>
      <sheetName val="内部往来"/>
      <sheetName val="内部交易"/>
      <sheetName val="未实现利润"/>
      <sheetName val="在建工程、固定资产"/>
      <sheetName val="在建工程"/>
      <sheetName val="固定资产清理"/>
      <sheetName val="无形资产"/>
      <sheetName val="长期待摊费用"/>
      <sheetName val="其他长期资产"/>
      <sheetName val="短期借款"/>
      <sheetName val="应付票据"/>
      <sheetName val="应付帐款"/>
      <sheetName val="应交税金"/>
      <sheetName val="递延税款"/>
      <sheetName val="预收货款"/>
      <sheetName val="应付工资、福利费"/>
      <sheetName val="应付股利"/>
      <sheetName val="其他应交款"/>
      <sheetName val="其他应付款"/>
      <sheetName val="预提费用"/>
      <sheetName val="预计负债"/>
      <sheetName val="其他流动负债"/>
      <sheetName val="长期借款"/>
      <sheetName val="长期应付款"/>
      <sheetName val="专项应付款"/>
      <sheetName val="其他长期负债"/>
      <sheetName val="资本承诺"/>
      <sheetName val="经营租赁"/>
      <sheetName val="其他或有负债"/>
      <sheetName val="法律诉讼"/>
      <sheetName val="所有者权益变动表"/>
      <sheetName val="主营业务收支"/>
      <sheetName val="其他业务收支"/>
      <sheetName val="销售费用"/>
      <sheetName val="管理费用"/>
      <sheetName val="财务费用"/>
      <sheetName val="投资收益"/>
      <sheetName val="补贴收入"/>
      <sheetName val="营业外收支"/>
      <sheetName val="关联方往来"/>
      <sheetName val="关联方交易"/>
      <sheetName val="财务公司往来"/>
      <sheetName val="HK Notes"/>
    </sheetNames>
    <sheetDataSet>
      <sheetData sheetId="0" refreshError="1">
        <row r="20">
          <cell r="D20" t="str">
            <v>存货的采购/(销售)</v>
          </cell>
        </row>
        <row r="21">
          <cell r="D21" t="str">
            <v>劳务的接受/(提供)</v>
          </cell>
        </row>
        <row r="22">
          <cell r="D22" t="str">
            <v>固定资产的采购/(销售)</v>
          </cell>
        </row>
        <row r="23">
          <cell r="D23" t="str">
            <v>其他业务往来-买/(卖)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U210' "/>
      <sheetName val="Source"/>
      <sheetName val="选择报表"/>
      <sheetName val="资产负债表"/>
      <sheetName val="中山低值"/>
      <sheetName val="ZLR1"/>
      <sheetName val="加工费"/>
      <sheetName val="E1020"/>
      <sheetName val="master"/>
      <sheetName val="K110"/>
      <sheetName val="G210"/>
      <sheetName val="O111"/>
      <sheetName val="AGRO-DATA"/>
      <sheetName val="成本"/>
      <sheetName val="FF-4"/>
      <sheetName val="补贴收入( other income)"/>
      <sheetName val="企业表一"/>
      <sheetName val="M-5C"/>
      <sheetName val="M-5A"/>
      <sheetName val="科目余额表"/>
      <sheetName val="利润表"/>
      <sheetName val="试算平衡表"/>
      <sheetName val="明细号"/>
      <sheetName val="Parameters"/>
      <sheetName val="Exp.-04"/>
      <sheetName val="2008"/>
      <sheetName val="存货跌价明细"/>
      <sheetName val="U210'_"/>
      <sheetName val="审核2"/>
      <sheetName val="Pile径1m･27"/>
      <sheetName val="Validation source"/>
      <sheetName val="Third party"/>
      <sheetName val="财务费用明细表"/>
      <sheetName val="长期待摊费用明细表"/>
      <sheetName val="Sheet3"/>
      <sheetName val="6月"/>
      <sheetName val="设备部房屋"/>
      <sheetName val="M_1_1"/>
      <sheetName val="TAX"/>
      <sheetName val="TAX COM"/>
      <sheetName val="XL4Poppy"/>
      <sheetName val="F300"/>
      <sheetName val="Ideal World A3"/>
      <sheetName val="ws9"/>
      <sheetName val="Sheet2"/>
      <sheetName val="loan database"/>
      <sheetName val="Transl"/>
      <sheetName val="科目余额表_应付_全年"/>
      <sheetName val="科目余额表_应付_下半年"/>
      <sheetName val="科目余额表_应收_全年"/>
      <sheetName val="科目余额表_应收_下半年"/>
      <sheetName val="科目余额表_预付_全年"/>
      <sheetName val="科目余额表_预付_下半年"/>
      <sheetName val="科目余额表_预收_全年"/>
      <sheetName val="科目余额表_预收_下半年"/>
      <sheetName val="TOP10"/>
      <sheetName val="合并底稿-自营"/>
      <sheetName val="ZKA2_lista"/>
      <sheetName val="管理费用明细"/>
      <sheetName val="4月回款"/>
      <sheetName val="4月销售"/>
      <sheetName val="Price List"/>
      <sheetName val="item master"/>
      <sheetName val="首页"/>
      <sheetName val="其他业务利润明细表"/>
      <sheetName val="投资收益明细表"/>
      <sheetName val="未交税金明细表"/>
      <sheetName val="Be_x0000__x0000__x0000__x0000__x0000__x0000__x0000__x0000__x0000__x0000__x0000__x0000__x0000__x0000__x0000__x0000__x0000__x0000_"/>
      <sheetName val="Bgሀြ0슌沅_x0000__x0000_舤殉腼殉ㅏ怆 ɂሀ"/>
      <sheetName val="Bgैာ4슌櫂_x0000__x0000_舤槆腼槆ॽᔒ@Ʉ_xd980_ै_xd980_"/>
      <sheetName val="基本信息输入"/>
      <sheetName val="資料"/>
      <sheetName val="Inventory"/>
      <sheetName val="Aging-ARSum"/>
      <sheetName val="SAD Conclusion"/>
      <sheetName val="台账"/>
      <sheetName val="M_5C"/>
      <sheetName val="M_5A"/>
      <sheetName val="审计分工配置表"/>
      <sheetName val="Bgሀြ0슌沅"/>
      <sheetName val="Bgैာ4슌櫂"/>
      <sheetName val="索引"/>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票据"/>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减值表"/>
      <sheetName val="未审CF"/>
      <sheetName val="未审SC"/>
      <sheetName val="校对"/>
      <sheetName val="注释"/>
      <sheetName val="调整分录"/>
      <sheetName val="CF调整分录"/>
      <sheetName val="试算平衡表"/>
      <sheetName val="CF底稿"/>
      <sheetName val="所得税"/>
      <sheetName val="递延所得税"/>
      <sheetName val="审定BS"/>
      <sheetName val="审定IS"/>
      <sheetName val="审定CF"/>
      <sheetName val="参数"/>
      <sheetName val="审定SC"/>
    </sheetNames>
    <sheetDataSet>
      <sheetData sheetId="0">
        <row r="42">
          <cell r="A42" t="str">
            <v>法定代表人：</v>
          </cell>
        </row>
        <row r="43">
          <cell r="A43" t="str">
            <v>主管会计工作负责人：</v>
          </cell>
        </row>
        <row r="44">
          <cell r="A44" t="str">
            <v>会计机构负责人：</v>
          </cell>
        </row>
      </sheetData>
      <sheetData sheetId="1"/>
      <sheetData sheetId="2"/>
      <sheetData sheetId="3"/>
      <sheetData sheetId="4"/>
      <sheetData sheetId="5"/>
      <sheetData sheetId="6"/>
      <sheetData sheetId="7"/>
      <sheetData sheetId="8"/>
      <sheetData sheetId="9"/>
      <sheetData sheetId="10">
        <row r="1">
          <cell r="B1" t="str">
            <v>试算平衡表</v>
          </cell>
        </row>
        <row r="2">
          <cell r="B2" t="str">
            <v>2009年度</v>
          </cell>
        </row>
        <row r="4">
          <cell r="B4" t="str">
            <v>编制单位：</v>
          </cell>
        </row>
        <row r="5">
          <cell r="A5" t="str">
            <v>编码</v>
          </cell>
          <cell r="B5" t="str">
            <v>项       目</v>
          </cell>
          <cell r="C5" t="str">
            <v>调整前金额</v>
          </cell>
          <cell r="D5" t="str">
            <v>调整金额</v>
          </cell>
          <cell r="F5" t="str">
            <v>调整后金额</v>
          </cell>
        </row>
        <row r="6">
          <cell r="D6" t="str">
            <v>借方</v>
          </cell>
          <cell r="E6" t="str">
            <v xml:space="preserve">贷方 </v>
          </cell>
        </row>
        <row r="7">
          <cell r="A7">
            <v>0</v>
          </cell>
          <cell r="B7" t="str">
            <v>流动资产：</v>
          </cell>
        </row>
        <row r="8">
          <cell r="A8" t="str">
            <v>Z01</v>
          </cell>
          <cell r="B8" t="str">
            <v>货币资金</v>
          </cell>
          <cell r="C8">
            <v>0</v>
          </cell>
          <cell r="D8">
            <v>0</v>
          </cell>
          <cell r="E8">
            <v>0</v>
          </cell>
          <cell r="F8">
            <v>0</v>
          </cell>
        </row>
        <row r="9">
          <cell r="A9" t="str">
            <v>Z53</v>
          </cell>
          <cell r="B9" t="str">
            <v>结算备付金</v>
          </cell>
          <cell r="C9">
            <v>0</v>
          </cell>
          <cell r="D9">
            <v>0</v>
          </cell>
          <cell r="E9">
            <v>0</v>
          </cell>
          <cell r="F9">
            <v>0</v>
          </cell>
        </row>
        <row r="10">
          <cell r="A10" t="str">
            <v>Z54</v>
          </cell>
          <cell r="B10" t="str">
            <v>拆出资金</v>
          </cell>
          <cell r="C10">
            <v>0</v>
          </cell>
          <cell r="D10">
            <v>0</v>
          </cell>
          <cell r="E10">
            <v>0</v>
          </cell>
          <cell r="F10">
            <v>0</v>
          </cell>
        </row>
        <row r="11">
          <cell r="A11" t="str">
            <v>Z02</v>
          </cell>
          <cell r="B11" t="str">
            <v>交易性金融资产</v>
          </cell>
          <cell r="C11">
            <v>0</v>
          </cell>
          <cell r="D11">
            <v>0</v>
          </cell>
          <cell r="E11">
            <v>0</v>
          </cell>
          <cell r="F11">
            <v>0</v>
          </cell>
        </row>
        <row r="12">
          <cell r="A12" t="str">
            <v>Z03</v>
          </cell>
          <cell r="B12" t="str">
            <v>应收票据</v>
          </cell>
          <cell r="C12">
            <v>0</v>
          </cell>
          <cell r="D12">
            <v>0</v>
          </cell>
          <cell r="E12">
            <v>0</v>
          </cell>
          <cell r="F12">
            <v>0</v>
          </cell>
        </row>
        <row r="13">
          <cell r="A13" t="str">
            <v>Z04</v>
          </cell>
          <cell r="B13" t="str">
            <v>应收账款</v>
          </cell>
          <cell r="C13">
            <v>0</v>
          </cell>
          <cell r="D13">
            <v>0</v>
          </cell>
          <cell r="E13">
            <v>0</v>
          </cell>
          <cell r="F13">
            <v>0</v>
          </cell>
        </row>
        <row r="14">
          <cell r="A14" t="str">
            <v>Z05</v>
          </cell>
          <cell r="B14" t="str">
            <v>预付款项</v>
          </cell>
          <cell r="C14">
            <v>0</v>
          </cell>
          <cell r="D14">
            <v>0</v>
          </cell>
          <cell r="E14">
            <v>0</v>
          </cell>
          <cell r="F14">
            <v>0</v>
          </cell>
        </row>
        <row r="15">
          <cell r="A15" t="str">
            <v>Z55</v>
          </cell>
          <cell r="B15" t="str">
            <v>应收保费</v>
          </cell>
          <cell r="C15">
            <v>0</v>
          </cell>
          <cell r="D15">
            <v>0</v>
          </cell>
          <cell r="E15">
            <v>0</v>
          </cell>
          <cell r="F15">
            <v>0</v>
          </cell>
        </row>
        <row r="16">
          <cell r="A16" t="str">
            <v>Z56</v>
          </cell>
          <cell r="B16" t="str">
            <v>应收分保账款</v>
          </cell>
          <cell r="C16">
            <v>0</v>
          </cell>
          <cell r="D16">
            <v>0</v>
          </cell>
          <cell r="E16">
            <v>0</v>
          </cell>
          <cell r="F16">
            <v>0</v>
          </cell>
        </row>
        <row r="17">
          <cell r="A17" t="str">
            <v>Z59</v>
          </cell>
          <cell r="B17" t="str">
            <v>应收分保合同准备金</v>
          </cell>
          <cell r="C17">
            <v>0</v>
          </cell>
          <cell r="D17">
            <v>0</v>
          </cell>
          <cell r="E17">
            <v>0</v>
          </cell>
          <cell r="F17">
            <v>0</v>
          </cell>
        </row>
        <row r="18">
          <cell r="A18" t="str">
            <v>Z06</v>
          </cell>
          <cell r="B18" t="str">
            <v>应收利息</v>
          </cell>
          <cell r="C18">
            <v>0</v>
          </cell>
          <cell r="D18">
            <v>0</v>
          </cell>
          <cell r="E18">
            <v>0</v>
          </cell>
          <cell r="F18">
            <v>0</v>
          </cell>
        </row>
        <row r="19">
          <cell r="A19" t="str">
            <v>Z07</v>
          </cell>
          <cell r="B19" t="str">
            <v>应收股利</v>
          </cell>
          <cell r="C19">
            <v>0</v>
          </cell>
          <cell r="D19">
            <v>0</v>
          </cell>
          <cell r="E19">
            <v>0</v>
          </cell>
          <cell r="F19">
            <v>0</v>
          </cell>
        </row>
        <row r="20">
          <cell r="A20" t="str">
            <v>Z08</v>
          </cell>
          <cell r="B20" t="str">
            <v>其他应收款</v>
          </cell>
          <cell r="C20">
            <v>0</v>
          </cell>
          <cell r="D20">
            <v>0</v>
          </cell>
          <cell r="E20">
            <v>0</v>
          </cell>
          <cell r="F20">
            <v>0</v>
          </cell>
        </row>
        <row r="21">
          <cell r="A21" t="str">
            <v>Z57</v>
          </cell>
          <cell r="B21" t="str">
            <v xml:space="preserve">买入返售金融资产 </v>
          </cell>
          <cell r="C21">
            <v>0</v>
          </cell>
          <cell r="D21">
            <v>0</v>
          </cell>
          <cell r="E21">
            <v>0</v>
          </cell>
          <cell r="F21">
            <v>0</v>
          </cell>
        </row>
        <row r="22">
          <cell r="A22" t="str">
            <v>Z09</v>
          </cell>
          <cell r="B22" t="str">
            <v>存货</v>
          </cell>
          <cell r="C22">
            <v>0</v>
          </cell>
          <cell r="D22">
            <v>0</v>
          </cell>
          <cell r="E22">
            <v>0</v>
          </cell>
          <cell r="F22">
            <v>0</v>
          </cell>
        </row>
        <row r="23">
          <cell r="A23" t="str">
            <v>Z10</v>
          </cell>
          <cell r="B23" t="str">
            <v>一年内到期的非流动资产</v>
          </cell>
          <cell r="C23">
            <v>0</v>
          </cell>
          <cell r="D23">
            <v>0</v>
          </cell>
          <cell r="E23">
            <v>0</v>
          </cell>
          <cell r="F23">
            <v>0</v>
          </cell>
        </row>
        <row r="24">
          <cell r="A24" t="str">
            <v>Z11</v>
          </cell>
          <cell r="B24" t="str">
            <v>其他流动资产</v>
          </cell>
          <cell r="C24">
            <v>0</v>
          </cell>
          <cell r="D24">
            <v>0</v>
          </cell>
          <cell r="E24">
            <v>0</v>
          </cell>
          <cell r="F24">
            <v>0</v>
          </cell>
        </row>
        <row r="25">
          <cell r="A25" t="str">
            <v>Z50</v>
          </cell>
          <cell r="B25" t="str">
            <v>流动资产合计</v>
          </cell>
          <cell r="C25">
            <v>0</v>
          </cell>
          <cell r="D25">
            <v>0</v>
          </cell>
          <cell r="E25">
            <v>0</v>
          </cell>
          <cell r="F25">
            <v>0</v>
          </cell>
        </row>
        <row r="26">
          <cell r="A26">
            <v>0</v>
          </cell>
          <cell r="B26" t="str">
            <v>非流动资产：</v>
          </cell>
          <cell r="D26">
            <v>0</v>
          </cell>
          <cell r="E26">
            <v>0</v>
          </cell>
          <cell r="F26">
            <v>0</v>
          </cell>
        </row>
        <row r="27">
          <cell r="A27" t="str">
            <v>Z58</v>
          </cell>
          <cell r="B27" t="str">
            <v>发放贷款及垫款</v>
          </cell>
          <cell r="C27">
            <v>0</v>
          </cell>
          <cell r="D27">
            <v>0</v>
          </cell>
          <cell r="E27">
            <v>0</v>
          </cell>
          <cell r="F27">
            <v>0</v>
          </cell>
        </row>
        <row r="28">
          <cell r="A28" t="str">
            <v>Z12</v>
          </cell>
          <cell r="B28" t="str">
            <v>可供出售金融资产</v>
          </cell>
          <cell r="C28">
            <v>0</v>
          </cell>
          <cell r="D28">
            <v>0</v>
          </cell>
          <cell r="E28">
            <v>0</v>
          </cell>
          <cell r="F28">
            <v>0</v>
          </cell>
        </row>
        <row r="29">
          <cell r="A29" t="str">
            <v>Z13</v>
          </cell>
          <cell r="B29" t="str">
            <v>持有至到期投资</v>
          </cell>
          <cell r="C29">
            <v>0</v>
          </cell>
          <cell r="D29">
            <v>0</v>
          </cell>
          <cell r="E29">
            <v>0</v>
          </cell>
          <cell r="F29">
            <v>0</v>
          </cell>
        </row>
        <row r="30">
          <cell r="A30" t="str">
            <v>Z14</v>
          </cell>
          <cell r="B30" t="str">
            <v>长期应收款</v>
          </cell>
          <cell r="C30">
            <v>0</v>
          </cell>
          <cell r="D30">
            <v>0</v>
          </cell>
          <cell r="E30">
            <v>0</v>
          </cell>
          <cell r="F30">
            <v>0</v>
          </cell>
        </row>
        <row r="31">
          <cell r="A31" t="str">
            <v>Z15</v>
          </cell>
          <cell r="B31" t="str">
            <v>长期股权投资</v>
          </cell>
          <cell r="C31">
            <v>0</v>
          </cell>
          <cell r="D31">
            <v>0</v>
          </cell>
          <cell r="E31">
            <v>0</v>
          </cell>
          <cell r="F31">
            <v>0</v>
          </cell>
        </row>
        <row r="32">
          <cell r="A32" t="str">
            <v>Z16</v>
          </cell>
          <cell r="B32" t="str">
            <v>投资性房地产</v>
          </cell>
          <cell r="C32">
            <v>0</v>
          </cell>
          <cell r="D32">
            <v>0</v>
          </cell>
          <cell r="E32">
            <v>0</v>
          </cell>
          <cell r="F32">
            <v>0</v>
          </cell>
        </row>
        <row r="33">
          <cell r="A33" t="str">
            <v>Z17</v>
          </cell>
          <cell r="B33" t="str">
            <v>固定资产</v>
          </cell>
          <cell r="C33">
            <v>0</v>
          </cell>
          <cell r="D33">
            <v>0</v>
          </cell>
          <cell r="E33">
            <v>0</v>
          </cell>
          <cell r="F33">
            <v>0</v>
          </cell>
        </row>
        <row r="34">
          <cell r="A34" t="str">
            <v>Z18</v>
          </cell>
          <cell r="B34" t="str">
            <v>在建工程</v>
          </cell>
          <cell r="C34">
            <v>0</v>
          </cell>
          <cell r="D34">
            <v>0</v>
          </cell>
          <cell r="E34">
            <v>0</v>
          </cell>
          <cell r="F34">
            <v>0</v>
          </cell>
        </row>
        <row r="35">
          <cell r="A35" t="str">
            <v>Z19</v>
          </cell>
          <cell r="B35" t="str">
            <v>工程物资</v>
          </cell>
          <cell r="C35">
            <v>0</v>
          </cell>
          <cell r="D35">
            <v>0</v>
          </cell>
          <cell r="E35">
            <v>0</v>
          </cell>
          <cell r="F35">
            <v>0</v>
          </cell>
        </row>
        <row r="36">
          <cell r="A36" t="str">
            <v>Z20</v>
          </cell>
          <cell r="B36" t="str">
            <v>固定资产清理</v>
          </cell>
          <cell r="C36">
            <v>0</v>
          </cell>
          <cell r="D36">
            <v>0</v>
          </cell>
          <cell r="E36">
            <v>0</v>
          </cell>
          <cell r="F36">
            <v>0</v>
          </cell>
        </row>
        <row r="37">
          <cell r="A37" t="str">
            <v>Z21</v>
          </cell>
          <cell r="B37" t="str">
            <v>生产性生物资产</v>
          </cell>
          <cell r="C37">
            <v>0</v>
          </cell>
          <cell r="D37">
            <v>0</v>
          </cell>
          <cell r="E37">
            <v>0</v>
          </cell>
          <cell r="F37">
            <v>0</v>
          </cell>
        </row>
        <row r="38">
          <cell r="A38" t="str">
            <v>Z22</v>
          </cell>
          <cell r="B38" t="str">
            <v>油气资产</v>
          </cell>
          <cell r="C38">
            <v>0</v>
          </cell>
          <cell r="D38">
            <v>0</v>
          </cell>
          <cell r="E38">
            <v>0</v>
          </cell>
          <cell r="F38">
            <v>0</v>
          </cell>
        </row>
        <row r="39">
          <cell r="A39" t="str">
            <v>Z23</v>
          </cell>
          <cell r="B39" t="str">
            <v>无形资产</v>
          </cell>
          <cell r="C39">
            <v>0</v>
          </cell>
          <cell r="D39">
            <v>0</v>
          </cell>
          <cell r="E39">
            <v>0</v>
          </cell>
          <cell r="F39">
            <v>0</v>
          </cell>
        </row>
        <row r="40">
          <cell r="A40" t="str">
            <v>Z24</v>
          </cell>
          <cell r="B40" t="str">
            <v>开发支出</v>
          </cell>
          <cell r="C40">
            <v>0</v>
          </cell>
          <cell r="D40">
            <v>0</v>
          </cell>
          <cell r="E40">
            <v>0</v>
          </cell>
          <cell r="F40">
            <v>0</v>
          </cell>
        </row>
        <row r="41">
          <cell r="A41" t="str">
            <v>Z25</v>
          </cell>
          <cell r="B41" t="str">
            <v>商誉</v>
          </cell>
          <cell r="C41">
            <v>0</v>
          </cell>
          <cell r="D41">
            <v>0</v>
          </cell>
          <cell r="E41">
            <v>0</v>
          </cell>
          <cell r="F41">
            <v>0</v>
          </cell>
        </row>
        <row r="42">
          <cell r="A42" t="str">
            <v>Z26</v>
          </cell>
          <cell r="B42" t="str">
            <v>长期待摊费用</v>
          </cell>
          <cell r="C42">
            <v>0</v>
          </cell>
          <cell r="D42">
            <v>0</v>
          </cell>
          <cell r="E42">
            <v>0</v>
          </cell>
          <cell r="F42">
            <v>0</v>
          </cell>
        </row>
        <row r="43">
          <cell r="A43" t="str">
            <v>Z27</v>
          </cell>
          <cell r="B43" t="str">
            <v>递延所得税资产</v>
          </cell>
          <cell r="C43">
            <v>0</v>
          </cell>
          <cell r="D43">
            <v>0</v>
          </cell>
          <cell r="E43">
            <v>0</v>
          </cell>
          <cell r="F43">
            <v>0</v>
          </cell>
        </row>
        <row r="44">
          <cell r="A44" t="str">
            <v>Z28</v>
          </cell>
          <cell r="B44" t="str">
            <v>其他非流动资产</v>
          </cell>
          <cell r="C44">
            <v>0</v>
          </cell>
          <cell r="D44">
            <v>0</v>
          </cell>
          <cell r="E44">
            <v>0</v>
          </cell>
          <cell r="F44">
            <v>0</v>
          </cell>
        </row>
        <row r="45">
          <cell r="F45">
            <v>0</v>
          </cell>
        </row>
        <row r="46">
          <cell r="F46">
            <v>0</v>
          </cell>
        </row>
        <row r="47">
          <cell r="A47" t="str">
            <v>Z51</v>
          </cell>
          <cell r="B47" t="str">
            <v>非流动资产合计</v>
          </cell>
          <cell r="C47">
            <v>0</v>
          </cell>
          <cell r="D47">
            <v>0</v>
          </cell>
          <cell r="E47">
            <v>0</v>
          </cell>
          <cell r="F47">
            <v>0</v>
          </cell>
        </row>
        <row r="48">
          <cell r="A48" t="str">
            <v>Z52</v>
          </cell>
          <cell r="B48" t="str">
            <v>资产总计</v>
          </cell>
          <cell r="C48">
            <v>0</v>
          </cell>
          <cell r="D48">
            <v>0</v>
          </cell>
          <cell r="E48">
            <v>0</v>
          </cell>
          <cell r="F48">
            <v>0</v>
          </cell>
        </row>
        <row r="49">
          <cell r="A49">
            <v>0</v>
          </cell>
          <cell r="B49" t="str">
            <v>流动负债：</v>
          </cell>
        </row>
        <row r="50">
          <cell r="A50" t="str">
            <v>F01</v>
          </cell>
          <cell r="B50" t="str">
            <v>短期借款</v>
          </cell>
          <cell r="C50">
            <v>0</v>
          </cell>
          <cell r="D50">
            <v>0</v>
          </cell>
          <cell r="E50">
            <v>0</v>
          </cell>
          <cell r="F50">
            <v>0</v>
          </cell>
        </row>
        <row r="51">
          <cell r="A51" t="str">
            <v>F53</v>
          </cell>
          <cell r="B51" t="str">
            <v>向中央银行借款</v>
          </cell>
          <cell r="C51">
            <v>0</v>
          </cell>
          <cell r="D51">
            <v>0</v>
          </cell>
          <cell r="E51">
            <v>0</v>
          </cell>
          <cell r="F51">
            <v>0</v>
          </cell>
        </row>
        <row r="52">
          <cell r="A52" t="str">
            <v>F54</v>
          </cell>
          <cell r="B52" t="str">
            <v>吸收存款及同业存放</v>
          </cell>
          <cell r="C52">
            <v>0</v>
          </cell>
          <cell r="D52">
            <v>0</v>
          </cell>
          <cell r="E52">
            <v>0</v>
          </cell>
          <cell r="F52">
            <v>0</v>
          </cell>
        </row>
        <row r="53">
          <cell r="A53" t="str">
            <v>F55</v>
          </cell>
          <cell r="B53" t="str">
            <v>拆入资金</v>
          </cell>
          <cell r="C53">
            <v>0</v>
          </cell>
          <cell r="D53">
            <v>0</v>
          </cell>
          <cell r="E53">
            <v>0</v>
          </cell>
          <cell r="F53">
            <v>0</v>
          </cell>
        </row>
        <row r="54">
          <cell r="A54" t="str">
            <v>F02</v>
          </cell>
          <cell r="B54" t="str">
            <v>交易性金融负债</v>
          </cell>
          <cell r="C54">
            <v>0</v>
          </cell>
          <cell r="D54">
            <v>0</v>
          </cell>
          <cell r="E54">
            <v>0</v>
          </cell>
          <cell r="F54">
            <v>0</v>
          </cell>
        </row>
        <row r="55">
          <cell r="A55" t="str">
            <v>F03</v>
          </cell>
          <cell r="B55" t="str">
            <v>应付票据</v>
          </cell>
          <cell r="C55">
            <v>0</v>
          </cell>
          <cell r="D55">
            <v>0</v>
          </cell>
          <cell r="E55">
            <v>0</v>
          </cell>
          <cell r="F55">
            <v>0</v>
          </cell>
        </row>
        <row r="56">
          <cell r="A56" t="str">
            <v>F04</v>
          </cell>
          <cell r="B56" t="str">
            <v>应付账款</v>
          </cell>
          <cell r="C56">
            <v>0</v>
          </cell>
          <cell r="D56">
            <v>0</v>
          </cell>
          <cell r="E56">
            <v>0</v>
          </cell>
          <cell r="F56">
            <v>0</v>
          </cell>
        </row>
        <row r="57">
          <cell r="A57" t="str">
            <v>F05</v>
          </cell>
          <cell r="B57" t="str">
            <v>预收款项</v>
          </cell>
          <cell r="C57">
            <v>0</v>
          </cell>
          <cell r="D57">
            <v>0</v>
          </cell>
          <cell r="E57">
            <v>0</v>
          </cell>
          <cell r="F57">
            <v>0</v>
          </cell>
        </row>
        <row r="58">
          <cell r="A58" t="str">
            <v>F56</v>
          </cell>
          <cell r="B58" t="str">
            <v>卖出回购金融资产款</v>
          </cell>
          <cell r="C58">
            <v>0</v>
          </cell>
          <cell r="D58">
            <v>0</v>
          </cell>
          <cell r="E58">
            <v>0</v>
          </cell>
          <cell r="F58">
            <v>0</v>
          </cell>
        </row>
        <row r="59">
          <cell r="A59" t="str">
            <v>F57</v>
          </cell>
          <cell r="B59" t="str">
            <v>应付手续费及佣金</v>
          </cell>
          <cell r="C59">
            <v>0</v>
          </cell>
          <cell r="D59">
            <v>0</v>
          </cell>
          <cell r="E59">
            <v>0</v>
          </cell>
          <cell r="F59">
            <v>0</v>
          </cell>
        </row>
        <row r="60">
          <cell r="A60" t="str">
            <v>F06</v>
          </cell>
          <cell r="B60" t="str">
            <v>应付职工薪酬</v>
          </cell>
          <cell r="C60">
            <v>0</v>
          </cell>
          <cell r="D60">
            <v>0</v>
          </cell>
          <cell r="E60">
            <v>0</v>
          </cell>
          <cell r="F60">
            <v>0</v>
          </cell>
        </row>
        <row r="61">
          <cell r="A61" t="str">
            <v>F07</v>
          </cell>
          <cell r="B61" t="str">
            <v>应交税费</v>
          </cell>
          <cell r="C61">
            <v>0</v>
          </cell>
          <cell r="D61">
            <v>0</v>
          </cell>
          <cell r="E61">
            <v>0</v>
          </cell>
          <cell r="F61">
            <v>0</v>
          </cell>
        </row>
        <row r="62">
          <cell r="A62" t="str">
            <v>F08</v>
          </cell>
          <cell r="B62" t="str">
            <v>应付利息</v>
          </cell>
          <cell r="C62">
            <v>0</v>
          </cell>
          <cell r="D62">
            <v>0</v>
          </cell>
          <cell r="E62">
            <v>0</v>
          </cell>
          <cell r="F62">
            <v>0</v>
          </cell>
        </row>
        <row r="63">
          <cell r="A63" t="str">
            <v>F09</v>
          </cell>
          <cell r="B63" t="str">
            <v>应付股利</v>
          </cell>
          <cell r="C63">
            <v>0</v>
          </cell>
          <cell r="D63">
            <v>0</v>
          </cell>
          <cell r="E63">
            <v>0</v>
          </cell>
          <cell r="F63">
            <v>0</v>
          </cell>
        </row>
        <row r="64">
          <cell r="A64" t="str">
            <v>F10</v>
          </cell>
          <cell r="B64" t="str">
            <v>其他应付款</v>
          </cell>
          <cell r="C64">
            <v>0</v>
          </cell>
          <cell r="D64">
            <v>0</v>
          </cell>
          <cell r="E64">
            <v>0</v>
          </cell>
          <cell r="F64">
            <v>0</v>
          </cell>
        </row>
        <row r="65">
          <cell r="A65" t="str">
            <v>F58</v>
          </cell>
          <cell r="B65" t="str">
            <v>应付分保账款</v>
          </cell>
          <cell r="C65">
            <v>0</v>
          </cell>
          <cell r="D65">
            <v>0</v>
          </cell>
          <cell r="E65">
            <v>0</v>
          </cell>
          <cell r="F65">
            <v>0</v>
          </cell>
        </row>
        <row r="66">
          <cell r="A66" t="str">
            <v>F59</v>
          </cell>
          <cell r="B66" t="str">
            <v>保险合同准备金</v>
          </cell>
          <cell r="C66">
            <v>0</v>
          </cell>
          <cell r="D66">
            <v>0</v>
          </cell>
          <cell r="E66">
            <v>0</v>
          </cell>
          <cell r="F66">
            <v>0</v>
          </cell>
        </row>
        <row r="67">
          <cell r="A67" t="str">
            <v>F60</v>
          </cell>
          <cell r="B67" t="str">
            <v>代理买卖证券款</v>
          </cell>
          <cell r="C67">
            <v>0</v>
          </cell>
          <cell r="D67">
            <v>0</v>
          </cell>
          <cell r="E67">
            <v>0</v>
          </cell>
          <cell r="F67">
            <v>0</v>
          </cell>
        </row>
        <row r="68">
          <cell r="A68" t="str">
            <v>F61</v>
          </cell>
          <cell r="B68" t="str">
            <v>代理承销证券款</v>
          </cell>
          <cell r="C68">
            <v>0</v>
          </cell>
          <cell r="D68">
            <v>0</v>
          </cell>
          <cell r="E68">
            <v>0</v>
          </cell>
          <cell r="F68">
            <v>0</v>
          </cell>
        </row>
        <row r="69">
          <cell r="A69" t="str">
            <v>F11</v>
          </cell>
          <cell r="B69" t="str">
            <v>一年内到期的非流动负债</v>
          </cell>
          <cell r="C69">
            <v>0</v>
          </cell>
          <cell r="D69">
            <v>0</v>
          </cell>
          <cell r="E69">
            <v>0</v>
          </cell>
          <cell r="F69">
            <v>0</v>
          </cell>
        </row>
        <row r="70">
          <cell r="A70" t="str">
            <v>F12</v>
          </cell>
          <cell r="B70" t="str">
            <v>其他流动负债</v>
          </cell>
          <cell r="C70">
            <v>0</v>
          </cell>
          <cell r="D70">
            <v>0</v>
          </cell>
          <cell r="E70">
            <v>0</v>
          </cell>
          <cell r="F70">
            <v>0</v>
          </cell>
        </row>
        <row r="71">
          <cell r="A71" t="str">
            <v>F39</v>
          </cell>
          <cell r="B71" t="str">
            <v>流动负债合计</v>
          </cell>
          <cell r="C71">
            <v>0</v>
          </cell>
          <cell r="D71">
            <v>0</v>
          </cell>
          <cell r="E71">
            <v>0</v>
          </cell>
          <cell r="F71">
            <v>0</v>
          </cell>
        </row>
        <row r="72">
          <cell r="A72">
            <v>0</v>
          </cell>
          <cell r="B72" t="str">
            <v>非流动负债：</v>
          </cell>
          <cell r="D72">
            <v>0</v>
          </cell>
          <cell r="E72">
            <v>0</v>
          </cell>
          <cell r="F72">
            <v>0</v>
          </cell>
        </row>
        <row r="73">
          <cell r="A73" t="str">
            <v>F13</v>
          </cell>
          <cell r="B73" t="str">
            <v>长期借款</v>
          </cell>
          <cell r="C73">
            <v>0</v>
          </cell>
          <cell r="D73">
            <v>0</v>
          </cell>
          <cell r="E73">
            <v>0</v>
          </cell>
          <cell r="F73">
            <v>0</v>
          </cell>
        </row>
        <row r="74">
          <cell r="A74" t="str">
            <v>F14</v>
          </cell>
          <cell r="B74" t="str">
            <v>应付债券</v>
          </cell>
          <cell r="C74">
            <v>0</v>
          </cell>
          <cell r="D74">
            <v>0</v>
          </cell>
          <cell r="E74">
            <v>0</v>
          </cell>
          <cell r="F74">
            <v>0</v>
          </cell>
        </row>
        <row r="75">
          <cell r="A75" t="str">
            <v>F15</v>
          </cell>
          <cell r="B75" t="str">
            <v>长期应付款</v>
          </cell>
          <cell r="C75">
            <v>0</v>
          </cell>
          <cell r="D75">
            <v>0</v>
          </cell>
          <cell r="E75">
            <v>0</v>
          </cell>
          <cell r="F75">
            <v>0</v>
          </cell>
        </row>
        <row r="76">
          <cell r="A76" t="str">
            <v>F16</v>
          </cell>
          <cell r="B76" t="str">
            <v>专项应付款</v>
          </cell>
          <cell r="C76">
            <v>0</v>
          </cell>
          <cell r="D76">
            <v>0</v>
          </cell>
          <cell r="E76">
            <v>0</v>
          </cell>
          <cell r="F76">
            <v>0</v>
          </cell>
        </row>
        <row r="77">
          <cell r="A77" t="str">
            <v>F17</v>
          </cell>
          <cell r="B77" t="str">
            <v>预计负债</v>
          </cell>
          <cell r="C77">
            <v>0</v>
          </cell>
          <cell r="D77">
            <v>0</v>
          </cell>
          <cell r="E77">
            <v>0</v>
          </cell>
          <cell r="F77">
            <v>0</v>
          </cell>
        </row>
        <row r="78">
          <cell r="A78" t="str">
            <v>F18</v>
          </cell>
          <cell r="B78" t="str">
            <v>递延所得税负债</v>
          </cell>
          <cell r="C78">
            <v>0</v>
          </cell>
          <cell r="D78">
            <v>0</v>
          </cell>
          <cell r="E78">
            <v>0</v>
          </cell>
          <cell r="F78">
            <v>0</v>
          </cell>
        </row>
        <row r="79">
          <cell r="A79" t="str">
            <v>F19</v>
          </cell>
          <cell r="B79" t="str">
            <v>其他非流动负债</v>
          </cell>
          <cell r="C79">
            <v>0</v>
          </cell>
          <cell r="D79">
            <v>0</v>
          </cell>
          <cell r="E79">
            <v>0</v>
          </cell>
          <cell r="F79">
            <v>0</v>
          </cell>
        </row>
        <row r="80">
          <cell r="A80" t="str">
            <v>F40</v>
          </cell>
          <cell r="B80" t="str">
            <v>非流动负债合计</v>
          </cell>
          <cell r="C80">
            <v>0</v>
          </cell>
          <cell r="D80">
            <v>0</v>
          </cell>
          <cell r="E80">
            <v>0</v>
          </cell>
          <cell r="F80">
            <v>0</v>
          </cell>
        </row>
        <row r="81">
          <cell r="A81" t="str">
            <v>F41</v>
          </cell>
          <cell r="B81" t="str">
            <v>负债合计</v>
          </cell>
          <cell r="C81">
            <v>0</v>
          </cell>
          <cell r="D81">
            <v>0</v>
          </cell>
          <cell r="E81">
            <v>0</v>
          </cell>
          <cell r="F81">
            <v>0</v>
          </cell>
        </row>
        <row r="82">
          <cell r="A82">
            <v>0</v>
          </cell>
          <cell r="B82" t="str">
            <v>股东权益：</v>
          </cell>
          <cell r="D82">
            <v>0</v>
          </cell>
          <cell r="E82">
            <v>0</v>
          </cell>
          <cell r="F82">
            <v>0</v>
          </cell>
        </row>
        <row r="83">
          <cell r="A83" t="str">
            <v>F20</v>
          </cell>
          <cell r="B83" t="str">
            <v>股本</v>
          </cell>
          <cell r="C83">
            <v>0</v>
          </cell>
          <cell r="D83">
            <v>0</v>
          </cell>
          <cell r="E83">
            <v>0</v>
          </cell>
          <cell r="F83">
            <v>0</v>
          </cell>
        </row>
        <row r="84">
          <cell r="A84" t="str">
            <v>F21</v>
          </cell>
          <cell r="B84" t="str">
            <v>资本公积</v>
          </cell>
          <cell r="C84">
            <v>0</v>
          </cell>
          <cell r="D84">
            <v>0</v>
          </cell>
          <cell r="E84">
            <v>0</v>
          </cell>
          <cell r="F84">
            <v>0</v>
          </cell>
        </row>
        <row r="85">
          <cell r="A85" t="str">
            <v>F22</v>
          </cell>
          <cell r="B85" t="str">
            <v>减：库存股</v>
          </cell>
          <cell r="C85">
            <v>0</v>
          </cell>
          <cell r="D85">
            <v>0</v>
          </cell>
          <cell r="E85">
            <v>0</v>
          </cell>
          <cell r="F85">
            <v>0</v>
          </cell>
        </row>
        <row r="86">
          <cell r="A86" t="str">
            <v>F23</v>
          </cell>
          <cell r="B86" t="str">
            <v>盈余公积</v>
          </cell>
          <cell r="C86">
            <v>0</v>
          </cell>
          <cell r="D86">
            <v>0</v>
          </cell>
          <cell r="E86">
            <v>0</v>
          </cell>
          <cell r="F86">
            <v>0</v>
          </cell>
        </row>
        <row r="87">
          <cell r="A87" t="str">
            <v>F62</v>
          </cell>
          <cell r="B87" t="str">
            <v>一般风险准备</v>
          </cell>
          <cell r="C87">
            <v>0</v>
          </cell>
          <cell r="D87">
            <v>0</v>
          </cell>
          <cell r="E87">
            <v>0</v>
          </cell>
          <cell r="F87">
            <v>0</v>
          </cell>
        </row>
        <row r="88">
          <cell r="A88" t="str">
            <v>F24</v>
          </cell>
          <cell r="B88" t="str">
            <v>未分配利润</v>
          </cell>
          <cell r="C88">
            <v>0</v>
          </cell>
          <cell r="D88">
            <v>0</v>
          </cell>
          <cell r="E88">
            <v>0</v>
          </cell>
          <cell r="F88">
            <v>0</v>
          </cell>
        </row>
        <row r="89">
          <cell r="A89" t="str">
            <v>F25</v>
          </cell>
          <cell r="B89" t="str">
            <v>外币报表折算差额</v>
          </cell>
          <cell r="C89">
            <v>0</v>
          </cell>
          <cell r="D89">
            <v>0</v>
          </cell>
          <cell r="E89">
            <v>0</v>
          </cell>
          <cell r="F89">
            <v>0</v>
          </cell>
        </row>
        <row r="90">
          <cell r="A90" t="str">
            <v>F42</v>
          </cell>
          <cell r="B90" t="str">
            <v>归属于母公司所有者权益合计</v>
          </cell>
          <cell r="C90">
            <v>0</v>
          </cell>
          <cell r="D90">
            <v>0</v>
          </cell>
          <cell r="E90">
            <v>0</v>
          </cell>
          <cell r="F90">
            <v>0</v>
          </cell>
        </row>
        <row r="91">
          <cell r="A91" t="str">
            <v>F26</v>
          </cell>
          <cell r="B91" t="str">
            <v>少数股东权益</v>
          </cell>
          <cell r="C91">
            <v>0</v>
          </cell>
          <cell r="D91">
            <v>0</v>
          </cell>
          <cell r="E91">
            <v>0</v>
          </cell>
          <cell r="F91">
            <v>0</v>
          </cell>
        </row>
        <row r="92">
          <cell r="A92" t="str">
            <v>F43</v>
          </cell>
          <cell r="B92" t="str">
            <v>股东权益合计</v>
          </cell>
          <cell r="C92">
            <v>0</v>
          </cell>
          <cell r="D92">
            <v>0</v>
          </cell>
          <cell r="E92">
            <v>0</v>
          </cell>
          <cell r="F92">
            <v>0</v>
          </cell>
        </row>
        <row r="93">
          <cell r="A93" t="str">
            <v>F44</v>
          </cell>
          <cell r="B93" t="str">
            <v>负债和股东权益总计</v>
          </cell>
          <cell r="C93">
            <v>0</v>
          </cell>
          <cell r="D93">
            <v>0</v>
          </cell>
          <cell r="E93">
            <v>0</v>
          </cell>
          <cell r="F93">
            <v>0</v>
          </cell>
        </row>
        <row r="94">
          <cell r="A94" t="str">
            <v>F27</v>
          </cell>
          <cell r="B94" t="str">
            <v xml:space="preserve">营业总收入 </v>
          </cell>
          <cell r="C94">
            <v>0</v>
          </cell>
          <cell r="D94">
            <v>0</v>
          </cell>
          <cell r="E94">
            <v>0</v>
          </cell>
          <cell r="F94">
            <v>0</v>
          </cell>
        </row>
        <row r="95">
          <cell r="A95" t="str">
            <v>F28</v>
          </cell>
          <cell r="B95" t="str">
            <v xml:space="preserve">营业收入 </v>
          </cell>
          <cell r="C95">
            <v>0</v>
          </cell>
          <cell r="D95">
            <v>0</v>
          </cell>
          <cell r="E95">
            <v>0</v>
          </cell>
          <cell r="F95">
            <v>0</v>
          </cell>
        </row>
        <row r="96">
          <cell r="A96" t="str">
            <v>F29</v>
          </cell>
          <cell r="B96" t="str">
            <v xml:space="preserve">利息收入 </v>
          </cell>
          <cell r="C96">
            <v>0</v>
          </cell>
          <cell r="D96">
            <v>0</v>
          </cell>
          <cell r="E96">
            <v>0</v>
          </cell>
          <cell r="F96">
            <v>0</v>
          </cell>
        </row>
        <row r="97">
          <cell r="A97" t="str">
            <v>F30</v>
          </cell>
          <cell r="B97" t="str">
            <v xml:space="preserve">已赚保费 </v>
          </cell>
          <cell r="C97">
            <v>0</v>
          </cell>
          <cell r="D97">
            <v>0</v>
          </cell>
          <cell r="E97">
            <v>0</v>
          </cell>
          <cell r="F97">
            <v>0</v>
          </cell>
        </row>
        <row r="98">
          <cell r="A98" t="str">
            <v>F31</v>
          </cell>
          <cell r="B98" t="str">
            <v xml:space="preserve">手续费及佣金收入 </v>
          </cell>
          <cell r="C98">
            <v>0</v>
          </cell>
          <cell r="D98">
            <v>0</v>
          </cell>
          <cell r="E98">
            <v>0</v>
          </cell>
          <cell r="F98">
            <v>0</v>
          </cell>
        </row>
        <row r="99">
          <cell r="A99" t="str">
            <v>Z29</v>
          </cell>
          <cell r="B99" t="str">
            <v xml:space="preserve">营业总成本 </v>
          </cell>
          <cell r="C99">
            <v>0</v>
          </cell>
          <cell r="D99">
            <v>0</v>
          </cell>
          <cell r="E99">
            <v>0</v>
          </cell>
          <cell r="F99">
            <v>0</v>
          </cell>
        </row>
        <row r="100">
          <cell r="A100" t="str">
            <v>Z30</v>
          </cell>
          <cell r="B100" t="str">
            <v xml:space="preserve">营业成本 </v>
          </cell>
          <cell r="C100">
            <v>0</v>
          </cell>
          <cell r="D100">
            <v>0</v>
          </cell>
          <cell r="E100">
            <v>0</v>
          </cell>
          <cell r="F100">
            <v>0</v>
          </cell>
        </row>
        <row r="101">
          <cell r="A101" t="str">
            <v>Z31</v>
          </cell>
          <cell r="B101" t="str">
            <v xml:space="preserve">利息支出 </v>
          </cell>
          <cell r="C101">
            <v>0</v>
          </cell>
          <cell r="D101">
            <v>0</v>
          </cell>
          <cell r="E101">
            <v>0</v>
          </cell>
          <cell r="F101">
            <v>0</v>
          </cell>
        </row>
        <row r="102">
          <cell r="A102" t="str">
            <v>Z32</v>
          </cell>
          <cell r="B102" t="str">
            <v xml:space="preserve">手续费及佣金支出 </v>
          </cell>
          <cell r="C102">
            <v>0</v>
          </cell>
          <cell r="D102">
            <v>0</v>
          </cell>
          <cell r="E102">
            <v>0</v>
          </cell>
          <cell r="F102">
            <v>0</v>
          </cell>
        </row>
        <row r="103">
          <cell r="A103" t="str">
            <v>Z33</v>
          </cell>
          <cell r="B103" t="str">
            <v xml:space="preserve">退保金 </v>
          </cell>
          <cell r="C103">
            <v>0</v>
          </cell>
          <cell r="D103">
            <v>0</v>
          </cell>
          <cell r="E103">
            <v>0</v>
          </cell>
          <cell r="F103">
            <v>0</v>
          </cell>
        </row>
        <row r="104">
          <cell r="A104" t="str">
            <v>Z34</v>
          </cell>
          <cell r="B104" t="str">
            <v xml:space="preserve">赔付支出净额 </v>
          </cell>
          <cell r="C104">
            <v>0</v>
          </cell>
          <cell r="D104">
            <v>0</v>
          </cell>
          <cell r="E104">
            <v>0</v>
          </cell>
          <cell r="F104">
            <v>0</v>
          </cell>
        </row>
        <row r="105">
          <cell r="A105" t="str">
            <v>Z35</v>
          </cell>
          <cell r="B105" t="str">
            <v xml:space="preserve">提取保险合同准备金净额 </v>
          </cell>
          <cell r="C105">
            <v>0</v>
          </cell>
          <cell r="D105">
            <v>0</v>
          </cell>
          <cell r="E105">
            <v>0</v>
          </cell>
          <cell r="F105">
            <v>0</v>
          </cell>
        </row>
        <row r="106">
          <cell r="A106" t="str">
            <v>Z36</v>
          </cell>
          <cell r="B106" t="str">
            <v xml:space="preserve">保单红利支出 </v>
          </cell>
          <cell r="C106">
            <v>0</v>
          </cell>
          <cell r="D106">
            <v>0</v>
          </cell>
          <cell r="E106">
            <v>0</v>
          </cell>
          <cell r="F106">
            <v>0</v>
          </cell>
        </row>
        <row r="107">
          <cell r="A107" t="str">
            <v>Z37</v>
          </cell>
          <cell r="B107" t="str">
            <v xml:space="preserve">分保费用 </v>
          </cell>
          <cell r="C107">
            <v>0</v>
          </cell>
          <cell r="D107">
            <v>0</v>
          </cell>
          <cell r="E107">
            <v>0</v>
          </cell>
          <cell r="F107">
            <v>0</v>
          </cell>
        </row>
        <row r="108">
          <cell r="A108" t="str">
            <v>Z38</v>
          </cell>
          <cell r="B108" t="str">
            <v xml:space="preserve">营业税金及附加 </v>
          </cell>
          <cell r="C108">
            <v>0</v>
          </cell>
          <cell r="D108">
            <v>0</v>
          </cell>
          <cell r="E108">
            <v>0</v>
          </cell>
          <cell r="F108">
            <v>0</v>
          </cell>
        </row>
        <row r="109">
          <cell r="A109" t="str">
            <v>Z39</v>
          </cell>
          <cell r="B109" t="str">
            <v xml:space="preserve">销售费用 </v>
          </cell>
          <cell r="C109">
            <v>0</v>
          </cell>
          <cell r="D109">
            <v>0</v>
          </cell>
          <cell r="E109">
            <v>0</v>
          </cell>
          <cell r="F109">
            <v>0</v>
          </cell>
        </row>
        <row r="110">
          <cell r="A110" t="str">
            <v>Z40</v>
          </cell>
          <cell r="B110" t="str">
            <v xml:space="preserve">管理费用 </v>
          </cell>
          <cell r="C110">
            <v>0</v>
          </cell>
          <cell r="D110">
            <v>0</v>
          </cell>
          <cell r="E110">
            <v>0</v>
          </cell>
          <cell r="F110">
            <v>0</v>
          </cell>
        </row>
        <row r="111">
          <cell r="A111" t="str">
            <v>Z41</v>
          </cell>
          <cell r="B111" t="str">
            <v>财务费用</v>
          </cell>
          <cell r="C111">
            <v>0</v>
          </cell>
          <cell r="D111">
            <v>0</v>
          </cell>
          <cell r="E111">
            <v>0</v>
          </cell>
          <cell r="F111">
            <v>0</v>
          </cell>
        </row>
        <row r="112">
          <cell r="A112" t="str">
            <v>Z42</v>
          </cell>
          <cell r="B112" t="str">
            <v xml:space="preserve">资产减值损失 </v>
          </cell>
          <cell r="C112">
            <v>0</v>
          </cell>
          <cell r="D112">
            <v>0</v>
          </cell>
          <cell r="E112">
            <v>0</v>
          </cell>
          <cell r="F112">
            <v>0</v>
          </cell>
        </row>
        <row r="113">
          <cell r="A113" t="str">
            <v>F32</v>
          </cell>
          <cell r="B113" t="str">
            <v>公允价值变动收益</v>
          </cell>
          <cell r="C113">
            <v>0</v>
          </cell>
          <cell r="D113">
            <v>0</v>
          </cell>
          <cell r="E113">
            <v>0</v>
          </cell>
          <cell r="F113">
            <v>0</v>
          </cell>
        </row>
        <row r="114">
          <cell r="A114" t="str">
            <v>F33</v>
          </cell>
          <cell r="B114" t="str">
            <v>投资收益</v>
          </cell>
          <cell r="C114">
            <v>0</v>
          </cell>
          <cell r="D114">
            <v>0</v>
          </cell>
          <cell r="E114">
            <v>0</v>
          </cell>
          <cell r="F114">
            <v>0</v>
          </cell>
        </row>
        <row r="115">
          <cell r="A115" t="str">
            <v>F3302</v>
          </cell>
          <cell r="B115" t="str">
            <v xml:space="preserve">对联营企业和合营企业的投资收益 </v>
          </cell>
          <cell r="C115">
            <v>0</v>
          </cell>
          <cell r="D115">
            <v>0</v>
          </cell>
          <cell r="E115">
            <v>0</v>
          </cell>
          <cell r="F115">
            <v>0</v>
          </cell>
        </row>
        <row r="116">
          <cell r="A116" t="str">
            <v>F35</v>
          </cell>
          <cell r="B116" t="str">
            <v>汇兑收益</v>
          </cell>
          <cell r="C116">
            <v>0</v>
          </cell>
          <cell r="D116">
            <v>0</v>
          </cell>
          <cell r="E116">
            <v>0</v>
          </cell>
          <cell r="F116">
            <v>0</v>
          </cell>
        </row>
        <row r="117">
          <cell r="A117" t="str">
            <v>F36</v>
          </cell>
          <cell r="B117" t="str">
            <v xml:space="preserve">三、营业利润（亏损以“－”号填列） </v>
          </cell>
          <cell r="C117">
            <v>0</v>
          </cell>
          <cell r="D117">
            <v>0</v>
          </cell>
          <cell r="E117">
            <v>0</v>
          </cell>
          <cell r="F117">
            <v>0</v>
          </cell>
        </row>
        <row r="118">
          <cell r="A118" t="str">
            <v>F37</v>
          </cell>
          <cell r="B118" t="str">
            <v>营业外收入</v>
          </cell>
          <cell r="C118">
            <v>0</v>
          </cell>
          <cell r="D118">
            <v>0</v>
          </cell>
          <cell r="E118">
            <v>0</v>
          </cell>
          <cell r="F118">
            <v>0</v>
          </cell>
        </row>
        <row r="119">
          <cell r="A119" t="str">
            <v>Z43</v>
          </cell>
          <cell r="B119" t="str">
            <v xml:space="preserve">营业外支出 </v>
          </cell>
          <cell r="C119">
            <v>0</v>
          </cell>
          <cell r="D119">
            <v>0</v>
          </cell>
          <cell r="E119">
            <v>0</v>
          </cell>
          <cell r="F119">
            <v>0</v>
          </cell>
        </row>
        <row r="120">
          <cell r="A120" t="str">
            <v>Z44</v>
          </cell>
          <cell r="B120" t="str">
            <v xml:space="preserve">非流动资产处置损失 </v>
          </cell>
          <cell r="C120">
            <v>0</v>
          </cell>
          <cell r="D120">
            <v>0</v>
          </cell>
          <cell r="E120">
            <v>0</v>
          </cell>
          <cell r="F120">
            <v>0</v>
          </cell>
        </row>
        <row r="121">
          <cell r="A121" t="str">
            <v>F38</v>
          </cell>
          <cell r="B121" t="str">
            <v xml:space="preserve">四、利润总额（亏损总额以“－”号填列） </v>
          </cell>
          <cell r="C121">
            <v>0</v>
          </cell>
          <cell r="D121">
            <v>0</v>
          </cell>
          <cell r="E121">
            <v>0</v>
          </cell>
          <cell r="F121">
            <v>0</v>
          </cell>
        </row>
        <row r="122">
          <cell r="A122" t="str">
            <v>Z45</v>
          </cell>
          <cell r="B122" t="str">
            <v xml:space="preserve">所得税费用 </v>
          </cell>
          <cell r="C122">
            <v>0</v>
          </cell>
          <cell r="D122">
            <v>0</v>
          </cell>
          <cell r="E122">
            <v>0</v>
          </cell>
          <cell r="F122">
            <v>0</v>
          </cell>
        </row>
        <row r="123">
          <cell r="A123" t="str">
            <v>Z46</v>
          </cell>
          <cell r="B123" t="str">
            <v xml:space="preserve">五、净利润（净亏损以“－”号填列） </v>
          </cell>
          <cell r="C123">
            <v>0</v>
          </cell>
          <cell r="D123">
            <v>0</v>
          </cell>
          <cell r="E123">
            <v>0</v>
          </cell>
          <cell r="F123">
            <v>0</v>
          </cell>
        </row>
        <row r="124">
          <cell r="A124" t="str">
            <v>Z47</v>
          </cell>
          <cell r="B124" t="str">
            <v xml:space="preserve">归属于母公司所有者的净利润 </v>
          </cell>
          <cell r="C124">
            <v>0</v>
          </cell>
          <cell r="D124">
            <v>0</v>
          </cell>
          <cell r="E124">
            <v>0</v>
          </cell>
          <cell r="F124">
            <v>0</v>
          </cell>
        </row>
        <row r="125">
          <cell r="A125" t="str">
            <v>Z48</v>
          </cell>
          <cell r="B125" t="str">
            <v xml:space="preserve">少数股东损益 </v>
          </cell>
          <cell r="C125">
            <v>0</v>
          </cell>
          <cell r="D125">
            <v>0</v>
          </cell>
          <cell r="E125">
            <v>0</v>
          </cell>
          <cell r="F125">
            <v>0</v>
          </cell>
        </row>
        <row r="126">
          <cell r="A126" t="str">
            <v>Z49</v>
          </cell>
          <cell r="B126" t="str">
            <v>被合并方在合并前实现的净利润</v>
          </cell>
          <cell r="C126">
            <v>0</v>
          </cell>
          <cell r="F126">
            <v>0</v>
          </cell>
        </row>
        <row r="127">
          <cell r="A127">
            <v>0</v>
          </cell>
          <cell r="B127" t="str">
            <v xml:space="preserve">六、每股收益： </v>
          </cell>
          <cell r="F127">
            <v>0</v>
          </cell>
        </row>
        <row r="128">
          <cell r="A128" t="str">
            <v>Z50</v>
          </cell>
          <cell r="B128" t="str">
            <v xml:space="preserve">（一）基本每股收益 </v>
          </cell>
          <cell r="C128">
            <v>0</v>
          </cell>
          <cell r="F128">
            <v>0</v>
          </cell>
        </row>
        <row r="129">
          <cell r="A129" t="str">
            <v>Z51</v>
          </cell>
          <cell r="B129" t="str">
            <v xml:space="preserve">（二）稀释每股收益 </v>
          </cell>
          <cell r="C129">
            <v>0</v>
          </cell>
          <cell r="F129">
            <v>0</v>
          </cell>
        </row>
        <row r="130">
          <cell r="A130">
            <v>0</v>
          </cell>
          <cell r="B130" t="str">
            <v>一、经营活动产生的现金流量：</v>
          </cell>
        </row>
        <row r="131">
          <cell r="A131" t="str">
            <v>C01</v>
          </cell>
          <cell r="B131" t="str">
            <v xml:space="preserve">销售商品、提供劳务收到的现金 </v>
          </cell>
          <cell r="C131">
            <v>0</v>
          </cell>
          <cell r="D131">
            <v>0</v>
          </cell>
          <cell r="E131">
            <v>0</v>
          </cell>
          <cell r="F131">
            <v>0</v>
          </cell>
        </row>
        <row r="132">
          <cell r="A132" t="str">
            <v>C02</v>
          </cell>
          <cell r="B132" t="str">
            <v xml:space="preserve">客户存款和同业存放款项净增加额 </v>
          </cell>
          <cell r="D132">
            <v>0</v>
          </cell>
          <cell r="E132">
            <v>0</v>
          </cell>
          <cell r="F132">
            <v>0</v>
          </cell>
        </row>
        <row r="133">
          <cell r="A133" t="str">
            <v>C03</v>
          </cell>
          <cell r="B133" t="str">
            <v xml:space="preserve">向中央银行借款净增加额 </v>
          </cell>
          <cell r="D133">
            <v>0</v>
          </cell>
          <cell r="E133">
            <v>0</v>
          </cell>
          <cell r="F133">
            <v>0</v>
          </cell>
        </row>
        <row r="134">
          <cell r="A134" t="str">
            <v>C04</v>
          </cell>
          <cell r="B134" t="str">
            <v xml:space="preserve">向其他金融机构拆入资金净增加额 </v>
          </cell>
          <cell r="D134">
            <v>0</v>
          </cell>
          <cell r="E134">
            <v>0</v>
          </cell>
          <cell r="F134">
            <v>0</v>
          </cell>
        </row>
        <row r="135">
          <cell r="A135" t="str">
            <v>C05</v>
          </cell>
          <cell r="B135" t="str">
            <v xml:space="preserve">收到原保险合同保费取得的现金 </v>
          </cell>
          <cell r="D135">
            <v>0</v>
          </cell>
          <cell r="E135">
            <v>0</v>
          </cell>
          <cell r="F135">
            <v>0</v>
          </cell>
        </row>
        <row r="136">
          <cell r="A136" t="str">
            <v>C06</v>
          </cell>
          <cell r="B136" t="str">
            <v xml:space="preserve">收到再保险业务现金净额 </v>
          </cell>
          <cell r="D136">
            <v>0</v>
          </cell>
          <cell r="E136">
            <v>0</v>
          </cell>
          <cell r="F136">
            <v>0</v>
          </cell>
        </row>
        <row r="137">
          <cell r="A137" t="str">
            <v>C07</v>
          </cell>
          <cell r="B137" t="str">
            <v xml:space="preserve">保户储金及投资款净增加额 </v>
          </cell>
          <cell r="D137">
            <v>0</v>
          </cell>
          <cell r="E137">
            <v>0</v>
          </cell>
          <cell r="F137">
            <v>0</v>
          </cell>
        </row>
        <row r="138">
          <cell r="A138" t="str">
            <v>C08</v>
          </cell>
          <cell r="B138" t="str">
            <v xml:space="preserve">处置交易性金融资产净增加额 </v>
          </cell>
          <cell r="D138">
            <v>0</v>
          </cell>
          <cell r="E138">
            <v>0</v>
          </cell>
          <cell r="F138">
            <v>0</v>
          </cell>
        </row>
        <row r="139">
          <cell r="A139" t="str">
            <v>C09</v>
          </cell>
          <cell r="B139" t="str">
            <v xml:space="preserve">收取利息、手续费及佣金的现金 </v>
          </cell>
          <cell r="D139">
            <v>0</v>
          </cell>
          <cell r="E139">
            <v>0</v>
          </cell>
          <cell r="F139">
            <v>0</v>
          </cell>
        </row>
        <row r="140">
          <cell r="A140" t="str">
            <v>C10</v>
          </cell>
          <cell r="B140" t="str">
            <v xml:space="preserve">拆入资金净增加额 </v>
          </cell>
          <cell r="D140">
            <v>0</v>
          </cell>
          <cell r="E140">
            <v>0</v>
          </cell>
          <cell r="F140">
            <v>0</v>
          </cell>
        </row>
        <row r="141">
          <cell r="A141" t="str">
            <v>C11</v>
          </cell>
          <cell r="B141" t="str">
            <v xml:space="preserve">回购业务资金净增加额 </v>
          </cell>
          <cell r="D141">
            <v>0</v>
          </cell>
          <cell r="E141">
            <v>0</v>
          </cell>
          <cell r="F141">
            <v>0</v>
          </cell>
        </row>
        <row r="142">
          <cell r="A142" t="str">
            <v>C12</v>
          </cell>
          <cell r="B142" t="str">
            <v xml:space="preserve">收到的税费返还 </v>
          </cell>
          <cell r="C142">
            <v>0</v>
          </cell>
          <cell r="D142">
            <v>0</v>
          </cell>
          <cell r="E142">
            <v>0</v>
          </cell>
          <cell r="F142">
            <v>0</v>
          </cell>
        </row>
        <row r="143">
          <cell r="A143" t="str">
            <v>C13</v>
          </cell>
          <cell r="B143" t="str">
            <v xml:space="preserve">收到其他与经营活动有关的现金 </v>
          </cell>
          <cell r="C143">
            <v>0</v>
          </cell>
          <cell r="D143">
            <v>0</v>
          </cell>
          <cell r="E143">
            <v>0</v>
          </cell>
          <cell r="F143">
            <v>0</v>
          </cell>
        </row>
        <row r="144">
          <cell r="A144">
            <v>0</v>
          </cell>
          <cell r="B144" t="str">
            <v xml:space="preserve">经营活动现金流入小计 </v>
          </cell>
          <cell r="C144">
            <v>0</v>
          </cell>
          <cell r="D144">
            <v>0</v>
          </cell>
          <cell r="E144">
            <v>0</v>
          </cell>
          <cell r="F144">
            <v>0</v>
          </cell>
        </row>
        <row r="145">
          <cell r="A145" t="str">
            <v>C14</v>
          </cell>
          <cell r="B145" t="str">
            <v xml:space="preserve">购买商品、接受劳务支付的现金 </v>
          </cell>
          <cell r="C145">
            <v>0</v>
          </cell>
          <cell r="D145">
            <v>0</v>
          </cell>
          <cell r="E145">
            <v>0</v>
          </cell>
          <cell r="F145">
            <v>0</v>
          </cell>
        </row>
        <row r="146">
          <cell r="A146" t="str">
            <v>C15</v>
          </cell>
          <cell r="B146" t="str">
            <v xml:space="preserve">客户贷款及垫款净增加额 </v>
          </cell>
          <cell r="D146">
            <v>0</v>
          </cell>
          <cell r="E146">
            <v>0</v>
          </cell>
          <cell r="F146">
            <v>0</v>
          </cell>
        </row>
        <row r="147">
          <cell r="A147" t="str">
            <v>C16</v>
          </cell>
          <cell r="B147" t="str">
            <v xml:space="preserve">存放中央银行和同业款项净增加额 </v>
          </cell>
          <cell r="D147">
            <v>0</v>
          </cell>
          <cell r="E147">
            <v>0</v>
          </cell>
          <cell r="F147">
            <v>0</v>
          </cell>
        </row>
        <row r="148">
          <cell r="A148" t="str">
            <v>C17</v>
          </cell>
          <cell r="B148" t="str">
            <v xml:space="preserve">支付原保险合同赔付款项的现金 </v>
          </cell>
          <cell r="D148">
            <v>0</v>
          </cell>
          <cell r="E148">
            <v>0</v>
          </cell>
          <cell r="F148">
            <v>0</v>
          </cell>
        </row>
        <row r="149">
          <cell r="A149" t="str">
            <v>C18</v>
          </cell>
          <cell r="B149" t="str">
            <v xml:space="preserve">支付利息、手续费及佣金的现金 </v>
          </cell>
          <cell r="D149">
            <v>0</v>
          </cell>
          <cell r="E149">
            <v>0</v>
          </cell>
          <cell r="F149">
            <v>0</v>
          </cell>
        </row>
        <row r="150">
          <cell r="A150" t="str">
            <v>C19</v>
          </cell>
          <cell r="B150" t="str">
            <v xml:space="preserve">支付保单红利的现金 </v>
          </cell>
          <cell r="D150">
            <v>0</v>
          </cell>
          <cell r="E150">
            <v>0</v>
          </cell>
          <cell r="F150">
            <v>0</v>
          </cell>
        </row>
        <row r="151">
          <cell r="A151" t="str">
            <v>C20</v>
          </cell>
          <cell r="B151" t="str">
            <v xml:space="preserve">支付给职工以及为职工支付的现金 </v>
          </cell>
          <cell r="C151">
            <v>0</v>
          </cell>
          <cell r="D151">
            <v>0</v>
          </cell>
          <cell r="E151">
            <v>0</v>
          </cell>
          <cell r="F151">
            <v>0</v>
          </cell>
        </row>
        <row r="152">
          <cell r="A152" t="str">
            <v>C21</v>
          </cell>
          <cell r="B152" t="str">
            <v xml:space="preserve">支付的各项税费 </v>
          </cell>
          <cell r="C152">
            <v>0</v>
          </cell>
          <cell r="D152">
            <v>0</v>
          </cell>
          <cell r="E152">
            <v>0</v>
          </cell>
          <cell r="F152">
            <v>0</v>
          </cell>
        </row>
        <row r="153">
          <cell r="A153" t="str">
            <v>C22</v>
          </cell>
          <cell r="B153" t="str">
            <v xml:space="preserve">支付其他与经营活动有关的现金 </v>
          </cell>
          <cell r="C153" t="e">
            <v>#REF!</v>
          </cell>
          <cell r="D153">
            <v>0</v>
          </cell>
          <cell r="E153">
            <v>0</v>
          </cell>
          <cell r="F153" t="e">
            <v>#REF!</v>
          </cell>
        </row>
        <row r="154">
          <cell r="A154">
            <v>0</v>
          </cell>
          <cell r="B154" t="str">
            <v xml:space="preserve">经营活动现金流出小计 </v>
          </cell>
          <cell r="C154" t="e">
            <v>#REF!</v>
          </cell>
          <cell r="D154">
            <v>0</v>
          </cell>
          <cell r="E154">
            <v>0</v>
          </cell>
          <cell r="F154" t="e">
            <v>#REF!</v>
          </cell>
        </row>
        <row r="155">
          <cell r="A155">
            <v>0</v>
          </cell>
          <cell r="B155" t="str">
            <v xml:space="preserve">经营活动产生的现金流量净额 </v>
          </cell>
          <cell r="C155" t="e">
            <v>#REF!</v>
          </cell>
          <cell r="D155">
            <v>0</v>
          </cell>
          <cell r="E155">
            <v>0</v>
          </cell>
          <cell r="F155" t="e">
            <v>#REF!</v>
          </cell>
        </row>
        <row r="156">
          <cell r="A156">
            <v>0</v>
          </cell>
          <cell r="B156" t="str">
            <v>二、投资活动产生的现金流量：</v>
          </cell>
          <cell r="F156">
            <v>0</v>
          </cell>
        </row>
        <row r="157">
          <cell r="A157" t="str">
            <v>C23</v>
          </cell>
          <cell r="B157" t="str">
            <v xml:space="preserve">收回投资收到的现金 </v>
          </cell>
          <cell r="C157">
            <v>0</v>
          </cell>
          <cell r="D157">
            <v>0</v>
          </cell>
          <cell r="E157">
            <v>0</v>
          </cell>
          <cell r="F157">
            <v>0</v>
          </cell>
        </row>
        <row r="158">
          <cell r="A158" t="str">
            <v>C24</v>
          </cell>
          <cell r="B158" t="str">
            <v xml:space="preserve">取得投资收益收到的现金 </v>
          </cell>
          <cell r="C158">
            <v>0</v>
          </cell>
          <cell r="D158">
            <v>0</v>
          </cell>
          <cell r="E158">
            <v>0</v>
          </cell>
          <cell r="F158">
            <v>0</v>
          </cell>
        </row>
        <row r="159">
          <cell r="A159" t="str">
            <v>C25</v>
          </cell>
          <cell r="B159" t="str">
            <v xml:space="preserve">处置固定资产、无形资产和其他长期资产收回的现金净额 </v>
          </cell>
          <cell r="C159">
            <v>0</v>
          </cell>
          <cell r="D159">
            <v>0</v>
          </cell>
          <cell r="E159">
            <v>0</v>
          </cell>
          <cell r="F159">
            <v>0</v>
          </cell>
        </row>
        <row r="160">
          <cell r="A160" t="str">
            <v>C26</v>
          </cell>
          <cell r="B160" t="str">
            <v xml:space="preserve">处置子公司及其他营业单位收到的现金净额 </v>
          </cell>
          <cell r="C160">
            <v>0</v>
          </cell>
          <cell r="D160">
            <v>0</v>
          </cell>
          <cell r="E160">
            <v>0</v>
          </cell>
          <cell r="F160">
            <v>0</v>
          </cell>
        </row>
        <row r="161">
          <cell r="A161" t="str">
            <v>C27</v>
          </cell>
          <cell r="B161" t="str">
            <v xml:space="preserve">收到其他与投资活动有关的现金 </v>
          </cell>
          <cell r="C161">
            <v>0</v>
          </cell>
          <cell r="D161">
            <v>0</v>
          </cell>
          <cell r="E161">
            <v>0</v>
          </cell>
          <cell r="F161">
            <v>0</v>
          </cell>
        </row>
        <row r="162">
          <cell r="A162">
            <v>0</v>
          </cell>
          <cell r="B162" t="str">
            <v xml:space="preserve">﻿投资活动现金流入小计 </v>
          </cell>
          <cell r="C162">
            <v>0</v>
          </cell>
          <cell r="D162">
            <v>0</v>
          </cell>
          <cell r="E162">
            <v>0</v>
          </cell>
          <cell r="F162">
            <v>0</v>
          </cell>
        </row>
        <row r="163">
          <cell r="A163" t="str">
            <v>C28</v>
          </cell>
          <cell r="B163" t="str">
            <v xml:space="preserve">购建固定资产、无形资产和其他长期资产支付的现金 </v>
          </cell>
          <cell r="C163" t="e">
            <v>#REF!</v>
          </cell>
          <cell r="D163">
            <v>0</v>
          </cell>
          <cell r="E163">
            <v>0</v>
          </cell>
          <cell r="F163" t="e">
            <v>#REF!</v>
          </cell>
        </row>
        <row r="164">
          <cell r="A164" t="str">
            <v>C29</v>
          </cell>
          <cell r="B164" t="str">
            <v xml:space="preserve">投资支付的现金 </v>
          </cell>
          <cell r="C164">
            <v>0</v>
          </cell>
          <cell r="D164">
            <v>0</v>
          </cell>
          <cell r="E164">
            <v>0</v>
          </cell>
          <cell r="F164">
            <v>0</v>
          </cell>
        </row>
        <row r="165">
          <cell r="A165" t="str">
            <v>C30</v>
          </cell>
          <cell r="B165" t="str">
            <v xml:space="preserve">质押贷款净增加额 </v>
          </cell>
          <cell r="D165">
            <v>0</v>
          </cell>
          <cell r="E165">
            <v>0</v>
          </cell>
          <cell r="F165">
            <v>0</v>
          </cell>
        </row>
        <row r="166">
          <cell r="A166" t="str">
            <v>C31</v>
          </cell>
          <cell r="B166" t="str">
            <v xml:space="preserve">取得子公司及其他营业单位支付的现金净额 </v>
          </cell>
          <cell r="C166">
            <v>0</v>
          </cell>
          <cell r="D166">
            <v>0</v>
          </cell>
          <cell r="E166">
            <v>0</v>
          </cell>
          <cell r="F166">
            <v>0</v>
          </cell>
        </row>
        <row r="167">
          <cell r="A167" t="str">
            <v>C32</v>
          </cell>
          <cell r="B167" t="str">
            <v xml:space="preserve">支付其他与投资活动有关的现金 </v>
          </cell>
          <cell r="C167">
            <v>0</v>
          </cell>
          <cell r="D167">
            <v>0</v>
          </cell>
          <cell r="E167">
            <v>0</v>
          </cell>
          <cell r="F167">
            <v>0</v>
          </cell>
        </row>
        <row r="168">
          <cell r="A168">
            <v>0</v>
          </cell>
          <cell r="B168" t="str">
            <v xml:space="preserve">投资活动现金流出小计 </v>
          </cell>
          <cell r="C168" t="e">
            <v>#REF!</v>
          </cell>
          <cell r="D168">
            <v>0</v>
          </cell>
          <cell r="E168">
            <v>0</v>
          </cell>
          <cell r="F168" t="e">
            <v>#REF!</v>
          </cell>
        </row>
        <row r="169">
          <cell r="A169">
            <v>0</v>
          </cell>
          <cell r="B169" t="str">
            <v xml:space="preserve">投资活动产生的现金流量净额 </v>
          </cell>
          <cell r="C169" t="e">
            <v>#REF!</v>
          </cell>
          <cell r="D169">
            <v>0</v>
          </cell>
          <cell r="E169">
            <v>0</v>
          </cell>
          <cell r="F169" t="e">
            <v>#REF!</v>
          </cell>
        </row>
        <row r="170">
          <cell r="A170">
            <v>0</v>
          </cell>
          <cell r="B170" t="str">
            <v>三、筹资活动产生的现金流量：</v>
          </cell>
          <cell r="F170">
            <v>0</v>
          </cell>
        </row>
        <row r="171">
          <cell r="A171" t="str">
            <v>C33</v>
          </cell>
          <cell r="B171" t="str">
            <v xml:space="preserve">吸收投资收到的现金 </v>
          </cell>
          <cell r="C171">
            <v>0</v>
          </cell>
          <cell r="D171">
            <v>0</v>
          </cell>
          <cell r="E171">
            <v>0</v>
          </cell>
          <cell r="F171">
            <v>0</v>
          </cell>
        </row>
        <row r="172">
          <cell r="A172" t="str">
            <v>C34</v>
          </cell>
          <cell r="B172" t="str">
            <v xml:space="preserve">其中：子公司吸收少数股东投资收到的现金 </v>
          </cell>
          <cell r="D172">
            <v>0</v>
          </cell>
          <cell r="E172">
            <v>0</v>
          </cell>
          <cell r="F172">
            <v>0</v>
          </cell>
        </row>
        <row r="173">
          <cell r="A173" t="str">
            <v>C35</v>
          </cell>
          <cell r="B173" t="str">
            <v xml:space="preserve">取得借款收到的现金 </v>
          </cell>
          <cell r="C173">
            <v>0</v>
          </cell>
          <cell r="D173">
            <v>0</v>
          </cell>
          <cell r="E173">
            <v>0</v>
          </cell>
          <cell r="F173">
            <v>0</v>
          </cell>
        </row>
        <row r="174">
          <cell r="A174" t="str">
            <v>C36</v>
          </cell>
          <cell r="B174" t="str">
            <v xml:space="preserve">发行债券收到的现金 </v>
          </cell>
          <cell r="D174">
            <v>0</v>
          </cell>
          <cell r="E174">
            <v>0</v>
          </cell>
          <cell r="F174">
            <v>0</v>
          </cell>
        </row>
        <row r="175">
          <cell r="A175" t="str">
            <v>C37</v>
          </cell>
          <cell r="B175" t="str">
            <v xml:space="preserve">收到其他与筹资活动有关的现金 </v>
          </cell>
          <cell r="C175">
            <v>0</v>
          </cell>
          <cell r="D175">
            <v>0</v>
          </cell>
          <cell r="E175">
            <v>0</v>
          </cell>
          <cell r="F175">
            <v>0</v>
          </cell>
        </row>
        <row r="176">
          <cell r="A176">
            <v>0</v>
          </cell>
          <cell r="B176" t="str">
            <v xml:space="preserve">筹资活动现金流入小计 </v>
          </cell>
          <cell r="C176">
            <v>0</v>
          </cell>
          <cell r="D176">
            <v>0</v>
          </cell>
          <cell r="E176">
            <v>0</v>
          </cell>
          <cell r="F176">
            <v>0</v>
          </cell>
        </row>
        <row r="177">
          <cell r="A177" t="str">
            <v>C39</v>
          </cell>
          <cell r="B177" t="str">
            <v xml:space="preserve">偿还债务支付的现金 </v>
          </cell>
          <cell r="C177">
            <v>0</v>
          </cell>
          <cell r="D177">
            <v>0</v>
          </cell>
          <cell r="E177">
            <v>0</v>
          </cell>
          <cell r="F177">
            <v>0</v>
          </cell>
        </row>
        <row r="178">
          <cell r="A178" t="str">
            <v>C40</v>
          </cell>
          <cell r="B178" t="str">
            <v xml:space="preserve">分配股利、利润或偿付利息支付的现金 </v>
          </cell>
          <cell r="C178">
            <v>0</v>
          </cell>
          <cell r="D178">
            <v>0</v>
          </cell>
          <cell r="E178">
            <v>0</v>
          </cell>
          <cell r="F178">
            <v>0</v>
          </cell>
        </row>
        <row r="179">
          <cell r="A179" t="str">
            <v>C41</v>
          </cell>
          <cell r="B179" t="str">
            <v xml:space="preserve">其中：子公司支付给少数股东的股利、利润 </v>
          </cell>
          <cell r="D179">
            <v>0</v>
          </cell>
          <cell r="E179">
            <v>0</v>
          </cell>
          <cell r="F179">
            <v>0</v>
          </cell>
        </row>
        <row r="180">
          <cell r="A180" t="str">
            <v>C42</v>
          </cell>
          <cell r="B180" t="str">
            <v xml:space="preserve">支付其他与筹资活动有关的现金 </v>
          </cell>
          <cell r="C180">
            <v>0</v>
          </cell>
          <cell r="D180">
            <v>0</v>
          </cell>
          <cell r="E180">
            <v>0</v>
          </cell>
          <cell r="F180">
            <v>0</v>
          </cell>
        </row>
        <row r="181">
          <cell r="A181">
            <v>0</v>
          </cell>
          <cell r="B181" t="str">
            <v xml:space="preserve">筹资活动现金流出小计 </v>
          </cell>
          <cell r="C181">
            <v>0</v>
          </cell>
          <cell r="D181">
            <v>0</v>
          </cell>
          <cell r="E181">
            <v>0</v>
          </cell>
          <cell r="F181">
            <v>0</v>
          </cell>
        </row>
        <row r="182">
          <cell r="A182">
            <v>0</v>
          </cell>
          <cell r="B182" t="str">
            <v xml:space="preserve">筹资活动产生的现金流量净额 </v>
          </cell>
          <cell r="C182">
            <v>0</v>
          </cell>
          <cell r="D182">
            <v>0</v>
          </cell>
          <cell r="E182">
            <v>0</v>
          </cell>
          <cell r="F182">
            <v>0</v>
          </cell>
        </row>
        <row r="183">
          <cell r="A183" t="str">
            <v>C45</v>
          </cell>
          <cell r="B183" t="str">
            <v>汇率变动对现金及现金等价物的影响</v>
          </cell>
          <cell r="C183">
            <v>0</v>
          </cell>
          <cell r="D183">
            <v>0</v>
          </cell>
          <cell r="E183">
            <v>0</v>
          </cell>
          <cell r="F183">
            <v>0</v>
          </cell>
        </row>
        <row r="184">
          <cell r="A184">
            <v>0</v>
          </cell>
          <cell r="B184" t="str">
            <v>五、现金及现金等价物净增加额</v>
          </cell>
          <cell r="C184" t="e">
            <v>#REF!</v>
          </cell>
          <cell r="D184">
            <v>0</v>
          </cell>
          <cell r="E184">
            <v>0</v>
          </cell>
          <cell r="F184" t="e">
            <v>#REF!</v>
          </cell>
        </row>
        <row r="185">
          <cell r="A185" t="str">
            <v>C46</v>
          </cell>
          <cell r="B185" t="str">
            <v xml:space="preserve">加：期初现金及现金等价物余额 </v>
          </cell>
          <cell r="C185">
            <v>0</v>
          </cell>
          <cell r="D185">
            <v>0</v>
          </cell>
          <cell r="E185">
            <v>0</v>
          </cell>
          <cell r="F185">
            <v>0</v>
          </cell>
        </row>
        <row r="186">
          <cell r="A186" t="str">
            <v>C47</v>
          </cell>
          <cell r="B186" t="str">
            <v>六、期末现金及现金等价物余额</v>
          </cell>
          <cell r="C186" t="e">
            <v>#REF!</v>
          </cell>
          <cell r="D186">
            <v>0</v>
          </cell>
          <cell r="E186">
            <v>0</v>
          </cell>
          <cell r="F186" t="e">
            <v>#REF!</v>
          </cell>
        </row>
        <row r="187">
          <cell r="A187">
            <v>0</v>
          </cell>
          <cell r="F187">
            <v>0</v>
          </cell>
        </row>
        <row r="188">
          <cell r="A188">
            <v>0</v>
          </cell>
          <cell r="B188">
            <v>0</v>
          </cell>
          <cell r="F188">
            <v>0</v>
          </cell>
        </row>
        <row r="189">
          <cell r="A189">
            <v>0</v>
          </cell>
          <cell r="B189" t="str">
            <v>补充资料</v>
          </cell>
          <cell r="F189">
            <v>0</v>
          </cell>
        </row>
        <row r="190">
          <cell r="A190">
            <v>0</v>
          </cell>
          <cell r="B190" t="str">
            <v>1．将净利润调节为经营活动现金流量：</v>
          </cell>
          <cell r="F190">
            <v>0</v>
          </cell>
        </row>
        <row r="191">
          <cell r="A191" t="str">
            <v>C48</v>
          </cell>
          <cell r="B191" t="str">
            <v>净利润</v>
          </cell>
          <cell r="C191">
            <v>0</v>
          </cell>
          <cell r="D191">
            <v>0</v>
          </cell>
          <cell r="E191">
            <v>0</v>
          </cell>
          <cell r="F191">
            <v>0</v>
          </cell>
        </row>
        <row r="192">
          <cell r="A192" t="str">
            <v>C49</v>
          </cell>
          <cell r="B192" t="str">
            <v xml:space="preserve">资产减值准备 </v>
          </cell>
          <cell r="C192">
            <v>0</v>
          </cell>
          <cell r="D192">
            <v>0</v>
          </cell>
          <cell r="E192">
            <v>0</v>
          </cell>
          <cell r="F192">
            <v>0</v>
          </cell>
        </row>
        <row r="193">
          <cell r="A193" t="str">
            <v>C50</v>
          </cell>
          <cell r="B193" t="str">
            <v xml:space="preserve">固定资产折旧、油气资产折耗、生产性生物资产折旧 </v>
          </cell>
          <cell r="C193" t="e">
            <v>#REF!</v>
          </cell>
          <cell r="D193">
            <v>0</v>
          </cell>
          <cell r="E193">
            <v>0</v>
          </cell>
          <cell r="F193" t="e">
            <v>#REF!</v>
          </cell>
        </row>
        <row r="194">
          <cell r="A194" t="str">
            <v>C51</v>
          </cell>
          <cell r="B194" t="str">
            <v xml:space="preserve">无形资产摊销 </v>
          </cell>
          <cell r="C194">
            <v>0</v>
          </cell>
          <cell r="D194">
            <v>0</v>
          </cell>
          <cell r="E194">
            <v>0</v>
          </cell>
          <cell r="F194">
            <v>0</v>
          </cell>
        </row>
        <row r="195">
          <cell r="A195" t="str">
            <v>C52</v>
          </cell>
          <cell r="B195" t="str">
            <v xml:space="preserve">长期待摊费用摊销 </v>
          </cell>
          <cell r="C195">
            <v>0</v>
          </cell>
          <cell r="D195">
            <v>0</v>
          </cell>
          <cell r="E195">
            <v>0</v>
          </cell>
          <cell r="F195">
            <v>0</v>
          </cell>
        </row>
        <row r="196">
          <cell r="A196" t="str">
            <v>C53</v>
          </cell>
          <cell r="B196" t="str">
            <v xml:space="preserve">处置固定资产、无形资产和其他长期资产的损失（收益以“－”号填列） </v>
          </cell>
          <cell r="C196">
            <v>0</v>
          </cell>
          <cell r="D196">
            <v>0</v>
          </cell>
          <cell r="E196">
            <v>0</v>
          </cell>
          <cell r="F196">
            <v>0</v>
          </cell>
        </row>
        <row r="197">
          <cell r="A197" t="str">
            <v>C54</v>
          </cell>
          <cell r="B197" t="str">
            <v xml:space="preserve">固定资产报废损失（收益以“－”号填﻿列） </v>
          </cell>
          <cell r="C197">
            <v>0</v>
          </cell>
          <cell r="D197">
            <v>0</v>
          </cell>
          <cell r="E197">
            <v>0</v>
          </cell>
          <cell r="F197">
            <v>0</v>
          </cell>
        </row>
        <row r="198">
          <cell r="A198" t="str">
            <v>C55</v>
          </cell>
          <cell r="B198" t="str">
            <v xml:space="preserve">公允价值变动损失（收益以“－”号填列） </v>
          </cell>
          <cell r="C198">
            <v>0</v>
          </cell>
          <cell r="D198">
            <v>0</v>
          </cell>
          <cell r="E198">
            <v>0</v>
          </cell>
          <cell r="F198">
            <v>0</v>
          </cell>
        </row>
        <row r="199">
          <cell r="A199" t="str">
            <v>C56</v>
          </cell>
          <cell r="B199" t="str">
            <v xml:space="preserve">财务费用（收益以“－”号填列） </v>
          </cell>
          <cell r="C199">
            <v>0</v>
          </cell>
          <cell r="D199">
            <v>0</v>
          </cell>
          <cell r="E199">
            <v>0</v>
          </cell>
          <cell r="F199">
            <v>0</v>
          </cell>
        </row>
        <row r="200">
          <cell r="A200" t="str">
            <v>C57</v>
          </cell>
          <cell r="B200" t="str">
            <v xml:space="preserve">投资损失（收益以“－”号填列） </v>
          </cell>
          <cell r="C200">
            <v>0</v>
          </cell>
          <cell r="D200">
            <v>0</v>
          </cell>
          <cell r="E200">
            <v>0</v>
          </cell>
          <cell r="F200">
            <v>0</v>
          </cell>
        </row>
        <row r="201">
          <cell r="A201" t="str">
            <v>C58</v>
          </cell>
          <cell r="B201" t="str">
            <v xml:space="preserve">递延所得税资产减少（增加以“－”号填列） </v>
          </cell>
          <cell r="C201">
            <v>0</v>
          </cell>
          <cell r="D201">
            <v>0</v>
          </cell>
          <cell r="E201">
            <v>0</v>
          </cell>
          <cell r="F201">
            <v>0</v>
          </cell>
        </row>
        <row r="202">
          <cell r="A202" t="str">
            <v>C59</v>
          </cell>
          <cell r="B202" t="str">
            <v xml:space="preserve">递延所得税负债增加（减少以“－”号填列） </v>
          </cell>
          <cell r="C202">
            <v>0</v>
          </cell>
          <cell r="D202">
            <v>0</v>
          </cell>
          <cell r="E202">
            <v>0</v>
          </cell>
          <cell r="F202">
            <v>0</v>
          </cell>
        </row>
        <row r="203">
          <cell r="A203" t="str">
            <v>C60</v>
          </cell>
          <cell r="B203" t="str">
            <v xml:space="preserve">存货的减少（增加以“－”号填列） </v>
          </cell>
          <cell r="C203">
            <v>0</v>
          </cell>
          <cell r="D203">
            <v>0</v>
          </cell>
          <cell r="E203">
            <v>0</v>
          </cell>
          <cell r="F203">
            <v>0</v>
          </cell>
        </row>
        <row r="204">
          <cell r="A204" t="str">
            <v>C61</v>
          </cell>
          <cell r="B204" t="str">
            <v xml:space="preserve">经营性应收项目的减少（增加以“－”号填列） </v>
          </cell>
          <cell r="C204">
            <v>0</v>
          </cell>
          <cell r="D204">
            <v>0</v>
          </cell>
          <cell r="E204">
            <v>0</v>
          </cell>
          <cell r="F204">
            <v>0</v>
          </cell>
        </row>
        <row r="205">
          <cell r="A205" t="str">
            <v>C62</v>
          </cell>
          <cell r="B205" t="str">
            <v xml:space="preserve">经营性应付项目的增加（减少以“－”号填列） </v>
          </cell>
          <cell r="C205">
            <v>0</v>
          </cell>
          <cell r="D205">
            <v>0</v>
          </cell>
          <cell r="E205">
            <v>0</v>
          </cell>
          <cell r="F205">
            <v>0</v>
          </cell>
        </row>
        <row r="206">
          <cell r="A206" t="str">
            <v>C63</v>
          </cell>
          <cell r="B206" t="str">
            <v xml:space="preserve">其他 </v>
          </cell>
          <cell r="C206">
            <v>0</v>
          </cell>
          <cell r="D206">
            <v>0</v>
          </cell>
          <cell r="E206">
            <v>0</v>
          </cell>
          <cell r="F206">
            <v>0</v>
          </cell>
        </row>
        <row r="207">
          <cell r="A207">
            <v>0</v>
          </cell>
          <cell r="B207" t="str">
            <v xml:space="preserve">经营活动产生的现金流量净额 </v>
          </cell>
          <cell r="C207" t="e">
            <v>#REF!</v>
          </cell>
          <cell r="D207">
            <v>0</v>
          </cell>
          <cell r="E207">
            <v>0</v>
          </cell>
          <cell r="F207" t="e">
            <v>#REF!</v>
          </cell>
        </row>
        <row r="208">
          <cell r="A208">
            <v>0</v>
          </cell>
          <cell r="B208" t="str">
            <v>2．不涉及现金收支的重大投资和筹资活动：</v>
          </cell>
          <cell r="C208">
            <v>0</v>
          </cell>
        </row>
        <row r="209">
          <cell r="A209">
            <v>0</v>
          </cell>
          <cell r="B209" t="str">
            <v xml:space="preserve">债务转为资本 </v>
          </cell>
          <cell r="C209">
            <v>0</v>
          </cell>
        </row>
        <row r="210">
          <cell r="A210">
            <v>0</v>
          </cell>
          <cell r="B210" t="str">
            <v xml:space="preserve">一年内到期的可转换公司债券 </v>
          </cell>
          <cell r="C210">
            <v>0</v>
          </cell>
        </row>
        <row r="211">
          <cell r="A211">
            <v>0</v>
          </cell>
          <cell r="B211" t="str">
            <v xml:space="preserve">融资租入固定资产 </v>
          </cell>
          <cell r="C211">
            <v>0</v>
          </cell>
        </row>
        <row r="212">
          <cell r="A212">
            <v>0</v>
          </cell>
          <cell r="B212" t="str">
            <v>3．现金及现金等价物净变动情况：</v>
          </cell>
          <cell r="C212">
            <v>0</v>
          </cell>
        </row>
        <row r="213">
          <cell r="A213" t="str">
            <v>C68</v>
          </cell>
          <cell r="B213" t="str">
            <v xml:space="preserve">现金的期末余额 </v>
          </cell>
          <cell r="C213">
            <v>0</v>
          </cell>
          <cell r="D213">
            <v>0</v>
          </cell>
          <cell r="E213">
            <v>0</v>
          </cell>
          <cell r="F213">
            <v>0</v>
          </cell>
        </row>
        <row r="214">
          <cell r="A214" t="str">
            <v>C69</v>
          </cell>
          <cell r="B214" t="str">
            <v xml:space="preserve">现金的期初余额 </v>
          </cell>
          <cell r="C214">
            <v>0</v>
          </cell>
          <cell r="D214">
            <v>0</v>
          </cell>
          <cell r="E214">
            <v>0</v>
          </cell>
          <cell r="F214">
            <v>0</v>
          </cell>
        </row>
        <row r="215">
          <cell r="A215" t="str">
            <v>C70</v>
          </cell>
          <cell r="B215" t="str">
            <v xml:space="preserve">现金等价物的期末余额 </v>
          </cell>
          <cell r="C215">
            <v>0</v>
          </cell>
          <cell r="D215">
            <v>0</v>
          </cell>
          <cell r="E215">
            <v>0</v>
          </cell>
          <cell r="F215">
            <v>0</v>
          </cell>
        </row>
        <row r="216">
          <cell r="A216" t="str">
            <v>C71</v>
          </cell>
          <cell r="B216" t="str">
            <v xml:space="preserve">现金等价物的期初余额 </v>
          </cell>
          <cell r="C216">
            <v>0</v>
          </cell>
          <cell r="D216">
            <v>0</v>
          </cell>
          <cell r="E216">
            <v>0</v>
          </cell>
          <cell r="F216">
            <v>0</v>
          </cell>
        </row>
        <row r="217">
          <cell r="A217">
            <v>0</v>
          </cell>
          <cell r="B217" t="str">
            <v xml:space="preserve">现金及现金等价物净增加额 </v>
          </cell>
          <cell r="C217">
            <v>0</v>
          </cell>
          <cell r="D217">
            <v>0</v>
          </cell>
          <cell r="E217">
            <v>0</v>
          </cell>
          <cell r="F217">
            <v>0</v>
          </cell>
        </row>
        <row r="218">
          <cell r="A218">
            <v>0</v>
          </cell>
          <cell r="B218" t="str">
            <v>实收资本</v>
          </cell>
          <cell r="D218">
            <v>0</v>
          </cell>
          <cell r="E218">
            <v>0</v>
          </cell>
          <cell r="F218">
            <v>0</v>
          </cell>
        </row>
        <row r="219">
          <cell r="A219" t="str">
            <v>F2006</v>
          </cell>
          <cell r="B219" t="str">
            <v>一、上年年末余额</v>
          </cell>
          <cell r="C219">
            <v>0</v>
          </cell>
          <cell r="D219">
            <v>0</v>
          </cell>
          <cell r="E219">
            <v>0</v>
          </cell>
          <cell r="F219">
            <v>0</v>
          </cell>
        </row>
        <row r="220">
          <cell r="A220" t="str">
            <v>F2007</v>
          </cell>
          <cell r="B220" t="str">
            <v>会计政策变更</v>
          </cell>
          <cell r="C220">
            <v>0</v>
          </cell>
          <cell r="D220">
            <v>0</v>
          </cell>
          <cell r="E220">
            <v>0</v>
          </cell>
          <cell r="F220">
            <v>0</v>
          </cell>
        </row>
        <row r="221">
          <cell r="A221" t="str">
            <v>F2008</v>
          </cell>
          <cell r="B221" t="str">
            <v>前期差错更正</v>
          </cell>
          <cell r="C221">
            <v>0</v>
          </cell>
          <cell r="D221">
            <v>0</v>
          </cell>
          <cell r="E221">
            <v>0</v>
          </cell>
          <cell r="F221">
            <v>0</v>
          </cell>
        </row>
        <row r="222">
          <cell r="B222" t="str">
            <v>二、本年年初余额</v>
          </cell>
          <cell r="C222">
            <v>0</v>
          </cell>
          <cell r="D222">
            <v>0</v>
          </cell>
          <cell r="E222">
            <v>0</v>
          </cell>
          <cell r="F222">
            <v>0</v>
          </cell>
        </row>
        <row r="223">
          <cell r="B223" t="str">
            <v>三、本年增减变动金额（减少以“-”号填列）</v>
          </cell>
          <cell r="C223">
            <v>0</v>
          </cell>
          <cell r="D223">
            <v>0</v>
          </cell>
          <cell r="E223">
            <v>0</v>
          </cell>
          <cell r="F223">
            <v>0</v>
          </cell>
        </row>
        <row r="224">
          <cell r="B224" t="str">
            <v>（一）净利润</v>
          </cell>
          <cell r="C224">
            <v>0</v>
          </cell>
          <cell r="F224">
            <v>0</v>
          </cell>
        </row>
        <row r="225">
          <cell r="B225" t="str">
            <v>（二）直接计入所有者权益的利得和损失</v>
          </cell>
          <cell r="C225">
            <v>0</v>
          </cell>
          <cell r="D225">
            <v>0</v>
          </cell>
          <cell r="E225">
            <v>0</v>
          </cell>
          <cell r="F225">
            <v>0</v>
          </cell>
        </row>
        <row r="226">
          <cell r="B226" t="str">
            <v>可供出售金融资产公允价值变动净额</v>
          </cell>
          <cell r="C226">
            <v>0</v>
          </cell>
          <cell r="F226">
            <v>0</v>
          </cell>
        </row>
        <row r="227">
          <cell r="B227" t="str">
            <v>权益法下被投资单位其他所有者权益变动的影响</v>
          </cell>
          <cell r="C227">
            <v>0</v>
          </cell>
          <cell r="F227">
            <v>0</v>
          </cell>
        </row>
        <row r="228">
          <cell r="B228" t="str">
            <v>与计入所有者权益项目相关的所得税影响</v>
          </cell>
          <cell r="C228">
            <v>0</v>
          </cell>
          <cell r="F228">
            <v>0</v>
          </cell>
        </row>
        <row r="229">
          <cell r="B229" t="str">
            <v>其他</v>
          </cell>
          <cell r="C229">
            <v>0</v>
          </cell>
          <cell r="F229">
            <v>0</v>
          </cell>
        </row>
        <row r="230">
          <cell r="B230" t="str">
            <v>上述（一）和（二）小计</v>
          </cell>
          <cell r="C230">
            <v>0</v>
          </cell>
          <cell r="D230">
            <v>0</v>
          </cell>
          <cell r="E230">
            <v>0</v>
          </cell>
          <cell r="F230">
            <v>0</v>
          </cell>
        </row>
        <row r="231">
          <cell r="B231" t="str">
            <v>（三）所有者投入和减少资本</v>
          </cell>
          <cell r="C231">
            <v>0</v>
          </cell>
          <cell r="D231">
            <v>0</v>
          </cell>
          <cell r="E231">
            <v>0</v>
          </cell>
          <cell r="F231">
            <v>0</v>
          </cell>
        </row>
        <row r="232">
          <cell r="A232" t="str">
            <v>F2001</v>
          </cell>
          <cell r="B232" t="str">
            <v>所有者投入资本</v>
          </cell>
          <cell r="C232">
            <v>0</v>
          </cell>
          <cell r="D232">
            <v>0</v>
          </cell>
          <cell r="E232">
            <v>0</v>
          </cell>
          <cell r="F232">
            <v>0</v>
          </cell>
        </row>
        <row r="233">
          <cell r="A233" t="str">
            <v>F2002</v>
          </cell>
          <cell r="B233" t="str">
            <v>股份支付计入所有者权益的金额</v>
          </cell>
          <cell r="C233">
            <v>0</v>
          </cell>
          <cell r="D233">
            <v>0</v>
          </cell>
          <cell r="E233">
            <v>0</v>
          </cell>
          <cell r="F233">
            <v>0</v>
          </cell>
        </row>
        <row r="234">
          <cell r="A234" t="str">
            <v>F2005</v>
          </cell>
          <cell r="B234" t="str">
            <v>其他</v>
          </cell>
          <cell r="C234">
            <v>0</v>
          </cell>
          <cell r="D234">
            <v>0</v>
          </cell>
          <cell r="E234">
            <v>0</v>
          </cell>
          <cell r="F234">
            <v>0</v>
          </cell>
        </row>
        <row r="235">
          <cell r="B235" t="str">
            <v>（四）利润分配</v>
          </cell>
          <cell r="C235">
            <v>0</v>
          </cell>
          <cell r="D235">
            <v>0</v>
          </cell>
          <cell r="E235">
            <v>0</v>
          </cell>
          <cell r="F235">
            <v>0</v>
          </cell>
        </row>
        <row r="236">
          <cell r="B236" t="str">
            <v xml:space="preserve">提取盈余公积 </v>
          </cell>
          <cell r="C236">
            <v>0</v>
          </cell>
          <cell r="F236">
            <v>0</v>
          </cell>
        </row>
        <row r="237">
          <cell r="B237" t="str">
            <v>提取一般风险准备</v>
          </cell>
          <cell r="C237">
            <v>0</v>
          </cell>
          <cell r="F237">
            <v>0</v>
          </cell>
        </row>
        <row r="238">
          <cell r="B238" t="str">
            <v>对所有者（或股东）的分配</v>
          </cell>
          <cell r="C238">
            <v>0</v>
          </cell>
          <cell r="F238">
            <v>0</v>
          </cell>
        </row>
        <row r="239">
          <cell r="B239" t="str">
            <v>其他</v>
          </cell>
          <cell r="C239">
            <v>0</v>
          </cell>
          <cell r="F239">
            <v>0</v>
          </cell>
        </row>
        <row r="240">
          <cell r="B240" t="str">
            <v>（五）所有者权益内部结转</v>
          </cell>
          <cell r="C240">
            <v>0</v>
          </cell>
          <cell r="D240">
            <v>0</v>
          </cell>
          <cell r="E240">
            <v>0</v>
          </cell>
          <cell r="F240">
            <v>0</v>
          </cell>
        </row>
        <row r="241">
          <cell r="A241" t="str">
            <v>F2003</v>
          </cell>
          <cell r="B241" t="str">
            <v>资本公积转增资本</v>
          </cell>
          <cell r="C241">
            <v>0</v>
          </cell>
          <cell r="D241">
            <v>0</v>
          </cell>
          <cell r="E241">
            <v>0</v>
          </cell>
          <cell r="F241">
            <v>0</v>
          </cell>
        </row>
        <row r="242">
          <cell r="A242" t="str">
            <v>F2004</v>
          </cell>
          <cell r="B242" t="str">
            <v>盈余公积转增资本</v>
          </cell>
          <cell r="C242">
            <v>0</v>
          </cell>
          <cell r="D242">
            <v>0</v>
          </cell>
          <cell r="E242">
            <v>0</v>
          </cell>
          <cell r="F242">
            <v>0</v>
          </cell>
        </row>
        <row r="243">
          <cell r="B243" t="str">
            <v>盈余公积弥补亏损</v>
          </cell>
          <cell r="C243">
            <v>0</v>
          </cell>
          <cell r="F243">
            <v>0</v>
          </cell>
        </row>
        <row r="244">
          <cell r="B244" t="str">
            <v>其他</v>
          </cell>
          <cell r="C244">
            <v>0</v>
          </cell>
          <cell r="F244">
            <v>0</v>
          </cell>
        </row>
        <row r="245">
          <cell r="B245" t="str">
            <v>四、本年年末余额</v>
          </cell>
          <cell r="C245">
            <v>0</v>
          </cell>
          <cell r="D245">
            <v>0</v>
          </cell>
          <cell r="E245">
            <v>0</v>
          </cell>
          <cell r="F245">
            <v>0</v>
          </cell>
        </row>
        <row r="246">
          <cell r="B246" t="str">
            <v>资本公积</v>
          </cell>
        </row>
        <row r="247">
          <cell r="A247" t="str">
            <v>F2107</v>
          </cell>
          <cell r="B247" t="str">
            <v>一、上年年末余额</v>
          </cell>
          <cell r="C247">
            <v>0</v>
          </cell>
          <cell r="D247">
            <v>0</v>
          </cell>
          <cell r="E247">
            <v>0</v>
          </cell>
          <cell r="F247">
            <v>0</v>
          </cell>
        </row>
        <row r="248">
          <cell r="A248" t="str">
            <v>F2108</v>
          </cell>
          <cell r="B248" t="str">
            <v>会计政策变更</v>
          </cell>
          <cell r="C248">
            <v>0</v>
          </cell>
          <cell r="D248">
            <v>0</v>
          </cell>
          <cell r="E248">
            <v>0</v>
          </cell>
          <cell r="F248">
            <v>0</v>
          </cell>
        </row>
        <row r="249">
          <cell r="A249" t="str">
            <v>F2109</v>
          </cell>
          <cell r="B249" t="str">
            <v>前期差错更正</v>
          </cell>
          <cell r="C249">
            <v>0</v>
          </cell>
          <cell r="D249">
            <v>0</v>
          </cell>
          <cell r="E249">
            <v>0</v>
          </cell>
          <cell r="F249">
            <v>0</v>
          </cell>
        </row>
        <row r="250">
          <cell r="B250" t="str">
            <v>二、本年年初余额</v>
          </cell>
          <cell r="C250">
            <v>0</v>
          </cell>
          <cell r="D250">
            <v>0</v>
          </cell>
          <cell r="E250">
            <v>0</v>
          </cell>
          <cell r="F250">
            <v>0</v>
          </cell>
        </row>
        <row r="251">
          <cell r="B251" t="str">
            <v>三、本年增减变动金额（减少以“-”号填列）</v>
          </cell>
          <cell r="C251">
            <v>0</v>
          </cell>
          <cell r="D251">
            <v>0</v>
          </cell>
          <cell r="E251">
            <v>0</v>
          </cell>
          <cell r="F251">
            <v>0</v>
          </cell>
        </row>
        <row r="252">
          <cell r="B252" t="str">
            <v>（一）净利润</v>
          </cell>
          <cell r="C252">
            <v>0</v>
          </cell>
          <cell r="F252">
            <v>0</v>
          </cell>
        </row>
        <row r="253">
          <cell r="B253" t="str">
            <v>（二）直接计入所有者权益的利得和损失</v>
          </cell>
          <cell r="C253">
            <v>0</v>
          </cell>
          <cell r="D253">
            <v>0</v>
          </cell>
          <cell r="E253">
            <v>0</v>
          </cell>
          <cell r="F253">
            <v>0</v>
          </cell>
        </row>
        <row r="254">
          <cell r="A254" t="str">
            <v>F2101</v>
          </cell>
          <cell r="B254" t="str">
            <v>可供出售金融资产公允价值变动净额</v>
          </cell>
          <cell r="C254">
            <v>0</v>
          </cell>
          <cell r="D254">
            <v>0</v>
          </cell>
          <cell r="E254">
            <v>0</v>
          </cell>
          <cell r="F254">
            <v>0</v>
          </cell>
        </row>
        <row r="255">
          <cell r="A255" t="str">
            <v>F2102</v>
          </cell>
          <cell r="B255" t="str">
            <v>权益法下被投资单位其他所有者权益变动的影响</v>
          </cell>
          <cell r="C255">
            <v>0</v>
          </cell>
          <cell r="D255">
            <v>0</v>
          </cell>
          <cell r="E255">
            <v>0</v>
          </cell>
          <cell r="F255">
            <v>0</v>
          </cell>
        </row>
        <row r="256">
          <cell r="A256" t="str">
            <v>F2103</v>
          </cell>
          <cell r="B256" t="str">
            <v>与计入所有者权益项目相关的所得税影响</v>
          </cell>
          <cell r="C256">
            <v>0</v>
          </cell>
          <cell r="D256">
            <v>0</v>
          </cell>
          <cell r="E256">
            <v>0</v>
          </cell>
          <cell r="F256">
            <v>0</v>
          </cell>
        </row>
        <row r="257">
          <cell r="A257" t="str">
            <v>F2106</v>
          </cell>
          <cell r="B257" t="str">
            <v>其他</v>
          </cell>
          <cell r="C257">
            <v>0</v>
          </cell>
          <cell r="D257">
            <v>0</v>
          </cell>
          <cell r="E257">
            <v>0</v>
          </cell>
          <cell r="F257">
            <v>0</v>
          </cell>
        </row>
        <row r="258">
          <cell r="B258" t="str">
            <v>上述（一）和（二）小计</v>
          </cell>
          <cell r="C258">
            <v>0</v>
          </cell>
          <cell r="D258">
            <v>0</v>
          </cell>
          <cell r="E258">
            <v>0</v>
          </cell>
          <cell r="F258">
            <v>0</v>
          </cell>
        </row>
        <row r="259">
          <cell r="B259" t="str">
            <v>（三）所有者投入和减少资本</v>
          </cell>
          <cell r="C259">
            <v>0</v>
          </cell>
          <cell r="D259">
            <v>0</v>
          </cell>
          <cell r="E259">
            <v>0</v>
          </cell>
          <cell r="F259">
            <v>0</v>
          </cell>
        </row>
        <row r="260">
          <cell r="A260" t="str">
            <v>F2104</v>
          </cell>
          <cell r="B260" t="str">
            <v>所有者投入资本</v>
          </cell>
          <cell r="C260">
            <v>0</v>
          </cell>
          <cell r="D260">
            <v>0</v>
          </cell>
          <cell r="E260">
            <v>0</v>
          </cell>
          <cell r="F260">
            <v>0</v>
          </cell>
        </row>
        <row r="261">
          <cell r="B261" t="str">
            <v>股份支付计入所有者权益的金额</v>
          </cell>
          <cell r="C261">
            <v>0</v>
          </cell>
          <cell r="F261">
            <v>0</v>
          </cell>
        </row>
        <row r="262">
          <cell r="B262" t="str">
            <v>其他</v>
          </cell>
          <cell r="C262">
            <v>0</v>
          </cell>
          <cell r="F262">
            <v>0</v>
          </cell>
        </row>
        <row r="263">
          <cell r="B263" t="str">
            <v>（四）利润分配</v>
          </cell>
          <cell r="C263">
            <v>0</v>
          </cell>
          <cell r="D263">
            <v>0</v>
          </cell>
          <cell r="E263">
            <v>0</v>
          </cell>
          <cell r="F263">
            <v>0</v>
          </cell>
        </row>
        <row r="264">
          <cell r="B264" t="str">
            <v xml:space="preserve">提取盈余公积 </v>
          </cell>
          <cell r="C264">
            <v>0</v>
          </cell>
          <cell r="F264">
            <v>0</v>
          </cell>
        </row>
        <row r="265">
          <cell r="B265" t="str">
            <v>提取一般风险准备</v>
          </cell>
          <cell r="C265">
            <v>0</v>
          </cell>
          <cell r="F265">
            <v>0</v>
          </cell>
        </row>
        <row r="266">
          <cell r="B266" t="str">
            <v>对所有者（或股东）的分配</v>
          </cell>
          <cell r="C266">
            <v>0</v>
          </cell>
          <cell r="F266">
            <v>0</v>
          </cell>
        </row>
        <row r="267">
          <cell r="B267" t="str">
            <v>其他</v>
          </cell>
          <cell r="C267">
            <v>0</v>
          </cell>
          <cell r="F267">
            <v>0</v>
          </cell>
        </row>
        <row r="268">
          <cell r="B268" t="str">
            <v>（五）所有者权益内部结转</v>
          </cell>
          <cell r="C268">
            <v>0</v>
          </cell>
          <cell r="D268">
            <v>0</v>
          </cell>
          <cell r="E268">
            <v>0</v>
          </cell>
          <cell r="F268">
            <v>0</v>
          </cell>
        </row>
        <row r="269">
          <cell r="A269" t="str">
            <v>F2105</v>
          </cell>
          <cell r="B269" t="str">
            <v>资本公积转增资本</v>
          </cell>
          <cell r="C269">
            <v>0</v>
          </cell>
          <cell r="D269">
            <v>0</v>
          </cell>
          <cell r="E269">
            <v>0</v>
          </cell>
          <cell r="F269">
            <v>0</v>
          </cell>
        </row>
        <row r="270">
          <cell r="B270" t="str">
            <v>盈余公积转增资本</v>
          </cell>
          <cell r="C270">
            <v>0</v>
          </cell>
          <cell r="F270">
            <v>0</v>
          </cell>
        </row>
        <row r="271">
          <cell r="B271" t="str">
            <v>盈余公积弥补亏损</v>
          </cell>
          <cell r="C271">
            <v>0</v>
          </cell>
          <cell r="F271">
            <v>0</v>
          </cell>
        </row>
        <row r="272">
          <cell r="B272" t="str">
            <v>其他</v>
          </cell>
          <cell r="C272">
            <v>0</v>
          </cell>
          <cell r="F272">
            <v>0</v>
          </cell>
        </row>
        <row r="273">
          <cell r="B273" t="str">
            <v>四、本年年末余额</v>
          </cell>
          <cell r="C273">
            <v>0</v>
          </cell>
          <cell r="D273">
            <v>0</v>
          </cell>
          <cell r="E273">
            <v>0</v>
          </cell>
          <cell r="F273">
            <v>0</v>
          </cell>
        </row>
        <row r="274">
          <cell r="B274" t="str">
            <v>减：库存股</v>
          </cell>
        </row>
        <row r="275">
          <cell r="A275" t="str">
            <v>F2202</v>
          </cell>
          <cell r="B275" t="str">
            <v>一、上年年末余额</v>
          </cell>
          <cell r="C275">
            <v>0</v>
          </cell>
          <cell r="D275">
            <v>0</v>
          </cell>
          <cell r="E275">
            <v>0</v>
          </cell>
          <cell r="F275">
            <v>0</v>
          </cell>
        </row>
        <row r="276">
          <cell r="A276" t="str">
            <v>F2203</v>
          </cell>
          <cell r="B276" t="str">
            <v>会计政策变更</v>
          </cell>
          <cell r="C276">
            <v>0</v>
          </cell>
          <cell r="D276">
            <v>0</v>
          </cell>
          <cell r="E276">
            <v>0</v>
          </cell>
          <cell r="F276">
            <v>0</v>
          </cell>
        </row>
        <row r="277">
          <cell r="A277" t="str">
            <v>F2204</v>
          </cell>
          <cell r="B277" t="str">
            <v>前期差错更正</v>
          </cell>
          <cell r="C277">
            <v>0</v>
          </cell>
          <cell r="D277">
            <v>0</v>
          </cell>
          <cell r="E277">
            <v>0</v>
          </cell>
          <cell r="F277">
            <v>0</v>
          </cell>
        </row>
        <row r="278">
          <cell r="B278" t="str">
            <v>二、本年年初余额</v>
          </cell>
          <cell r="C278">
            <v>0</v>
          </cell>
          <cell r="D278">
            <v>0</v>
          </cell>
          <cell r="E278">
            <v>0</v>
          </cell>
          <cell r="F278">
            <v>0</v>
          </cell>
        </row>
        <row r="279">
          <cell r="B279" t="str">
            <v>三、本年增减变动金额（减少以“-”号填列）</v>
          </cell>
          <cell r="C279">
            <v>0</v>
          </cell>
          <cell r="D279">
            <v>0</v>
          </cell>
          <cell r="E279">
            <v>0</v>
          </cell>
          <cell r="F279">
            <v>0</v>
          </cell>
        </row>
        <row r="280">
          <cell r="B280" t="str">
            <v>（一）净利润</v>
          </cell>
          <cell r="C280">
            <v>0</v>
          </cell>
          <cell r="F280">
            <v>0</v>
          </cell>
        </row>
        <row r="281">
          <cell r="B281" t="str">
            <v>（二）直接计入所有者权益的利得和损失</v>
          </cell>
          <cell r="C281">
            <v>0</v>
          </cell>
          <cell r="D281">
            <v>0</v>
          </cell>
          <cell r="E281">
            <v>0</v>
          </cell>
          <cell r="F281">
            <v>0</v>
          </cell>
        </row>
        <row r="282">
          <cell r="B282" t="str">
            <v>可供出售金融资产公允价值变动净额</v>
          </cell>
          <cell r="C282">
            <v>0</v>
          </cell>
          <cell r="F282">
            <v>0</v>
          </cell>
        </row>
        <row r="283">
          <cell r="B283" t="str">
            <v>权益法下被投资单位其他所有者权益变动的影响</v>
          </cell>
          <cell r="C283">
            <v>0</v>
          </cell>
          <cell r="F283">
            <v>0</v>
          </cell>
        </row>
        <row r="284">
          <cell r="B284" t="str">
            <v>与计入所有者权益项目相关的所得税影响</v>
          </cell>
          <cell r="C284">
            <v>0</v>
          </cell>
          <cell r="F284">
            <v>0</v>
          </cell>
        </row>
        <row r="285">
          <cell r="B285" t="str">
            <v>其他</v>
          </cell>
          <cell r="C285">
            <v>0</v>
          </cell>
          <cell r="F285">
            <v>0</v>
          </cell>
        </row>
        <row r="286">
          <cell r="B286" t="str">
            <v>上述（一）和（二）小计</v>
          </cell>
          <cell r="C286">
            <v>0</v>
          </cell>
          <cell r="D286">
            <v>0</v>
          </cell>
          <cell r="E286">
            <v>0</v>
          </cell>
          <cell r="F286">
            <v>0</v>
          </cell>
        </row>
        <row r="287">
          <cell r="B287" t="str">
            <v>（三）所有者投入和减少资本</v>
          </cell>
          <cell r="C287">
            <v>0</v>
          </cell>
          <cell r="D287">
            <v>0</v>
          </cell>
          <cell r="E287">
            <v>0</v>
          </cell>
          <cell r="F287">
            <v>0</v>
          </cell>
        </row>
        <row r="288">
          <cell r="B288" t="str">
            <v>所有者投入资本</v>
          </cell>
          <cell r="C288">
            <v>0</v>
          </cell>
          <cell r="F288">
            <v>0</v>
          </cell>
        </row>
        <row r="289">
          <cell r="B289" t="str">
            <v>股份支付计入所有者权益的金额</v>
          </cell>
          <cell r="C289">
            <v>0</v>
          </cell>
          <cell r="F289">
            <v>0</v>
          </cell>
        </row>
        <row r="290">
          <cell r="A290" t="str">
            <v>F2201</v>
          </cell>
          <cell r="B290" t="str">
            <v>其他</v>
          </cell>
          <cell r="C290">
            <v>0</v>
          </cell>
          <cell r="D290">
            <v>0</v>
          </cell>
          <cell r="E290">
            <v>0</v>
          </cell>
          <cell r="F290">
            <v>0</v>
          </cell>
        </row>
        <row r="291">
          <cell r="B291" t="str">
            <v>（四）利润分配</v>
          </cell>
          <cell r="C291">
            <v>0</v>
          </cell>
          <cell r="D291">
            <v>0</v>
          </cell>
          <cell r="E291">
            <v>0</v>
          </cell>
          <cell r="F291">
            <v>0</v>
          </cell>
        </row>
        <row r="292">
          <cell r="B292" t="str">
            <v xml:space="preserve">提取盈余公积 </v>
          </cell>
          <cell r="C292">
            <v>0</v>
          </cell>
          <cell r="F292">
            <v>0</v>
          </cell>
        </row>
        <row r="293">
          <cell r="B293" t="str">
            <v>提取一般风险准备</v>
          </cell>
          <cell r="C293">
            <v>0</v>
          </cell>
          <cell r="F293">
            <v>0</v>
          </cell>
        </row>
        <row r="294">
          <cell r="B294" t="str">
            <v>对所有者（或股东）的分配</v>
          </cell>
          <cell r="C294">
            <v>0</v>
          </cell>
          <cell r="F294">
            <v>0</v>
          </cell>
        </row>
        <row r="295">
          <cell r="B295" t="str">
            <v>其他</v>
          </cell>
          <cell r="C295">
            <v>0</v>
          </cell>
          <cell r="F295">
            <v>0</v>
          </cell>
        </row>
        <row r="296">
          <cell r="B296" t="str">
            <v>（五）所有者权益内部结转</v>
          </cell>
          <cell r="C296">
            <v>0</v>
          </cell>
          <cell r="D296">
            <v>0</v>
          </cell>
          <cell r="E296">
            <v>0</v>
          </cell>
          <cell r="F296">
            <v>0</v>
          </cell>
        </row>
        <row r="297">
          <cell r="B297" t="str">
            <v>资本公积转增资本</v>
          </cell>
          <cell r="C297">
            <v>0</v>
          </cell>
          <cell r="F297">
            <v>0</v>
          </cell>
        </row>
        <row r="298">
          <cell r="B298" t="str">
            <v>盈余公积转增资本</v>
          </cell>
          <cell r="C298">
            <v>0</v>
          </cell>
          <cell r="F298">
            <v>0</v>
          </cell>
        </row>
        <row r="299">
          <cell r="B299" t="str">
            <v>盈余公积弥补亏损</v>
          </cell>
          <cell r="C299">
            <v>0</v>
          </cell>
          <cell r="F299">
            <v>0</v>
          </cell>
        </row>
        <row r="300">
          <cell r="B300" t="str">
            <v>其他</v>
          </cell>
          <cell r="C300">
            <v>0</v>
          </cell>
          <cell r="F300">
            <v>0</v>
          </cell>
        </row>
        <row r="301">
          <cell r="B301" t="str">
            <v>四、本年年末余额</v>
          </cell>
          <cell r="C301">
            <v>0</v>
          </cell>
          <cell r="D301">
            <v>0</v>
          </cell>
          <cell r="E301">
            <v>0</v>
          </cell>
          <cell r="F301">
            <v>0</v>
          </cell>
        </row>
        <row r="302">
          <cell r="B302" t="str">
            <v>盈余公积</v>
          </cell>
        </row>
        <row r="303">
          <cell r="A303" t="str">
            <v>F2305</v>
          </cell>
          <cell r="B303" t="str">
            <v>一、上年年末余额</v>
          </cell>
          <cell r="C303">
            <v>0</v>
          </cell>
          <cell r="D303">
            <v>0</v>
          </cell>
          <cell r="E303">
            <v>0</v>
          </cell>
          <cell r="F303">
            <v>0</v>
          </cell>
        </row>
        <row r="304">
          <cell r="A304" t="str">
            <v>F2306</v>
          </cell>
          <cell r="B304" t="str">
            <v>会计政策变更</v>
          </cell>
          <cell r="C304">
            <v>0</v>
          </cell>
          <cell r="D304">
            <v>0</v>
          </cell>
          <cell r="E304">
            <v>0</v>
          </cell>
          <cell r="F304">
            <v>0</v>
          </cell>
        </row>
        <row r="305">
          <cell r="A305" t="str">
            <v>F2307</v>
          </cell>
          <cell r="B305" t="str">
            <v>前期差错更正</v>
          </cell>
          <cell r="C305">
            <v>0</v>
          </cell>
          <cell r="D305">
            <v>0</v>
          </cell>
          <cell r="E305">
            <v>0</v>
          </cell>
          <cell r="F305">
            <v>0</v>
          </cell>
        </row>
        <row r="306">
          <cell r="B306" t="str">
            <v>二、本年年初余额</v>
          </cell>
          <cell r="C306">
            <v>0</v>
          </cell>
          <cell r="D306">
            <v>0</v>
          </cell>
          <cell r="E306">
            <v>0</v>
          </cell>
          <cell r="F306">
            <v>0</v>
          </cell>
        </row>
        <row r="307">
          <cell r="B307" t="str">
            <v>三、本年增减变动金额（减少以“-”号填列）</v>
          </cell>
          <cell r="C307">
            <v>0</v>
          </cell>
          <cell r="D307">
            <v>0</v>
          </cell>
          <cell r="E307">
            <v>0</v>
          </cell>
          <cell r="F307">
            <v>0</v>
          </cell>
        </row>
        <row r="308">
          <cell r="B308" t="str">
            <v>（一）净利润</v>
          </cell>
          <cell r="C308">
            <v>0</v>
          </cell>
          <cell r="F308">
            <v>0</v>
          </cell>
        </row>
        <row r="309">
          <cell r="B309" t="str">
            <v>（二）直接计入所有者权益的利得和损失</v>
          </cell>
          <cell r="C309">
            <v>0</v>
          </cell>
          <cell r="D309">
            <v>0</v>
          </cell>
          <cell r="E309">
            <v>0</v>
          </cell>
          <cell r="F309">
            <v>0</v>
          </cell>
        </row>
        <row r="310">
          <cell r="B310" t="str">
            <v>可供出售金融资产公允价值变动净额</v>
          </cell>
          <cell r="C310">
            <v>0</v>
          </cell>
          <cell r="F310">
            <v>0</v>
          </cell>
        </row>
        <row r="311">
          <cell r="B311" t="str">
            <v>权益法下被投资单位其他所有者权益变动的影响</v>
          </cell>
          <cell r="C311">
            <v>0</v>
          </cell>
          <cell r="F311">
            <v>0</v>
          </cell>
        </row>
        <row r="312">
          <cell r="B312" t="str">
            <v>与计入所有者权益项目相关的所得税影响</v>
          </cell>
          <cell r="C312">
            <v>0</v>
          </cell>
          <cell r="F312">
            <v>0</v>
          </cell>
        </row>
        <row r="313">
          <cell r="B313" t="str">
            <v>其他</v>
          </cell>
          <cell r="C313">
            <v>0</v>
          </cell>
          <cell r="F313">
            <v>0</v>
          </cell>
        </row>
        <row r="314">
          <cell r="B314" t="str">
            <v>上述（一）和（二）小计</v>
          </cell>
          <cell r="C314">
            <v>0</v>
          </cell>
          <cell r="D314">
            <v>0</v>
          </cell>
          <cell r="E314">
            <v>0</v>
          </cell>
          <cell r="F314">
            <v>0</v>
          </cell>
        </row>
        <row r="315">
          <cell r="B315" t="str">
            <v>（三）所有者投入和减少资本</v>
          </cell>
          <cell r="C315">
            <v>0</v>
          </cell>
          <cell r="D315">
            <v>0</v>
          </cell>
          <cell r="E315">
            <v>0</v>
          </cell>
          <cell r="F315">
            <v>0</v>
          </cell>
        </row>
        <row r="316">
          <cell r="B316" t="str">
            <v>所有者投入资本</v>
          </cell>
          <cell r="C316">
            <v>0</v>
          </cell>
          <cell r="F316">
            <v>0</v>
          </cell>
        </row>
        <row r="317">
          <cell r="B317" t="str">
            <v>股份支付计入所有者权益的金额</v>
          </cell>
          <cell r="C317">
            <v>0</v>
          </cell>
          <cell r="F317">
            <v>0</v>
          </cell>
        </row>
        <row r="318">
          <cell r="B318" t="str">
            <v>其他</v>
          </cell>
          <cell r="C318">
            <v>0</v>
          </cell>
          <cell r="F318">
            <v>0</v>
          </cell>
        </row>
        <row r="319">
          <cell r="B319" t="str">
            <v>（四）利润分配</v>
          </cell>
          <cell r="C319">
            <v>0</v>
          </cell>
          <cell r="D319">
            <v>0</v>
          </cell>
          <cell r="E319">
            <v>0</v>
          </cell>
          <cell r="F319">
            <v>0</v>
          </cell>
        </row>
        <row r="320">
          <cell r="A320" t="str">
            <v>F4504</v>
          </cell>
          <cell r="B320" t="str">
            <v xml:space="preserve">提取盈余公积 </v>
          </cell>
          <cell r="C320">
            <v>0</v>
          </cell>
          <cell r="D320">
            <v>0</v>
          </cell>
          <cell r="E320">
            <v>0</v>
          </cell>
          <cell r="F320">
            <v>0</v>
          </cell>
        </row>
        <row r="321">
          <cell r="B321" t="str">
            <v>提取一般风险准备</v>
          </cell>
          <cell r="C321">
            <v>0</v>
          </cell>
          <cell r="F321">
            <v>0</v>
          </cell>
        </row>
        <row r="322">
          <cell r="B322" t="str">
            <v>对所有者（或股东）的分配</v>
          </cell>
          <cell r="C322">
            <v>0</v>
          </cell>
          <cell r="F322">
            <v>0</v>
          </cell>
        </row>
        <row r="323">
          <cell r="B323" t="str">
            <v>其他</v>
          </cell>
          <cell r="C323">
            <v>0</v>
          </cell>
          <cell r="F323">
            <v>0</v>
          </cell>
        </row>
        <row r="324">
          <cell r="B324" t="str">
            <v>（五）所有者权益内部结转</v>
          </cell>
          <cell r="C324">
            <v>0</v>
          </cell>
          <cell r="D324">
            <v>0</v>
          </cell>
          <cell r="E324">
            <v>0</v>
          </cell>
          <cell r="F324">
            <v>0</v>
          </cell>
        </row>
        <row r="325">
          <cell r="B325" t="str">
            <v>资本公积转增资本</v>
          </cell>
          <cell r="C325">
            <v>0</v>
          </cell>
          <cell r="F325">
            <v>0</v>
          </cell>
        </row>
        <row r="326">
          <cell r="A326" t="str">
            <v>F2302</v>
          </cell>
          <cell r="B326" t="str">
            <v>盈余公积转增资本</v>
          </cell>
          <cell r="C326">
            <v>0</v>
          </cell>
          <cell r="D326">
            <v>0</v>
          </cell>
          <cell r="E326">
            <v>0</v>
          </cell>
          <cell r="F326">
            <v>0</v>
          </cell>
        </row>
        <row r="327">
          <cell r="A327" t="str">
            <v>F2303</v>
          </cell>
          <cell r="B327" t="str">
            <v>盈余公积弥补亏损</v>
          </cell>
          <cell r="C327">
            <v>0</v>
          </cell>
          <cell r="D327">
            <v>0</v>
          </cell>
          <cell r="E327">
            <v>0</v>
          </cell>
          <cell r="F327">
            <v>0</v>
          </cell>
        </row>
        <row r="328">
          <cell r="B328" t="str">
            <v>其他</v>
          </cell>
          <cell r="C328">
            <v>0</v>
          </cell>
          <cell r="F328">
            <v>0</v>
          </cell>
        </row>
        <row r="329">
          <cell r="B329" t="str">
            <v>四、本年年末余额</v>
          </cell>
          <cell r="C329">
            <v>0</v>
          </cell>
          <cell r="D329">
            <v>0</v>
          </cell>
          <cell r="E329">
            <v>0</v>
          </cell>
          <cell r="F329">
            <v>0</v>
          </cell>
        </row>
        <row r="330">
          <cell r="A330" t="str">
            <v>F2403</v>
          </cell>
          <cell r="B330" t="str">
            <v>未分配利润</v>
          </cell>
        </row>
        <row r="331">
          <cell r="A331" t="str">
            <v>F4501</v>
          </cell>
          <cell r="B331" t="str">
            <v>一、上年年末余额</v>
          </cell>
          <cell r="C331">
            <v>0</v>
          </cell>
          <cell r="D331">
            <v>0</v>
          </cell>
          <cell r="E331">
            <v>0</v>
          </cell>
          <cell r="F331">
            <v>0</v>
          </cell>
        </row>
        <row r="332">
          <cell r="A332" t="str">
            <v>F4502</v>
          </cell>
          <cell r="B332" t="str">
            <v>会计政策变更</v>
          </cell>
          <cell r="C332">
            <v>0</v>
          </cell>
          <cell r="D332">
            <v>0</v>
          </cell>
          <cell r="E332">
            <v>0</v>
          </cell>
          <cell r="F332">
            <v>0</v>
          </cell>
        </row>
        <row r="333">
          <cell r="A333" t="str">
            <v>F4503</v>
          </cell>
          <cell r="B333" t="str">
            <v>前期差错更正</v>
          </cell>
          <cell r="C333">
            <v>0</v>
          </cell>
          <cell r="D333">
            <v>0</v>
          </cell>
          <cell r="E333">
            <v>0</v>
          </cell>
          <cell r="F333">
            <v>0</v>
          </cell>
        </row>
        <row r="334">
          <cell r="B334" t="str">
            <v>二、本年年初余额</v>
          </cell>
          <cell r="C334">
            <v>0</v>
          </cell>
          <cell r="D334">
            <v>0</v>
          </cell>
          <cell r="E334">
            <v>0</v>
          </cell>
          <cell r="F334">
            <v>0</v>
          </cell>
        </row>
        <row r="335">
          <cell r="B335" t="str">
            <v>三、本年增减变动金额（减少以“-”号填列）</v>
          </cell>
          <cell r="C335">
            <v>0</v>
          </cell>
          <cell r="D335">
            <v>0</v>
          </cell>
          <cell r="E335">
            <v>0</v>
          </cell>
          <cell r="F335">
            <v>0</v>
          </cell>
        </row>
        <row r="336">
          <cell r="B336" t="str">
            <v>（一）净利润</v>
          </cell>
          <cell r="C336">
            <v>0</v>
          </cell>
          <cell r="D336">
            <v>0</v>
          </cell>
          <cell r="E336">
            <v>0</v>
          </cell>
          <cell r="F336">
            <v>0</v>
          </cell>
        </row>
        <row r="337">
          <cell r="B337" t="str">
            <v>（二）直接计入所有者权益的利得和损失</v>
          </cell>
          <cell r="C337">
            <v>0</v>
          </cell>
          <cell r="D337">
            <v>0</v>
          </cell>
          <cell r="E337">
            <v>0</v>
          </cell>
          <cell r="F337">
            <v>0</v>
          </cell>
        </row>
        <row r="338">
          <cell r="B338" t="str">
            <v>可供出售金融资产公允价值变动净额</v>
          </cell>
          <cell r="C338">
            <v>0</v>
          </cell>
          <cell r="F338">
            <v>0</v>
          </cell>
        </row>
        <row r="339">
          <cell r="B339" t="str">
            <v>权益法下被投资单位其他所有者权益变动的影响</v>
          </cell>
          <cell r="C339">
            <v>0</v>
          </cell>
          <cell r="F339">
            <v>0</v>
          </cell>
        </row>
        <row r="340">
          <cell r="B340" t="str">
            <v>与计入所有者权益项目相关的所得税影响</v>
          </cell>
          <cell r="C340">
            <v>0</v>
          </cell>
          <cell r="F340">
            <v>0</v>
          </cell>
        </row>
        <row r="341">
          <cell r="B341" t="str">
            <v>其他</v>
          </cell>
          <cell r="C341">
            <v>0</v>
          </cell>
          <cell r="F341">
            <v>0</v>
          </cell>
        </row>
        <row r="342">
          <cell r="B342" t="str">
            <v>上述（一）和（二）小计</v>
          </cell>
          <cell r="C342">
            <v>0</v>
          </cell>
          <cell r="D342">
            <v>0</v>
          </cell>
          <cell r="E342">
            <v>0</v>
          </cell>
          <cell r="F342">
            <v>0</v>
          </cell>
        </row>
        <row r="343">
          <cell r="B343" t="str">
            <v>（三）所有者投入和减少资本</v>
          </cell>
          <cell r="C343">
            <v>0</v>
          </cell>
          <cell r="D343">
            <v>0</v>
          </cell>
          <cell r="E343">
            <v>0</v>
          </cell>
          <cell r="F343">
            <v>0</v>
          </cell>
        </row>
        <row r="344">
          <cell r="B344" t="str">
            <v>所有者投入资本</v>
          </cell>
          <cell r="C344">
            <v>0</v>
          </cell>
          <cell r="F344">
            <v>0</v>
          </cell>
        </row>
        <row r="345">
          <cell r="B345" t="str">
            <v>股份支付计入所有者权益的金额</v>
          </cell>
          <cell r="C345">
            <v>0</v>
          </cell>
          <cell r="F345">
            <v>0</v>
          </cell>
        </row>
        <row r="346">
          <cell r="B346" t="str">
            <v>其他</v>
          </cell>
          <cell r="C346">
            <v>0</v>
          </cell>
          <cell r="F346">
            <v>0</v>
          </cell>
        </row>
        <row r="347">
          <cell r="B347" t="str">
            <v>（四）利润分配</v>
          </cell>
          <cell r="C347">
            <v>0</v>
          </cell>
          <cell r="D347">
            <v>0</v>
          </cell>
          <cell r="E347">
            <v>0</v>
          </cell>
          <cell r="F347">
            <v>0</v>
          </cell>
        </row>
        <row r="348">
          <cell r="A348" t="str">
            <v>F4504</v>
          </cell>
          <cell r="B348" t="str">
            <v xml:space="preserve">提取盈余公积 </v>
          </cell>
          <cell r="C348">
            <v>0</v>
          </cell>
          <cell r="D348">
            <v>0</v>
          </cell>
          <cell r="E348">
            <v>0</v>
          </cell>
          <cell r="F348">
            <v>0</v>
          </cell>
        </row>
        <row r="349">
          <cell r="A349" t="str">
            <v>F4508</v>
          </cell>
          <cell r="B349" t="str">
            <v>提取一般风险准备</v>
          </cell>
          <cell r="C349">
            <v>0</v>
          </cell>
          <cell r="D349">
            <v>0</v>
          </cell>
          <cell r="E349">
            <v>0</v>
          </cell>
          <cell r="F349">
            <v>0</v>
          </cell>
        </row>
        <row r="350">
          <cell r="A350" t="str">
            <v>F4505</v>
          </cell>
          <cell r="B350" t="str">
            <v>对所有者（或股东）的分配</v>
          </cell>
          <cell r="C350">
            <v>0</v>
          </cell>
          <cell r="D350">
            <v>0</v>
          </cell>
          <cell r="E350">
            <v>0</v>
          </cell>
          <cell r="F350">
            <v>0</v>
          </cell>
        </row>
        <row r="351">
          <cell r="A351" t="str">
            <v>F4507</v>
          </cell>
          <cell r="B351" t="str">
            <v>其他</v>
          </cell>
          <cell r="C351">
            <v>0</v>
          </cell>
          <cell r="D351">
            <v>0</v>
          </cell>
          <cell r="E351">
            <v>0</v>
          </cell>
          <cell r="F351">
            <v>0</v>
          </cell>
        </row>
        <row r="352">
          <cell r="B352" t="str">
            <v>（五）所有者权益内部结转</v>
          </cell>
          <cell r="C352">
            <v>0</v>
          </cell>
          <cell r="D352">
            <v>0</v>
          </cell>
          <cell r="E352">
            <v>0</v>
          </cell>
          <cell r="F352">
            <v>0</v>
          </cell>
        </row>
        <row r="353">
          <cell r="B353" t="str">
            <v>资本公积转增资本</v>
          </cell>
          <cell r="C353">
            <v>0</v>
          </cell>
          <cell r="F353">
            <v>0</v>
          </cell>
        </row>
        <row r="354">
          <cell r="B354" t="str">
            <v>盈余公积转增资本</v>
          </cell>
          <cell r="C354">
            <v>0</v>
          </cell>
          <cell r="F354">
            <v>0</v>
          </cell>
        </row>
        <row r="355">
          <cell r="A355" t="str">
            <v>F4506</v>
          </cell>
          <cell r="B355" t="str">
            <v>盈余公积弥补亏损</v>
          </cell>
          <cell r="C355">
            <v>0</v>
          </cell>
          <cell r="D355">
            <v>0</v>
          </cell>
          <cell r="E355">
            <v>0</v>
          </cell>
          <cell r="F355">
            <v>0</v>
          </cell>
        </row>
        <row r="356">
          <cell r="B356" t="str">
            <v>其他</v>
          </cell>
          <cell r="C356">
            <v>0</v>
          </cell>
          <cell r="F356">
            <v>0</v>
          </cell>
        </row>
        <row r="357">
          <cell r="B357" t="str">
            <v>四、本年年末余额</v>
          </cell>
          <cell r="C357">
            <v>0</v>
          </cell>
          <cell r="D357">
            <v>0</v>
          </cell>
          <cell r="E357">
            <v>0</v>
          </cell>
          <cell r="F357">
            <v>0</v>
          </cell>
        </row>
        <row r="358">
          <cell r="B358" t="str">
            <v>少数股东权益</v>
          </cell>
        </row>
        <row r="359">
          <cell r="A359" t="str">
            <v>F2602</v>
          </cell>
          <cell r="B359" t="str">
            <v>一、上年年末余额</v>
          </cell>
          <cell r="C359">
            <v>0</v>
          </cell>
          <cell r="D359">
            <v>0</v>
          </cell>
          <cell r="E359">
            <v>0</v>
          </cell>
          <cell r="F359">
            <v>0</v>
          </cell>
        </row>
        <row r="360">
          <cell r="A360" t="str">
            <v>F2603</v>
          </cell>
          <cell r="B360" t="str">
            <v>会计政策变更</v>
          </cell>
          <cell r="C360">
            <v>0</v>
          </cell>
          <cell r="D360">
            <v>0</v>
          </cell>
          <cell r="E360">
            <v>0</v>
          </cell>
          <cell r="F360">
            <v>0</v>
          </cell>
        </row>
        <row r="361">
          <cell r="A361" t="str">
            <v>F2604</v>
          </cell>
          <cell r="B361" t="str">
            <v>前期差错更正</v>
          </cell>
          <cell r="C361">
            <v>0</v>
          </cell>
          <cell r="D361">
            <v>0</v>
          </cell>
          <cell r="E361">
            <v>0</v>
          </cell>
          <cell r="F361">
            <v>0</v>
          </cell>
        </row>
        <row r="362">
          <cell r="B362" t="str">
            <v>二、本年年初余额</v>
          </cell>
          <cell r="C362">
            <v>0</v>
          </cell>
          <cell r="F362">
            <v>0</v>
          </cell>
        </row>
        <row r="363">
          <cell r="B363" t="str">
            <v>三、本年增减变动金额（减少以“-”号填列）</v>
          </cell>
          <cell r="C363">
            <v>0</v>
          </cell>
          <cell r="F363">
            <v>0</v>
          </cell>
        </row>
        <row r="364">
          <cell r="A364" t="str">
            <v>F2601</v>
          </cell>
          <cell r="B364" t="str">
            <v>（一）净利润</v>
          </cell>
          <cell r="C364">
            <v>0</v>
          </cell>
          <cell r="D364">
            <v>0</v>
          </cell>
          <cell r="E364">
            <v>0</v>
          </cell>
          <cell r="F364">
            <v>0</v>
          </cell>
        </row>
        <row r="365">
          <cell r="B365" t="str">
            <v>（二）直接计入所有者权益的利得和损失</v>
          </cell>
          <cell r="C365">
            <v>0</v>
          </cell>
          <cell r="F365">
            <v>0</v>
          </cell>
        </row>
        <row r="366">
          <cell r="B366" t="str">
            <v>可供出售金融资产公允价值变动净额</v>
          </cell>
          <cell r="C366">
            <v>0</v>
          </cell>
          <cell r="F366">
            <v>0</v>
          </cell>
        </row>
        <row r="367">
          <cell r="B367" t="str">
            <v>权益法下被投资单位其他所有者权益变动的影响</v>
          </cell>
          <cell r="C367">
            <v>0</v>
          </cell>
          <cell r="F367">
            <v>0</v>
          </cell>
        </row>
        <row r="368">
          <cell r="B368" t="str">
            <v>与计入所有者权益项目相关的所得税影响</v>
          </cell>
          <cell r="C368">
            <v>0</v>
          </cell>
          <cell r="F368">
            <v>0</v>
          </cell>
        </row>
        <row r="369">
          <cell r="A369" t="str">
            <v>F2605</v>
          </cell>
          <cell r="B369" t="str">
            <v>其他</v>
          </cell>
          <cell r="C369">
            <v>0</v>
          </cell>
          <cell r="D369">
            <v>0</v>
          </cell>
          <cell r="E369">
            <v>0</v>
          </cell>
          <cell r="F369">
            <v>0</v>
          </cell>
        </row>
        <row r="370">
          <cell r="B370" t="str">
            <v>上述（一）和（二）小计</v>
          </cell>
          <cell r="C370">
            <v>0</v>
          </cell>
          <cell r="F370">
            <v>0</v>
          </cell>
        </row>
        <row r="371">
          <cell r="B371" t="str">
            <v>（三）所有者投入和减少资本</v>
          </cell>
          <cell r="C371">
            <v>0</v>
          </cell>
          <cell r="F371">
            <v>0</v>
          </cell>
        </row>
        <row r="372">
          <cell r="A372" t="str">
            <v>F2606</v>
          </cell>
          <cell r="B372" t="str">
            <v>所有者投入资本</v>
          </cell>
          <cell r="C372">
            <v>0</v>
          </cell>
          <cell r="D372">
            <v>0</v>
          </cell>
          <cell r="E372">
            <v>0</v>
          </cell>
          <cell r="F372">
            <v>0</v>
          </cell>
        </row>
        <row r="373">
          <cell r="B373" t="str">
            <v>股份支付计入所有者权益的金额</v>
          </cell>
          <cell r="C373">
            <v>0</v>
          </cell>
          <cell r="F373">
            <v>0</v>
          </cell>
        </row>
        <row r="374">
          <cell r="B374" t="str">
            <v>其他</v>
          </cell>
          <cell r="C374">
            <v>0</v>
          </cell>
          <cell r="F374">
            <v>0</v>
          </cell>
        </row>
        <row r="375">
          <cell r="B375" t="str">
            <v>（四）利润分配</v>
          </cell>
          <cell r="C375">
            <v>0</v>
          </cell>
          <cell r="F375">
            <v>0</v>
          </cell>
        </row>
        <row r="376">
          <cell r="B376" t="str">
            <v xml:space="preserve">提取盈余公积 </v>
          </cell>
          <cell r="C376">
            <v>0</v>
          </cell>
          <cell r="F376">
            <v>0</v>
          </cell>
        </row>
        <row r="377">
          <cell r="B377" t="str">
            <v>提取一般风险准备</v>
          </cell>
          <cell r="C377">
            <v>0</v>
          </cell>
          <cell r="F377">
            <v>0</v>
          </cell>
        </row>
        <row r="378">
          <cell r="A378" t="str">
            <v>F2607</v>
          </cell>
          <cell r="B378" t="str">
            <v>对所有者（或股东）的分配</v>
          </cell>
          <cell r="C378">
            <v>0</v>
          </cell>
          <cell r="D378">
            <v>0</v>
          </cell>
          <cell r="E378">
            <v>0</v>
          </cell>
          <cell r="F378">
            <v>0</v>
          </cell>
        </row>
        <row r="379">
          <cell r="B379" t="str">
            <v>其他</v>
          </cell>
          <cell r="C379">
            <v>0</v>
          </cell>
          <cell r="F379">
            <v>0</v>
          </cell>
        </row>
        <row r="380">
          <cell r="B380" t="str">
            <v>（五）所有者权益内部结转</v>
          </cell>
          <cell r="C380">
            <v>0</v>
          </cell>
          <cell r="F380">
            <v>0</v>
          </cell>
        </row>
        <row r="381">
          <cell r="B381" t="str">
            <v>资本公积转增资本</v>
          </cell>
          <cell r="C381">
            <v>0</v>
          </cell>
          <cell r="F381">
            <v>0</v>
          </cell>
        </row>
        <row r="382">
          <cell r="B382" t="str">
            <v>盈余公积转增资本</v>
          </cell>
          <cell r="C382">
            <v>0</v>
          </cell>
          <cell r="F382">
            <v>0</v>
          </cell>
        </row>
        <row r="383">
          <cell r="B383" t="str">
            <v>盈余公积弥补亏损</v>
          </cell>
          <cell r="C383">
            <v>0</v>
          </cell>
          <cell r="F383">
            <v>0</v>
          </cell>
        </row>
        <row r="384">
          <cell r="B384" t="str">
            <v>其他</v>
          </cell>
          <cell r="C384">
            <v>0</v>
          </cell>
          <cell r="F384">
            <v>0</v>
          </cell>
        </row>
        <row r="385">
          <cell r="B385" t="str">
            <v>四、本年年末余额</v>
          </cell>
          <cell r="C385">
            <v>0</v>
          </cell>
          <cell r="F385">
            <v>0</v>
          </cell>
        </row>
        <row r="386">
          <cell r="B386" t="str">
            <v xml:space="preserve">一般风险准备 </v>
          </cell>
        </row>
        <row r="387">
          <cell r="B387" t="str">
            <v>一、上年年末余额</v>
          </cell>
          <cell r="C387">
            <v>0</v>
          </cell>
          <cell r="F387">
            <v>0</v>
          </cell>
        </row>
        <row r="388">
          <cell r="B388" t="str">
            <v>会计政策变更</v>
          </cell>
          <cell r="C388">
            <v>0</v>
          </cell>
          <cell r="F388">
            <v>0</v>
          </cell>
        </row>
        <row r="389">
          <cell r="B389" t="str">
            <v>前期差错更正</v>
          </cell>
          <cell r="C389">
            <v>0</v>
          </cell>
          <cell r="F389">
            <v>0</v>
          </cell>
        </row>
        <row r="390">
          <cell r="B390" t="str">
            <v>二、本年年初余额</v>
          </cell>
          <cell r="C390">
            <v>0</v>
          </cell>
          <cell r="F390">
            <v>0</v>
          </cell>
        </row>
        <row r="391">
          <cell r="B391" t="str">
            <v>三、本年增减变动金额（减少以“-”号填列）</v>
          </cell>
          <cell r="C391">
            <v>0</v>
          </cell>
          <cell r="F391">
            <v>0</v>
          </cell>
        </row>
        <row r="392">
          <cell r="B392" t="str">
            <v>（一）净利润</v>
          </cell>
          <cell r="C392">
            <v>0</v>
          </cell>
          <cell r="F392">
            <v>0</v>
          </cell>
        </row>
        <row r="393">
          <cell r="B393" t="str">
            <v>（二）直接计入所有者权益的利得和损失</v>
          </cell>
          <cell r="C393">
            <v>0</v>
          </cell>
          <cell r="F393">
            <v>0</v>
          </cell>
        </row>
        <row r="394">
          <cell r="B394" t="str">
            <v>可供出售金融资产公允价值变动净额</v>
          </cell>
          <cell r="C394">
            <v>0</v>
          </cell>
          <cell r="F394">
            <v>0</v>
          </cell>
        </row>
        <row r="395">
          <cell r="B395" t="str">
            <v>权益法下被投资单位其他所有者权益变动的影响</v>
          </cell>
          <cell r="C395">
            <v>0</v>
          </cell>
          <cell r="F395">
            <v>0</v>
          </cell>
        </row>
        <row r="396">
          <cell r="B396" t="str">
            <v>与计入所有者权益项目相关的所得税影响</v>
          </cell>
          <cell r="C396">
            <v>0</v>
          </cell>
          <cell r="F396">
            <v>0</v>
          </cell>
        </row>
        <row r="397">
          <cell r="B397" t="str">
            <v>其他</v>
          </cell>
          <cell r="C397">
            <v>0</v>
          </cell>
          <cell r="F397">
            <v>0</v>
          </cell>
        </row>
        <row r="398">
          <cell r="B398" t="str">
            <v>上述（一）和（二）小计</v>
          </cell>
          <cell r="C398">
            <v>0</v>
          </cell>
          <cell r="F398">
            <v>0</v>
          </cell>
        </row>
        <row r="399">
          <cell r="B399" t="str">
            <v>（三）所有者投入和减少资本</v>
          </cell>
          <cell r="C399">
            <v>0</v>
          </cell>
          <cell r="F399">
            <v>0</v>
          </cell>
        </row>
        <row r="400">
          <cell r="B400" t="str">
            <v>所有者投入资本</v>
          </cell>
          <cell r="C400">
            <v>0</v>
          </cell>
          <cell r="F400">
            <v>0</v>
          </cell>
        </row>
        <row r="401">
          <cell r="B401" t="str">
            <v>股份支付计入所有者权益的金额</v>
          </cell>
          <cell r="C401">
            <v>0</v>
          </cell>
          <cell r="F401">
            <v>0</v>
          </cell>
        </row>
        <row r="402">
          <cell r="B402" t="str">
            <v>其他</v>
          </cell>
          <cell r="C402">
            <v>0</v>
          </cell>
          <cell r="F402">
            <v>0</v>
          </cell>
        </row>
        <row r="403">
          <cell r="B403" t="str">
            <v>（四）利润分配</v>
          </cell>
          <cell r="C403">
            <v>0</v>
          </cell>
          <cell r="F403">
            <v>0</v>
          </cell>
        </row>
        <row r="404">
          <cell r="B404" t="str">
            <v xml:space="preserve">提取盈余公积 </v>
          </cell>
          <cell r="C404">
            <v>0</v>
          </cell>
          <cell r="F404">
            <v>0</v>
          </cell>
        </row>
        <row r="405">
          <cell r="A405" t="str">
            <v>F4508</v>
          </cell>
          <cell r="B405" t="str">
            <v>提取一般风险准备</v>
          </cell>
          <cell r="C405">
            <v>0</v>
          </cell>
          <cell r="D405">
            <v>0</v>
          </cell>
          <cell r="E405">
            <v>0</v>
          </cell>
          <cell r="F405">
            <v>0</v>
          </cell>
        </row>
        <row r="406">
          <cell r="B406" t="str">
            <v>对所有者（或股东）的分配</v>
          </cell>
          <cell r="C406">
            <v>0</v>
          </cell>
          <cell r="F406">
            <v>0</v>
          </cell>
        </row>
        <row r="407">
          <cell r="B407" t="str">
            <v>其他</v>
          </cell>
          <cell r="C407">
            <v>0</v>
          </cell>
          <cell r="F407">
            <v>0</v>
          </cell>
        </row>
        <row r="408">
          <cell r="B408" t="str">
            <v>（五）所有者权益内部结转</v>
          </cell>
          <cell r="C408">
            <v>0</v>
          </cell>
          <cell r="F408">
            <v>0</v>
          </cell>
        </row>
        <row r="409">
          <cell r="B409" t="str">
            <v>资本公积转增资本</v>
          </cell>
          <cell r="C409">
            <v>0</v>
          </cell>
          <cell r="F409">
            <v>0</v>
          </cell>
        </row>
        <row r="410">
          <cell r="B410" t="str">
            <v>盈余公积转增资本</v>
          </cell>
          <cell r="C410">
            <v>0</v>
          </cell>
          <cell r="F410">
            <v>0</v>
          </cell>
        </row>
        <row r="411">
          <cell r="B411" t="str">
            <v>盈余公积弥补亏损</v>
          </cell>
          <cell r="C411">
            <v>0</v>
          </cell>
          <cell r="F411">
            <v>0</v>
          </cell>
        </row>
        <row r="412">
          <cell r="B412" t="str">
            <v>其他</v>
          </cell>
          <cell r="C412">
            <v>0</v>
          </cell>
          <cell r="F412">
            <v>0</v>
          </cell>
        </row>
        <row r="413">
          <cell r="B413" t="str">
            <v>四、本年年末余额</v>
          </cell>
          <cell r="C413">
            <v>0</v>
          </cell>
          <cell r="F413">
            <v>0</v>
          </cell>
        </row>
        <row r="414">
          <cell r="B414" t="str">
            <v>其他</v>
          </cell>
        </row>
        <row r="415">
          <cell r="B415" t="str">
            <v>一、上年年末余额</v>
          </cell>
          <cell r="C415">
            <v>0</v>
          </cell>
          <cell r="F415">
            <v>0</v>
          </cell>
        </row>
        <row r="416">
          <cell r="B416" t="str">
            <v>会计政策变更</v>
          </cell>
          <cell r="C416">
            <v>0</v>
          </cell>
          <cell r="F416">
            <v>0</v>
          </cell>
        </row>
        <row r="417">
          <cell r="B417" t="str">
            <v>前期差错更正</v>
          </cell>
          <cell r="C417">
            <v>0</v>
          </cell>
          <cell r="F417">
            <v>0</v>
          </cell>
        </row>
        <row r="418">
          <cell r="B418" t="str">
            <v>二、本年年初余额</v>
          </cell>
          <cell r="C418">
            <v>0</v>
          </cell>
          <cell r="F418">
            <v>0</v>
          </cell>
        </row>
        <row r="419">
          <cell r="B419" t="str">
            <v>三、本年增减变动金额（减少以“-”号填列）</v>
          </cell>
          <cell r="C419">
            <v>0</v>
          </cell>
          <cell r="F419">
            <v>0</v>
          </cell>
        </row>
        <row r="420">
          <cell r="B420" t="str">
            <v>（一）净利润</v>
          </cell>
          <cell r="C420">
            <v>0</v>
          </cell>
          <cell r="F420">
            <v>0</v>
          </cell>
        </row>
        <row r="421">
          <cell r="B421" t="str">
            <v>（二）直接计入所有者权益的利得和损失</v>
          </cell>
          <cell r="C421">
            <v>0</v>
          </cell>
          <cell r="F421">
            <v>0</v>
          </cell>
        </row>
        <row r="422">
          <cell r="B422" t="str">
            <v>可供出售金融资产公允价值变动净额</v>
          </cell>
          <cell r="C422">
            <v>0</v>
          </cell>
          <cell r="F422">
            <v>0</v>
          </cell>
        </row>
        <row r="423">
          <cell r="B423" t="str">
            <v>权益法下被投资单位其他所有者权益变动的影响</v>
          </cell>
          <cell r="C423">
            <v>0</v>
          </cell>
          <cell r="F423">
            <v>0</v>
          </cell>
        </row>
        <row r="424">
          <cell r="B424" t="str">
            <v>与计入所有者权益项目相关的所得税影响</v>
          </cell>
          <cell r="C424">
            <v>0</v>
          </cell>
          <cell r="F424">
            <v>0</v>
          </cell>
        </row>
        <row r="425">
          <cell r="B425" t="str">
            <v>其他</v>
          </cell>
          <cell r="C425">
            <v>0</v>
          </cell>
          <cell r="F425">
            <v>0</v>
          </cell>
        </row>
        <row r="426">
          <cell r="B426" t="str">
            <v>上述（一）和（二）小计</v>
          </cell>
          <cell r="C426">
            <v>0</v>
          </cell>
          <cell r="F426">
            <v>0</v>
          </cell>
        </row>
        <row r="427">
          <cell r="B427" t="str">
            <v>（三）所有者投入和减少资本</v>
          </cell>
          <cell r="C427">
            <v>0</v>
          </cell>
          <cell r="F427">
            <v>0</v>
          </cell>
        </row>
        <row r="428">
          <cell r="B428" t="str">
            <v>所有者投入资本</v>
          </cell>
          <cell r="C428">
            <v>0</v>
          </cell>
          <cell r="F428">
            <v>0</v>
          </cell>
        </row>
        <row r="429">
          <cell r="B429" t="str">
            <v>股份支付计入所有者权益的金额</v>
          </cell>
          <cell r="C429">
            <v>0</v>
          </cell>
          <cell r="F429">
            <v>0</v>
          </cell>
        </row>
        <row r="430">
          <cell r="B430" t="str">
            <v>其他</v>
          </cell>
          <cell r="C430">
            <v>0</v>
          </cell>
          <cell r="F430">
            <v>0</v>
          </cell>
        </row>
        <row r="431">
          <cell r="B431" t="str">
            <v>（四）利润分配</v>
          </cell>
          <cell r="C431">
            <v>0</v>
          </cell>
          <cell r="F431">
            <v>0</v>
          </cell>
        </row>
        <row r="432">
          <cell r="B432" t="str">
            <v xml:space="preserve">提取盈余公积 </v>
          </cell>
          <cell r="C432">
            <v>0</v>
          </cell>
          <cell r="F432">
            <v>0</v>
          </cell>
        </row>
        <row r="433">
          <cell r="B433" t="str">
            <v>提取一般风险准备</v>
          </cell>
          <cell r="C433">
            <v>0</v>
          </cell>
          <cell r="F433">
            <v>0</v>
          </cell>
        </row>
        <row r="434">
          <cell r="B434" t="str">
            <v>对所有者（或股东）的分配</v>
          </cell>
          <cell r="C434">
            <v>0</v>
          </cell>
          <cell r="F434">
            <v>0</v>
          </cell>
        </row>
        <row r="435">
          <cell r="B435" t="str">
            <v>其他</v>
          </cell>
          <cell r="C435">
            <v>0</v>
          </cell>
          <cell r="F435">
            <v>0</v>
          </cell>
        </row>
        <row r="436">
          <cell r="B436" t="str">
            <v>（五）所有者权益内部结转</v>
          </cell>
          <cell r="C436">
            <v>0</v>
          </cell>
          <cell r="F436">
            <v>0</v>
          </cell>
        </row>
        <row r="437">
          <cell r="B437" t="str">
            <v>资本公积转增资本</v>
          </cell>
          <cell r="C437">
            <v>0</v>
          </cell>
          <cell r="F437">
            <v>0</v>
          </cell>
        </row>
        <row r="438">
          <cell r="B438" t="str">
            <v>盈余公积转增资本</v>
          </cell>
          <cell r="C438">
            <v>0</v>
          </cell>
          <cell r="F438">
            <v>0</v>
          </cell>
        </row>
        <row r="439">
          <cell r="B439" t="str">
            <v>盈余公积弥补亏损</v>
          </cell>
          <cell r="C439">
            <v>0</v>
          </cell>
          <cell r="F439">
            <v>0</v>
          </cell>
        </row>
        <row r="440">
          <cell r="B440" t="str">
            <v>其他</v>
          </cell>
          <cell r="C440">
            <v>0</v>
          </cell>
          <cell r="F440">
            <v>0</v>
          </cell>
        </row>
        <row r="441">
          <cell r="B441" t="str">
            <v>四、本年年末余额</v>
          </cell>
          <cell r="C441">
            <v>0</v>
          </cell>
          <cell r="F441">
            <v>0</v>
          </cell>
        </row>
        <row r="442">
          <cell r="B442" t="str">
            <v>所有者权益变动表上年数</v>
          </cell>
        </row>
        <row r="443">
          <cell r="B443" t="str">
            <v>实收资本</v>
          </cell>
        </row>
        <row r="444">
          <cell r="B444" t="str">
            <v>一、上年年末余额</v>
          </cell>
          <cell r="C444">
            <v>0</v>
          </cell>
          <cell r="F444">
            <v>0</v>
          </cell>
        </row>
        <row r="445">
          <cell r="B445" t="str">
            <v>会计政策变更</v>
          </cell>
          <cell r="C445">
            <v>0</v>
          </cell>
          <cell r="F445">
            <v>0</v>
          </cell>
        </row>
        <row r="446">
          <cell r="B446" t="str">
            <v>前期差错更正</v>
          </cell>
          <cell r="C446">
            <v>0</v>
          </cell>
          <cell r="F446">
            <v>0</v>
          </cell>
        </row>
        <row r="447">
          <cell r="B447" t="str">
            <v>二、本年年初余额</v>
          </cell>
          <cell r="C447">
            <v>0</v>
          </cell>
          <cell r="F447">
            <v>0</v>
          </cell>
        </row>
        <row r="448">
          <cell r="B448" t="str">
            <v>三、本年增减变动金额（减少以“-”号填列）</v>
          </cell>
          <cell r="C448">
            <v>0</v>
          </cell>
          <cell r="F448">
            <v>0</v>
          </cell>
        </row>
        <row r="449">
          <cell r="B449" t="str">
            <v>（一）净利润</v>
          </cell>
          <cell r="C449">
            <v>0</v>
          </cell>
          <cell r="F449">
            <v>0</v>
          </cell>
        </row>
        <row r="450">
          <cell r="B450" t="str">
            <v>（二）直接计入所有者权益的利得和损失</v>
          </cell>
          <cell r="C450">
            <v>0</v>
          </cell>
          <cell r="F450">
            <v>0</v>
          </cell>
        </row>
        <row r="451">
          <cell r="B451" t="str">
            <v>可供出售金融资产公允价值变动净额</v>
          </cell>
          <cell r="C451">
            <v>0</v>
          </cell>
          <cell r="F451">
            <v>0</v>
          </cell>
        </row>
        <row r="452">
          <cell r="B452" t="str">
            <v>权益法下被投资单位其他所有者权益变动的影响</v>
          </cell>
          <cell r="C452">
            <v>0</v>
          </cell>
          <cell r="F452">
            <v>0</v>
          </cell>
        </row>
        <row r="453">
          <cell r="B453" t="str">
            <v>与计入所有者权益项目相关的所得税影响</v>
          </cell>
          <cell r="C453">
            <v>0</v>
          </cell>
          <cell r="F453">
            <v>0</v>
          </cell>
        </row>
        <row r="454">
          <cell r="B454" t="str">
            <v>其他</v>
          </cell>
          <cell r="C454">
            <v>0</v>
          </cell>
          <cell r="F454">
            <v>0</v>
          </cell>
        </row>
        <row r="455">
          <cell r="B455" t="str">
            <v>上述（一）和（二）小计</v>
          </cell>
          <cell r="C455">
            <v>0</v>
          </cell>
          <cell r="F455">
            <v>0</v>
          </cell>
        </row>
        <row r="456">
          <cell r="B456" t="str">
            <v>（三）所有者投入和减少资本</v>
          </cell>
          <cell r="C456">
            <v>0</v>
          </cell>
          <cell r="F456">
            <v>0</v>
          </cell>
        </row>
        <row r="457">
          <cell r="B457" t="str">
            <v>所有者投入资本</v>
          </cell>
          <cell r="C457">
            <v>0</v>
          </cell>
          <cell r="F457">
            <v>0</v>
          </cell>
        </row>
        <row r="458">
          <cell r="B458" t="str">
            <v>股份支付计入所有者权益的金额</v>
          </cell>
          <cell r="C458">
            <v>0</v>
          </cell>
          <cell r="F458">
            <v>0</v>
          </cell>
        </row>
        <row r="459">
          <cell r="B459" t="str">
            <v>其他</v>
          </cell>
          <cell r="C459">
            <v>0</v>
          </cell>
          <cell r="F459">
            <v>0</v>
          </cell>
        </row>
        <row r="460">
          <cell r="B460" t="str">
            <v>（四）利润分配</v>
          </cell>
          <cell r="C460">
            <v>0</v>
          </cell>
          <cell r="F460">
            <v>0</v>
          </cell>
        </row>
        <row r="461">
          <cell r="B461" t="str">
            <v xml:space="preserve">提取盈余公积 </v>
          </cell>
          <cell r="C461">
            <v>0</v>
          </cell>
          <cell r="F461">
            <v>0</v>
          </cell>
        </row>
        <row r="462">
          <cell r="B462" t="str">
            <v>提取一般风险准备</v>
          </cell>
          <cell r="C462">
            <v>0</v>
          </cell>
          <cell r="F462">
            <v>0</v>
          </cell>
        </row>
        <row r="463">
          <cell r="B463" t="str">
            <v>对所有者（或股东）的分配</v>
          </cell>
          <cell r="C463">
            <v>0</v>
          </cell>
          <cell r="F463">
            <v>0</v>
          </cell>
        </row>
        <row r="464">
          <cell r="B464" t="str">
            <v>其他</v>
          </cell>
          <cell r="C464">
            <v>0</v>
          </cell>
          <cell r="F464">
            <v>0</v>
          </cell>
        </row>
        <row r="465">
          <cell r="B465" t="str">
            <v>（五）所有者权益内部结转</v>
          </cell>
          <cell r="C465">
            <v>0</v>
          </cell>
          <cell r="F465">
            <v>0</v>
          </cell>
        </row>
        <row r="466">
          <cell r="B466" t="str">
            <v>资本公积转增资本</v>
          </cell>
          <cell r="C466">
            <v>0</v>
          </cell>
          <cell r="F466">
            <v>0</v>
          </cell>
        </row>
        <row r="467">
          <cell r="B467" t="str">
            <v>盈余公积转增资本</v>
          </cell>
          <cell r="C467">
            <v>0</v>
          </cell>
          <cell r="F467">
            <v>0</v>
          </cell>
        </row>
        <row r="468">
          <cell r="B468" t="str">
            <v>盈余公积弥补亏损</v>
          </cell>
          <cell r="C468">
            <v>0</v>
          </cell>
          <cell r="F468">
            <v>0</v>
          </cell>
        </row>
        <row r="469">
          <cell r="B469" t="str">
            <v>其他</v>
          </cell>
          <cell r="C469">
            <v>0</v>
          </cell>
          <cell r="F469">
            <v>0</v>
          </cell>
        </row>
        <row r="470">
          <cell r="B470" t="str">
            <v>四、本年年末余额</v>
          </cell>
          <cell r="C470">
            <v>0</v>
          </cell>
          <cell r="F470">
            <v>0</v>
          </cell>
        </row>
        <row r="471">
          <cell r="B471" t="str">
            <v>资本公积</v>
          </cell>
          <cell r="F471">
            <v>0</v>
          </cell>
        </row>
        <row r="472">
          <cell r="B472" t="str">
            <v>一、上年年末余额</v>
          </cell>
          <cell r="C472">
            <v>0</v>
          </cell>
          <cell r="F472">
            <v>0</v>
          </cell>
        </row>
        <row r="473">
          <cell r="B473" t="str">
            <v>会计政策变更</v>
          </cell>
          <cell r="C473">
            <v>0</v>
          </cell>
          <cell r="F473">
            <v>0</v>
          </cell>
        </row>
        <row r="474">
          <cell r="B474" t="str">
            <v>前期差错更正</v>
          </cell>
          <cell r="C474">
            <v>0</v>
          </cell>
          <cell r="F474">
            <v>0</v>
          </cell>
        </row>
        <row r="475">
          <cell r="B475" t="str">
            <v>二、本年年初余额</v>
          </cell>
          <cell r="C475">
            <v>0</v>
          </cell>
          <cell r="F475">
            <v>0</v>
          </cell>
        </row>
        <row r="476">
          <cell r="B476" t="str">
            <v>三、本年增减变动金额（减少以“-”号填列）</v>
          </cell>
          <cell r="C476">
            <v>0</v>
          </cell>
          <cell r="F476">
            <v>0</v>
          </cell>
        </row>
        <row r="477">
          <cell r="B477" t="str">
            <v>（一）净利润</v>
          </cell>
          <cell r="C477">
            <v>0</v>
          </cell>
          <cell r="F477">
            <v>0</v>
          </cell>
        </row>
        <row r="478">
          <cell r="B478" t="str">
            <v>（二）直接计入所有者权益的利得和损失</v>
          </cell>
          <cell r="C478">
            <v>0</v>
          </cell>
          <cell r="F478">
            <v>0</v>
          </cell>
        </row>
        <row r="479">
          <cell r="B479" t="str">
            <v>可供出售金融资产公允价值变动净额</v>
          </cell>
          <cell r="C479">
            <v>0</v>
          </cell>
          <cell r="F479">
            <v>0</v>
          </cell>
        </row>
        <row r="480">
          <cell r="B480" t="str">
            <v>权益法下被投资单位其他所有者权益变动的影响</v>
          </cell>
          <cell r="C480">
            <v>0</v>
          </cell>
          <cell r="F480">
            <v>0</v>
          </cell>
        </row>
        <row r="481">
          <cell r="B481" t="str">
            <v>与计入所有者权益项目相关的所得税影响</v>
          </cell>
          <cell r="C481">
            <v>0</v>
          </cell>
          <cell r="F481">
            <v>0</v>
          </cell>
        </row>
        <row r="482">
          <cell r="B482" t="str">
            <v>其他</v>
          </cell>
          <cell r="C482">
            <v>0</v>
          </cell>
          <cell r="F482">
            <v>0</v>
          </cell>
        </row>
        <row r="483">
          <cell r="B483" t="str">
            <v>上述（一）和（二）小计</v>
          </cell>
          <cell r="C483">
            <v>0</v>
          </cell>
          <cell r="F483">
            <v>0</v>
          </cell>
        </row>
        <row r="484">
          <cell r="B484" t="str">
            <v>（三）所有者投入和减少资本</v>
          </cell>
          <cell r="C484">
            <v>0</v>
          </cell>
          <cell r="F484">
            <v>0</v>
          </cell>
        </row>
        <row r="485">
          <cell r="B485" t="str">
            <v>所有者投入资本</v>
          </cell>
          <cell r="C485">
            <v>0</v>
          </cell>
          <cell r="F485">
            <v>0</v>
          </cell>
        </row>
        <row r="486">
          <cell r="B486" t="str">
            <v>股份支付计入所有者权益的金额</v>
          </cell>
          <cell r="C486">
            <v>0</v>
          </cell>
          <cell r="F486">
            <v>0</v>
          </cell>
        </row>
        <row r="487">
          <cell r="B487" t="str">
            <v>其他</v>
          </cell>
          <cell r="C487">
            <v>0</v>
          </cell>
          <cell r="F487">
            <v>0</v>
          </cell>
        </row>
        <row r="488">
          <cell r="B488" t="str">
            <v>（四）利润分配</v>
          </cell>
          <cell r="C488">
            <v>0</v>
          </cell>
          <cell r="F488">
            <v>0</v>
          </cell>
        </row>
        <row r="489">
          <cell r="B489" t="str">
            <v xml:space="preserve">提取盈余公积 </v>
          </cell>
          <cell r="C489">
            <v>0</v>
          </cell>
          <cell r="F489">
            <v>0</v>
          </cell>
        </row>
        <row r="490">
          <cell r="B490" t="str">
            <v>提取一般风险准备</v>
          </cell>
          <cell r="C490">
            <v>0</v>
          </cell>
          <cell r="F490">
            <v>0</v>
          </cell>
        </row>
        <row r="491">
          <cell r="B491" t="str">
            <v>对所有者（或股东）的分配</v>
          </cell>
          <cell r="C491">
            <v>0</v>
          </cell>
          <cell r="F491">
            <v>0</v>
          </cell>
        </row>
        <row r="492">
          <cell r="B492" t="str">
            <v>其他</v>
          </cell>
          <cell r="C492">
            <v>0</v>
          </cell>
          <cell r="F492">
            <v>0</v>
          </cell>
        </row>
        <row r="493">
          <cell r="B493" t="str">
            <v>（五）所有者权益内部结转</v>
          </cell>
          <cell r="C493">
            <v>0</v>
          </cell>
          <cell r="F493">
            <v>0</v>
          </cell>
        </row>
        <row r="494">
          <cell r="B494" t="str">
            <v>资本公积转增资本</v>
          </cell>
          <cell r="C494">
            <v>0</v>
          </cell>
          <cell r="F494">
            <v>0</v>
          </cell>
        </row>
        <row r="495">
          <cell r="B495" t="str">
            <v>盈余公积转增资本</v>
          </cell>
          <cell r="C495">
            <v>0</v>
          </cell>
          <cell r="F495">
            <v>0</v>
          </cell>
        </row>
        <row r="496">
          <cell r="B496" t="str">
            <v>盈余公积弥补亏损</v>
          </cell>
          <cell r="C496">
            <v>0</v>
          </cell>
          <cell r="F496">
            <v>0</v>
          </cell>
        </row>
        <row r="497">
          <cell r="B497" t="str">
            <v>其他</v>
          </cell>
          <cell r="C497">
            <v>0</v>
          </cell>
          <cell r="F497">
            <v>0</v>
          </cell>
        </row>
        <row r="498">
          <cell r="B498" t="str">
            <v>四、本年年末余额</v>
          </cell>
          <cell r="C498">
            <v>0</v>
          </cell>
          <cell r="F498">
            <v>0</v>
          </cell>
        </row>
        <row r="499">
          <cell r="B499" t="str">
            <v>减：库存股</v>
          </cell>
          <cell r="F499">
            <v>0</v>
          </cell>
        </row>
        <row r="500">
          <cell r="B500" t="str">
            <v>一、上年年末余额</v>
          </cell>
          <cell r="C500">
            <v>0</v>
          </cell>
          <cell r="F500">
            <v>0</v>
          </cell>
        </row>
        <row r="501">
          <cell r="B501" t="str">
            <v>会计政策变更</v>
          </cell>
          <cell r="C501">
            <v>0</v>
          </cell>
          <cell r="F501">
            <v>0</v>
          </cell>
        </row>
        <row r="502">
          <cell r="B502" t="str">
            <v>前期差错更正</v>
          </cell>
          <cell r="C502">
            <v>0</v>
          </cell>
          <cell r="F502">
            <v>0</v>
          </cell>
        </row>
        <row r="503">
          <cell r="B503" t="str">
            <v>二、本年年初余额</v>
          </cell>
          <cell r="C503">
            <v>0</v>
          </cell>
          <cell r="F503">
            <v>0</v>
          </cell>
        </row>
        <row r="504">
          <cell r="B504" t="str">
            <v>三、本年增减变动金额（减少以“-”号填列）</v>
          </cell>
          <cell r="C504">
            <v>0</v>
          </cell>
          <cell r="F504">
            <v>0</v>
          </cell>
        </row>
        <row r="505">
          <cell r="B505" t="str">
            <v>（一）净利润</v>
          </cell>
          <cell r="C505">
            <v>0</v>
          </cell>
          <cell r="F505">
            <v>0</v>
          </cell>
        </row>
        <row r="506">
          <cell r="B506" t="str">
            <v>（二）直接计入所有者权益的利得和损失</v>
          </cell>
          <cell r="C506">
            <v>0</v>
          </cell>
          <cell r="F506">
            <v>0</v>
          </cell>
        </row>
        <row r="507">
          <cell r="B507" t="str">
            <v>可供出售金融资产公允价值变动净额</v>
          </cell>
          <cell r="C507">
            <v>0</v>
          </cell>
          <cell r="F507">
            <v>0</v>
          </cell>
        </row>
        <row r="508">
          <cell r="B508" t="str">
            <v>权益法下被投资单位其他所有者权益变动的影响</v>
          </cell>
          <cell r="C508">
            <v>0</v>
          </cell>
          <cell r="F508">
            <v>0</v>
          </cell>
        </row>
        <row r="509">
          <cell r="B509" t="str">
            <v>与计入所有者权益项目相关的所得税影响</v>
          </cell>
          <cell r="C509">
            <v>0</v>
          </cell>
          <cell r="F509">
            <v>0</v>
          </cell>
        </row>
        <row r="510">
          <cell r="B510" t="str">
            <v>其他</v>
          </cell>
          <cell r="C510">
            <v>0</v>
          </cell>
          <cell r="F510">
            <v>0</v>
          </cell>
        </row>
        <row r="511">
          <cell r="B511" t="str">
            <v>上述（一）和（二）小计</v>
          </cell>
          <cell r="C511">
            <v>0</v>
          </cell>
          <cell r="F511">
            <v>0</v>
          </cell>
        </row>
        <row r="512">
          <cell r="B512" t="str">
            <v>（三）所有者投入和减少资本</v>
          </cell>
          <cell r="C512">
            <v>0</v>
          </cell>
          <cell r="F512">
            <v>0</v>
          </cell>
        </row>
        <row r="513">
          <cell r="B513" t="str">
            <v>所有者投入资本</v>
          </cell>
          <cell r="C513">
            <v>0</v>
          </cell>
          <cell r="F513">
            <v>0</v>
          </cell>
        </row>
        <row r="514">
          <cell r="B514" t="str">
            <v>股份支付计入所有者权益的金额</v>
          </cell>
          <cell r="C514">
            <v>0</v>
          </cell>
          <cell r="F514">
            <v>0</v>
          </cell>
        </row>
        <row r="515">
          <cell r="B515" t="str">
            <v>其他</v>
          </cell>
          <cell r="C515">
            <v>0</v>
          </cell>
          <cell r="F515">
            <v>0</v>
          </cell>
        </row>
        <row r="516">
          <cell r="B516" t="str">
            <v>（四）利润分配</v>
          </cell>
          <cell r="C516">
            <v>0</v>
          </cell>
          <cell r="F516">
            <v>0</v>
          </cell>
        </row>
        <row r="517">
          <cell r="B517" t="str">
            <v xml:space="preserve">提取盈余公积 </v>
          </cell>
          <cell r="C517">
            <v>0</v>
          </cell>
          <cell r="F517">
            <v>0</v>
          </cell>
        </row>
        <row r="518">
          <cell r="B518" t="str">
            <v>提取一般风险准备</v>
          </cell>
          <cell r="C518">
            <v>0</v>
          </cell>
          <cell r="F518">
            <v>0</v>
          </cell>
        </row>
        <row r="519">
          <cell r="B519" t="str">
            <v>对所有者（或股东）的分配</v>
          </cell>
          <cell r="C519">
            <v>0</v>
          </cell>
          <cell r="F519">
            <v>0</v>
          </cell>
        </row>
        <row r="520">
          <cell r="B520" t="str">
            <v>其他</v>
          </cell>
          <cell r="C520">
            <v>0</v>
          </cell>
          <cell r="F520">
            <v>0</v>
          </cell>
        </row>
        <row r="521">
          <cell r="B521" t="str">
            <v>（五）所有者权益内部结转</v>
          </cell>
          <cell r="C521">
            <v>0</v>
          </cell>
          <cell r="F521">
            <v>0</v>
          </cell>
        </row>
        <row r="522">
          <cell r="B522" t="str">
            <v>资本公积转增资本</v>
          </cell>
          <cell r="C522">
            <v>0</v>
          </cell>
          <cell r="F522">
            <v>0</v>
          </cell>
        </row>
        <row r="523">
          <cell r="B523" t="str">
            <v>盈余公积转增资本</v>
          </cell>
          <cell r="C523">
            <v>0</v>
          </cell>
          <cell r="F523">
            <v>0</v>
          </cell>
        </row>
        <row r="524">
          <cell r="B524" t="str">
            <v>盈余公积弥补亏损</v>
          </cell>
          <cell r="C524">
            <v>0</v>
          </cell>
          <cell r="F524">
            <v>0</v>
          </cell>
        </row>
        <row r="525">
          <cell r="B525" t="str">
            <v>其他</v>
          </cell>
          <cell r="C525">
            <v>0</v>
          </cell>
          <cell r="F525">
            <v>0</v>
          </cell>
        </row>
        <row r="526">
          <cell r="B526" t="str">
            <v>四、本年年末余额</v>
          </cell>
          <cell r="C526">
            <v>0</v>
          </cell>
          <cell r="F526">
            <v>0</v>
          </cell>
        </row>
        <row r="527">
          <cell r="B527" t="str">
            <v>盈余公积</v>
          </cell>
          <cell r="F527">
            <v>0</v>
          </cell>
        </row>
        <row r="528">
          <cell r="B528" t="str">
            <v>一、上年年末余额</v>
          </cell>
          <cell r="C528">
            <v>0</v>
          </cell>
          <cell r="F528">
            <v>0</v>
          </cell>
        </row>
        <row r="529">
          <cell r="B529" t="str">
            <v>会计政策变更</v>
          </cell>
          <cell r="C529">
            <v>0</v>
          </cell>
          <cell r="F529">
            <v>0</v>
          </cell>
        </row>
        <row r="530">
          <cell r="B530" t="str">
            <v>前期差错更正</v>
          </cell>
          <cell r="C530">
            <v>0</v>
          </cell>
          <cell r="F530">
            <v>0</v>
          </cell>
        </row>
        <row r="531">
          <cell r="B531" t="str">
            <v>二、本年年初余额</v>
          </cell>
          <cell r="C531">
            <v>0</v>
          </cell>
          <cell r="F531">
            <v>0</v>
          </cell>
        </row>
        <row r="532">
          <cell r="B532" t="str">
            <v>三、本年增减变动金额（减少以“-”号填列）</v>
          </cell>
          <cell r="C532">
            <v>0</v>
          </cell>
          <cell r="F532">
            <v>0</v>
          </cell>
        </row>
        <row r="533">
          <cell r="B533" t="str">
            <v>（一）净利润</v>
          </cell>
          <cell r="C533">
            <v>0</v>
          </cell>
          <cell r="F533">
            <v>0</v>
          </cell>
        </row>
        <row r="534">
          <cell r="B534" t="str">
            <v>（二）直接计入所有者权益的利得和损失</v>
          </cell>
          <cell r="C534">
            <v>0</v>
          </cell>
          <cell r="F534">
            <v>0</v>
          </cell>
        </row>
        <row r="535">
          <cell r="B535" t="str">
            <v>可供出售金融资产公允价值变动净额</v>
          </cell>
          <cell r="C535">
            <v>0</v>
          </cell>
          <cell r="F535">
            <v>0</v>
          </cell>
        </row>
        <row r="536">
          <cell r="B536" t="str">
            <v>权益法下被投资单位其他所有者权益变动的影响</v>
          </cell>
          <cell r="C536">
            <v>0</v>
          </cell>
          <cell r="F536">
            <v>0</v>
          </cell>
        </row>
        <row r="537">
          <cell r="B537" t="str">
            <v>与计入所有者权益项目相关的所得税影响</v>
          </cell>
          <cell r="C537">
            <v>0</v>
          </cell>
          <cell r="F537">
            <v>0</v>
          </cell>
        </row>
        <row r="538">
          <cell r="B538" t="str">
            <v>其他</v>
          </cell>
          <cell r="C538">
            <v>0</v>
          </cell>
          <cell r="F538">
            <v>0</v>
          </cell>
        </row>
        <row r="539">
          <cell r="B539" t="str">
            <v>上述（一）和（二）小计</v>
          </cell>
          <cell r="C539">
            <v>0</v>
          </cell>
          <cell r="F539">
            <v>0</v>
          </cell>
        </row>
        <row r="540">
          <cell r="B540" t="str">
            <v>（三）所有者投入和减少资本</v>
          </cell>
          <cell r="C540">
            <v>0</v>
          </cell>
          <cell r="F540">
            <v>0</v>
          </cell>
        </row>
        <row r="541">
          <cell r="B541" t="str">
            <v>所有者投入资本</v>
          </cell>
          <cell r="C541">
            <v>0</v>
          </cell>
          <cell r="F541">
            <v>0</v>
          </cell>
        </row>
        <row r="542">
          <cell r="B542" t="str">
            <v>股份支付计入所有者权益的金额</v>
          </cell>
          <cell r="C542">
            <v>0</v>
          </cell>
          <cell r="F542">
            <v>0</v>
          </cell>
        </row>
        <row r="543">
          <cell r="B543" t="str">
            <v>其他</v>
          </cell>
          <cell r="C543">
            <v>0</v>
          </cell>
          <cell r="F543">
            <v>0</v>
          </cell>
        </row>
        <row r="544">
          <cell r="B544" t="str">
            <v>（四）利润分配</v>
          </cell>
          <cell r="C544">
            <v>0</v>
          </cell>
          <cell r="F544">
            <v>0</v>
          </cell>
        </row>
        <row r="545">
          <cell r="B545" t="str">
            <v xml:space="preserve">提取盈余公积 </v>
          </cell>
          <cell r="C545">
            <v>0</v>
          </cell>
          <cell r="F545">
            <v>0</v>
          </cell>
        </row>
        <row r="546">
          <cell r="B546" t="str">
            <v>提取一般风险准备</v>
          </cell>
          <cell r="C546">
            <v>0</v>
          </cell>
          <cell r="F546">
            <v>0</v>
          </cell>
        </row>
        <row r="547">
          <cell r="B547" t="str">
            <v>对所有者（或股东）的分配</v>
          </cell>
          <cell r="C547">
            <v>0</v>
          </cell>
          <cell r="F547">
            <v>0</v>
          </cell>
        </row>
        <row r="548">
          <cell r="B548" t="str">
            <v>其他</v>
          </cell>
          <cell r="C548">
            <v>0</v>
          </cell>
          <cell r="F548">
            <v>0</v>
          </cell>
        </row>
        <row r="549">
          <cell r="B549" t="str">
            <v>（五）所有者权益内部结转</v>
          </cell>
          <cell r="C549">
            <v>0</v>
          </cell>
          <cell r="F549">
            <v>0</v>
          </cell>
        </row>
        <row r="550">
          <cell r="B550" t="str">
            <v>资本公积转增资本</v>
          </cell>
          <cell r="C550">
            <v>0</v>
          </cell>
          <cell r="F550">
            <v>0</v>
          </cell>
        </row>
        <row r="551">
          <cell r="B551" t="str">
            <v>盈余公积转增资本</v>
          </cell>
          <cell r="C551">
            <v>0</v>
          </cell>
          <cell r="F551">
            <v>0</v>
          </cell>
        </row>
        <row r="552">
          <cell r="B552" t="str">
            <v>盈余公积弥补亏损</v>
          </cell>
          <cell r="C552">
            <v>0</v>
          </cell>
          <cell r="F552">
            <v>0</v>
          </cell>
        </row>
        <row r="553">
          <cell r="B553" t="str">
            <v>其他</v>
          </cell>
          <cell r="C553">
            <v>0</v>
          </cell>
          <cell r="F553">
            <v>0</v>
          </cell>
        </row>
        <row r="554">
          <cell r="B554" t="str">
            <v>四、本年年末余额</v>
          </cell>
          <cell r="C554">
            <v>0</v>
          </cell>
          <cell r="F554">
            <v>0</v>
          </cell>
        </row>
        <row r="555">
          <cell r="B555" t="str">
            <v xml:space="preserve">一般风险准备 </v>
          </cell>
          <cell r="F555">
            <v>0</v>
          </cell>
        </row>
        <row r="556">
          <cell r="B556" t="str">
            <v>一、上年年末余额</v>
          </cell>
          <cell r="C556">
            <v>0</v>
          </cell>
          <cell r="F556">
            <v>0</v>
          </cell>
        </row>
        <row r="557">
          <cell r="B557" t="str">
            <v>会计政策变更</v>
          </cell>
          <cell r="C557">
            <v>0</v>
          </cell>
          <cell r="F557">
            <v>0</v>
          </cell>
        </row>
        <row r="558">
          <cell r="B558" t="str">
            <v>前期差错更正</v>
          </cell>
          <cell r="C558">
            <v>0</v>
          </cell>
          <cell r="F558">
            <v>0</v>
          </cell>
        </row>
        <row r="559">
          <cell r="B559" t="str">
            <v>二、本年年初余额</v>
          </cell>
          <cell r="C559">
            <v>0</v>
          </cell>
          <cell r="F559">
            <v>0</v>
          </cell>
        </row>
        <row r="560">
          <cell r="B560" t="str">
            <v>三、本年增减变动金额（减少以“-”号填列）</v>
          </cell>
          <cell r="C560">
            <v>0</v>
          </cell>
          <cell r="F560">
            <v>0</v>
          </cell>
        </row>
        <row r="561">
          <cell r="B561" t="str">
            <v>（一）净利润</v>
          </cell>
          <cell r="C561">
            <v>0</v>
          </cell>
          <cell r="F561">
            <v>0</v>
          </cell>
        </row>
        <row r="562">
          <cell r="B562" t="str">
            <v>（二）直接计入所有者权益的利得和损失</v>
          </cell>
          <cell r="C562">
            <v>0</v>
          </cell>
          <cell r="F562">
            <v>0</v>
          </cell>
        </row>
        <row r="563">
          <cell r="B563" t="str">
            <v>可供出售金融资产公允价值变动净额</v>
          </cell>
          <cell r="C563">
            <v>0</v>
          </cell>
          <cell r="F563">
            <v>0</v>
          </cell>
        </row>
        <row r="564">
          <cell r="B564" t="str">
            <v>权益法下被投资单位其他所有者权益变动的影响</v>
          </cell>
          <cell r="C564">
            <v>0</v>
          </cell>
          <cell r="F564">
            <v>0</v>
          </cell>
        </row>
        <row r="565">
          <cell r="B565" t="str">
            <v>与计入所有者权益项目相关的所得税影响</v>
          </cell>
          <cell r="C565">
            <v>0</v>
          </cell>
          <cell r="F565">
            <v>0</v>
          </cell>
        </row>
        <row r="566">
          <cell r="B566" t="str">
            <v>其他</v>
          </cell>
          <cell r="C566">
            <v>0</v>
          </cell>
          <cell r="F566">
            <v>0</v>
          </cell>
        </row>
        <row r="567">
          <cell r="B567" t="str">
            <v>上述（一）和（二）小计</v>
          </cell>
          <cell r="C567">
            <v>0</v>
          </cell>
          <cell r="F567">
            <v>0</v>
          </cell>
        </row>
        <row r="568">
          <cell r="B568" t="str">
            <v>（三）所有者投入和减少资本</v>
          </cell>
          <cell r="C568">
            <v>0</v>
          </cell>
          <cell r="F568">
            <v>0</v>
          </cell>
        </row>
        <row r="569">
          <cell r="B569" t="str">
            <v>所有者投入资本</v>
          </cell>
          <cell r="C569">
            <v>0</v>
          </cell>
          <cell r="F569">
            <v>0</v>
          </cell>
        </row>
        <row r="570">
          <cell r="B570" t="str">
            <v>股份支付计入所有者权益的金额</v>
          </cell>
          <cell r="C570">
            <v>0</v>
          </cell>
          <cell r="F570">
            <v>0</v>
          </cell>
        </row>
        <row r="571">
          <cell r="B571" t="str">
            <v>其他</v>
          </cell>
          <cell r="C571">
            <v>0</v>
          </cell>
          <cell r="F571">
            <v>0</v>
          </cell>
        </row>
        <row r="572">
          <cell r="B572" t="str">
            <v>（四）利润分配</v>
          </cell>
          <cell r="C572">
            <v>0</v>
          </cell>
          <cell r="F572">
            <v>0</v>
          </cell>
        </row>
        <row r="573">
          <cell r="B573" t="str">
            <v xml:space="preserve">提取盈余公积 </v>
          </cell>
          <cell r="C573">
            <v>0</v>
          </cell>
          <cell r="F573">
            <v>0</v>
          </cell>
        </row>
        <row r="574">
          <cell r="B574" t="str">
            <v>提取一般风险准备</v>
          </cell>
          <cell r="C574">
            <v>0</v>
          </cell>
          <cell r="F574">
            <v>0</v>
          </cell>
        </row>
        <row r="575">
          <cell r="B575" t="str">
            <v>对所有者（或股东）的分配</v>
          </cell>
          <cell r="C575">
            <v>0</v>
          </cell>
          <cell r="F575">
            <v>0</v>
          </cell>
        </row>
        <row r="576">
          <cell r="B576" t="str">
            <v>其他</v>
          </cell>
          <cell r="C576">
            <v>0</v>
          </cell>
          <cell r="F576">
            <v>0</v>
          </cell>
        </row>
        <row r="577">
          <cell r="B577" t="str">
            <v>（五）所有者权益内部结转</v>
          </cell>
          <cell r="C577">
            <v>0</v>
          </cell>
          <cell r="F577">
            <v>0</v>
          </cell>
        </row>
        <row r="578">
          <cell r="B578" t="str">
            <v>资本公积转增资本</v>
          </cell>
          <cell r="C578">
            <v>0</v>
          </cell>
          <cell r="F578">
            <v>0</v>
          </cell>
        </row>
        <row r="579">
          <cell r="B579" t="str">
            <v>盈余公积转增资本</v>
          </cell>
          <cell r="C579">
            <v>0</v>
          </cell>
          <cell r="F579">
            <v>0</v>
          </cell>
        </row>
        <row r="580">
          <cell r="B580" t="str">
            <v>盈余公积弥补亏损</v>
          </cell>
          <cell r="C580">
            <v>0</v>
          </cell>
          <cell r="F580">
            <v>0</v>
          </cell>
        </row>
        <row r="581">
          <cell r="B581" t="str">
            <v>其他</v>
          </cell>
          <cell r="C581">
            <v>0</v>
          </cell>
          <cell r="F581">
            <v>0</v>
          </cell>
        </row>
        <row r="582">
          <cell r="B582" t="str">
            <v>四、本年年末余额</v>
          </cell>
          <cell r="C582">
            <v>0</v>
          </cell>
          <cell r="F582">
            <v>0</v>
          </cell>
        </row>
        <row r="583">
          <cell r="B583" t="str">
            <v>未分配利润</v>
          </cell>
          <cell r="F583">
            <v>0</v>
          </cell>
        </row>
        <row r="584">
          <cell r="B584" t="str">
            <v>一、上年年末余额</v>
          </cell>
          <cell r="C584">
            <v>0</v>
          </cell>
          <cell r="F584">
            <v>0</v>
          </cell>
        </row>
        <row r="585">
          <cell r="B585" t="str">
            <v>会计政策变更</v>
          </cell>
          <cell r="C585">
            <v>0</v>
          </cell>
          <cell r="F585">
            <v>0</v>
          </cell>
        </row>
        <row r="586">
          <cell r="B586" t="str">
            <v>前期差错更正</v>
          </cell>
          <cell r="C586">
            <v>0</v>
          </cell>
          <cell r="F586">
            <v>0</v>
          </cell>
        </row>
        <row r="587">
          <cell r="B587" t="str">
            <v>二、本年年初余额</v>
          </cell>
          <cell r="C587">
            <v>0</v>
          </cell>
          <cell r="F587">
            <v>0</v>
          </cell>
        </row>
        <row r="588">
          <cell r="B588" t="str">
            <v>三、本年增减变动金额（减少以“-”号填列）</v>
          </cell>
          <cell r="C588">
            <v>0</v>
          </cell>
          <cell r="F588">
            <v>0</v>
          </cell>
        </row>
        <row r="589">
          <cell r="B589" t="str">
            <v>（一）净利润</v>
          </cell>
          <cell r="C589">
            <v>0</v>
          </cell>
          <cell r="F589">
            <v>0</v>
          </cell>
        </row>
        <row r="590">
          <cell r="B590" t="str">
            <v>（二）直接计入所有者权益的利得和损失</v>
          </cell>
          <cell r="C590">
            <v>0</v>
          </cell>
          <cell r="F590">
            <v>0</v>
          </cell>
        </row>
        <row r="591">
          <cell r="B591" t="str">
            <v>可供出售金融资产公允价值变动净额</v>
          </cell>
          <cell r="C591">
            <v>0</v>
          </cell>
          <cell r="F591">
            <v>0</v>
          </cell>
        </row>
        <row r="592">
          <cell r="B592" t="str">
            <v>权益法下被投资单位其他所有者权益变动的影响</v>
          </cell>
          <cell r="C592">
            <v>0</v>
          </cell>
          <cell r="F592">
            <v>0</v>
          </cell>
        </row>
        <row r="593">
          <cell r="B593" t="str">
            <v>与计入所有者权益项目相关的所得税影响</v>
          </cell>
          <cell r="C593">
            <v>0</v>
          </cell>
          <cell r="F593">
            <v>0</v>
          </cell>
        </row>
        <row r="594">
          <cell r="B594" t="str">
            <v>其他</v>
          </cell>
          <cell r="C594">
            <v>0</v>
          </cell>
          <cell r="F594">
            <v>0</v>
          </cell>
        </row>
        <row r="595">
          <cell r="B595" t="str">
            <v>上述（一）和（二）小计</v>
          </cell>
          <cell r="C595">
            <v>0</v>
          </cell>
          <cell r="F595">
            <v>0</v>
          </cell>
        </row>
        <row r="596">
          <cell r="B596" t="str">
            <v>（三）所有者投入和减少资本</v>
          </cell>
          <cell r="C596">
            <v>0</v>
          </cell>
          <cell r="F596">
            <v>0</v>
          </cell>
        </row>
        <row r="597">
          <cell r="B597" t="str">
            <v>所有者投入资本</v>
          </cell>
          <cell r="C597">
            <v>0</v>
          </cell>
          <cell r="F597">
            <v>0</v>
          </cell>
        </row>
        <row r="598">
          <cell r="B598" t="str">
            <v>股份支付计入所有者权益的金额</v>
          </cell>
          <cell r="C598">
            <v>0</v>
          </cell>
          <cell r="F598">
            <v>0</v>
          </cell>
        </row>
        <row r="599">
          <cell r="B599" t="str">
            <v>其他</v>
          </cell>
          <cell r="C599">
            <v>0</v>
          </cell>
          <cell r="F599">
            <v>0</v>
          </cell>
        </row>
        <row r="600">
          <cell r="B600" t="str">
            <v>（四）利润分配</v>
          </cell>
          <cell r="C600">
            <v>0</v>
          </cell>
          <cell r="F600">
            <v>0</v>
          </cell>
        </row>
        <row r="601">
          <cell r="B601" t="str">
            <v xml:space="preserve">提取盈余公积 </v>
          </cell>
          <cell r="C601">
            <v>0</v>
          </cell>
          <cell r="F601">
            <v>0</v>
          </cell>
        </row>
        <row r="602">
          <cell r="B602" t="str">
            <v>提取一般风险准备</v>
          </cell>
          <cell r="C602">
            <v>0</v>
          </cell>
          <cell r="F602">
            <v>0</v>
          </cell>
        </row>
        <row r="603">
          <cell r="B603" t="str">
            <v>对所有者（或股东）的分配</v>
          </cell>
          <cell r="C603">
            <v>0</v>
          </cell>
          <cell r="F603">
            <v>0</v>
          </cell>
        </row>
        <row r="604">
          <cell r="B604" t="str">
            <v>其他</v>
          </cell>
          <cell r="C604">
            <v>0</v>
          </cell>
          <cell r="F604">
            <v>0</v>
          </cell>
        </row>
        <row r="605">
          <cell r="B605" t="str">
            <v>（五）所有者权益内部结转</v>
          </cell>
          <cell r="C605">
            <v>0</v>
          </cell>
          <cell r="F605">
            <v>0</v>
          </cell>
        </row>
        <row r="606">
          <cell r="B606" t="str">
            <v>资本公积转增资本</v>
          </cell>
          <cell r="C606">
            <v>0</v>
          </cell>
          <cell r="F606">
            <v>0</v>
          </cell>
        </row>
        <row r="607">
          <cell r="B607" t="str">
            <v>盈余公积转增资本</v>
          </cell>
          <cell r="C607">
            <v>0</v>
          </cell>
          <cell r="F607">
            <v>0</v>
          </cell>
        </row>
        <row r="608">
          <cell r="B608" t="str">
            <v>盈余公积弥补亏损</v>
          </cell>
          <cell r="C608">
            <v>0</v>
          </cell>
          <cell r="F608">
            <v>0</v>
          </cell>
        </row>
        <row r="609">
          <cell r="B609" t="str">
            <v>其他</v>
          </cell>
          <cell r="C609">
            <v>0</v>
          </cell>
          <cell r="F609">
            <v>0</v>
          </cell>
        </row>
        <row r="610">
          <cell r="B610" t="str">
            <v>四、本年年末余额</v>
          </cell>
          <cell r="C610">
            <v>0</v>
          </cell>
          <cell r="F610">
            <v>0</v>
          </cell>
        </row>
        <row r="611">
          <cell r="B611" t="str">
            <v>其他</v>
          </cell>
          <cell r="F611">
            <v>0</v>
          </cell>
        </row>
        <row r="612">
          <cell r="B612" t="str">
            <v>一、上年年末余额</v>
          </cell>
          <cell r="C612">
            <v>0</v>
          </cell>
          <cell r="F612">
            <v>0</v>
          </cell>
        </row>
        <row r="613">
          <cell r="B613" t="str">
            <v>会计政策变更</v>
          </cell>
          <cell r="C613">
            <v>0</v>
          </cell>
          <cell r="F613">
            <v>0</v>
          </cell>
        </row>
        <row r="614">
          <cell r="B614" t="str">
            <v>前期差错更正</v>
          </cell>
          <cell r="C614">
            <v>0</v>
          </cell>
          <cell r="F614">
            <v>0</v>
          </cell>
        </row>
        <row r="615">
          <cell r="B615" t="str">
            <v>二、本年年初余额</v>
          </cell>
          <cell r="C615">
            <v>0</v>
          </cell>
          <cell r="F615">
            <v>0</v>
          </cell>
        </row>
        <row r="616">
          <cell r="B616" t="str">
            <v>三、本年增减变动金额（减少以“-”号填列）</v>
          </cell>
          <cell r="C616">
            <v>0</v>
          </cell>
          <cell r="F616">
            <v>0</v>
          </cell>
        </row>
        <row r="617">
          <cell r="B617" t="str">
            <v>（一）净利润</v>
          </cell>
          <cell r="C617">
            <v>0</v>
          </cell>
          <cell r="F617">
            <v>0</v>
          </cell>
        </row>
        <row r="618">
          <cell r="B618" t="str">
            <v>（二）直接计入所有者权益的利得和损失</v>
          </cell>
          <cell r="C618">
            <v>0</v>
          </cell>
          <cell r="F618">
            <v>0</v>
          </cell>
        </row>
        <row r="619">
          <cell r="B619" t="str">
            <v>可供出售金融资产公允价值变动净额</v>
          </cell>
          <cell r="C619">
            <v>0</v>
          </cell>
          <cell r="F619">
            <v>0</v>
          </cell>
        </row>
        <row r="620">
          <cell r="B620" t="str">
            <v>权益法下被投资单位其他所有者权益变动的影响</v>
          </cell>
          <cell r="C620">
            <v>0</v>
          </cell>
          <cell r="F620">
            <v>0</v>
          </cell>
        </row>
        <row r="621">
          <cell r="B621" t="str">
            <v>与计入所有者权益项目相关的所得税影响</v>
          </cell>
          <cell r="C621">
            <v>0</v>
          </cell>
          <cell r="F621">
            <v>0</v>
          </cell>
        </row>
        <row r="622">
          <cell r="B622" t="str">
            <v>其他</v>
          </cell>
          <cell r="C622">
            <v>0</v>
          </cell>
          <cell r="F622">
            <v>0</v>
          </cell>
        </row>
        <row r="623">
          <cell r="B623" t="str">
            <v>上述（一）和（二）小计</v>
          </cell>
          <cell r="C623">
            <v>0</v>
          </cell>
          <cell r="F623">
            <v>0</v>
          </cell>
        </row>
        <row r="624">
          <cell r="B624" t="str">
            <v>（三）所有者投入和减少资本</v>
          </cell>
          <cell r="C624">
            <v>0</v>
          </cell>
          <cell r="F624">
            <v>0</v>
          </cell>
        </row>
        <row r="625">
          <cell r="B625" t="str">
            <v>所有者投入资本</v>
          </cell>
          <cell r="C625">
            <v>0</v>
          </cell>
          <cell r="F625">
            <v>0</v>
          </cell>
        </row>
        <row r="626">
          <cell r="B626" t="str">
            <v>股份支付计入所有者权益的金额</v>
          </cell>
          <cell r="C626">
            <v>0</v>
          </cell>
          <cell r="F626">
            <v>0</v>
          </cell>
        </row>
        <row r="627">
          <cell r="B627" t="str">
            <v>其他</v>
          </cell>
          <cell r="C627">
            <v>0</v>
          </cell>
          <cell r="F627">
            <v>0</v>
          </cell>
        </row>
        <row r="628">
          <cell r="B628" t="str">
            <v>（四）利润分配</v>
          </cell>
          <cell r="C628">
            <v>0</v>
          </cell>
          <cell r="F628">
            <v>0</v>
          </cell>
        </row>
        <row r="629">
          <cell r="B629" t="str">
            <v xml:space="preserve">提取盈余公积 </v>
          </cell>
          <cell r="C629">
            <v>0</v>
          </cell>
          <cell r="F629">
            <v>0</v>
          </cell>
        </row>
        <row r="630">
          <cell r="B630" t="str">
            <v>提取一般风险准备</v>
          </cell>
          <cell r="C630">
            <v>0</v>
          </cell>
          <cell r="F630">
            <v>0</v>
          </cell>
        </row>
        <row r="631">
          <cell r="B631" t="str">
            <v>对所有者（或股东）的分配</v>
          </cell>
          <cell r="C631">
            <v>0</v>
          </cell>
          <cell r="F631">
            <v>0</v>
          </cell>
        </row>
        <row r="632">
          <cell r="B632" t="str">
            <v>其他</v>
          </cell>
          <cell r="C632">
            <v>0</v>
          </cell>
          <cell r="F632">
            <v>0</v>
          </cell>
        </row>
        <row r="633">
          <cell r="B633" t="str">
            <v>（五）所有者权益内部结转</v>
          </cell>
          <cell r="C633">
            <v>0</v>
          </cell>
          <cell r="F633">
            <v>0</v>
          </cell>
        </row>
        <row r="634">
          <cell r="B634" t="str">
            <v>资本公积转增资本</v>
          </cell>
          <cell r="C634">
            <v>0</v>
          </cell>
          <cell r="F634">
            <v>0</v>
          </cell>
        </row>
        <row r="635">
          <cell r="B635" t="str">
            <v>盈余公积转增资本</v>
          </cell>
          <cell r="C635">
            <v>0</v>
          </cell>
          <cell r="F635">
            <v>0</v>
          </cell>
        </row>
        <row r="636">
          <cell r="B636" t="str">
            <v>盈余公积弥补亏损</v>
          </cell>
          <cell r="C636">
            <v>0</v>
          </cell>
          <cell r="F636">
            <v>0</v>
          </cell>
        </row>
        <row r="637">
          <cell r="B637" t="str">
            <v>其他</v>
          </cell>
          <cell r="C637">
            <v>0</v>
          </cell>
          <cell r="F637">
            <v>0</v>
          </cell>
        </row>
        <row r="638">
          <cell r="B638" t="str">
            <v>四、本年年末余额</v>
          </cell>
          <cell r="C638">
            <v>0</v>
          </cell>
          <cell r="F638">
            <v>0</v>
          </cell>
        </row>
        <row r="639">
          <cell r="B639" t="str">
            <v>少数股东权益</v>
          </cell>
          <cell r="F639">
            <v>0</v>
          </cell>
        </row>
        <row r="640">
          <cell r="B640" t="str">
            <v>一、上年年末余额</v>
          </cell>
          <cell r="C640">
            <v>0</v>
          </cell>
          <cell r="F640">
            <v>0</v>
          </cell>
        </row>
        <row r="641">
          <cell r="B641" t="str">
            <v>会计政策变更</v>
          </cell>
          <cell r="C641">
            <v>0</v>
          </cell>
          <cell r="F641">
            <v>0</v>
          </cell>
        </row>
        <row r="642">
          <cell r="B642" t="str">
            <v>前期差错更正</v>
          </cell>
          <cell r="C642">
            <v>0</v>
          </cell>
          <cell r="F642">
            <v>0</v>
          </cell>
        </row>
        <row r="643">
          <cell r="B643" t="str">
            <v>二、本年年初余额</v>
          </cell>
          <cell r="C643">
            <v>0</v>
          </cell>
          <cell r="F643">
            <v>0</v>
          </cell>
        </row>
        <row r="644">
          <cell r="B644" t="str">
            <v>三、本年增减变动金额（减少以“-”号填列）</v>
          </cell>
          <cell r="C644">
            <v>0</v>
          </cell>
          <cell r="F644">
            <v>0</v>
          </cell>
        </row>
        <row r="645">
          <cell r="B645" t="str">
            <v>（一）净利润</v>
          </cell>
          <cell r="C645">
            <v>0</v>
          </cell>
          <cell r="F645">
            <v>0</v>
          </cell>
        </row>
        <row r="646">
          <cell r="B646" t="str">
            <v>（二）直接计入所有者权益的利得和损失</v>
          </cell>
          <cell r="C646">
            <v>0</v>
          </cell>
          <cell r="F646">
            <v>0</v>
          </cell>
        </row>
        <row r="647">
          <cell r="B647" t="str">
            <v>可供出售金融资产公允价值变动净额</v>
          </cell>
          <cell r="C647">
            <v>0</v>
          </cell>
          <cell r="F647">
            <v>0</v>
          </cell>
        </row>
        <row r="648">
          <cell r="B648" t="str">
            <v>权益法下被投资单位其他所有者权益变动的影响</v>
          </cell>
          <cell r="C648">
            <v>0</v>
          </cell>
          <cell r="F648">
            <v>0</v>
          </cell>
        </row>
        <row r="649">
          <cell r="B649" t="str">
            <v>与计入所有者权益项目相关的所得税影响</v>
          </cell>
          <cell r="C649">
            <v>0</v>
          </cell>
          <cell r="F649">
            <v>0</v>
          </cell>
        </row>
        <row r="650">
          <cell r="B650" t="str">
            <v>其他</v>
          </cell>
          <cell r="C650">
            <v>0</v>
          </cell>
          <cell r="F650">
            <v>0</v>
          </cell>
        </row>
        <row r="651">
          <cell r="B651" t="str">
            <v>上述（一）和（二）小计</v>
          </cell>
          <cell r="C651">
            <v>0</v>
          </cell>
          <cell r="F651">
            <v>0</v>
          </cell>
        </row>
        <row r="652">
          <cell r="B652" t="str">
            <v>（三）所有者投入和减少资本</v>
          </cell>
          <cell r="C652">
            <v>0</v>
          </cell>
          <cell r="F652">
            <v>0</v>
          </cell>
        </row>
        <row r="653">
          <cell r="B653" t="str">
            <v>所有者投入资本</v>
          </cell>
          <cell r="C653">
            <v>0</v>
          </cell>
          <cell r="F653">
            <v>0</v>
          </cell>
        </row>
        <row r="654">
          <cell r="B654" t="str">
            <v>股份支付计入所有者权益的金额</v>
          </cell>
          <cell r="C654">
            <v>0</v>
          </cell>
          <cell r="F654">
            <v>0</v>
          </cell>
        </row>
        <row r="655">
          <cell r="B655" t="str">
            <v>其他</v>
          </cell>
          <cell r="C655">
            <v>0</v>
          </cell>
          <cell r="F655">
            <v>0</v>
          </cell>
        </row>
        <row r="656">
          <cell r="B656" t="str">
            <v>（四）利润分配</v>
          </cell>
          <cell r="C656">
            <v>0</v>
          </cell>
          <cell r="F656">
            <v>0</v>
          </cell>
        </row>
        <row r="657">
          <cell r="B657" t="str">
            <v xml:space="preserve">提取盈余公积 </v>
          </cell>
          <cell r="C657">
            <v>0</v>
          </cell>
          <cell r="F657">
            <v>0</v>
          </cell>
        </row>
        <row r="658">
          <cell r="B658" t="str">
            <v>提取一般风险准备</v>
          </cell>
          <cell r="C658">
            <v>0</v>
          </cell>
          <cell r="F658">
            <v>0</v>
          </cell>
        </row>
        <row r="659">
          <cell r="B659" t="str">
            <v>对所有者（或股东）的分配</v>
          </cell>
          <cell r="C659">
            <v>0</v>
          </cell>
          <cell r="F659">
            <v>0</v>
          </cell>
        </row>
        <row r="660">
          <cell r="B660" t="str">
            <v>其他</v>
          </cell>
          <cell r="C660">
            <v>0</v>
          </cell>
          <cell r="F660">
            <v>0</v>
          </cell>
        </row>
        <row r="661">
          <cell r="B661" t="str">
            <v>（五）所有者权益内部结转</v>
          </cell>
          <cell r="C661">
            <v>0</v>
          </cell>
          <cell r="F661">
            <v>0</v>
          </cell>
        </row>
        <row r="662">
          <cell r="B662" t="str">
            <v>资本公积转增资本</v>
          </cell>
          <cell r="C662">
            <v>0</v>
          </cell>
          <cell r="F662">
            <v>0</v>
          </cell>
        </row>
        <row r="663">
          <cell r="B663" t="str">
            <v>盈余公积转增资本</v>
          </cell>
          <cell r="C663">
            <v>0</v>
          </cell>
          <cell r="F663">
            <v>0</v>
          </cell>
        </row>
        <row r="664">
          <cell r="B664" t="str">
            <v>盈余公积弥补亏损</v>
          </cell>
          <cell r="C664">
            <v>0</v>
          </cell>
          <cell r="F664">
            <v>0</v>
          </cell>
        </row>
        <row r="665">
          <cell r="B665" t="str">
            <v>其他</v>
          </cell>
          <cell r="C665">
            <v>0</v>
          </cell>
          <cell r="F665">
            <v>0</v>
          </cell>
        </row>
        <row r="666">
          <cell r="B666" t="str">
            <v>四、本年年末余额</v>
          </cell>
          <cell r="C666">
            <v>0</v>
          </cell>
          <cell r="F666">
            <v>0</v>
          </cell>
        </row>
        <row r="667">
          <cell r="B667" t="str">
            <v>2009年12月新增项目</v>
          </cell>
        </row>
        <row r="668">
          <cell r="A668" t="str">
            <v>F70</v>
          </cell>
          <cell r="B668" t="str">
            <v>专项储备</v>
          </cell>
          <cell r="C668">
            <v>0</v>
          </cell>
          <cell r="D668">
            <v>0</v>
          </cell>
          <cell r="E668">
            <v>0</v>
          </cell>
          <cell r="F668">
            <v>0</v>
          </cell>
        </row>
      </sheetData>
      <sheetData sheetId="11"/>
      <sheetData sheetId="12"/>
      <sheetData sheetId="13"/>
      <sheetData sheetId="14"/>
      <sheetData sheetId="15"/>
      <sheetData sheetId="16"/>
      <sheetData sheetId="17">
        <row r="68">
          <cell r="E68" t="str">
            <v>垃圾指标</v>
          </cell>
          <cell r="G68" t="str">
            <v>Z01</v>
          </cell>
        </row>
        <row r="69">
          <cell r="D69" t="str">
            <v>C01</v>
          </cell>
          <cell r="E69" t="str">
            <v xml:space="preserve">销售商品、提供劳务收到的现金 </v>
          </cell>
          <cell r="F69" t="str">
            <v>C01</v>
          </cell>
          <cell r="G69" t="str">
            <v>Z53</v>
          </cell>
          <cell r="L69" t="str">
            <v>现金</v>
          </cell>
          <cell r="M69" t="str">
            <v>Z0101</v>
          </cell>
        </row>
        <row r="70">
          <cell r="D70" t="str">
            <v>C02</v>
          </cell>
          <cell r="E70" t="str">
            <v xml:space="preserve">客户存款和同业存放款项净增加额 </v>
          </cell>
          <cell r="F70" t="str">
            <v>C02</v>
          </cell>
          <cell r="G70" t="str">
            <v>Z54</v>
          </cell>
          <cell r="L70" t="str">
            <v>银行存款</v>
          </cell>
          <cell r="M70" t="str">
            <v>Z0102</v>
          </cell>
        </row>
        <row r="71">
          <cell r="D71" t="str">
            <v>C03</v>
          </cell>
          <cell r="E71" t="str">
            <v xml:space="preserve">向中央银行借款净增加额 </v>
          </cell>
          <cell r="F71" t="str">
            <v>C03</v>
          </cell>
          <cell r="G71" t="str">
            <v>Z02</v>
          </cell>
          <cell r="L71" t="str">
            <v>其他货币资金</v>
          </cell>
          <cell r="M71" t="str">
            <v>Z0103</v>
          </cell>
        </row>
        <row r="72">
          <cell r="D72" t="str">
            <v>C04</v>
          </cell>
          <cell r="E72" t="str">
            <v xml:space="preserve">向其他金融机构拆入资金净增加额 </v>
          </cell>
          <cell r="F72" t="str">
            <v>C04</v>
          </cell>
          <cell r="G72" t="str">
            <v>Z03</v>
          </cell>
          <cell r="L72" t="str">
            <v>结算备付金</v>
          </cell>
          <cell r="M72" t="str">
            <v>Z5301</v>
          </cell>
        </row>
        <row r="73">
          <cell r="D73" t="str">
            <v>C05</v>
          </cell>
          <cell r="E73" t="str">
            <v xml:space="preserve">收到原保险合同保费取得的现金 </v>
          </cell>
          <cell r="F73" t="str">
            <v>C05</v>
          </cell>
          <cell r="G73" t="str">
            <v>Z04</v>
          </cell>
          <cell r="L73" t="str">
            <v>拆出资金</v>
          </cell>
          <cell r="M73" t="str">
            <v>Z5401</v>
          </cell>
        </row>
        <row r="74">
          <cell r="D74" t="str">
            <v>C06</v>
          </cell>
          <cell r="E74" t="str">
            <v xml:space="preserve">收到再保险业务现金净额 </v>
          </cell>
          <cell r="F74" t="str">
            <v>C06</v>
          </cell>
          <cell r="G74" t="str">
            <v>Z05</v>
          </cell>
          <cell r="L74" t="str">
            <v>交易性金融资产</v>
          </cell>
          <cell r="M74" t="str">
            <v>Z0201</v>
          </cell>
        </row>
        <row r="75">
          <cell r="D75" t="str">
            <v>C07</v>
          </cell>
          <cell r="E75" t="str">
            <v xml:space="preserve">保户储金及投资款净增加额 </v>
          </cell>
          <cell r="F75" t="str">
            <v>C07</v>
          </cell>
          <cell r="G75" t="str">
            <v>Z55</v>
          </cell>
          <cell r="L75" t="str">
            <v>应收票据</v>
          </cell>
          <cell r="M75" t="str">
            <v>Z0301</v>
          </cell>
        </row>
        <row r="76">
          <cell r="D76" t="str">
            <v>C08</v>
          </cell>
          <cell r="E76" t="str">
            <v xml:space="preserve">处置交易性金融资产净增加额 </v>
          </cell>
          <cell r="F76" t="str">
            <v>C08</v>
          </cell>
          <cell r="G76" t="str">
            <v>Z56</v>
          </cell>
          <cell r="L76" t="str">
            <v>应收账款</v>
          </cell>
          <cell r="M76" t="str">
            <v>Z0401</v>
          </cell>
        </row>
        <row r="77">
          <cell r="D77" t="str">
            <v>C09</v>
          </cell>
          <cell r="E77" t="str">
            <v xml:space="preserve">收取利息、手续费及佣金的现金 </v>
          </cell>
          <cell r="F77" t="str">
            <v>C09</v>
          </cell>
          <cell r="G77" t="str">
            <v>Z59</v>
          </cell>
          <cell r="L77" t="str">
            <v>坏账准备_应收账款</v>
          </cell>
          <cell r="M77" t="str">
            <v>Z0402</v>
          </cell>
        </row>
        <row r="78">
          <cell r="D78" t="str">
            <v>C10</v>
          </cell>
          <cell r="E78" t="str">
            <v xml:space="preserve">拆入资金净增加额 </v>
          </cell>
          <cell r="F78" t="str">
            <v>C10</v>
          </cell>
          <cell r="G78" t="str">
            <v>Z06</v>
          </cell>
          <cell r="L78" t="str">
            <v>预付款项</v>
          </cell>
          <cell r="M78" t="str">
            <v>Z0501</v>
          </cell>
        </row>
        <row r="79">
          <cell r="D79" t="str">
            <v>C11</v>
          </cell>
          <cell r="E79" t="str">
            <v xml:space="preserve">回购业务资金净增加额 </v>
          </cell>
          <cell r="F79" t="str">
            <v>C11</v>
          </cell>
          <cell r="G79" t="str">
            <v>Z07</v>
          </cell>
          <cell r="L79" t="str">
            <v>应收保费</v>
          </cell>
          <cell r="M79" t="str">
            <v>Z5501</v>
          </cell>
        </row>
        <row r="80">
          <cell r="D80" t="str">
            <v>C12</v>
          </cell>
          <cell r="E80" t="str">
            <v xml:space="preserve">收到的税费返还 </v>
          </cell>
          <cell r="F80" t="str">
            <v>C12</v>
          </cell>
          <cell r="G80" t="str">
            <v>Z08</v>
          </cell>
          <cell r="L80" t="str">
            <v>应收分保账款</v>
          </cell>
          <cell r="M80" t="str">
            <v>Z5601</v>
          </cell>
        </row>
        <row r="81">
          <cell r="D81" t="str">
            <v>C13</v>
          </cell>
          <cell r="E81" t="str">
            <v xml:space="preserve">收到其他与经营活动有关的现金 </v>
          </cell>
          <cell r="F81" t="str">
            <v>C13</v>
          </cell>
          <cell r="G81" t="str">
            <v>Z57</v>
          </cell>
          <cell r="L81" t="str">
            <v>应收分保合同准备金</v>
          </cell>
          <cell r="M81" t="str">
            <v>Z5901</v>
          </cell>
        </row>
        <row r="82">
          <cell r="D82" t="str">
            <v>C14</v>
          </cell>
          <cell r="E82" t="str">
            <v xml:space="preserve">购买商品、接受劳务支付的现金 </v>
          </cell>
          <cell r="F82" t="str">
            <v>C14</v>
          </cell>
          <cell r="G82" t="str">
            <v>Z09</v>
          </cell>
          <cell r="L82" t="str">
            <v>应收利息</v>
          </cell>
          <cell r="M82" t="str">
            <v>Z0601</v>
          </cell>
        </row>
        <row r="83">
          <cell r="D83" t="str">
            <v>C15</v>
          </cell>
          <cell r="E83" t="str">
            <v xml:space="preserve">客户贷款及垫款净增加额 </v>
          </cell>
          <cell r="F83" t="str">
            <v>C15</v>
          </cell>
          <cell r="G83" t="str">
            <v>Z10</v>
          </cell>
          <cell r="L83" t="str">
            <v>应收股利</v>
          </cell>
          <cell r="M83" t="str">
            <v>Z0701</v>
          </cell>
        </row>
        <row r="84">
          <cell r="D84" t="str">
            <v>C16</v>
          </cell>
          <cell r="E84" t="str">
            <v xml:space="preserve">存放中央银行和同业款项净增加额 </v>
          </cell>
          <cell r="F84" t="str">
            <v>C16</v>
          </cell>
          <cell r="G84" t="str">
            <v>Z11</v>
          </cell>
          <cell r="L84" t="str">
            <v>其他应收款</v>
          </cell>
          <cell r="M84" t="str">
            <v>Z0801</v>
          </cell>
        </row>
        <row r="85">
          <cell r="D85" t="str">
            <v>C17</v>
          </cell>
          <cell r="E85" t="str">
            <v xml:space="preserve">支付原保险合同赔付款项的现金 </v>
          </cell>
          <cell r="F85" t="str">
            <v>C17</v>
          </cell>
          <cell r="G85" t="str">
            <v>Z58</v>
          </cell>
          <cell r="L85" t="str">
            <v>坏账准备_其他应收款</v>
          </cell>
          <cell r="M85" t="str">
            <v>Z0802</v>
          </cell>
        </row>
        <row r="86">
          <cell r="D86" t="str">
            <v>C18</v>
          </cell>
          <cell r="E86" t="str">
            <v xml:space="preserve">支付利息、手续费及佣金的现金 </v>
          </cell>
          <cell r="F86" t="str">
            <v>C18</v>
          </cell>
          <cell r="G86" t="str">
            <v>Z12</v>
          </cell>
          <cell r="L86" t="str">
            <v xml:space="preserve">买入返售金融资产 </v>
          </cell>
          <cell r="M86" t="str">
            <v>Z5701</v>
          </cell>
        </row>
        <row r="87">
          <cell r="D87" t="str">
            <v>C19</v>
          </cell>
          <cell r="E87" t="str">
            <v xml:space="preserve">支付保单红利的现金 </v>
          </cell>
          <cell r="F87" t="str">
            <v>C19</v>
          </cell>
          <cell r="G87" t="str">
            <v>Z13</v>
          </cell>
          <cell r="L87" t="str">
            <v>存货</v>
          </cell>
          <cell r="M87" t="str">
            <v>Z0901</v>
          </cell>
        </row>
        <row r="88">
          <cell r="D88" t="str">
            <v>C20</v>
          </cell>
          <cell r="E88" t="str">
            <v xml:space="preserve">支付给职工以及为职工支付的现金 </v>
          </cell>
          <cell r="F88" t="str">
            <v>C20</v>
          </cell>
          <cell r="G88" t="str">
            <v>Z14</v>
          </cell>
          <cell r="L88" t="str">
            <v>存货跌价准备</v>
          </cell>
          <cell r="M88" t="str">
            <v>Z0902</v>
          </cell>
        </row>
        <row r="89">
          <cell r="D89" t="str">
            <v>C21</v>
          </cell>
          <cell r="E89" t="str">
            <v xml:space="preserve">支付的各项税费 </v>
          </cell>
          <cell r="F89" t="str">
            <v>C21</v>
          </cell>
          <cell r="G89" t="str">
            <v>Z15</v>
          </cell>
          <cell r="L89" t="str">
            <v>一年内到期的非流动资产</v>
          </cell>
          <cell r="M89" t="str">
            <v>Z1001</v>
          </cell>
        </row>
        <row r="90">
          <cell r="D90" t="str">
            <v>C22</v>
          </cell>
          <cell r="E90" t="str">
            <v xml:space="preserve">支付其他与经营活动有关的现金 </v>
          </cell>
          <cell r="F90" t="str">
            <v>C22</v>
          </cell>
          <cell r="G90" t="str">
            <v>Z16</v>
          </cell>
          <cell r="L90" t="str">
            <v>其他流动资产</v>
          </cell>
          <cell r="M90" t="str">
            <v>Z1101</v>
          </cell>
        </row>
        <row r="91">
          <cell r="D91" t="str">
            <v>C23</v>
          </cell>
          <cell r="E91" t="str">
            <v xml:space="preserve">收回投资收到的现金 </v>
          </cell>
          <cell r="F91" t="str">
            <v>C23</v>
          </cell>
          <cell r="G91" t="str">
            <v>Z17</v>
          </cell>
          <cell r="L91" t="str">
            <v>发放贷款及垫款</v>
          </cell>
          <cell r="M91" t="str">
            <v>Z5801</v>
          </cell>
        </row>
        <row r="92">
          <cell r="D92" t="str">
            <v>C24</v>
          </cell>
          <cell r="E92" t="str">
            <v xml:space="preserve">取得投资收益收到的现金 </v>
          </cell>
          <cell r="F92" t="str">
            <v>C24</v>
          </cell>
          <cell r="G92" t="str">
            <v>Z18</v>
          </cell>
          <cell r="L92" t="str">
            <v>可供出售金融资产</v>
          </cell>
          <cell r="M92" t="str">
            <v>Z1201</v>
          </cell>
        </row>
        <row r="93">
          <cell r="D93" t="str">
            <v>C25</v>
          </cell>
          <cell r="E93" t="str">
            <v xml:space="preserve">处置固定资产、无形资产和其他长期资产收回的现金净额 </v>
          </cell>
          <cell r="F93" t="str">
            <v>C25</v>
          </cell>
          <cell r="G93" t="str">
            <v>Z19</v>
          </cell>
          <cell r="L93" t="str">
            <v>持有至到期投资</v>
          </cell>
          <cell r="M93" t="str">
            <v>Z1301</v>
          </cell>
        </row>
        <row r="94">
          <cell r="D94" t="str">
            <v>C26</v>
          </cell>
          <cell r="E94" t="str">
            <v xml:space="preserve">处置子公司及其他营业单位收到的现金净额 </v>
          </cell>
          <cell r="F94" t="str">
            <v>C26</v>
          </cell>
          <cell r="G94" t="str">
            <v>Z20</v>
          </cell>
          <cell r="L94" t="str">
            <v>长期应收款</v>
          </cell>
          <cell r="M94" t="str">
            <v>Z1401</v>
          </cell>
        </row>
        <row r="95">
          <cell r="D95" t="str">
            <v>C27</v>
          </cell>
          <cell r="E95" t="str">
            <v xml:space="preserve">收到其他与投资活动有关的现金 </v>
          </cell>
          <cell r="F95" t="str">
            <v>C27</v>
          </cell>
          <cell r="G95" t="str">
            <v>Z21</v>
          </cell>
          <cell r="L95" t="str">
            <v>坏账准备_长期应收款</v>
          </cell>
          <cell r="M95" t="str">
            <v>Z1402</v>
          </cell>
        </row>
        <row r="96">
          <cell r="D96" t="str">
            <v>C28</v>
          </cell>
          <cell r="E96" t="str">
            <v xml:space="preserve">购建固定资产、无形资产和其他长期资产支付的现金 </v>
          </cell>
          <cell r="F96" t="str">
            <v>C28</v>
          </cell>
          <cell r="G96" t="str">
            <v>Z22</v>
          </cell>
          <cell r="L96" t="str">
            <v>长期股权投资</v>
          </cell>
          <cell r="M96" t="str">
            <v>Z1501</v>
          </cell>
        </row>
        <row r="97">
          <cell r="D97" t="str">
            <v>C29</v>
          </cell>
          <cell r="E97" t="str">
            <v xml:space="preserve">投资支付的现金 </v>
          </cell>
          <cell r="F97" t="str">
            <v>C29</v>
          </cell>
          <cell r="G97" t="str">
            <v>Z23</v>
          </cell>
          <cell r="L97" t="str">
            <v>长期股权投资减值准备</v>
          </cell>
          <cell r="M97" t="str">
            <v>Z1502</v>
          </cell>
        </row>
        <row r="98">
          <cell r="D98" t="str">
            <v>C30</v>
          </cell>
          <cell r="E98" t="str">
            <v xml:space="preserve">质押贷款净增加额 </v>
          </cell>
          <cell r="F98" t="str">
            <v>C30</v>
          </cell>
          <cell r="G98" t="str">
            <v>Z24</v>
          </cell>
          <cell r="L98" t="str">
            <v>投资性房地产</v>
          </cell>
          <cell r="M98" t="str">
            <v>Z1601</v>
          </cell>
        </row>
        <row r="99">
          <cell r="D99" t="str">
            <v>C31</v>
          </cell>
          <cell r="E99" t="str">
            <v xml:space="preserve">取得子公司及其他营业单位支付的现金净额 </v>
          </cell>
          <cell r="F99" t="str">
            <v>C31</v>
          </cell>
          <cell r="G99" t="str">
            <v>Z25</v>
          </cell>
          <cell r="L99" t="str">
            <v>固定资产</v>
          </cell>
          <cell r="M99" t="str">
            <v>Z1701</v>
          </cell>
        </row>
        <row r="100">
          <cell r="D100" t="str">
            <v>C32</v>
          </cell>
          <cell r="E100" t="str">
            <v xml:space="preserve">支付其他与投资活动有关的现金 </v>
          </cell>
          <cell r="F100" t="str">
            <v>C32</v>
          </cell>
          <cell r="G100" t="str">
            <v>Z26</v>
          </cell>
          <cell r="L100" t="str">
            <v>累计折旧</v>
          </cell>
          <cell r="M100" t="str">
            <v>Z1702</v>
          </cell>
        </row>
        <row r="101">
          <cell r="D101" t="str">
            <v>C33</v>
          </cell>
          <cell r="E101" t="str">
            <v xml:space="preserve">吸收投资收到的现金 </v>
          </cell>
          <cell r="F101" t="str">
            <v>C33</v>
          </cell>
          <cell r="G101" t="str">
            <v>Z27</v>
          </cell>
          <cell r="L101" t="str">
            <v>固定资产减值准备</v>
          </cell>
          <cell r="M101" t="str">
            <v>Z1703</v>
          </cell>
        </row>
        <row r="102">
          <cell r="D102" t="str">
            <v>C34</v>
          </cell>
          <cell r="E102" t="str">
            <v xml:space="preserve">其中：子公司吸收少数股东投资收到的现金 </v>
          </cell>
          <cell r="F102" t="str">
            <v>C34</v>
          </cell>
          <cell r="G102" t="str">
            <v>Z28</v>
          </cell>
          <cell r="L102" t="str">
            <v>在建工程</v>
          </cell>
          <cell r="M102" t="str">
            <v>Z1801</v>
          </cell>
        </row>
        <row r="103">
          <cell r="D103" t="str">
            <v>C35</v>
          </cell>
          <cell r="E103" t="str">
            <v xml:space="preserve">取得借款收到的现金 </v>
          </cell>
          <cell r="F103" t="str">
            <v>C35</v>
          </cell>
          <cell r="G103" t="str">
            <v>F01</v>
          </cell>
          <cell r="L103" t="str">
            <v>在建工程减值准备</v>
          </cell>
          <cell r="M103" t="str">
            <v>Z1802</v>
          </cell>
        </row>
        <row r="104">
          <cell r="D104" t="str">
            <v>C36</v>
          </cell>
          <cell r="E104" t="str">
            <v xml:space="preserve">发行债券收到的现金 </v>
          </cell>
          <cell r="F104" t="str">
            <v>C36</v>
          </cell>
          <cell r="G104" t="str">
            <v>F53</v>
          </cell>
          <cell r="L104" t="str">
            <v>工程物资</v>
          </cell>
          <cell r="M104" t="str">
            <v>Z1901</v>
          </cell>
        </row>
        <row r="105">
          <cell r="D105" t="str">
            <v>C37</v>
          </cell>
          <cell r="E105" t="str">
            <v xml:space="preserve">收到其他与筹资活动有关的现金 </v>
          </cell>
          <cell r="F105" t="str">
            <v>C37</v>
          </cell>
          <cell r="G105" t="str">
            <v>F54</v>
          </cell>
          <cell r="L105" t="str">
            <v>固定资产清理</v>
          </cell>
          <cell r="M105" t="str">
            <v>Z2001</v>
          </cell>
        </row>
        <row r="106">
          <cell r="D106" t="str">
            <v>C38</v>
          </cell>
          <cell r="E106" t="str">
            <v xml:space="preserve">筹资活动现金流入小计 </v>
          </cell>
          <cell r="F106" t="str">
            <v>C38</v>
          </cell>
          <cell r="G106" t="str">
            <v>F55</v>
          </cell>
          <cell r="L106" t="str">
            <v>生产性生物资产</v>
          </cell>
          <cell r="M106" t="str">
            <v>Z2101</v>
          </cell>
        </row>
        <row r="107">
          <cell r="D107" t="str">
            <v>C39</v>
          </cell>
          <cell r="E107" t="str">
            <v xml:space="preserve">偿还债务支付的现金 </v>
          </cell>
          <cell r="F107" t="str">
            <v>C39</v>
          </cell>
          <cell r="G107" t="str">
            <v>F02</v>
          </cell>
          <cell r="L107" t="str">
            <v>生产性生物资产累计折旧</v>
          </cell>
          <cell r="M107" t="str">
            <v>Z2102</v>
          </cell>
        </row>
        <row r="108">
          <cell r="D108" t="str">
            <v>C40</v>
          </cell>
          <cell r="E108" t="str">
            <v xml:space="preserve">分配股利、利润或偿付利息支付的现金 </v>
          </cell>
          <cell r="F108" t="str">
            <v>C40</v>
          </cell>
          <cell r="G108" t="str">
            <v>F03</v>
          </cell>
          <cell r="L108" t="str">
            <v>油气资产</v>
          </cell>
          <cell r="M108" t="str">
            <v>Z2201</v>
          </cell>
        </row>
        <row r="109">
          <cell r="D109" t="str">
            <v>C41</v>
          </cell>
          <cell r="E109" t="str">
            <v xml:space="preserve">其中：子公司支付给少数股东的股利、利润 </v>
          </cell>
          <cell r="F109" t="str">
            <v>C41</v>
          </cell>
          <cell r="G109" t="str">
            <v>F04</v>
          </cell>
          <cell r="L109" t="str">
            <v>累计折耗</v>
          </cell>
          <cell r="M109" t="str">
            <v>Z2202</v>
          </cell>
        </row>
        <row r="110">
          <cell r="D110" t="str">
            <v>C42</v>
          </cell>
          <cell r="E110" t="str">
            <v xml:space="preserve">支付其他与筹资活动有关的现金 </v>
          </cell>
          <cell r="F110" t="str">
            <v>C42</v>
          </cell>
          <cell r="G110" t="str">
            <v>F05</v>
          </cell>
          <cell r="L110" t="str">
            <v>无形资产</v>
          </cell>
          <cell r="M110" t="str">
            <v>Z2301</v>
          </cell>
        </row>
        <row r="111">
          <cell r="D111" t="str">
            <v>C43</v>
          </cell>
          <cell r="E111" t="str">
            <v xml:space="preserve">筹资活动现金流出小计 </v>
          </cell>
          <cell r="F111" t="str">
            <v>C43</v>
          </cell>
          <cell r="G111" t="str">
            <v>F56</v>
          </cell>
          <cell r="L111" t="str">
            <v>累计摊销</v>
          </cell>
          <cell r="M111" t="str">
            <v>Z2302</v>
          </cell>
        </row>
        <row r="112">
          <cell r="D112" t="str">
            <v>C44</v>
          </cell>
          <cell r="E112" t="str">
            <v xml:space="preserve">筹资活动产生的现金流量净额 </v>
          </cell>
          <cell r="F112" t="str">
            <v>C44</v>
          </cell>
          <cell r="G112" t="str">
            <v>F57</v>
          </cell>
          <cell r="L112" t="str">
            <v>无形资产减值准备</v>
          </cell>
          <cell r="M112" t="str">
            <v>Z2303</v>
          </cell>
        </row>
        <row r="113">
          <cell r="D113" t="str">
            <v>C45</v>
          </cell>
          <cell r="E113" t="str">
            <v>汇率变动对现金及现金等价物的影响</v>
          </cell>
          <cell r="F113" t="str">
            <v>C45</v>
          </cell>
          <cell r="G113" t="str">
            <v>F06</v>
          </cell>
          <cell r="L113" t="str">
            <v>开发支出</v>
          </cell>
          <cell r="M113" t="str">
            <v>Z2401</v>
          </cell>
        </row>
        <row r="114">
          <cell r="D114" t="str">
            <v>C46</v>
          </cell>
          <cell r="E114" t="str">
            <v xml:space="preserve">加：期初现金及现金等价物余额 </v>
          </cell>
          <cell r="F114" t="str">
            <v>C46</v>
          </cell>
          <cell r="G114" t="str">
            <v>F07</v>
          </cell>
          <cell r="L114" t="str">
            <v>商誉</v>
          </cell>
          <cell r="M114" t="str">
            <v>Z2501</v>
          </cell>
        </row>
        <row r="115">
          <cell r="D115" t="str">
            <v>C47</v>
          </cell>
          <cell r="E115" t="str">
            <v>六、期末现金及现金等价物余额</v>
          </cell>
          <cell r="F115" t="str">
            <v>C47</v>
          </cell>
          <cell r="G115" t="str">
            <v>F08</v>
          </cell>
          <cell r="L115" t="str">
            <v>长期待摊费用</v>
          </cell>
          <cell r="M115" t="str">
            <v>Z2601</v>
          </cell>
        </row>
        <row r="116">
          <cell r="D116" t="str">
            <v>C48</v>
          </cell>
          <cell r="E116" t="str">
            <v xml:space="preserve">净利润 </v>
          </cell>
          <cell r="F116" t="str">
            <v>C48</v>
          </cell>
          <cell r="G116" t="str">
            <v>F09</v>
          </cell>
          <cell r="L116" t="str">
            <v>递延所得税资产</v>
          </cell>
          <cell r="M116" t="str">
            <v>Z2701</v>
          </cell>
        </row>
        <row r="117">
          <cell r="D117" t="str">
            <v>C49</v>
          </cell>
          <cell r="E117" t="str">
            <v xml:space="preserve">资产减值准备 </v>
          </cell>
          <cell r="F117" t="str">
            <v>C49</v>
          </cell>
          <cell r="G117" t="str">
            <v>F10</v>
          </cell>
          <cell r="L117" t="str">
            <v>其他非流动资产</v>
          </cell>
          <cell r="M117" t="str">
            <v>Z2801</v>
          </cell>
        </row>
        <row r="118">
          <cell r="D118" t="str">
            <v>C50</v>
          </cell>
          <cell r="E118" t="str">
            <v xml:space="preserve">固定资产折旧、油气资产折耗、生产性生物资产折旧 </v>
          </cell>
          <cell r="F118" t="str">
            <v>C50</v>
          </cell>
          <cell r="G118" t="str">
            <v>F58</v>
          </cell>
          <cell r="L118" t="str">
            <v>短期借款</v>
          </cell>
          <cell r="M118" t="str">
            <v>F0101</v>
          </cell>
        </row>
        <row r="119">
          <cell r="D119" t="str">
            <v>C51</v>
          </cell>
          <cell r="E119" t="str">
            <v xml:space="preserve">无形资产摊销 </v>
          </cell>
          <cell r="F119" t="str">
            <v>C51</v>
          </cell>
          <cell r="G119" t="str">
            <v>F59</v>
          </cell>
          <cell r="L119" t="str">
            <v>向中央银行借款</v>
          </cell>
          <cell r="M119" t="str">
            <v>F5301</v>
          </cell>
        </row>
        <row r="120">
          <cell r="D120" t="str">
            <v>C52</v>
          </cell>
          <cell r="E120" t="str">
            <v xml:space="preserve">长期待摊费用摊销 </v>
          </cell>
          <cell r="F120" t="str">
            <v>C52</v>
          </cell>
          <cell r="G120" t="str">
            <v>F60</v>
          </cell>
          <cell r="L120" t="str">
            <v>吸收存款及同业存放</v>
          </cell>
          <cell r="M120" t="str">
            <v>F5401</v>
          </cell>
        </row>
        <row r="121">
          <cell r="D121" t="str">
            <v>C53</v>
          </cell>
          <cell r="E121" t="str">
            <v xml:space="preserve">处置固定资产、无形资产和其他长期资产的损失（收益以“－”号填列） </v>
          </cell>
          <cell r="F121" t="str">
            <v>C53</v>
          </cell>
          <cell r="G121" t="str">
            <v>F61</v>
          </cell>
          <cell r="L121" t="str">
            <v>拆入资金</v>
          </cell>
          <cell r="M121" t="str">
            <v>F5501</v>
          </cell>
        </row>
        <row r="122">
          <cell r="D122" t="str">
            <v>C54</v>
          </cell>
          <cell r="E122" t="str">
            <v xml:space="preserve">固定资产报废损失（收益以“－”号填﻿列） </v>
          </cell>
          <cell r="F122" t="str">
            <v>C54</v>
          </cell>
          <cell r="G122" t="str">
            <v>F11</v>
          </cell>
          <cell r="L122" t="str">
            <v>交易性金融负债</v>
          </cell>
          <cell r="M122" t="str">
            <v>F0201</v>
          </cell>
        </row>
        <row r="123">
          <cell r="D123" t="str">
            <v>C55</v>
          </cell>
          <cell r="E123" t="str">
            <v xml:space="preserve">公允价值变动损失（收益以“－”号填列） </v>
          </cell>
          <cell r="F123" t="str">
            <v>C55</v>
          </cell>
          <cell r="G123" t="str">
            <v>F12</v>
          </cell>
          <cell r="L123" t="str">
            <v>应付票据</v>
          </cell>
          <cell r="M123" t="str">
            <v>F0301</v>
          </cell>
        </row>
        <row r="124">
          <cell r="D124" t="str">
            <v>C56</v>
          </cell>
          <cell r="E124" t="str">
            <v xml:space="preserve">财务费用（收益以“－”号填列） </v>
          </cell>
          <cell r="F124" t="str">
            <v>C56</v>
          </cell>
          <cell r="G124" t="str">
            <v>F13</v>
          </cell>
          <cell r="L124" t="str">
            <v>应付账款</v>
          </cell>
          <cell r="M124" t="str">
            <v>F0401</v>
          </cell>
        </row>
        <row r="125">
          <cell r="D125" t="str">
            <v>C57</v>
          </cell>
          <cell r="E125" t="str">
            <v xml:space="preserve">投资损失（收益以“－”号填列） </v>
          </cell>
          <cell r="F125" t="str">
            <v>C57</v>
          </cell>
          <cell r="G125" t="str">
            <v>F14</v>
          </cell>
          <cell r="L125" t="str">
            <v>预收款项</v>
          </cell>
          <cell r="M125" t="str">
            <v>F0501</v>
          </cell>
        </row>
        <row r="126">
          <cell r="D126" t="str">
            <v>C58</v>
          </cell>
          <cell r="E126" t="str">
            <v xml:space="preserve">递延所得税资产减少（增加以“－”号填列） </v>
          </cell>
          <cell r="F126" t="str">
            <v>C58</v>
          </cell>
          <cell r="G126" t="str">
            <v>F15</v>
          </cell>
          <cell r="L126" t="str">
            <v>应付职工薪酬</v>
          </cell>
          <cell r="M126" t="str">
            <v>F0601</v>
          </cell>
        </row>
        <row r="127">
          <cell r="D127" t="str">
            <v>C59</v>
          </cell>
          <cell r="E127" t="str">
            <v xml:space="preserve">递延所得税负债增加（减少以“－”号填列） </v>
          </cell>
          <cell r="F127" t="str">
            <v>C59</v>
          </cell>
          <cell r="G127" t="str">
            <v>F16</v>
          </cell>
          <cell r="L127" t="str">
            <v>卖出回购金融资产款</v>
          </cell>
          <cell r="M127" t="str">
            <v>F5601</v>
          </cell>
        </row>
        <row r="128">
          <cell r="D128" t="str">
            <v>C60</v>
          </cell>
          <cell r="E128" t="str">
            <v xml:space="preserve">存货的减少（增加以“－”号填列） </v>
          </cell>
          <cell r="F128" t="str">
            <v>C60</v>
          </cell>
          <cell r="G128" t="str">
            <v>F17</v>
          </cell>
          <cell r="L128" t="str">
            <v>应付手续费及佣金</v>
          </cell>
          <cell r="M128" t="str">
            <v>F5701</v>
          </cell>
        </row>
        <row r="129">
          <cell r="D129" t="str">
            <v>C61</v>
          </cell>
          <cell r="E129" t="str">
            <v xml:space="preserve">经营性应收项目的减少（增加以“－”号填列） </v>
          </cell>
          <cell r="F129" t="str">
            <v>C61</v>
          </cell>
          <cell r="G129" t="str">
            <v>F18</v>
          </cell>
          <cell r="L129" t="str">
            <v>应交税费</v>
          </cell>
          <cell r="M129" t="str">
            <v>F0701</v>
          </cell>
        </row>
        <row r="130">
          <cell r="D130" t="str">
            <v>C62</v>
          </cell>
          <cell r="E130" t="str">
            <v xml:space="preserve">经营性应付项目的增加（减少以“－”号填列） </v>
          </cell>
          <cell r="F130" t="str">
            <v>C62</v>
          </cell>
          <cell r="G130" t="str">
            <v>F19</v>
          </cell>
          <cell r="L130" t="str">
            <v>应付利息</v>
          </cell>
          <cell r="M130" t="str">
            <v>F0801</v>
          </cell>
        </row>
        <row r="131">
          <cell r="D131" t="str">
            <v>C63</v>
          </cell>
          <cell r="E131" t="str">
            <v xml:space="preserve">其他 </v>
          </cell>
          <cell r="F131" t="str">
            <v>C63</v>
          </cell>
          <cell r="G131" t="str">
            <v>F20</v>
          </cell>
          <cell r="L131" t="str">
            <v>应付股利</v>
          </cell>
          <cell r="M131" t="str">
            <v>F0901</v>
          </cell>
        </row>
        <row r="132">
          <cell r="D132" t="str">
            <v>C64</v>
          </cell>
          <cell r="E132" t="str">
            <v xml:space="preserve">经营活动产生的现金流量净额 </v>
          </cell>
          <cell r="F132" t="str">
            <v>C64</v>
          </cell>
          <cell r="G132" t="str">
            <v>F21</v>
          </cell>
          <cell r="L132" t="str">
            <v>其他应付款</v>
          </cell>
          <cell r="M132" t="str">
            <v>F1001</v>
          </cell>
        </row>
        <row r="133">
          <cell r="D133" t="str">
            <v>C65</v>
          </cell>
          <cell r="E133" t="str">
            <v xml:space="preserve">债务转为资本 </v>
          </cell>
          <cell r="F133" t="str">
            <v>C65</v>
          </cell>
          <cell r="G133" t="str">
            <v>F22</v>
          </cell>
          <cell r="L133" t="str">
            <v>应付分保账款</v>
          </cell>
          <cell r="M133" t="str">
            <v>F5801</v>
          </cell>
        </row>
        <row r="134">
          <cell r="D134" t="str">
            <v>C66</v>
          </cell>
          <cell r="E134" t="str">
            <v xml:space="preserve">一年内到期的可转换公司债券 </v>
          </cell>
          <cell r="F134" t="str">
            <v>C66</v>
          </cell>
          <cell r="G134" t="str">
            <v>F70</v>
          </cell>
          <cell r="L134" t="str">
            <v>保险合同准备金</v>
          </cell>
          <cell r="M134" t="str">
            <v>F5901</v>
          </cell>
        </row>
        <row r="135">
          <cell r="D135" t="str">
            <v>C67</v>
          </cell>
          <cell r="E135" t="str">
            <v xml:space="preserve">融资租入固定资产 </v>
          </cell>
          <cell r="F135" t="str">
            <v>C67</v>
          </cell>
          <cell r="G135" t="str">
            <v>F23</v>
          </cell>
          <cell r="L135" t="str">
            <v>代理买卖证券款</v>
          </cell>
          <cell r="M135" t="str">
            <v>F6001</v>
          </cell>
        </row>
        <row r="136">
          <cell r="D136" t="str">
            <v>C68</v>
          </cell>
          <cell r="E136" t="str">
            <v xml:space="preserve">现金的期末余额 </v>
          </cell>
          <cell r="F136" t="str">
            <v>C68</v>
          </cell>
          <cell r="G136" t="str">
            <v>F62</v>
          </cell>
          <cell r="L136" t="str">
            <v>代理承销证券款</v>
          </cell>
          <cell r="M136" t="str">
            <v>F6101</v>
          </cell>
        </row>
        <row r="137">
          <cell r="D137" t="str">
            <v>C69</v>
          </cell>
          <cell r="E137" t="str">
            <v xml:space="preserve">现金的期初余额 </v>
          </cell>
          <cell r="F137" t="str">
            <v>C69</v>
          </cell>
          <cell r="G137" t="str">
            <v>F24</v>
          </cell>
          <cell r="L137" t="str">
            <v>一年内到期的非流动负债</v>
          </cell>
          <cell r="M137" t="str">
            <v>F1101</v>
          </cell>
        </row>
        <row r="138">
          <cell r="D138" t="str">
            <v>C70</v>
          </cell>
          <cell r="E138" t="str">
            <v xml:space="preserve">现金等价物的期末余额 </v>
          </cell>
          <cell r="F138" t="str">
            <v>C70</v>
          </cell>
          <cell r="G138" t="str">
            <v>F25</v>
          </cell>
          <cell r="L138" t="str">
            <v>其他流动负债</v>
          </cell>
          <cell r="M138" t="str">
            <v>F1201</v>
          </cell>
        </row>
        <row r="139">
          <cell r="D139" t="str">
            <v>C71</v>
          </cell>
          <cell r="E139" t="str">
            <v xml:space="preserve">现金等价物的期初余额 </v>
          </cell>
          <cell r="F139" t="str">
            <v>C71</v>
          </cell>
          <cell r="G139" t="str">
            <v>F26</v>
          </cell>
          <cell r="L139" t="str">
            <v>长期借款</v>
          </cell>
          <cell r="M139" t="str">
            <v>F1301</v>
          </cell>
        </row>
        <row r="140">
          <cell r="G140" t="str">
            <v>F27</v>
          </cell>
          <cell r="L140" t="str">
            <v>应付债券</v>
          </cell>
          <cell r="M140" t="str">
            <v>F1401</v>
          </cell>
        </row>
        <row r="141">
          <cell r="G141" t="str">
            <v>F28</v>
          </cell>
          <cell r="L141" t="str">
            <v>长期应付款</v>
          </cell>
          <cell r="M141" t="str">
            <v>F1501</v>
          </cell>
        </row>
        <row r="142">
          <cell r="G142" t="str">
            <v>F29</v>
          </cell>
          <cell r="L142" t="str">
            <v>专项应付款</v>
          </cell>
          <cell r="M142" t="str">
            <v>F1601</v>
          </cell>
        </row>
        <row r="143">
          <cell r="G143" t="str">
            <v>F30</v>
          </cell>
          <cell r="L143" t="str">
            <v>预计负债</v>
          </cell>
          <cell r="M143" t="str">
            <v>F1701</v>
          </cell>
        </row>
        <row r="144">
          <cell r="G144" t="str">
            <v>F31</v>
          </cell>
          <cell r="L144" t="str">
            <v>递延所得税负债</v>
          </cell>
          <cell r="M144" t="str">
            <v>F1801</v>
          </cell>
        </row>
        <row r="145">
          <cell r="G145" t="str">
            <v>Z29</v>
          </cell>
          <cell r="L145" t="str">
            <v>其他非流动负债</v>
          </cell>
          <cell r="M145" t="str">
            <v>F1901</v>
          </cell>
        </row>
        <row r="146">
          <cell r="G146" t="str">
            <v>Z30</v>
          </cell>
          <cell r="L146" t="str">
            <v>股本_上年年末余额*</v>
          </cell>
          <cell r="M146" t="str">
            <v>F2006</v>
          </cell>
        </row>
        <row r="147">
          <cell r="G147" t="str">
            <v>Z31</v>
          </cell>
          <cell r="L147" t="str">
            <v>股本_会计政策变更</v>
          </cell>
          <cell r="M147" t="str">
            <v>F2007</v>
          </cell>
        </row>
        <row r="148">
          <cell r="G148" t="str">
            <v>Z32</v>
          </cell>
          <cell r="L148" t="str">
            <v>股本_前期差错更正</v>
          </cell>
          <cell r="M148" t="str">
            <v>F2008</v>
          </cell>
        </row>
        <row r="149">
          <cell r="G149" t="str">
            <v>Z33</v>
          </cell>
          <cell r="L149" t="str">
            <v>股本_所有者投入资本</v>
          </cell>
          <cell r="M149" t="str">
            <v>F2001</v>
          </cell>
        </row>
        <row r="150">
          <cell r="G150" t="str">
            <v>Z34</v>
          </cell>
          <cell r="L150" t="str">
            <v>股本_股份支付计入所有者权益的金额</v>
          </cell>
          <cell r="M150" t="str">
            <v>F2002</v>
          </cell>
        </row>
        <row r="151">
          <cell r="G151" t="str">
            <v>Z35</v>
          </cell>
          <cell r="L151" t="str">
            <v>股本_资本公积转增资本</v>
          </cell>
          <cell r="M151" t="str">
            <v>F2003</v>
          </cell>
        </row>
        <row r="152">
          <cell r="G152" t="str">
            <v>Z36</v>
          </cell>
          <cell r="L152" t="str">
            <v>股本_盈余公积转增资本</v>
          </cell>
          <cell r="M152" t="str">
            <v>F2004</v>
          </cell>
        </row>
        <row r="153">
          <cell r="G153" t="str">
            <v>Z37</v>
          </cell>
          <cell r="L153" t="str">
            <v>股本_其他</v>
          </cell>
          <cell r="M153" t="str">
            <v>F2005</v>
          </cell>
        </row>
        <row r="154">
          <cell r="G154" t="str">
            <v>Z38</v>
          </cell>
          <cell r="L154" t="str">
            <v>资本公积_上年年末余额*</v>
          </cell>
          <cell r="M154" t="str">
            <v>F2107</v>
          </cell>
        </row>
        <row r="155">
          <cell r="G155" t="str">
            <v>Z39</v>
          </cell>
          <cell r="L155" t="str">
            <v>资本公积_会计政策变更</v>
          </cell>
          <cell r="M155" t="str">
            <v>F2108</v>
          </cell>
        </row>
        <row r="156">
          <cell r="G156" t="str">
            <v>Z40</v>
          </cell>
          <cell r="L156" t="str">
            <v>资本公积_前期差错更正</v>
          </cell>
          <cell r="M156" t="str">
            <v>F2109</v>
          </cell>
        </row>
        <row r="157">
          <cell r="G157" t="str">
            <v>Z41</v>
          </cell>
          <cell r="L157" t="str">
            <v>资本公积_可供出售金融资产公允价值变动净额</v>
          </cell>
          <cell r="M157" t="str">
            <v>F2101</v>
          </cell>
        </row>
        <row r="158">
          <cell r="G158" t="str">
            <v>Z42</v>
          </cell>
          <cell r="L158" t="str">
            <v>资本公积_权益法下被投资单位其他所有者权益变动的影响</v>
          </cell>
          <cell r="M158" t="str">
            <v>F2102</v>
          </cell>
        </row>
        <row r="159">
          <cell r="G159" t="str">
            <v>F32</v>
          </cell>
          <cell r="L159" t="str">
            <v>资本公积_与计入所有者权益项目相关的所得税影响</v>
          </cell>
          <cell r="M159" t="str">
            <v>F2103</v>
          </cell>
        </row>
        <row r="160">
          <cell r="G160" t="str">
            <v>F33</v>
          </cell>
          <cell r="L160" t="str">
            <v>资本公积_所有者投入资本</v>
          </cell>
          <cell r="M160" t="str">
            <v>F2104</v>
          </cell>
        </row>
        <row r="161">
          <cell r="G161" t="str">
            <v>F34</v>
          </cell>
          <cell r="L161" t="str">
            <v>资本公积_资本公积转增资本</v>
          </cell>
          <cell r="M161" t="str">
            <v>F2105</v>
          </cell>
        </row>
        <row r="162">
          <cell r="G162" t="str">
            <v>F35</v>
          </cell>
          <cell r="L162" t="str">
            <v>资本公积_其他</v>
          </cell>
          <cell r="M162" t="str">
            <v>F2106</v>
          </cell>
        </row>
        <row r="163">
          <cell r="G163" t="str">
            <v>F36</v>
          </cell>
          <cell r="L163" t="str">
            <v>库存股_上年年末余额*</v>
          </cell>
          <cell r="M163" t="str">
            <v>F2202</v>
          </cell>
        </row>
        <row r="164">
          <cell r="G164" t="str">
            <v>F37</v>
          </cell>
          <cell r="L164" t="str">
            <v>库存股_会计政策变更</v>
          </cell>
          <cell r="M164" t="str">
            <v>F2203</v>
          </cell>
        </row>
        <row r="165">
          <cell r="G165" t="str">
            <v>Z43</v>
          </cell>
          <cell r="L165" t="str">
            <v>库存股_前期差错更正</v>
          </cell>
          <cell r="M165" t="str">
            <v>F2204</v>
          </cell>
        </row>
        <row r="166">
          <cell r="G166" t="str">
            <v>Z44</v>
          </cell>
          <cell r="L166" t="str">
            <v>库存股_其他</v>
          </cell>
          <cell r="M166" t="str">
            <v>F2201</v>
          </cell>
        </row>
        <row r="167">
          <cell r="G167" t="str">
            <v>F38</v>
          </cell>
          <cell r="L167" t="str">
            <v>专项储备</v>
          </cell>
          <cell r="M167" t="str">
            <v>F7001</v>
          </cell>
        </row>
        <row r="168">
          <cell r="G168" t="str">
            <v>Z45</v>
          </cell>
          <cell r="L168" t="str">
            <v>盈余公积_上年年末余额*</v>
          </cell>
          <cell r="M168" t="str">
            <v>F2305</v>
          </cell>
        </row>
        <row r="169">
          <cell r="G169" t="str">
            <v>Z46</v>
          </cell>
          <cell r="L169" t="str">
            <v>盈余公积_会计政策变更</v>
          </cell>
          <cell r="M169" t="str">
            <v>F2306</v>
          </cell>
        </row>
        <row r="170">
          <cell r="G170" t="str">
            <v>Z47</v>
          </cell>
          <cell r="L170" t="str">
            <v>盈余公积_前期差错更正</v>
          </cell>
          <cell r="M170" t="str">
            <v>F2307</v>
          </cell>
        </row>
        <row r="171">
          <cell r="G171" t="str">
            <v>Z48</v>
          </cell>
          <cell r="L171" t="str">
            <v>盈余公积_提取盈余公积</v>
          </cell>
          <cell r="M171" t="str">
            <v>F2301</v>
          </cell>
        </row>
        <row r="172">
          <cell r="G172" t="str">
            <v>Z49</v>
          </cell>
          <cell r="L172" t="str">
            <v>盈余公积_盈余公积转增资本</v>
          </cell>
          <cell r="M172" t="str">
            <v>F2302</v>
          </cell>
        </row>
        <row r="173">
          <cell r="G173" t="str">
            <v>Z50</v>
          </cell>
          <cell r="L173" t="str">
            <v>盈余公积_盈余公积弥补亏损</v>
          </cell>
          <cell r="M173" t="str">
            <v>F2303</v>
          </cell>
        </row>
        <row r="174">
          <cell r="G174" t="str">
            <v>Z51</v>
          </cell>
          <cell r="L174" t="str">
            <v>盈余公积_提取任意盈余公积</v>
          </cell>
          <cell r="M174" t="str">
            <v>F2304</v>
          </cell>
        </row>
        <row r="175">
          <cell r="G175" t="str">
            <v>Z52</v>
          </cell>
          <cell r="L175" t="str">
            <v>一般风险准备_上年年末余额*</v>
          </cell>
          <cell r="M175" t="str">
            <v>F6202</v>
          </cell>
        </row>
        <row r="176">
          <cell r="G176" t="str">
            <v>F39</v>
          </cell>
          <cell r="L176" t="str">
            <v>一般风险准备_其他</v>
          </cell>
          <cell r="M176" t="str">
            <v>F6201</v>
          </cell>
        </row>
        <row r="177">
          <cell r="G177" t="str">
            <v>F40</v>
          </cell>
          <cell r="L177" t="str">
            <v>未分配利润_年初未分配利润</v>
          </cell>
          <cell r="M177" t="str">
            <v>F4501</v>
          </cell>
        </row>
        <row r="178">
          <cell r="G178" t="str">
            <v>F41</v>
          </cell>
          <cell r="L178" t="str">
            <v>未分配利润_会计政策变更</v>
          </cell>
          <cell r="M178" t="str">
            <v>F4502</v>
          </cell>
        </row>
        <row r="179">
          <cell r="G179" t="str">
            <v>F42</v>
          </cell>
          <cell r="L179" t="str">
            <v>未分配利润_前期差错更正</v>
          </cell>
          <cell r="M179" t="str">
            <v>F4503</v>
          </cell>
        </row>
        <row r="180">
          <cell r="G180" t="str">
            <v>F43</v>
          </cell>
          <cell r="L180" t="str">
            <v>未分配利润__提取盈余公积</v>
          </cell>
          <cell r="M180" t="str">
            <v>F4504</v>
          </cell>
        </row>
        <row r="181">
          <cell r="G181" t="str">
            <v>F44</v>
          </cell>
          <cell r="L181" t="str">
            <v>未分配利润__提取一般风险准备</v>
          </cell>
          <cell r="M181" t="str">
            <v>F4508</v>
          </cell>
        </row>
        <row r="182">
          <cell r="L182" t="str">
            <v>未分配利润__对所有者（或股东）的分配</v>
          </cell>
          <cell r="M182" t="str">
            <v>F4505</v>
          </cell>
        </row>
        <row r="183">
          <cell r="L183" t="str">
            <v>未分配利润__盈余公积弥补亏损</v>
          </cell>
          <cell r="M183" t="str">
            <v>F4506</v>
          </cell>
        </row>
        <row r="184">
          <cell r="L184" t="str">
            <v>未分配利润_其他</v>
          </cell>
          <cell r="M184" t="str">
            <v>F4507</v>
          </cell>
        </row>
        <row r="185">
          <cell r="L185" t="str">
            <v>外币报表折算差额</v>
          </cell>
          <cell r="M185" t="str">
            <v>F2501</v>
          </cell>
        </row>
        <row r="186">
          <cell r="L186" t="str">
            <v>少数股东权益_上年年末余额*</v>
          </cell>
          <cell r="M186" t="str">
            <v>F2602</v>
          </cell>
        </row>
        <row r="187">
          <cell r="L187" t="str">
            <v>少数股东权益_会计政策变更</v>
          </cell>
          <cell r="M187" t="str">
            <v>F2603</v>
          </cell>
        </row>
        <row r="188">
          <cell r="L188" t="str">
            <v>少数股东权益_前期差错更正</v>
          </cell>
          <cell r="M188" t="str">
            <v>F2604</v>
          </cell>
        </row>
        <row r="189">
          <cell r="L189" t="str">
            <v>少数股东权益_净利润</v>
          </cell>
          <cell r="M189" t="str">
            <v>F2601</v>
          </cell>
        </row>
        <row r="190">
          <cell r="L190" t="str">
            <v>少数股东权益_所有者投入资本</v>
          </cell>
          <cell r="M190" t="str">
            <v>F2606</v>
          </cell>
        </row>
        <row r="191">
          <cell r="L191" t="str">
            <v>少数股东权益_对所有者（或股东）的分配</v>
          </cell>
          <cell r="M191" t="str">
            <v>F2607</v>
          </cell>
        </row>
        <row r="192">
          <cell r="L192" t="str">
            <v>少数股东权益_其他</v>
          </cell>
          <cell r="M192" t="str">
            <v>F2605</v>
          </cell>
        </row>
        <row r="193">
          <cell r="L193" t="str">
            <v>营业收入</v>
          </cell>
          <cell r="M193" t="str">
            <v>F2801</v>
          </cell>
        </row>
        <row r="194">
          <cell r="L194" t="str">
            <v>营业成本</v>
          </cell>
          <cell r="M194" t="str">
            <v>Z3001</v>
          </cell>
        </row>
        <row r="195">
          <cell r="L195" t="str">
            <v>营业税金及附加</v>
          </cell>
          <cell r="M195" t="str">
            <v>Z3801</v>
          </cell>
        </row>
        <row r="196">
          <cell r="L196" t="str">
            <v>销售费用</v>
          </cell>
          <cell r="M196" t="str">
            <v>Z3901</v>
          </cell>
        </row>
        <row r="197">
          <cell r="L197" t="str">
            <v>管理费用</v>
          </cell>
          <cell r="M197" t="str">
            <v>Z4001</v>
          </cell>
        </row>
        <row r="198">
          <cell r="L198" t="str">
            <v>财务费用</v>
          </cell>
          <cell r="M198" t="str">
            <v>Z4101</v>
          </cell>
        </row>
        <row r="199">
          <cell r="L199" t="str">
            <v>资产减值损失</v>
          </cell>
          <cell r="M199" t="str">
            <v>Z4201</v>
          </cell>
        </row>
        <row r="200">
          <cell r="L200" t="str">
            <v>公允价值变动收益</v>
          </cell>
          <cell r="M200" t="str">
            <v>F3201</v>
          </cell>
        </row>
        <row r="201">
          <cell r="L201" t="str">
            <v>投资收益</v>
          </cell>
          <cell r="M201" t="str">
            <v>F3301</v>
          </cell>
        </row>
        <row r="202">
          <cell r="L202" t="str">
            <v>投资收益_对联营企业和合营企业的投资收益</v>
          </cell>
          <cell r="M202" t="str">
            <v>F3302</v>
          </cell>
        </row>
        <row r="203">
          <cell r="L203" t="str">
            <v>营业外收入</v>
          </cell>
          <cell r="M203" t="str">
            <v>F3701</v>
          </cell>
        </row>
        <row r="204">
          <cell r="L204" t="str">
            <v>营业外支出</v>
          </cell>
          <cell r="M204" t="str">
            <v>Z4301</v>
          </cell>
        </row>
        <row r="205">
          <cell r="L205" t="str">
            <v>营业外支出_非流动资产处置损失</v>
          </cell>
          <cell r="M205" t="str">
            <v>Z4302</v>
          </cell>
        </row>
        <row r="206">
          <cell r="L206" t="str">
            <v>所得税费用</v>
          </cell>
          <cell r="M206" t="str">
            <v>Z4501</v>
          </cell>
        </row>
        <row r="207">
          <cell r="L207" t="str">
            <v>少数股东损益</v>
          </cell>
          <cell r="M207" t="str">
            <v>Z4801</v>
          </cell>
        </row>
        <row r="208">
          <cell r="L208" t="str">
            <v>被合并方在合并前实现的净利润</v>
          </cell>
          <cell r="M208" t="str">
            <v>Z4901</v>
          </cell>
        </row>
      </sheetData>
      <sheetData sheetId="18"/>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余额Db"/>
      <sheetName val="减值表"/>
      <sheetName val="递延所得税"/>
      <sheetName val="调整分录"/>
      <sheetName val="CF调整分录"/>
      <sheetName val="试算平衡表"/>
      <sheetName val="Sheet1"/>
      <sheetName val="审定BS"/>
      <sheetName val="审定IS"/>
      <sheetName val="审定CF"/>
      <sheetName val="参数"/>
      <sheetName val="审定SC"/>
      <sheetName val="所得税"/>
      <sheetName val="CF底稿"/>
      <sheetName val="备忘"/>
    </sheetNames>
    <sheetDataSet>
      <sheetData sheetId="0">
        <row r="42">
          <cell r="A42" t="str">
            <v>法定代表人：</v>
          </cell>
        </row>
        <row r="43">
          <cell r="A43" t="str">
            <v>主管会计工作负责人：</v>
          </cell>
        </row>
        <row r="44">
          <cell r="A44" t="str">
            <v>会计机构负责人：</v>
          </cell>
        </row>
      </sheetData>
      <sheetData sheetId="1"/>
      <sheetData sheetId="2"/>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ow r="1">
          <cell r="B1" t="str">
            <v>试算平衡表</v>
          </cell>
        </row>
        <row r="2">
          <cell r="B2" t="str">
            <v>2011年1-6月</v>
          </cell>
        </row>
        <row r="4">
          <cell r="B4" t="str">
            <v>编制单位：南京聚隆科技股份有限公司</v>
          </cell>
        </row>
        <row r="5">
          <cell r="A5" t="str">
            <v>编码</v>
          </cell>
          <cell r="B5" t="str">
            <v>项       目</v>
          </cell>
          <cell r="C5" t="str">
            <v>调整前金额</v>
          </cell>
          <cell r="D5" t="str">
            <v>调整金额</v>
          </cell>
          <cell r="F5" t="str">
            <v>调整后金额</v>
          </cell>
        </row>
        <row r="6">
          <cell r="D6" t="str">
            <v>借方</v>
          </cell>
          <cell r="E6" t="str">
            <v xml:space="preserve">贷方 </v>
          </cell>
        </row>
        <row r="7">
          <cell r="A7">
            <v>0</v>
          </cell>
          <cell r="B7" t="str">
            <v>流动资产：</v>
          </cell>
        </row>
        <row r="8">
          <cell r="A8" t="str">
            <v>Z01</v>
          </cell>
          <cell r="B8" t="str">
            <v>货币资金</v>
          </cell>
          <cell r="C8">
            <v>53099678</v>
          </cell>
          <cell r="D8">
            <v>1600</v>
          </cell>
          <cell r="E8">
            <v>2000000</v>
          </cell>
          <cell r="F8">
            <v>51101278</v>
          </cell>
        </row>
        <row r="9">
          <cell r="A9" t="str">
            <v>Z53</v>
          </cell>
          <cell r="B9" t="str">
            <v>结算备付金</v>
          </cell>
          <cell r="C9">
            <v>0</v>
          </cell>
          <cell r="D9">
            <v>0</v>
          </cell>
          <cell r="E9">
            <v>0</v>
          </cell>
          <cell r="F9">
            <v>0</v>
          </cell>
        </row>
        <row r="10">
          <cell r="A10" t="str">
            <v>Z54</v>
          </cell>
          <cell r="B10" t="str">
            <v>拆出资金</v>
          </cell>
          <cell r="C10">
            <v>0</v>
          </cell>
          <cell r="D10">
            <v>0</v>
          </cell>
          <cell r="E10">
            <v>0</v>
          </cell>
          <cell r="F10">
            <v>0</v>
          </cell>
        </row>
        <row r="11">
          <cell r="A11" t="str">
            <v>Z02</v>
          </cell>
          <cell r="B11" t="str">
            <v>交易性金融资产</v>
          </cell>
          <cell r="C11">
            <v>0</v>
          </cell>
          <cell r="D11">
            <v>0</v>
          </cell>
          <cell r="E11">
            <v>0</v>
          </cell>
          <cell r="F11">
            <v>0</v>
          </cell>
        </row>
        <row r="12">
          <cell r="A12" t="str">
            <v>Z03</v>
          </cell>
          <cell r="B12" t="str">
            <v>应收票据</v>
          </cell>
          <cell r="C12">
            <v>43883007.719999999</v>
          </cell>
          <cell r="D12">
            <v>0</v>
          </cell>
          <cell r="E12">
            <v>0</v>
          </cell>
          <cell r="F12">
            <v>43883007.719999999</v>
          </cell>
        </row>
        <row r="13">
          <cell r="A13" t="str">
            <v>Z04</v>
          </cell>
          <cell r="B13" t="str">
            <v>应收账款</v>
          </cell>
          <cell r="C13">
            <v>101973552.14</v>
          </cell>
          <cell r="D13">
            <v>-15662016.92</v>
          </cell>
          <cell r="E13">
            <v>3243654.01</v>
          </cell>
          <cell r="F13">
            <v>83067881.209999993</v>
          </cell>
        </row>
        <row r="14">
          <cell r="A14" t="str">
            <v>Z05</v>
          </cell>
          <cell r="B14" t="str">
            <v>预付款项</v>
          </cell>
          <cell r="C14">
            <v>11958678.58</v>
          </cell>
          <cell r="D14">
            <v>565553.66</v>
          </cell>
          <cell r="E14">
            <v>1195271.3400000001</v>
          </cell>
          <cell r="F14">
            <v>11328960.9</v>
          </cell>
        </row>
        <row r="15">
          <cell r="A15" t="str">
            <v>Z55</v>
          </cell>
          <cell r="B15" t="str">
            <v>应收保费</v>
          </cell>
          <cell r="C15">
            <v>0</v>
          </cell>
          <cell r="D15">
            <v>0</v>
          </cell>
          <cell r="E15">
            <v>0</v>
          </cell>
          <cell r="F15">
            <v>0</v>
          </cell>
        </row>
        <row r="16">
          <cell r="A16" t="str">
            <v>Z56</v>
          </cell>
          <cell r="B16" t="str">
            <v>应收分保账款</v>
          </cell>
          <cell r="C16">
            <v>0</v>
          </cell>
          <cell r="D16">
            <v>0</v>
          </cell>
          <cell r="E16">
            <v>0</v>
          </cell>
          <cell r="F16">
            <v>0</v>
          </cell>
        </row>
        <row r="17">
          <cell r="A17" t="str">
            <v>Z59</v>
          </cell>
          <cell r="B17" t="str">
            <v>应收分保合同准备金</v>
          </cell>
          <cell r="C17">
            <v>0</v>
          </cell>
          <cell r="D17">
            <v>0</v>
          </cell>
          <cell r="E17">
            <v>0</v>
          </cell>
          <cell r="F17">
            <v>0</v>
          </cell>
        </row>
        <row r="18">
          <cell r="A18" t="str">
            <v>Z06</v>
          </cell>
          <cell r="B18" t="str">
            <v>应收利息</v>
          </cell>
          <cell r="C18">
            <v>0</v>
          </cell>
          <cell r="D18">
            <v>0</v>
          </cell>
          <cell r="E18">
            <v>0</v>
          </cell>
          <cell r="F18">
            <v>0</v>
          </cell>
        </row>
        <row r="19">
          <cell r="A19" t="str">
            <v>Z07</v>
          </cell>
          <cell r="B19" t="str">
            <v>应收股利</v>
          </cell>
          <cell r="C19">
            <v>0</v>
          </cell>
          <cell r="D19">
            <v>0</v>
          </cell>
          <cell r="E19">
            <v>0</v>
          </cell>
          <cell r="F19">
            <v>0</v>
          </cell>
        </row>
        <row r="20">
          <cell r="A20" t="str">
            <v>Z08</v>
          </cell>
          <cell r="B20" t="str">
            <v>其他应收款</v>
          </cell>
          <cell r="C20">
            <v>6358659.2800000003</v>
          </cell>
          <cell r="D20">
            <v>960000</v>
          </cell>
          <cell r="E20">
            <v>762261.36</v>
          </cell>
          <cell r="F20">
            <v>6556397.9199999999</v>
          </cell>
        </row>
        <row r="21">
          <cell r="A21" t="str">
            <v>Z57</v>
          </cell>
          <cell r="B21" t="str">
            <v xml:space="preserve">买入返售金融资产 </v>
          </cell>
          <cell r="C21">
            <v>0</v>
          </cell>
          <cell r="D21">
            <v>0</v>
          </cell>
          <cell r="E21">
            <v>0</v>
          </cell>
          <cell r="F21">
            <v>0</v>
          </cell>
        </row>
        <row r="22">
          <cell r="A22" t="str">
            <v>Z09</v>
          </cell>
          <cell r="B22" t="str">
            <v>存货</v>
          </cell>
          <cell r="C22">
            <v>43892079.75</v>
          </cell>
          <cell r="D22">
            <v>13469936.57</v>
          </cell>
          <cell r="E22">
            <v>1962785.58</v>
          </cell>
          <cell r="F22">
            <v>55399230.740000002</v>
          </cell>
        </row>
        <row r="23">
          <cell r="A23" t="str">
            <v>Z10</v>
          </cell>
          <cell r="B23" t="str">
            <v>一年内到期的非流动资产</v>
          </cell>
          <cell r="C23">
            <v>0</v>
          </cell>
          <cell r="D23">
            <v>0</v>
          </cell>
          <cell r="E23">
            <v>0</v>
          </cell>
          <cell r="F23">
            <v>0</v>
          </cell>
        </row>
        <row r="24">
          <cell r="A24" t="str">
            <v>Z11</v>
          </cell>
          <cell r="B24" t="str">
            <v>其他流动资产</v>
          </cell>
          <cell r="C24">
            <v>0</v>
          </cell>
          <cell r="D24">
            <v>0</v>
          </cell>
          <cell r="E24">
            <v>0</v>
          </cell>
          <cell r="F24">
            <v>0</v>
          </cell>
        </row>
        <row r="25">
          <cell r="A25" t="str">
            <v>Z50</v>
          </cell>
          <cell r="B25" t="str">
            <v>流动资产合计</v>
          </cell>
          <cell r="C25">
            <v>261165655.47</v>
          </cell>
          <cell r="D25">
            <v>-664926.68999999994</v>
          </cell>
          <cell r="E25">
            <v>9163972.2899999991</v>
          </cell>
          <cell r="F25">
            <v>251336756.49000001</v>
          </cell>
        </row>
        <row r="26">
          <cell r="A26">
            <v>0</v>
          </cell>
          <cell r="B26" t="str">
            <v>非流动资产：</v>
          </cell>
          <cell r="D26">
            <v>0</v>
          </cell>
          <cell r="E26">
            <v>0</v>
          </cell>
          <cell r="F26">
            <v>0</v>
          </cell>
        </row>
        <row r="27">
          <cell r="A27" t="str">
            <v>Z58</v>
          </cell>
          <cell r="B27" t="str">
            <v>发放贷款及垫款</v>
          </cell>
          <cell r="C27">
            <v>0</v>
          </cell>
          <cell r="D27">
            <v>0</v>
          </cell>
          <cell r="E27">
            <v>0</v>
          </cell>
          <cell r="F27">
            <v>0</v>
          </cell>
        </row>
        <row r="28">
          <cell r="A28" t="str">
            <v>Z12</v>
          </cell>
          <cell r="B28" t="str">
            <v>可供出售金融资产</v>
          </cell>
          <cell r="C28">
            <v>0</v>
          </cell>
          <cell r="D28">
            <v>0</v>
          </cell>
          <cell r="E28">
            <v>0</v>
          </cell>
          <cell r="F28">
            <v>0</v>
          </cell>
        </row>
        <row r="29">
          <cell r="A29" t="str">
            <v>Z13</v>
          </cell>
          <cell r="B29" t="str">
            <v>持有至到期投资</v>
          </cell>
          <cell r="C29">
            <v>0</v>
          </cell>
          <cell r="D29">
            <v>0</v>
          </cell>
          <cell r="E29">
            <v>0</v>
          </cell>
          <cell r="F29">
            <v>0</v>
          </cell>
        </row>
        <row r="30">
          <cell r="A30" t="str">
            <v>Z14</v>
          </cell>
          <cell r="B30" t="str">
            <v>长期应收款</v>
          </cell>
          <cell r="C30">
            <v>0</v>
          </cell>
          <cell r="D30">
            <v>0</v>
          </cell>
          <cell r="E30">
            <v>0</v>
          </cell>
          <cell r="F30">
            <v>0</v>
          </cell>
        </row>
        <row r="31">
          <cell r="A31" t="str">
            <v>Z15</v>
          </cell>
          <cell r="B31" t="str">
            <v>长期股权投资</v>
          </cell>
          <cell r="C31">
            <v>33057427.129999999</v>
          </cell>
          <cell r="D31">
            <v>0</v>
          </cell>
          <cell r="E31">
            <v>600000</v>
          </cell>
          <cell r="F31">
            <v>32457427.129999999</v>
          </cell>
        </row>
        <row r="32">
          <cell r="A32" t="str">
            <v>Z16</v>
          </cell>
          <cell r="B32" t="str">
            <v>投资性房地产</v>
          </cell>
          <cell r="C32">
            <v>0</v>
          </cell>
          <cell r="D32">
            <v>0</v>
          </cell>
          <cell r="E32">
            <v>0</v>
          </cell>
          <cell r="F32">
            <v>0</v>
          </cell>
        </row>
        <row r="33">
          <cell r="A33" t="str">
            <v>Z17</v>
          </cell>
          <cell r="B33" t="str">
            <v>固定资产</v>
          </cell>
          <cell r="C33">
            <v>31702482.329999998</v>
          </cell>
          <cell r="D33">
            <v>78500</v>
          </cell>
          <cell r="E33">
            <v>883.13</v>
          </cell>
          <cell r="F33">
            <v>31780099.199999999</v>
          </cell>
        </row>
        <row r="34">
          <cell r="A34" t="str">
            <v>Z18</v>
          </cell>
          <cell r="B34" t="str">
            <v>在建工程</v>
          </cell>
          <cell r="C34">
            <v>1195661.93</v>
          </cell>
          <cell r="D34">
            <v>0</v>
          </cell>
          <cell r="E34">
            <v>150000</v>
          </cell>
          <cell r="F34">
            <v>1045661.93</v>
          </cell>
        </row>
        <row r="35">
          <cell r="A35" t="str">
            <v>Z19</v>
          </cell>
          <cell r="B35" t="str">
            <v>工程物资</v>
          </cell>
          <cell r="C35">
            <v>0</v>
          </cell>
          <cell r="D35">
            <v>0</v>
          </cell>
          <cell r="E35">
            <v>0</v>
          </cell>
          <cell r="F35">
            <v>0</v>
          </cell>
        </row>
        <row r="36">
          <cell r="A36" t="str">
            <v>Z20</v>
          </cell>
          <cell r="B36" t="str">
            <v>固定资产清理</v>
          </cell>
          <cell r="C36">
            <v>0</v>
          </cell>
          <cell r="D36">
            <v>0</v>
          </cell>
          <cell r="E36">
            <v>0</v>
          </cell>
          <cell r="F36">
            <v>0</v>
          </cell>
        </row>
        <row r="37">
          <cell r="A37" t="str">
            <v>Z21</v>
          </cell>
          <cell r="B37" t="str">
            <v>生产性生物资产</v>
          </cell>
          <cell r="C37">
            <v>0</v>
          </cell>
          <cell r="D37">
            <v>0</v>
          </cell>
          <cell r="E37">
            <v>0</v>
          </cell>
          <cell r="F37">
            <v>0</v>
          </cell>
        </row>
        <row r="38">
          <cell r="A38" t="str">
            <v>Z22</v>
          </cell>
          <cell r="B38" t="str">
            <v>油气资产</v>
          </cell>
          <cell r="C38">
            <v>0</v>
          </cell>
          <cell r="D38">
            <v>0</v>
          </cell>
          <cell r="E38">
            <v>0</v>
          </cell>
          <cell r="F38">
            <v>0</v>
          </cell>
        </row>
        <row r="39">
          <cell r="A39" t="str">
            <v>Z23</v>
          </cell>
          <cell r="B39" t="str">
            <v>无形资产</v>
          </cell>
          <cell r="C39">
            <v>12487206.970000001</v>
          </cell>
          <cell r="D39">
            <v>12541110.26</v>
          </cell>
          <cell r="E39">
            <v>775094.4</v>
          </cell>
          <cell r="F39">
            <v>24253222.829999998</v>
          </cell>
        </row>
        <row r="40">
          <cell r="A40" t="str">
            <v>Z24</v>
          </cell>
          <cell r="B40" t="str">
            <v>开发支出</v>
          </cell>
          <cell r="C40">
            <v>0</v>
          </cell>
          <cell r="D40">
            <v>0</v>
          </cell>
          <cell r="E40">
            <v>0</v>
          </cell>
          <cell r="F40">
            <v>0</v>
          </cell>
        </row>
        <row r="41">
          <cell r="A41" t="str">
            <v>Z25</v>
          </cell>
          <cell r="B41" t="str">
            <v>商誉</v>
          </cell>
          <cell r="C41">
            <v>0</v>
          </cell>
          <cell r="D41">
            <v>0</v>
          </cell>
          <cell r="E41">
            <v>0</v>
          </cell>
          <cell r="F41">
            <v>0</v>
          </cell>
        </row>
        <row r="42">
          <cell r="A42" t="str">
            <v>Z26</v>
          </cell>
          <cell r="B42" t="str">
            <v>长期待摊费用</v>
          </cell>
          <cell r="C42">
            <v>73266.679999999993</v>
          </cell>
          <cell r="D42">
            <v>5233.32</v>
          </cell>
          <cell r="E42">
            <v>78500</v>
          </cell>
          <cell r="F42">
            <v>0</v>
          </cell>
        </row>
        <row r="43">
          <cell r="A43" t="str">
            <v>Z27</v>
          </cell>
          <cell r="B43" t="str">
            <v>递延所得税资产</v>
          </cell>
          <cell r="C43">
            <v>983972.68</v>
          </cell>
          <cell r="D43">
            <v>216517.08</v>
          </cell>
          <cell r="E43">
            <v>0</v>
          </cell>
          <cell r="F43">
            <v>1200489.76</v>
          </cell>
        </row>
        <row r="44">
          <cell r="A44" t="str">
            <v>Z28</v>
          </cell>
          <cell r="B44" t="str">
            <v>其他非流动资产</v>
          </cell>
          <cell r="C44">
            <v>0</v>
          </cell>
          <cell r="D44">
            <v>0</v>
          </cell>
          <cell r="E44">
            <v>0</v>
          </cell>
          <cell r="F44">
            <v>0</v>
          </cell>
        </row>
        <row r="45">
          <cell r="F45">
            <v>0</v>
          </cell>
        </row>
        <row r="46">
          <cell r="F46">
            <v>0</v>
          </cell>
        </row>
        <row r="47">
          <cell r="A47" t="str">
            <v>Z51</v>
          </cell>
          <cell r="B47" t="str">
            <v>非流动资产合计</v>
          </cell>
          <cell r="C47">
            <v>79500017.719999999</v>
          </cell>
          <cell r="D47">
            <v>12841360.66</v>
          </cell>
          <cell r="E47">
            <v>1604477.53</v>
          </cell>
          <cell r="F47">
            <v>90736900.849999994</v>
          </cell>
        </row>
        <row r="48">
          <cell r="A48" t="str">
            <v>Z52</v>
          </cell>
          <cell r="B48" t="str">
            <v>资产总计</v>
          </cell>
          <cell r="C48">
            <v>340665673.19</v>
          </cell>
          <cell r="D48">
            <v>12176433.970000001</v>
          </cell>
          <cell r="E48">
            <v>10768449.82</v>
          </cell>
          <cell r="F48">
            <v>342073657.33999997</v>
          </cell>
        </row>
        <row r="49">
          <cell r="A49">
            <v>0</v>
          </cell>
          <cell r="B49" t="str">
            <v>流动负债：</v>
          </cell>
        </row>
        <row r="50">
          <cell r="A50" t="str">
            <v>F01</v>
          </cell>
          <cell r="B50" t="str">
            <v>短期借款</v>
          </cell>
          <cell r="C50">
            <v>128000000</v>
          </cell>
          <cell r="D50">
            <v>0</v>
          </cell>
          <cell r="E50">
            <v>0</v>
          </cell>
          <cell r="F50">
            <v>128000000</v>
          </cell>
        </row>
        <row r="51">
          <cell r="A51" t="str">
            <v>F53</v>
          </cell>
          <cell r="B51" t="str">
            <v>向中央银行借款</v>
          </cell>
          <cell r="C51">
            <v>0</v>
          </cell>
          <cell r="D51">
            <v>0</v>
          </cell>
          <cell r="E51">
            <v>0</v>
          </cell>
          <cell r="F51">
            <v>0</v>
          </cell>
        </row>
        <row r="52">
          <cell r="A52" t="str">
            <v>F54</v>
          </cell>
          <cell r="B52" t="str">
            <v>吸收存款及同业存放</v>
          </cell>
          <cell r="C52">
            <v>0</v>
          </cell>
          <cell r="D52">
            <v>0</v>
          </cell>
          <cell r="E52">
            <v>0</v>
          </cell>
          <cell r="F52">
            <v>0</v>
          </cell>
        </row>
        <row r="53">
          <cell r="A53" t="str">
            <v>F55</v>
          </cell>
          <cell r="B53" t="str">
            <v>拆入资金</v>
          </cell>
          <cell r="C53">
            <v>0</v>
          </cell>
          <cell r="D53">
            <v>0</v>
          </cell>
          <cell r="E53">
            <v>0</v>
          </cell>
          <cell r="F53">
            <v>0</v>
          </cell>
        </row>
        <row r="54">
          <cell r="A54" t="str">
            <v>F02</v>
          </cell>
          <cell r="B54" t="str">
            <v>交易性金融负债</v>
          </cell>
          <cell r="C54">
            <v>0</v>
          </cell>
          <cell r="D54">
            <v>0</v>
          </cell>
          <cell r="E54">
            <v>0</v>
          </cell>
          <cell r="F54">
            <v>0</v>
          </cell>
        </row>
        <row r="55">
          <cell r="A55" t="str">
            <v>F03</v>
          </cell>
          <cell r="B55" t="str">
            <v>应付票据</v>
          </cell>
          <cell r="C55">
            <v>10567500</v>
          </cell>
          <cell r="D55">
            <v>2000000</v>
          </cell>
          <cell r="E55">
            <v>0</v>
          </cell>
          <cell r="F55">
            <v>8567500</v>
          </cell>
        </row>
        <row r="56">
          <cell r="A56" t="str">
            <v>F04</v>
          </cell>
          <cell r="B56" t="str">
            <v>应付账款</v>
          </cell>
          <cell r="C56">
            <v>38835080.57</v>
          </cell>
          <cell r="D56">
            <v>0</v>
          </cell>
          <cell r="E56">
            <v>0</v>
          </cell>
          <cell r="F56">
            <v>38835080.57</v>
          </cell>
        </row>
        <row r="57">
          <cell r="A57" t="str">
            <v>F05</v>
          </cell>
          <cell r="B57" t="str">
            <v>预收款项</v>
          </cell>
          <cell r="C57">
            <v>3565234.55</v>
          </cell>
          <cell r="D57">
            <v>0</v>
          </cell>
          <cell r="E57">
            <v>0</v>
          </cell>
          <cell r="F57">
            <v>3565234.55</v>
          </cell>
        </row>
        <row r="58">
          <cell r="A58" t="str">
            <v>F56</v>
          </cell>
          <cell r="B58" t="str">
            <v>卖出回购金融资产款</v>
          </cell>
          <cell r="C58">
            <v>0</v>
          </cell>
          <cell r="D58">
            <v>0</v>
          </cell>
          <cell r="E58">
            <v>0</v>
          </cell>
          <cell r="F58">
            <v>0</v>
          </cell>
        </row>
        <row r="59">
          <cell r="A59" t="str">
            <v>F57</v>
          </cell>
          <cell r="B59" t="str">
            <v>应付手续费及佣金</v>
          </cell>
          <cell r="C59">
            <v>0</v>
          </cell>
          <cell r="D59">
            <v>0</v>
          </cell>
          <cell r="E59">
            <v>0</v>
          </cell>
          <cell r="F59">
            <v>0</v>
          </cell>
        </row>
        <row r="60">
          <cell r="A60" t="str">
            <v>F06</v>
          </cell>
          <cell r="B60" t="str">
            <v>应付职工薪酬</v>
          </cell>
          <cell r="C60">
            <v>1192457.44</v>
          </cell>
          <cell r="D60">
            <v>0</v>
          </cell>
          <cell r="E60">
            <v>790000</v>
          </cell>
          <cell r="F60">
            <v>1982457.44</v>
          </cell>
        </row>
        <row r="61">
          <cell r="A61" t="str">
            <v>F07</v>
          </cell>
          <cell r="B61" t="str">
            <v>应交税费</v>
          </cell>
          <cell r="C61">
            <v>7444239.0899999999</v>
          </cell>
          <cell r="D61">
            <v>0</v>
          </cell>
          <cell r="E61">
            <v>-3174037.95</v>
          </cell>
          <cell r="F61">
            <v>4270201.1399999997</v>
          </cell>
        </row>
        <row r="62">
          <cell r="A62" t="str">
            <v>F08</v>
          </cell>
          <cell r="B62" t="str">
            <v>应付利息</v>
          </cell>
          <cell r="C62">
            <v>0</v>
          </cell>
          <cell r="D62">
            <v>0</v>
          </cell>
          <cell r="E62">
            <v>408771.09</v>
          </cell>
          <cell r="F62">
            <v>408771.09</v>
          </cell>
        </row>
        <row r="63">
          <cell r="A63" t="str">
            <v>F09</v>
          </cell>
          <cell r="B63" t="str">
            <v>应付股利</v>
          </cell>
          <cell r="C63">
            <v>0</v>
          </cell>
          <cell r="D63">
            <v>0</v>
          </cell>
          <cell r="E63">
            <v>0</v>
          </cell>
          <cell r="F63">
            <v>0</v>
          </cell>
        </row>
        <row r="64">
          <cell r="A64" t="str">
            <v>F10</v>
          </cell>
          <cell r="B64" t="str">
            <v>其他应付款</v>
          </cell>
          <cell r="C64">
            <v>5250091.72</v>
          </cell>
          <cell r="D64">
            <v>656166.66</v>
          </cell>
          <cell r="E64">
            <v>12120000</v>
          </cell>
          <cell r="F64">
            <v>16713925.060000001</v>
          </cell>
        </row>
        <row r="65">
          <cell r="A65" t="str">
            <v>F58</v>
          </cell>
          <cell r="B65" t="str">
            <v>应付分保账款</v>
          </cell>
          <cell r="C65">
            <v>0</v>
          </cell>
          <cell r="D65">
            <v>0</v>
          </cell>
          <cell r="E65">
            <v>0</v>
          </cell>
          <cell r="F65">
            <v>0</v>
          </cell>
        </row>
        <row r="66">
          <cell r="A66" t="str">
            <v>F59</v>
          </cell>
          <cell r="B66" t="str">
            <v>保险合同准备金</v>
          </cell>
          <cell r="C66">
            <v>0</v>
          </cell>
          <cell r="D66">
            <v>0</v>
          </cell>
          <cell r="E66">
            <v>0</v>
          </cell>
          <cell r="F66">
            <v>0</v>
          </cell>
        </row>
        <row r="67">
          <cell r="A67" t="str">
            <v>F60</v>
          </cell>
          <cell r="B67" t="str">
            <v>代理买卖证券款</v>
          </cell>
          <cell r="C67">
            <v>0</v>
          </cell>
          <cell r="D67">
            <v>0</v>
          </cell>
          <cell r="E67">
            <v>0</v>
          </cell>
          <cell r="F67">
            <v>0</v>
          </cell>
        </row>
        <row r="68">
          <cell r="A68" t="str">
            <v>F61</v>
          </cell>
          <cell r="B68" t="str">
            <v>代理承销证券款</v>
          </cell>
          <cell r="C68">
            <v>0</v>
          </cell>
          <cell r="D68">
            <v>0</v>
          </cell>
          <cell r="E68">
            <v>0</v>
          </cell>
          <cell r="F68">
            <v>0</v>
          </cell>
        </row>
        <row r="69">
          <cell r="A69" t="str">
            <v>F11</v>
          </cell>
          <cell r="B69" t="str">
            <v>一年内到期的非流动负债</v>
          </cell>
          <cell r="C69">
            <v>0</v>
          </cell>
          <cell r="D69">
            <v>0</v>
          </cell>
          <cell r="E69">
            <v>0</v>
          </cell>
          <cell r="F69">
            <v>0</v>
          </cell>
        </row>
        <row r="70">
          <cell r="A70" t="str">
            <v>F12</v>
          </cell>
          <cell r="B70" t="str">
            <v>其他流动负债</v>
          </cell>
          <cell r="C70">
            <v>0</v>
          </cell>
          <cell r="D70">
            <v>440000</v>
          </cell>
          <cell r="E70">
            <v>0</v>
          </cell>
          <cell r="F70">
            <v>-440000</v>
          </cell>
        </row>
        <row r="71">
          <cell r="A71" t="str">
            <v>F39</v>
          </cell>
          <cell r="B71" t="str">
            <v>流动负债合计</v>
          </cell>
          <cell r="C71">
            <v>194854603.37</v>
          </cell>
          <cell r="D71">
            <v>3096166.66</v>
          </cell>
          <cell r="E71">
            <v>10144733.140000001</v>
          </cell>
          <cell r="F71">
            <v>201903169.84999999</v>
          </cell>
        </row>
        <row r="72">
          <cell r="A72">
            <v>0</v>
          </cell>
          <cell r="B72" t="str">
            <v>非流动负债：</v>
          </cell>
          <cell r="D72">
            <v>0</v>
          </cell>
          <cell r="E72">
            <v>0</v>
          </cell>
          <cell r="F72">
            <v>0</v>
          </cell>
        </row>
        <row r="73">
          <cell r="A73" t="str">
            <v>F13</v>
          </cell>
          <cell r="B73" t="str">
            <v>长期借款</v>
          </cell>
          <cell r="C73">
            <v>0</v>
          </cell>
          <cell r="D73">
            <v>0</v>
          </cell>
          <cell r="E73">
            <v>0</v>
          </cell>
          <cell r="F73">
            <v>0</v>
          </cell>
        </row>
        <row r="74">
          <cell r="A74" t="str">
            <v>F14</v>
          </cell>
          <cell r="B74" t="str">
            <v>应付债券</v>
          </cell>
          <cell r="C74">
            <v>0</v>
          </cell>
          <cell r="D74">
            <v>0</v>
          </cell>
          <cell r="E74">
            <v>0</v>
          </cell>
          <cell r="F74">
            <v>0</v>
          </cell>
        </row>
        <row r="75">
          <cell r="A75" t="str">
            <v>F15</v>
          </cell>
          <cell r="B75" t="str">
            <v>长期应付款</v>
          </cell>
          <cell r="C75">
            <v>0</v>
          </cell>
          <cell r="D75">
            <v>0</v>
          </cell>
          <cell r="E75">
            <v>0</v>
          </cell>
          <cell r="F75">
            <v>0</v>
          </cell>
        </row>
        <row r="76">
          <cell r="A76" t="str">
            <v>F16</v>
          </cell>
          <cell r="B76" t="str">
            <v>专项应付款</v>
          </cell>
          <cell r="C76">
            <v>0</v>
          </cell>
          <cell r="D76">
            <v>0</v>
          </cell>
          <cell r="E76">
            <v>0</v>
          </cell>
          <cell r="F76">
            <v>0</v>
          </cell>
        </row>
        <row r="77">
          <cell r="A77" t="str">
            <v>F17</v>
          </cell>
          <cell r="B77" t="str">
            <v>预计负债</v>
          </cell>
          <cell r="C77">
            <v>0</v>
          </cell>
          <cell r="D77">
            <v>0</v>
          </cell>
          <cell r="E77">
            <v>0</v>
          </cell>
          <cell r="F77">
            <v>0</v>
          </cell>
        </row>
        <row r="78">
          <cell r="A78" t="str">
            <v>F18</v>
          </cell>
          <cell r="B78" t="str">
            <v>递延所得税负债</v>
          </cell>
          <cell r="C78">
            <v>0</v>
          </cell>
          <cell r="D78">
            <v>0</v>
          </cell>
          <cell r="E78">
            <v>0</v>
          </cell>
          <cell r="F78">
            <v>0</v>
          </cell>
        </row>
        <row r="79">
          <cell r="A79" t="str">
            <v>F19</v>
          </cell>
          <cell r="B79" t="str">
            <v>其他非流动负债</v>
          </cell>
          <cell r="C79">
            <v>8120000</v>
          </cell>
          <cell r="D79">
            <v>185000</v>
          </cell>
          <cell r="E79">
            <v>0</v>
          </cell>
          <cell r="F79">
            <v>7935000</v>
          </cell>
        </row>
        <row r="80">
          <cell r="A80" t="str">
            <v>F40</v>
          </cell>
          <cell r="B80" t="str">
            <v>非流动负债合计</v>
          </cell>
          <cell r="C80">
            <v>8120000</v>
          </cell>
          <cell r="D80">
            <v>185000</v>
          </cell>
          <cell r="E80">
            <v>0</v>
          </cell>
          <cell r="F80">
            <v>7935000</v>
          </cell>
        </row>
        <row r="81">
          <cell r="A81" t="str">
            <v>F41</v>
          </cell>
          <cell r="B81" t="str">
            <v>负债合计</v>
          </cell>
          <cell r="C81">
            <v>202974603.37</v>
          </cell>
          <cell r="D81">
            <v>3281166.66</v>
          </cell>
          <cell r="E81">
            <v>10144733.140000001</v>
          </cell>
          <cell r="F81">
            <v>209838169.84999999</v>
          </cell>
        </row>
        <row r="82">
          <cell r="A82">
            <v>0</v>
          </cell>
          <cell r="B82" t="str">
            <v>股东权益：</v>
          </cell>
          <cell r="D82">
            <v>0</v>
          </cell>
          <cell r="E82">
            <v>0</v>
          </cell>
          <cell r="F82">
            <v>0</v>
          </cell>
        </row>
        <row r="83">
          <cell r="A83" t="str">
            <v>F20</v>
          </cell>
          <cell r="B83" t="str">
            <v>股本</v>
          </cell>
          <cell r="C83">
            <v>43800000</v>
          </cell>
          <cell r="D83">
            <v>0</v>
          </cell>
          <cell r="E83">
            <v>0</v>
          </cell>
          <cell r="F83">
            <v>43800000</v>
          </cell>
        </row>
        <row r="84">
          <cell r="A84" t="str">
            <v>F21</v>
          </cell>
          <cell r="B84" t="str">
            <v>资本公积</v>
          </cell>
          <cell r="C84">
            <v>42837286.840000004</v>
          </cell>
          <cell r="D84">
            <v>0</v>
          </cell>
          <cell r="E84">
            <v>0</v>
          </cell>
          <cell r="F84">
            <v>42837286.840000004</v>
          </cell>
        </row>
        <row r="85">
          <cell r="A85" t="str">
            <v>F22</v>
          </cell>
          <cell r="B85" t="str">
            <v>减：库存股</v>
          </cell>
          <cell r="C85">
            <v>0</v>
          </cell>
          <cell r="D85">
            <v>0</v>
          </cell>
          <cell r="E85">
            <v>0</v>
          </cell>
          <cell r="F85">
            <v>0</v>
          </cell>
        </row>
        <row r="86">
          <cell r="A86" t="str">
            <v>F23</v>
          </cell>
          <cell r="B86" t="str">
            <v>盈余公积</v>
          </cell>
          <cell r="C86">
            <v>4872084.6399999997</v>
          </cell>
          <cell r="D86">
            <v>0</v>
          </cell>
          <cell r="E86">
            <v>5370.39</v>
          </cell>
          <cell r="F86">
            <v>4877455.03</v>
          </cell>
        </row>
        <row r="87">
          <cell r="A87" t="str">
            <v>F62</v>
          </cell>
          <cell r="B87" t="str">
            <v>一般风险准备</v>
          </cell>
          <cell r="C87">
            <v>0</v>
          </cell>
          <cell r="D87">
            <v>0</v>
          </cell>
          <cell r="E87">
            <v>0</v>
          </cell>
          <cell r="F87">
            <v>0</v>
          </cell>
        </row>
        <row r="88">
          <cell r="A88" t="str">
            <v>F24</v>
          </cell>
          <cell r="B88" t="str">
            <v>未分配利润</v>
          </cell>
          <cell r="C88">
            <v>46181698.340000004</v>
          </cell>
          <cell r="D88">
            <v>5750674.6200000001</v>
          </cell>
          <cell r="E88">
            <v>289721.90000000002</v>
          </cell>
          <cell r="F88">
            <v>40720745.619999997</v>
          </cell>
        </row>
        <row r="89">
          <cell r="A89" t="str">
            <v>F25</v>
          </cell>
          <cell r="B89" t="str">
            <v>外币报表折算差额</v>
          </cell>
          <cell r="C89">
            <v>0</v>
          </cell>
          <cell r="D89">
            <v>0</v>
          </cell>
          <cell r="E89">
            <v>0</v>
          </cell>
          <cell r="F89">
            <v>0</v>
          </cell>
        </row>
        <row r="90">
          <cell r="A90" t="str">
            <v>F42</v>
          </cell>
          <cell r="B90" t="str">
            <v>归属于母公司所有者权益合计</v>
          </cell>
          <cell r="C90">
            <v>137691069.81999999</v>
          </cell>
          <cell r="D90">
            <v>5750674.6200000001</v>
          </cell>
          <cell r="E90">
            <v>295092.28999999998</v>
          </cell>
          <cell r="F90">
            <v>132235487.48999999</v>
          </cell>
        </row>
        <row r="91">
          <cell r="A91" t="str">
            <v>F26</v>
          </cell>
          <cell r="B91" t="str">
            <v>少数股东权益</v>
          </cell>
          <cell r="C91">
            <v>0</v>
          </cell>
          <cell r="D91">
            <v>0</v>
          </cell>
          <cell r="E91">
            <v>0</v>
          </cell>
          <cell r="F91">
            <v>0</v>
          </cell>
        </row>
        <row r="92">
          <cell r="A92" t="str">
            <v>F43</v>
          </cell>
          <cell r="B92" t="str">
            <v>股东权益合计</v>
          </cell>
          <cell r="C92">
            <v>137691069.81999999</v>
          </cell>
          <cell r="D92">
            <v>5750674.6200000001</v>
          </cell>
          <cell r="E92">
            <v>295092.28999999998</v>
          </cell>
          <cell r="F92">
            <v>132235487.48999999</v>
          </cell>
        </row>
        <row r="93">
          <cell r="A93" t="str">
            <v>F44</v>
          </cell>
          <cell r="B93" t="str">
            <v>负债和股东权益总计</v>
          </cell>
          <cell r="C93">
            <v>340665673.19</v>
          </cell>
          <cell r="D93">
            <v>9031841.2799999993</v>
          </cell>
          <cell r="E93">
            <v>10439825.43</v>
          </cell>
          <cell r="F93">
            <v>342073657.33999997</v>
          </cell>
        </row>
        <row r="94">
          <cell r="A94" t="str">
            <v>F27</v>
          </cell>
          <cell r="B94" t="str">
            <v xml:space="preserve">营业总收入 </v>
          </cell>
          <cell r="C94">
            <v>267041609.06999999</v>
          </cell>
          <cell r="D94">
            <v>0</v>
          </cell>
          <cell r="E94">
            <v>-14550368.74</v>
          </cell>
          <cell r="F94">
            <v>252491240.33000001</v>
          </cell>
        </row>
        <row r="95">
          <cell r="A95" t="str">
            <v>F28</v>
          </cell>
          <cell r="B95" t="str">
            <v xml:space="preserve">营业收入 </v>
          </cell>
          <cell r="C95">
            <v>267041609.06999999</v>
          </cell>
          <cell r="D95">
            <v>0</v>
          </cell>
          <cell r="E95">
            <v>-14550368.74</v>
          </cell>
          <cell r="F95">
            <v>252491240.33000001</v>
          </cell>
        </row>
        <row r="96">
          <cell r="A96" t="str">
            <v>F29</v>
          </cell>
          <cell r="B96" t="str">
            <v xml:space="preserve">利息收入 </v>
          </cell>
          <cell r="C96">
            <v>0</v>
          </cell>
          <cell r="D96">
            <v>0</v>
          </cell>
          <cell r="E96">
            <v>0</v>
          </cell>
          <cell r="F96">
            <v>0</v>
          </cell>
        </row>
        <row r="97">
          <cell r="A97" t="str">
            <v>F30</v>
          </cell>
          <cell r="B97" t="str">
            <v xml:space="preserve">已赚保费 </v>
          </cell>
          <cell r="C97">
            <v>0</v>
          </cell>
          <cell r="D97">
            <v>0</v>
          </cell>
          <cell r="E97">
            <v>0</v>
          </cell>
          <cell r="F97">
            <v>0</v>
          </cell>
        </row>
        <row r="98">
          <cell r="A98" t="str">
            <v>F31</v>
          </cell>
          <cell r="B98" t="str">
            <v xml:space="preserve">手续费及佣金收入 </v>
          </cell>
          <cell r="C98">
            <v>0</v>
          </cell>
          <cell r="D98">
            <v>0</v>
          </cell>
          <cell r="E98">
            <v>0</v>
          </cell>
          <cell r="F98">
            <v>0</v>
          </cell>
        </row>
        <row r="99">
          <cell r="A99" t="str">
            <v>Z29</v>
          </cell>
          <cell r="B99" t="str">
            <v xml:space="preserve">营业总成本 </v>
          </cell>
          <cell r="C99">
            <v>251713070.66</v>
          </cell>
          <cell r="D99">
            <v>6445779.4900000002</v>
          </cell>
          <cell r="E99">
            <v>13998573.560000001</v>
          </cell>
          <cell r="F99">
            <v>244160276.59</v>
          </cell>
        </row>
        <row r="100">
          <cell r="A100" t="str">
            <v>Z30</v>
          </cell>
          <cell r="B100" t="str">
            <v xml:space="preserve">营业成本 </v>
          </cell>
          <cell r="C100">
            <v>230624653.72</v>
          </cell>
          <cell r="D100">
            <v>1513557.87</v>
          </cell>
          <cell r="E100">
            <v>12629825.73</v>
          </cell>
          <cell r="F100">
            <v>219508385.86000001</v>
          </cell>
        </row>
        <row r="101">
          <cell r="A101" t="str">
            <v>Z31</v>
          </cell>
          <cell r="B101" t="str">
            <v xml:space="preserve">利息支出 </v>
          </cell>
          <cell r="C101">
            <v>0</v>
          </cell>
          <cell r="D101">
            <v>0</v>
          </cell>
          <cell r="E101">
            <v>0</v>
          </cell>
          <cell r="F101">
            <v>0</v>
          </cell>
        </row>
        <row r="102">
          <cell r="A102" t="str">
            <v>Z32</v>
          </cell>
          <cell r="B102" t="str">
            <v xml:space="preserve">手续费及佣金支出 </v>
          </cell>
          <cell r="C102">
            <v>0</v>
          </cell>
          <cell r="D102">
            <v>0</v>
          </cell>
          <cell r="E102">
            <v>0</v>
          </cell>
          <cell r="F102">
            <v>0</v>
          </cell>
        </row>
        <row r="103">
          <cell r="A103" t="str">
            <v>Z33</v>
          </cell>
          <cell r="B103" t="str">
            <v xml:space="preserve">退保金 </v>
          </cell>
          <cell r="C103">
            <v>0</v>
          </cell>
          <cell r="D103">
            <v>0</v>
          </cell>
          <cell r="E103">
            <v>0</v>
          </cell>
          <cell r="F103">
            <v>0</v>
          </cell>
        </row>
        <row r="104">
          <cell r="A104" t="str">
            <v>Z34</v>
          </cell>
          <cell r="B104" t="str">
            <v xml:space="preserve">赔付支出净额 </v>
          </cell>
          <cell r="C104">
            <v>0</v>
          </cell>
          <cell r="D104">
            <v>0</v>
          </cell>
          <cell r="E104">
            <v>0</v>
          </cell>
          <cell r="F104">
            <v>0</v>
          </cell>
        </row>
        <row r="105">
          <cell r="A105" t="str">
            <v>Z35</v>
          </cell>
          <cell r="B105" t="str">
            <v xml:space="preserve">提取保险合同准备金净额 </v>
          </cell>
          <cell r="C105">
            <v>0</v>
          </cell>
          <cell r="D105">
            <v>0</v>
          </cell>
          <cell r="E105">
            <v>0</v>
          </cell>
          <cell r="F105">
            <v>0</v>
          </cell>
        </row>
        <row r="106">
          <cell r="A106" t="str">
            <v>Z36</v>
          </cell>
          <cell r="B106" t="str">
            <v xml:space="preserve">保单红利支出 </v>
          </cell>
          <cell r="C106">
            <v>0</v>
          </cell>
          <cell r="D106">
            <v>0</v>
          </cell>
          <cell r="E106">
            <v>0</v>
          </cell>
          <cell r="F106">
            <v>0</v>
          </cell>
        </row>
        <row r="107">
          <cell r="A107" t="str">
            <v>Z37</v>
          </cell>
          <cell r="B107" t="str">
            <v xml:space="preserve">分保费用 </v>
          </cell>
          <cell r="C107">
            <v>0</v>
          </cell>
          <cell r="D107">
            <v>0</v>
          </cell>
          <cell r="E107">
            <v>0</v>
          </cell>
          <cell r="F107">
            <v>0</v>
          </cell>
        </row>
        <row r="108">
          <cell r="A108" t="str">
            <v>Z38</v>
          </cell>
          <cell r="B108" t="str">
            <v xml:space="preserve">营业税金及附加 </v>
          </cell>
          <cell r="C108">
            <v>702490.95</v>
          </cell>
          <cell r="D108">
            <v>0</v>
          </cell>
          <cell r="E108">
            <v>0</v>
          </cell>
          <cell r="F108">
            <v>702490.95</v>
          </cell>
        </row>
        <row r="109">
          <cell r="A109" t="str">
            <v>Z39</v>
          </cell>
          <cell r="B109" t="str">
            <v xml:space="preserve">销售费用 </v>
          </cell>
          <cell r="C109">
            <v>5352792.22</v>
          </cell>
          <cell r="D109">
            <v>0</v>
          </cell>
          <cell r="E109">
            <v>0</v>
          </cell>
          <cell r="F109">
            <v>5352792.22</v>
          </cell>
        </row>
        <row r="110">
          <cell r="A110" t="str">
            <v>Z40</v>
          </cell>
          <cell r="B110" t="str">
            <v xml:space="preserve">管理费用 </v>
          </cell>
          <cell r="C110">
            <v>10926172.619999999</v>
          </cell>
          <cell r="D110">
            <v>1718088.82</v>
          </cell>
          <cell r="E110">
            <v>5233.32</v>
          </cell>
          <cell r="F110">
            <v>12639028.119999999</v>
          </cell>
        </row>
        <row r="111">
          <cell r="A111" t="str">
            <v>Z41</v>
          </cell>
          <cell r="B111" t="str">
            <v>财务费用</v>
          </cell>
          <cell r="C111">
            <v>4106961.15</v>
          </cell>
          <cell r="D111">
            <v>408771.09</v>
          </cell>
          <cell r="E111">
            <v>1600</v>
          </cell>
          <cell r="F111">
            <v>4514132.24</v>
          </cell>
        </row>
        <row r="112">
          <cell r="A112" t="str">
            <v>Z42</v>
          </cell>
          <cell r="B112" t="str">
            <v xml:space="preserve">资产减值损失 </v>
          </cell>
          <cell r="C112">
            <v>0</v>
          </cell>
          <cell r="D112">
            <v>2805361.71</v>
          </cell>
          <cell r="E112">
            <v>1361914.51</v>
          </cell>
          <cell r="F112">
            <v>1443447.2</v>
          </cell>
        </row>
        <row r="113">
          <cell r="A113" t="str">
            <v>F32</v>
          </cell>
          <cell r="B113" t="str">
            <v>公允价值变动收益</v>
          </cell>
          <cell r="C113">
            <v>0</v>
          </cell>
          <cell r="D113">
            <v>0</v>
          </cell>
          <cell r="E113">
            <v>0</v>
          </cell>
          <cell r="F113">
            <v>0</v>
          </cell>
        </row>
        <row r="114">
          <cell r="A114" t="str">
            <v>F33</v>
          </cell>
          <cell r="B114" t="str">
            <v>投资收益</v>
          </cell>
          <cell r="C114">
            <v>0</v>
          </cell>
          <cell r="D114">
            <v>0</v>
          </cell>
          <cell r="E114">
            <v>0</v>
          </cell>
          <cell r="F114">
            <v>0</v>
          </cell>
        </row>
        <row r="115">
          <cell r="A115" t="str">
            <v>F3302</v>
          </cell>
          <cell r="B115" t="str">
            <v xml:space="preserve">对联营企业和合营企业的投资收益 </v>
          </cell>
          <cell r="C115">
            <v>0</v>
          </cell>
          <cell r="D115">
            <v>0</v>
          </cell>
          <cell r="E115">
            <v>0</v>
          </cell>
          <cell r="F115">
            <v>0</v>
          </cell>
        </row>
        <row r="116">
          <cell r="A116" t="str">
            <v>F35</v>
          </cell>
          <cell r="B116" t="str">
            <v>汇兑收益</v>
          </cell>
          <cell r="C116">
            <v>0</v>
          </cell>
          <cell r="D116">
            <v>0</v>
          </cell>
          <cell r="E116">
            <v>0</v>
          </cell>
          <cell r="F116">
            <v>0</v>
          </cell>
        </row>
        <row r="117">
          <cell r="A117" t="str">
            <v>F36</v>
          </cell>
          <cell r="B117" t="str">
            <v xml:space="preserve">三、营业利润（亏损以“－”号填列） </v>
          </cell>
          <cell r="C117">
            <v>15328538.41</v>
          </cell>
          <cell r="D117">
            <v>6445779.4900000002</v>
          </cell>
          <cell r="E117">
            <v>-551795.18000000005</v>
          </cell>
          <cell r="F117">
            <v>8330963.7400000002</v>
          </cell>
        </row>
        <row r="118">
          <cell r="A118" t="str">
            <v>F37</v>
          </cell>
          <cell r="B118" t="str">
            <v>营业外收入</v>
          </cell>
          <cell r="C118">
            <v>1020161.99</v>
          </cell>
          <cell r="D118">
            <v>0</v>
          </cell>
          <cell r="E118">
            <v>625000</v>
          </cell>
          <cell r="F118">
            <v>1645161.99</v>
          </cell>
        </row>
        <row r="119">
          <cell r="A119" t="str">
            <v>Z43</v>
          </cell>
          <cell r="B119" t="str">
            <v xml:space="preserve">营业外支出 </v>
          </cell>
          <cell r="C119">
            <v>0</v>
          </cell>
          <cell r="D119">
            <v>0</v>
          </cell>
          <cell r="E119">
            <v>0</v>
          </cell>
          <cell r="F119">
            <v>0</v>
          </cell>
        </row>
        <row r="120">
          <cell r="A120" t="str">
            <v>Z44</v>
          </cell>
          <cell r="B120" t="str">
            <v xml:space="preserve">非流动资产处置损失 </v>
          </cell>
          <cell r="C120">
            <v>0</v>
          </cell>
          <cell r="D120">
            <v>0</v>
          </cell>
          <cell r="E120">
            <v>0</v>
          </cell>
          <cell r="F120">
            <v>0</v>
          </cell>
        </row>
        <row r="121">
          <cell r="A121" t="str">
            <v>F38</v>
          </cell>
          <cell r="B121" t="str">
            <v xml:space="preserve">四、利润总额（亏损总额以“－”号填列） </v>
          </cell>
          <cell r="C121">
            <v>16348700.4</v>
          </cell>
          <cell r="D121">
            <v>6445779.4900000002</v>
          </cell>
          <cell r="E121">
            <v>73204.820000000007</v>
          </cell>
          <cell r="F121">
            <v>9976125.7300000004</v>
          </cell>
        </row>
        <row r="122">
          <cell r="A122" t="str">
            <v>Z45</v>
          </cell>
          <cell r="B122" t="str">
            <v xml:space="preserve">所得税费用 </v>
          </cell>
          <cell r="C122">
            <v>2452305.06</v>
          </cell>
          <cell r="D122">
            <v>-700475.26</v>
          </cell>
          <cell r="E122">
            <v>216517.08</v>
          </cell>
          <cell r="F122">
            <v>1535312.72</v>
          </cell>
        </row>
        <row r="123">
          <cell r="A123" t="str">
            <v>Z46</v>
          </cell>
          <cell r="B123" t="str">
            <v xml:space="preserve">五、净利润（净亏损以“－”号填列） </v>
          </cell>
          <cell r="C123">
            <v>13896395.34</v>
          </cell>
          <cell r="D123">
            <v>5745304.2300000004</v>
          </cell>
          <cell r="E123">
            <v>289721.90000000002</v>
          </cell>
          <cell r="F123">
            <v>8440813.0099999998</v>
          </cell>
        </row>
        <row r="124">
          <cell r="A124" t="str">
            <v>Z47</v>
          </cell>
          <cell r="B124" t="str">
            <v xml:space="preserve">归属于母公司所有者的净利润 </v>
          </cell>
          <cell r="C124">
            <v>0</v>
          </cell>
          <cell r="D124">
            <v>5745304.2300000004</v>
          </cell>
          <cell r="E124">
            <v>289721.90000000002</v>
          </cell>
          <cell r="F124">
            <v>5455582.3300000001</v>
          </cell>
        </row>
        <row r="125">
          <cell r="A125" t="str">
            <v>Z48</v>
          </cell>
          <cell r="B125" t="str">
            <v xml:space="preserve">少数股东损益 </v>
          </cell>
          <cell r="C125">
            <v>0</v>
          </cell>
          <cell r="D125">
            <v>0</v>
          </cell>
          <cell r="E125">
            <v>0</v>
          </cell>
          <cell r="F125">
            <v>0</v>
          </cell>
        </row>
        <row r="126">
          <cell r="A126" t="str">
            <v>Z49</v>
          </cell>
          <cell r="B126" t="str">
            <v>被合并方在合并前实现的净利润</v>
          </cell>
          <cell r="C126">
            <v>0</v>
          </cell>
          <cell r="F126">
            <v>0</v>
          </cell>
        </row>
        <row r="127">
          <cell r="A127">
            <v>0</v>
          </cell>
          <cell r="B127" t="str">
            <v xml:space="preserve">六、每股收益： </v>
          </cell>
          <cell r="F127">
            <v>0</v>
          </cell>
        </row>
        <row r="128">
          <cell r="A128" t="str">
            <v>Z50</v>
          </cell>
          <cell r="B128" t="str">
            <v xml:space="preserve">（一）基本每股收益 </v>
          </cell>
          <cell r="C128">
            <v>0</v>
          </cell>
          <cell r="F128">
            <v>0</v>
          </cell>
        </row>
        <row r="129">
          <cell r="A129" t="str">
            <v>Z51</v>
          </cell>
          <cell r="B129" t="str">
            <v xml:space="preserve">（二）稀释每股收益 </v>
          </cell>
          <cell r="C129">
            <v>0</v>
          </cell>
          <cell r="F129">
            <v>0</v>
          </cell>
        </row>
        <row r="130">
          <cell r="A130">
            <v>0</v>
          </cell>
          <cell r="B130" t="str">
            <v>一、经营活动产生的现金流量：</v>
          </cell>
        </row>
        <row r="131">
          <cell r="A131" t="str">
            <v>C01</v>
          </cell>
          <cell r="B131" t="str">
            <v xml:space="preserve">销售商品、提供劳务收到的现金 </v>
          </cell>
          <cell r="C131">
            <v>196138534.59</v>
          </cell>
          <cell r="D131">
            <v>0</v>
          </cell>
          <cell r="E131">
            <v>0</v>
          </cell>
          <cell r="F131">
            <v>196138534.59</v>
          </cell>
        </row>
        <row r="132">
          <cell r="A132" t="str">
            <v>C02</v>
          </cell>
          <cell r="B132" t="str">
            <v xml:space="preserve">客户存款和同业存放款项净增加额 </v>
          </cell>
          <cell r="D132">
            <v>0</v>
          </cell>
          <cell r="E132">
            <v>0</v>
          </cell>
          <cell r="F132">
            <v>0</v>
          </cell>
        </row>
        <row r="133">
          <cell r="A133" t="str">
            <v>C03</v>
          </cell>
          <cell r="B133" t="str">
            <v xml:space="preserve">向中央银行借款净增加额 </v>
          </cell>
          <cell r="D133">
            <v>0</v>
          </cell>
          <cell r="E133">
            <v>0</v>
          </cell>
          <cell r="F133">
            <v>0</v>
          </cell>
        </row>
        <row r="134">
          <cell r="A134" t="str">
            <v>C04</v>
          </cell>
          <cell r="B134" t="str">
            <v xml:space="preserve">向其他金融机构拆入资金净增加额 </v>
          </cell>
          <cell r="D134">
            <v>0</v>
          </cell>
          <cell r="E134">
            <v>0</v>
          </cell>
          <cell r="F134">
            <v>0</v>
          </cell>
        </row>
        <row r="135">
          <cell r="A135" t="str">
            <v>C05</v>
          </cell>
          <cell r="B135" t="str">
            <v xml:space="preserve">收到原保险合同保费取得的现金 </v>
          </cell>
          <cell r="D135">
            <v>0</v>
          </cell>
          <cell r="E135">
            <v>0</v>
          </cell>
          <cell r="F135">
            <v>0</v>
          </cell>
        </row>
        <row r="136">
          <cell r="A136" t="str">
            <v>C06</v>
          </cell>
          <cell r="B136" t="str">
            <v xml:space="preserve">收到再保险业务现金净额 </v>
          </cell>
          <cell r="D136">
            <v>0</v>
          </cell>
          <cell r="E136">
            <v>0</v>
          </cell>
          <cell r="F136">
            <v>0</v>
          </cell>
        </row>
        <row r="137">
          <cell r="A137" t="str">
            <v>C07</v>
          </cell>
          <cell r="B137" t="str">
            <v xml:space="preserve">保户储金及投资款净增加额 </v>
          </cell>
          <cell r="D137">
            <v>0</v>
          </cell>
          <cell r="E137">
            <v>0</v>
          </cell>
          <cell r="F137">
            <v>0</v>
          </cell>
        </row>
        <row r="138">
          <cell r="A138" t="str">
            <v>C08</v>
          </cell>
          <cell r="B138" t="str">
            <v xml:space="preserve">处置交易性金融资产净增加额 </v>
          </cell>
          <cell r="D138">
            <v>0</v>
          </cell>
          <cell r="E138">
            <v>0</v>
          </cell>
          <cell r="F138">
            <v>0</v>
          </cell>
        </row>
        <row r="139">
          <cell r="A139" t="str">
            <v>C09</v>
          </cell>
          <cell r="B139" t="str">
            <v xml:space="preserve">收取利息、手续费及佣金的现金 </v>
          </cell>
          <cell r="D139">
            <v>0</v>
          </cell>
          <cell r="E139">
            <v>0</v>
          </cell>
          <cell r="F139">
            <v>0</v>
          </cell>
        </row>
        <row r="140">
          <cell r="A140" t="str">
            <v>C10</v>
          </cell>
          <cell r="B140" t="str">
            <v xml:space="preserve">拆入资金净增加额 </v>
          </cell>
          <cell r="D140">
            <v>0</v>
          </cell>
          <cell r="E140">
            <v>0</v>
          </cell>
          <cell r="F140">
            <v>0</v>
          </cell>
        </row>
        <row r="141">
          <cell r="A141" t="str">
            <v>C11</v>
          </cell>
          <cell r="B141" t="str">
            <v xml:space="preserve">回购业务资金净增加额 </v>
          </cell>
          <cell r="D141">
            <v>0</v>
          </cell>
          <cell r="E141">
            <v>0</v>
          </cell>
          <cell r="F141">
            <v>0</v>
          </cell>
        </row>
        <row r="142">
          <cell r="A142" t="str">
            <v>C12</v>
          </cell>
          <cell r="B142" t="str">
            <v xml:space="preserve">收到的税费返还 </v>
          </cell>
          <cell r="C142">
            <v>0</v>
          </cell>
          <cell r="D142">
            <v>0</v>
          </cell>
          <cell r="E142">
            <v>0</v>
          </cell>
          <cell r="F142">
            <v>0</v>
          </cell>
        </row>
        <row r="143">
          <cell r="A143" t="str">
            <v>C13</v>
          </cell>
          <cell r="B143" t="str">
            <v xml:space="preserve">收到其他与经营活动有关的现金 </v>
          </cell>
          <cell r="C143">
            <v>24147715.350000001</v>
          </cell>
          <cell r="D143">
            <v>0</v>
          </cell>
          <cell r="E143">
            <v>0</v>
          </cell>
          <cell r="F143">
            <v>24147715.350000001</v>
          </cell>
        </row>
        <row r="144">
          <cell r="A144">
            <v>0</v>
          </cell>
          <cell r="B144" t="str">
            <v xml:space="preserve">经营活动现金流入小计 </v>
          </cell>
          <cell r="C144">
            <v>220286249.94</v>
          </cell>
          <cell r="D144">
            <v>0</v>
          </cell>
          <cell r="E144">
            <v>0</v>
          </cell>
          <cell r="F144">
            <v>220286249.94</v>
          </cell>
        </row>
        <row r="145">
          <cell r="A145" t="str">
            <v>C14</v>
          </cell>
          <cell r="B145" t="str">
            <v xml:space="preserve">购买商品、接受劳务支付的现金 </v>
          </cell>
          <cell r="C145">
            <v>237188102.84</v>
          </cell>
          <cell r="D145">
            <v>0</v>
          </cell>
          <cell r="E145">
            <v>0</v>
          </cell>
          <cell r="F145">
            <v>237188102.84</v>
          </cell>
        </row>
        <row r="146">
          <cell r="A146" t="str">
            <v>C15</v>
          </cell>
          <cell r="B146" t="str">
            <v xml:space="preserve">客户贷款及垫款净增加额 </v>
          </cell>
          <cell r="D146">
            <v>0</v>
          </cell>
          <cell r="E146">
            <v>0</v>
          </cell>
          <cell r="F146">
            <v>0</v>
          </cell>
        </row>
        <row r="147">
          <cell r="A147" t="str">
            <v>C16</v>
          </cell>
          <cell r="B147" t="str">
            <v xml:space="preserve">存放中央银行和同业款项净增加额 </v>
          </cell>
          <cell r="D147">
            <v>0</v>
          </cell>
          <cell r="E147">
            <v>0</v>
          </cell>
          <cell r="F147">
            <v>0</v>
          </cell>
        </row>
        <row r="148">
          <cell r="A148" t="str">
            <v>C17</v>
          </cell>
          <cell r="B148" t="str">
            <v xml:space="preserve">支付原保险合同赔付款项的现金 </v>
          </cell>
          <cell r="D148">
            <v>0</v>
          </cell>
          <cell r="E148">
            <v>0</v>
          </cell>
          <cell r="F148">
            <v>0</v>
          </cell>
        </row>
        <row r="149">
          <cell r="A149" t="str">
            <v>C18</v>
          </cell>
          <cell r="B149" t="str">
            <v xml:space="preserve">支付利息、手续费及佣金的现金 </v>
          </cell>
          <cell r="D149">
            <v>0</v>
          </cell>
          <cell r="E149">
            <v>0</v>
          </cell>
          <cell r="F149">
            <v>0</v>
          </cell>
        </row>
        <row r="150">
          <cell r="A150" t="str">
            <v>C19</v>
          </cell>
          <cell r="B150" t="str">
            <v xml:space="preserve">支付保单红利的现金 </v>
          </cell>
          <cell r="D150">
            <v>0</v>
          </cell>
          <cell r="E150">
            <v>0</v>
          </cell>
          <cell r="F150">
            <v>0</v>
          </cell>
        </row>
        <row r="151">
          <cell r="A151" t="str">
            <v>C20</v>
          </cell>
          <cell r="B151" t="str">
            <v xml:space="preserve">支付给职工以及为职工支付的现金 </v>
          </cell>
          <cell r="C151">
            <v>1753915.5</v>
          </cell>
          <cell r="D151">
            <v>0</v>
          </cell>
          <cell r="E151">
            <v>0</v>
          </cell>
          <cell r="F151">
            <v>1753915.5</v>
          </cell>
        </row>
        <row r="152">
          <cell r="A152" t="str">
            <v>C21</v>
          </cell>
          <cell r="B152" t="str">
            <v xml:space="preserve">支付的各项税费 </v>
          </cell>
          <cell r="C152">
            <v>3066718.91</v>
          </cell>
          <cell r="D152">
            <v>0</v>
          </cell>
          <cell r="E152">
            <v>0</v>
          </cell>
          <cell r="F152">
            <v>3066718.91</v>
          </cell>
        </row>
        <row r="153">
          <cell r="A153" t="str">
            <v>C22</v>
          </cell>
          <cell r="B153" t="str">
            <v xml:space="preserve">支付其他与经营活动有关的现金 </v>
          </cell>
          <cell r="C153">
            <v>22505952.579999998</v>
          </cell>
          <cell r="D153">
            <v>0</v>
          </cell>
          <cell r="E153">
            <v>0</v>
          </cell>
          <cell r="F153">
            <v>22505952.579999998</v>
          </cell>
        </row>
        <row r="154">
          <cell r="A154">
            <v>0</v>
          </cell>
          <cell r="B154" t="str">
            <v xml:space="preserve">经营活动现金流出小计 </v>
          </cell>
          <cell r="C154">
            <v>264514689.83000001</v>
          </cell>
          <cell r="D154">
            <v>0</v>
          </cell>
          <cell r="E154">
            <v>0</v>
          </cell>
          <cell r="F154">
            <v>264514689.83000001</v>
          </cell>
        </row>
        <row r="155">
          <cell r="A155">
            <v>0</v>
          </cell>
          <cell r="B155" t="str">
            <v xml:space="preserve">经营活动产生的现金流量净额 </v>
          </cell>
          <cell r="C155">
            <v>-44228439.890000001</v>
          </cell>
          <cell r="D155">
            <v>0</v>
          </cell>
          <cell r="E155">
            <v>0</v>
          </cell>
          <cell r="F155">
            <v>-44228439.890000001</v>
          </cell>
        </row>
        <row r="156">
          <cell r="A156">
            <v>0</v>
          </cell>
          <cell r="B156" t="str">
            <v>二、投资活动产生的现金流量：</v>
          </cell>
          <cell r="F156">
            <v>0</v>
          </cell>
        </row>
        <row r="157">
          <cell r="A157" t="str">
            <v>C23</v>
          </cell>
          <cell r="B157" t="str">
            <v xml:space="preserve">收回投资收到的现金 </v>
          </cell>
          <cell r="C157">
            <v>0</v>
          </cell>
          <cell r="D157">
            <v>0</v>
          </cell>
          <cell r="E157">
            <v>0</v>
          </cell>
          <cell r="F157">
            <v>0</v>
          </cell>
        </row>
        <row r="158">
          <cell r="A158" t="str">
            <v>C24</v>
          </cell>
          <cell r="B158" t="str">
            <v xml:space="preserve">取得投资收益收到的现金 </v>
          </cell>
          <cell r="C158">
            <v>0</v>
          </cell>
          <cell r="D158">
            <v>0</v>
          </cell>
          <cell r="E158">
            <v>0</v>
          </cell>
          <cell r="F158">
            <v>0</v>
          </cell>
        </row>
        <row r="159">
          <cell r="A159" t="str">
            <v>C25</v>
          </cell>
          <cell r="B159" t="str">
            <v xml:space="preserve">处置固定资产、无形资产和其他长期资产收回的现金净额 </v>
          </cell>
          <cell r="C159">
            <v>0</v>
          </cell>
          <cell r="D159">
            <v>0</v>
          </cell>
          <cell r="E159">
            <v>0</v>
          </cell>
          <cell r="F159">
            <v>0</v>
          </cell>
        </row>
        <row r="160">
          <cell r="A160" t="str">
            <v>C26</v>
          </cell>
          <cell r="B160" t="str">
            <v xml:space="preserve">处置子公司及其他营业单位收到的现金净额 </v>
          </cell>
          <cell r="C160">
            <v>0</v>
          </cell>
          <cell r="D160">
            <v>0</v>
          </cell>
          <cell r="E160">
            <v>0</v>
          </cell>
          <cell r="F160">
            <v>0</v>
          </cell>
        </row>
        <row r="161">
          <cell r="A161" t="str">
            <v>C27</v>
          </cell>
          <cell r="B161" t="str">
            <v xml:space="preserve">收到其他与投资活动有关的现金 </v>
          </cell>
          <cell r="C161">
            <v>0</v>
          </cell>
          <cell r="D161">
            <v>0</v>
          </cell>
          <cell r="E161">
            <v>0</v>
          </cell>
          <cell r="F161">
            <v>0</v>
          </cell>
        </row>
        <row r="162">
          <cell r="A162">
            <v>0</v>
          </cell>
          <cell r="B162" t="str">
            <v xml:space="preserve">﻿投资活动现金流入小计 </v>
          </cell>
          <cell r="C162">
            <v>0</v>
          </cell>
          <cell r="D162">
            <v>0</v>
          </cell>
          <cell r="E162">
            <v>0</v>
          </cell>
          <cell r="F162">
            <v>0</v>
          </cell>
        </row>
        <row r="163">
          <cell r="A163" t="str">
            <v>C28</v>
          </cell>
          <cell r="B163" t="str">
            <v xml:space="preserve">购建固定资产、无形资产和其他长期资产支付的现金 </v>
          </cell>
          <cell r="C163">
            <v>13784642.630000001</v>
          </cell>
          <cell r="D163">
            <v>0</v>
          </cell>
          <cell r="E163">
            <v>0</v>
          </cell>
          <cell r="F163">
            <v>13784642.630000001</v>
          </cell>
        </row>
        <row r="164">
          <cell r="A164" t="str">
            <v>C29</v>
          </cell>
          <cell r="B164" t="str">
            <v xml:space="preserve">投资支付的现金 </v>
          </cell>
          <cell r="C164">
            <v>0</v>
          </cell>
          <cell r="D164">
            <v>0</v>
          </cell>
          <cell r="E164">
            <v>0</v>
          </cell>
          <cell r="F164">
            <v>0</v>
          </cell>
        </row>
        <row r="165">
          <cell r="A165" t="str">
            <v>C30</v>
          </cell>
          <cell r="B165" t="str">
            <v xml:space="preserve">质押贷款净增加额 </v>
          </cell>
          <cell r="D165">
            <v>0</v>
          </cell>
          <cell r="E165">
            <v>0</v>
          </cell>
          <cell r="F165">
            <v>0</v>
          </cell>
        </row>
        <row r="166">
          <cell r="A166" t="str">
            <v>C31</v>
          </cell>
          <cell r="B166" t="str">
            <v xml:space="preserve">取得子公司及其他营业单位支付的现金净额 </v>
          </cell>
          <cell r="C166">
            <v>0</v>
          </cell>
          <cell r="D166">
            <v>0</v>
          </cell>
          <cell r="E166">
            <v>0</v>
          </cell>
          <cell r="F166">
            <v>0</v>
          </cell>
        </row>
        <row r="167">
          <cell r="A167" t="str">
            <v>C32</v>
          </cell>
          <cell r="B167" t="str">
            <v xml:space="preserve">支付其他与投资活动有关的现金 </v>
          </cell>
          <cell r="C167">
            <v>0</v>
          </cell>
          <cell r="D167">
            <v>0</v>
          </cell>
          <cell r="E167">
            <v>0</v>
          </cell>
          <cell r="F167">
            <v>0</v>
          </cell>
        </row>
        <row r="168">
          <cell r="A168">
            <v>0</v>
          </cell>
          <cell r="B168" t="str">
            <v xml:space="preserve">投资活动现金流出小计 </v>
          </cell>
          <cell r="C168">
            <v>13784642.630000001</v>
          </cell>
          <cell r="D168">
            <v>0</v>
          </cell>
          <cell r="E168">
            <v>0</v>
          </cell>
          <cell r="F168">
            <v>13784642.630000001</v>
          </cell>
        </row>
        <row r="169">
          <cell r="A169">
            <v>0</v>
          </cell>
          <cell r="B169" t="str">
            <v xml:space="preserve">投资活动产生的现金流量净额 </v>
          </cell>
          <cell r="C169">
            <v>-13784642.630000001</v>
          </cell>
          <cell r="D169">
            <v>0</v>
          </cell>
          <cell r="E169">
            <v>0</v>
          </cell>
          <cell r="F169">
            <v>-13784642.630000001</v>
          </cell>
        </row>
        <row r="170">
          <cell r="A170">
            <v>0</v>
          </cell>
          <cell r="B170" t="str">
            <v>三、筹资活动产生的现金流量：</v>
          </cell>
          <cell r="F170">
            <v>0</v>
          </cell>
        </row>
        <row r="171">
          <cell r="A171" t="str">
            <v>C33</v>
          </cell>
          <cell r="B171" t="str">
            <v xml:space="preserve">吸收投资收到的现金 </v>
          </cell>
          <cell r="C171">
            <v>0</v>
          </cell>
          <cell r="D171">
            <v>0</v>
          </cell>
          <cell r="E171">
            <v>0</v>
          </cell>
          <cell r="F171">
            <v>0</v>
          </cell>
        </row>
        <row r="172">
          <cell r="A172" t="str">
            <v>C34</v>
          </cell>
          <cell r="B172" t="str">
            <v xml:space="preserve">其中：子公司吸收少数股东投资收到的现金 </v>
          </cell>
          <cell r="D172">
            <v>0</v>
          </cell>
          <cell r="E172">
            <v>0</v>
          </cell>
          <cell r="F172">
            <v>0</v>
          </cell>
        </row>
        <row r="173">
          <cell r="A173" t="str">
            <v>C35</v>
          </cell>
          <cell r="B173" t="str">
            <v xml:space="preserve">取得借款收到的现金 </v>
          </cell>
          <cell r="C173">
            <v>128000000</v>
          </cell>
          <cell r="D173">
            <v>0</v>
          </cell>
          <cell r="E173">
            <v>0</v>
          </cell>
          <cell r="F173">
            <v>128000000</v>
          </cell>
        </row>
        <row r="174">
          <cell r="A174" t="str">
            <v>C36</v>
          </cell>
          <cell r="B174" t="str">
            <v xml:space="preserve">发行债券收到的现金 </v>
          </cell>
          <cell r="D174">
            <v>0</v>
          </cell>
          <cell r="E174">
            <v>0</v>
          </cell>
          <cell r="F174">
            <v>0</v>
          </cell>
        </row>
        <row r="175">
          <cell r="A175" t="str">
            <v>C37</v>
          </cell>
          <cell r="B175" t="str">
            <v xml:space="preserve">收到其他与筹资活动有关的现金 </v>
          </cell>
          <cell r="C175">
            <v>0</v>
          </cell>
          <cell r="D175">
            <v>0</v>
          </cell>
          <cell r="E175">
            <v>0</v>
          </cell>
          <cell r="F175">
            <v>0</v>
          </cell>
        </row>
        <row r="176">
          <cell r="A176">
            <v>0</v>
          </cell>
          <cell r="B176" t="str">
            <v xml:space="preserve">筹资活动现金流入小计 </v>
          </cell>
          <cell r="C176">
            <v>128000000</v>
          </cell>
          <cell r="D176">
            <v>0</v>
          </cell>
          <cell r="E176">
            <v>0</v>
          </cell>
          <cell r="F176">
            <v>128000000</v>
          </cell>
        </row>
        <row r="177">
          <cell r="A177" t="str">
            <v>C39</v>
          </cell>
          <cell r="B177" t="str">
            <v xml:space="preserve">偿还债务支付的现金 </v>
          </cell>
          <cell r="C177">
            <v>97514649.959999993</v>
          </cell>
          <cell r="D177">
            <v>0</v>
          </cell>
          <cell r="E177">
            <v>0</v>
          </cell>
          <cell r="F177">
            <v>97514649.959999993</v>
          </cell>
        </row>
        <row r="178">
          <cell r="A178" t="str">
            <v>C40</v>
          </cell>
          <cell r="B178" t="str">
            <v xml:space="preserve">分配股利、利润或偿付利息支付的现金 </v>
          </cell>
          <cell r="C178">
            <v>-318290.42</v>
          </cell>
          <cell r="D178">
            <v>0</v>
          </cell>
          <cell r="E178">
            <v>0</v>
          </cell>
          <cell r="F178">
            <v>-318290.42</v>
          </cell>
        </row>
        <row r="179">
          <cell r="A179" t="str">
            <v>C41</v>
          </cell>
          <cell r="B179" t="str">
            <v xml:space="preserve">其中：子公司支付给少数股东的股利、利润 </v>
          </cell>
          <cell r="D179">
            <v>0</v>
          </cell>
          <cell r="E179">
            <v>0</v>
          </cell>
          <cell r="F179">
            <v>0</v>
          </cell>
        </row>
        <row r="180">
          <cell r="A180" t="str">
            <v>C42</v>
          </cell>
          <cell r="B180" t="str">
            <v xml:space="preserve">支付其他与筹资活动有关的现金 </v>
          </cell>
          <cell r="C180">
            <v>0</v>
          </cell>
          <cell r="D180">
            <v>0</v>
          </cell>
          <cell r="E180">
            <v>0</v>
          </cell>
          <cell r="F180">
            <v>0</v>
          </cell>
        </row>
        <row r="181">
          <cell r="A181">
            <v>0</v>
          </cell>
          <cell r="B181" t="str">
            <v xml:space="preserve">筹资活动现金流出小计 </v>
          </cell>
          <cell r="C181">
            <v>97196359.540000007</v>
          </cell>
          <cell r="D181">
            <v>0</v>
          </cell>
          <cell r="E181">
            <v>0</v>
          </cell>
          <cell r="F181">
            <v>97196359.540000007</v>
          </cell>
        </row>
        <row r="182">
          <cell r="A182">
            <v>0</v>
          </cell>
          <cell r="B182" t="str">
            <v xml:space="preserve">筹资活动产生的现金流量净额 </v>
          </cell>
          <cell r="C182">
            <v>30803640.460000001</v>
          </cell>
          <cell r="D182">
            <v>0</v>
          </cell>
          <cell r="E182">
            <v>0</v>
          </cell>
          <cell r="F182">
            <v>30803640.460000001</v>
          </cell>
        </row>
        <row r="183">
          <cell r="A183" t="str">
            <v>C45</v>
          </cell>
          <cell r="B183" t="str">
            <v>汇率变动对现金及现金等价物的影响</v>
          </cell>
          <cell r="C183">
            <v>0</v>
          </cell>
          <cell r="D183">
            <v>0</v>
          </cell>
          <cell r="E183">
            <v>0</v>
          </cell>
          <cell r="F183">
            <v>0</v>
          </cell>
        </row>
        <row r="184">
          <cell r="A184">
            <v>0</v>
          </cell>
          <cell r="B184" t="str">
            <v>五、现金及现金等价物净增加额</v>
          </cell>
          <cell r="C184">
            <v>-27209442.059999999</v>
          </cell>
          <cell r="D184">
            <v>0</v>
          </cell>
          <cell r="E184">
            <v>0</v>
          </cell>
          <cell r="F184">
            <v>-27209442.059999999</v>
          </cell>
        </row>
        <row r="185">
          <cell r="A185" t="str">
            <v>C46</v>
          </cell>
          <cell r="B185" t="str">
            <v xml:space="preserve">加：期初现金及现金等价物余额 </v>
          </cell>
          <cell r="C185">
            <v>0</v>
          </cell>
          <cell r="D185">
            <v>0</v>
          </cell>
          <cell r="E185">
            <v>0</v>
          </cell>
          <cell r="F185">
            <v>0</v>
          </cell>
        </row>
        <row r="186">
          <cell r="A186" t="str">
            <v>C47</v>
          </cell>
          <cell r="B186" t="str">
            <v>六、期末现金及现金等价物余额</v>
          </cell>
          <cell r="C186">
            <v>-27209442.059999999</v>
          </cell>
          <cell r="D186">
            <v>0</v>
          </cell>
          <cell r="E186">
            <v>0</v>
          </cell>
          <cell r="F186">
            <v>-27209442.059999999</v>
          </cell>
        </row>
        <row r="187">
          <cell r="A187">
            <v>0</v>
          </cell>
          <cell r="F187">
            <v>0</v>
          </cell>
        </row>
        <row r="188">
          <cell r="A188">
            <v>0</v>
          </cell>
          <cell r="B188">
            <v>0</v>
          </cell>
          <cell r="F188">
            <v>0</v>
          </cell>
        </row>
        <row r="189">
          <cell r="A189">
            <v>0</v>
          </cell>
          <cell r="B189" t="str">
            <v>补充资料</v>
          </cell>
          <cell r="F189">
            <v>0</v>
          </cell>
        </row>
        <row r="190">
          <cell r="A190">
            <v>0</v>
          </cell>
          <cell r="B190" t="str">
            <v>1．将净利润调节为经营活动现金流量：</v>
          </cell>
          <cell r="F190">
            <v>0</v>
          </cell>
        </row>
        <row r="191">
          <cell r="A191" t="str">
            <v>C48</v>
          </cell>
          <cell r="B191" t="str">
            <v>净利润</v>
          </cell>
          <cell r="C191">
            <v>8440813.0099999998</v>
          </cell>
          <cell r="D191">
            <v>0</v>
          </cell>
          <cell r="E191">
            <v>0</v>
          </cell>
          <cell r="F191">
            <v>8440813.0099999998</v>
          </cell>
        </row>
        <row r="192">
          <cell r="A192" t="str">
            <v>C49</v>
          </cell>
          <cell r="B192" t="str">
            <v xml:space="preserve">资产减值准备 </v>
          </cell>
          <cell r="C192">
            <v>1443447.2</v>
          </cell>
          <cell r="D192">
            <v>0</v>
          </cell>
          <cell r="E192">
            <v>0</v>
          </cell>
          <cell r="F192">
            <v>1443447.2</v>
          </cell>
        </row>
        <row r="193">
          <cell r="A193" t="str">
            <v>C50</v>
          </cell>
          <cell r="B193" t="str">
            <v xml:space="preserve">固定资产折旧、油气资产折耗、生产性生物资产折旧 </v>
          </cell>
          <cell r="C193">
            <v>0</v>
          </cell>
          <cell r="D193">
            <v>0</v>
          </cell>
          <cell r="E193">
            <v>0</v>
          </cell>
          <cell r="F193">
            <v>0</v>
          </cell>
        </row>
        <row r="194">
          <cell r="A194" t="str">
            <v>C51</v>
          </cell>
          <cell r="B194" t="str">
            <v xml:space="preserve">无形资产摊销 </v>
          </cell>
          <cell r="C194">
            <v>0</v>
          </cell>
          <cell r="D194">
            <v>0</v>
          </cell>
          <cell r="E194">
            <v>0</v>
          </cell>
          <cell r="F194">
            <v>0</v>
          </cell>
        </row>
        <row r="195">
          <cell r="A195" t="str">
            <v>C52</v>
          </cell>
          <cell r="B195" t="str">
            <v xml:space="preserve">长期待摊费用摊销 </v>
          </cell>
          <cell r="C195">
            <v>0</v>
          </cell>
          <cell r="D195">
            <v>0</v>
          </cell>
          <cell r="E195">
            <v>0</v>
          </cell>
          <cell r="F195">
            <v>0</v>
          </cell>
        </row>
        <row r="196">
          <cell r="A196" t="str">
            <v>C53</v>
          </cell>
          <cell r="B196" t="str">
            <v xml:space="preserve">处置固定资产、无形资产和其他长期资产的损失（收益以“－”号填列） </v>
          </cell>
          <cell r="C196">
            <v>0</v>
          </cell>
          <cell r="D196">
            <v>0</v>
          </cell>
          <cell r="E196">
            <v>0</v>
          </cell>
          <cell r="F196">
            <v>0</v>
          </cell>
        </row>
        <row r="197">
          <cell r="A197" t="str">
            <v>C54</v>
          </cell>
          <cell r="B197" t="str">
            <v xml:space="preserve">固定资产报废损失（收益以“－”号填﻿列） </v>
          </cell>
          <cell r="C197">
            <v>0</v>
          </cell>
          <cell r="D197">
            <v>0</v>
          </cell>
          <cell r="E197">
            <v>0</v>
          </cell>
          <cell r="F197">
            <v>0</v>
          </cell>
        </row>
        <row r="198">
          <cell r="A198" t="str">
            <v>C55</v>
          </cell>
          <cell r="B198" t="str">
            <v xml:space="preserve">公允价值变动损失（收益以“－”号填列） </v>
          </cell>
          <cell r="C198">
            <v>0</v>
          </cell>
          <cell r="D198">
            <v>0</v>
          </cell>
          <cell r="E198">
            <v>0</v>
          </cell>
          <cell r="F198">
            <v>0</v>
          </cell>
        </row>
        <row r="199">
          <cell r="A199" t="str">
            <v>C56</v>
          </cell>
          <cell r="B199" t="str">
            <v xml:space="preserve">财务费用（收益以“－”号填列） </v>
          </cell>
          <cell r="C199">
            <v>0</v>
          </cell>
          <cell r="D199">
            <v>0</v>
          </cell>
          <cell r="E199">
            <v>0</v>
          </cell>
          <cell r="F199">
            <v>0</v>
          </cell>
        </row>
        <row r="200">
          <cell r="A200" t="str">
            <v>C57</v>
          </cell>
          <cell r="B200" t="str">
            <v xml:space="preserve">投资损失（收益以“－”号填列） </v>
          </cell>
          <cell r="C200">
            <v>0</v>
          </cell>
          <cell r="D200">
            <v>0</v>
          </cell>
          <cell r="E200">
            <v>0</v>
          </cell>
          <cell r="F200">
            <v>0</v>
          </cell>
        </row>
        <row r="201">
          <cell r="A201" t="str">
            <v>C58</v>
          </cell>
          <cell r="B201" t="str">
            <v xml:space="preserve">递延所得税资产减少（增加以“－”号填列） </v>
          </cell>
          <cell r="C201">
            <v>-216517.08</v>
          </cell>
          <cell r="D201">
            <v>0</v>
          </cell>
          <cell r="E201">
            <v>0</v>
          </cell>
          <cell r="F201">
            <v>-216517.08</v>
          </cell>
        </row>
        <row r="202">
          <cell r="A202" t="str">
            <v>C59</v>
          </cell>
          <cell r="B202" t="str">
            <v xml:space="preserve">递延所得税负债增加（减少以“－”号填列） </v>
          </cell>
          <cell r="C202">
            <v>0</v>
          </cell>
          <cell r="D202">
            <v>0</v>
          </cell>
          <cell r="E202">
            <v>0</v>
          </cell>
          <cell r="F202">
            <v>0</v>
          </cell>
        </row>
        <row r="203">
          <cell r="A203" t="str">
            <v>C60</v>
          </cell>
          <cell r="B203" t="str">
            <v xml:space="preserve">存货的减少（增加以“－”号填列） </v>
          </cell>
          <cell r="C203">
            <v>-9780827.1799999997</v>
          </cell>
          <cell r="D203">
            <v>0</v>
          </cell>
          <cell r="E203">
            <v>0</v>
          </cell>
          <cell r="F203">
            <v>-9780827.1799999997</v>
          </cell>
        </row>
        <row r="204">
          <cell r="A204" t="str">
            <v>C61</v>
          </cell>
          <cell r="B204" t="str">
            <v xml:space="preserve">经营性应收项目的减少（增加以“－”号填列） </v>
          </cell>
          <cell r="C204">
            <v>-44178639.100000001</v>
          </cell>
          <cell r="D204">
            <v>0</v>
          </cell>
          <cell r="E204">
            <v>0</v>
          </cell>
          <cell r="F204">
            <v>-44178639.100000001</v>
          </cell>
        </row>
        <row r="205">
          <cell r="A205" t="str">
            <v>C62</v>
          </cell>
          <cell r="B205" t="str">
            <v xml:space="preserve">经营性应付项目的增加（减少以“－”号填列） </v>
          </cell>
          <cell r="C205">
            <v>503283.26</v>
          </cell>
          <cell r="D205">
            <v>0</v>
          </cell>
          <cell r="E205">
            <v>0</v>
          </cell>
          <cell r="F205">
            <v>503283.26</v>
          </cell>
        </row>
        <row r="206">
          <cell r="A206" t="str">
            <v>C63</v>
          </cell>
          <cell r="B206" t="str">
            <v xml:space="preserve">其他 </v>
          </cell>
          <cell r="C206">
            <v>0</v>
          </cell>
          <cell r="D206">
            <v>0</v>
          </cell>
          <cell r="E206">
            <v>0</v>
          </cell>
          <cell r="F206">
            <v>0</v>
          </cell>
        </row>
        <row r="207">
          <cell r="A207">
            <v>0</v>
          </cell>
          <cell r="B207" t="str">
            <v xml:space="preserve">经营活动产生的现金流量净额 </v>
          </cell>
          <cell r="C207">
            <v>-43788439.890000001</v>
          </cell>
          <cell r="D207">
            <v>0</v>
          </cell>
          <cell r="E207">
            <v>0</v>
          </cell>
          <cell r="F207">
            <v>-43788439.890000001</v>
          </cell>
        </row>
        <row r="208">
          <cell r="A208">
            <v>0</v>
          </cell>
          <cell r="B208" t="str">
            <v>2．不涉及现金收支的重大投资和筹资活动：</v>
          </cell>
        </row>
        <row r="209">
          <cell r="A209">
            <v>0</v>
          </cell>
          <cell r="B209" t="str">
            <v xml:space="preserve">债务转为资本 </v>
          </cell>
        </row>
        <row r="210">
          <cell r="A210">
            <v>0</v>
          </cell>
          <cell r="B210" t="str">
            <v xml:space="preserve">一年内到期的可转换公司债券 </v>
          </cell>
        </row>
        <row r="211">
          <cell r="A211">
            <v>0</v>
          </cell>
          <cell r="B211" t="str">
            <v xml:space="preserve">融资租入固定资产 </v>
          </cell>
        </row>
        <row r="212">
          <cell r="A212">
            <v>0</v>
          </cell>
          <cell r="B212" t="str">
            <v>3．现金及现金等价物净变动情况：</v>
          </cell>
        </row>
        <row r="213">
          <cell r="A213" t="str">
            <v>C68</v>
          </cell>
          <cell r="B213" t="str">
            <v xml:space="preserve">现金的期末余额 </v>
          </cell>
          <cell r="C213">
            <v>51101278</v>
          </cell>
          <cell r="D213">
            <v>0</v>
          </cell>
          <cell r="E213">
            <v>0</v>
          </cell>
          <cell r="F213">
            <v>51101278</v>
          </cell>
        </row>
        <row r="214">
          <cell r="A214" t="str">
            <v>C69</v>
          </cell>
          <cell r="B214" t="str">
            <v xml:space="preserve">现金的期初余额 </v>
          </cell>
          <cell r="C214">
            <v>90453150.980000004</v>
          </cell>
          <cell r="D214">
            <v>0</v>
          </cell>
          <cell r="E214">
            <v>0</v>
          </cell>
          <cell r="F214">
            <v>90453150.980000004</v>
          </cell>
        </row>
        <row r="215">
          <cell r="A215" t="str">
            <v>C70</v>
          </cell>
          <cell r="B215" t="str">
            <v xml:space="preserve">现金等价物的期末余额 </v>
          </cell>
          <cell r="C215">
            <v>0</v>
          </cell>
          <cell r="D215">
            <v>0</v>
          </cell>
          <cell r="E215">
            <v>0</v>
          </cell>
          <cell r="F215">
            <v>0</v>
          </cell>
        </row>
        <row r="216">
          <cell r="A216" t="str">
            <v>C71</v>
          </cell>
          <cell r="B216" t="str">
            <v xml:space="preserve">现金等价物的期初余额 </v>
          </cell>
          <cell r="C216">
            <v>0</v>
          </cell>
          <cell r="D216">
            <v>0</v>
          </cell>
          <cell r="E216">
            <v>0</v>
          </cell>
          <cell r="F216">
            <v>0</v>
          </cell>
        </row>
        <row r="217">
          <cell r="A217">
            <v>0</v>
          </cell>
          <cell r="B217" t="str">
            <v xml:space="preserve">现金及现金等价物净增加额 </v>
          </cell>
          <cell r="C217">
            <v>-39351872.979999997</v>
          </cell>
          <cell r="D217">
            <v>0</v>
          </cell>
          <cell r="E217">
            <v>0</v>
          </cell>
          <cell r="F217">
            <v>-39351872.979999997</v>
          </cell>
        </row>
        <row r="218">
          <cell r="A218">
            <v>0</v>
          </cell>
          <cell r="B218" t="str">
            <v>实收资本</v>
          </cell>
          <cell r="D218">
            <v>0</v>
          </cell>
          <cell r="E218">
            <v>0</v>
          </cell>
          <cell r="F218">
            <v>0</v>
          </cell>
        </row>
        <row r="219">
          <cell r="A219" t="str">
            <v>F2006</v>
          </cell>
          <cell r="B219" t="str">
            <v>一、上年年末余额</v>
          </cell>
          <cell r="C219">
            <v>0</v>
          </cell>
          <cell r="D219">
            <v>0</v>
          </cell>
          <cell r="E219">
            <v>0</v>
          </cell>
          <cell r="F219">
            <v>0</v>
          </cell>
        </row>
        <row r="220">
          <cell r="A220" t="str">
            <v>F2007</v>
          </cell>
          <cell r="B220" t="str">
            <v>会计政策变更</v>
          </cell>
          <cell r="C220">
            <v>0</v>
          </cell>
          <cell r="D220">
            <v>0</v>
          </cell>
          <cell r="E220">
            <v>0</v>
          </cell>
          <cell r="F220">
            <v>0</v>
          </cell>
        </row>
        <row r="221">
          <cell r="A221" t="str">
            <v>F2008</v>
          </cell>
          <cell r="B221" t="str">
            <v>前期差错更正</v>
          </cell>
          <cell r="C221">
            <v>0</v>
          </cell>
          <cell r="D221">
            <v>0</v>
          </cell>
          <cell r="E221">
            <v>0</v>
          </cell>
          <cell r="F221">
            <v>0</v>
          </cell>
        </row>
        <row r="222">
          <cell r="B222" t="str">
            <v>二、本年年初余额</v>
          </cell>
          <cell r="C222">
            <v>0</v>
          </cell>
          <cell r="D222">
            <v>0</v>
          </cell>
          <cell r="E222">
            <v>0</v>
          </cell>
          <cell r="F222">
            <v>0</v>
          </cell>
        </row>
        <row r="223">
          <cell r="B223" t="str">
            <v>三、本年增减变动金额（减少以“-”号填列）</v>
          </cell>
          <cell r="C223">
            <v>0</v>
          </cell>
          <cell r="D223">
            <v>0</v>
          </cell>
          <cell r="E223">
            <v>0</v>
          </cell>
          <cell r="F223">
            <v>0</v>
          </cell>
        </row>
        <row r="224">
          <cell r="B224" t="str">
            <v>（一）净利润</v>
          </cell>
          <cell r="C224">
            <v>0</v>
          </cell>
          <cell r="F224">
            <v>0</v>
          </cell>
        </row>
        <row r="225">
          <cell r="B225" t="str">
            <v>（二）直接计入所有者权益的利得和损失</v>
          </cell>
          <cell r="C225">
            <v>0</v>
          </cell>
          <cell r="D225">
            <v>0</v>
          </cell>
          <cell r="E225">
            <v>0</v>
          </cell>
          <cell r="F225">
            <v>0</v>
          </cell>
        </row>
        <row r="226">
          <cell r="B226" t="str">
            <v>可供出售金融资产公允价值变动净额</v>
          </cell>
          <cell r="C226">
            <v>0</v>
          </cell>
          <cell r="F226">
            <v>0</v>
          </cell>
        </row>
        <row r="227">
          <cell r="B227" t="str">
            <v>权益法下被投资单位其他所有者权益变动的影响</v>
          </cell>
          <cell r="C227">
            <v>0</v>
          </cell>
          <cell r="F227">
            <v>0</v>
          </cell>
        </row>
        <row r="228">
          <cell r="B228" t="str">
            <v>与计入所有者权益项目相关的所得税影响</v>
          </cell>
          <cell r="C228">
            <v>0</v>
          </cell>
          <cell r="F228">
            <v>0</v>
          </cell>
        </row>
        <row r="229">
          <cell r="B229" t="str">
            <v>其他</v>
          </cell>
          <cell r="C229">
            <v>0</v>
          </cell>
          <cell r="F229">
            <v>0</v>
          </cell>
        </row>
        <row r="230">
          <cell r="B230" t="str">
            <v>上述（一）和（二）小计</v>
          </cell>
          <cell r="C230">
            <v>0</v>
          </cell>
          <cell r="D230">
            <v>0</v>
          </cell>
          <cell r="E230">
            <v>0</v>
          </cell>
          <cell r="F230">
            <v>0</v>
          </cell>
        </row>
        <row r="231">
          <cell r="B231" t="str">
            <v>（三）所有者投入和减少资本</v>
          </cell>
          <cell r="C231">
            <v>0</v>
          </cell>
          <cell r="D231">
            <v>0</v>
          </cell>
          <cell r="E231">
            <v>0</v>
          </cell>
          <cell r="F231">
            <v>0</v>
          </cell>
        </row>
        <row r="232">
          <cell r="A232" t="str">
            <v>F2001</v>
          </cell>
          <cell r="B232" t="str">
            <v>所有者投入资本</v>
          </cell>
          <cell r="C232">
            <v>0</v>
          </cell>
          <cell r="D232">
            <v>0</v>
          </cell>
          <cell r="E232">
            <v>0</v>
          </cell>
          <cell r="F232">
            <v>0</v>
          </cell>
        </row>
        <row r="233">
          <cell r="A233" t="str">
            <v>F2002</v>
          </cell>
          <cell r="B233" t="str">
            <v>股份支付计入所有者权益的金额</v>
          </cell>
          <cell r="C233">
            <v>0</v>
          </cell>
          <cell r="D233">
            <v>0</v>
          </cell>
          <cell r="E233">
            <v>0</v>
          </cell>
          <cell r="F233">
            <v>0</v>
          </cell>
        </row>
        <row r="234">
          <cell r="A234" t="str">
            <v>F2005</v>
          </cell>
          <cell r="B234" t="str">
            <v>其他</v>
          </cell>
          <cell r="C234">
            <v>0</v>
          </cell>
          <cell r="D234">
            <v>0</v>
          </cell>
          <cell r="E234">
            <v>0</v>
          </cell>
          <cell r="F234">
            <v>0</v>
          </cell>
        </row>
        <row r="235">
          <cell r="B235" t="str">
            <v>（四）利润分配</v>
          </cell>
          <cell r="C235">
            <v>0</v>
          </cell>
          <cell r="D235">
            <v>0</v>
          </cell>
          <cell r="E235">
            <v>0</v>
          </cell>
          <cell r="F235">
            <v>0</v>
          </cell>
        </row>
        <row r="236">
          <cell r="B236" t="str">
            <v xml:space="preserve">提取盈余公积 </v>
          </cell>
          <cell r="C236">
            <v>0</v>
          </cell>
          <cell r="F236">
            <v>0</v>
          </cell>
        </row>
        <row r="237">
          <cell r="B237" t="str">
            <v>提取一般风险准备</v>
          </cell>
          <cell r="C237">
            <v>0</v>
          </cell>
          <cell r="F237">
            <v>0</v>
          </cell>
        </row>
        <row r="238">
          <cell r="B238" t="str">
            <v>对所有者（或股东）的分配</v>
          </cell>
          <cell r="C238">
            <v>0</v>
          </cell>
          <cell r="F238">
            <v>0</v>
          </cell>
        </row>
        <row r="239">
          <cell r="B239" t="str">
            <v>其他</v>
          </cell>
          <cell r="C239">
            <v>0</v>
          </cell>
          <cell r="F239">
            <v>0</v>
          </cell>
        </row>
        <row r="240">
          <cell r="B240" t="str">
            <v>（五）所有者权益内部结转</v>
          </cell>
          <cell r="C240">
            <v>0</v>
          </cell>
          <cell r="D240">
            <v>0</v>
          </cell>
          <cell r="E240">
            <v>0</v>
          </cell>
          <cell r="F240">
            <v>0</v>
          </cell>
        </row>
        <row r="241">
          <cell r="A241" t="str">
            <v>F2003</v>
          </cell>
          <cell r="B241" t="str">
            <v>资本公积转增资本</v>
          </cell>
          <cell r="C241">
            <v>0</v>
          </cell>
          <cell r="D241">
            <v>0</v>
          </cell>
          <cell r="E241">
            <v>0</v>
          </cell>
          <cell r="F241">
            <v>0</v>
          </cell>
        </row>
        <row r="242">
          <cell r="A242" t="str">
            <v>F2004</v>
          </cell>
          <cell r="B242" t="str">
            <v>盈余公积转增资本</v>
          </cell>
          <cell r="C242">
            <v>0</v>
          </cell>
          <cell r="D242">
            <v>0</v>
          </cell>
          <cell r="E242">
            <v>0</v>
          </cell>
          <cell r="F242">
            <v>0</v>
          </cell>
        </row>
        <row r="243">
          <cell r="B243" t="str">
            <v>盈余公积弥补亏损</v>
          </cell>
          <cell r="C243">
            <v>0</v>
          </cell>
          <cell r="F243">
            <v>0</v>
          </cell>
        </row>
        <row r="244">
          <cell r="B244" t="str">
            <v>其他</v>
          </cell>
          <cell r="C244">
            <v>0</v>
          </cell>
          <cell r="F244">
            <v>0</v>
          </cell>
        </row>
        <row r="245">
          <cell r="B245" t="str">
            <v>四、本年年末余额</v>
          </cell>
          <cell r="C245">
            <v>0</v>
          </cell>
          <cell r="D245">
            <v>0</v>
          </cell>
          <cell r="E245">
            <v>0</v>
          </cell>
          <cell r="F245">
            <v>0</v>
          </cell>
        </row>
        <row r="246">
          <cell r="B246" t="str">
            <v>资本公积</v>
          </cell>
        </row>
        <row r="247">
          <cell r="A247" t="str">
            <v>F2107</v>
          </cell>
          <cell r="B247" t="str">
            <v>一、上年年末余额</v>
          </cell>
          <cell r="C247">
            <v>0</v>
          </cell>
          <cell r="D247">
            <v>0</v>
          </cell>
          <cell r="E247">
            <v>0</v>
          </cell>
          <cell r="F247">
            <v>0</v>
          </cell>
        </row>
        <row r="248">
          <cell r="A248" t="str">
            <v>F2108</v>
          </cell>
          <cell r="B248" t="str">
            <v>会计政策变更</v>
          </cell>
          <cell r="C248">
            <v>0</v>
          </cell>
          <cell r="D248">
            <v>0</v>
          </cell>
          <cell r="E248">
            <v>0</v>
          </cell>
          <cell r="F248">
            <v>0</v>
          </cell>
        </row>
        <row r="249">
          <cell r="A249" t="str">
            <v>F2109</v>
          </cell>
          <cell r="B249" t="str">
            <v>前期差错更正</v>
          </cell>
          <cell r="C249">
            <v>0</v>
          </cell>
          <cell r="D249">
            <v>0</v>
          </cell>
          <cell r="E249">
            <v>0</v>
          </cell>
          <cell r="F249">
            <v>0</v>
          </cell>
        </row>
        <row r="250">
          <cell r="B250" t="str">
            <v>二、本年年初余额</v>
          </cell>
          <cell r="C250">
            <v>0</v>
          </cell>
          <cell r="D250">
            <v>0</v>
          </cell>
          <cell r="E250">
            <v>0</v>
          </cell>
          <cell r="F250">
            <v>0</v>
          </cell>
        </row>
        <row r="251">
          <cell r="B251" t="str">
            <v>三、本年增减变动金额（减少以“-”号填列）</v>
          </cell>
          <cell r="C251">
            <v>0</v>
          </cell>
          <cell r="D251">
            <v>0</v>
          </cell>
          <cell r="E251">
            <v>0</v>
          </cell>
          <cell r="F251">
            <v>0</v>
          </cell>
        </row>
        <row r="252">
          <cell r="B252" t="str">
            <v>（一）净利润</v>
          </cell>
          <cell r="C252">
            <v>0</v>
          </cell>
          <cell r="F252">
            <v>0</v>
          </cell>
        </row>
        <row r="253">
          <cell r="B253" t="str">
            <v>（二）直接计入所有者权益的利得和损失</v>
          </cell>
          <cell r="C253">
            <v>0</v>
          </cell>
          <cell r="D253">
            <v>0</v>
          </cell>
          <cell r="E253">
            <v>0</v>
          </cell>
          <cell r="F253">
            <v>0</v>
          </cell>
        </row>
        <row r="254">
          <cell r="A254" t="str">
            <v>F2101</v>
          </cell>
          <cell r="B254" t="str">
            <v>可供出售金融资产公允价值变动净额</v>
          </cell>
          <cell r="C254">
            <v>0</v>
          </cell>
          <cell r="D254">
            <v>0</v>
          </cell>
          <cell r="E254">
            <v>0</v>
          </cell>
          <cell r="F254">
            <v>0</v>
          </cell>
        </row>
        <row r="255">
          <cell r="A255" t="str">
            <v>F2102</v>
          </cell>
          <cell r="B255" t="str">
            <v>权益法下被投资单位其他所有者权益变动的影响</v>
          </cell>
          <cell r="C255">
            <v>0</v>
          </cell>
          <cell r="D255">
            <v>0</v>
          </cell>
          <cell r="E255">
            <v>0</v>
          </cell>
          <cell r="F255">
            <v>0</v>
          </cell>
        </row>
        <row r="256">
          <cell r="A256" t="str">
            <v>F2103</v>
          </cell>
          <cell r="B256" t="str">
            <v>与计入所有者权益项目相关的所得税影响</v>
          </cell>
          <cell r="C256">
            <v>0</v>
          </cell>
          <cell r="D256">
            <v>0</v>
          </cell>
          <cell r="E256">
            <v>0</v>
          </cell>
          <cell r="F256">
            <v>0</v>
          </cell>
        </row>
        <row r="257">
          <cell r="A257" t="str">
            <v>F2106</v>
          </cell>
          <cell r="B257" t="str">
            <v>其他</v>
          </cell>
          <cell r="C257">
            <v>0</v>
          </cell>
          <cell r="D257">
            <v>0</v>
          </cell>
          <cell r="E257">
            <v>0</v>
          </cell>
          <cell r="F257">
            <v>0</v>
          </cell>
        </row>
        <row r="258">
          <cell r="B258" t="str">
            <v>上述（一）和（二）小计</v>
          </cell>
          <cell r="C258">
            <v>0</v>
          </cell>
          <cell r="D258">
            <v>0</v>
          </cell>
          <cell r="E258">
            <v>0</v>
          </cell>
          <cell r="F258">
            <v>0</v>
          </cell>
        </row>
        <row r="259">
          <cell r="B259" t="str">
            <v>（三）所有者投入和减少资本</v>
          </cell>
          <cell r="C259">
            <v>0</v>
          </cell>
          <cell r="D259">
            <v>0</v>
          </cell>
          <cell r="E259">
            <v>0</v>
          </cell>
          <cell r="F259">
            <v>0</v>
          </cell>
        </row>
        <row r="260">
          <cell r="A260" t="str">
            <v>F2104</v>
          </cell>
          <cell r="B260" t="str">
            <v>所有者投入资本</v>
          </cell>
          <cell r="C260">
            <v>0</v>
          </cell>
          <cell r="D260">
            <v>0</v>
          </cell>
          <cell r="E260">
            <v>0</v>
          </cell>
          <cell r="F260">
            <v>0</v>
          </cell>
        </row>
        <row r="261">
          <cell r="B261" t="str">
            <v>股份支付计入所有者权益的金额</v>
          </cell>
          <cell r="C261">
            <v>0</v>
          </cell>
          <cell r="F261">
            <v>0</v>
          </cell>
        </row>
        <row r="262">
          <cell r="B262" t="str">
            <v>其他</v>
          </cell>
          <cell r="C262">
            <v>0</v>
          </cell>
          <cell r="F262">
            <v>0</v>
          </cell>
        </row>
        <row r="263">
          <cell r="B263" t="str">
            <v>（四）利润分配</v>
          </cell>
          <cell r="C263">
            <v>0</v>
          </cell>
          <cell r="D263">
            <v>0</v>
          </cell>
          <cell r="E263">
            <v>0</v>
          </cell>
          <cell r="F263">
            <v>0</v>
          </cell>
        </row>
        <row r="264">
          <cell r="B264" t="str">
            <v xml:space="preserve">提取盈余公积 </v>
          </cell>
          <cell r="C264">
            <v>0</v>
          </cell>
          <cell r="F264">
            <v>0</v>
          </cell>
        </row>
        <row r="265">
          <cell r="B265" t="str">
            <v>提取一般风险准备</v>
          </cell>
          <cell r="C265">
            <v>0</v>
          </cell>
          <cell r="F265">
            <v>0</v>
          </cell>
        </row>
        <row r="266">
          <cell r="B266" t="str">
            <v>对所有者（或股东）的分配</v>
          </cell>
          <cell r="C266">
            <v>0</v>
          </cell>
          <cell r="F266">
            <v>0</v>
          </cell>
        </row>
        <row r="267">
          <cell r="B267" t="str">
            <v>其他</v>
          </cell>
          <cell r="C267">
            <v>0</v>
          </cell>
          <cell r="F267">
            <v>0</v>
          </cell>
        </row>
        <row r="268">
          <cell r="B268" t="str">
            <v>（五）所有者权益内部结转</v>
          </cell>
          <cell r="C268">
            <v>0</v>
          </cell>
          <cell r="D268">
            <v>0</v>
          </cell>
          <cell r="E268">
            <v>0</v>
          </cell>
          <cell r="F268">
            <v>0</v>
          </cell>
        </row>
        <row r="269">
          <cell r="A269" t="str">
            <v>F2105</v>
          </cell>
          <cell r="B269" t="str">
            <v>资本公积转增资本</v>
          </cell>
          <cell r="C269">
            <v>0</v>
          </cell>
          <cell r="D269">
            <v>0</v>
          </cell>
          <cell r="E269">
            <v>0</v>
          </cell>
          <cell r="F269">
            <v>0</v>
          </cell>
        </row>
        <row r="270">
          <cell r="B270" t="str">
            <v>盈余公积转增资本</v>
          </cell>
          <cell r="C270">
            <v>0</v>
          </cell>
          <cell r="F270">
            <v>0</v>
          </cell>
        </row>
        <row r="271">
          <cell r="B271" t="str">
            <v>盈余公积弥补亏损</v>
          </cell>
          <cell r="C271">
            <v>0</v>
          </cell>
          <cell r="F271">
            <v>0</v>
          </cell>
        </row>
        <row r="272">
          <cell r="B272" t="str">
            <v>其他</v>
          </cell>
          <cell r="C272">
            <v>0</v>
          </cell>
          <cell r="F272">
            <v>0</v>
          </cell>
        </row>
        <row r="273">
          <cell r="B273" t="str">
            <v>四、本年年末余额</v>
          </cell>
          <cell r="C273">
            <v>0</v>
          </cell>
          <cell r="D273">
            <v>0</v>
          </cell>
          <cell r="E273">
            <v>0</v>
          </cell>
          <cell r="F273">
            <v>0</v>
          </cell>
        </row>
        <row r="274">
          <cell r="B274" t="str">
            <v>减：库存股</v>
          </cell>
        </row>
        <row r="275">
          <cell r="A275" t="str">
            <v>F2202</v>
          </cell>
          <cell r="B275" t="str">
            <v>一、上年年末余额</v>
          </cell>
          <cell r="C275">
            <v>0</v>
          </cell>
          <cell r="D275">
            <v>0</v>
          </cell>
          <cell r="E275">
            <v>0</v>
          </cell>
          <cell r="F275">
            <v>0</v>
          </cell>
        </row>
        <row r="276">
          <cell r="A276" t="str">
            <v>F2203</v>
          </cell>
          <cell r="B276" t="str">
            <v>会计政策变更</v>
          </cell>
          <cell r="C276">
            <v>0</v>
          </cell>
          <cell r="D276">
            <v>0</v>
          </cell>
          <cell r="E276">
            <v>0</v>
          </cell>
          <cell r="F276">
            <v>0</v>
          </cell>
        </row>
        <row r="277">
          <cell r="A277" t="str">
            <v>F2204</v>
          </cell>
          <cell r="B277" t="str">
            <v>前期差错更正</v>
          </cell>
          <cell r="C277">
            <v>0</v>
          </cell>
          <cell r="D277">
            <v>0</v>
          </cell>
          <cell r="E277">
            <v>0</v>
          </cell>
          <cell r="F277">
            <v>0</v>
          </cell>
        </row>
        <row r="278">
          <cell r="B278" t="str">
            <v>二、本年年初余额</v>
          </cell>
          <cell r="C278">
            <v>0</v>
          </cell>
          <cell r="D278">
            <v>0</v>
          </cell>
          <cell r="E278">
            <v>0</v>
          </cell>
          <cell r="F278">
            <v>0</v>
          </cell>
        </row>
        <row r="279">
          <cell r="B279" t="str">
            <v>三、本年增减变动金额（减少以“-”号填列）</v>
          </cell>
          <cell r="C279">
            <v>0</v>
          </cell>
          <cell r="D279">
            <v>0</v>
          </cell>
          <cell r="E279">
            <v>0</v>
          </cell>
          <cell r="F279">
            <v>0</v>
          </cell>
        </row>
        <row r="280">
          <cell r="B280" t="str">
            <v>（一）净利润</v>
          </cell>
          <cell r="C280">
            <v>0</v>
          </cell>
          <cell r="F280">
            <v>0</v>
          </cell>
        </row>
        <row r="281">
          <cell r="B281" t="str">
            <v>（二）直接计入所有者权益的利得和损失</v>
          </cell>
          <cell r="C281">
            <v>0</v>
          </cell>
          <cell r="D281">
            <v>0</v>
          </cell>
          <cell r="E281">
            <v>0</v>
          </cell>
          <cell r="F281">
            <v>0</v>
          </cell>
        </row>
        <row r="282">
          <cell r="B282" t="str">
            <v>可供出售金融资产公允价值变动净额</v>
          </cell>
          <cell r="C282">
            <v>0</v>
          </cell>
          <cell r="F282">
            <v>0</v>
          </cell>
        </row>
        <row r="283">
          <cell r="B283" t="str">
            <v>权益法下被投资单位其他所有者权益变动的影响</v>
          </cell>
          <cell r="C283">
            <v>0</v>
          </cell>
          <cell r="F283">
            <v>0</v>
          </cell>
        </row>
        <row r="284">
          <cell r="B284" t="str">
            <v>与计入所有者权益项目相关的所得税影响</v>
          </cell>
          <cell r="C284">
            <v>0</v>
          </cell>
          <cell r="F284">
            <v>0</v>
          </cell>
        </row>
        <row r="285">
          <cell r="B285" t="str">
            <v>其他</v>
          </cell>
          <cell r="C285">
            <v>0</v>
          </cell>
          <cell r="F285">
            <v>0</v>
          </cell>
        </row>
        <row r="286">
          <cell r="B286" t="str">
            <v>上述（一）和（二）小计</v>
          </cell>
          <cell r="C286">
            <v>0</v>
          </cell>
          <cell r="D286">
            <v>0</v>
          </cell>
          <cell r="E286">
            <v>0</v>
          </cell>
          <cell r="F286">
            <v>0</v>
          </cell>
        </row>
        <row r="287">
          <cell r="B287" t="str">
            <v>（三）所有者投入和减少资本</v>
          </cell>
          <cell r="C287">
            <v>0</v>
          </cell>
          <cell r="D287">
            <v>0</v>
          </cell>
          <cell r="E287">
            <v>0</v>
          </cell>
          <cell r="F287">
            <v>0</v>
          </cell>
        </row>
        <row r="288">
          <cell r="B288" t="str">
            <v>所有者投入资本</v>
          </cell>
          <cell r="C288">
            <v>0</v>
          </cell>
          <cell r="F288">
            <v>0</v>
          </cell>
        </row>
        <row r="289">
          <cell r="B289" t="str">
            <v>股份支付计入所有者权益的金额</v>
          </cell>
          <cell r="C289">
            <v>0</v>
          </cell>
          <cell r="F289">
            <v>0</v>
          </cell>
        </row>
        <row r="290">
          <cell r="A290" t="str">
            <v>F2201</v>
          </cell>
          <cell r="B290" t="str">
            <v>其他</v>
          </cell>
          <cell r="C290">
            <v>0</v>
          </cell>
          <cell r="D290">
            <v>0</v>
          </cell>
          <cell r="E290">
            <v>0</v>
          </cell>
          <cell r="F290">
            <v>0</v>
          </cell>
        </row>
        <row r="291">
          <cell r="B291" t="str">
            <v>（四）利润分配</v>
          </cell>
          <cell r="C291">
            <v>0</v>
          </cell>
          <cell r="D291">
            <v>0</v>
          </cell>
          <cell r="E291">
            <v>0</v>
          </cell>
          <cell r="F291">
            <v>0</v>
          </cell>
        </row>
        <row r="292">
          <cell r="B292" t="str">
            <v xml:space="preserve">提取盈余公积 </v>
          </cell>
          <cell r="C292">
            <v>0</v>
          </cell>
          <cell r="F292">
            <v>0</v>
          </cell>
        </row>
        <row r="293">
          <cell r="B293" t="str">
            <v>提取一般风险准备</v>
          </cell>
          <cell r="C293">
            <v>0</v>
          </cell>
          <cell r="F293">
            <v>0</v>
          </cell>
        </row>
        <row r="294">
          <cell r="B294" t="str">
            <v>对所有者（或股东）的分配</v>
          </cell>
          <cell r="C294">
            <v>0</v>
          </cell>
          <cell r="F294">
            <v>0</v>
          </cell>
        </row>
        <row r="295">
          <cell r="B295" t="str">
            <v>其他</v>
          </cell>
          <cell r="C295">
            <v>0</v>
          </cell>
          <cell r="F295">
            <v>0</v>
          </cell>
        </row>
        <row r="296">
          <cell r="B296" t="str">
            <v>（五）所有者权益内部结转</v>
          </cell>
          <cell r="C296">
            <v>0</v>
          </cell>
          <cell r="D296">
            <v>0</v>
          </cell>
          <cell r="E296">
            <v>0</v>
          </cell>
          <cell r="F296">
            <v>0</v>
          </cell>
        </row>
        <row r="297">
          <cell r="B297" t="str">
            <v>资本公积转增资本</v>
          </cell>
          <cell r="C297">
            <v>0</v>
          </cell>
          <cell r="F297">
            <v>0</v>
          </cell>
        </row>
        <row r="298">
          <cell r="B298" t="str">
            <v>盈余公积转增资本</v>
          </cell>
          <cell r="C298">
            <v>0</v>
          </cell>
          <cell r="F298">
            <v>0</v>
          </cell>
        </row>
        <row r="299">
          <cell r="B299" t="str">
            <v>盈余公积弥补亏损</v>
          </cell>
          <cell r="C299">
            <v>0</v>
          </cell>
          <cell r="F299">
            <v>0</v>
          </cell>
        </row>
        <row r="300">
          <cell r="B300" t="str">
            <v>其他</v>
          </cell>
          <cell r="C300">
            <v>0</v>
          </cell>
          <cell r="F300">
            <v>0</v>
          </cell>
        </row>
        <row r="301">
          <cell r="B301" t="str">
            <v>四、本年年末余额</v>
          </cell>
          <cell r="C301">
            <v>0</v>
          </cell>
          <cell r="D301">
            <v>0</v>
          </cell>
          <cell r="E301">
            <v>0</v>
          </cell>
          <cell r="F301">
            <v>0</v>
          </cell>
        </row>
        <row r="302">
          <cell r="B302" t="str">
            <v>盈余公积</v>
          </cell>
        </row>
        <row r="303">
          <cell r="A303" t="str">
            <v>F2305</v>
          </cell>
          <cell r="B303" t="str">
            <v>一、上年年末余额</v>
          </cell>
          <cell r="C303">
            <v>0</v>
          </cell>
          <cell r="D303">
            <v>0</v>
          </cell>
          <cell r="E303">
            <v>0</v>
          </cell>
          <cell r="F303">
            <v>0</v>
          </cell>
        </row>
        <row r="304">
          <cell r="A304" t="str">
            <v>F2306</v>
          </cell>
          <cell r="B304" t="str">
            <v>会计政策变更</v>
          </cell>
          <cell r="C304">
            <v>0</v>
          </cell>
          <cell r="D304">
            <v>0</v>
          </cell>
          <cell r="E304">
            <v>0</v>
          </cell>
          <cell r="F304">
            <v>0</v>
          </cell>
        </row>
        <row r="305">
          <cell r="A305" t="str">
            <v>F2307</v>
          </cell>
          <cell r="B305" t="str">
            <v>前期差错更正</v>
          </cell>
          <cell r="C305">
            <v>0</v>
          </cell>
          <cell r="D305">
            <v>0</v>
          </cell>
          <cell r="E305">
            <v>0</v>
          </cell>
          <cell r="F305">
            <v>0</v>
          </cell>
        </row>
        <row r="306">
          <cell r="B306" t="str">
            <v>二、本年年初余额</v>
          </cell>
          <cell r="C306">
            <v>0</v>
          </cell>
          <cell r="D306">
            <v>0</v>
          </cell>
          <cell r="E306">
            <v>0</v>
          </cell>
          <cell r="F306">
            <v>0</v>
          </cell>
        </row>
        <row r="307">
          <cell r="B307" t="str">
            <v>三、本年增减变动金额（减少以“-”号填列）</v>
          </cell>
          <cell r="C307">
            <v>0</v>
          </cell>
          <cell r="D307">
            <v>0</v>
          </cell>
          <cell r="E307">
            <v>0</v>
          </cell>
          <cell r="F307">
            <v>0</v>
          </cell>
        </row>
        <row r="308">
          <cell r="B308" t="str">
            <v>（一）净利润</v>
          </cell>
          <cell r="C308">
            <v>0</v>
          </cell>
          <cell r="F308">
            <v>0</v>
          </cell>
        </row>
        <row r="309">
          <cell r="B309" t="str">
            <v>（二）直接计入所有者权益的利得和损失</v>
          </cell>
          <cell r="C309">
            <v>0</v>
          </cell>
          <cell r="D309">
            <v>0</v>
          </cell>
          <cell r="E309">
            <v>0</v>
          </cell>
          <cell r="F309">
            <v>0</v>
          </cell>
        </row>
        <row r="310">
          <cell r="B310" t="str">
            <v>可供出售金融资产公允价值变动净额</v>
          </cell>
          <cell r="C310">
            <v>0</v>
          </cell>
          <cell r="F310">
            <v>0</v>
          </cell>
        </row>
        <row r="311">
          <cell r="B311" t="str">
            <v>权益法下被投资单位其他所有者权益变动的影响</v>
          </cell>
          <cell r="C311">
            <v>0</v>
          </cell>
          <cell r="F311">
            <v>0</v>
          </cell>
        </row>
        <row r="312">
          <cell r="B312" t="str">
            <v>与计入所有者权益项目相关的所得税影响</v>
          </cell>
          <cell r="C312">
            <v>0</v>
          </cell>
          <cell r="F312">
            <v>0</v>
          </cell>
        </row>
        <row r="313">
          <cell r="B313" t="str">
            <v>其他</v>
          </cell>
          <cell r="C313">
            <v>0</v>
          </cell>
          <cell r="F313">
            <v>0</v>
          </cell>
        </row>
        <row r="314">
          <cell r="B314" t="str">
            <v>上述（一）和（二）小计</v>
          </cell>
          <cell r="C314">
            <v>0</v>
          </cell>
          <cell r="D314">
            <v>0</v>
          </cell>
          <cell r="E314">
            <v>0</v>
          </cell>
          <cell r="F314">
            <v>0</v>
          </cell>
        </row>
        <row r="315">
          <cell r="B315" t="str">
            <v>（三）所有者投入和减少资本</v>
          </cell>
          <cell r="C315">
            <v>0</v>
          </cell>
          <cell r="D315">
            <v>0</v>
          </cell>
          <cell r="E315">
            <v>0</v>
          </cell>
          <cell r="F315">
            <v>0</v>
          </cell>
        </row>
        <row r="316">
          <cell r="B316" t="str">
            <v>所有者投入资本</v>
          </cell>
          <cell r="C316">
            <v>0</v>
          </cell>
          <cell r="F316">
            <v>0</v>
          </cell>
        </row>
        <row r="317">
          <cell r="B317" t="str">
            <v>股份支付计入所有者权益的金额</v>
          </cell>
          <cell r="C317">
            <v>0</v>
          </cell>
          <cell r="F317">
            <v>0</v>
          </cell>
        </row>
        <row r="318">
          <cell r="B318" t="str">
            <v>其他</v>
          </cell>
          <cell r="C318">
            <v>0</v>
          </cell>
          <cell r="F318">
            <v>0</v>
          </cell>
        </row>
        <row r="319">
          <cell r="B319" t="str">
            <v>（四）利润分配</v>
          </cell>
          <cell r="C319">
            <v>0</v>
          </cell>
          <cell r="D319">
            <v>0</v>
          </cell>
          <cell r="E319">
            <v>0</v>
          </cell>
          <cell r="F319">
            <v>0</v>
          </cell>
        </row>
        <row r="320">
          <cell r="A320" t="str">
            <v>F4504</v>
          </cell>
          <cell r="B320" t="str">
            <v xml:space="preserve">提取盈余公积 </v>
          </cell>
          <cell r="C320">
            <v>0</v>
          </cell>
          <cell r="D320">
            <v>0</v>
          </cell>
          <cell r="E320">
            <v>0</v>
          </cell>
          <cell r="F320">
            <v>0</v>
          </cell>
        </row>
        <row r="321">
          <cell r="B321" t="str">
            <v>提取一般风险准备</v>
          </cell>
          <cell r="C321">
            <v>0</v>
          </cell>
          <cell r="F321">
            <v>0</v>
          </cell>
        </row>
        <row r="322">
          <cell r="B322" t="str">
            <v>对所有者（或股东）的分配</v>
          </cell>
          <cell r="C322">
            <v>0</v>
          </cell>
          <cell r="F322">
            <v>0</v>
          </cell>
        </row>
        <row r="323">
          <cell r="B323" t="str">
            <v>其他</v>
          </cell>
          <cell r="C323">
            <v>0</v>
          </cell>
          <cell r="F323">
            <v>0</v>
          </cell>
        </row>
        <row r="324">
          <cell r="B324" t="str">
            <v>（五）所有者权益内部结转</v>
          </cell>
          <cell r="C324">
            <v>0</v>
          </cell>
          <cell r="D324">
            <v>0</v>
          </cell>
          <cell r="E324">
            <v>0</v>
          </cell>
          <cell r="F324">
            <v>0</v>
          </cell>
        </row>
        <row r="325">
          <cell r="B325" t="str">
            <v>资本公积转增资本</v>
          </cell>
          <cell r="C325">
            <v>0</v>
          </cell>
          <cell r="F325">
            <v>0</v>
          </cell>
        </row>
        <row r="326">
          <cell r="A326" t="str">
            <v>F2302</v>
          </cell>
          <cell r="B326" t="str">
            <v>盈余公积转增资本</v>
          </cell>
          <cell r="C326">
            <v>0</v>
          </cell>
          <cell r="D326">
            <v>0</v>
          </cell>
          <cell r="E326">
            <v>0</v>
          </cell>
          <cell r="F326">
            <v>0</v>
          </cell>
        </row>
        <row r="327">
          <cell r="A327" t="str">
            <v>F2303</v>
          </cell>
          <cell r="B327" t="str">
            <v>盈余公积弥补亏损</v>
          </cell>
          <cell r="C327">
            <v>0</v>
          </cell>
          <cell r="D327">
            <v>0</v>
          </cell>
          <cell r="E327">
            <v>0</v>
          </cell>
          <cell r="F327">
            <v>0</v>
          </cell>
        </row>
        <row r="328">
          <cell r="B328" t="str">
            <v>其他</v>
          </cell>
          <cell r="C328">
            <v>0</v>
          </cell>
          <cell r="F328">
            <v>0</v>
          </cell>
        </row>
        <row r="329">
          <cell r="B329" t="str">
            <v>四、本年年末余额</v>
          </cell>
          <cell r="C329">
            <v>0</v>
          </cell>
          <cell r="D329">
            <v>0</v>
          </cell>
          <cell r="E329">
            <v>0</v>
          </cell>
          <cell r="F329">
            <v>0</v>
          </cell>
        </row>
        <row r="330">
          <cell r="A330" t="str">
            <v>F2403</v>
          </cell>
          <cell r="B330" t="str">
            <v>未分配利润</v>
          </cell>
        </row>
        <row r="331">
          <cell r="A331" t="str">
            <v>F4501</v>
          </cell>
          <cell r="B331" t="str">
            <v>一、上年年末余额</v>
          </cell>
          <cell r="C331">
            <v>37416858.770000003</v>
          </cell>
          <cell r="D331">
            <v>5370.39</v>
          </cell>
          <cell r="E331">
            <v>0</v>
          </cell>
          <cell r="F331">
            <v>37411488.380000003</v>
          </cell>
        </row>
        <row r="332">
          <cell r="A332" t="str">
            <v>F4502</v>
          </cell>
          <cell r="B332" t="str">
            <v>会计政策变更</v>
          </cell>
          <cell r="C332">
            <v>0</v>
          </cell>
          <cell r="D332">
            <v>0</v>
          </cell>
          <cell r="E332">
            <v>0</v>
          </cell>
          <cell r="F332">
            <v>0</v>
          </cell>
        </row>
        <row r="333">
          <cell r="A333" t="str">
            <v>F4503</v>
          </cell>
          <cell r="B333" t="str">
            <v>前期差错更正</v>
          </cell>
          <cell r="C333">
            <v>0</v>
          </cell>
          <cell r="D333">
            <v>0</v>
          </cell>
          <cell r="E333">
            <v>0</v>
          </cell>
          <cell r="F333">
            <v>0</v>
          </cell>
        </row>
        <row r="334">
          <cell r="B334" t="str">
            <v>二、本年年初余额</v>
          </cell>
          <cell r="C334">
            <v>37416858.770000003</v>
          </cell>
          <cell r="D334">
            <v>5370.39</v>
          </cell>
          <cell r="E334">
            <v>0</v>
          </cell>
          <cell r="F334">
            <v>37411488.380000003</v>
          </cell>
        </row>
        <row r="335">
          <cell r="B335" t="str">
            <v>三、本年增减变动金额（减少以“-”号填列）</v>
          </cell>
          <cell r="C335">
            <v>13896395.34</v>
          </cell>
          <cell r="D335">
            <v>5745304.2300000004</v>
          </cell>
          <cell r="E335">
            <v>289721.90000000002</v>
          </cell>
          <cell r="F335">
            <v>8440813.0099999998</v>
          </cell>
        </row>
        <row r="336">
          <cell r="B336" t="str">
            <v>（一）净利润</v>
          </cell>
          <cell r="C336">
            <v>13896395.34</v>
          </cell>
          <cell r="D336">
            <v>5745304.2300000004</v>
          </cell>
          <cell r="E336">
            <v>289721.90000000002</v>
          </cell>
          <cell r="F336">
            <v>8440813.0099999998</v>
          </cell>
        </row>
        <row r="337">
          <cell r="B337" t="str">
            <v>（二）直接计入所有者权益的利得和损失</v>
          </cell>
          <cell r="C337">
            <v>0</v>
          </cell>
          <cell r="D337">
            <v>0</v>
          </cell>
          <cell r="E337">
            <v>0</v>
          </cell>
          <cell r="F337">
            <v>0</v>
          </cell>
        </row>
        <row r="338">
          <cell r="B338" t="str">
            <v>可供出售金融资产公允价值变动净额</v>
          </cell>
          <cell r="C338">
            <v>0</v>
          </cell>
          <cell r="F338">
            <v>0</v>
          </cell>
        </row>
        <row r="339">
          <cell r="B339" t="str">
            <v>权益法下被投资单位其他所有者权益变动的影响</v>
          </cell>
          <cell r="C339">
            <v>0</v>
          </cell>
          <cell r="F339">
            <v>0</v>
          </cell>
        </row>
        <row r="340">
          <cell r="B340" t="str">
            <v>与计入所有者权益项目相关的所得税影响</v>
          </cell>
          <cell r="C340">
            <v>0</v>
          </cell>
          <cell r="F340">
            <v>0</v>
          </cell>
        </row>
        <row r="341">
          <cell r="B341" t="str">
            <v>其他</v>
          </cell>
          <cell r="C341">
            <v>0</v>
          </cell>
          <cell r="F341">
            <v>0</v>
          </cell>
        </row>
        <row r="342">
          <cell r="B342" t="str">
            <v>上述（一）和（二）小计</v>
          </cell>
          <cell r="C342">
            <v>13896395.34</v>
          </cell>
          <cell r="D342">
            <v>5745304.2300000004</v>
          </cell>
          <cell r="E342">
            <v>289721.90000000002</v>
          </cell>
          <cell r="F342">
            <v>8440813.0099999998</v>
          </cell>
        </row>
        <row r="343">
          <cell r="B343" t="str">
            <v>（三）所有者投入和减少资本</v>
          </cell>
          <cell r="C343">
            <v>0</v>
          </cell>
          <cell r="D343">
            <v>0</v>
          </cell>
          <cell r="E343">
            <v>0</v>
          </cell>
          <cell r="F343">
            <v>0</v>
          </cell>
        </row>
        <row r="344">
          <cell r="B344" t="str">
            <v>所有者投入资本</v>
          </cell>
          <cell r="C344">
            <v>0</v>
          </cell>
          <cell r="F344">
            <v>0</v>
          </cell>
        </row>
        <row r="345">
          <cell r="B345" t="str">
            <v>股份支付计入所有者权益的金额</v>
          </cell>
          <cell r="C345">
            <v>0</v>
          </cell>
          <cell r="F345">
            <v>0</v>
          </cell>
        </row>
        <row r="346">
          <cell r="B346" t="str">
            <v>其他</v>
          </cell>
          <cell r="C346">
            <v>0</v>
          </cell>
          <cell r="F346">
            <v>0</v>
          </cell>
        </row>
        <row r="347">
          <cell r="B347" t="str">
            <v>（四）利润分配</v>
          </cell>
          <cell r="C347">
            <v>0</v>
          </cell>
          <cell r="D347">
            <v>0</v>
          </cell>
          <cell r="E347">
            <v>0</v>
          </cell>
          <cell r="F347">
            <v>0</v>
          </cell>
        </row>
        <row r="348">
          <cell r="A348" t="str">
            <v>F4504</v>
          </cell>
          <cell r="B348" t="str">
            <v xml:space="preserve">提取盈余公积 </v>
          </cell>
          <cell r="C348">
            <v>0</v>
          </cell>
          <cell r="D348">
            <v>0</v>
          </cell>
          <cell r="E348">
            <v>0</v>
          </cell>
          <cell r="F348">
            <v>0</v>
          </cell>
        </row>
        <row r="349">
          <cell r="A349" t="str">
            <v>F4508</v>
          </cell>
          <cell r="B349" t="str">
            <v>提取一般风险准备</v>
          </cell>
          <cell r="C349">
            <v>0</v>
          </cell>
          <cell r="D349">
            <v>0</v>
          </cell>
          <cell r="E349">
            <v>0</v>
          </cell>
          <cell r="F349">
            <v>0</v>
          </cell>
        </row>
        <row r="350">
          <cell r="A350" t="str">
            <v>F4505</v>
          </cell>
          <cell r="B350" t="str">
            <v>对所有者（或股东）的分配</v>
          </cell>
          <cell r="C350">
            <v>0</v>
          </cell>
          <cell r="D350">
            <v>0</v>
          </cell>
          <cell r="E350">
            <v>0</v>
          </cell>
          <cell r="F350">
            <v>0</v>
          </cell>
        </row>
        <row r="351">
          <cell r="A351" t="str">
            <v>F4507</v>
          </cell>
          <cell r="B351" t="str">
            <v>其他</v>
          </cell>
          <cell r="C351">
            <v>0</v>
          </cell>
          <cell r="D351">
            <v>0</v>
          </cell>
          <cell r="E351">
            <v>0</v>
          </cell>
          <cell r="F351">
            <v>0</v>
          </cell>
        </row>
        <row r="352">
          <cell r="B352" t="str">
            <v>（五）所有者权益内部结转</v>
          </cell>
          <cell r="C352">
            <v>0</v>
          </cell>
          <cell r="D352">
            <v>0</v>
          </cell>
          <cell r="E352">
            <v>0</v>
          </cell>
          <cell r="F352">
            <v>0</v>
          </cell>
        </row>
        <row r="353">
          <cell r="B353" t="str">
            <v>资本公积转增资本</v>
          </cell>
          <cell r="C353">
            <v>0</v>
          </cell>
          <cell r="F353">
            <v>0</v>
          </cell>
        </row>
        <row r="354">
          <cell r="B354" t="str">
            <v>盈余公积转增资本</v>
          </cell>
          <cell r="C354">
            <v>0</v>
          </cell>
          <cell r="F354">
            <v>0</v>
          </cell>
        </row>
        <row r="355">
          <cell r="A355" t="str">
            <v>F4506</v>
          </cell>
          <cell r="B355" t="str">
            <v>盈余公积弥补亏损</v>
          </cell>
          <cell r="C355">
            <v>0</v>
          </cell>
          <cell r="D355">
            <v>0</v>
          </cell>
          <cell r="E355">
            <v>0</v>
          </cell>
          <cell r="F355">
            <v>0</v>
          </cell>
        </row>
        <row r="356">
          <cell r="B356" t="str">
            <v>其他</v>
          </cell>
          <cell r="C356">
            <v>0</v>
          </cell>
          <cell r="F356">
            <v>0</v>
          </cell>
        </row>
        <row r="357">
          <cell r="B357" t="str">
            <v>四、本年年末余额</v>
          </cell>
          <cell r="C357">
            <v>51313254.109999999</v>
          </cell>
          <cell r="D357">
            <v>5750674.6200000001</v>
          </cell>
          <cell r="E357">
            <v>289721.90000000002</v>
          </cell>
          <cell r="F357">
            <v>45852301.390000001</v>
          </cell>
        </row>
        <row r="358">
          <cell r="B358" t="str">
            <v>少数股东权益</v>
          </cell>
        </row>
        <row r="359">
          <cell r="A359" t="str">
            <v>F2602</v>
          </cell>
          <cell r="B359" t="str">
            <v>一、上年年末余额</v>
          </cell>
          <cell r="C359">
            <v>0</v>
          </cell>
          <cell r="D359">
            <v>0</v>
          </cell>
          <cell r="E359">
            <v>0</v>
          </cell>
          <cell r="F359">
            <v>0</v>
          </cell>
        </row>
        <row r="360">
          <cell r="A360" t="str">
            <v>F2603</v>
          </cell>
          <cell r="B360" t="str">
            <v>会计政策变更</v>
          </cell>
          <cell r="C360">
            <v>0</v>
          </cell>
          <cell r="D360">
            <v>0</v>
          </cell>
          <cell r="E360">
            <v>0</v>
          </cell>
          <cell r="F360">
            <v>0</v>
          </cell>
        </row>
        <row r="361">
          <cell r="A361" t="str">
            <v>F2604</v>
          </cell>
          <cell r="B361" t="str">
            <v>前期差错更正</v>
          </cell>
          <cell r="C361">
            <v>0</v>
          </cell>
          <cell r="D361">
            <v>0</v>
          </cell>
          <cell r="E361">
            <v>0</v>
          </cell>
          <cell r="F361">
            <v>0</v>
          </cell>
        </row>
        <row r="362">
          <cell r="B362" t="str">
            <v>二、本年年初余额</v>
          </cell>
          <cell r="C362">
            <v>0</v>
          </cell>
          <cell r="F362">
            <v>0</v>
          </cell>
        </row>
        <row r="363">
          <cell r="B363" t="str">
            <v>三、本年增减变动金额（减少以“-”号填列）</v>
          </cell>
          <cell r="C363">
            <v>0</v>
          </cell>
          <cell r="F363">
            <v>0</v>
          </cell>
        </row>
        <row r="364">
          <cell r="A364" t="str">
            <v>F2601</v>
          </cell>
          <cell r="B364" t="str">
            <v>（一）净利润</v>
          </cell>
          <cell r="C364">
            <v>0</v>
          </cell>
          <cell r="D364">
            <v>0</v>
          </cell>
          <cell r="E364">
            <v>0</v>
          </cell>
          <cell r="F364">
            <v>0</v>
          </cell>
        </row>
        <row r="365">
          <cell r="B365" t="str">
            <v>（二）直接计入所有者权益的利得和损失</v>
          </cell>
          <cell r="C365">
            <v>0</v>
          </cell>
          <cell r="F365">
            <v>0</v>
          </cell>
        </row>
        <row r="366">
          <cell r="B366" t="str">
            <v>可供出售金融资产公允价值变动净额</v>
          </cell>
          <cell r="C366">
            <v>0</v>
          </cell>
          <cell r="F366">
            <v>0</v>
          </cell>
        </row>
        <row r="367">
          <cell r="B367" t="str">
            <v>权益法下被投资单位其他所有者权益变动的影响</v>
          </cell>
          <cell r="C367">
            <v>0</v>
          </cell>
          <cell r="F367">
            <v>0</v>
          </cell>
        </row>
        <row r="368">
          <cell r="B368" t="str">
            <v>与计入所有者权益项目相关的所得税影响</v>
          </cell>
          <cell r="C368">
            <v>0</v>
          </cell>
          <cell r="F368">
            <v>0</v>
          </cell>
        </row>
        <row r="369">
          <cell r="A369" t="str">
            <v>F2605</v>
          </cell>
          <cell r="B369" t="str">
            <v>其他</v>
          </cell>
          <cell r="C369">
            <v>0</v>
          </cell>
          <cell r="D369">
            <v>0</v>
          </cell>
          <cell r="E369">
            <v>0</v>
          </cell>
          <cell r="F369">
            <v>0</v>
          </cell>
        </row>
        <row r="370">
          <cell r="B370" t="str">
            <v>上述（一）和（二）小计</v>
          </cell>
          <cell r="C370">
            <v>0</v>
          </cell>
          <cell r="F370">
            <v>0</v>
          </cell>
        </row>
        <row r="371">
          <cell r="B371" t="str">
            <v>（三）所有者投入和减少资本</v>
          </cell>
          <cell r="C371">
            <v>0</v>
          </cell>
          <cell r="F371">
            <v>0</v>
          </cell>
        </row>
        <row r="372">
          <cell r="A372" t="str">
            <v>F2606</v>
          </cell>
          <cell r="B372" t="str">
            <v>所有者投入资本</v>
          </cell>
          <cell r="C372">
            <v>0</v>
          </cell>
          <cell r="D372">
            <v>0</v>
          </cell>
          <cell r="E372">
            <v>0</v>
          </cell>
          <cell r="F372">
            <v>0</v>
          </cell>
        </row>
        <row r="373">
          <cell r="B373" t="str">
            <v>股份支付计入所有者权益的金额</v>
          </cell>
          <cell r="C373">
            <v>0</v>
          </cell>
          <cell r="F373">
            <v>0</v>
          </cell>
        </row>
        <row r="374">
          <cell r="B374" t="str">
            <v>其他</v>
          </cell>
          <cell r="C374">
            <v>0</v>
          </cell>
          <cell r="F374">
            <v>0</v>
          </cell>
        </row>
        <row r="375">
          <cell r="B375" t="str">
            <v>（四）利润分配</v>
          </cell>
          <cell r="C375">
            <v>0</v>
          </cell>
          <cell r="F375">
            <v>0</v>
          </cell>
        </row>
        <row r="376">
          <cell r="B376" t="str">
            <v xml:space="preserve">提取盈余公积 </v>
          </cell>
          <cell r="C376">
            <v>0</v>
          </cell>
          <cell r="F376">
            <v>0</v>
          </cell>
        </row>
        <row r="377">
          <cell r="B377" t="str">
            <v>提取一般风险准备</v>
          </cell>
          <cell r="C377">
            <v>0</v>
          </cell>
          <cell r="F377">
            <v>0</v>
          </cell>
        </row>
        <row r="378">
          <cell r="A378" t="str">
            <v>F2607</v>
          </cell>
          <cell r="B378" t="str">
            <v>对所有者（或股东）的分配</v>
          </cell>
          <cell r="C378">
            <v>0</v>
          </cell>
          <cell r="D378">
            <v>0</v>
          </cell>
          <cell r="E378">
            <v>0</v>
          </cell>
          <cell r="F378">
            <v>0</v>
          </cell>
        </row>
        <row r="379">
          <cell r="B379" t="str">
            <v>其他</v>
          </cell>
          <cell r="C379">
            <v>0</v>
          </cell>
          <cell r="F379">
            <v>0</v>
          </cell>
        </row>
        <row r="380">
          <cell r="B380" t="str">
            <v>（五）所有者权益内部结转</v>
          </cell>
          <cell r="C380">
            <v>0</v>
          </cell>
          <cell r="F380">
            <v>0</v>
          </cell>
        </row>
        <row r="381">
          <cell r="B381" t="str">
            <v>资本公积转增资本</v>
          </cell>
          <cell r="C381">
            <v>0</v>
          </cell>
          <cell r="F381">
            <v>0</v>
          </cell>
        </row>
        <row r="382">
          <cell r="B382" t="str">
            <v>盈余公积转增资本</v>
          </cell>
          <cell r="C382">
            <v>0</v>
          </cell>
          <cell r="F382">
            <v>0</v>
          </cell>
        </row>
        <row r="383">
          <cell r="B383" t="str">
            <v>盈余公积弥补亏损</v>
          </cell>
          <cell r="C383">
            <v>0</v>
          </cell>
          <cell r="F383">
            <v>0</v>
          </cell>
        </row>
        <row r="384">
          <cell r="B384" t="str">
            <v>其他</v>
          </cell>
          <cell r="C384">
            <v>0</v>
          </cell>
          <cell r="F384">
            <v>0</v>
          </cell>
        </row>
        <row r="385">
          <cell r="B385" t="str">
            <v>四、本年年末余额</v>
          </cell>
          <cell r="C385">
            <v>0</v>
          </cell>
          <cell r="F385">
            <v>0</v>
          </cell>
        </row>
        <row r="386">
          <cell r="B386" t="str">
            <v xml:space="preserve">一般风险准备 </v>
          </cell>
        </row>
        <row r="387">
          <cell r="B387" t="str">
            <v>一、上年年末余额</v>
          </cell>
          <cell r="C387">
            <v>0</v>
          </cell>
          <cell r="F387">
            <v>0</v>
          </cell>
        </row>
        <row r="388">
          <cell r="B388" t="str">
            <v>会计政策变更</v>
          </cell>
          <cell r="C388">
            <v>0</v>
          </cell>
          <cell r="F388">
            <v>0</v>
          </cell>
        </row>
        <row r="389">
          <cell r="B389" t="str">
            <v>前期差错更正</v>
          </cell>
          <cell r="C389">
            <v>0</v>
          </cell>
          <cell r="F389">
            <v>0</v>
          </cell>
        </row>
        <row r="390">
          <cell r="B390" t="str">
            <v>二、本年年初余额</v>
          </cell>
          <cell r="C390">
            <v>0</v>
          </cell>
          <cell r="F390">
            <v>0</v>
          </cell>
        </row>
        <row r="391">
          <cell r="B391" t="str">
            <v>三、本年增减变动金额（减少以“-”号填列）</v>
          </cell>
          <cell r="C391">
            <v>0</v>
          </cell>
          <cell r="F391">
            <v>0</v>
          </cell>
        </row>
        <row r="392">
          <cell r="B392" t="str">
            <v>（一）净利润</v>
          </cell>
          <cell r="C392">
            <v>0</v>
          </cell>
          <cell r="F392">
            <v>0</v>
          </cell>
        </row>
        <row r="393">
          <cell r="B393" t="str">
            <v>（二）直接计入所有者权益的利得和损失</v>
          </cell>
          <cell r="C393">
            <v>0</v>
          </cell>
          <cell r="F393">
            <v>0</v>
          </cell>
        </row>
        <row r="394">
          <cell r="B394" t="str">
            <v>可供出售金融资产公允价值变动净额</v>
          </cell>
          <cell r="C394">
            <v>0</v>
          </cell>
          <cell r="F394">
            <v>0</v>
          </cell>
        </row>
        <row r="395">
          <cell r="B395" t="str">
            <v>权益法下被投资单位其他所有者权益变动的影响</v>
          </cell>
          <cell r="C395">
            <v>0</v>
          </cell>
          <cell r="F395">
            <v>0</v>
          </cell>
        </row>
        <row r="396">
          <cell r="B396" t="str">
            <v>与计入所有者权益项目相关的所得税影响</v>
          </cell>
          <cell r="C396">
            <v>0</v>
          </cell>
          <cell r="F396">
            <v>0</v>
          </cell>
        </row>
        <row r="397">
          <cell r="B397" t="str">
            <v>其他</v>
          </cell>
          <cell r="C397">
            <v>0</v>
          </cell>
          <cell r="F397">
            <v>0</v>
          </cell>
        </row>
        <row r="398">
          <cell r="B398" t="str">
            <v>上述（一）和（二）小计</v>
          </cell>
          <cell r="C398">
            <v>0</v>
          </cell>
          <cell r="F398">
            <v>0</v>
          </cell>
        </row>
        <row r="399">
          <cell r="B399" t="str">
            <v>（三）所有者投入和减少资本</v>
          </cell>
          <cell r="C399">
            <v>0</v>
          </cell>
          <cell r="F399">
            <v>0</v>
          </cell>
        </row>
        <row r="400">
          <cell r="B400" t="str">
            <v>所有者投入资本</v>
          </cell>
          <cell r="C400">
            <v>0</v>
          </cell>
          <cell r="F400">
            <v>0</v>
          </cell>
        </row>
        <row r="401">
          <cell r="B401" t="str">
            <v>股份支付计入所有者权益的金额</v>
          </cell>
          <cell r="C401">
            <v>0</v>
          </cell>
          <cell r="F401">
            <v>0</v>
          </cell>
        </row>
        <row r="402">
          <cell r="B402" t="str">
            <v>其他</v>
          </cell>
          <cell r="C402">
            <v>0</v>
          </cell>
          <cell r="F402">
            <v>0</v>
          </cell>
        </row>
        <row r="403">
          <cell r="B403" t="str">
            <v>（四）利润分配</v>
          </cell>
          <cell r="C403">
            <v>0</v>
          </cell>
          <cell r="F403">
            <v>0</v>
          </cell>
        </row>
        <row r="404">
          <cell r="B404" t="str">
            <v xml:space="preserve">提取盈余公积 </v>
          </cell>
          <cell r="C404">
            <v>0</v>
          </cell>
          <cell r="F404">
            <v>0</v>
          </cell>
        </row>
        <row r="405">
          <cell r="A405" t="str">
            <v>F4508</v>
          </cell>
          <cell r="B405" t="str">
            <v>提取一般风险准备</v>
          </cell>
          <cell r="C405">
            <v>0</v>
          </cell>
          <cell r="D405">
            <v>0</v>
          </cell>
          <cell r="E405">
            <v>0</v>
          </cell>
          <cell r="F405">
            <v>0</v>
          </cell>
        </row>
        <row r="406">
          <cell r="B406" t="str">
            <v>对所有者（或股东）的分配</v>
          </cell>
          <cell r="C406">
            <v>0</v>
          </cell>
          <cell r="F406">
            <v>0</v>
          </cell>
        </row>
        <row r="407">
          <cell r="B407" t="str">
            <v>其他</v>
          </cell>
          <cell r="C407">
            <v>0</v>
          </cell>
          <cell r="F407">
            <v>0</v>
          </cell>
        </row>
        <row r="408">
          <cell r="B408" t="str">
            <v>（五）所有者权益内部结转</v>
          </cell>
          <cell r="C408">
            <v>0</v>
          </cell>
          <cell r="F408">
            <v>0</v>
          </cell>
        </row>
        <row r="409">
          <cell r="B409" t="str">
            <v>资本公积转增资本</v>
          </cell>
          <cell r="C409">
            <v>0</v>
          </cell>
          <cell r="F409">
            <v>0</v>
          </cell>
        </row>
        <row r="410">
          <cell r="B410" t="str">
            <v>盈余公积转增资本</v>
          </cell>
          <cell r="C410">
            <v>0</v>
          </cell>
          <cell r="F410">
            <v>0</v>
          </cell>
        </row>
        <row r="411">
          <cell r="B411" t="str">
            <v>盈余公积弥补亏损</v>
          </cell>
          <cell r="C411">
            <v>0</v>
          </cell>
          <cell r="F411">
            <v>0</v>
          </cell>
        </row>
        <row r="412">
          <cell r="B412" t="str">
            <v>其他</v>
          </cell>
          <cell r="C412">
            <v>0</v>
          </cell>
          <cell r="F412">
            <v>0</v>
          </cell>
        </row>
        <row r="413">
          <cell r="B413" t="str">
            <v>四、本年年末余额</v>
          </cell>
          <cell r="C413">
            <v>0</v>
          </cell>
          <cell r="F413">
            <v>0</v>
          </cell>
        </row>
        <row r="414">
          <cell r="B414" t="str">
            <v>其他</v>
          </cell>
        </row>
        <row r="415">
          <cell r="B415" t="str">
            <v>一、上年年末余额</v>
          </cell>
          <cell r="C415">
            <v>0</v>
          </cell>
          <cell r="F415">
            <v>0</v>
          </cell>
        </row>
        <row r="416">
          <cell r="B416" t="str">
            <v>会计政策变更</v>
          </cell>
          <cell r="C416">
            <v>0</v>
          </cell>
          <cell r="F416">
            <v>0</v>
          </cell>
        </row>
        <row r="417">
          <cell r="B417" t="str">
            <v>前期差错更正</v>
          </cell>
          <cell r="C417">
            <v>0</v>
          </cell>
          <cell r="F417">
            <v>0</v>
          </cell>
        </row>
        <row r="418">
          <cell r="B418" t="str">
            <v>二、本年年初余额</v>
          </cell>
          <cell r="C418">
            <v>0</v>
          </cell>
          <cell r="F418">
            <v>0</v>
          </cell>
        </row>
        <row r="419">
          <cell r="B419" t="str">
            <v>三、本年增减变动金额（减少以“-”号填列）</v>
          </cell>
          <cell r="C419">
            <v>0</v>
          </cell>
          <cell r="F419">
            <v>0</v>
          </cell>
        </row>
        <row r="420">
          <cell r="B420" t="str">
            <v>（一）净利润</v>
          </cell>
          <cell r="C420">
            <v>0</v>
          </cell>
          <cell r="F420">
            <v>0</v>
          </cell>
        </row>
        <row r="421">
          <cell r="B421" t="str">
            <v>（二）直接计入所有者权益的利得和损失</v>
          </cell>
          <cell r="C421">
            <v>0</v>
          </cell>
          <cell r="F421">
            <v>0</v>
          </cell>
        </row>
        <row r="422">
          <cell r="B422" t="str">
            <v>可供出售金融资产公允价值变动净额</v>
          </cell>
          <cell r="C422">
            <v>0</v>
          </cell>
          <cell r="F422">
            <v>0</v>
          </cell>
        </row>
        <row r="423">
          <cell r="B423" t="str">
            <v>权益法下被投资单位其他所有者权益变动的影响</v>
          </cell>
          <cell r="C423">
            <v>0</v>
          </cell>
          <cell r="F423">
            <v>0</v>
          </cell>
        </row>
        <row r="424">
          <cell r="B424" t="str">
            <v>与计入所有者权益项目相关的所得税影响</v>
          </cell>
          <cell r="C424">
            <v>0</v>
          </cell>
          <cell r="F424">
            <v>0</v>
          </cell>
        </row>
        <row r="425">
          <cell r="B425" t="str">
            <v>其他</v>
          </cell>
          <cell r="C425">
            <v>0</v>
          </cell>
          <cell r="F425">
            <v>0</v>
          </cell>
        </row>
        <row r="426">
          <cell r="B426" t="str">
            <v>上述（一）和（二）小计</v>
          </cell>
          <cell r="C426">
            <v>0</v>
          </cell>
          <cell r="F426">
            <v>0</v>
          </cell>
        </row>
        <row r="427">
          <cell r="B427" t="str">
            <v>（三）所有者投入和减少资本</v>
          </cell>
          <cell r="C427">
            <v>0</v>
          </cell>
          <cell r="F427">
            <v>0</v>
          </cell>
        </row>
        <row r="428">
          <cell r="B428" t="str">
            <v>所有者投入资本</v>
          </cell>
          <cell r="C428">
            <v>0</v>
          </cell>
          <cell r="F428">
            <v>0</v>
          </cell>
        </row>
        <row r="429">
          <cell r="B429" t="str">
            <v>股份支付计入所有者权益的金额</v>
          </cell>
          <cell r="C429">
            <v>0</v>
          </cell>
          <cell r="F429">
            <v>0</v>
          </cell>
        </row>
        <row r="430">
          <cell r="B430" t="str">
            <v>其他</v>
          </cell>
          <cell r="C430">
            <v>0</v>
          </cell>
          <cell r="F430">
            <v>0</v>
          </cell>
        </row>
        <row r="431">
          <cell r="B431" t="str">
            <v>（四）利润分配</v>
          </cell>
          <cell r="C431">
            <v>0</v>
          </cell>
          <cell r="F431">
            <v>0</v>
          </cell>
        </row>
        <row r="432">
          <cell r="B432" t="str">
            <v xml:space="preserve">提取盈余公积 </v>
          </cell>
          <cell r="C432">
            <v>0</v>
          </cell>
          <cell r="F432">
            <v>0</v>
          </cell>
        </row>
        <row r="433">
          <cell r="B433" t="str">
            <v>提取一般风险准备</v>
          </cell>
          <cell r="C433">
            <v>0</v>
          </cell>
          <cell r="F433">
            <v>0</v>
          </cell>
        </row>
        <row r="434">
          <cell r="B434" t="str">
            <v>对所有者（或股东）的分配</v>
          </cell>
          <cell r="C434">
            <v>0</v>
          </cell>
          <cell r="F434">
            <v>0</v>
          </cell>
        </row>
        <row r="435">
          <cell r="B435" t="str">
            <v>其他</v>
          </cell>
          <cell r="C435">
            <v>0</v>
          </cell>
          <cell r="F435">
            <v>0</v>
          </cell>
        </row>
        <row r="436">
          <cell r="B436" t="str">
            <v>（五）所有者权益内部结转</v>
          </cell>
          <cell r="C436">
            <v>0</v>
          </cell>
          <cell r="F436">
            <v>0</v>
          </cell>
        </row>
        <row r="437">
          <cell r="B437" t="str">
            <v>资本公积转增资本</v>
          </cell>
          <cell r="C437">
            <v>0</v>
          </cell>
          <cell r="F437">
            <v>0</v>
          </cell>
        </row>
        <row r="438">
          <cell r="B438" t="str">
            <v>盈余公积转增资本</v>
          </cell>
          <cell r="C438">
            <v>0</v>
          </cell>
          <cell r="F438">
            <v>0</v>
          </cell>
        </row>
        <row r="439">
          <cell r="B439" t="str">
            <v>盈余公积弥补亏损</v>
          </cell>
          <cell r="C439">
            <v>0</v>
          </cell>
          <cell r="F439">
            <v>0</v>
          </cell>
        </row>
        <row r="440">
          <cell r="B440" t="str">
            <v>其他</v>
          </cell>
          <cell r="C440">
            <v>0</v>
          </cell>
          <cell r="F440">
            <v>0</v>
          </cell>
        </row>
        <row r="441">
          <cell r="B441" t="str">
            <v>四、本年年末余额</v>
          </cell>
          <cell r="C441">
            <v>0</v>
          </cell>
          <cell r="F441">
            <v>0</v>
          </cell>
        </row>
        <row r="442">
          <cell r="B442" t="str">
            <v>所有者权益变动表上年数</v>
          </cell>
        </row>
        <row r="443">
          <cell r="B443" t="str">
            <v>实收资本</v>
          </cell>
        </row>
        <row r="444">
          <cell r="B444" t="str">
            <v>一、上年年末余额</v>
          </cell>
          <cell r="C444">
            <v>0</v>
          </cell>
          <cell r="F444">
            <v>0</v>
          </cell>
        </row>
        <row r="445">
          <cell r="B445" t="str">
            <v>会计政策变更</v>
          </cell>
          <cell r="C445">
            <v>0</v>
          </cell>
          <cell r="F445">
            <v>0</v>
          </cell>
        </row>
        <row r="446">
          <cell r="B446" t="str">
            <v>前期差错更正</v>
          </cell>
          <cell r="C446">
            <v>0</v>
          </cell>
          <cell r="F446">
            <v>0</v>
          </cell>
        </row>
        <row r="447">
          <cell r="B447" t="str">
            <v>二、本年年初余额</v>
          </cell>
          <cell r="C447">
            <v>0</v>
          </cell>
          <cell r="F447">
            <v>0</v>
          </cell>
        </row>
        <row r="448">
          <cell r="B448" t="str">
            <v>三、本年增减变动金额（减少以“-”号填列）</v>
          </cell>
          <cell r="C448">
            <v>0</v>
          </cell>
          <cell r="F448">
            <v>0</v>
          </cell>
        </row>
        <row r="449">
          <cell r="B449" t="str">
            <v>（一）净利润</v>
          </cell>
          <cell r="C449">
            <v>0</v>
          </cell>
          <cell r="F449">
            <v>0</v>
          </cell>
        </row>
        <row r="450">
          <cell r="B450" t="str">
            <v>（二）直接计入所有者权益的利得和损失</v>
          </cell>
          <cell r="C450">
            <v>0</v>
          </cell>
          <cell r="F450">
            <v>0</v>
          </cell>
        </row>
        <row r="451">
          <cell r="B451" t="str">
            <v>可供出售金融资产公允价值变动净额</v>
          </cell>
          <cell r="C451">
            <v>0</v>
          </cell>
          <cell r="F451">
            <v>0</v>
          </cell>
        </row>
        <row r="452">
          <cell r="B452" t="str">
            <v>权益法下被投资单位其他所有者权益变动的影响</v>
          </cell>
          <cell r="C452">
            <v>0</v>
          </cell>
          <cell r="F452">
            <v>0</v>
          </cell>
        </row>
        <row r="453">
          <cell r="B453" t="str">
            <v>与计入所有者权益项目相关的所得税影响</v>
          </cell>
          <cell r="C453">
            <v>0</v>
          </cell>
          <cell r="F453">
            <v>0</v>
          </cell>
        </row>
        <row r="454">
          <cell r="B454" t="str">
            <v>其他</v>
          </cell>
          <cell r="C454">
            <v>0</v>
          </cell>
          <cell r="F454">
            <v>0</v>
          </cell>
        </row>
        <row r="455">
          <cell r="B455" t="str">
            <v>上述（一）和（二）小计</v>
          </cell>
          <cell r="C455">
            <v>0</v>
          </cell>
          <cell r="F455">
            <v>0</v>
          </cell>
        </row>
        <row r="456">
          <cell r="B456" t="str">
            <v>（三）所有者投入和减少资本</v>
          </cell>
          <cell r="C456">
            <v>0</v>
          </cell>
          <cell r="F456">
            <v>0</v>
          </cell>
        </row>
        <row r="457">
          <cell r="B457" t="str">
            <v>所有者投入资本</v>
          </cell>
          <cell r="C457">
            <v>0</v>
          </cell>
          <cell r="F457">
            <v>0</v>
          </cell>
        </row>
        <row r="458">
          <cell r="B458" t="str">
            <v>股份支付计入所有者权益的金额</v>
          </cell>
          <cell r="C458">
            <v>0</v>
          </cell>
          <cell r="F458">
            <v>0</v>
          </cell>
        </row>
        <row r="459">
          <cell r="B459" t="str">
            <v>其他</v>
          </cell>
          <cell r="C459">
            <v>0</v>
          </cell>
          <cell r="F459">
            <v>0</v>
          </cell>
        </row>
        <row r="460">
          <cell r="B460" t="str">
            <v>（四）利润分配</v>
          </cell>
          <cell r="C460">
            <v>0</v>
          </cell>
          <cell r="F460">
            <v>0</v>
          </cell>
        </row>
        <row r="461">
          <cell r="B461" t="str">
            <v xml:space="preserve">提取盈余公积 </v>
          </cell>
          <cell r="C461">
            <v>0</v>
          </cell>
          <cell r="F461">
            <v>0</v>
          </cell>
        </row>
        <row r="462">
          <cell r="B462" t="str">
            <v>提取一般风险准备</v>
          </cell>
          <cell r="C462">
            <v>0</v>
          </cell>
          <cell r="F462">
            <v>0</v>
          </cell>
        </row>
        <row r="463">
          <cell r="B463" t="str">
            <v>对所有者（或股东）的分配</v>
          </cell>
          <cell r="C463">
            <v>0</v>
          </cell>
          <cell r="F463">
            <v>0</v>
          </cell>
        </row>
        <row r="464">
          <cell r="B464" t="str">
            <v>其他</v>
          </cell>
          <cell r="C464">
            <v>0</v>
          </cell>
          <cell r="F464">
            <v>0</v>
          </cell>
        </row>
        <row r="465">
          <cell r="B465" t="str">
            <v>（五）所有者权益内部结转</v>
          </cell>
          <cell r="C465">
            <v>0</v>
          </cell>
          <cell r="F465">
            <v>0</v>
          </cell>
        </row>
        <row r="466">
          <cell r="B466" t="str">
            <v>资本公积转增资本</v>
          </cell>
          <cell r="C466">
            <v>0</v>
          </cell>
          <cell r="F466">
            <v>0</v>
          </cell>
        </row>
        <row r="467">
          <cell r="B467" t="str">
            <v>盈余公积转增资本</v>
          </cell>
          <cell r="C467">
            <v>0</v>
          </cell>
          <cell r="F467">
            <v>0</v>
          </cell>
        </row>
        <row r="468">
          <cell r="B468" t="str">
            <v>盈余公积弥补亏损</v>
          </cell>
          <cell r="C468">
            <v>0</v>
          </cell>
          <cell r="F468">
            <v>0</v>
          </cell>
        </row>
        <row r="469">
          <cell r="B469" t="str">
            <v>其他</v>
          </cell>
          <cell r="C469">
            <v>0</v>
          </cell>
          <cell r="F469">
            <v>0</v>
          </cell>
        </row>
        <row r="470">
          <cell r="B470" t="str">
            <v>四、本年年末余额</v>
          </cell>
          <cell r="C470">
            <v>0</v>
          </cell>
          <cell r="F470">
            <v>0</v>
          </cell>
        </row>
        <row r="471">
          <cell r="B471" t="str">
            <v>资本公积</v>
          </cell>
          <cell r="F471">
            <v>0</v>
          </cell>
        </row>
        <row r="472">
          <cell r="B472" t="str">
            <v>一、上年年末余额</v>
          </cell>
          <cell r="C472">
            <v>0</v>
          </cell>
          <cell r="F472">
            <v>0</v>
          </cell>
        </row>
        <row r="473">
          <cell r="B473" t="str">
            <v>会计政策变更</v>
          </cell>
          <cell r="C473">
            <v>0</v>
          </cell>
          <cell r="F473">
            <v>0</v>
          </cell>
        </row>
        <row r="474">
          <cell r="B474" t="str">
            <v>前期差错更正</v>
          </cell>
          <cell r="C474">
            <v>0</v>
          </cell>
          <cell r="F474">
            <v>0</v>
          </cell>
        </row>
        <row r="475">
          <cell r="B475" t="str">
            <v>二、本年年初余额</v>
          </cell>
          <cell r="C475">
            <v>0</v>
          </cell>
          <cell r="F475">
            <v>0</v>
          </cell>
        </row>
        <row r="476">
          <cell r="B476" t="str">
            <v>三、本年增减变动金额（减少以“-”号填列）</v>
          </cell>
          <cell r="C476">
            <v>0</v>
          </cell>
          <cell r="F476">
            <v>0</v>
          </cell>
        </row>
        <row r="477">
          <cell r="B477" t="str">
            <v>（一）净利润</v>
          </cell>
          <cell r="C477">
            <v>0</v>
          </cell>
          <cell r="F477">
            <v>0</v>
          </cell>
        </row>
        <row r="478">
          <cell r="B478" t="str">
            <v>（二）直接计入所有者权益的利得和损失</v>
          </cell>
          <cell r="C478">
            <v>0</v>
          </cell>
          <cell r="F478">
            <v>0</v>
          </cell>
        </row>
        <row r="479">
          <cell r="B479" t="str">
            <v>可供出售金融资产公允价值变动净额</v>
          </cell>
          <cell r="C479">
            <v>0</v>
          </cell>
          <cell r="F479">
            <v>0</v>
          </cell>
        </row>
        <row r="480">
          <cell r="B480" t="str">
            <v>权益法下被投资单位其他所有者权益变动的影响</v>
          </cell>
          <cell r="C480">
            <v>0</v>
          </cell>
          <cell r="F480">
            <v>0</v>
          </cell>
        </row>
        <row r="481">
          <cell r="B481" t="str">
            <v>与计入所有者权益项目相关的所得税影响</v>
          </cell>
          <cell r="C481">
            <v>0</v>
          </cell>
          <cell r="F481">
            <v>0</v>
          </cell>
        </row>
        <row r="482">
          <cell r="B482" t="str">
            <v>其他</v>
          </cell>
          <cell r="C482">
            <v>0</v>
          </cell>
          <cell r="F482">
            <v>0</v>
          </cell>
        </row>
        <row r="483">
          <cell r="B483" t="str">
            <v>上述（一）和（二）小计</v>
          </cell>
          <cell r="C483">
            <v>0</v>
          </cell>
          <cell r="F483">
            <v>0</v>
          </cell>
        </row>
        <row r="484">
          <cell r="B484" t="str">
            <v>（三）所有者投入和减少资本</v>
          </cell>
          <cell r="C484">
            <v>0</v>
          </cell>
          <cell r="F484">
            <v>0</v>
          </cell>
        </row>
        <row r="485">
          <cell r="B485" t="str">
            <v>所有者投入资本</v>
          </cell>
          <cell r="C485">
            <v>0</v>
          </cell>
          <cell r="F485">
            <v>0</v>
          </cell>
        </row>
        <row r="486">
          <cell r="B486" t="str">
            <v>股份支付计入所有者权益的金额</v>
          </cell>
          <cell r="C486">
            <v>0</v>
          </cell>
          <cell r="F486">
            <v>0</v>
          </cell>
        </row>
        <row r="487">
          <cell r="B487" t="str">
            <v>其他</v>
          </cell>
          <cell r="C487">
            <v>0</v>
          </cell>
          <cell r="F487">
            <v>0</v>
          </cell>
        </row>
        <row r="488">
          <cell r="B488" t="str">
            <v>（四）利润分配</v>
          </cell>
          <cell r="C488">
            <v>0</v>
          </cell>
          <cell r="F488">
            <v>0</v>
          </cell>
        </row>
        <row r="489">
          <cell r="B489" t="str">
            <v xml:space="preserve">提取盈余公积 </v>
          </cell>
          <cell r="C489">
            <v>0</v>
          </cell>
          <cell r="F489">
            <v>0</v>
          </cell>
        </row>
        <row r="490">
          <cell r="B490" t="str">
            <v>提取一般风险准备</v>
          </cell>
          <cell r="C490">
            <v>0</v>
          </cell>
          <cell r="F490">
            <v>0</v>
          </cell>
        </row>
        <row r="491">
          <cell r="B491" t="str">
            <v>对所有者（或股东）的分配</v>
          </cell>
          <cell r="C491">
            <v>0</v>
          </cell>
          <cell r="F491">
            <v>0</v>
          </cell>
        </row>
        <row r="492">
          <cell r="B492" t="str">
            <v>其他</v>
          </cell>
          <cell r="C492">
            <v>0</v>
          </cell>
          <cell r="F492">
            <v>0</v>
          </cell>
        </row>
        <row r="493">
          <cell r="B493" t="str">
            <v>（五）所有者权益内部结转</v>
          </cell>
          <cell r="C493">
            <v>0</v>
          </cell>
          <cell r="F493">
            <v>0</v>
          </cell>
        </row>
        <row r="494">
          <cell r="B494" t="str">
            <v>资本公积转增资本</v>
          </cell>
          <cell r="C494">
            <v>0</v>
          </cell>
          <cell r="F494">
            <v>0</v>
          </cell>
        </row>
        <row r="495">
          <cell r="B495" t="str">
            <v>盈余公积转增资本</v>
          </cell>
          <cell r="C495">
            <v>0</v>
          </cell>
          <cell r="F495">
            <v>0</v>
          </cell>
        </row>
        <row r="496">
          <cell r="B496" t="str">
            <v>盈余公积弥补亏损</v>
          </cell>
          <cell r="C496">
            <v>0</v>
          </cell>
          <cell r="F496">
            <v>0</v>
          </cell>
        </row>
        <row r="497">
          <cell r="B497" t="str">
            <v>其他</v>
          </cell>
          <cell r="C497">
            <v>0</v>
          </cell>
          <cell r="F497">
            <v>0</v>
          </cell>
        </row>
        <row r="498">
          <cell r="B498" t="str">
            <v>四、本年年末余额</v>
          </cell>
          <cell r="C498">
            <v>0</v>
          </cell>
          <cell r="F498">
            <v>0</v>
          </cell>
        </row>
        <row r="499">
          <cell r="B499" t="str">
            <v>减：库存股</v>
          </cell>
          <cell r="F499">
            <v>0</v>
          </cell>
        </row>
        <row r="500">
          <cell r="B500" t="str">
            <v>一、上年年末余额</v>
          </cell>
          <cell r="C500">
            <v>0</v>
          </cell>
          <cell r="F500">
            <v>0</v>
          </cell>
        </row>
        <row r="501">
          <cell r="B501" t="str">
            <v>会计政策变更</v>
          </cell>
          <cell r="C501">
            <v>0</v>
          </cell>
          <cell r="F501">
            <v>0</v>
          </cell>
        </row>
        <row r="502">
          <cell r="B502" t="str">
            <v>前期差错更正</v>
          </cell>
          <cell r="C502">
            <v>0</v>
          </cell>
          <cell r="F502">
            <v>0</v>
          </cell>
        </row>
        <row r="503">
          <cell r="B503" t="str">
            <v>二、本年年初余额</v>
          </cell>
          <cell r="C503">
            <v>0</v>
          </cell>
          <cell r="F503">
            <v>0</v>
          </cell>
        </row>
        <row r="504">
          <cell r="B504" t="str">
            <v>三、本年增减变动金额（减少以“-”号填列）</v>
          </cell>
          <cell r="C504">
            <v>0</v>
          </cell>
          <cell r="F504">
            <v>0</v>
          </cell>
        </row>
        <row r="505">
          <cell r="B505" t="str">
            <v>（一）净利润</v>
          </cell>
          <cell r="C505">
            <v>0</v>
          </cell>
          <cell r="F505">
            <v>0</v>
          </cell>
        </row>
        <row r="506">
          <cell r="B506" t="str">
            <v>（二）直接计入所有者权益的利得和损失</v>
          </cell>
          <cell r="C506">
            <v>0</v>
          </cell>
          <cell r="F506">
            <v>0</v>
          </cell>
        </row>
        <row r="507">
          <cell r="B507" t="str">
            <v>可供出售金融资产公允价值变动净额</v>
          </cell>
          <cell r="C507">
            <v>0</v>
          </cell>
          <cell r="F507">
            <v>0</v>
          </cell>
        </row>
        <row r="508">
          <cell r="B508" t="str">
            <v>权益法下被投资单位其他所有者权益变动的影响</v>
          </cell>
          <cell r="C508">
            <v>0</v>
          </cell>
          <cell r="F508">
            <v>0</v>
          </cell>
        </row>
        <row r="509">
          <cell r="B509" t="str">
            <v>与计入所有者权益项目相关的所得税影响</v>
          </cell>
          <cell r="C509">
            <v>0</v>
          </cell>
          <cell r="F509">
            <v>0</v>
          </cell>
        </row>
        <row r="510">
          <cell r="B510" t="str">
            <v>其他</v>
          </cell>
          <cell r="C510">
            <v>0</v>
          </cell>
          <cell r="F510">
            <v>0</v>
          </cell>
        </row>
        <row r="511">
          <cell r="B511" t="str">
            <v>上述（一）和（二）小计</v>
          </cell>
          <cell r="C511">
            <v>0</v>
          </cell>
          <cell r="F511">
            <v>0</v>
          </cell>
        </row>
        <row r="512">
          <cell r="B512" t="str">
            <v>（三）所有者投入和减少资本</v>
          </cell>
          <cell r="C512">
            <v>0</v>
          </cell>
          <cell r="F512">
            <v>0</v>
          </cell>
        </row>
        <row r="513">
          <cell r="B513" t="str">
            <v>所有者投入资本</v>
          </cell>
          <cell r="C513">
            <v>0</v>
          </cell>
          <cell r="F513">
            <v>0</v>
          </cell>
        </row>
        <row r="514">
          <cell r="B514" t="str">
            <v>股份支付计入所有者权益的金额</v>
          </cell>
          <cell r="C514">
            <v>0</v>
          </cell>
          <cell r="F514">
            <v>0</v>
          </cell>
        </row>
        <row r="515">
          <cell r="B515" t="str">
            <v>其他</v>
          </cell>
          <cell r="C515">
            <v>0</v>
          </cell>
          <cell r="F515">
            <v>0</v>
          </cell>
        </row>
        <row r="516">
          <cell r="B516" t="str">
            <v>（四）利润分配</v>
          </cell>
          <cell r="C516">
            <v>0</v>
          </cell>
          <cell r="F516">
            <v>0</v>
          </cell>
        </row>
        <row r="517">
          <cell r="B517" t="str">
            <v xml:space="preserve">提取盈余公积 </v>
          </cell>
          <cell r="C517">
            <v>0</v>
          </cell>
          <cell r="F517">
            <v>0</v>
          </cell>
        </row>
        <row r="518">
          <cell r="B518" t="str">
            <v>提取一般风险准备</v>
          </cell>
          <cell r="C518">
            <v>0</v>
          </cell>
          <cell r="F518">
            <v>0</v>
          </cell>
        </row>
        <row r="519">
          <cell r="B519" t="str">
            <v>对所有者（或股东）的分配</v>
          </cell>
          <cell r="C519">
            <v>0</v>
          </cell>
          <cell r="F519">
            <v>0</v>
          </cell>
        </row>
        <row r="520">
          <cell r="B520" t="str">
            <v>其他</v>
          </cell>
          <cell r="C520">
            <v>0</v>
          </cell>
          <cell r="F520">
            <v>0</v>
          </cell>
        </row>
        <row r="521">
          <cell r="B521" t="str">
            <v>（五）所有者权益内部结转</v>
          </cell>
          <cell r="C521">
            <v>0</v>
          </cell>
          <cell r="F521">
            <v>0</v>
          </cell>
        </row>
        <row r="522">
          <cell r="B522" t="str">
            <v>资本公积转增资本</v>
          </cell>
          <cell r="C522">
            <v>0</v>
          </cell>
          <cell r="F522">
            <v>0</v>
          </cell>
        </row>
        <row r="523">
          <cell r="B523" t="str">
            <v>盈余公积转增资本</v>
          </cell>
          <cell r="C523">
            <v>0</v>
          </cell>
          <cell r="F523">
            <v>0</v>
          </cell>
        </row>
        <row r="524">
          <cell r="B524" t="str">
            <v>盈余公积弥补亏损</v>
          </cell>
          <cell r="C524">
            <v>0</v>
          </cell>
          <cell r="F524">
            <v>0</v>
          </cell>
        </row>
        <row r="525">
          <cell r="B525" t="str">
            <v>其他</v>
          </cell>
          <cell r="C525">
            <v>0</v>
          </cell>
          <cell r="F525">
            <v>0</v>
          </cell>
        </row>
        <row r="526">
          <cell r="B526" t="str">
            <v>四、本年年末余额</v>
          </cell>
          <cell r="C526">
            <v>0</v>
          </cell>
          <cell r="F526">
            <v>0</v>
          </cell>
        </row>
        <row r="527">
          <cell r="B527" t="str">
            <v>盈余公积</v>
          </cell>
          <cell r="F527">
            <v>0</v>
          </cell>
        </row>
        <row r="528">
          <cell r="B528" t="str">
            <v>一、上年年末余额</v>
          </cell>
          <cell r="C528">
            <v>0</v>
          </cell>
          <cell r="F528">
            <v>0</v>
          </cell>
        </row>
        <row r="529">
          <cell r="B529" t="str">
            <v>会计政策变更</v>
          </cell>
          <cell r="C529">
            <v>0</v>
          </cell>
          <cell r="F529">
            <v>0</v>
          </cell>
        </row>
        <row r="530">
          <cell r="B530" t="str">
            <v>前期差错更正</v>
          </cell>
          <cell r="C530">
            <v>0</v>
          </cell>
          <cell r="F530">
            <v>0</v>
          </cell>
        </row>
        <row r="531">
          <cell r="B531" t="str">
            <v>二、本年年初余额</v>
          </cell>
          <cell r="C531">
            <v>0</v>
          </cell>
          <cell r="F531">
            <v>0</v>
          </cell>
        </row>
        <row r="532">
          <cell r="B532" t="str">
            <v>三、本年增减变动金额（减少以“-”号填列）</v>
          </cell>
          <cell r="C532">
            <v>0</v>
          </cell>
          <cell r="F532">
            <v>0</v>
          </cell>
        </row>
        <row r="533">
          <cell r="B533" t="str">
            <v>（一）净利润</v>
          </cell>
          <cell r="C533">
            <v>0</v>
          </cell>
          <cell r="F533">
            <v>0</v>
          </cell>
        </row>
        <row r="534">
          <cell r="B534" t="str">
            <v>（二）直接计入所有者权益的利得和损失</v>
          </cell>
          <cell r="C534">
            <v>0</v>
          </cell>
          <cell r="F534">
            <v>0</v>
          </cell>
        </row>
        <row r="535">
          <cell r="B535" t="str">
            <v>可供出售金融资产公允价值变动净额</v>
          </cell>
          <cell r="C535">
            <v>0</v>
          </cell>
          <cell r="F535">
            <v>0</v>
          </cell>
        </row>
        <row r="536">
          <cell r="B536" t="str">
            <v>权益法下被投资单位其他所有者权益变动的影响</v>
          </cell>
          <cell r="C536">
            <v>0</v>
          </cell>
          <cell r="F536">
            <v>0</v>
          </cell>
        </row>
        <row r="537">
          <cell r="B537" t="str">
            <v>与计入所有者权益项目相关的所得税影响</v>
          </cell>
          <cell r="C537">
            <v>0</v>
          </cell>
          <cell r="F537">
            <v>0</v>
          </cell>
        </row>
        <row r="538">
          <cell r="B538" t="str">
            <v>其他</v>
          </cell>
          <cell r="C538">
            <v>0</v>
          </cell>
          <cell r="F538">
            <v>0</v>
          </cell>
        </row>
        <row r="539">
          <cell r="B539" t="str">
            <v>上述（一）和（二）小计</v>
          </cell>
          <cell r="C539">
            <v>0</v>
          </cell>
          <cell r="F539">
            <v>0</v>
          </cell>
        </row>
        <row r="540">
          <cell r="B540" t="str">
            <v>（三）所有者投入和减少资本</v>
          </cell>
          <cell r="C540">
            <v>0</v>
          </cell>
          <cell r="F540">
            <v>0</v>
          </cell>
        </row>
        <row r="541">
          <cell r="B541" t="str">
            <v>所有者投入资本</v>
          </cell>
          <cell r="C541">
            <v>0</v>
          </cell>
          <cell r="F541">
            <v>0</v>
          </cell>
        </row>
        <row r="542">
          <cell r="B542" t="str">
            <v>股份支付计入所有者权益的金额</v>
          </cell>
          <cell r="C542">
            <v>0</v>
          </cell>
          <cell r="F542">
            <v>0</v>
          </cell>
        </row>
        <row r="543">
          <cell r="B543" t="str">
            <v>其他</v>
          </cell>
          <cell r="C543">
            <v>0</v>
          </cell>
          <cell r="F543">
            <v>0</v>
          </cell>
        </row>
        <row r="544">
          <cell r="B544" t="str">
            <v>（四）利润分配</v>
          </cell>
          <cell r="C544">
            <v>0</v>
          </cell>
          <cell r="F544">
            <v>0</v>
          </cell>
        </row>
        <row r="545">
          <cell r="B545" t="str">
            <v xml:space="preserve">提取盈余公积 </v>
          </cell>
          <cell r="C545">
            <v>0</v>
          </cell>
          <cell r="F545">
            <v>0</v>
          </cell>
        </row>
        <row r="546">
          <cell r="B546" t="str">
            <v>提取一般风险准备</v>
          </cell>
          <cell r="C546">
            <v>0</v>
          </cell>
          <cell r="F546">
            <v>0</v>
          </cell>
        </row>
        <row r="547">
          <cell r="B547" t="str">
            <v>对所有者（或股东）的分配</v>
          </cell>
          <cell r="C547">
            <v>0</v>
          </cell>
          <cell r="F547">
            <v>0</v>
          </cell>
        </row>
        <row r="548">
          <cell r="B548" t="str">
            <v>其他</v>
          </cell>
          <cell r="C548">
            <v>0</v>
          </cell>
          <cell r="F548">
            <v>0</v>
          </cell>
        </row>
        <row r="549">
          <cell r="B549" t="str">
            <v>（五）所有者权益内部结转</v>
          </cell>
          <cell r="C549">
            <v>0</v>
          </cell>
          <cell r="F549">
            <v>0</v>
          </cell>
        </row>
        <row r="550">
          <cell r="B550" t="str">
            <v>资本公积转增资本</v>
          </cell>
          <cell r="C550">
            <v>0</v>
          </cell>
          <cell r="F550">
            <v>0</v>
          </cell>
        </row>
        <row r="551">
          <cell r="B551" t="str">
            <v>盈余公积转增资本</v>
          </cell>
          <cell r="C551">
            <v>0</v>
          </cell>
          <cell r="F551">
            <v>0</v>
          </cell>
        </row>
        <row r="552">
          <cell r="B552" t="str">
            <v>盈余公积弥补亏损</v>
          </cell>
          <cell r="C552">
            <v>0</v>
          </cell>
          <cell r="F552">
            <v>0</v>
          </cell>
        </row>
        <row r="553">
          <cell r="B553" t="str">
            <v>其他</v>
          </cell>
          <cell r="C553">
            <v>0</v>
          </cell>
          <cell r="F553">
            <v>0</v>
          </cell>
        </row>
        <row r="554">
          <cell r="B554" t="str">
            <v>四、本年年末余额</v>
          </cell>
          <cell r="C554">
            <v>0</v>
          </cell>
          <cell r="F554">
            <v>0</v>
          </cell>
        </row>
        <row r="555">
          <cell r="B555" t="str">
            <v xml:space="preserve">一般风险准备 </v>
          </cell>
          <cell r="F555">
            <v>0</v>
          </cell>
        </row>
        <row r="556">
          <cell r="B556" t="str">
            <v>一、上年年末余额</v>
          </cell>
          <cell r="C556">
            <v>0</v>
          </cell>
          <cell r="F556">
            <v>0</v>
          </cell>
        </row>
        <row r="557">
          <cell r="B557" t="str">
            <v>会计政策变更</v>
          </cell>
          <cell r="C557">
            <v>0</v>
          </cell>
          <cell r="F557">
            <v>0</v>
          </cell>
        </row>
        <row r="558">
          <cell r="B558" t="str">
            <v>前期差错更正</v>
          </cell>
          <cell r="C558">
            <v>0</v>
          </cell>
          <cell r="F558">
            <v>0</v>
          </cell>
        </row>
        <row r="559">
          <cell r="B559" t="str">
            <v>二、本年年初余额</v>
          </cell>
          <cell r="C559">
            <v>0</v>
          </cell>
          <cell r="F559">
            <v>0</v>
          </cell>
        </row>
        <row r="560">
          <cell r="B560" t="str">
            <v>三、本年增减变动金额（减少以“-”号填列）</v>
          </cell>
          <cell r="C560">
            <v>0</v>
          </cell>
          <cell r="F560">
            <v>0</v>
          </cell>
        </row>
        <row r="561">
          <cell r="B561" t="str">
            <v>（一）净利润</v>
          </cell>
          <cell r="C561">
            <v>0</v>
          </cell>
          <cell r="F561">
            <v>0</v>
          </cell>
        </row>
        <row r="562">
          <cell r="B562" t="str">
            <v>（二）直接计入所有者权益的利得和损失</v>
          </cell>
          <cell r="C562">
            <v>0</v>
          </cell>
          <cell r="F562">
            <v>0</v>
          </cell>
        </row>
        <row r="563">
          <cell r="B563" t="str">
            <v>可供出售金融资产公允价值变动净额</v>
          </cell>
          <cell r="C563">
            <v>0</v>
          </cell>
          <cell r="F563">
            <v>0</v>
          </cell>
        </row>
        <row r="564">
          <cell r="B564" t="str">
            <v>权益法下被投资单位其他所有者权益变动的影响</v>
          </cell>
          <cell r="C564">
            <v>0</v>
          </cell>
          <cell r="F564">
            <v>0</v>
          </cell>
        </row>
        <row r="565">
          <cell r="B565" t="str">
            <v>与计入所有者权益项目相关的所得税影响</v>
          </cell>
          <cell r="C565">
            <v>0</v>
          </cell>
          <cell r="F565">
            <v>0</v>
          </cell>
        </row>
        <row r="566">
          <cell r="B566" t="str">
            <v>其他</v>
          </cell>
          <cell r="C566">
            <v>0</v>
          </cell>
          <cell r="F566">
            <v>0</v>
          </cell>
        </row>
        <row r="567">
          <cell r="B567" t="str">
            <v>上述（一）和（二）小计</v>
          </cell>
          <cell r="C567">
            <v>0</v>
          </cell>
          <cell r="F567">
            <v>0</v>
          </cell>
        </row>
        <row r="568">
          <cell r="B568" t="str">
            <v>（三）所有者投入和减少资本</v>
          </cell>
          <cell r="C568">
            <v>0</v>
          </cell>
          <cell r="F568">
            <v>0</v>
          </cell>
        </row>
        <row r="569">
          <cell r="B569" t="str">
            <v>所有者投入资本</v>
          </cell>
          <cell r="C569">
            <v>0</v>
          </cell>
          <cell r="F569">
            <v>0</v>
          </cell>
        </row>
        <row r="570">
          <cell r="B570" t="str">
            <v>股份支付计入所有者权益的金额</v>
          </cell>
          <cell r="C570">
            <v>0</v>
          </cell>
          <cell r="F570">
            <v>0</v>
          </cell>
        </row>
        <row r="571">
          <cell r="B571" t="str">
            <v>其他</v>
          </cell>
          <cell r="C571">
            <v>0</v>
          </cell>
          <cell r="F571">
            <v>0</v>
          </cell>
        </row>
        <row r="572">
          <cell r="B572" t="str">
            <v>（四）利润分配</v>
          </cell>
          <cell r="C572">
            <v>0</v>
          </cell>
          <cell r="F572">
            <v>0</v>
          </cell>
        </row>
        <row r="573">
          <cell r="B573" t="str">
            <v xml:space="preserve">提取盈余公积 </v>
          </cell>
          <cell r="C573">
            <v>0</v>
          </cell>
          <cell r="F573">
            <v>0</v>
          </cell>
        </row>
        <row r="574">
          <cell r="B574" t="str">
            <v>提取一般风险准备</v>
          </cell>
          <cell r="C574">
            <v>0</v>
          </cell>
          <cell r="F574">
            <v>0</v>
          </cell>
        </row>
        <row r="575">
          <cell r="B575" t="str">
            <v>对所有者（或股东）的分配</v>
          </cell>
          <cell r="C575">
            <v>0</v>
          </cell>
          <cell r="F575">
            <v>0</v>
          </cell>
        </row>
        <row r="576">
          <cell r="B576" t="str">
            <v>其他</v>
          </cell>
          <cell r="C576">
            <v>0</v>
          </cell>
          <cell r="F576">
            <v>0</v>
          </cell>
        </row>
        <row r="577">
          <cell r="B577" t="str">
            <v>（五）所有者权益内部结转</v>
          </cell>
          <cell r="C577">
            <v>0</v>
          </cell>
          <cell r="F577">
            <v>0</v>
          </cell>
        </row>
        <row r="578">
          <cell r="B578" t="str">
            <v>资本公积转增资本</v>
          </cell>
          <cell r="C578">
            <v>0</v>
          </cell>
          <cell r="F578">
            <v>0</v>
          </cell>
        </row>
        <row r="579">
          <cell r="B579" t="str">
            <v>盈余公积转增资本</v>
          </cell>
          <cell r="C579">
            <v>0</v>
          </cell>
          <cell r="F579">
            <v>0</v>
          </cell>
        </row>
        <row r="580">
          <cell r="B580" t="str">
            <v>盈余公积弥补亏损</v>
          </cell>
          <cell r="C580">
            <v>0</v>
          </cell>
          <cell r="F580">
            <v>0</v>
          </cell>
        </row>
        <row r="581">
          <cell r="B581" t="str">
            <v>其他</v>
          </cell>
          <cell r="C581">
            <v>0</v>
          </cell>
          <cell r="F581">
            <v>0</v>
          </cell>
        </row>
        <row r="582">
          <cell r="B582" t="str">
            <v>四、本年年末余额</v>
          </cell>
          <cell r="C582">
            <v>0</v>
          </cell>
          <cell r="F582">
            <v>0</v>
          </cell>
        </row>
        <row r="583">
          <cell r="B583" t="str">
            <v>未分配利润</v>
          </cell>
          <cell r="F583">
            <v>0</v>
          </cell>
        </row>
        <row r="584">
          <cell r="B584" t="str">
            <v>一、上年年末余额</v>
          </cell>
          <cell r="C584">
            <v>0</v>
          </cell>
          <cell r="F584">
            <v>0</v>
          </cell>
        </row>
        <row r="585">
          <cell r="B585" t="str">
            <v>会计政策变更</v>
          </cell>
          <cell r="C585">
            <v>0</v>
          </cell>
          <cell r="F585">
            <v>0</v>
          </cell>
        </row>
        <row r="586">
          <cell r="B586" t="str">
            <v>前期差错更正</v>
          </cell>
          <cell r="C586">
            <v>0</v>
          </cell>
          <cell r="F586">
            <v>0</v>
          </cell>
        </row>
        <row r="587">
          <cell r="B587" t="str">
            <v>二、本年年初余额</v>
          </cell>
          <cell r="C587">
            <v>0</v>
          </cell>
          <cell r="F587">
            <v>0</v>
          </cell>
        </row>
        <row r="588">
          <cell r="B588" t="str">
            <v>三、本年增减变动金额（减少以“-”号填列）</v>
          </cell>
          <cell r="C588">
            <v>37416858.770000003</v>
          </cell>
          <cell r="F588">
            <v>37416858.770000003</v>
          </cell>
        </row>
        <row r="589">
          <cell r="B589" t="str">
            <v>（一）净利润</v>
          </cell>
          <cell r="C589">
            <v>37416858.770000003</v>
          </cell>
          <cell r="F589">
            <v>37416858.770000003</v>
          </cell>
        </row>
        <row r="590">
          <cell r="B590" t="str">
            <v>（二）直接计入所有者权益的利得和损失</v>
          </cell>
          <cell r="C590">
            <v>0</v>
          </cell>
          <cell r="F590">
            <v>0</v>
          </cell>
        </row>
        <row r="591">
          <cell r="B591" t="str">
            <v>可供出售金融资产公允价值变动净额</v>
          </cell>
          <cell r="C591">
            <v>0</v>
          </cell>
          <cell r="F591">
            <v>0</v>
          </cell>
        </row>
        <row r="592">
          <cell r="B592" t="str">
            <v>权益法下被投资单位其他所有者权益变动的影响</v>
          </cell>
          <cell r="C592">
            <v>0</v>
          </cell>
          <cell r="F592">
            <v>0</v>
          </cell>
        </row>
        <row r="593">
          <cell r="B593" t="str">
            <v>与计入所有者权益项目相关的所得税影响</v>
          </cell>
          <cell r="C593">
            <v>0</v>
          </cell>
          <cell r="F593">
            <v>0</v>
          </cell>
        </row>
        <row r="594">
          <cell r="B594" t="str">
            <v>其他</v>
          </cell>
          <cell r="C594">
            <v>0</v>
          </cell>
          <cell r="F594">
            <v>0</v>
          </cell>
        </row>
        <row r="595">
          <cell r="B595" t="str">
            <v>上述（一）和（二）小计</v>
          </cell>
          <cell r="C595">
            <v>37416858.770000003</v>
          </cell>
          <cell r="F595">
            <v>37416858.770000003</v>
          </cell>
        </row>
        <row r="596">
          <cell r="B596" t="str">
            <v>（三）所有者投入和减少资本</v>
          </cell>
          <cell r="C596">
            <v>0</v>
          </cell>
          <cell r="F596">
            <v>0</v>
          </cell>
        </row>
        <row r="597">
          <cell r="B597" t="str">
            <v>所有者投入资本</v>
          </cell>
          <cell r="C597">
            <v>0</v>
          </cell>
          <cell r="F597">
            <v>0</v>
          </cell>
        </row>
        <row r="598">
          <cell r="B598" t="str">
            <v>股份支付计入所有者权益的金额</v>
          </cell>
          <cell r="C598">
            <v>0</v>
          </cell>
          <cell r="F598">
            <v>0</v>
          </cell>
        </row>
        <row r="599">
          <cell r="B599" t="str">
            <v>其他</v>
          </cell>
          <cell r="C599">
            <v>0</v>
          </cell>
          <cell r="F599">
            <v>0</v>
          </cell>
        </row>
        <row r="600">
          <cell r="B600" t="str">
            <v>（四）利润分配</v>
          </cell>
          <cell r="C600">
            <v>0</v>
          </cell>
          <cell r="F600">
            <v>0</v>
          </cell>
        </row>
        <row r="601">
          <cell r="B601" t="str">
            <v xml:space="preserve">提取盈余公积 </v>
          </cell>
          <cell r="C601">
            <v>0</v>
          </cell>
          <cell r="F601">
            <v>0</v>
          </cell>
        </row>
        <row r="602">
          <cell r="B602" t="str">
            <v>提取一般风险准备</v>
          </cell>
          <cell r="C602">
            <v>0</v>
          </cell>
          <cell r="F602">
            <v>0</v>
          </cell>
        </row>
        <row r="603">
          <cell r="B603" t="str">
            <v>对所有者（或股东）的分配</v>
          </cell>
          <cell r="C603">
            <v>0</v>
          </cell>
          <cell r="F603">
            <v>0</v>
          </cell>
        </row>
        <row r="604">
          <cell r="B604" t="str">
            <v>其他</v>
          </cell>
          <cell r="C604">
            <v>0</v>
          </cell>
          <cell r="F604">
            <v>0</v>
          </cell>
        </row>
        <row r="605">
          <cell r="B605" t="str">
            <v>（五）所有者权益内部结转</v>
          </cell>
          <cell r="C605">
            <v>0</v>
          </cell>
          <cell r="F605">
            <v>0</v>
          </cell>
        </row>
        <row r="606">
          <cell r="B606" t="str">
            <v>资本公积转增资本</v>
          </cell>
          <cell r="C606">
            <v>0</v>
          </cell>
          <cell r="F606">
            <v>0</v>
          </cell>
        </row>
        <row r="607">
          <cell r="B607" t="str">
            <v>盈余公积转增资本</v>
          </cell>
          <cell r="C607">
            <v>0</v>
          </cell>
          <cell r="F607">
            <v>0</v>
          </cell>
        </row>
        <row r="608">
          <cell r="B608" t="str">
            <v>盈余公积弥补亏损</v>
          </cell>
          <cell r="C608">
            <v>0</v>
          </cell>
          <cell r="F608">
            <v>0</v>
          </cell>
        </row>
        <row r="609">
          <cell r="B609" t="str">
            <v>其他</v>
          </cell>
          <cell r="C609">
            <v>0</v>
          </cell>
          <cell r="F609">
            <v>0</v>
          </cell>
        </row>
        <row r="610">
          <cell r="B610" t="str">
            <v>四、本年年末余额</v>
          </cell>
          <cell r="C610">
            <v>37416858.770000003</v>
          </cell>
          <cell r="F610">
            <v>37416858.770000003</v>
          </cell>
        </row>
        <row r="611">
          <cell r="B611" t="str">
            <v>其他</v>
          </cell>
          <cell r="F611">
            <v>0</v>
          </cell>
        </row>
        <row r="612">
          <cell r="B612" t="str">
            <v>一、上年年末余额</v>
          </cell>
          <cell r="C612">
            <v>0</v>
          </cell>
          <cell r="F612">
            <v>0</v>
          </cell>
        </row>
        <row r="613">
          <cell r="B613" t="str">
            <v>会计政策变更</v>
          </cell>
          <cell r="C613">
            <v>0</v>
          </cell>
          <cell r="F613">
            <v>0</v>
          </cell>
        </row>
        <row r="614">
          <cell r="B614" t="str">
            <v>前期差错更正</v>
          </cell>
          <cell r="C614">
            <v>0</v>
          </cell>
          <cell r="F614">
            <v>0</v>
          </cell>
        </row>
        <row r="615">
          <cell r="B615" t="str">
            <v>二、本年年初余额</v>
          </cell>
          <cell r="C615">
            <v>0</v>
          </cell>
          <cell r="F615">
            <v>0</v>
          </cell>
        </row>
        <row r="616">
          <cell r="B616" t="str">
            <v>三、本年增减变动金额（减少以“-”号填列）</v>
          </cell>
          <cell r="C616">
            <v>0</v>
          </cell>
          <cell r="F616">
            <v>0</v>
          </cell>
        </row>
        <row r="617">
          <cell r="B617" t="str">
            <v>（一）净利润</v>
          </cell>
          <cell r="C617">
            <v>0</v>
          </cell>
          <cell r="F617">
            <v>0</v>
          </cell>
        </row>
        <row r="618">
          <cell r="B618" t="str">
            <v>（二）直接计入所有者权益的利得和损失</v>
          </cell>
          <cell r="C618">
            <v>0</v>
          </cell>
          <cell r="F618">
            <v>0</v>
          </cell>
        </row>
        <row r="619">
          <cell r="B619" t="str">
            <v>可供出售金融资产公允价值变动净额</v>
          </cell>
          <cell r="C619">
            <v>0</v>
          </cell>
          <cell r="F619">
            <v>0</v>
          </cell>
        </row>
        <row r="620">
          <cell r="B620" t="str">
            <v>权益法下被投资单位其他所有者权益变动的影响</v>
          </cell>
          <cell r="C620">
            <v>0</v>
          </cell>
          <cell r="F620">
            <v>0</v>
          </cell>
        </row>
        <row r="621">
          <cell r="B621" t="str">
            <v>与计入所有者权益项目相关的所得税影响</v>
          </cell>
          <cell r="C621">
            <v>0</v>
          </cell>
          <cell r="F621">
            <v>0</v>
          </cell>
        </row>
        <row r="622">
          <cell r="B622" t="str">
            <v>其他</v>
          </cell>
          <cell r="C622">
            <v>0</v>
          </cell>
          <cell r="F622">
            <v>0</v>
          </cell>
        </row>
        <row r="623">
          <cell r="B623" t="str">
            <v>上述（一）和（二）小计</v>
          </cell>
          <cell r="C623">
            <v>0</v>
          </cell>
          <cell r="F623">
            <v>0</v>
          </cell>
        </row>
        <row r="624">
          <cell r="B624" t="str">
            <v>（三）所有者投入和减少资本</v>
          </cell>
          <cell r="C624">
            <v>0</v>
          </cell>
          <cell r="F624">
            <v>0</v>
          </cell>
        </row>
        <row r="625">
          <cell r="B625" t="str">
            <v>所有者投入资本</v>
          </cell>
          <cell r="C625">
            <v>0</v>
          </cell>
          <cell r="F625">
            <v>0</v>
          </cell>
        </row>
        <row r="626">
          <cell r="B626" t="str">
            <v>股份支付计入所有者权益的金额</v>
          </cell>
          <cell r="C626">
            <v>0</v>
          </cell>
          <cell r="F626">
            <v>0</v>
          </cell>
        </row>
        <row r="627">
          <cell r="B627" t="str">
            <v>其他</v>
          </cell>
          <cell r="C627">
            <v>0</v>
          </cell>
          <cell r="F627">
            <v>0</v>
          </cell>
        </row>
        <row r="628">
          <cell r="B628" t="str">
            <v>（四）利润分配</v>
          </cell>
          <cell r="C628">
            <v>0</v>
          </cell>
          <cell r="F628">
            <v>0</v>
          </cell>
        </row>
        <row r="629">
          <cell r="B629" t="str">
            <v xml:space="preserve">提取盈余公积 </v>
          </cell>
          <cell r="C629">
            <v>0</v>
          </cell>
          <cell r="F629">
            <v>0</v>
          </cell>
        </row>
        <row r="630">
          <cell r="B630" t="str">
            <v>提取一般风险准备</v>
          </cell>
          <cell r="C630">
            <v>0</v>
          </cell>
          <cell r="F630">
            <v>0</v>
          </cell>
        </row>
        <row r="631">
          <cell r="B631" t="str">
            <v>对所有者（或股东）的分配</v>
          </cell>
          <cell r="C631">
            <v>0</v>
          </cell>
          <cell r="F631">
            <v>0</v>
          </cell>
        </row>
        <row r="632">
          <cell r="B632" t="str">
            <v>其他</v>
          </cell>
          <cell r="C632">
            <v>0</v>
          </cell>
          <cell r="F632">
            <v>0</v>
          </cell>
        </row>
        <row r="633">
          <cell r="B633" t="str">
            <v>（五）所有者权益内部结转</v>
          </cell>
          <cell r="C633">
            <v>0</v>
          </cell>
          <cell r="F633">
            <v>0</v>
          </cell>
        </row>
        <row r="634">
          <cell r="B634" t="str">
            <v>资本公积转增资本</v>
          </cell>
          <cell r="C634">
            <v>0</v>
          </cell>
          <cell r="F634">
            <v>0</v>
          </cell>
        </row>
        <row r="635">
          <cell r="B635" t="str">
            <v>盈余公积转增资本</v>
          </cell>
          <cell r="C635">
            <v>0</v>
          </cell>
          <cell r="F635">
            <v>0</v>
          </cell>
        </row>
        <row r="636">
          <cell r="B636" t="str">
            <v>盈余公积弥补亏损</v>
          </cell>
          <cell r="C636">
            <v>0</v>
          </cell>
          <cell r="F636">
            <v>0</v>
          </cell>
        </row>
        <row r="637">
          <cell r="B637" t="str">
            <v>其他</v>
          </cell>
          <cell r="C637">
            <v>0</v>
          </cell>
          <cell r="F637">
            <v>0</v>
          </cell>
        </row>
        <row r="638">
          <cell r="B638" t="str">
            <v>四、本年年末余额</v>
          </cell>
          <cell r="C638">
            <v>0</v>
          </cell>
          <cell r="F638">
            <v>0</v>
          </cell>
        </row>
        <row r="639">
          <cell r="B639" t="str">
            <v>少数股东权益</v>
          </cell>
          <cell r="F639">
            <v>0</v>
          </cell>
        </row>
        <row r="640">
          <cell r="B640" t="str">
            <v>一、上年年末余额</v>
          </cell>
          <cell r="C640">
            <v>0</v>
          </cell>
          <cell r="F640">
            <v>0</v>
          </cell>
        </row>
        <row r="641">
          <cell r="B641" t="str">
            <v>会计政策变更</v>
          </cell>
          <cell r="C641">
            <v>0</v>
          </cell>
          <cell r="F641">
            <v>0</v>
          </cell>
        </row>
        <row r="642">
          <cell r="B642" t="str">
            <v>前期差错更正</v>
          </cell>
          <cell r="C642">
            <v>0</v>
          </cell>
          <cell r="F642">
            <v>0</v>
          </cell>
        </row>
        <row r="643">
          <cell r="B643" t="str">
            <v>二、本年年初余额</v>
          </cell>
          <cell r="C643">
            <v>0</v>
          </cell>
          <cell r="F643">
            <v>0</v>
          </cell>
        </row>
        <row r="644">
          <cell r="B644" t="str">
            <v>三、本年增减变动金额（减少以“-”号填列）</v>
          </cell>
          <cell r="C644">
            <v>0</v>
          </cell>
          <cell r="F644">
            <v>0</v>
          </cell>
        </row>
        <row r="645">
          <cell r="B645" t="str">
            <v>（一）净利润</v>
          </cell>
          <cell r="C645">
            <v>0</v>
          </cell>
          <cell r="F645">
            <v>0</v>
          </cell>
        </row>
        <row r="646">
          <cell r="B646" t="str">
            <v>（二）直接计入所有者权益的利得和损失</v>
          </cell>
          <cell r="C646">
            <v>0</v>
          </cell>
          <cell r="F646">
            <v>0</v>
          </cell>
        </row>
        <row r="647">
          <cell r="B647" t="str">
            <v>可供出售金融资产公允价值变动净额</v>
          </cell>
          <cell r="C647">
            <v>0</v>
          </cell>
          <cell r="F647">
            <v>0</v>
          </cell>
        </row>
        <row r="648">
          <cell r="B648" t="str">
            <v>权益法下被投资单位其他所有者权益变动的影响</v>
          </cell>
          <cell r="C648">
            <v>0</v>
          </cell>
          <cell r="F648">
            <v>0</v>
          </cell>
        </row>
        <row r="649">
          <cell r="B649" t="str">
            <v>与计入所有者权益项目相关的所得税影响</v>
          </cell>
          <cell r="C649">
            <v>0</v>
          </cell>
          <cell r="F649">
            <v>0</v>
          </cell>
        </row>
        <row r="650">
          <cell r="B650" t="str">
            <v>其他</v>
          </cell>
          <cell r="C650">
            <v>0</v>
          </cell>
          <cell r="F650">
            <v>0</v>
          </cell>
        </row>
        <row r="651">
          <cell r="B651" t="str">
            <v>上述（一）和（二）小计</v>
          </cell>
          <cell r="C651">
            <v>0</v>
          </cell>
          <cell r="F651">
            <v>0</v>
          </cell>
        </row>
        <row r="652">
          <cell r="B652" t="str">
            <v>（三）所有者投入和减少资本</v>
          </cell>
          <cell r="C652">
            <v>0</v>
          </cell>
          <cell r="F652">
            <v>0</v>
          </cell>
        </row>
        <row r="653">
          <cell r="B653" t="str">
            <v>所有者投入资本</v>
          </cell>
          <cell r="C653">
            <v>0</v>
          </cell>
          <cell r="F653">
            <v>0</v>
          </cell>
        </row>
        <row r="654">
          <cell r="B654" t="str">
            <v>股份支付计入所有者权益的金额</v>
          </cell>
          <cell r="C654">
            <v>0</v>
          </cell>
          <cell r="F654">
            <v>0</v>
          </cell>
        </row>
        <row r="655">
          <cell r="B655" t="str">
            <v>其他</v>
          </cell>
          <cell r="C655">
            <v>0</v>
          </cell>
          <cell r="F655">
            <v>0</v>
          </cell>
        </row>
        <row r="656">
          <cell r="B656" t="str">
            <v>（四）利润分配</v>
          </cell>
          <cell r="C656">
            <v>0</v>
          </cell>
          <cell r="F656">
            <v>0</v>
          </cell>
        </row>
        <row r="657">
          <cell r="B657" t="str">
            <v xml:space="preserve">提取盈余公积 </v>
          </cell>
          <cell r="C657">
            <v>0</v>
          </cell>
          <cell r="F657">
            <v>0</v>
          </cell>
        </row>
        <row r="658">
          <cell r="B658" t="str">
            <v>提取一般风险准备</v>
          </cell>
          <cell r="C658">
            <v>0</v>
          </cell>
          <cell r="F658">
            <v>0</v>
          </cell>
        </row>
        <row r="659">
          <cell r="B659" t="str">
            <v>对所有者（或股东）的分配</v>
          </cell>
          <cell r="C659">
            <v>0</v>
          </cell>
          <cell r="F659">
            <v>0</v>
          </cell>
        </row>
        <row r="660">
          <cell r="B660" t="str">
            <v>其他</v>
          </cell>
          <cell r="C660">
            <v>0</v>
          </cell>
          <cell r="F660">
            <v>0</v>
          </cell>
        </row>
        <row r="661">
          <cell r="B661" t="str">
            <v>（五）所有者权益内部结转</v>
          </cell>
          <cell r="C661">
            <v>0</v>
          </cell>
          <cell r="F661">
            <v>0</v>
          </cell>
        </row>
        <row r="662">
          <cell r="B662" t="str">
            <v>资本公积转增资本</v>
          </cell>
          <cell r="C662">
            <v>0</v>
          </cell>
          <cell r="F662">
            <v>0</v>
          </cell>
        </row>
        <row r="663">
          <cell r="B663" t="str">
            <v>盈余公积转增资本</v>
          </cell>
          <cell r="C663">
            <v>0</v>
          </cell>
          <cell r="F663">
            <v>0</v>
          </cell>
        </row>
        <row r="664">
          <cell r="B664" t="str">
            <v>盈余公积弥补亏损</v>
          </cell>
          <cell r="C664">
            <v>0</v>
          </cell>
          <cell r="F664">
            <v>0</v>
          </cell>
        </row>
        <row r="665">
          <cell r="B665" t="str">
            <v>其他</v>
          </cell>
          <cell r="C665">
            <v>0</v>
          </cell>
          <cell r="F665">
            <v>0</v>
          </cell>
        </row>
        <row r="666">
          <cell r="B666" t="str">
            <v>四、本年年末余额</v>
          </cell>
          <cell r="C666">
            <v>0</v>
          </cell>
          <cell r="F666">
            <v>0</v>
          </cell>
        </row>
        <row r="667">
          <cell r="B667" t="str">
            <v>2009年12月新增项目</v>
          </cell>
        </row>
        <row r="668">
          <cell r="A668" t="str">
            <v>F70</v>
          </cell>
          <cell r="B668" t="str">
            <v>专项储备</v>
          </cell>
          <cell r="C668">
            <v>0</v>
          </cell>
          <cell r="D668">
            <v>0</v>
          </cell>
          <cell r="E668">
            <v>0</v>
          </cell>
          <cell r="F668">
            <v>0</v>
          </cell>
        </row>
      </sheetData>
      <sheetData sheetId="13" refreshError="1"/>
      <sheetData sheetId="14"/>
      <sheetData sheetId="15"/>
      <sheetData sheetId="16"/>
      <sheetData sheetId="17">
        <row r="68">
          <cell r="E68" t="str">
            <v>垃圾指标</v>
          </cell>
          <cell r="G68" t="str">
            <v>Z01</v>
          </cell>
        </row>
        <row r="69">
          <cell r="D69" t="str">
            <v>C01</v>
          </cell>
          <cell r="E69" t="str">
            <v xml:space="preserve">销售商品、提供劳务收到的现金 </v>
          </cell>
          <cell r="F69" t="str">
            <v>C01</v>
          </cell>
          <cell r="G69" t="str">
            <v>Z53</v>
          </cell>
          <cell r="L69" t="str">
            <v>现金</v>
          </cell>
          <cell r="M69" t="str">
            <v>Z0101</v>
          </cell>
        </row>
        <row r="70">
          <cell r="D70" t="str">
            <v>C02</v>
          </cell>
          <cell r="E70" t="str">
            <v xml:space="preserve">客户存款和同业存放款项净增加额 </v>
          </cell>
          <cell r="F70" t="str">
            <v>C02</v>
          </cell>
          <cell r="G70" t="str">
            <v>Z54</v>
          </cell>
          <cell r="L70" t="str">
            <v>银行存款</v>
          </cell>
          <cell r="M70" t="str">
            <v>Z0102</v>
          </cell>
        </row>
        <row r="71">
          <cell r="D71" t="str">
            <v>C03</v>
          </cell>
          <cell r="E71" t="str">
            <v xml:space="preserve">向中央银行借款净增加额 </v>
          </cell>
          <cell r="F71" t="str">
            <v>C03</v>
          </cell>
          <cell r="G71" t="str">
            <v>Z02</v>
          </cell>
          <cell r="L71" t="str">
            <v>其他货币资金</v>
          </cell>
          <cell r="M71" t="str">
            <v>Z0103</v>
          </cell>
        </row>
        <row r="72">
          <cell r="D72" t="str">
            <v>C04</v>
          </cell>
          <cell r="E72" t="str">
            <v xml:space="preserve">向其他金融机构拆入资金净增加额 </v>
          </cell>
          <cell r="F72" t="str">
            <v>C04</v>
          </cell>
          <cell r="G72" t="str">
            <v>Z03</v>
          </cell>
          <cell r="L72" t="str">
            <v>结算备付金</v>
          </cell>
          <cell r="M72" t="str">
            <v>Z5301</v>
          </cell>
        </row>
        <row r="73">
          <cell r="D73" t="str">
            <v>C05</v>
          </cell>
          <cell r="E73" t="str">
            <v xml:space="preserve">收到原保险合同保费取得的现金 </v>
          </cell>
          <cell r="F73" t="str">
            <v>C05</v>
          </cell>
          <cell r="G73" t="str">
            <v>Z04</v>
          </cell>
          <cell r="L73" t="str">
            <v>拆出资金</v>
          </cell>
          <cell r="M73" t="str">
            <v>Z5401</v>
          </cell>
        </row>
        <row r="74">
          <cell r="D74" t="str">
            <v>C06</v>
          </cell>
          <cell r="E74" t="str">
            <v xml:space="preserve">收到再保险业务现金净额 </v>
          </cell>
          <cell r="F74" t="str">
            <v>C06</v>
          </cell>
          <cell r="G74" t="str">
            <v>Z05</v>
          </cell>
          <cell r="L74" t="str">
            <v>交易性金融资产</v>
          </cell>
          <cell r="M74" t="str">
            <v>Z0201</v>
          </cell>
        </row>
        <row r="75">
          <cell r="D75" t="str">
            <v>C07</v>
          </cell>
          <cell r="E75" t="str">
            <v xml:space="preserve">保户储金及投资款净增加额 </v>
          </cell>
          <cell r="F75" t="str">
            <v>C07</v>
          </cell>
          <cell r="G75" t="str">
            <v>Z55</v>
          </cell>
          <cell r="L75" t="str">
            <v>应收票据</v>
          </cell>
          <cell r="M75" t="str">
            <v>Z0301</v>
          </cell>
        </row>
        <row r="76">
          <cell r="D76" t="str">
            <v>C08</v>
          </cell>
          <cell r="E76" t="str">
            <v xml:space="preserve">处置交易性金融资产净增加额 </v>
          </cell>
          <cell r="F76" t="str">
            <v>C08</v>
          </cell>
          <cell r="G76" t="str">
            <v>Z56</v>
          </cell>
          <cell r="L76" t="str">
            <v>应收账款</v>
          </cell>
          <cell r="M76" t="str">
            <v>Z0401</v>
          </cell>
        </row>
        <row r="77">
          <cell r="D77" t="str">
            <v>C09</v>
          </cell>
          <cell r="E77" t="str">
            <v xml:space="preserve">收取利息、手续费及佣金的现金 </v>
          </cell>
          <cell r="F77" t="str">
            <v>C09</v>
          </cell>
          <cell r="G77" t="str">
            <v>Z59</v>
          </cell>
          <cell r="L77" t="str">
            <v>坏账准备_应收账款</v>
          </cell>
          <cell r="M77" t="str">
            <v>Z0402</v>
          </cell>
        </row>
        <row r="78">
          <cell r="D78" t="str">
            <v>C10</v>
          </cell>
          <cell r="E78" t="str">
            <v xml:space="preserve">拆入资金净增加额 </v>
          </cell>
          <cell r="F78" t="str">
            <v>C10</v>
          </cell>
          <cell r="G78" t="str">
            <v>Z06</v>
          </cell>
          <cell r="L78" t="str">
            <v>预付款项</v>
          </cell>
          <cell r="M78" t="str">
            <v>Z0501</v>
          </cell>
        </row>
        <row r="79">
          <cell r="D79" t="str">
            <v>C11</v>
          </cell>
          <cell r="E79" t="str">
            <v xml:space="preserve">回购业务资金净增加额 </v>
          </cell>
          <cell r="F79" t="str">
            <v>C11</v>
          </cell>
          <cell r="G79" t="str">
            <v>Z07</v>
          </cell>
          <cell r="L79" t="str">
            <v>应收保费</v>
          </cell>
          <cell r="M79" t="str">
            <v>Z5501</v>
          </cell>
        </row>
        <row r="80">
          <cell r="D80" t="str">
            <v>C12</v>
          </cell>
          <cell r="E80" t="str">
            <v xml:space="preserve">收到的税费返还 </v>
          </cell>
          <cell r="F80" t="str">
            <v>C12</v>
          </cell>
          <cell r="G80" t="str">
            <v>Z08</v>
          </cell>
          <cell r="L80" t="str">
            <v>应收分保账款</v>
          </cell>
          <cell r="M80" t="str">
            <v>Z5601</v>
          </cell>
        </row>
        <row r="81">
          <cell r="D81" t="str">
            <v>C13</v>
          </cell>
          <cell r="E81" t="str">
            <v xml:space="preserve">收到其他与经营活动有关的现金 </v>
          </cell>
          <cell r="F81" t="str">
            <v>C13</v>
          </cell>
          <cell r="G81" t="str">
            <v>Z57</v>
          </cell>
          <cell r="L81" t="str">
            <v>应收分保合同准备金</v>
          </cell>
          <cell r="M81" t="str">
            <v>Z5901</v>
          </cell>
        </row>
        <row r="82">
          <cell r="D82" t="str">
            <v>C14</v>
          </cell>
          <cell r="E82" t="str">
            <v xml:space="preserve">购买商品、接受劳务支付的现金 </v>
          </cell>
          <cell r="F82" t="str">
            <v>C14</v>
          </cell>
          <cell r="G82" t="str">
            <v>Z09</v>
          </cell>
          <cell r="L82" t="str">
            <v>应收利息</v>
          </cell>
          <cell r="M82" t="str">
            <v>Z0601</v>
          </cell>
        </row>
        <row r="83">
          <cell r="D83" t="str">
            <v>C15</v>
          </cell>
          <cell r="E83" t="str">
            <v xml:space="preserve">客户贷款及垫款净增加额 </v>
          </cell>
          <cell r="F83" t="str">
            <v>C15</v>
          </cell>
          <cell r="G83" t="str">
            <v>Z10</v>
          </cell>
          <cell r="L83" t="str">
            <v>应收股利</v>
          </cell>
          <cell r="M83" t="str">
            <v>Z0701</v>
          </cell>
        </row>
        <row r="84">
          <cell r="D84" t="str">
            <v>C16</v>
          </cell>
          <cell r="E84" t="str">
            <v xml:space="preserve">存放中央银行和同业款项净增加额 </v>
          </cell>
          <cell r="F84" t="str">
            <v>C16</v>
          </cell>
          <cell r="G84" t="str">
            <v>Z11</v>
          </cell>
          <cell r="L84" t="str">
            <v>其他应收款</v>
          </cell>
          <cell r="M84" t="str">
            <v>Z0801</v>
          </cell>
        </row>
        <row r="85">
          <cell r="D85" t="str">
            <v>C17</v>
          </cell>
          <cell r="E85" t="str">
            <v xml:space="preserve">支付原保险合同赔付款项的现金 </v>
          </cell>
          <cell r="F85" t="str">
            <v>C17</v>
          </cell>
          <cell r="G85" t="str">
            <v>Z58</v>
          </cell>
          <cell r="L85" t="str">
            <v>坏账准备_其他应收款</v>
          </cell>
          <cell r="M85" t="str">
            <v>Z0802</v>
          </cell>
        </row>
        <row r="86">
          <cell r="D86" t="str">
            <v>C18</v>
          </cell>
          <cell r="E86" t="str">
            <v xml:space="preserve">支付利息、手续费及佣金的现金 </v>
          </cell>
          <cell r="F86" t="str">
            <v>C18</v>
          </cell>
          <cell r="G86" t="str">
            <v>Z12</v>
          </cell>
          <cell r="L86" t="str">
            <v xml:space="preserve">买入返售金融资产 </v>
          </cell>
          <cell r="M86" t="str">
            <v>Z5701</v>
          </cell>
        </row>
        <row r="87">
          <cell r="D87" t="str">
            <v>C19</v>
          </cell>
          <cell r="E87" t="str">
            <v xml:space="preserve">支付保单红利的现金 </v>
          </cell>
          <cell r="F87" t="str">
            <v>C19</v>
          </cell>
          <cell r="G87" t="str">
            <v>Z13</v>
          </cell>
          <cell r="L87" t="str">
            <v>存货</v>
          </cell>
          <cell r="M87" t="str">
            <v>Z0901</v>
          </cell>
        </row>
        <row r="88">
          <cell r="D88" t="str">
            <v>C20</v>
          </cell>
          <cell r="E88" t="str">
            <v xml:space="preserve">支付给职工以及为职工支付的现金 </v>
          </cell>
          <cell r="F88" t="str">
            <v>C20</v>
          </cell>
          <cell r="G88" t="str">
            <v>Z14</v>
          </cell>
          <cell r="L88" t="str">
            <v>存货跌价准备</v>
          </cell>
          <cell r="M88" t="str">
            <v>Z0902</v>
          </cell>
        </row>
        <row r="89">
          <cell r="D89" t="str">
            <v>C21</v>
          </cell>
          <cell r="E89" t="str">
            <v xml:space="preserve">支付的各项税费 </v>
          </cell>
          <cell r="F89" t="str">
            <v>C21</v>
          </cell>
          <cell r="G89" t="str">
            <v>Z15</v>
          </cell>
          <cell r="L89" t="str">
            <v>一年内到期的非流动资产</v>
          </cell>
          <cell r="M89" t="str">
            <v>Z1001</v>
          </cell>
        </row>
        <row r="90">
          <cell r="D90" t="str">
            <v>C22</v>
          </cell>
          <cell r="E90" t="str">
            <v xml:space="preserve">支付其他与经营活动有关的现金 </v>
          </cell>
          <cell r="F90" t="str">
            <v>C22</v>
          </cell>
          <cell r="G90" t="str">
            <v>Z16</v>
          </cell>
          <cell r="L90" t="str">
            <v>其他流动资产</v>
          </cell>
          <cell r="M90" t="str">
            <v>Z1101</v>
          </cell>
        </row>
        <row r="91">
          <cell r="D91" t="str">
            <v>C23</v>
          </cell>
          <cell r="E91" t="str">
            <v xml:space="preserve">收回投资收到的现金 </v>
          </cell>
          <cell r="F91" t="str">
            <v>C23</v>
          </cell>
          <cell r="G91" t="str">
            <v>Z17</v>
          </cell>
          <cell r="L91" t="str">
            <v>发放贷款及垫款</v>
          </cell>
          <cell r="M91" t="str">
            <v>Z5801</v>
          </cell>
        </row>
        <row r="92">
          <cell r="D92" t="str">
            <v>C24</v>
          </cell>
          <cell r="E92" t="str">
            <v xml:space="preserve">取得投资收益收到的现金 </v>
          </cell>
          <cell r="F92" t="str">
            <v>C24</v>
          </cell>
          <cell r="G92" t="str">
            <v>Z18</v>
          </cell>
          <cell r="L92" t="str">
            <v>可供出售金融资产</v>
          </cell>
          <cell r="M92" t="str">
            <v>Z1201</v>
          </cell>
        </row>
        <row r="93">
          <cell r="D93" t="str">
            <v>C25</v>
          </cell>
          <cell r="E93" t="str">
            <v xml:space="preserve">处置固定资产、无形资产和其他长期资产收回的现金净额 </v>
          </cell>
          <cell r="F93" t="str">
            <v>C25</v>
          </cell>
          <cell r="G93" t="str">
            <v>Z19</v>
          </cell>
          <cell r="L93" t="str">
            <v>持有至到期投资</v>
          </cell>
          <cell r="M93" t="str">
            <v>Z1301</v>
          </cell>
        </row>
        <row r="94">
          <cell r="D94" t="str">
            <v>C26</v>
          </cell>
          <cell r="E94" t="str">
            <v xml:space="preserve">处置子公司及其他营业单位收到的现金净额 </v>
          </cell>
          <cell r="F94" t="str">
            <v>C26</v>
          </cell>
          <cell r="G94" t="str">
            <v>Z20</v>
          </cell>
          <cell r="L94" t="str">
            <v>长期应收款</v>
          </cell>
          <cell r="M94" t="str">
            <v>Z1401</v>
          </cell>
        </row>
        <row r="95">
          <cell r="D95" t="str">
            <v>C27</v>
          </cell>
          <cell r="E95" t="str">
            <v xml:space="preserve">收到其他与投资活动有关的现金 </v>
          </cell>
          <cell r="F95" t="str">
            <v>C27</v>
          </cell>
          <cell r="G95" t="str">
            <v>Z21</v>
          </cell>
          <cell r="L95" t="str">
            <v>坏账准备_长期应收款</v>
          </cell>
          <cell r="M95" t="str">
            <v>Z1402</v>
          </cell>
        </row>
        <row r="96">
          <cell r="D96" t="str">
            <v>C28</v>
          </cell>
          <cell r="E96" t="str">
            <v xml:space="preserve">购建固定资产、无形资产和其他长期资产支付的现金 </v>
          </cell>
          <cell r="F96" t="str">
            <v>C28</v>
          </cell>
          <cell r="G96" t="str">
            <v>Z22</v>
          </cell>
          <cell r="L96" t="str">
            <v>长期股权投资</v>
          </cell>
          <cell r="M96" t="str">
            <v>Z1501</v>
          </cell>
        </row>
        <row r="97">
          <cell r="D97" t="str">
            <v>C29</v>
          </cell>
          <cell r="E97" t="str">
            <v xml:space="preserve">投资支付的现金 </v>
          </cell>
          <cell r="F97" t="str">
            <v>C29</v>
          </cell>
          <cell r="G97" t="str">
            <v>Z23</v>
          </cell>
          <cell r="L97" t="str">
            <v>长期股权投资减值准备</v>
          </cell>
          <cell r="M97" t="str">
            <v>Z1502</v>
          </cell>
        </row>
        <row r="98">
          <cell r="D98" t="str">
            <v>C30</v>
          </cell>
          <cell r="E98" t="str">
            <v xml:space="preserve">质押贷款净增加额 </v>
          </cell>
          <cell r="F98" t="str">
            <v>C30</v>
          </cell>
          <cell r="G98" t="str">
            <v>Z24</v>
          </cell>
          <cell r="L98" t="str">
            <v>投资性房地产</v>
          </cell>
          <cell r="M98" t="str">
            <v>Z1601</v>
          </cell>
        </row>
        <row r="99">
          <cell r="D99" t="str">
            <v>C31</v>
          </cell>
          <cell r="E99" t="str">
            <v xml:space="preserve">取得子公司及其他营业单位支付的现金净额 </v>
          </cell>
          <cell r="F99" t="str">
            <v>C31</v>
          </cell>
          <cell r="G99" t="str">
            <v>Z25</v>
          </cell>
          <cell r="L99" t="str">
            <v>固定资产</v>
          </cell>
          <cell r="M99" t="str">
            <v>Z1701</v>
          </cell>
        </row>
        <row r="100">
          <cell r="D100" t="str">
            <v>C32</v>
          </cell>
          <cell r="E100" t="str">
            <v xml:space="preserve">支付其他与投资活动有关的现金 </v>
          </cell>
          <cell r="F100" t="str">
            <v>C32</v>
          </cell>
          <cell r="G100" t="str">
            <v>Z26</v>
          </cell>
          <cell r="L100" t="str">
            <v>累计折旧</v>
          </cell>
          <cell r="M100" t="str">
            <v>Z1702</v>
          </cell>
        </row>
        <row r="101">
          <cell r="D101" t="str">
            <v>C33</v>
          </cell>
          <cell r="E101" t="str">
            <v xml:space="preserve">吸收投资收到的现金 </v>
          </cell>
          <cell r="F101" t="str">
            <v>C33</v>
          </cell>
          <cell r="G101" t="str">
            <v>Z27</v>
          </cell>
          <cell r="L101" t="str">
            <v>固定资产减值准备</v>
          </cell>
          <cell r="M101" t="str">
            <v>Z1703</v>
          </cell>
        </row>
        <row r="102">
          <cell r="D102" t="str">
            <v>C34</v>
          </cell>
          <cell r="E102" t="str">
            <v xml:space="preserve">其中：子公司吸收少数股东投资收到的现金 </v>
          </cell>
          <cell r="F102" t="str">
            <v>C34</v>
          </cell>
          <cell r="G102" t="str">
            <v>Z28</v>
          </cell>
          <cell r="L102" t="str">
            <v>在建工程</v>
          </cell>
          <cell r="M102" t="str">
            <v>Z1801</v>
          </cell>
        </row>
        <row r="103">
          <cell r="D103" t="str">
            <v>C35</v>
          </cell>
          <cell r="E103" t="str">
            <v xml:space="preserve">取得借款收到的现金 </v>
          </cell>
          <cell r="F103" t="str">
            <v>C35</v>
          </cell>
          <cell r="G103" t="str">
            <v>F01</v>
          </cell>
          <cell r="L103" t="str">
            <v>在建工程减值准备</v>
          </cell>
          <cell r="M103" t="str">
            <v>Z1802</v>
          </cell>
        </row>
        <row r="104">
          <cell r="D104" t="str">
            <v>C36</v>
          </cell>
          <cell r="E104" t="str">
            <v xml:space="preserve">发行债券收到的现金 </v>
          </cell>
          <cell r="F104" t="str">
            <v>C36</v>
          </cell>
          <cell r="G104" t="str">
            <v>F53</v>
          </cell>
          <cell r="L104" t="str">
            <v>工程物资</v>
          </cell>
          <cell r="M104" t="str">
            <v>Z1901</v>
          </cell>
        </row>
        <row r="105">
          <cell r="D105" t="str">
            <v>C37</v>
          </cell>
          <cell r="E105" t="str">
            <v xml:space="preserve">收到其他与筹资活动有关的现金 </v>
          </cell>
          <cell r="F105" t="str">
            <v>C37</v>
          </cell>
          <cell r="G105" t="str">
            <v>F54</v>
          </cell>
          <cell r="L105" t="str">
            <v>固定资产清理</v>
          </cell>
          <cell r="M105" t="str">
            <v>Z2001</v>
          </cell>
        </row>
        <row r="106">
          <cell r="D106" t="str">
            <v>C38</v>
          </cell>
          <cell r="E106" t="str">
            <v xml:space="preserve">筹资活动现金流入小计 </v>
          </cell>
          <cell r="F106" t="str">
            <v>C38</v>
          </cell>
          <cell r="G106" t="str">
            <v>F55</v>
          </cell>
          <cell r="L106" t="str">
            <v>生产性生物资产</v>
          </cell>
          <cell r="M106" t="str">
            <v>Z2101</v>
          </cell>
        </row>
        <row r="107">
          <cell r="D107" t="str">
            <v>C39</v>
          </cell>
          <cell r="E107" t="str">
            <v xml:space="preserve">偿还债务支付的现金 </v>
          </cell>
          <cell r="F107" t="str">
            <v>C39</v>
          </cell>
          <cell r="G107" t="str">
            <v>F02</v>
          </cell>
          <cell r="L107" t="str">
            <v>生产性生物资产累计折旧</v>
          </cell>
          <cell r="M107" t="str">
            <v>Z2102</v>
          </cell>
        </row>
        <row r="108">
          <cell r="D108" t="str">
            <v>C40</v>
          </cell>
          <cell r="E108" t="str">
            <v xml:space="preserve">分配股利、利润或偿付利息支付的现金 </v>
          </cell>
          <cell r="F108" t="str">
            <v>C40</v>
          </cell>
          <cell r="G108" t="str">
            <v>F03</v>
          </cell>
          <cell r="L108" t="str">
            <v>油气资产</v>
          </cell>
          <cell r="M108" t="str">
            <v>Z2201</v>
          </cell>
        </row>
        <row r="109">
          <cell r="D109" t="str">
            <v>C41</v>
          </cell>
          <cell r="E109" t="str">
            <v xml:space="preserve">其中：子公司支付给少数股东的股利、利润 </v>
          </cell>
          <cell r="F109" t="str">
            <v>C41</v>
          </cell>
          <cell r="G109" t="str">
            <v>F04</v>
          </cell>
          <cell r="L109" t="str">
            <v>累计折耗</v>
          </cell>
          <cell r="M109" t="str">
            <v>Z2202</v>
          </cell>
        </row>
        <row r="110">
          <cell r="D110" t="str">
            <v>C42</v>
          </cell>
          <cell r="E110" t="str">
            <v xml:space="preserve">支付其他与筹资活动有关的现金 </v>
          </cell>
          <cell r="F110" t="str">
            <v>C42</v>
          </cell>
          <cell r="G110" t="str">
            <v>F05</v>
          </cell>
          <cell r="L110" t="str">
            <v>无形资产</v>
          </cell>
          <cell r="M110" t="str">
            <v>Z2301</v>
          </cell>
        </row>
        <row r="111">
          <cell r="D111" t="str">
            <v>C43</v>
          </cell>
          <cell r="E111" t="str">
            <v xml:space="preserve">筹资活动现金流出小计 </v>
          </cell>
          <cell r="F111" t="str">
            <v>C43</v>
          </cell>
          <cell r="G111" t="str">
            <v>F56</v>
          </cell>
          <cell r="L111" t="str">
            <v>累计摊销</v>
          </cell>
          <cell r="M111" t="str">
            <v>Z2302</v>
          </cell>
        </row>
        <row r="112">
          <cell r="D112" t="str">
            <v>C44</v>
          </cell>
          <cell r="E112" t="str">
            <v xml:space="preserve">筹资活动产生的现金流量净额 </v>
          </cell>
          <cell r="F112" t="str">
            <v>C44</v>
          </cell>
          <cell r="G112" t="str">
            <v>F57</v>
          </cell>
          <cell r="L112" t="str">
            <v>无形资产减值准备</v>
          </cell>
          <cell r="M112" t="str">
            <v>Z2303</v>
          </cell>
        </row>
        <row r="113">
          <cell r="D113" t="str">
            <v>C45</v>
          </cell>
          <cell r="E113" t="str">
            <v>汇率变动对现金及现金等价物的影响</v>
          </cell>
          <cell r="F113" t="str">
            <v>C45</v>
          </cell>
          <cell r="G113" t="str">
            <v>F06</v>
          </cell>
          <cell r="L113" t="str">
            <v>开发支出</v>
          </cell>
          <cell r="M113" t="str">
            <v>Z2401</v>
          </cell>
        </row>
        <row r="114">
          <cell r="D114" t="str">
            <v>C46</v>
          </cell>
          <cell r="E114" t="str">
            <v xml:space="preserve">加：期初现金及现金等价物余额 </v>
          </cell>
          <cell r="F114" t="str">
            <v>C46</v>
          </cell>
          <cell r="G114" t="str">
            <v>F07</v>
          </cell>
          <cell r="L114" t="str">
            <v>商誉</v>
          </cell>
          <cell r="M114" t="str">
            <v>Z2501</v>
          </cell>
        </row>
        <row r="115">
          <cell r="D115" t="str">
            <v>C47</v>
          </cell>
          <cell r="E115" t="str">
            <v>六、期末现金及现金等价物余额</v>
          </cell>
          <cell r="F115" t="str">
            <v>C47</v>
          </cell>
          <cell r="G115" t="str">
            <v>F08</v>
          </cell>
          <cell r="L115" t="str">
            <v>长期待摊费用</v>
          </cell>
          <cell r="M115" t="str">
            <v>Z2601</v>
          </cell>
        </row>
        <row r="116">
          <cell r="D116" t="str">
            <v>C48</v>
          </cell>
          <cell r="E116" t="str">
            <v xml:space="preserve">净利润 </v>
          </cell>
          <cell r="F116" t="str">
            <v>C48</v>
          </cell>
          <cell r="G116" t="str">
            <v>F09</v>
          </cell>
          <cell r="L116" t="str">
            <v>递延所得税资产</v>
          </cell>
          <cell r="M116" t="str">
            <v>Z2701</v>
          </cell>
        </row>
        <row r="117">
          <cell r="D117" t="str">
            <v>C49</v>
          </cell>
          <cell r="E117" t="str">
            <v xml:space="preserve">资产减值准备 </v>
          </cell>
          <cell r="F117" t="str">
            <v>C49</v>
          </cell>
          <cell r="G117" t="str">
            <v>F10</v>
          </cell>
          <cell r="L117" t="str">
            <v>其他非流动资产</v>
          </cell>
          <cell r="M117" t="str">
            <v>Z2801</v>
          </cell>
        </row>
        <row r="118">
          <cell r="D118" t="str">
            <v>C50</v>
          </cell>
          <cell r="E118" t="str">
            <v xml:space="preserve">固定资产折旧、油气资产折耗、生产性生物资产折旧 </v>
          </cell>
          <cell r="F118" t="str">
            <v>C50</v>
          </cell>
          <cell r="G118" t="str">
            <v>F58</v>
          </cell>
          <cell r="L118" t="str">
            <v>短期借款</v>
          </cell>
          <cell r="M118" t="str">
            <v>F0101</v>
          </cell>
        </row>
        <row r="119">
          <cell r="D119" t="str">
            <v>C51</v>
          </cell>
          <cell r="E119" t="str">
            <v xml:space="preserve">无形资产摊销 </v>
          </cell>
          <cell r="F119" t="str">
            <v>C51</v>
          </cell>
          <cell r="G119" t="str">
            <v>F59</v>
          </cell>
          <cell r="L119" t="str">
            <v>向中央银行借款</v>
          </cell>
          <cell r="M119" t="str">
            <v>F5301</v>
          </cell>
        </row>
        <row r="120">
          <cell r="D120" t="str">
            <v>C52</v>
          </cell>
          <cell r="E120" t="str">
            <v xml:space="preserve">长期待摊费用摊销 </v>
          </cell>
          <cell r="F120" t="str">
            <v>C52</v>
          </cell>
          <cell r="G120" t="str">
            <v>F60</v>
          </cell>
          <cell r="L120" t="str">
            <v>吸收存款及同业存放</v>
          </cell>
          <cell r="M120" t="str">
            <v>F5401</v>
          </cell>
        </row>
        <row r="121">
          <cell r="D121" t="str">
            <v>C53</v>
          </cell>
          <cell r="E121" t="str">
            <v xml:space="preserve">处置固定资产、无形资产和其他长期资产的损失（收益以“－”号填列） </v>
          </cell>
          <cell r="F121" t="str">
            <v>C53</v>
          </cell>
          <cell r="G121" t="str">
            <v>F61</v>
          </cell>
          <cell r="L121" t="str">
            <v>拆入资金</v>
          </cell>
          <cell r="M121" t="str">
            <v>F5501</v>
          </cell>
        </row>
        <row r="122">
          <cell r="D122" t="str">
            <v>C54</v>
          </cell>
          <cell r="E122" t="str">
            <v xml:space="preserve">固定资产报废损失（收益以“－”号填﻿列） </v>
          </cell>
          <cell r="F122" t="str">
            <v>C54</v>
          </cell>
          <cell r="G122" t="str">
            <v>F11</v>
          </cell>
          <cell r="L122" t="str">
            <v>交易性金融负债</v>
          </cell>
          <cell r="M122" t="str">
            <v>F0201</v>
          </cell>
        </row>
        <row r="123">
          <cell r="D123" t="str">
            <v>C55</v>
          </cell>
          <cell r="E123" t="str">
            <v xml:space="preserve">公允价值变动损失（收益以“－”号填列） </v>
          </cell>
          <cell r="F123" t="str">
            <v>C55</v>
          </cell>
          <cell r="G123" t="str">
            <v>F12</v>
          </cell>
          <cell r="L123" t="str">
            <v>应付票据</v>
          </cell>
          <cell r="M123" t="str">
            <v>F0301</v>
          </cell>
        </row>
        <row r="124">
          <cell r="D124" t="str">
            <v>C56</v>
          </cell>
          <cell r="E124" t="str">
            <v xml:space="preserve">财务费用（收益以“－”号填列） </v>
          </cell>
          <cell r="F124" t="str">
            <v>C56</v>
          </cell>
          <cell r="G124" t="str">
            <v>F13</v>
          </cell>
          <cell r="L124" t="str">
            <v>应付账款</v>
          </cell>
          <cell r="M124" t="str">
            <v>F0401</v>
          </cell>
        </row>
        <row r="125">
          <cell r="D125" t="str">
            <v>C57</v>
          </cell>
          <cell r="E125" t="str">
            <v xml:space="preserve">投资损失（收益以“－”号填列） </v>
          </cell>
          <cell r="F125" t="str">
            <v>C57</v>
          </cell>
          <cell r="G125" t="str">
            <v>F14</v>
          </cell>
          <cell r="L125" t="str">
            <v>预收款项</v>
          </cell>
          <cell r="M125" t="str">
            <v>F0501</v>
          </cell>
        </row>
        <row r="126">
          <cell r="D126" t="str">
            <v>C58</v>
          </cell>
          <cell r="E126" t="str">
            <v xml:space="preserve">递延所得税资产减少（增加以“－”号填列） </v>
          </cell>
          <cell r="F126" t="str">
            <v>C58</v>
          </cell>
          <cell r="G126" t="str">
            <v>F15</v>
          </cell>
          <cell r="L126" t="str">
            <v>应付职工薪酬</v>
          </cell>
          <cell r="M126" t="str">
            <v>F0601</v>
          </cell>
        </row>
        <row r="127">
          <cell r="D127" t="str">
            <v>C59</v>
          </cell>
          <cell r="E127" t="str">
            <v xml:space="preserve">递延所得税负债增加（减少以“－”号填列） </v>
          </cell>
          <cell r="F127" t="str">
            <v>C59</v>
          </cell>
          <cell r="G127" t="str">
            <v>F16</v>
          </cell>
          <cell r="L127" t="str">
            <v>卖出回购金融资产款</v>
          </cell>
          <cell r="M127" t="str">
            <v>F5601</v>
          </cell>
        </row>
        <row r="128">
          <cell r="D128" t="str">
            <v>C60</v>
          </cell>
          <cell r="E128" t="str">
            <v xml:space="preserve">存货的减少（增加以“－”号填列） </v>
          </cell>
          <cell r="F128" t="str">
            <v>C60</v>
          </cell>
          <cell r="G128" t="str">
            <v>F17</v>
          </cell>
          <cell r="L128" t="str">
            <v>应付手续费及佣金</v>
          </cell>
          <cell r="M128" t="str">
            <v>F5701</v>
          </cell>
        </row>
        <row r="129">
          <cell r="D129" t="str">
            <v>C61</v>
          </cell>
          <cell r="E129" t="str">
            <v xml:space="preserve">经营性应收项目的减少（增加以“－”号填列） </v>
          </cell>
          <cell r="F129" t="str">
            <v>C61</v>
          </cell>
          <cell r="G129" t="str">
            <v>F18</v>
          </cell>
          <cell r="L129" t="str">
            <v>应交税费</v>
          </cell>
          <cell r="M129" t="str">
            <v>F0701</v>
          </cell>
        </row>
        <row r="130">
          <cell r="D130" t="str">
            <v>C62</v>
          </cell>
          <cell r="E130" t="str">
            <v xml:space="preserve">经营性应付项目的增加（减少以“－”号填列） </v>
          </cell>
          <cell r="F130" t="str">
            <v>C62</v>
          </cell>
          <cell r="G130" t="str">
            <v>F19</v>
          </cell>
          <cell r="L130" t="str">
            <v>应付利息</v>
          </cell>
          <cell r="M130" t="str">
            <v>F0801</v>
          </cell>
        </row>
        <row r="131">
          <cell r="D131" t="str">
            <v>C63</v>
          </cell>
          <cell r="E131" t="str">
            <v xml:space="preserve">其他 </v>
          </cell>
          <cell r="F131" t="str">
            <v>C63</v>
          </cell>
          <cell r="G131" t="str">
            <v>F20</v>
          </cell>
          <cell r="L131" t="str">
            <v>应付股利</v>
          </cell>
          <cell r="M131" t="str">
            <v>F0901</v>
          </cell>
        </row>
        <row r="132">
          <cell r="D132" t="str">
            <v>C64</v>
          </cell>
          <cell r="E132" t="str">
            <v xml:space="preserve">经营活动产生的现金流量净额 </v>
          </cell>
          <cell r="F132" t="str">
            <v>C64</v>
          </cell>
          <cell r="G132" t="str">
            <v>F21</v>
          </cell>
          <cell r="L132" t="str">
            <v>其他应付款</v>
          </cell>
          <cell r="M132" t="str">
            <v>F1001</v>
          </cell>
        </row>
        <row r="133">
          <cell r="D133" t="str">
            <v>C65</v>
          </cell>
          <cell r="E133" t="str">
            <v xml:space="preserve">债务转为资本 </v>
          </cell>
          <cell r="F133" t="str">
            <v>C65</v>
          </cell>
          <cell r="G133" t="str">
            <v>F22</v>
          </cell>
          <cell r="L133" t="str">
            <v>应付分保账款</v>
          </cell>
          <cell r="M133" t="str">
            <v>F5801</v>
          </cell>
        </row>
        <row r="134">
          <cell r="D134" t="str">
            <v>C66</v>
          </cell>
          <cell r="E134" t="str">
            <v xml:space="preserve">一年内到期的可转换公司债券 </v>
          </cell>
          <cell r="F134" t="str">
            <v>C66</v>
          </cell>
          <cell r="G134" t="str">
            <v>F70</v>
          </cell>
          <cell r="L134" t="str">
            <v>保险合同准备金</v>
          </cell>
          <cell r="M134" t="str">
            <v>F5901</v>
          </cell>
        </row>
        <row r="135">
          <cell r="D135" t="str">
            <v>C67</v>
          </cell>
          <cell r="E135" t="str">
            <v xml:space="preserve">融资租入固定资产 </v>
          </cell>
          <cell r="F135" t="str">
            <v>C67</v>
          </cell>
          <cell r="G135" t="str">
            <v>F23</v>
          </cell>
          <cell r="L135" t="str">
            <v>代理买卖证券款</v>
          </cell>
          <cell r="M135" t="str">
            <v>F6001</v>
          </cell>
        </row>
        <row r="136">
          <cell r="D136" t="str">
            <v>C68</v>
          </cell>
          <cell r="E136" t="str">
            <v xml:space="preserve">现金的期末余额 </v>
          </cell>
          <cell r="F136" t="str">
            <v>C68</v>
          </cell>
          <cell r="G136" t="str">
            <v>F62</v>
          </cell>
          <cell r="L136" t="str">
            <v>代理承销证券款</v>
          </cell>
          <cell r="M136" t="str">
            <v>F6101</v>
          </cell>
        </row>
        <row r="137">
          <cell r="D137" t="str">
            <v>C69</v>
          </cell>
          <cell r="E137" t="str">
            <v xml:space="preserve">现金的期初余额 </v>
          </cell>
          <cell r="F137" t="str">
            <v>C69</v>
          </cell>
          <cell r="G137" t="str">
            <v>F24</v>
          </cell>
          <cell r="L137" t="str">
            <v>一年内到期的非流动负债</v>
          </cell>
          <cell r="M137" t="str">
            <v>F1101</v>
          </cell>
        </row>
        <row r="138">
          <cell r="D138" t="str">
            <v>C70</v>
          </cell>
          <cell r="E138" t="str">
            <v xml:space="preserve">现金等价物的期末余额 </v>
          </cell>
          <cell r="F138" t="str">
            <v>C70</v>
          </cell>
          <cell r="G138" t="str">
            <v>F25</v>
          </cell>
          <cell r="L138" t="str">
            <v>其他流动负债</v>
          </cell>
          <cell r="M138" t="str">
            <v>F1201</v>
          </cell>
        </row>
        <row r="139">
          <cell r="D139" t="str">
            <v>C71</v>
          </cell>
          <cell r="E139" t="str">
            <v xml:space="preserve">现金等价物的期初余额 </v>
          </cell>
          <cell r="F139" t="str">
            <v>C71</v>
          </cell>
          <cell r="G139" t="str">
            <v>F26</v>
          </cell>
          <cell r="L139" t="str">
            <v>长期借款</v>
          </cell>
          <cell r="M139" t="str">
            <v>F1301</v>
          </cell>
        </row>
        <row r="140">
          <cell r="G140" t="str">
            <v>F27</v>
          </cell>
          <cell r="L140" t="str">
            <v>应付债券</v>
          </cell>
          <cell r="M140" t="str">
            <v>F1401</v>
          </cell>
        </row>
        <row r="141">
          <cell r="G141" t="str">
            <v>F28</v>
          </cell>
          <cell r="L141" t="str">
            <v>长期应付款</v>
          </cell>
          <cell r="M141" t="str">
            <v>F1501</v>
          </cell>
        </row>
        <row r="142">
          <cell r="G142" t="str">
            <v>F29</v>
          </cell>
          <cell r="L142" t="str">
            <v>专项应付款</v>
          </cell>
          <cell r="M142" t="str">
            <v>F1601</v>
          </cell>
        </row>
        <row r="143">
          <cell r="G143" t="str">
            <v>F30</v>
          </cell>
          <cell r="L143" t="str">
            <v>预计负债</v>
          </cell>
          <cell r="M143" t="str">
            <v>F1701</v>
          </cell>
        </row>
        <row r="144">
          <cell r="G144" t="str">
            <v>F31</v>
          </cell>
          <cell r="L144" t="str">
            <v>递延所得税负债</v>
          </cell>
          <cell r="M144" t="str">
            <v>F1801</v>
          </cell>
        </row>
        <row r="145">
          <cell r="G145" t="str">
            <v>Z29</v>
          </cell>
          <cell r="L145" t="str">
            <v>其他非流动负债</v>
          </cell>
          <cell r="M145" t="str">
            <v>F1901</v>
          </cell>
        </row>
        <row r="146">
          <cell r="G146" t="str">
            <v>Z30</v>
          </cell>
          <cell r="L146" t="str">
            <v>股本_上年年末余额*</v>
          </cell>
          <cell r="M146" t="str">
            <v>F2006</v>
          </cell>
        </row>
        <row r="147">
          <cell r="G147" t="str">
            <v>Z31</v>
          </cell>
          <cell r="L147" t="str">
            <v>股本_会计政策变更</v>
          </cell>
          <cell r="M147" t="str">
            <v>F2007</v>
          </cell>
        </row>
        <row r="148">
          <cell r="G148" t="str">
            <v>Z32</v>
          </cell>
          <cell r="L148" t="str">
            <v>股本_前期差错更正</v>
          </cell>
          <cell r="M148" t="str">
            <v>F2008</v>
          </cell>
        </row>
        <row r="149">
          <cell r="G149" t="str">
            <v>Z33</v>
          </cell>
          <cell r="L149" t="str">
            <v>股本_所有者投入资本</v>
          </cell>
          <cell r="M149" t="str">
            <v>F2001</v>
          </cell>
        </row>
        <row r="150">
          <cell r="G150" t="str">
            <v>Z34</v>
          </cell>
          <cell r="L150" t="str">
            <v>股本_股份支付计入所有者权益的金额</v>
          </cell>
          <cell r="M150" t="str">
            <v>F2002</v>
          </cell>
        </row>
        <row r="151">
          <cell r="G151" t="str">
            <v>Z35</v>
          </cell>
          <cell r="L151" t="str">
            <v>股本_资本公积转增资本</v>
          </cell>
          <cell r="M151" t="str">
            <v>F2003</v>
          </cell>
        </row>
        <row r="152">
          <cell r="G152" t="str">
            <v>Z36</v>
          </cell>
          <cell r="L152" t="str">
            <v>股本_盈余公积转增资本</v>
          </cell>
          <cell r="M152" t="str">
            <v>F2004</v>
          </cell>
        </row>
        <row r="153">
          <cell r="G153" t="str">
            <v>Z37</v>
          </cell>
          <cell r="L153" t="str">
            <v>股本_其他</v>
          </cell>
          <cell r="M153" t="str">
            <v>F2005</v>
          </cell>
        </row>
        <row r="154">
          <cell r="G154" t="str">
            <v>Z38</v>
          </cell>
          <cell r="L154" t="str">
            <v>资本公积_上年年末余额*</v>
          </cell>
          <cell r="M154" t="str">
            <v>F2107</v>
          </cell>
        </row>
        <row r="155">
          <cell r="G155" t="str">
            <v>Z39</v>
          </cell>
          <cell r="L155" t="str">
            <v>资本公积_会计政策变更</v>
          </cell>
          <cell r="M155" t="str">
            <v>F2108</v>
          </cell>
        </row>
        <row r="156">
          <cell r="G156" t="str">
            <v>Z40</v>
          </cell>
          <cell r="L156" t="str">
            <v>资本公积_前期差错更正</v>
          </cell>
          <cell r="M156" t="str">
            <v>F2109</v>
          </cell>
        </row>
        <row r="157">
          <cell r="G157" t="str">
            <v>Z41</v>
          </cell>
          <cell r="L157" t="str">
            <v>资本公积_可供出售金融资产公允价值变动净额</v>
          </cell>
          <cell r="M157" t="str">
            <v>F2101</v>
          </cell>
        </row>
        <row r="158">
          <cell r="G158" t="str">
            <v>Z42</v>
          </cell>
          <cell r="L158" t="str">
            <v>资本公积_权益法下被投资单位其他所有者权益变动的影响</v>
          </cell>
          <cell r="M158" t="str">
            <v>F2102</v>
          </cell>
        </row>
        <row r="159">
          <cell r="G159" t="str">
            <v>F32</v>
          </cell>
          <cell r="L159" t="str">
            <v>资本公积_与计入所有者权益项目相关的所得税影响</v>
          </cell>
          <cell r="M159" t="str">
            <v>F2103</v>
          </cell>
        </row>
        <row r="160">
          <cell r="G160" t="str">
            <v>F33</v>
          </cell>
          <cell r="L160" t="str">
            <v>资本公积_所有者投入资本</v>
          </cell>
          <cell r="M160" t="str">
            <v>F2104</v>
          </cell>
        </row>
        <row r="161">
          <cell r="G161" t="str">
            <v>F34</v>
          </cell>
          <cell r="L161" t="str">
            <v>资本公积_资本公积转增资本</v>
          </cell>
          <cell r="M161" t="str">
            <v>F2105</v>
          </cell>
        </row>
        <row r="162">
          <cell r="G162" t="str">
            <v>F35</v>
          </cell>
          <cell r="L162" t="str">
            <v>资本公积_其他</v>
          </cell>
          <cell r="M162" t="str">
            <v>F2106</v>
          </cell>
        </row>
        <row r="163">
          <cell r="G163" t="str">
            <v>F36</v>
          </cell>
          <cell r="L163" t="str">
            <v>库存股_上年年末余额*</v>
          </cell>
          <cell r="M163" t="str">
            <v>F2202</v>
          </cell>
        </row>
        <row r="164">
          <cell r="G164" t="str">
            <v>F37</v>
          </cell>
          <cell r="L164" t="str">
            <v>库存股_会计政策变更</v>
          </cell>
          <cell r="M164" t="str">
            <v>F2203</v>
          </cell>
        </row>
        <row r="165">
          <cell r="G165" t="str">
            <v>Z43</v>
          </cell>
          <cell r="L165" t="str">
            <v>库存股_前期差错更正</v>
          </cell>
          <cell r="M165" t="str">
            <v>F2204</v>
          </cell>
        </row>
        <row r="166">
          <cell r="G166" t="str">
            <v>Z44</v>
          </cell>
          <cell r="L166" t="str">
            <v>库存股_其他</v>
          </cell>
          <cell r="M166" t="str">
            <v>F2201</v>
          </cell>
        </row>
        <row r="167">
          <cell r="G167" t="str">
            <v>F38</v>
          </cell>
          <cell r="L167" t="str">
            <v>专项储备</v>
          </cell>
          <cell r="M167" t="str">
            <v>F7001</v>
          </cell>
        </row>
        <row r="168">
          <cell r="G168" t="str">
            <v>Z45</v>
          </cell>
          <cell r="L168" t="str">
            <v>盈余公积_上年年末余额*</v>
          </cell>
          <cell r="M168" t="str">
            <v>F2305</v>
          </cell>
        </row>
        <row r="169">
          <cell r="G169" t="str">
            <v>Z46</v>
          </cell>
          <cell r="L169" t="str">
            <v>盈余公积_会计政策变更</v>
          </cell>
          <cell r="M169" t="str">
            <v>F2306</v>
          </cell>
        </row>
        <row r="170">
          <cell r="G170" t="str">
            <v>Z47</v>
          </cell>
          <cell r="L170" t="str">
            <v>盈余公积_前期差错更正</v>
          </cell>
          <cell r="M170" t="str">
            <v>F2307</v>
          </cell>
        </row>
        <row r="171">
          <cell r="G171" t="str">
            <v>Z48</v>
          </cell>
          <cell r="L171" t="str">
            <v>盈余公积_提取盈余公积</v>
          </cell>
          <cell r="M171" t="str">
            <v>F2301</v>
          </cell>
        </row>
        <row r="172">
          <cell r="G172" t="str">
            <v>Z49</v>
          </cell>
          <cell r="L172" t="str">
            <v>盈余公积_盈余公积转增资本</v>
          </cell>
          <cell r="M172" t="str">
            <v>F2302</v>
          </cell>
        </row>
        <row r="173">
          <cell r="G173" t="str">
            <v>Z50</v>
          </cell>
          <cell r="L173" t="str">
            <v>盈余公积_盈余公积弥补亏损</v>
          </cell>
          <cell r="M173" t="str">
            <v>F2303</v>
          </cell>
        </row>
        <row r="174">
          <cell r="G174" t="str">
            <v>Z51</v>
          </cell>
          <cell r="L174" t="str">
            <v>盈余公积_提取任意盈余公积</v>
          </cell>
          <cell r="M174" t="str">
            <v>F2304</v>
          </cell>
        </row>
        <row r="175">
          <cell r="G175" t="str">
            <v>Z52</v>
          </cell>
          <cell r="L175" t="str">
            <v>一般风险准备_上年年末余额*</v>
          </cell>
          <cell r="M175" t="str">
            <v>F6202</v>
          </cell>
        </row>
        <row r="176">
          <cell r="G176" t="str">
            <v>F39</v>
          </cell>
          <cell r="L176" t="str">
            <v>一般风险准备_其他</v>
          </cell>
          <cell r="M176" t="str">
            <v>F6201</v>
          </cell>
        </row>
        <row r="177">
          <cell r="G177" t="str">
            <v>F40</v>
          </cell>
          <cell r="L177" t="str">
            <v>未分配利润_年初未分配利润</v>
          </cell>
          <cell r="M177" t="str">
            <v>F4501</v>
          </cell>
        </row>
        <row r="178">
          <cell r="G178" t="str">
            <v>F41</v>
          </cell>
          <cell r="L178" t="str">
            <v>未分配利润_会计政策变更</v>
          </cell>
          <cell r="M178" t="str">
            <v>F4502</v>
          </cell>
        </row>
        <row r="179">
          <cell r="G179" t="str">
            <v>F42</v>
          </cell>
          <cell r="L179" t="str">
            <v>未分配利润_前期差错更正</v>
          </cell>
          <cell r="M179" t="str">
            <v>F4503</v>
          </cell>
        </row>
        <row r="180">
          <cell r="G180" t="str">
            <v>F43</v>
          </cell>
          <cell r="L180" t="str">
            <v>未分配利润__提取盈余公积</v>
          </cell>
          <cell r="M180" t="str">
            <v>F4504</v>
          </cell>
        </row>
        <row r="181">
          <cell r="G181" t="str">
            <v>F44</v>
          </cell>
          <cell r="L181" t="str">
            <v>未分配利润__提取一般风险准备</v>
          </cell>
          <cell r="M181" t="str">
            <v>F4508</v>
          </cell>
        </row>
        <row r="182">
          <cell r="L182" t="str">
            <v>未分配利润__对所有者（或股东）的分配</v>
          </cell>
          <cell r="M182" t="str">
            <v>F4505</v>
          </cell>
        </row>
        <row r="183">
          <cell r="L183" t="str">
            <v>未分配利润__盈余公积弥补亏损</v>
          </cell>
          <cell r="M183" t="str">
            <v>F4506</v>
          </cell>
        </row>
        <row r="184">
          <cell r="L184" t="str">
            <v>未分配利润_其他</v>
          </cell>
          <cell r="M184" t="str">
            <v>F4507</v>
          </cell>
        </row>
        <row r="185">
          <cell r="L185" t="str">
            <v>外币报表折算差额</v>
          </cell>
          <cell r="M185" t="str">
            <v>F2501</v>
          </cell>
        </row>
        <row r="186">
          <cell r="L186" t="str">
            <v>少数股东权益_上年年末余额*</v>
          </cell>
          <cell r="M186" t="str">
            <v>F2602</v>
          </cell>
        </row>
        <row r="187">
          <cell r="L187" t="str">
            <v>少数股东权益_会计政策变更</v>
          </cell>
          <cell r="M187" t="str">
            <v>F2603</v>
          </cell>
        </row>
        <row r="188">
          <cell r="L188" t="str">
            <v>少数股东权益_前期差错更正</v>
          </cell>
          <cell r="M188" t="str">
            <v>F2604</v>
          </cell>
        </row>
        <row r="189">
          <cell r="L189" t="str">
            <v>少数股东权益_净利润</v>
          </cell>
          <cell r="M189" t="str">
            <v>F2601</v>
          </cell>
        </row>
        <row r="190">
          <cell r="L190" t="str">
            <v>少数股东权益_所有者投入资本</v>
          </cell>
          <cell r="M190" t="str">
            <v>F2606</v>
          </cell>
        </row>
        <row r="191">
          <cell r="L191" t="str">
            <v>少数股东权益_对所有者（或股东）的分配</v>
          </cell>
          <cell r="M191" t="str">
            <v>F2607</v>
          </cell>
        </row>
        <row r="192">
          <cell r="L192" t="str">
            <v>少数股东权益_其他</v>
          </cell>
          <cell r="M192" t="str">
            <v>F2605</v>
          </cell>
        </row>
        <row r="193">
          <cell r="L193" t="str">
            <v>营业收入</v>
          </cell>
          <cell r="M193" t="str">
            <v>F2801</v>
          </cell>
        </row>
        <row r="194">
          <cell r="L194" t="str">
            <v>营业成本</v>
          </cell>
          <cell r="M194" t="str">
            <v>Z3001</v>
          </cell>
        </row>
        <row r="195">
          <cell r="L195" t="str">
            <v>营业税金及附加</v>
          </cell>
          <cell r="M195" t="str">
            <v>Z3801</v>
          </cell>
        </row>
        <row r="196">
          <cell r="L196" t="str">
            <v>销售费用</v>
          </cell>
          <cell r="M196" t="str">
            <v>Z3901</v>
          </cell>
        </row>
        <row r="197">
          <cell r="L197" t="str">
            <v>管理费用</v>
          </cell>
          <cell r="M197" t="str">
            <v>Z4001</v>
          </cell>
        </row>
        <row r="198">
          <cell r="L198" t="str">
            <v>财务费用</v>
          </cell>
          <cell r="M198" t="str">
            <v>Z4101</v>
          </cell>
        </row>
        <row r="199">
          <cell r="L199" t="str">
            <v>资产减值损失</v>
          </cell>
          <cell r="M199" t="str">
            <v>Z4201</v>
          </cell>
        </row>
        <row r="200">
          <cell r="L200" t="str">
            <v>公允价值变动收益</v>
          </cell>
          <cell r="M200" t="str">
            <v>F3201</v>
          </cell>
        </row>
        <row r="201">
          <cell r="L201" t="str">
            <v>投资收益</v>
          </cell>
          <cell r="M201" t="str">
            <v>F3301</v>
          </cell>
        </row>
        <row r="202">
          <cell r="L202" t="str">
            <v>投资收益_对联营企业和合营企业的投资收益</v>
          </cell>
          <cell r="M202" t="str">
            <v>F3302</v>
          </cell>
        </row>
        <row r="203">
          <cell r="L203" t="str">
            <v>营业外收入</v>
          </cell>
          <cell r="M203" t="str">
            <v>F3701</v>
          </cell>
        </row>
        <row r="204">
          <cell r="L204" t="str">
            <v>营业外支出</v>
          </cell>
          <cell r="M204" t="str">
            <v>Z4301</v>
          </cell>
        </row>
        <row r="205">
          <cell r="L205" t="str">
            <v>营业外支出_非流动资产处置损失</v>
          </cell>
          <cell r="M205" t="str">
            <v>Z4302</v>
          </cell>
        </row>
        <row r="206">
          <cell r="L206" t="str">
            <v>所得税费用</v>
          </cell>
          <cell r="M206" t="str">
            <v>Z4501</v>
          </cell>
        </row>
        <row r="207">
          <cell r="L207" t="str">
            <v>少数股东损益</v>
          </cell>
          <cell r="M207" t="str">
            <v>Z4801</v>
          </cell>
        </row>
        <row r="208">
          <cell r="L208" t="str">
            <v>被合并方在合并前实现的净利润</v>
          </cell>
          <cell r="M208" t="str">
            <v>Z4901</v>
          </cell>
        </row>
      </sheetData>
      <sheetData sheetId="18" refreshError="1"/>
      <sheetData sheetId="19" refreshError="1"/>
      <sheetData sheetId="20" refreshError="1"/>
      <sheetData sheetId="2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source"/>
      <sheetName val="dept"/>
      <sheetName val="关联交易-存款"/>
      <sheetName val="E1020"/>
      <sheetName val="M-5C"/>
      <sheetName val="企业表一"/>
      <sheetName val="M-5A"/>
      <sheetName val="master"/>
      <sheetName val="INDEX"/>
      <sheetName val="Tables"/>
      <sheetName val="Dep.HK"/>
      <sheetName val="TSNO-DC"/>
      <sheetName val="12月到货 "/>
      <sheetName val="ANALYSEN"/>
      <sheetName val="Sheet1"/>
      <sheetName val="价格"/>
      <sheetName val="Summary"/>
      <sheetName val="DEP"/>
      <sheetName val="部门"/>
      <sheetName val="A300"/>
      <sheetName val="3-1-1现金"/>
      <sheetName val="Rate"/>
      <sheetName val="E100"/>
      <sheetName val="N100"/>
      <sheetName val="PRESENTATION"/>
      <sheetName val="FF-21(a)"/>
      <sheetName val="E"/>
      <sheetName val="A"/>
      <sheetName val="実績SK"/>
      <sheetName val="UFPrn20021113090847"/>
      <sheetName val="Comp equip"/>
      <sheetName val="Mach &amp; equip"/>
      <sheetName val="WORKING"/>
      <sheetName val="J&amp;Q"/>
      <sheetName val="A430"/>
      <sheetName val="C101"/>
      <sheetName val="E101"/>
      <sheetName val="G101"/>
      <sheetName val="G201"/>
      <sheetName val="G301"/>
      <sheetName val="I101"/>
      <sheetName val="ARP-U101"/>
      <sheetName val="ARP-U301"/>
      <sheetName val="U401"/>
      <sheetName val="ARP-U501"/>
      <sheetName val="DATA"/>
      <sheetName val="GB"/>
      <sheetName val="12月到货_"/>
      <sheetName val="zero (3)"/>
      <sheetName val="审核2"/>
      <sheetName val="Sheet3"/>
      <sheetName val="Newsheet"/>
      <sheetName val="K110"/>
      <sheetName val="G210"/>
      <sheetName val="O111"/>
      <sheetName val="analyse"/>
      <sheetName val="MasterList"/>
      <sheetName val="个人欠款账龄分析表"/>
      <sheetName val="0898"/>
      <sheetName val="U301"/>
      <sheetName val="设备部房屋"/>
      <sheetName val="CY sales report"/>
      <sheetName val="A.R 01"/>
      <sheetName val="F1"/>
      <sheetName val="选择报表"/>
      <sheetName val="F306"/>
      <sheetName val="Control"/>
      <sheetName val="数外余额"/>
      <sheetName val="其他应付款4-12月份明细表"/>
      <sheetName val="LinkData"/>
      <sheetName val="捐赠支出未列支全部2005"/>
      <sheetName val="Consol BS"/>
      <sheetName val="HO &amp; Aust BS"/>
      <sheetName val="BOX SUM"/>
      <sheetName val="FIN GOOD"/>
      <sheetName val="存货明细2002"/>
      <sheetName val="App1 Entities sequence number"/>
      <sheetName val="G110"/>
      <sheetName val="F-B"/>
      <sheetName val="数量统计"/>
      <sheetName val="在产品成本计算XPC,FR2(3)"/>
      <sheetName val="SUDAREA"/>
      <sheetName val="员工工资"/>
      <sheetName val="科目余额表"/>
      <sheetName val="kczj0312"/>
      <sheetName val="国产件1"/>
      <sheetName val="报废备件"/>
      <sheetName val="KD批次、封存件"/>
      <sheetName val="T  B"/>
      <sheetName val="表二甲机务F型"/>
      <sheetName val="U600-投资收益"/>
      <sheetName val="產成品收發明細表5"/>
      <sheetName val="Karin(SH)"/>
      <sheetName val="资产负债表"/>
      <sheetName val="P500-预提费用明细表"/>
      <sheetName val="F2100-半成品"/>
      <sheetName val="F2000-委托加工物资"/>
      <sheetName val="F1000芯片"/>
      <sheetName val="F1100芯片测试费 "/>
      <sheetName val="list"/>
      <sheetName val="Dep_HK"/>
      <sheetName val="E120K"/>
      <sheetName val="F40-Goodsin transit"/>
      <sheetName val="A3"/>
      <sheetName val="ASSLIST2.XLS"/>
      <sheetName val="02"/>
      <sheetName val="loan database"/>
      <sheetName val="2003年主营产品销售按地区"/>
      <sheetName val="U320-TreatyBreakdown_财产险"/>
      <sheetName val="U340-TreatyBreakdown_船舶险"/>
      <sheetName val="M_5A"/>
      <sheetName val="M_5C"/>
      <sheetName val="____"/>
      <sheetName val="Ã«ÀûÂÊ·ÖÎö±í"/>
      <sheetName val="B 调整hy A(B2)020116.xls]运煤预"/>
      <sheetName val="Collateral"/>
      <sheetName val="Disposition"/>
      <sheetName val="Sign Off Form"/>
      <sheetName val="A3 &amp; U 09-01"/>
      <sheetName val="目录"/>
      <sheetName val="Description"/>
      <sheetName val="gia vt,nc,may"/>
      <sheetName val="F100-RM list"/>
      <sheetName val="Confirmation"/>
      <sheetName val="资产负债表 (续)"/>
      <sheetName val="利润表"/>
      <sheetName val="M2应交税费导引表"/>
      <sheetName val="索引"/>
      <sheetName val="P&amp;L Items"/>
      <sheetName val="B 调整hy A(B2)020116.xls_运煤预"/>
      <sheetName val="H101(OK)"/>
      <sheetName val="orignal"/>
      <sheetName val="G102"/>
      <sheetName val="Parameters"/>
      <sheetName val="To tied 2001 opening RE"/>
      <sheetName val="10月回款"/>
      <sheetName val="10月销售"/>
      <sheetName val="Aging Datasheet"/>
      <sheetName val="ECCS_1 DataSheet"/>
      <sheetName val="KPI Datasheet"/>
      <sheetName val="9100-PO"/>
      <sheetName val="Part_Datum"/>
      <sheetName val="153541"/>
      <sheetName val="AFEMAI"/>
      <sheetName val="TAX SCHEDULE"/>
      <sheetName val="U 510"/>
      <sheetName val="E1"/>
      <sheetName val="XL4Poppy"/>
      <sheetName val="银行存款核对表"/>
      <sheetName val="Vendor Data"/>
      <sheetName val="短期投资股票投资.dbf"/>
      <sheetName val="短期投资国债投资.dbf"/>
      <sheetName val="股票投资收益.dbf"/>
      <sheetName val="其他货币海通.dbf"/>
      <sheetName val="其他货币零领路.dbf"/>
      <sheetName val="投资收益债券.dbf"/>
      <sheetName val="附表6"/>
      <sheetName val="KKKKKKKK"/>
      <sheetName val="_x0000__x0000__x0000__x0000__x0000__x0000__x0000__x0000_"/>
      <sheetName val="清单12.31"/>
      <sheetName val="KEY"/>
      <sheetName val="长期股权投资Mx"/>
      <sheetName val="_x005f_x0000__x005f_x0000__x005f_x0000__x005f_x0000__x0"/>
      <sheetName val="科目名称表"/>
      <sheetName val="科目表"/>
      <sheetName val="序时账"/>
      <sheetName val="序时帐"/>
      <sheetName val="期后回款"/>
      <sheetName val="所得税调整"/>
      <sheetName val="W"/>
      <sheetName val="Investment Property"/>
      <sheetName val="KLHT"/>
      <sheetName val="_x005f_x005f_x005f_x0000__x005f_x005f_x005f_x0000__x005"/>
      <sheetName val="贴现2003"/>
      <sheetName val="贴现2002"/>
      <sheetName val="贴现(总表)"/>
      <sheetName val="表外项目-银行承兑汇票"/>
      <sheetName val="贷款清单2002"/>
      <sheetName val="贷款清单2003"/>
      <sheetName val="V300-PBOC SWAP"/>
      <sheetName val="2001"/>
      <sheetName val="company"/>
      <sheetName val="应收票据"/>
      <sheetName val="应收账款"/>
      <sheetName val="预收账款"/>
      <sheetName val="应交税金"/>
      <sheetName val="其他应交款"/>
      <sheetName val="主营业务收入"/>
      <sheetName val="主营业务税金及附加"/>
      <sheetName val="其他业务利润"/>
      <sheetName val="营业费用"/>
      <sheetName val="预付账款"/>
      <sheetName val="固及累"/>
      <sheetName val="固减值"/>
      <sheetName val="工程物资"/>
      <sheetName val="在建工程"/>
      <sheetName val="在建减值"/>
      <sheetName val="固定清理"/>
      <sheetName val="应付票据"/>
      <sheetName val="应付账款"/>
      <sheetName val="存货"/>
      <sheetName val="生产成本"/>
      <sheetName val="制造费用"/>
      <sheetName val="劳务成本"/>
      <sheetName val="存货跌价准备"/>
      <sheetName val="代销商品款"/>
      <sheetName val="待摊费用"/>
      <sheetName val="应付工资"/>
      <sheetName val="应付福利费"/>
      <sheetName val="预提费用"/>
      <sheetName val="主营业务成本"/>
      <sheetName val="货币资金"/>
      <sheetName val="短期投资"/>
      <sheetName val="短期投资-委托贷款"/>
      <sheetName val="应收股利"/>
      <sheetName val="应收利息"/>
      <sheetName val="应收补贴款"/>
      <sheetName val="其他应收款"/>
      <sheetName val="长期股权投资"/>
      <sheetName val="长期股权投资明细表"/>
      <sheetName val="长期股权投资-减值准备"/>
      <sheetName val="长期债权投资"/>
      <sheetName val="长期债权投资减值准备"/>
      <sheetName val="无形资产"/>
      <sheetName val="长期待摊费用"/>
      <sheetName val="短期借款"/>
      <sheetName val="应付股利"/>
      <sheetName val="其他应付款"/>
      <sheetName val="内部往来"/>
      <sheetName val="预计负债"/>
      <sheetName val="长期借款"/>
      <sheetName val="应付债券"/>
      <sheetName val="长期应付款"/>
      <sheetName val="专项应付款"/>
      <sheetName val="其他长期负债"/>
      <sheetName val="递延税款"/>
      <sheetName val="一年内到期"/>
      <sheetName val="股本"/>
      <sheetName val="资本公积"/>
      <sheetName val="盈余公积"/>
      <sheetName val="未分配利润"/>
      <sheetName val="管理费用"/>
      <sheetName val="财务费用"/>
      <sheetName val="投资收益"/>
      <sheetName val="补贴收入"/>
      <sheetName val="营业外收入"/>
      <sheetName val="营业外支出"/>
      <sheetName val="所得税"/>
      <sheetName val="以前年度损益"/>
      <sheetName val="减值准备"/>
      <sheetName val="股东权益增减变动表"/>
      <sheetName val="其他应收款－个人借款明细"/>
      <sheetName val="Sheet2"/>
      <sheetName val="Sheet2 (3)"/>
      <sheetName val="管理费用Dy"/>
      <sheetName val="其他应收款Dy"/>
      <sheetName val="界面"/>
      <sheetName val="银行借款询证"/>
      <sheetName val="G1-1营业收入审定表"/>
      <sheetName val="2008年"/>
      <sheetName val="4"/>
      <sheetName val="Main"/>
      <sheetName val="表头信息"/>
      <sheetName val="生产成本账"/>
      <sheetName val="上期报表"/>
      <sheetName val="H R"/>
      <sheetName val="BALANCE SHEET"/>
      <sheetName val="Q110"/>
      <sheetName val="Definitions"/>
      <sheetName val="Ex rate"/>
      <sheetName val="Final sample listing"/>
      <sheetName val="固定资产清单"/>
      <sheetName val="Repayment Summary"/>
      <sheetName val="PRC"/>
      <sheetName val="cholesky"/>
      <sheetName val="_x0000__x0000__x0000__x0000__x0"/>
      <sheetName val="_x005f_x0000__x005f_x0000__x005"/>
      <sheetName val="_x0000__x0000__x00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短期投资"/>
      <sheetName val="D02"/>
      <sheetName val="#REF"/>
      <sheetName val="#REF!"/>
      <sheetName val="¶ÌÆÚÍ¶×Ê"/>
      <sheetName val="Source"/>
      <sheetName val="LinkData"/>
      <sheetName val="E1020"/>
      <sheetName val="11-1"/>
      <sheetName val="Sheet1"/>
      <sheetName val="17应付票据明细表"/>
      <sheetName val="U120"/>
      <sheetName val="资产负债表"/>
      <sheetName val="2002年预提费用"/>
      <sheetName val="关联交易-存款"/>
      <sheetName val="master"/>
      <sheetName val="??????¡¤???¡À¨ª"/>
      <sheetName val="Data"/>
      <sheetName val="E110"/>
      <sheetName val="______¡¤___¡À¨ª"/>
      <sheetName val="Ã«ÀûÂÊ·ÖÎö±í"/>
      <sheetName val="企业表一"/>
      <sheetName val="M-5C"/>
      <sheetName val="M-5A"/>
      <sheetName val="XL4Poppy"/>
      <sheetName val="Consol_VD"/>
      <sheetName val="上报资产负债表"/>
      <sheetName val="上报损益表"/>
      <sheetName val="现金流量表（月报）"/>
      <sheetName val="补充表"/>
      <sheetName val="设备部房屋"/>
      <sheetName val="热力"/>
      <sheetName val="B"/>
      <sheetName val="G200"/>
      <sheetName val="员工工资"/>
      <sheetName val="合并底稿-自营"/>
      <sheetName val="E100"/>
      <sheetName val="N100"/>
      <sheetName val="Sales for 2001"/>
      <sheetName val="04.9.30"/>
      <sheetName val="#511BkRec"/>
      <sheetName val="Common Assumptions"/>
      <sheetName val="A5-2"/>
      <sheetName val="预收帐款"/>
      <sheetName val="FF-6"/>
      <sheetName val="eqpmad2"/>
      <sheetName val="固定资产预测"/>
      <sheetName val="SD明细"/>
      <sheetName val="FF明细"/>
      <sheetName val="cfl"/>
      <sheetName val="MAIN"/>
      <sheetName val="KMHZ"/>
      <sheetName val="POWER ASSUMP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C Full List"/>
      <sheetName val="Source"/>
    </sheetNames>
    <sheetDataSet>
      <sheetData sheetId="0" refreshError="1"/>
      <sheetData sheetId="1" refreshError="1">
        <row r="5">
          <cell r="B5" t="str">
            <v>母公司</v>
          </cell>
        </row>
        <row r="6">
          <cell r="B6" t="str">
            <v>一级合并子公司</v>
          </cell>
        </row>
        <row r="7">
          <cell r="B7" t="str">
            <v>分部</v>
          </cell>
        </row>
        <row r="8">
          <cell r="B8" t="str">
            <v>独立核算分公司</v>
          </cell>
        </row>
        <row r="9">
          <cell r="B9" t="str">
            <v>合并子公司(合并)</v>
          </cell>
        </row>
        <row r="10">
          <cell r="B10" t="str">
            <v>非合并子公司</v>
          </cell>
        </row>
        <row r="11">
          <cell r="B11" t="str">
            <v>合营公司(比例合并)</v>
          </cell>
        </row>
        <row r="12">
          <cell r="B12" t="str">
            <v>联营公司(权益法)</v>
          </cell>
        </row>
        <row r="13">
          <cell r="B13" t="str">
            <v>其他长期投资</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控制汇总表"/>
      <sheetName val="M100-短期借款"/>
      <sheetName val="N100-应付票据"/>
      <sheetName val="N200-应付帐款"/>
      <sheetName val="O100-应交税金"/>
      <sheetName val="P100-预收货款"/>
      <sheetName val="P200-应付工资"/>
      <sheetName val="P210-应付福利"/>
      <sheetName val="P300-应付股利"/>
      <sheetName val="P400-其他应交款 "/>
      <sheetName val="P500-其他应付款"/>
      <sheetName val="P600-预提费用"/>
      <sheetName val="P700-预计负债"/>
      <sheetName val="P900-一年内到期的长期负债"/>
      <sheetName val="Q100-长期借款"/>
      <sheetName val="Q200-长期应付款"/>
      <sheetName val="T100-股本"/>
      <sheetName val="T100-盈余公积"/>
      <sheetName val="T100-资本公积"/>
      <sheetName val="T100-未分配利润"/>
      <sheetName val="master"/>
    </sheetNames>
    <sheetDataSet>
      <sheetData sheetId="0">
        <row r="3">
          <cell r="G3" t="str">
            <v>技术开发费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100-02 (2)"/>
      <sheetName val="U100-02"/>
      <sheetName val="source"/>
    </sheetNames>
    <sheetDataSet>
      <sheetData sheetId="0"/>
      <sheetData sheetId="1"/>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非经常性损益"/>
      <sheetName val="每股收益"/>
      <sheetName val="主菜单"/>
      <sheetName val="未审BS"/>
      <sheetName val="未审IS"/>
      <sheetName val="未审CF"/>
      <sheetName val="未审SC"/>
      <sheetName val="校对"/>
      <sheetName val="注释抵消"/>
      <sheetName val="注释"/>
      <sheetName val="注释汇总"/>
      <sheetName val="钣金附注注释"/>
      <sheetName val="调整分录"/>
      <sheetName val="CF调整分录"/>
      <sheetName val="试算平衡表"/>
      <sheetName val="合并CF"/>
      <sheetName val="审定BS"/>
      <sheetName val="审定IS"/>
      <sheetName val="审定CF"/>
      <sheetName val="合并清单"/>
      <sheetName val="合并BS"/>
      <sheetName val="参数"/>
      <sheetName val="审定SC"/>
      <sheetName val="合并IS"/>
      <sheetName val="合并SC"/>
    </sheetNames>
    <sheetDataSet>
      <sheetData sheetId="0"/>
      <sheetData sheetId="1"/>
      <sheetData sheetId="2">
        <row r="7">
          <cell r="C7" t="str">
            <v>2007年度</v>
          </cell>
        </row>
        <row r="8">
          <cell r="C8" t="str">
            <v>2008年度</v>
          </cell>
        </row>
        <row r="9">
          <cell r="C9" t="str">
            <v>2009年1-6月</v>
          </cell>
        </row>
        <row r="10">
          <cell r="C10">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s>
    <sheetDataSet>
      <sheetData sheetId="0" refreshError="1">
        <row r="2">
          <cell r="G2" t="str">
            <v>2001年1月1 号</v>
          </cell>
          <cell r="H2" t="str">
            <v>2001年12月31号</v>
          </cell>
        </row>
        <row r="3">
          <cell r="G3" t="str">
            <v>2002年1月1号</v>
          </cell>
          <cell r="H3" t="str">
            <v>2002年12月31号</v>
          </cell>
        </row>
        <row r="4">
          <cell r="G4" t="str">
            <v>2003年1月1 号</v>
          </cell>
          <cell r="H4" t="str">
            <v>2003年12月31号</v>
          </cell>
        </row>
        <row r="5">
          <cell r="G5" t="str">
            <v>2004年1月1 号</v>
          </cell>
          <cell r="H5" t="str">
            <v>2003年6月30号</v>
          </cell>
        </row>
        <row r="6">
          <cell r="H6" t="str">
            <v>2004年6月30号</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200-长期应付款和专项应付款"/>
      <sheetName val="Q300-其他长期负债"/>
      <sheetName val="S100-资本承诺-合同已签署"/>
      <sheetName val="S110-资本承诺-合同未签署"/>
      <sheetName val="S200-租赁承担及经营租约承担"/>
      <sheetName val="S300-或有负债"/>
      <sheetName val="T300-盈余公积"/>
      <sheetName val="T400-股本"/>
      <sheetName val="T500-资本公积"/>
      <sheetName val="T6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资产减值准备及资产损失情况表"/>
      <sheetName val="所有者权益(或股东权益)增减变动表"/>
    </sheetNames>
    <sheetDataSet>
      <sheetData sheetId="0" refreshError="1">
        <row r="2">
          <cell r="B2" t="str">
            <v>上海电气(集团)总公司</v>
          </cell>
        </row>
        <row r="3">
          <cell r="B3" t="str">
            <v>上海电气集团股份有限公司合并范围内子公司</v>
          </cell>
        </row>
        <row r="4">
          <cell r="B4" t="str">
            <v>上海电气集团股份有限公司非合并范围内子公司</v>
          </cell>
        </row>
        <row r="5">
          <cell r="B5" t="str">
            <v>上海电气(集团)总公司下属公司</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在建工程-在建工程-房屋、建筑物明细Db"/>
      <sheetName val="索引"/>
      <sheetName val="长期待摊费用明细Db"/>
      <sheetName val="余额Db"/>
      <sheetName val="分录"/>
      <sheetName val="利润分配凭证Db"/>
      <sheetName val="工程7"/>
      <sheetName val="Sheet6"/>
      <sheetName val="Sheet7"/>
      <sheetName val="Sheet3"/>
      <sheetName val="固定资产清理凭证Db"/>
      <sheetName val="Sheet1"/>
      <sheetName val="工程8"/>
      <sheetName val="皇8"/>
      <sheetName val="皇8 (2)"/>
      <sheetName val="Sheet5"/>
      <sheetName val="余额Db1"/>
      <sheetName val="应付账款明细D11b"/>
      <sheetName val="应付账款明细化7"/>
      <sheetName val="化7"/>
      <sheetName val="盈7"/>
      <sheetName val="Sheet10"/>
      <sheetName val="应付职工薪酬凭证工9"/>
      <sheetName val="Sheet11"/>
      <sheetName val="Sheet14"/>
      <sheetName val="所得税费用凭证Db"/>
      <sheetName val="营业外收入明细Db"/>
      <sheetName val="新8"/>
      <sheetName val="Sheet9"/>
      <sheetName val="Sheet4"/>
      <sheetName val="程9"/>
      <sheetName val="新9"/>
      <sheetName val="化9"/>
      <sheetName val="新7"/>
      <sheetName val="化8"/>
      <sheetName val="Sheet8"/>
      <sheetName val="营业外支出-营业外支出-罚款支出明细Db"/>
      <sheetName val="Sheet2"/>
      <sheetName val="Sheet12"/>
      <sheetName val="长期股权投资凭证09"/>
      <sheetName val="长期股权投资凭证Db"/>
      <sheetName val="资本公积凭证Db"/>
      <sheetName val="化7 (2)"/>
      <sheetName val="标本-资产"/>
      <sheetName val="应付账款明细Db"/>
    </sheetNames>
    <sheetDataSet>
      <sheetData sheetId="0"/>
      <sheetData sheetId="1">
        <row r="6">
          <cell r="C6">
            <v>40543</v>
          </cell>
        </row>
        <row r="7">
          <cell r="C7" t="str">
            <v>2010年度</v>
          </cell>
          <cell r="D7">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s>
    <sheetDataSet>
      <sheetData sheetId="0" refreshError="1">
        <row r="5">
          <cell r="C5" t="str">
            <v>1#检修综合办公楼</v>
          </cell>
          <cell r="D5">
            <v>32523</v>
          </cell>
          <cell r="E5" t="str">
            <v>砖混</v>
          </cell>
          <cell r="F5">
            <v>3</v>
          </cell>
          <cell r="G5">
            <v>3.3</v>
          </cell>
          <cell r="H5">
            <v>1124.04</v>
          </cell>
          <cell r="J5">
            <v>1085820</v>
          </cell>
          <cell r="K5">
            <v>-362321.11</v>
          </cell>
          <cell r="N5">
            <v>10.5</v>
          </cell>
          <cell r="O5">
            <v>40</v>
          </cell>
          <cell r="R5">
            <v>875</v>
          </cell>
          <cell r="S5">
            <v>959.7</v>
          </cell>
          <cell r="T5">
            <v>1078741.1880000001</v>
          </cell>
          <cell r="U5">
            <v>74</v>
          </cell>
          <cell r="V5">
            <v>798268</v>
          </cell>
        </row>
        <row r="6">
          <cell r="C6" t="str">
            <v>1#检修洗衣房</v>
          </cell>
          <cell r="D6">
            <v>32523</v>
          </cell>
          <cell r="E6" t="str">
            <v>砖混</v>
          </cell>
          <cell r="F6">
            <v>1</v>
          </cell>
          <cell r="G6">
            <v>3.3</v>
          </cell>
          <cell r="H6">
            <v>62.13</v>
          </cell>
          <cell r="J6">
            <v>60017</v>
          </cell>
          <cell r="K6">
            <v>60017</v>
          </cell>
          <cell r="N6">
            <v>10.5</v>
          </cell>
          <cell r="O6">
            <v>40</v>
          </cell>
          <cell r="R6">
            <v>850</v>
          </cell>
          <cell r="S6">
            <v>905.93000000000006</v>
          </cell>
          <cell r="T6">
            <v>56285.430900000007</v>
          </cell>
          <cell r="U6">
            <v>74</v>
          </cell>
          <cell r="V6">
            <v>41651</v>
          </cell>
        </row>
        <row r="7">
          <cell r="C7" t="str">
            <v>1#检修站浴室</v>
          </cell>
          <cell r="D7">
            <v>32523</v>
          </cell>
          <cell r="E7" t="str">
            <v>砖混</v>
          </cell>
          <cell r="F7">
            <v>2</v>
          </cell>
          <cell r="G7">
            <v>3</v>
          </cell>
          <cell r="H7">
            <v>578.16</v>
          </cell>
          <cell r="J7">
            <v>558501</v>
          </cell>
          <cell r="K7">
            <v>558501</v>
          </cell>
          <cell r="N7">
            <v>10.5</v>
          </cell>
          <cell r="O7">
            <v>40</v>
          </cell>
          <cell r="R7">
            <v>1530</v>
          </cell>
          <cell r="S7">
            <v>1678.104</v>
          </cell>
          <cell r="T7">
            <v>970212.60863999999</v>
          </cell>
          <cell r="U7">
            <v>74</v>
          </cell>
          <cell r="V7">
            <v>717957</v>
          </cell>
        </row>
        <row r="8">
          <cell r="C8" t="str">
            <v>1#检修加压水泵房</v>
          </cell>
          <cell r="D8">
            <v>32523</v>
          </cell>
          <cell r="E8" t="str">
            <v>砖混</v>
          </cell>
          <cell r="F8">
            <v>1</v>
          </cell>
          <cell r="G8">
            <v>3</v>
          </cell>
          <cell r="H8">
            <v>27.09</v>
          </cell>
          <cell r="J8">
            <v>26169</v>
          </cell>
          <cell r="K8">
            <v>26169</v>
          </cell>
          <cell r="N8">
            <v>10.5</v>
          </cell>
          <cell r="O8">
            <v>40</v>
          </cell>
          <cell r="R8">
            <v>1320</v>
          </cell>
          <cell r="S8">
            <v>1406.856</v>
          </cell>
          <cell r="T8">
            <v>38111.729039999998</v>
          </cell>
          <cell r="U8">
            <v>74</v>
          </cell>
          <cell r="V8">
            <v>28203</v>
          </cell>
        </row>
        <row r="9">
          <cell r="C9" t="str">
            <v>1#检修自行车棚</v>
          </cell>
          <cell r="D9">
            <v>32523</v>
          </cell>
          <cell r="E9" t="str">
            <v>砖混</v>
          </cell>
          <cell r="F9">
            <v>1</v>
          </cell>
          <cell r="G9">
            <v>3</v>
          </cell>
          <cell r="H9">
            <v>91.8</v>
          </cell>
          <cell r="J9">
            <v>88679</v>
          </cell>
          <cell r="K9">
            <v>88679</v>
          </cell>
          <cell r="N9">
            <v>10.5</v>
          </cell>
          <cell r="O9">
            <v>15</v>
          </cell>
          <cell r="R9">
            <v>600</v>
          </cell>
          <cell r="S9">
            <v>639.48</v>
          </cell>
          <cell r="T9">
            <v>58704.264000000003</v>
          </cell>
          <cell r="U9">
            <v>30</v>
          </cell>
          <cell r="V9">
            <v>17611</v>
          </cell>
        </row>
        <row r="10">
          <cell r="C10" t="str">
            <v>1#检修站食堂</v>
          </cell>
          <cell r="D10">
            <v>32523</v>
          </cell>
          <cell r="E10" t="str">
            <v>砖混</v>
          </cell>
          <cell r="F10">
            <v>2</v>
          </cell>
          <cell r="G10">
            <v>3</v>
          </cell>
          <cell r="H10">
            <v>713.92</v>
          </cell>
          <cell r="J10">
            <v>689645</v>
          </cell>
          <cell r="K10">
            <v>689645</v>
          </cell>
          <cell r="N10">
            <v>10.5</v>
          </cell>
          <cell r="O10">
            <v>40</v>
          </cell>
          <cell r="R10">
            <v>930</v>
          </cell>
          <cell r="S10">
            <v>1020.024</v>
          </cell>
          <cell r="T10">
            <v>728215.53408000001</v>
          </cell>
          <cell r="U10">
            <v>74</v>
          </cell>
          <cell r="V10">
            <v>538879</v>
          </cell>
        </row>
        <row r="11">
          <cell r="C11" t="str">
            <v>1#检修工具间</v>
          </cell>
          <cell r="D11">
            <v>32523</v>
          </cell>
          <cell r="E11" t="str">
            <v>砖混</v>
          </cell>
          <cell r="F11">
            <v>1</v>
          </cell>
          <cell r="G11">
            <v>3</v>
          </cell>
          <cell r="H11">
            <v>335.73</v>
          </cell>
          <cell r="J11">
            <v>324314</v>
          </cell>
          <cell r="K11">
            <v>324314</v>
          </cell>
          <cell r="N11">
            <v>10.5</v>
          </cell>
          <cell r="O11">
            <v>40</v>
          </cell>
          <cell r="R11">
            <v>680</v>
          </cell>
          <cell r="S11">
            <v>724.74400000000003</v>
          </cell>
          <cell r="T11">
            <v>243318.30312000003</v>
          </cell>
          <cell r="U11">
            <v>74</v>
          </cell>
          <cell r="V11">
            <v>180056</v>
          </cell>
        </row>
        <row r="12">
          <cell r="C12" t="str">
            <v>1#检修值班室</v>
          </cell>
          <cell r="D12">
            <v>32523</v>
          </cell>
          <cell r="E12" t="str">
            <v>砖混</v>
          </cell>
          <cell r="F12">
            <v>1</v>
          </cell>
          <cell r="G12">
            <v>3</v>
          </cell>
          <cell r="H12">
            <v>22.05</v>
          </cell>
          <cell r="J12">
            <v>21300</v>
          </cell>
          <cell r="K12">
            <v>21300</v>
          </cell>
          <cell r="N12">
            <v>10.5</v>
          </cell>
          <cell r="O12">
            <v>40</v>
          </cell>
          <cell r="R12">
            <v>850</v>
          </cell>
          <cell r="S12">
            <v>905.93000000000006</v>
          </cell>
          <cell r="T12">
            <v>19975.756500000003</v>
          </cell>
          <cell r="U12">
            <v>74</v>
          </cell>
          <cell r="V12">
            <v>14782</v>
          </cell>
        </row>
        <row r="13">
          <cell r="C13" t="str">
            <v>1#检修夜班餐厅</v>
          </cell>
          <cell r="D13">
            <v>32523</v>
          </cell>
          <cell r="E13" t="str">
            <v>砖混</v>
          </cell>
          <cell r="F13">
            <v>1</v>
          </cell>
          <cell r="G13">
            <v>3</v>
          </cell>
          <cell r="H13">
            <v>68.59</v>
          </cell>
          <cell r="J13">
            <v>66258</v>
          </cell>
          <cell r="K13">
            <v>66258</v>
          </cell>
          <cell r="N13">
            <v>10.5</v>
          </cell>
          <cell r="O13">
            <v>40</v>
          </cell>
          <cell r="R13">
            <v>880</v>
          </cell>
          <cell r="S13">
            <v>937.90400000000011</v>
          </cell>
          <cell r="T13">
            <v>64330.835360000012</v>
          </cell>
          <cell r="U13">
            <v>74</v>
          </cell>
          <cell r="V13">
            <v>47605</v>
          </cell>
        </row>
        <row r="14">
          <cell r="C14" t="str">
            <v>2#检修主体大楼</v>
          </cell>
          <cell r="D14">
            <v>32523</v>
          </cell>
          <cell r="E14" t="str">
            <v>钢砼</v>
          </cell>
          <cell r="F14">
            <v>2</v>
          </cell>
          <cell r="G14">
            <v>3.3</v>
          </cell>
          <cell r="H14">
            <v>2685</v>
          </cell>
          <cell r="J14">
            <v>4887310</v>
          </cell>
          <cell r="K14">
            <v>2464087.0499999998</v>
          </cell>
          <cell r="N14">
            <v>10.5</v>
          </cell>
          <cell r="O14">
            <v>55</v>
          </cell>
          <cell r="R14">
            <v>1072</v>
          </cell>
          <cell r="S14">
            <v>1175.7696000000001</v>
          </cell>
          <cell r="T14">
            <v>3156941.3760000002</v>
          </cell>
          <cell r="U14">
            <v>81</v>
          </cell>
          <cell r="V14">
            <v>2557123</v>
          </cell>
        </row>
        <row r="15">
          <cell r="C15" t="str">
            <v>2#检修调度室</v>
          </cell>
          <cell r="D15">
            <v>32523</v>
          </cell>
          <cell r="E15" t="str">
            <v>砖混</v>
          </cell>
          <cell r="F15">
            <v>1</v>
          </cell>
          <cell r="G15">
            <v>3.3</v>
          </cell>
          <cell r="H15">
            <v>20</v>
          </cell>
          <cell r="J15">
            <v>66300</v>
          </cell>
          <cell r="K15">
            <v>33427.18</v>
          </cell>
          <cell r="N15">
            <v>10.5</v>
          </cell>
          <cell r="O15">
            <v>40</v>
          </cell>
          <cell r="R15">
            <v>1150</v>
          </cell>
          <cell r="S15">
            <v>1225.67</v>
          </cell>
          <cell r="T15">
            <v>24513.4</v>
          </cell>
          <cell r="U15">
            <v>74</v>
          </cell>
          <cell r="V15">
            <v>18140</v>
          </cell>
        </row>
        <row r="16">
          <cell r="C16" t="str">
            <v>2#检修泵房</v>
          </cell>
          <cell r="D16">
            <v>32523</v>
          </cell>
          <cell r="E16" t="str">
            <v>钢砼</v>
          </cell>
          <cell r="F16">
            <v>2</v>
          </cell>
          <cell r="G16">
            <v>4.5</v>
          </cell>
          <cell r="H16">
            <v>378</v>
          </cell>
          <cell r="J16">
            <v>132600</v>
          </cell>
          <cell r="K16">
            <v>66854.350000000006</v>
          </cell>
          <cell r="N16">
            <v>10.5</v>
          </cell>
          <cell r="O16">
            <v>50</v>
          </cell>
          <cell r="R16">
            <v>1310</v>
          </cell>
          <cell r="S16">
            <v>1396.1980000000001</v>
          </cell>
          <cell r="T16">
            <v>527762.84400000004</v>
          </cell>
          <cell r="U16">
            <v>79</v>
          </cell>
          <cell r="V16">
            <v>416933</v>
          </cell>
        </row>
        <row r="17">
          <cell r="C17" t="str">
            <v>2#检修车棚</v>
          </cell>
          <cell r="D17">
            <v>32523</v>
          </cell>
          <cell r="E17" t="str">
            <v>轻钢</v>
          </cell>
          <cell r="F17">
            <v>1</v>
          </cell>
          <cell r="G17">
            <v>3</v>
          </cell>
          <cell r="H17">
            <v>148.76</v>
          </cell>
          <cell r="J17">
            <v>20205</v>
          </cell>
          <cell r="K17">
            <v>10186.950000000001</v>
          </cell>
          <cell r="N17">
            <v>10.5</v>
          </cell>
          <cell r="O17">
            <v>15</v>
          </cell>
          <cell r="R17">
            <v>280</v>
          </cell>
          <cell r="S17">
            <v>298.42400000000004</v>
          </cell>
          <cell r="T17">
            <v>44393.554240000005</v>
          </cell>
          <cell r="U17">
            <v>30</v>
          </cell>
          <cell r="V17">
            <v>13318</v>
          </cell>
        </row>
        <row r="18">
          <cell r="C18" t="str">
            <v>2#变电所</v>
          </cell>
          <cell r="D18">
            <v>32523</v>
          </cell>
          <cell r="E18" t="str">
            <v>钢砼</v>
          </cell>
          <cell r="F18">
            <v>1</v>
          </cell>
          <cell r="G18">
            <v>3.3</v>
          </cell>
          <cell r="H18">
            <v>70</v>
          </cell>
          <cell r="J18">
            <v>92820</v>
          </cell>
          <cell r="K18">
            <v>36688.83</v>
          </cell>
          <cell r="N18">
            <v>10.5</v>
          </cell>
          <cell r="O18">
            <v>40</v>
          </cell>
          <cell r="R18">
            <v>880</v>
          </cell>
          <cell r="S18">
            <v>937.90400000000011</v>
          </cell>
          <cell r="T18">
            <v>65653.280000000013</v>
          </cell>
          <cell r="U18">
            <v>74</v>
          </cell>
          <cell r="V18">
            <v>48583</v>
          </cell>
        </row>
        <row r="19">
          <cell r="C19" t="str">
            <v>2#检修煤气站</v>
          </cell>
          <cell r="D19">
            <v>32523</v>
          </cell>
          <cell r="E19" t="str">
            <v>钢砼</v>
          </cell>
          <cell r="F19">
            <v>1</v>
          </cell>
          <cell r="G19">
            <v>3</v>
          </cell>
          <cell r="H19">
            <v>12</v>
          </cell>
          <cell r="J19">
            <v>26520</v>
          </cell>
          <cell r="K19">
            <v>13370.87</v>
          </cell>
          <cell r="N19">
            <v>10.5</v>
          </cell>
          <cell r="O19">
            <v>50</v>
          </cell>
          <cell r="R19">
            <v>1250</v>
          </cell>
          <cell r="S19">
            <v>1332.25</v>
          </cell>
          <cell r="T19">
            <v>15987</v>
          </cell>
          <cell r="U19">
            <v>79</v>
          </cell>
          <cell r="V19">
            <v>12630</v>
          </cell>
        </row>
        <row r="20">
          <cell r="C20" t="str">
            <v>3#检修综合办公楼</v>
          </cell>
          <cell r="D20">
            <v>32523</v>
          </cell>
          <cell r="E20" t="str">
            <v>砖混</v>
          </cell>
          <cell r="F20">
            <v>3</v>
          </cell>
          <cell r="G20">
            <v>3.3</v>
          </cell>
          <cell r="H20">
            <v>1171.25</v>
          </cell>
          <cell r="J20">
            <v>2652000</v>
          </cell>
          <cell r="K20">
            <v>1337087.04</v>
          </cell>
          <cell r="N20">
            <v>10.5</v>
          </cell>
          <cell r="O20">
            <v>40</v>
          </cell>
          <cell r="R20">
            <v>1072</v>
          </cell>
          <cell r="S20">
            <v>1175.7696000000001</v>
          </cell>
          <cell r="T20">
            <v>1377120.1440000001</v>
          </cell>
          <cell r="U20">
            <v>74</v>
          </cell>
          <cell r="V20">
            <v>1019069</v>
          </cell>
        </row>
        <row r="21">
          <cell r="C21" t="str">
            <v>3#检修站食堂</v>
          </cell>
          <cell r="D21">
            <v>32523</v>
          </cell>
          <cell r="E21" t="str">
            <v>砖混</v>
          </cell>
          <cell r="F21">
            <v>1</v>
          </cell>
          <cell r="G21">
            <v>4.5</v>
          </cell>
          <cell r="H21">
            <v>869.91</v>
          </cell>
          <cell r="J21">
            <v>915973</v>
          </cell>
          <cell r="K21">
            <v>461815.84</v>
          </cell>
          <cell r="N21">
            <v>10.5</v>
          </cell>
          <cell r="O21">
            <v>40</v>
          </cell>
          <cell r="R21">
            <v>930</v>
          </cell>
          <cell r="S21">
            <v>1020.024</v>
          </cell>
          <cell r="T21">
            <v>887329.07783999993</v>
          </cell>
          <cell r="U21">
            <v>74</v>
          </cell>
          <cell r="V21">
            <v>656624</v>
          </cell>
        </row>
        <row r="22">
          <cell r="C22" t="str">
            <v>3#检修站浴室</v>
          </cell>
          <cell r="D22">
            <v>32523</v>
          </cell>
          <cell r="E22" t="str">
            <v>钢砼</v>
          </cell>
          <cell r="F22">
            <v>1</v>
          </cell>
          <cell r="G22">
            <v>4.5</v>
          </cell>
          <cell r="H22">
            <v>1068.6600000000001</v>
          </cell>
          <cell r="J22">
            <v>1199404</v>
          </cell>
          <cell r="K22">
            <v>604716.27</v>
          </cell>
          <cell r="N22">
            <v>10.5</v>
          </cell>
          <cell r="O22">
            <v>50</v>
          </cell>
          <cell r="R22">
            <v>1530</v>
          </cell>
          <cell r="S22">
            <v>1678.104</v>
          </cell>
          <cell r="T22">
            <v>1793322.6206400001</v>
          </cell>
          <cell r="U22">
            <v>79</v>
          </cell>
          <cell r="V22">
            <v>1416725</v>
          </cell>
        </row>
        <row r="23">
          <cell r="C23" t="str">
            <v>3#检修自行车棚</v>
          </cell>
          <cell r="D23">
            <v>32523</v>
          </cell>
          <cell r="E23" t="str">
            <v>轻钢</v>
          </cell>
          <cell r="F23">
            <v>1</v>
          </cell>
          <cell r="G23">
            <v>2.5</v>
          </cell>
          <cell r="H23">
            <v>667.59</v>
          </cell>
          <cell r="J23">
            <v>15454</v>
          </cell>
          <cell r="K23">
            <v>5266.93</v>
          </cell>
          <cell r="N23">
            <v>10.5</v>
          </cell>
          <cell r="O23">
            <v>15</v>
          </cell>
          <cell r="R23">
            <v>288</v>
          </cell>
          <cell r="S23">
            <v>315.8784</v>
          </cell>
          <cell r="T23">
            <v>210877.26105600002</v>
          </cell>
          <cell r="U23">
            <v>30</v>
          </cell>
          <cell r="V23">
            <v>63263</v>
          </cell>
        </row>
        <row r="24">
          <cell r="C24" t="str">
            <v>3#检修工具间</v>
          </cell>
          <cell r="D24">
            <v>32523</v>
          </cell>
          <cell r="E24" t="str">
            <v>钢砼</v>
          </cell>
          <cell r="F24">
            <v>1</v>
          </cell>
          <cell r="G24">
            <v>4.5</v>
          </cell>
          <cell r="H24">
            <v>442.14</v>
          </cell>
          <cell r="J24">
            <v>302766</v>
          </cell>
          <cell r="K24">
            <v>152648.74</v>
          </cell>
          <cell r="N24">
            <v>10.5</v>
          </cell>
          <cell r="O24">
            <v>50</v>
          </cell>
          <cell r="R24">
            <v>780</v>
          </cell>
          <cell r="S24">
            <v>831.32400000000007</v>
          </cell>
          <cell r="T24">
            <v>367561.59336</v>
          </cell>
          <cell r="U24">
            <v>79</v>
          </cell>
          <cell r="V24">
            <v>290374</v>
          </cell>
        </row>
        <row r="25">
          <cell r="C25" t="str">
            <v>4#检修蒸汽采暖系统(一)食堂</v>
          </cell>
          <cell r="D25">
            <v>32523</v>
          </cell>
          <cell r="J25">
            <v>149517</v>
          </cell>
          <cell r="K25">
            <v>26530.92</v>
          </cell>
          <cell r="N25">
            <v>10.5</v>
          </cell>
          <cell r="O25">
            <v>20</v>
          </cell>
          <cell r="S25">
            <v>0</v>
          </cell>
          <cell r="T25">
            <v>156990</v>
          </cell>
          <cell r="U25">
            <v>48</v>
          </cell>
          <cell r="V25">
            <v>75355</v>
          </cell>
        </row>
        <row r="26">
          <cell r="C26" t="str">
            <v>4#检修简易仓库</v>
          </cell>
          <cell r="D26">
            <v>32523</v>
          </cell>
          <cell r="E26" t="str">
            <v>钢砼</v>
          </cell>
          <cell r="F26">
            <v>1</v>
          </cell>
          <cell r="G26">
            <v>6</v>
          </cell>
          <cell r="H26">
            <v>279</v>
          </cell>
          <cell r="J26">
            <v>355151</v>
          </cell>
          <cell r="K26">
            <v>-1985954.69</v>
          </cell>
          <cell r="N26">
            <v>10.5</v>
          </cell>
          <cell r="O26">
            <v>50</v>
          </cell>
          <cell r="R26">
            <v>850</v>
          </cell>
          <cell r="S26">
            <v>905.93000000000006</v>
          </cell>
          <cell r="T26">
            <v>252754.47000000003</v>
          </cell>
          <cell r="U26">
            <v>79</v>
          </cell>
          <cell r="V26">
            <v>199676</v>
          </cell>
        </row>
        <row r="27">
          <cell r="C27" t="str">
            <v>4#检修办公及更衣楼食堂</v>
          </cell>
          <cell r="D27">
            <v>32523</v>
          </cell>
          <cell r="E27" t="str">
            <v>钢砼</v>
          </cell>
          <cell r="F27">
            <v>5</v>
          </cell>
          <cell r="G27">
            <v>3.3</v>
          </cell>
          <cell r="H27">
            <v>6111.24</v>
          </cell>
          <cell r="J27">
            <v>2486051</v>
          </cell>
          <cell r="K27">
            <v>2486051</v>
          </cell>
          <cell r="N27">
            <v>10.5</v>
          </cell>
          <cell r="O27">
            <v>55</v>
          </cell>
          <cell r="R27">
            <v>1072</v>
          </cell>
          <cell r="S27">
            <v>1175.7696000000001</v>
          </cell>
          <cell r="T27">
            <v>7185410.2103040004</v>
          </cell>
          <cell r="U27">
            <v>81</v>
          </cell>
          <cell r="V27">
            <v>5820182</v>
          </cell>
        </row>
        <row r="28">
          <cell r="C28" t="str">
            <v>4#检修机械零部件拆卸.装配间</v>
          </cell>
          <cell r="D28">
            <v>32523</v>
          </cell>
          <cell r="E28" t="str">
            <v>钢砼</v>
          </cell>
          <cell r="F28">
            <v>1</v>
          </cell>
          <cell r="G28">
            <v>12</v>
          </cell>
          <cell r="H28">
            <v>1001.01</v>
          </cell>
          <cell r="J28">
            <v>710300</v>
          </cell>
          <cell r="K28">
            <v>710300</v>
          </cell>
          <cell r="N28">
            <v>10.5</v>
          </cell>
          <cell r="O28">
            <v>50</v>
          </cell>
          <cell r="R28">
            <v>1050</v>
          </cell>
          <cell r="S28">
            <v>1151.6400000000001</v>
          </cell>
          <cell r="T28">
            <v>1152803.1564</v>
          </cell>
          <cell r="U28">
            <v>79</v>
          </cell>
          <cell r="V28">
            <v>910714</v>
          </cell>
        </row>
        <row r="29">
          <cell r="C29" t="str">
            <v>东控湿库</v>
          </cell>
          <cell r="D29">
            <v>29204</v>
          </cell>
          <cell r="E29" t="str">
            <v>钢砼</v>
          </cell>
          <cell r="F29">
            <v>1</v>
          </cell>
          <cell r="G29">
            <v>12.5</v>
          </cell>
          <cell r="H29">
            <v>2000</v>
          </cell>
          <cell r="J29">
            <v>394616</v>
          </cell>
          <cell r="K29">
            <v>15784.64</v>
          </cell>
          <cell r="N29">
            <v>19.600000000000001</v>
          </cell>
          <cell r="O29">
            <v>50</v>
          </cell>
          <cell r="R29">
            <v>1040</v>
          </cell>
          <cell r="S29">
            <v>1140.672</v>
          </cell>
          <cell r="T29">
            <v>2281344</v>
          </cell>
          <cell r="U29">
            <v>61</v>
          </cell>
          <cell r="V29">
            <v>1391620</v>
          </cell>
        </row>
        <row r="30">
          <cell r="C30" t="str">
            <v>西控湿库</v>
          </cell>
          <cell r="D30">
            <v>29204</v>
          </cell>
          <cell r="E30" t="str">
            <v>钢砼</v>
          </cell>
          <cell r="F30">
            <v>1</v>
          </cell>
          <cell r="G30">
            <v>12.5</v>
          </cell>
          <cell r="H30">
            <v>1500</v>
          </cell>
          <cell r="J30">
            <v>299338</v>
          </cell>
          <cell r="K30">
            <v>11973.52</v>
          </cell>
          <cell r="N30">
            <v>19.600000000000001</v>
          </cell>
          <cell r="O30">
            <v>50</v>
          </cell>
          <cell r="R30">
            <v>1040</v>
          </cell>
          <cell r="S30">
            <v>1140.672</v>
          </cell>
          <cell r="T30">
            <v>1711008</v>
          </cell>
          <cell r="U30">
            <v>61</v>
          </cell>
          <cell r="V30">
            <v>1043715</v>
          </cell>
        </row>
        <row r="31">
          <cell r="C31" t="str">
            <v>1号库</v>
          </cell>
          <cell r="D31">
            <v>29204</v>
          </cell>
          <cell r="E31" t="str">
            <v>钢砼</v>
          </cell>
          <cell r="F31">
            <v>1</v>
          </cell>
          <cell r="G31">
            <v>12.5</v>
          </cell>
          <cell r="H31">
            <v>8750</v>
          </cell>
          <cell r="J31">
            <v>1160444.75</v>
          </cell>
          <cell r="K31">
            <v>46417.79</v>
          </cell>
          <cell r="N31">
            <v>19.600000000000001</v>
          </cell>
          <cell r="O31">
            <v>50</v>
          </cell>
          <cell r="R31">
            <v>941</v>
          </cell>
          <cell r="S31">
            <v>1032.0888</v>
          </cell>
          <cell r="T31">
            <v>9030777</v>
          </cell>
          <cell r="U31">
            <v>58</v>
          </cell>
          <cell r="V31">
            <v>5237850.66</v>
          </cell>
        </row>
        <row r="32">
          <cell r="C32" t="str">
            <v>2号库</v>
          </cell>
          <cell r="D32">
            <v>29204</v>
          </cell>
          <cell r="E32" t="str">
            <v>钢砼</v>
          </cell>
          <cell r="F32">
            <v>1</v>
          </cell>
          <cell r="G32">
            <v>12.5</v>
          </cell>
          <cell r="H32">
            <v>8750</v>
          </cell>
          <cell r="J32">
            <v>1160444.75</v>
          </cell>
          <cell r="K32">
            <v>46417.79</v>
          </cell>
          <cell r="N32">
            <v>19.600000000000001</v>
          </cell>
          <cell r="O32">
            <v>50</v>
          </cell>
          <cell r="R32">
            <v>941</v>
          </cell>
          <cell r="S32">
            <v>1032.0888</v>
          </cell>
          <cell r="T32">
            <v>9030777</v>
          </cell>
          <cell r="U32">
            <v>61</v>
          </cell>
          <cell r="V32">
            <v>5508774</v>
          </cell>
        </row>
        <row r="33">
          <cell r="C33" t="str">
            <v>3号库</v>
          </cell>
          <cell r="D33">
            <v>29204</v>
          </cell>
          <cell r="E33" t="str">
            <v>钢砼</v>
          </cell>
          <cell r="F33">
            <v>1</v>
          </cell>
          <cell r="G33">
            <v>12.5</v>
          </cell>
          <cell r="H33">
            <v>8750</v>
          </cell>
          <cell r="J33">
            <v>1160444.75</v>
          </cell>
          <cell r="K33">
            <v>46417.79</v>
          </cell>
          <cell r="N33">
            <v>19.600000000000001</v>
          </cell>
          <cell r="O33">
            <v>50</v>
          </cell>
          <cell r="R33">
            <v>941</v>
          </cell>
          <cell r="S33">
            <v>1032.0888</v>
          </cell>
          <cell r="T33">
            <v>9030777</v>
          </cell>
          <cell r="U33">
            <v>61</v>
          </cell>
          <cell r="V33">
            <v>5508774</v>
          </cell>
        </row>
        <row r="34">
          <cell r="C34" t="str">
            <v>4号库</v>
          </cell>
          <cell r="D34">
            <v>29204</v>
          </cell>
          <cell r="E34" t="str">
            <v>钢砼</v>
          </cell>
          <cell r="F34">
            <v>1</v>
          </cell>
          <cell r="G34">
            <v>12.5</v>
          </cell>
          <cell r="H34">
            <v>8750</v>
          </cell>
          <cell r="J34">
            <v>1160444.75</v>
          </cell>
          <cell r="K34">
            <v>46417.79</v>
          </cell>
          <cell r="N34">
            <v>19.600000000000001</v>
          </cell>
          <cell r="O34">
            <v>50</v>
          </cell>
          <cell r="R34">
            <v>941</v>
          </cell>
          <cell r="S34">
            <v>1032.0888</v>
          </cell>
          <cell r="T34">
            <v>9030777</v>
          </cell>
          <cell r="U34">
            <v>61</v>
          </cell>
          <cell r="V34">
            <v>5508774</v>
          </cell>
        </row>
        <row r="35">
          <cell r="C35" t="str">
            <v>5号库</v>
          </cell>
          <cell r="D35">
            <v>29204</v>
          </cell>
          <cell r="E35" t="str">
            <v>钢砼</v>
          </cell>
          <cell r="F35">
            <v>1</v>
          </cell>
          <cell r="G35">
            <v>12.5</v>
          </cell>
          <cell r="H35">
            <v>8750</v>
          </cell>
          <cell r="J35">
            <v>1160444.75</v>
          </cell>
          <cell r="K35">
            <v>46417.79</v>
          </cell>
          <cell r="N35">
            <v>19.600000000000001</v>
          </cell>
          <cell r="O35">
            <v>50</v>
          </cell>
          <cell r="R35">
            <v>941</v>
          </cell>
          <cell r="S35">
            <v>1032.0888</v>
          </cell>
          <cell r="T35">
            <v>9030777</v>
          </cell>
          <cell r="U35">
            <v>61</v>
          </cell>
          <cell r="V35">
            <v>5508774</v>
          </cell>
        </row>
        <row r="36">
          <cell r="C36" t="str">
            <v>6号库</v>
          </cell>
          <cell r="D36">
            <v>29204</v>
          </cell>
          <cell r="E36" t="str">
            <v>钢砼</v>
          </cell>
          <cell r="F36">
            <v>1</v>
          </cell>
          <cell r="G36">
            <v>12.5</v>
          </cell>
          <cell r="H36">
            <v>8750</v>
          </cell>
          <cell r="J36">
            <v>1160444.75</v>
          </cell>
          <cell r="K36">
            <v>46417.79</v>
          </cell>
          <cell r="N36">
            <v>19.600000000000001</v>
          </cell>
          <cell r="O36">
            <v>50</v>
          </cell>
          <cell r="R36">
            <v>941</v>
          </cell>
          <cell r="S36">
            <v>1032.0888</v>
          </cell>
          <cell r="T36">
            <v>9030777</v>
          </cell>
          <cell r="U36">
            <v>61</v>
          </cell>
          <cell r="V36">
            <v>5508774</v>
          </cell>
        </row>
        <row r="37">
          <cell r="C37" t="str">
            <v>7号库</v>
          </cell>
          <cell r="D37">
            <v>29204</v>
          </cell>
          <cell r="E37" t="str">
            <v>钢砼</v>
          </cell>
          <cell r="F37">
            <v>1</v>
          </cell>
          <cell r="G37">
            <v>12.5</v>
          </cell>
          <cell r="H37">
            <v>8750</v>
          </cell>
          <cell r="J37">
            <v>1160444.75</v>
          </cell>
          <cell r="K37">
            <v>46417.79</v>
          </cell>
          <cell r="N37">
            <v>19.600000000000001</v>
          </cell>
          <cell r="O37">
            <v>50</v>
          </cell>
          <cell r="R37">
            <v>941</v>
          </cell>
          <cell r="S37">
            <v>1032.0888</v>
          </cell>
          <cell r="T37">
            <v>9030777</v>
          </cell>
          <cell r="U37">
            <v>61</v>
          </cell>
          <cell r="V37">
            <v>5508774</v>
          </cell>
        </row>
        <row r="38">
          <cell r="C38" t="str">
            <v>8号库</v>
          </cell>
          <cell r="D38">
            <v>29204</v>
          </cell>
          <cell r="E38" t="str">
            <v>钢砼</v>
          </cell>
          <cell r="F38">
            <v>1</v>
          </cell>
          <cell r="G38">
            <v>12.5</v>
          </cell>
          <cell r="H38">
            <v>8750</v>
          </cell>
          <cell r="J38">
            <v>1160444.73</v>
          </cell>
          <cell r="K38">
            <v>46417.79</v>
          </cell>
          <cell r="N38">
            <v>19.600000000000001</v>
          </cell>
          <cell r="O38">
            <v>50</v>
          </cell>
          <cell r="R38">
            <v>941</v>
          </cell>
          <cell r="S38">
            <v>1032.0888</v>
          </cell>
          <cell r="T38">
            <v>9030777</v>
          </cell>
          <cell r="U38">
            <v>61</v>
          </cell>
          <cell r="V38">
            <v>5508774</v>
          </cell>
        </row>
        <row r="39">
          <cell r="C39" t="str">
            <v>10号库</v>
          </cell>
          <cell r="D39">
            <v>29204</v>
          </cell>
          <cell r="E39" t="str">
            <v>钢砼</v>
          </cell>
          <cell r="F39">
            <v>1</v>
          </cell>
          <cell r="G39">
            <v>12.5</v>
          </cell>
          <cell r="H39">
            <v>2068</v>
          </cell>
          <cell r="J39">
            <v>145362.16</v>
          </cell>
          <cell r="K39">
            <v>5814.49</v>
          </cell>
          <cell r="N39">
            <v>19.600000000000001</v>
          </cell>
          <cell r="O39">
            <v>50</v>
          </cell>
          <cell r="R39">
            <v>960</v>
          </cell>
          <cell r="S39">
            <v>1052.9279999999999</v>
          </cell>
          <cell r="T39">
            <v>2177455.1039999998</v>
          </cell>
          <cell r="U39">
            <v>61</v>
          </cell>
          <cell r="V39">
            <v>1328248</v>
          </cell>
        </row>
        <row r="40">
          <cell r="C40" t="str">
            <v>11号库</v>
          </cell>
          <cell r="D40">
            <v>29204</v>
          </cell>
          <cell r="E40" t="str">
            <v>钢砼</v>
          </cell>
          <cell r="F40">
            <v>1</v>
          </cell>
          <cell r="G40">
            <v>12.5</v>
          </cell>
          <cell r="H40">
            <v>1029</v>
          </cell>
          <cell r="J40">
            <v>145362.16</v>
          </cell>
          <cell r="K40">
            <v>5814.49</v>
          </cell>
          <cell r="N40">
            <v>19.600000000000001</v>
          </cell>
          <cell r="O40">
            <v>50</v>
          </cell>
          <cell r="R40">
            <v>960</v>
          </cell>
          <cell r="S40">
            <v>1052.9279999999999</v>
          </cell>
          <cell r="T40">
            <v>1083462.9119999998</v>
          </cell>
          <cell r="U40">
            <v>61</v>
          </cell>
          <cell r="V40">
            <v>660912</v>
          </cell>
        </row>
        <row r="41">
          <cell r="C41" t="str">
            <v>12号库</v>
          </cell>
          <cell r="D41">
            <v>29204</v>
          </cell>
          <cell r="E41" t="str">
            <v>钢砼</v>
          </cell>
          <cell r="F41">
            <v>1</v>
          </cell>
          <cell r="G41">
            <v>12.5</v>
          </cell>
          <cell r="H41">
            <v>755</v>
          </cell>
          <cell r="J41">
            <v>145362.16</v>
          </cell>
          <cell r="K41">
            <v>5814.49</v>
          </cell>
          <cell r="N41">
            <v>19.600000000000001</v>
          </cell>
          <cell r="O41">
            <v>50</v>
          </cell>
          <cell r="R41">
            <v>960</v>
          </cell>
          <cell r="S41">
            <v>1052.9279999999999</v>
          </cell>
          <cell r="T41">
            <v>794960.6399999999</v>
          </cell>
          <cell r="U41">
            <v>61</v>
          </cell>
          <cell r="V41">
            <v>484926</v>
          </cell>
        </row>
        <row r="42">
          <cell r="C42" t="str">
            <v>13号库</v>
          </cell>
          <cell r="D42">
            <v>29204</v>
          </cell>
          <cell r="E42" t="str">
            <v>钢砼</v>
          </cell>
          <cell r="F42">
            <v>1</v>
          </cell>
          <cell r="G42">
            <v>5</v>
          </cell>
          <cell r="H42">
            <v>74</v>
          </cell>
          <cell r="J42">
            <v>145362.17000000001</v>
          </cell>
          <cell r="K42">
            <v>5814.49</v>
          </cell>
          <cell r="N42">
            <v>19.600000000000001</v>
          </cell>
          <cell r="O42">
            <v>50</v>
          </cell>
          <cell r="R42">
            <v>960</v>
          </cell>
          <cell r="S42">
            <v>1023.1680000000001</v>
          </cell>
          <cell r="T42">
            <v>75714.432000000015</v>
          </cell>
          <cell r="U42">
            <v>61</v>
          </cell>
          <cell r="V42">
            <v>46186</v>
          </cell>
        </row>
        <row r="43">
          <cell r="C43" t="str">
            <v>燃油库</v>
          </cell>
          <cell r="D43">
            <v>29204</v>
          </cell>
          <cell r="E43" t="str">
            <v>钢砼</v>
          </cell>
          <cell r="F43">
            <v>1</v>
          </cell>
          <cell r="G43">
            <v>5</v>
          </cell>
          <cell r="H43">
            <v>64.14</v>
          </cell>
          <cell r="J43">
            <v>14922.87</v>
          </cell>
          <cell r="K43">
            <v>596.91</v>
          </cell>
          <cell r="N43">
            <v>19.600000000000001</v>
          </cell>
          <cell r="O43">
            <v>40</v>
          </cell>
          <cell r="R43">
            <v>720</v>
          </cell>
          <cell r="S43">
            <v>767.37600000000009</v>
          </cell>
          <cell r="T43">
            <v>49219.496640000005</v>
          </cell>
          <cell r="U43">
            <v>51</v>
          </cell>
          <cell r="V43">
            <v>25102</v>
          </cell>
        </row>
        <row r="44">
          <cell r="C44" t="str">
            <v>库区东堆场</v>
          </cell>
          <cell r="D44">
            <v>29204</v>
          </cell>
          <cell r="E44" t="str">
            <v>砼</v>
          </cell>
          <cell r="H44">
            <v>9900</v>
          </cell>
          <cell r="J44">
            <v>586770.25</v>
          </cell>
          <cell r="K44">
            <v>23470.81</v>
          </cell>
          <cell r="N44">
            <v>19.600000000000001</v>
          </cell>
          <cell r="O44">
            <v>30</v>
          </cell>
          <cell r="R44">
            <v>120</v>
          </cell>
          <cell r="S44">
            <v>131.61599999999999</v>
          </cell>
          <cell r="T44">
            <v>1302998.3999999999</v>
          </cell>
          <cell r="U44">
            <v>35</v>
          </cell>
          <cell r="V44">
            <v>456049</v>
          </cell>
        </row>
        <row r="45">
          <cell r="C45" t="str">
            <v>库区西堆场</v>
          </cell>
          <cell r="D45">
            <v>29204</v>
          </cell>
          <cell r="E45" t="str">
            <v>砼</v>
          </cell>
          <cell r="H45">
            <v>15600</v>
          </cell>
          <cell r="J45">
            <v>730365</v>
          </cell>
          <cell r="K45">
            <v>29214.6</v>
          </cell>
          <cell r="N45">
            <v>19.600000000000001</v>
          </cell>
          <cell r="O45">
            <v>30</v>
          </cell>
          <cell r="R45">
            <v>120</v>
          </cell>
          <cell r="S45">
            <v>131.61599999999999</v>
          </cell>
          <cell r="T45">
            <v>2053209.5999999999</v>
          </cell>
          <cell r="U45">
            <v>35</v>
          </cell>
          <cell r="V45">
            <v>718623</v>
          </cell>
        </row>
        <row r="46">
          <cell r="C46" t="str">
            <v>变电所</v>
          </cell>
          <cell r="D46">
            <v>29204</v>
          </cell>
          <cell r="E46" t="str">
            <v>砖混</v>
          </cell>
          <cell r="F46">
            <v>1</v>
          </cell>
          <cell r="G46">
            <v>3.3</v>
          </cell>
          <cell r="H46">
            <v>76</v>
          </cell>
          <cell r="J46">
            <v>31789.21</v>
          </cell>
          <cell r="K46">
            <v>1065.55</v>
          </cell>
          <cell r="N46">
            <v>19.600000000000001</v>
          </cell>
          <cell r="O46">
            <v>40</v>
          </cell>
          <cell r="R46">
            <v>710</v>
          </cell>
          <cell r="S46">
            <v>756.71800000000007</v>
          </cell>
          <cell r="T46">
            <v>57510.568000000007</v>
          </cell>
          <cell r="U46">
            <v>51</v>
          </cell>
          <cell r="V46">
            <v>29330</v>
          </cell>
        </row>
        <row r="47">
          <cell r="C47" t="str">
            <v>变电所</v>
          </cell>
          <cell r="D47">
            <v>29204</v>
          </cell>
          <cell r="E47" t="str">
            <v>砖混</v>
          </cell>
          <cell r="F47">
            <v>1</v>
          </cell>
          <cell r="G47">
            <v>3.3</v>
          </cell>
          <cell r="H47">
            <v>47</v>
          </cell>
          <cell r="J47">
            <v>31789.200000000001</v>
          </cell>
          <cell r="K47">
            <v>1271.57</v>
          </cell>
          <cell r="N47">
            <v>19.600000000000001</v>
          </cell>
          <cell r="O47">
            <v>40</v>
          </cell>
          <cell r="R47">
            <v>710</v>
          </cell>
          <cell r="S47">
            <v>756.71800000000007</v>
          </cell>
          <cell r="T47">
            <v>35565.746000000006</v>
          </cell>
          <cell r="U47">
            <v>51</v>
          </cell>
          <cell r="V47">
            <v>18139</v>
          </cell>
        </row>
        <row r="48">
          <cell r="C48" t="str">
            <v>公用设施(消防栓.消</v>
          </cell>
        </row>
        <row r="49">
          <cell r="C49" t="str">
            <v>防水管.给排水.围墙)</v>
          </cell>
          <cell r="D49">
            <v>29204</v>
          </cell>
          <cell r="J49">
            <v>2200139.73</v>
          </cell>
          <cell r="K49">
            <v>2200139.73</v>
          </cell>
          <cell r="N49">
            <v>19.600000000000001</v>
          </cell>
          <cell r="O49">
            <v>20</v>
          </cell>
          <cell r="T49">
            <v>2310146</v>
          </cell>
          <cell r="U49">
            <v>2</v>
          </cell>
          <cell r="V49">
            <v>46203</v>
          </cell>
        </row>
        <row r="50">
          <cell r="C50" t="str">
            <v>库区厕所(1#厕所)</v>
          </cell>
          <cell r="D50">
            <v>29204</v>
          </cell>
          <cell r="E50" t="str">
            <v>砖混</v>
          </cell>
          <cell r="F50">
            <v>1</v>
          </cell>
          <cell r="G50">
            <v>3.5</v>
          </cell>
          <cell r="H50">
            <v>25</v>
          </cell>
          <cell r="J50">
            <v>2563</v>
          </cell>
          <cell r="K50">
            <v>-4793.4799999999996</v>
          </cell>
          <cell r="N50">
            <v>19.600000000000001</v>
          </cell>
          <cell r="O50">
            <v>40</v>
          </cell>
          <cell r="R50">
            <v>630</v>
          </cell>
          <cell r="S50">
            <v>671.45400000000006</v>
          </cell>
          <cell r="T50">
            <v>16786.350000000002</v>
          </cell>
          <cell r="U50">
            <v>51</v>
          </cell>
          <cell r="V50">
            <v>8561</v>
          </cell>
        </row>
        <row r="51">
          <cell r="C51" t="str">
            <v>库区厕所(2#厕所)</v>
          </cell>
          <cell r="D51">
            <v>29204</v>
          </cell>
          <cell r="E51" t="str">
            <v>砖混</v>
          </cell>
          <cell r="F51">
            <v>1</v>
          </cell>
          <cell r="G51">
            <v>3.5</v>
          </cell>
          <cell r="H51">
            <v>23</v>
          </cell>
          <cell r="J51">
            <v>2550</v>
          </cell>
          <cell r="K51">
            <v>2550</v>
          </cell>
          <cell r="N51">
            <v>19.600000000000001</v>
          </cell>
          <cell r="O51">
            <v>40</v>
          </cell>
          <cell r="R51">
            <v>630</v>
          </cell>
          <cell r="S51">
            <v>671.45400000000006</v>
          </cell>
          <cell r="T51">
            <v>15443.442000000001</v>
          </cell>
          <cell r="U51">
            <v>51</v>
          </cell>
          <cell r="V51">
            <v>7876</v>
          </cell>
        </row>
        <row r="52">
          <cell r="C52" t="str">
            <v>库区厕所(3#厕所)</v>
          </cell>
          <cell r="D52">
            <v>29204</v>
          </cell>
          <cell r="E52" t="str">
            <v>砖混</v>
          </cell>
          <cell r="F52">
            <v>1</v>
          </cell>
          <cell r="G52">
            <v>3.5</v>
          </cell>
          <cell r="H52">
            <v>23</v>
          </cell>
          <cell r="J52">
            <v>2550</v>
          </cell>
          <cell r="K52">
            <v>2550</v>
          </cell>
          <cell r="N52">
            <v>19.600000000000001</v>
          </cell>
          <cell r="O52">
            <v>40</v>
          </cell>
          <cell r="R52">
            <v>630</v>
          </cell>
          <cell r="S52">
            <v>671.45400000000006</v>
          </cell>
          <cell r="T52">
            <v>15443.442000000001</v>
          </cell>
          <cell r="U52">
            <v>51</v>
          </cell>
          <cell r="V52">
            <v>7876</v>
          </cell>
        </row>
        <row r="53">
          <cell r="C53" t="str">
            <v>库区门卫(1#门卫)</v>
          </cell>
          <cell r="D53">
            <v>29204</v>
          </cell>
          <cell r="E53" t="str">
            <v>砖混</v>
          </cell>
          <cell r="F53">
            <v>1</v>
          </cell>
          <cell r="G53">
            <v>3.5</v>
          </cell>
          <cell r="H53">
            <v>26</v>
          </cell>
          <cell r="J53">
            <v>1863</v>
          </cell>
          <cell r="K53">
            <v>-2676.84</v>
          </cell>
          <cell r="N53">
            <v>19.600000000000001</v>
          </cell>
          <cell r="O53">
            <v>40</v>
          </cell>
          <cell r="R53">
            <v>880</v>
          </cell>
          <cell r="S53">
            <v>937.90400000000011</v>
          </cell>
          <cell r="T53">
            <v>24385.504000000004</v>
          </cell>
          <cell r="U53">
            <v>51</v>
          </cell>
          <cell r="V53">
            <v>12437</v>
          </cell>
        </row>
        <row r="54">
          <cell r="C54" t="str">
            <v>库区门卫(2#门卫)</v>
          </cell>
          <cell r="D54">
            <v>29204</v>
          </cell>
          <cell r="E54" t="str">
            <v>砖混</v>
          </cell>
          <cell r="F54">
            <v>1</v>
          </cell>
          <cell r="G54">
            <v>3.5</v>
          </cell>
          <cell r="H54">
            <v>22</v>
          </cell>
          <cell r="J54">
            <v>1628</v>
          </cell>
          <cell r="K54">
            <v>1628</v>
          </cell>
          <cell r="N54">
            <v>19.600000000000001</v>
          </cell>
          <cell r="O54">
            <v>40</v>
          </cell>
          <cell r="R54">
            <v>880</v>
          </cell>
          <cell r="S54">
            <v>937.90400000000011</v>
          </cell>
          <cell r="T54">
            <v>20633.888000000003</v>
          </cell>
          <cell r="U54">
            <v>51</v>
          </cell>
          <cell r="V54">
            <v>10523</v>
          </cell>
        </row>
        <row r="55">
          <cell r="C55" t="str">
            <v>库区门卫(3#门卫)</v>
          </cell>
          <cell r="D55">
            <v>29204</v>
          </cell>
          <cell r="E55" t="str">
            <v>砖混</v>
          </cell>
          <cell r="F55">
            <v>1</v>
          </cell>
          <cell r="G55">
            <v>3.5</v>
          </cell>
          <cell r="H55">
            <v>16</v>
          </cell>
          <cell r="J55">
            <v>1238</v>
          </cell>
          <cell r="K55">
            <v>1238</v>
          </cell>
          <cell r="N55">
            <v>19.600000000000001</v>
          </cell>
          <cell r="O55">
            <v>40</v>
          </cell>
          <cell r="R55">
            <v>880</v>
          </cell>
          <cell r="S55">
            <v>937.90400000000011</v>
          </cell>
          <cell r="T55">
            <v>15006.464000000002</v>
          </cell>
          <cell r="U55">
            <v>51</v>
          </cell>
          <cell r="V55">
            <v>7653</v>
          </cell>
        </row>
        <row r="56">
          <cell r="C56" t="str">
            <v>9#库</v>
          </cell>
          <cell r="D56">
            <v>29204</v>
          </cell>
          <cell r="E56" t="str">
            <v>钢砼</v>
          </cell>
          <cell r="F56">
            <v>1</v>
          </cell>
          <cell r="G56">
            <v>12.5</v>
          </cell>
          <cell r="H56">
            <v>6050</v>
          </cell>
          <cell r="J56">
            <v>1042292</v>
          </cell>
          <cell r="K56">
            <v>953349.76</v>
          </cell>
          <cell r="N56">
            <v>19.600000000000001</v>
          </cell>
          <cell r="O56">
            <v>50</v>
          </cell>
          <cell r="R56">
            <v>941</v>
          </cell>
          <cell r="S56">
            <v>1002.9178000000001</v>
          </cell>
          <cell r="T56">
            <v>6067652.6900000004</v>
          </cell>
          <cell r="U56">
            <v>61</v>
          </cell>
          <cell r="V56">
            <v>3701268</v>
          </cell>
        </row>
        <row r="57">
          <cell r="C57" t="str">
            <v>活动房</v>
          </cell>
          <cell r="D57">
            <v>31213</v>
          </cell>
          <cell r="E57" t="str">
            <v>钢</v>
          </cell>
          <cell r="F57">
            <v>1</v>
          </cell>
          <cell r="G57">
            <v>2.5</v>
          </cell>
          <cell r="H57" t="str">
            <v>HW84-1</v>
          </cell>
          <cell r="J57">
            <v>33422</v>
          </cell>
          <cell r="K57">
            <v>1336.88</v>
          </cell>
          <cell r="N57">
            <v>14.1</v>
          </cell>
          <cell r="O57">
            <v>55</v>
          </cell>
          <cell r="T57">
            <v>35100</v>
          </cell>
          <cell r="U57">
            <v>74</v>
          </cell>
          <cell r="V57">
            <v>25974</v>
          </cell>
        </row>
        <row r="58">
          <cell r="C58" t="str">
            <v>玻璃房</v>
          </cell>
          <cell r="D58">
            <v>32523</v>
          </cell>
          <cell r="E58" t="str">
            <v>铝合金</v>
          </cell>
          <cell r="F58">
            <v>1</v>
          </cell>
          <cell r="G58">
            <v>3</v>
          </cell>
          <cell r="J58">
            <v>223235</v>
          </cell>
          <cell r="K58">
            <v>12259.67</v>
          </cell>
          <cell r="N58">
            <v>10.5</v>
          </cell>
          <cell r="O58">
            <v>50</v>
          </cell>
          <cell r="T58">
            <v>234390</v>
          </cell>
          <cell r="U58">
            <v>79</v>
          </cell>
          <cell r="V58">
            <v>185168</v>
          </cell>
        </row>
        <row r="59">
          <cell r="C59" t="str">
            <v>一露天库</v>
          </cell>
          <cell r="D59">
            <v>34288</v>
          </cell>
          <cell r="E59" t="str">
            <v>砼</v>
          </cell>
          <cell r="H59">
            <v>7600</v>
          </cell>
          <cell r="J59">
            <v>1428625</v>
          </cell>
          <cell r="K59">
            <v>1005894.59</v>
          </cell>
          <cell r="N59">
            <v>5.7</v>
          </cell>
          <cell r="O59">
            <v>30</v>
          </cell>
          <cell r="R59">
            <v>150</v>
          </cell>
          <cell r="S59">
            <v>164.52</v>
          </cell>
          <cell r="T59">
            <v>1250352</v>
          </cell>
          <cell r="U59">
            <v>81</v>
          </cell>
          <cell r="V59">
            <v>1012785</v>
          </cell>
        </row>
        <row r="60">
          <cell r="C60" t="str">
            <v>轴承库</v>
          </cell>
          <cell r="D60">
            <v>32523</v>
          </cell>
          <cell r="E60" t="str">
            <v>钢砼</v>
          </cell>
          <cell r="F60">
            <v>1</v>
          </cell>
          <cell r="G60">
            <v>16</v>
          </cell>
          <cell r="H60">
            <v>690</v>
          </cell>
          <cell r="I60">
            <v>10858</v>
          </cell>
          <cell r="J60">
            <v>3667617</v>
          </cell>
          <cell r="K60">
            <v>1849141.45</v>
          </cell>
          <cell r="N60">
            <v>10.5</v>
          </cell>
          <cell r="O60">
            <v>50</v>
          </cell>
          <cell r="R60">
            <v>1112</v>
          </cell>
          <cell r="S60">
            <v>1219.6415999999999</v>
          </cell>
          <cell r="T60">
            <v>841552.70399999991</v>
          </cell>
          <cell r="U60">
            <v>79</v>
          </cell>
          <cell r="V60">
            <v>664827</v>
          </cell>
        </row>
        <row r="61">
          <cell r="C61" t="str">
            <v>初轧库</v>
          </cell>
          <cell r="D61">
            <v>32523</v>
          </cell>
          <cell r="E61" t="str">
            <v>钢砼</v>
          </cell>
          <cell r="F61">
            <v>1</v>
          </cell>
          <cell r="G61">
            <v>8</v>
          </cell>
          <cell r="H61">
            <v>3159</v>
          </cell>
          <cell r="J61">
            <v>9131100</v>
          </cell>
          <cell r="K61">
            <v>4603723.7699999996</v>
          </cell>
          <cell r="N61">
            <v>10.5</v>
          </cell>
          <cell r="O61">
            <v>50</v>
          </cell>
          <cell r="R61">
            <v>884</v>
          </cell>
          <cell r="S61">
            <v>969.57119999999998</v>
          </cell>
          <cell r="T61">
            <v>3062875.4208</v>
          </cell>
          <cell r="U61">
            <v>79</v>
          </cell>
          <cell r="V61">
            <v>2419672</v>
          </cell>
        </row>
        <row r="62">
          <cell r="C62" t="str">
            <v>2#精密仪表库</v>
          </cell>
          <cell r="D62">
            <v>32523</v>
          </cell>
          <cell r="E62" t="str">
            <v>钢砼</v>
          </cell>
          <cell r="F62">
            <v>3</v>
          </cell>
          <cell r="G62">
            <v>5</v>
          </cell>
          <cell r="H62">
            <v>3252</v>
          </cell>
          <cell r="I62" t="str">
            <v>03828</v>
          </cell>
          <cell r="J62">
            <v>9533289</v>
          </cell>
          <cell r="K62">
            <v>4806499.67</v>
          </cell>
          <cell r="N62">
            <v>10.5</v>
          </cell>
          <cell r="O62">
            <v>50</v>
          </cell>
          <cell r="R62">
            <v>1193</v>
          </cell>
          <cell r="S62">
            <v>1308.4824000000001</v>
          </cell>
          <cell r="T62">
            <v>4255184.7648</v>
          </cell>
          <cell r="U62">
            <v>76</v>
          </cell>
          <cell r="V62">
            <v>3233940.4212480001</v>
          </cell>
        </row>
        <row r="63">
          <cell r="C63" t="str">
            <v>小型备件库</v>
          </cell>
          <cell r="D63">
            <v>32523</v>
          </cell>
          <cell r="E63" t="str">
            <v>钢砼</v>
          </cell>
          <cell r="F63">
            <v>4</v>
          </cell>
          <cell r="G63">
            <v>5</v>
          </cell>
          <cell r="H63">
            <v>7074</v>
          </cell>
          <cell r="I63" t="str">
            <v>03828</v>
          </cell>
          <cell r="J63">
            <v>6429828</v>
          </cell>
          <cell r="K63">
            <v>3241794.75</v>
          </cell>
          <cell r="N63">
            <v>10.5</v>
          </cell>
          <cell r="O63">
            <v>50</v>
          </cell>
          <cell r="R63">
            <v>1193</v>
          </cell>
          <cell r="S63">
            <v>1308.4824000000001</v>
          </cell>
          <cell r="T63">
            <v>9256204.4976000004</v>
          </cell>
          <cell r="U63">
            <v>79</v>
          </cell>
          <cell r="V63">
            <v>7312402</v>
          </cell>
        </row>
        <row r="64">
          <cell r="C64" t="str">
            <v>自行车棚</v>
          </cell>
          <cell r="D64">
            <v>34257</v>
          </cell>
          <cell r="E64" t="str">
            <v>轻钢</v>
          </cell>
          <cell r="F64">
            <v>1</v>
          </cell>
          <cell r="G64">
            <v>2.5</v>
          </cell>
          <cell r="H64">
            <v>131.6</v>
          </cell>
          <cell r="I64" t="str">
            <v>03828</v>
          </cell>
          <cell r="J64">
            <v>31277</v>
          </cell>
          <cell r="K64">
            <v>21781.01</v>
          </cell>
          <cell r="N64">
            <v>5.8</v>
          </cell>
          <cell r="O64">
            <v>15</v>
          </cell>
          <cell r="R64">
            <v>288</v>
          </cell>
          <cell r="S64">
            <v>306.9504</v>
          </cell>
          <cell r="T64">
            <v>40394.672639999997</v>
          </cell>
          <cell r="U64">
            <v>61</v>
          </cell>
          <cell r="V64">
            <v>24641</v>
          </cell>
        </row>
        <row r="65">
          <cell r="C65" t="str">
            <v>自行车棚</v>
          </cell>
          <cell r="D65">
            <v>34257</v>
          </cell>
          <cell r="E65" t="str">
            <v>轻钢</v>
          </cell>
          <cell r="F65">
            <v>1</v>
          </cell>
          <cell r="G65">
            <v>2.5</v>
          </cell>
          <cell r="H65">
            <v>45</v>
          </cell>
          <cell r="I65" t="str">
            <v>03828</v>
          </cell>
          <cell r="J65">
            <v>31277</v>
          </cell>
          <cell r="K65">
            <v>21781.01</v>
          </cell>
          <cell r="N65">
            <v>5.8</v>
          </cell>
          <cell r="O65">
            <v>15</v>
          </cell>
          <cell r="R65">
            <v>288</v>
          </cell>
          <cell r="S65">
            <v>306.9504</v>
          </cell>
          <cell r="T65">
            <v>13812.768</v>
          </cell>
          <cell r="U65">
            <v>61</v>
          </cell>
          <cell r="V65">
            <v>8426</v>
          </cell>
        </row>
        <row r="66">
          <cell r="C66" t="str">
            <v>炼钢地区备品库</v>
          </cell>
          <cell r="D66">
            <v>31305</v>
          </cell>
          <cell r="E66" t="str">
            <v>钢砼</v>
          </cell>
          <cell r="F66">
            <v>1</v>
          </cell>
          <cell r="G66">
            <v>12</v>
          </cell>
          <cell r="H66">
            <v>1344</v>
          </cell>
          <cell r="J66">
            <v>1609991</v>
          </cell>
          <cell r="K66">
            <v>664340.37</v>
          </cell>
          <cell r="N66">
            <v>13.9</v>
          </cell>
          <cell r="O66">
            <v>50</v>
          </cell>
          <cell r="R66">
            <v>884</v>
          </cell>
          <cell r="S66">
            <v>969.57119999999998</v>
          </cell>
          <cell r="T66">
            <v>1303103.6928000001</v>
          </cell>
          <cell r="U66">
            <v>72</v>
          </cell>
          <cell r="V66">
            <v>938235</v>
          </cell>
        </row>
        <row r="67">
          <cell r="C67" t="str">
            <v>精密仪表库(一仪表)</v>
          </cell>
          <cell r="D67">
            <v>31305</v>
          </cell>
          <cell r="E67" t="str">
            <v>钢砼</v>
          </cell>
          <cell r="F67">
            <v>2</v>
          </cell>
          <cell r="G67">
            <v>4.5</v>
          </cell>
          <cell r="H67">
            <v>1885.9</v>
          </cell>
          <cell r="J67">
            <v>1680377</v>
          </cell>
          <cell r="K67">
            <v>693384.17</v>
          </cell>
          <cell r="N67">
            <v>13.9</v>
          </cell>
          <cell r="O67">
            <v>50</v>
          </cell>
          <cell r="R67">
            <v>916</v>
          </cell>
          <cell r="S67">
            <v>1004.6688</v>
          </cell>
          <cell r="T67">
            <v>1894704.8899200002</v>
          </cell>
          <cell r="U67">
            <v>72</v>
          </cell>
          <cell r="V67">
            <v>1364188</v>
          </cell>
        </row>
        <row r="68">
          <cell r="C68" t="str">
            <v>机电备品库</v>
          </cell>
          <cell r="D68">
            <v>31305</v>
          </cell>
          <cell r="E68" t="str">
            <v>钢砼</v>
          </cell>
          <cell r="F68">
            <v>1</v>
          </cell>
          <cell r="G68">
            <v>12</v>
          </cell>
          <cell r="H68">
            <v>8837.2999999999993</v>
          </cell>
          <cell r="J68">
            <v>8027853</v>
          </cell>
          <cell r="K68">
            <v>3312581.81</v>
          </cell>
          <cell r="N68">
            <v>13.9</v>
          </cell>
          <cell r="O68">
            <v>50</v>
          </cell>
          <cell r="R68">
            <v>884</v>
          </cell>
          <cell r="S68">
            <v>969.57119999999998</v>
          </cell>
          <cell r="T68">
            <v>8568391.5657599997</v>
          </cell>
          <cell r="U68">
            <v>72</v>
          </cell>
          <cell r="V68">
            <v>6169242</v>
          </cell>
        </row>
        <row r="69">
          <cell r="C69" t="str">
            <v>车辆备件仓库</v>
          </cell>
          <cell r="D69">
            <v>31305</v>
          </cell>
          <cell r="E69" t="str">
            <v>钢砼</v>
          </cell>
          <cell r="F69">
            <v>1</v>
          </cell>
          <cell r="G69">
            <v>12</v>
          </cell>
          <cell r="H69">
            <v>1836</v>
          </cell>
          <cell r="J69">
            <v>1828477</v>
          </cell>
          <cell r="K69">
            <v>754495.56</v>
          </cell>
          <cell r="N69">
            <v>13.9</v>
          </cell>
          <cell r="O69">
            <v>50</v>
          </cell>
          <cell r="R69">
            <v>884</v>
          </cell>
          <cell r="S69">
            <v>969.57119999999998</v>
          </cell>
          <cell r="T69">
            <v>1780132.7231999999</v>
          </cell>
          <cell r="U69">
            <v>72</v>
          </cell>
          <cell r="V69">
            <v>1281696</v>
          </cell>
        </row>
        <row r="70">
          <cell r="C70" t="str">
            <v>二次淬火厂房</v>
          </cell>
          <cell r="D70">
            <v>32523</v>
          </cell>
          <cell r="E70" t="str">
            <v>钢砼</v>
          </cell>
          <cell r="F70">
            <v>1</v>
          </cell>
          <cell r="G70">
            <v>16</v>
          </cell>
          <cell r="H70">
            <v>4233</v>
          </cell>
          <cell r="J70">
            <v>11810982</v>
          </cell>
          <cell r="K70">
            <v>5954868.3899999997</v>
          </cell>
          <cell r="N70">
            <v>10.5</v>
          </cell>
          <cell r="O70">
            <v>50</v>
          </cell>
          <cell r="R70">
            <v>1112</v>
          </cell>
          <cell r="S70">
            <v>1219.6415999999999</v>
          </cell>
          <cell r="T70">
            <v>5162742.8927999996</v>
          </cell>
          <cell r="U70">
            <v>79</v>
          </cell>
          <cell r="V70">
            <v>4078567</v>
          </cell>
        </row>
        <row r="71">
          <cell r="C71" t="str">
            <v>自行车棚</v>
          </cell>
          <cell r="D71">
            <v>34257</v>
          </cell>
          <cell r="E71" t="str">
            <v>轻钢</v>
          </cell>
          <cell r="F71">
            <v>1</v>
          </cell>
          <cell r="G71">
            <v>2.5</v>
          </cell>
          <cell r="H71">
            <v>156.6</v>
          </cell>
          <cell r="J71">
            <v>31277</v>
          </cell>
          <cell r="K71">
            <v>21781.01</v>
          </cell>
          <cell r="N71">
            <v>5.8</v>
          </cell>
          <cell r="O71">
            <v>15</v>
          </cell>
          <cell r="R71">
            <v>288</v>
          </cell>
          <cell r="S71">
            <v>306.9504</v>
          </cell>
          <cell r="T71">
            <v>48068.432639999999</v>
          </cell>
          <cell r="U71">
            <v>61</v>
          </cell>
          <cell r="V71">
            <v>29322</v>
          </cell>
        </row>
        <row r="72">
          <cell r="C72" t="str">
            <v>5#磅房</v>
          </cell>
          <cell r="D72">
            <v>32857</v>
          </cell>
          <cell r="E72" t="str">
            <v>砖混</v>
          </cell>
          <cell r="F72">
            <v>1</v>
          </cell>
          <cell r="G72">
            <v>3</v>
          </cell>
          <cell r="H72">
            <v>20</v>
          </cell>
          <cell r="J72">
            <v>40000</v>
          </cell>
          <cell r="K72">
            <v>40000</v>
          </cell>
          <cell r="N72">
            <v>9.6</v>
          </cell>
          <cell r="O72">
            <v>40</v>
          </cell>
          <cell r="R72">
            <v>2000</v>
          </cell>
          <cell r="S72">
            <v>2131.6000000000004</v>
          </cell>
          <cell r="T72">
            <v>42632.000000000007</v>
          </cell>
          <cell r="U72">
            <v>76</v>
          </cell>
          <cell r="V72">
            <v>32400</v>
          </cell>
        </row>
        <row r="73">
          <cell r="C73" t="str">
            <v>7#磅房</v>
          </cell>
          <cell r="D73">
            <v>32126</v>
          </cell>
          <cell r="E73" t="str">
            <v>砖混</v>
          </cell>
          <cell r="F73">
            <v>1</v>
          </cell>
          <cell r="G73">
            <v>3</v>
          </cell>
          <cell r="H73">
            <v>20</v>
          </cell>
          <cell r="J73">
            <v>40000</v>
          </cell>
          <cell r="K73">
            <v>40000</v>
          </cell>
          <cell r="N73">
            <v>11.6</v>
          </cell>
          <cell r="O73">
            <v>40</v>
          </cell>
          <cell r="R73">
            <v>2000</v>
          </cell>
          <cell r="S73">
            <v>2131.6000000000004</v>
          </cell>
          <cell r="T73">
            <v>42632.000000000007</v>
          </cell>
          <cell r="U73">
            <v>71</v>
          </cell>
          <cell r="V73">
            <v>30269</v>
          </cell>
        </row>
        <row r="74">
          <cell r="C74" t="str">
            <v>8#磅房</v>
          </cell>
          <cell r="D74">
            <v>33100</v>
          </cell>
          <cell r="E74" t="str">
            <v>砖混</v>
          </cell>
          <cell r="F74">
            <v>1</v>
          </cell>
          <cell r="G74">
            <v>3</v>
          </cell>
          <cell r="H74">
            <v>20</v>
          </cell>
          <cell r="J74">
            <v>40000</v>
          </cell>
          <cell r="K74">
            <v>40000</v>
          </cell>
          <cell r="N74">
            <v>9</v>
          </cell>
          <cell r="O74">
            <v>40</v>
          </cell>
          <cell r="R74">
            <v>2000</v>
          </cell>
          <cell r="S74">
            <v>2131.6000000000004</v>
          </cell>
          <cell r="T74">
            <v>42632.000000000007</v>
          </cell>
          <cell r="U74">
            <v>78</v>
          </cell>
          <cell r="V74">
            <v>33253</v>
          </cell>
        </row>
        <row r="75">
          <cell r="C75" t="str">
            <v>同位素库房</v>
          </cell>
          <cell r="D75">
            <v>29966</v>
          </cell>
          <cell r="E75" t="str">
            <v>砖混</v>
          </cell>
          <cell r="F75">
            <v>1</v>
          </cell>
          <cell r="G75">
            <v>4.5</v>
          </cell>
          <cell r="H75">
            <v>61.3</v>
          </cell>
          <cell r="I75">
            <v>10858</v>
          </cell>
          <cell r="J75">
            <v>75368</v>
          </cell>
          <cell r="K75">
            <v>31099.56</v>
          </cell>
          <cell r="N75">
            <v>17.600000000000001</v>
          </cell>
          <cell r="O75">
            <v>40</v>
          </cell>
          <cell r="R75">
            <v>960</v>
          </cell>
          <cell r="S75">
            <v>1023.1680000000001</v>
          </cell>
          <cell r="T75">
            <v>62720.198400000001</v>
          </cell>
          <cell r="U75">
            <v>56</v>
          </cell>
          <cell r="V75">
            <v>35123</v>
          </cell>
        </row>
        <row r="76">
          <cell r="C76" t="str">
            <v>同位素工作室</v>
          </cell>
          <cell r="D76">
            <v>32523</v>
          </cell>
          <cell r="E76" t="str">
            <v>砖混</v>
          </cell>
          <cell r="F76">
            <v>1</v>
          </cell>
          <cell r="G76">
            <v>4.5</v>
          </cell>
          <cell r="H76">
            <v>72</v>
          </cell>
          <cell r="I76">
            <v>10858</v>
          </cell>
          <cell r="J76">
            <v>67798</v>
          </cell>
          <cell r="K76">
            <v>34182.449999999997</v>
          </cell>
          <cell r="N76">
            <v>10.5</v>
          </cell>
          <cell r="O76">
            <v>40</v>
          </cell>
          <cell r="R76">
            <v>960</v>
          </cell>
          <cell r="S76">
            <v>1023.1680000000001</v>
          </cell>
          <cell r="T76">
            <v>73668.096000000005</v>
          </cell>
          <cell r="U76">
            <v>74</v>
          </cell>
          <cell r="V76">
            <v>54514</v>
          </cell>
        </row>
        <row r="77">
          <cell r="C77" t="str">
            <v>1#磅房</v>
          </cell>
          <cell r="D77">
            <v>32035</v>
          </cell>
          <cell r="E77" t="str">
            <v>砖混</v>
          </cell>
          <cell r="F77">
            <v>1</v>
          </cell>
          <cell r="G77">
            <v>3</v>
          </cell>
          <cell r="H77">
            <v>24</v>
          </cell>
          <cell r="I77" t="str">
            <v>04881</v>
          </cell>
          <cell r="J77">
            <v>48203</v>
          </cell>
          <cell r="K77">
            <v>18536.259999999998</v>
          </cell>
          <cell r="N77">
            <v>11.9</v>
          </cell>
          <cell r="O77">
            <v>40</v>
          </cell>
          <cell r="R77">
            <v>2000</v>
          </cell>
          <cell r="S77">
            <v>2131.6000000000004</v>
          </cell>
          <cell r="T77">
            <v>51158.400000000009</v>
          </cell>
          <cell r="U77">
            <v>70</v>
          </cell>
          <cell r="V77">
            <v>35811</v>
          </cell>
        </row>
        <row r="78">
          <cell r="C78" t="str">
            <v>2#磅房</v>
          </cell>
          <cell r="D78">
            <v>32065</v>
          </cell>
          <cell r="E78" t="str">
            <v>砖混</v>
          </cell>
          <cell r="F78">
            <v>1</v>
          </cell>
          <cell r="G78">
            <v>3</v>
          </cell>
          <cell r="H78">
            <v>24</v>
          </cell>
          <cell r="I78" t="str">
            <v>04876</v>
          </cell>
          <cell r="J78">
            <v>48203</v>
          </cell>
          <cell r="K78">
            <v>18664.79</v>
          </cell>
          <cell r="N78">
            <v>11.8</v>
          </cell>
          <cell r="O78">
            <v>40</v>
          </cell>
          <cell r="R78">
            <v>2000</v>
          </cell>
          <cell r="S78">
            <v>2131.6000000000004</v>
          </cell>
          <cell r="T78">
            <v>51158.400000000009</v>
          </cell>
          <cell r="U78">
            <v>71</v>
          </cell>
          <cell r="V78">
            <v>36322</v>
          </cell>
        </row>
        <row r="79">
          <cell r="C79" t="str">
            <v>3#磅房</v>
          </cell>
          <cell r="D79">
            <v>32065</v>
          </cell>
          <cell r="E79" t="str">
            <v>砖混</v>
          </cell>
          <cell r="F79">
            <v>1</v>
          </cell>
          <cell r="G79">
            <v>3</v>
          </cell>
          <cell r="H79">
            <v>24</v>
          </cell>
          <cell r="J79">
            <v>53353</v>
          </cell>
          <cell r="K79">
            <v>23814.79</v>
          </cell>
          <cell r="N79">
            <v>11.8</v>
          </cell>
          <cell r="O79">
            <v>40</v>
          </cell>
          <cell r="R79">
            <v>2000</v>
          </cell>
          <cell r="S79">
            <v>2131.6000000000004</v>
          </cell>
          <cell r="T79">
            <v>51158.400000000009</v>
          </cell>
          <cell r="U79">
            <v>71</v>
          </cell>
          <cell r="V79">
            <v>36322</v>
          </cell>
        </row>
        <row r="80">
          <cell r="C80" t="str">
            <v>4#磅房</v>
          </cell>
          <cell r="D80">
            <v>32004</v>
          </cell>
          <cell r="E80" t="str">
            <v>砖混</v>
          </cell>
          <cell r="F80">
            <v>1</v>
          </cell>
          <cell r="G80">
            <v>3</v>
          </cell>
          <cell r="H80">
            <v>18.899999999999999</v>
          </cell>
          <cell r="J80">
            <v>30413</v>
          </cell>
          <cell r="K80">
            <v>10580.58</v>
          </cell>
          <cell r="N80">
            <v>12</v>
          </cell>
          <cell r="O80">
            <v>40</v>
          </cell>
          <cell r="R80">
            <v>2000</v>
          </cell>
          <cell r="S80">
            <v>2131.6000000000004</v>
          </cell>
          <cell r="T80">
            <v>40287.240000000005</v>
          </cell>
          <cell r="U80">
            <v>70</v>
          </cell>
          <cell r="V80">
            <v>28201</v>
          </cell>
        </row>
        <row r="81">
          <cell r="C81" t="str">
            <v>6#磅房</v>
          </cell>
          <cell r="D81">
            <v>32065</v>
          </cell>
          <cell r="E81" t="str">
            <v>砖混</v>
          </cell>
          <cell r="F81">
            <v>1</v>
          </cell>
          <cell r="G81">
            <v>3</v>
          </cell>
          <cell r="H81">
            <v>60</v>
          </cell>
          <cell r="J81">
            <v>540025</v>
          </cell>
          <cell r="K81">
            <v>238223.61</v>
          </cell>
          <cell r="N81">
            <v>11.8</v>
          </cell>
          <cell r="O81">
            <v>40</v>
          </cell>
          <cell r="R81">
            <v>2000</v>
          </cell>
          <cell r="S81">
            <v>2131.6000000000004</v>
          </cell>
          <cell r="T81">
            <v>127896.00000000003</v>
          </cell>
          <cell r="U81">
            <v>71</v>
          </cell>
          <cell r="V81">
            <v>90806</v>
          </cell>
        </row>
        <row r="82">
          <cell r="C82" t="str">
            <v>自行车棚</v>
          </cell>
          <cell r="D82">
            <v>34257</v>
          </cell>
          <cell r="E82" t="str">
            <v>轻钢</v>
          </cell>
          <cell r="F82">
            <v>1</v>
          </cell>
          <cell r="G82">
            <v>2.5</v>
          </cell>
          <cell r="H82">
            <v>224</v>
          </cell>
          <cell r="I82">
            <v>10858</v>
          </cell>
          <cell r="J82">
            <v>31288</v>
          </cell>
          <cell r="K82">
            <v>21788.68</v>
          </cell>
          <cell r="N82">
            <v>5.8</v>
          </cell>
          <cell r="O82">
            <v>15</v>
          </cell>
          <cell r="R82">
            <v>288</v>
          </cell>
          <cell r="S82">
            <v>306.9504</v>
          </cell>
          <cell r="T82">
            <v>68756.889599999995</v>
          </cell>
          <cell r="U82">
            <v>61</v>
          </cell>
          <cell r="V82">
            <v>41942</v>
          </cell>
        </row>
        <row r="83">
          <cell r="C83" t="str">
            <v>自行车棚</v>
          </cell>
          <cell r="D83">
            <v>34257</v>
          </cell>
          <cell r="E83" t="str">
            <v>轻钢</v>
          </cell>
          <cell r="F83">
            <v>1</v>
          </cell>
          <cell r="G83">
            <v>2.5</v>
          </cell>
          <cell r="H83">
            <v>236</v>
          </cell>
          <cell r="I83">
            <v>10858</v>
          </cell>
          <cell r="J83">
            <v>31277</v>
          </cell>
          <cell r="K83">
            <v>21781.01</v>
          </cell>
          <cell r="N83">
            <v>5.8</v>
          </cell>
          <cell r="O83">
            <v>15</v>
          </cell>
          <cell r="R83">
            <v>288</v>
          </cell>
          <cell r="S83">
            <v>306.9504</v>
          </cell>
          <cell r="T83">
            <v>72440.294399999999</v>
          </cell>
          <cell r="U83">
            <v>61</v>
          </cell>
          <cell r="V83">
            <v>44189</v>
          </cell>
        </row>
        <row r="84">
          <cell r="C84" t="str">
            <v>自行车棚</v>
          </cell>
          <cell r="D84">
            <v>34257</v>
          </cell>
          <cell r="E84" t="str">
            <v>轻钢</v>
          </cell>
          <cell r="F84">
            <v>1</v>
          </cell>
          <cell r="G84">
            <v>2.5</v>
          </cell>
          <cell r="H84">
            <v>526</v>
          </cell>
          <cell r="I84">
            <v>10858</v>
          </cell>
          <cell r="J84">
            <v>31277</v>
          </cell>
          <cell r="K84">
            <v>21781.01</v>
          </cell>
          <cell r="N84">
            <v>5.8</v>
          </cell>
          <cell r="O84">
            <v>15</v>
          </cell>
          <cell r="R84">
            <v>288</v>
          </cell>
          <cell r="S84">
            <v>315.8784</v>
          </cell>
          <cell r="T84">
            <v>166152.03839999999</v>
          </cell>
          <cell r="U84">
            <v>61</v>
          </cell>
          <cell r="V84">
            <v>101353</v>
          </cell>
        </row>
        <row r="85">
          <cell r="C85" t="str">
            <v>自行车棚</v>
          </cell>
          <cell r="D85">
            <v>34257</v>
          </cell>
          <cell r="E85" t="str">
            <v>轻钢</v>
          </cell>
          <cell r="F85">
            <v>1</v>
          </cell>
          <cell r="G85">
            <v>2.5</v>
          </cell>
          <cell r="H85">
            <v>136</v>
          </cell>
          <cell r="I85">
            <v>10858</v>
          </cell>
          <cell r="J85">
            <v>31277</v>
          </cell>
          <cell r="K85">
            <v>21781.01</v>
          </cell>
          <cell r="N85">
            <v>5.8</v>
          </cell>
          <cell r="O85">
            <v>15</v>
          </cell>
          <cell r="R85">
            <v>288</v>
          </cell>
          <cell r="S85">
            <v>306.9504</v>
          </cell>
          <cell r="T85">
            <v>41745.254399999998</v>
          </cell>
          <cell r="U85">
            <v>61</v>
          </cell>
          <cell r="V85">
            <v>25465</v>
          </cell>
        </row>
        <row r="86">
          <cell r="C86" t="str">
            <v>自行车棚</v>
          </cell>
          <cell r="D86">
            <v>34257</v>
          </cell>
          <cell r="E86" t="str">
            <v>轻钢</v>
          </cell>
          <cell r="F86">
            <v>1</v>
          </cell>
          <cell r="G86">
            <v>2.5</v>
          </cell>
          <cell r="H86">
            <v>131</v>
          </cell>
          <cell r="I86">
            <v>10858</v>
          </cell>
          <cell r="J86">
            <v>31277</v>
          </cell>
          <cell r="K86">
            <v>21781.01</v>
          </cell>
          <cell r="N86">
            <v>5.8</v>
          </cell>
          <cell r="O86">
            <v>15</v>
          </cell>
          <cell r="R86">
            <v>288</v>
          </cell>
          <cell r="S86">
            <v>306.9504</v>
          </cell>
          <cell r="T86">
            <v>40210.502399999998</v>
          </cell>
          <cell r="U86">
            <v>61</v>
          </cell>
          <cell r="V86">
            <v>24528</v>
          </cell>
        </row>
        <row r="87">
          <cell r="C87" t="str">
            <v>自行车棚</v>
          </cell>
          <cell r="D87">
            <v>34257</v>
          </cell>
          <cell r="E87" t="str">
            <v>轻钢</v>
          </cell>
          <cell r="F87">
            <v>1</v>
          </cell>
          <cell r="G87">
            <v>2.5</v>
          </cell>
          <cell r="H87">
            <v>222</v>
          </cell>
          <cell r="I87">
            <v>10858</v>
          </cell>
          <cell r="J87">
            <v>31277</v>
          </cell>
          <cell r="K87">
            <v>21781.01</v>
          </cell>
          <cell r="N87">
            <v>5.8</v>
          </cell>
          <cell r="O87">
            <v>15</v>
          </cell>
          <cell r="R87">
            <v>288</v>
          </cell>
          <cell r="S87">
            <v>306.9504</v>
          </cell>
          <cell r="T87">
            <v>68142.988800000006</v>
          </cell>
          <cell r="U87">
            <v>61</v>
          </cell>
          <cell r="V87">
            <v>41567</v>
          </cell>
        </row>
        <row r="88">
          <cell r="C88" t="str">
            <v>自行车棚</v>
          </cell>
          <cell r="D88">
            <v>34257</v>
          </cell>
          <cell r="E88" t="str">
            <v>轻钢</v>
          </cell>
          <cell r="F88">
            <v>1</v>
          </cell>
          <cell r="G88">
            <v>2.5</v>
          </cell>
          <cell r="H88">
            <v>132</v>
          </cell>
          <cell r="I88">
            <v>10858</v>
          </cell>
          <cell r="J88">
            <v>31277</v>
          </cell>
          <cell r="K88">
            <v>21781.01</v>
          </cell>
          <cell r="N88">
            <v>5.8</v>
          </cell>
          <cell r="O88">
            <v>15</v>
          </cell>
          <cell r="R88">
            <v>288</v>
          </cell>
          <cell r="S88">
            <v>306.9504</v>
          </cell>
          <cell r="T88">
            <v>40517.452799999999</v>
          </cell>
          <cell r="U88">
            <v>61</v>
          </cell>
          <cell r="V88">
            <v>24716</v>
          </cell>
        </row>
        <row r="89">
          <cell r="C89" t="str">
            <v>自行车棚</v>
          </cell>
          <cell r="D89">
            <v>34257</v>
          </cell>
          <cell r="E89" t="str">
            <v>轻钢</v>
          </cell>
          <cell r="F89">
            <v>1</v>
          </cell>
          <cell r="G89">
            <v>2.5</v>
          </cell>
          <cell r="H89">
            <v>337</v>
          </cell>
          <cell r="I89">
            <v>10858</v>
          </cell>
          <cell r="J89">
            <v>31277</v>
          </cell>
          <cell r="K89">
            <v>21781.01</v>
          </cell>
          <cell r="N89">
            <v>5.8</v>
          </cell>
          <cell r="O89">
            <v>15</v>
          </cell>
          <cell r="R89">
            <v>288</v>
          </cell>
          <cell r="S89">
            <v>306.9504</v>
          </cell>
          <cell r="T89">
            <v>103442.28479999999</v>
          </cell>
          <cell r="U89">
            <v>61</v>
          </cell>
          <cell r="V89">
            <v>63100</v>
          </cell>
        </row>
        <row r="90">
          <cell r="C90" t="str">
            <v>自行车棚</v>
          </cell>
          <cell r="D90">
            <v>34257</v>
          </cell>
          <cell r="E90" t="str">
            <v>轻钢</v>
          </cell>
          <cell r="F90">
            <v>1</v>
          </cell>
          <cell r="G90">
            <v>2.5</v>
          </cell>
          <cell r="H90">
            <v>126</v>
          </cell>
          <cell r="I90">
            <v>10858</v>
          </cell>
          <cell r="J90">
            <v>31277</v>
          </cell>
          <cell r="K90">
            <v>21781.01</v>
          </cell>
          <cell r="N90">
            <v>5.8</v>
          </cell>
          <cell r="O90">
            <v>15</v>
          </cell>
          <cell r="R90">
            <v>288</v>
          </cell>
          <cell r="S90">
            <v>306.9504</v>
          </cell>
          <cell r="T90">
            <v>38675.750399999997</v>
          </cell>
          <cell r="U90">
            <v>61</v>
          </cell>
          <cell r="V90">
            <v>23592</v>
          </cell>
        </row>
        <row r="91">
          <cell r="C91" t="str">
            <v>自行车棚</v>
          </cell>
          <cell r="D91">
            <v>34257</v>
          </cell>
          <cell r="E91" t="str">
            <v>轻钢</v>
          </cell>
          <cell r="F91">
            <v>1</v>
          </cell>
          <cell r="G91">
            <v>2.5</v>
          </cell>
          <cell r="H91">
            <v>223</v>
          </cell>
          <cell r="I91">
            <v>10858</v>
          </cell>
          <cell r="J91">
            <v>31277</v>
          </cell>
          <cell r="K91">
            <v>21781.01</v>
          </cell>
          <cell r="N91">
            <v>5.8</v>
          </cell>
          <cell r="O91">
            <v>15</v>
          </cell>
          <cell r="R91">
            <v>288</v>
          </cell>
          <cell r="S91">
            <v>306.9504</v>
          </cell>
          <cell r="T91">
            <v>68449.939199999993</v>
          </cell>
          <cell r="U91">
            <v>61</v>
          </cell>
          <cell r="V91">
            <v>41754</v>
          </cell>
        </row>
        <row r="92">
          <cell r="C92" t="str">
            <v>机修更衣室</v>
          </cell>
          <cell r="D92">
            <v>31305</v>
          </cell>
          <cell r="E92" t="str">
            <v>砖混</v>
          </cell>
          <cell r="F92">
            <v>3</v>
          </cell>
          <cell r="G92">
            <v>3.3</v>
          </cell>
          <cell r="H92">
            <v>1267</v>
          </cell>
          <cell r="I92">
            <v>10861</v>
          </cell>
          <cell r="J92">
            <v>721477</v>
          </cell>
          <cell r="K92">
            <v>297707.40999999997</v>
          </cell>
          <cell r="N92">
            <v>13.9</v>
          </cell>
          <cell r="O92">
            <v>40</v>
          </cell>
          <cell r="R92">
            <v>690</v>
          </cell>
          <cell r="S92">
            <v>756.79200000000003</v>
          </cell>
          <cell r="T92">
            <v>958855.46400000004</v>
          </cell>
          <cell r="U92">
            <v>65</v>
          </cell>
          <cell r="V92">
            <v>623256</v>
          </cell>
        </row>
        <row r="93">
          <cell r="C93" t="str">
            <v>钢锭模食堂</v>
          </cell>
          <cell r="D93">
            <v>31305</v>
          </cell>
          <cell r="E93" t="str">
            <v>钢砼</v>
          </cell>
          <cell r="F93">
            <v>1</v>
          </cell>
          <cell r="G93">
            <v>4</v>
          </cell>
          <cell r="H93">
            <v>438</v>
          </cell>
          <cell r="I93">
            <v>10861</v>
          </cell>
          <cell r="J93">
            <v>912758</v>
          </cell>
          <cell r="K93">
            <v>376636.91</v>
          </cell>
          <cell r="N93">
            <v>13.9</v>
          </cell>
          <cell r="O93">
            <v>55</v>
          </cell>
          <cell r="R93">
            <v>1019</v>
          </cell>
          <cell r="S93">
            <v>1086.0502000000001</v>
          </cell>
          <cell r="T93">
            <v>475689.98760000005</v>
          </cell>
          <cell r="U93">
            <v>75</v>
          </cell>
          <cell r="V93">
            <v>356767</v>
          </cell>
        </row>
        <row r="94">
          <cell r="C94" t="str">
            <v>钢锭模浴室</v>
          </cell>
          <cell r="D94">
            <v>31305</v>
          </cell>
          <cell r="E94" t="str">
            <v>砖混</v>
          </cell>
          <cell r="F94">
            <v>1</v>
          </cell>
          <cell r="G94">
            <v>4</v>
          </cell>
          <cell r="H94">
            <v>438</v>
          </cell>
          <cell r="I94">
            <v>10861</v>
          </cell>
          <cell r="J94">
            <v>289473</v>
          </cell>
          <cell r="K94">
            <v>119446.97</v>
          </cell>
          <cell r="N94">
            <v>13.9</v>
          </cell>
          <cell r="O94">
            <v>40</v>
          </cell>
          <cell r="R94">
            <v>1530</v>
          </cell>
          <cell r="S94">
            <v>1630.6740000000002</v>
          </cell>
          <cell r="T94">
            <v>714235.21200000006</v>
          </cell>
          <cell r="U94">
            <v>65</v>
          </cell>
          <cell r="V94">
            <v>464253</v>
          </cell>
        </row>
        <row r="95">
          <cell r="C95" t="str">
            <v>设备部浴室</v>
          </cell>
          <cell r="D95">
            <v>32096</v>
          </cell>
          <cell r="E95" t="str">
            <v>砖混</v>
          </cell>
          <cell r="F95">
            <v>1</v>
          </cell>
          <cell r="G95">
            <v>4</v>
          </cell>
          <cell r="H95">
            <v>467</v>
          </cell>
          <cell r="I95">
            <v>10858</v>
          </cell>
          <cell r="J95">
            <v>359550</v>
          </cell>
          <cell r="K95">
            <v>161356</v>
          </cell>
          <cell r="N95">
            <v>11.7</v>
          </cell>
          <cell r="O95">
            <v>40</v>
          </cell>
          <cell r="R95">
            <v>1530</v>
          </cell>
          <cell r="S95">
            <v>1630.6740000000002</v>
          </cell>
          <cell r="T95">
            <v>761524.75800000015</v>
          </cell>
          <cell r="U95">
            <v>71</v>
          </cell>
          <cell r="V95">
            <v>540683</v>
          </cell>
        </row>
        <row r="96">
          <cell r="C96" t="str">
            <v>设备部食堂</v>
          </cell>
          <cell r="D96">
            <v>32096</v>
          </cell>
          <cell r="E96" t="str">
            <v>钢砼</v>
          </cell>
          <cell r="F96">
            <v>1</v>
          </cell>
          <cell r="G96">
            <v>4</v>
          </cell>
          <cell r="H96">
            <v>2693</v>
          </cell>
          <cell r="I96">
            <v>10858</v>
          </cell>
          <cell r="J96">
            <v>3526400</v>
          </cell>
          <cell r="K96">
            <v>1582549.9</v>
          </cell>
          <cell r="N96">
            <v>11.7</v>
          </cell>
          <cell r="O96">
            <v>55</v>
          </cell>
          <cell r="R96">
            <v>1019</v>
          </cell>
          <cell r="S96">
            <v>1117.6392000000001</v>
          </cell>
          <cell r="T96">
            <v>3009802.3656000001</v>
          </cell>
          <cell r="U96">
            <v>79</v>
          </cell>
          <cell r="V96">
            <v>2377744</v>
          </cell>
        </row>
        <row r="97">
          <cell r="C97" t="str">
            <v>设备部托儿所(新楼)</v>
          </cell>
          <cell r="D97">
            <v>32096</v>
          </cell>
          <cell r="E97" t="str">
            <v>砖混</v>
          </cell>
          <cell r="F97">
            <v>2</v>
          </cell>
          <cell r="G97">
            <v>3.3</v>
          </cell>
          <cell r="H97">
            <v>711</v>
          </cell>
          <cell r="I97">
            <v>10858</v>
          </cell>
          <cell r="J97">
            <v>452327</v>
          </cell>
          <cell r="K97">
            <v>202991.69</v>
          </cell>
          <cell r="N97">
            <v>11.7</v>
          </cell>
          <cell r="O97">
            <v>40</v>
          </cell>
          <cell r="R97">
            <v>875</v>
          </cell>
          <cell r="S97">
            <v>959.7</v>
          </cell>
          <cell r="T97">
            <v>682346.70000000007</v>
          </cell>
          <cell r="U97">
            <v>71</v>
          </cell>
          <cell r="V97">
            <v>484466</v>
          </cell>
        </row>
        <row r="98">
          <cell r="C98" t="str">
            <v>设备部办公楼(老楼)</v>
          </cell>
          <cell r="D98">
            <v>32096</v>
          </cell>
          <cell r="E98" t="str">
            <v>砖混</v>
          </cell>
          <cell r="F98">
            <v>4</v>
          </cell>
          <cell r="G98">
            <v>3.3</v>
          </cell>
          <cell r="H98">
            <v>3338</v>
          </cell>
          <cell r="I98">
            <v>10858</v>
          </cell>
          <cell r="J98">
            <v>1978200</v>
          </cell>
          <cell r="K98">
            <v>887760.95</v>
          </cell>
          <cell r="N98">
            <v>11.7</v>
          </cell>
          <cell r="O98">
            <v>40</v>
          </cell>
          <cell r="R98">
            <v>875</v>
          </cell>
          <cell r="S98">
            <v>959.7</v>
          </cell>
          <cell r="T98">
            <v>3203478.6</v>
          </cell>
          <cell r="U98">
            <v>71</v>
          </cell>
          <cell r="V98">
            <v>2274470</v>
          </cell>
        </row>
        <row r="99">
          <cell r="C99" t="str">
            <v>设备部更衣室</v>
          </cell>
          <cell r="D99">
            <v>32096</v>
          </cell>
          <cell r="E99" t="str">
            <v>砖混</v>
          </cell>
          <cell r="F99">
            <v>3</v>
          </cell>
          <cell r="G99">
            <v>3.3</v>
          </cell>
          <cell r="H99">
            <v>1436</v>
          </cell>
          <cell r="I99">
            <v>10858</v>
          </cell>
          <cell r="J99">
            <v>463015.35</v>
          </cell>
          <cell r="K99">
            <v>463015.35</v>
          </cell>
          <cell r="N99">
            <v>11.7</v>
          </cell>
          <cell r="O99">
            <v>40</v>
          </cell>
          <cell r="R99">
            <v>690</v>
          </cell>
          <cell r="S99">
            <v>756.79200000000003</v>
          </cell>
          <cell r="T99">
            <v>1086753.3120000002</v>
          </cell>
          <cell r="U99">
            <v>71</v>
          </cell>
          <cell r="V99">
            <v>771595</v>
          </cell>
        </row>
        <row r="100">
          <cell r="C100" t="str">
            <v>维修站大楼</v>
          </cell>
          <cell r="D100">
            <v>33862</v>
          </cell>
          <cell r="E100" t="str">
            <v>钢砼</v>
          </cell>
          <cell r="F100">
            <v>5</v>
          </cell>
          <cell r="G100">
            <v>3.3</v>
          </cell>
          <cell r="H100">
            <v>1575</v>
          </cell>
          <cell r="J100">
            <v>2255765</v>
          </cell>
          <cell r="K100">
            <v>2255765</v>
          </cell>
          <cell r="N100">
            <v>6.9</v>
          </cell>
          <cell r="O100">
            <v>55</v>
          </cell>
          <cell r="R100">
            <v>1072</v>
          </cell>
          <cell r="S100">
            <v>1175.7696000000001</v>
          </cell>
          <cell r="T100">
            <v>1851837.12</v>
          </cell>
          <cell r="U100">
            <v>87</v>
          </cell>
          <cell r="V100">
            <v>1611098</v>
          </cell>
        </row>
        <row r="101">
          <cell r="C101" t="str">
            <v>14号库房</v>
          </cell>
          <cell r="D101">
            <v>29952</v>
          </cell>
          <cell r="E101" t="str">
            <v>钢砼</v>
          </cell>
          <cell r="F101">
            <v>1</v>
          </cell>
          <cell r="G101">
            <v>12.5</v>
          </cell>
          <cell r="H101">
            <v>1980</v>
          </cell>
          <cell r="J101">
            <v>0</v>
          </cell>
          <cell r="K101">
            <v>0</v>
          </cell>
          <cell r="N101">
            <v>17.600000000000001</v>
          </cell>
          <cell r="O101">
            <v>50</v>
          </cell>
          <cell r="R101">
            <v>960</v>
          </cell>
          <cell r="S101">
            <v>1052.9279999999999</v>
          </cell>
          <cell r="T101">
            <v>2084797.4399999997</v>
          </cell>
          <cell r="U101">
            <v>65</v>
          </cell>
          <cell r="V101">
            <v>1355118</v>
          </cell>
        </row>
        <row r="102">
          <cell r="C102" t="str">
            <v>15号库房</v>
          </cell>
          <cell r="D102">
            <v>29952</v>
          </cell>
          <cell r="E102" t="str">
            <v>钢砼</v>
          </cell>
          <cell r="F102">
            <v>1</v>
          </cell>
          <cell r="G102">
            <v>12.5</v>
          </cell>
          <cell r="H102">
            <v>1480</v>
          </cell>
          <cell r="J102">
            <v>0</v>
          </cell>
          <cell r="K102">
            <v>0</v>
          </cell>
          <cell r="N102">
            <v>17.600000000000001</v>
          </cell>
          <cell r="O102">
            <v>50</v>
          </cell>
          <cell r="R102">
            <v>960</v>
          </cell>
          <cell r="S102">
            <v>1052.9279999999999</v>
          </cell>
          <cell r="T102">
            <v>1558333.4399999999</v>
          </cell>
          <cell r="U102">
            <v>65</v>
          </cell>
          <cell r="V102">
            <v>1012917</v>
          </cell>
        </row>
        <row r="103">
          <cell r="C103" t="str">
            <v>16号库房</v>
          </cell>
          <cell r="D103">
            <v>29952</v>
          </cell>
          <cell r="E103" t="str">
            <v>钢砼</v>
          </cell>
          <cell r="F103">
            <v>1</v>
          </cell>
          <cell r="G103">
            <v>12.5</v>
          </cell>
          <cell r="H103">
            <v>1890</v>
          </cell>
          <cell r="J103">
            <v>0</v>
          </cell>
          <cell r="K103">
            <v>0</v>
          </cell>
          <cell r="N103">
            <v>17.600000000000001</v>
          </cell>
          <cell r="O103">
            <v>50</v>
          </cell>
          <cell r="R103">
            <v>960</v>
          </cell>
          <cell r="S103">
            <v>1052.9279999999999</v>
          </cell>
          <cell r="T103">
            <v>1990033.9199999997</v>
          </cell>
          <cell r="U103">
            <v>65</v>
          </cell>
          <cell r="V103">
            <v>1293522</v>
          </cell>
        </row>
        <row r="104">
          <cell r="C104" t="str">
            <v>武警生活区房</v>
          </cell>
          <cell r="D104">
            <v>29952</v>
          </cell>
          <cell r="E104" t="str">
            <v>砖混</v>
          </cell>
          <cell r="F104">
            <v>2</v>
          </cell>
          <cell r="G104">
            <v>3.3</v>
          </cell>
          <cell r="H104">
            <v>200</v>
          </cell>
          <cell r="J104">
            <v>0</v>
          </cell>
          <cell r="K104">
            <v>0</v>
          </cell>
          <cell r="N104">
            <v>17.600000000000001</v>
          </cell>
          <cell r="O104">
            <v>40</v>
          </cell>
          <cell r="R104">
            <v>690</v>
          </cell>
          <cell r="S104">
            <v>735.40200000000004</v>
          </cell>
          <cell r="T104">
            <v>147080.40000000002</v>
          </cell>
          <cell r="U104">
            <v>56</v>
          </cell>
          <cell r="V104">
            <v>82365</v>
          </cell>
        </row>
        <row r="105">
          <cell r="C105" t="str">
            <v>生产管制楼</v>
          </cell>
          <cell r="D105">
            <v>33970</v>
          </cell>
          <cell r="E105" t="str">
            <v>钢砼</v>
          </cell>
          <cell r="F105">
            <v>4</v>
          </cell>
          <cell r="G105">
            <v>3.3</v>
          </cell>
          <cell r="H105">
            <v>2400</v>
          </cell>
          <cell r="J105">
            <v>5972543.1200000001</v>
          </cell>
          <cell r="K105">
            <v>5265494.9800000004</v>
          </cell>
          <cell r="N105">
            <v>6.6</v>
          </cell>
          <cell r="O105">
            <v>50</v>
          </cell>
          <cell r="R105">
            <v>1222</v>
          </cell>
          <cell r="S105">
            <v>1340.2896000000001</v>
          </cell>
          <cell r="T105">
            <v>3216695.04</v>
          </cell>
          <cell r="U105">
            <v>87</v>
          </cell>
          <cell r="V105">
            <v>2798525</v>
          </cell>
        </row>
        <row r="106">
          <cell r="C106" t="str">
            <v>管理计算机机房大楼</v>
          </cell>
          <cell r="D106">
            <v>33970</v>
          </cell>
          <cell r="E106" t="str">
            <v>钢砼</v>
          </cell>
          <cell r="F106">
            <v>3</v>
          </cell>
          <cell r="G106">
            <v>3.3</v>
          </cell>
          <cell r="H106">
            <v>2687</v>
          </cell>
          <cell r="J106">
            <v>5287365</v>
          </cell>
          <cell r="K106">
            <v>3827453.01</v>
          </cell>
          <cell r="N106">
            <v>6.6</v>
          </cell>
          <cell r="O106">
            <v>50</v>
          </cell>
          <cell r="R106">
            <v>1222</v>
          </cell>
          <cell r="S106">
            <v>1340.2896000000001</v>
          </cell>
          <cell r="T106">
            <v>3601358.1552000004</v>
          </cell>
          <cell r="U106">
            <v>87</v>
          </cell>
          <cell r="V106">
            <v>3133182</v>
          </cell>
        </row>
        <row r="107">
          <cell r="C107" t="str">
            <v>电话楼主楼</v>
          </cell>
          <cell r="D107">
            <v>33862</v>
          </cell>
          <cell r="E107" t="str">
            <v>砖混</v>
          </cell>
          <cell r="F107">
            <v>2</v>
          </cell>
          <cell r="G107">
            <v>3.3</v>
          </cell>
          <cell r="H107">
            <v>1644</v>
          </cell>
          <cell r="J107">
            <v>2537763</v>
          </cell>
          <cell r="K107">
            <v>2537763</v>
          </cell>
          <cell r="N107">
            <v>6.9</v>
          </cell>
          <cell r="O107">
            <v>40</v>
          </cell>
          <cell r="R107">
            <v>972</v>
          </cell>
          <cell r="S107">
            <v>1066.0896</v>
          </cell>
          <cell r="T107">
            <v>1752651.3023999999</v>
          </cell>
          <cell r="U107">
            <v>83</v>
          </cell>
          <cell r="V107">
            <v>1454701</v>
          </cell>
        </row>
        <row r="108">
          <cell r="C108" t="str">
            <v>电话楼付楼</v>
          </cell>
          <cell r="D108">
            <v>33862</v>
          </cell>
          <cell r="E108" t="str">
            <v>砖混</v>
          </cell>
          <cell r="F108">
            <v>2</v>
          </cell>
          <cell r="G108">
            <v>3.3</v>
          </cell>
          <cell r="H108">
            <v>500</v>
          </cell>
          <cell r="J108">
            <v>598801</v>
          </cell>
          <cell r="K108">
            <v>598801</v>
          </cell>
          <cell r="N108">
            <v>6.9</v>
          </cell>
          <cell r="O108">
            <v>40</v>
          </cell>
          <cell r="R108">
            <v>972</v>
          </cell>
          <cell r="S108">
            <v>1066.0896</v>
          </cell>
          <cell r="T108">
            <v>533044.80000000005</v>
          </cell>
          <cell r="U108">
            <v>83</v>
          </cell>
          <cell r="V108">
            <v>442427</v>
          </cell>
        </row>
      </sheetData>
      <sheetData sheetId="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300"/>
      <sheetName val="A400"/>
      <sheetName val="consol B&amp;S"/>
      <sheetName val="consol P&amp;L"/>
      <sheetName val="分行营业部01-BS"/>
      <sheetName val="分行营业部01-PL"/>
      <sheetName val="分行营业部00-BS"/>
      <sheetName val="分行营业部00-PL"/>
      <sheetName val="A500"/>
      <sheetName val="A501"/>
      <sheetName val="A502"/>
      <sheetName val="A510"/>
      <sheetName val="A1000"/>
      <sheetName val="B100"/>
      <sheetName val="C"/>
      <sheetName val="c100"/>
      <sheetName val="C200"/>
      <sheetName val="C201"/>
      <sheetName val="C300"/>
      <sheetName val="C301"/>
      <sheetName val="C400"/>
      <sheetName val="C401"/>
      <sheetName val="C500"/>
      <sheetName val="E"/>
      <sheetName val="E10"/>
      <sheetName val="E100"/>
      <sheetName val="E200"/>
      <sheetName val="e300"/>
      <sheetName val="e301"/>
      <sheetName val="e302"/>
      <sheetName val="E400"/>
      <sheetName val="E500"/>
      <sheetName val="E501"/>
      <sheetName val="E600"/>
      <sheetName val="E700"/>
      <sheetName val="E701"/>
      <sheetName val="E702"/>
      <sheetName val="e800"/>
      <sheetName val="e801"/>
      <sheetName val="E810"/>
      <sheetName val="E811"/>
      <sheetName val="E815"/>
      <sheetName val="E820"/>
      <sheetName val="E830"/>
      <sheetName val="e900"/>
      <sheetName val="e901"/>
      <sheetName val="e902"/>
      <sheetName val="E1000"/>
      <sheetName val="E1010"/>
      <sheetName val="E1020"/>
      <sheetName val="G"/>
      <sheetName val="G100"/>
      <sheetName val="G101"/>
      <sheetName val="G102"/>
      <sheetName val="H"/>
      <sheetName val="H10"/>
      <sheetName val="H100"/>
      <sheetName val="H200"/>
      <sheetName val="H210"/>
      <sheetName val="J"/>
      <sheetName val="j100"/>
      <sheetName val="j200"/>
      <sheetName val="j201"/>
      <sheetName val="K"/>
      <sheetName val="K100"/>
      <sheetName val="k200"/>
      <sheetName val="k210"/>
      <sheetName val="K300"/>
      <sheetName val="k310"/>
      <sheetName val="k400"/>
      <sheetName val="L"/>
      <sheetName val="L100"/>
      <sheetName val="N"/>
      <sheetName val="N10"/>
      <sheetName val="N100"/>
      <sheetName val="n200"/>
      <sheetName val="N210"/>
      <sheetName val="N211"/>
      <sheetName val="N300"/>
      <sheetName val="N400"/>
      <sheetName val="N500"/>
      <sheetName val="O"/>
      <sheetName val="o100"/>
      <sheetName val="o200"/>
      <sheetName val="o300"/>
      <sheetName val="o310"/>
      <sheetName val="P"/>
      <sheetName val="P100"/>
      <sheetName val="P200"/>
      <sheetName val="Q"/>
      <sheetName val="Q100P"/>
      <sheetName val="Q200P"/>
      <sheetName val="Q300"/>
      <sheetName val="S"/>
      <sheetName val="S100"/>
      <sheetName val="T"/>
      <sheetName val="U.detail"/>
      <sheetName val="u"/>
      <sheetName val="u100"/>
      <sheetName val="u200"/>
      <sheetName val="u300"/>
      <sheetName val="u400"/>
      <sheetName val="u500"/>
      <sheetName val="V"/>
      <sheetName val="v100"/>
      <sheetName val="v200"/>
      <sheetName val="v300"/>
      <sheetName val="v301"/>
      <sheetName val="OS Matters"/>
      <sheetName val="review"/>
      <sheetName val="Standard audit marks"/>
      <sheetName val="Sheet1"/>
      <sheetName val="·ÖÐÐÓªÒµ²¿01-BS"/>
      <sheetName val="·ÖÐÐÓªÒµ²¿01-PL"/>
      <sheetName val="·ÖÐÐÓªÒµ²¿00-BS"/>
      <sheetName val="·ÖÐÐÓªÒµ²¿00-PL"/>
      <sheetName val="设备部房屋"/>
      <sheetName val="source"/>
      <sheetName val="个人欠款账龄分析表"/>
      <sheetName val=""/>
      <sheetName val="master"/>
      <sheetName val="资产负债表"/>
      <sheetName val="F110"/>
      <sheetName val="4-货币资金-现金"/>
      <sheetName val="现金流量表"/>
      <sheetName val="填写指南"/>
      <sheetName val="A300-试算平衡表"/>
      <sheetName val="3 - Balance Sheet"/>
      <sheetName val="B"/>
      <sheetName val="G100-其他应收款-本部"/>
      <sheetName val="G120-其他应收款明细-本部"/>
      <sheetName val="G120-重庆"/>
      <sheetName val="G120-上海"/>
      <sheetName val="G120-株洲"/>
      <sheetName val="G120-抵消 "/>
      <sheetName val="运煤预算"/>
      <sheetName val="I300"/>
      <sheetName val="consol_B&amp;S"/>
      <sheetName val="consol_P&amp;L"/>
      <sheetName val="U_detail"/>
      <sheetName val="OS_Matters"/>
      <sheetName val="Standard_audit_marks"/>
      <sheetName val="O110-应交增值税"/>
      <sheetName val="#REF!"/>
      <sheetName val="02"/>
      <sheetName val="zfic01n"/>
      <sheetName val="SCH-U-5 以前年度损益调整"/>
      <sheetName val="ASY"/>
      <sheetName val="BG2、CVA"/>
      <sheetName val="VRN"/>
      <sheetName val="预算构成"/>
      <sheetName val="表六 "/>
      <sheetName val="2月收入成本明细表"/>
      <sheetName val="G200"/>
      <sheetName val="M-5C"/>
      <sheetName val="企业表一"/>
      <sheetName val="M-5A"/>
      <sheetName val="F450半钢结存"/>
      <sheetName val="表二十九（01）"/>
      <sheetName val="K110"/>
      <sheetName val="G210"/>
      <sheetName val="O111"/>
      <sheetName val="原材料"/>
      <sheetName val="F11"/>
      <sheetName val="标准零件库"/>
      <sheetName val="加工费"/>
      <sheetName val="成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cover notes"/>
      <sheetName val="Mapping-gernaral"/>
      <sheetName val="Mapping notes"/>
      <sheetName val="Mapping-财务公司"/>
      <sheetName val="A100-Checklist"/>
      <sheetName val="A300-BS-PRC"/>
      <sheetName val="A310-PL-PRC"/>
      <sheetName val="A320-BS-IAS"/>
      <sheetName val="A330-PL-IAS"/>
      <sheetName val="A500-PRC Adj"/>
      <sheetName val="A510-IAS Adj"/>
      <sheetName val="mapping-general"/>
      <sheetName val="C100-cash and bank"/>
      <sheetName val="C110-cash and bank-PRC"/>
      <sheetName val="D-ST invest"/>
      <sheetName val="E100-note rec"/>
      <sheetName val="E110-details"/>
      <sheetName val="E200-AR aging"/>
      <sheetName val="E210-AR "/>
      <sheetName val="E220-AR subseq sett"/>
      <sheetName val="E300-divd receivable"/>
      <sheetName val="F100-inventory"/>
      <sheetName val="F200-sub usage"/>
      <sheetName val="G100-OR"/>
      <sheetName val="G110-OR 明细表"/>
      <sheetName val="G111-OR-其他"/>
      <sheetName val="G112-OR-Top 5"/>
      <sheetName val="G120-OR 关联方"/>
      <sheetName val="G130-OR-subseq sett"/>
      <sheetName val="G200-prepay"/>
      <sheetName val="G210-prepay breakdown"/>
      <sheetName val="G220-prepay-subseq sett"/>
      <sheetName val="G300-ST deferred assets"/>
      <sheetName val="G400-subsidy rec"/>
      <sheetName val="H100-LT investment-PRC"/>
      <sheetName val="H200-associate move-PRC"/>
      <sheetName val="H210-JCE mov-PRC"/>
      <sheetName val="H220-unconcol move-PRC"/>
      <sheetName val="H230-sub move-PRC"/>
      <sheetName val="H240-子公司合并价差"/>
      <sheetName val="H300-goodwill-PRC"/>
      <sheetName val="H400-other stocks-PRC"/>
      <sheetName val="H410-others invest-PRC"/>
      <sheetName val="H500-bond invest-PRC"/>
      <sheetName val="H510-other debt invest-PRC"/>
      <sheetName val="H600-provision-PRC"/>
      <sheetName val="H700-pur of sub-PRC"/>
      <sheetName val="H710-sale of sub-PRC"/>
      <sheetName val="H720-FS of unconsol sub"/>
      <sheetName val="H800-basic info-PRC"/>
      <sheetName val="H1000-LT investment-IAS"/>
      <sheetName val="H1100-associate move-IAS"/>
      <sheetName val="H1110- inv in asso-summary-IAS"/>
      <sheetName val="H1200-JCE-IAS"/>
      <sheetName val="H1300-sub move-IAS"/>
      <sheetName val="H1400-Goodwill-IAS"/>
      <sheetName val="H1500-unconsol move-IAS"/>
      <sheetName val="H1510-unconsol-IAS"/>
      <sheetName val="H1600-other stocks-IAS"/>
      <sheetName val="H1610-others invest-IAS"/>
      <sheetName val="H1700-bond invest-IAS"/>
      <sheetName val="H1710-other debt invest-IAS"/>
      <sheetName val="I100-inter-co "/>
      <sheetName val="I110- Breakdown"/>
      <sheetName val="J100-CIP"/>
      <sheetName val="J200-CIP project"/>
      <sheetName val="K100-fixed assets-PRC"/>
      <sheetName val="K110-fixed assets-IAS"/>
      <sheetName val="L100-intangible-PRC"/>
      <sheetName val="L110-intangible-IAS"/>
      <sheetName val="L200-LT deferred assets "/>
      <sheetName val="L300-Other LT assets"/>
      <sheetName val="L400-land use right IAS"/>
      <sheetName val="M-ST loan"/>
      <sheetName val="N100-note pay"/>
      <sheetName val="N200-AP"/>
      <sheetName val="N210-AP subseq sett"/>
      <sheetName val="O100-tax pay-IAS"/>
      <sheetName val="O200-deferred tax-PRC"/>
      <sheetName val="O210-deferred tax-IAS"/>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PRC"/>
      <sheetName val="U210-surtax-其他 PRC"/>
      <sheetName val="U300-other revenue PRC"/>
      <sheetName val="U310-其他业务收入-其他 PRC"/>
      <sheetName val="U320-其他业务支出-其他 PRC"/>
      <sheetName val="U330-其他收入-IAS"/>
      <sheetName val="U340-其他营运费用-IAS"/>
      <sheetName val="U400-selling exp"/>
      <sheetName val="U410-selling exp-其他"/>
      <sheetName val="U500-admin exp"/>
      <sheetName val="U510-admin exp-其他"/>
      <sheetName val="U600-finance exp"/>
      <sheetName val="U610-finance exp-其他"/>
      <sheetName val="U700-invest income"/>
      <sheetName val="U710-income from associate"/>
      <sheetName val="U800-subsidy income"/>
      <sheetName val="U900-non-op income exp"/>
      <sheetName val="U910-non-op income-其他"/>
      <sheetName val="U920-non-op exp-其他"/>
      <sheetName val="U1000 MFG OH "/>
      <sheetName val="U1100-Profits fm operating act"/>
      <sheetName val="W100-R&amp;D by nature"/>
      <sheetName val="W110-R&amp;D by project"/>
      <sheetName val="W200-top 10 customers"/>
      <sheetName val="W210-top 10 suppliers"/>
      <sheetName val="W220-top 5 AR"/>
      <sheetName val="W230-top 5 AP"/>
      <sheetName val="W300-related parties bal"/>
      <sheetName val="W400-RPT "/>
      <sheetName val="W401-breakdown"/>
      <sheetName val="W401a-breakdown"/>
      <sheetName val="W402-RPT Profit"/>
      <sheetName val="W403-RPT Profit breakdown"/>
      <sheetName val="W410-related parties trans"/>
      <sheetName val="W500-财务公司往来"/>
      <sheetName val="W510-与财务公司贷款情况"/>
      <sheetName val="W600-cashflow info"/>
      <sheetName val="W610-cashflow"/>
      <sheetName val="W611-break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 "/>
      <sheetName val="试算平衡表0506"/>
      <sheetName val="试算平衡表0406"/>
      <sheetName val="现金流量表"/>
      <sheetName val="银行存款"/>
      <sheetName val="其他货币资金"/>
      <sheetName val="短期投资"/>
      <sheetName val="委托贷款"/>
      <sheetName val="应收票据"/>
      <sheetName val="应收票据2"/>
      <sheetName val="应收账款"/>
      <sheetName val="应收股利"/>
      <sheetName val="预付账款"/>
      <sheetName val="其它应收帐款"/>
      <sheetName val="应收补贴款 "/>
      <sheetName val="存货"/>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内公司清单"/>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银行存款"/>
      <sheetName val="其他货币资金"/>
      <sheetName val="短期投资"/>
      <sheetName val="应收票据"/>
      <sheetName val="应收账款"/>
      <sheetName val="其他应收账款"/>
      <sheetName val="预付账款"/>
      <sheetName val="应收股利"/>
      <sheetName val="存货"/>
      <sheetName val="待摊费用"/>
      <sheetName val="固定资产"/>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他债权投资"/>
      <sheetName val="长期投资-长期委托贷款"/>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preCE"/>
      <sheetName val="1251重要性计算表"/>
      <sheetName val="现金流量表"/>
      <sheetName val="递延所得税计算表"/>
      <sheetName val="所得税计算表"/>
      <sheetName val="坏账及减值表"/>
      <sheetName val="TB"/>
      <sheetName val="CF底稿"/>
      <sheetName val="BS"/>
      <sheetName val="IS"/>
      <sheetName val="preCF"/>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G28">
            <v>43951288.280000001</v>
          </cell>
          <cell r="H28">
            <v>45335799.759999998</v>
          </cell>
        </row>
      </sheetData>
      <sheetData sheetId="15"/>
      <sheetData sheetId="16"/>
      <sheetData sheetId="17"/>
      <sheetData sheetId="18"/>
      <sheetData sheetId="19"/>
      <sheetData sheetId="20"/>
      <sheetData sheetId="21"/>
      <sheetData sheetId="22"/>
      <sheetData sheetId="23">
        <row r="2607">
          <cell r="I2607">
            <v>32775545.280000001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3.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9.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1.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2.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5647</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6416</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5648</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5649</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6610</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6654</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6646</v>
      </c>
      <c r="B13" s="2791">
        <v>1125</v>
      </c>
      <c r="C13" s="2791" t="s">
        <v>162</v>
      </c>
      <c r="D13" s="2791">
        <v>1</v>
      </c>
      <c r="E13" s="2791"/>
      <c r="F13" s="2791" t="s">
        <v>5650</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6604</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6417</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6417</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5651</v>
      </c>
      <c r="I16" s="2791">
        <v>1212</v>
      </c>
      <c r="J16" s="2791" t="s">
        <v>84</v>
      </c>
      <c r="M16" s="2791" t="s">
        <v>201</v>
      </c>
      <c r="N16" s="2792"/>
      <c r="O16" s="2793">
        <v>1221</v>
      </c>
      <c r="P16" s="2794" t="s">
        <v>225</v>
      </c>
      <c r="Q16" s="2794" t="s">
        <v>226</v>
      </c>
      <c r="R16" s="2789">
        <v>7196</v>
      </c>
      <c r="S16" s="2796" t="s">
        <v>6115</v>
      </c>
      <c r="T16" s="2796" t="s">
        <v>6116</v>
      </c>
      <c r="U16" s="2796" t="s">
        <v>6418</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5115</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5652</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5653</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5583</v>
      </c>
      <c r="T21" s="2796" t="s">
        <v>5584</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5654</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5655</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6615</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6617</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6419</v>
      </c>
      <c r="U25" s="2796" t="s">
        <v>5115</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5656</v>
      </c>
      <c r="G26" s="2791" t="s">
        <v>247</v>
      </c>
      <c r="H26" s="2791"/>
      <c r="I26" s="2791">
        <v>1496</v>
      </c>
      <c r="J26" s="2791" t="s">
        <v>84</v>
      </c>
      <c r="M26" s="2791" t="s">
        <v>319</v>
      </c>
      <c r="N26" s="2792"/>
      <c r="O26" s="2793">
        <v>1400.1405999999999</v>
      </c>
      <c r="P26" s="2794" t="s">
        <v>314</v>
      </c>
      <c r="Q26" s="2794" t="s">
        <v>315</v>
      </c>
      <c r="R26" s="2789">
        <v>7309</v>
      </c>
      <c r="S26" s="2796" t="s">
        <v>302</v>
      </c>
      <c r="T26" s="2796" t="s">
        <v>6420</v>
      </c>
      <c r="U26" s="2796" t="s">
        <v>6417</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5109</v>
      </c>
      <c r="U27" s="2796" t="s">
        <v>3000</v>
      </c>
      <c r="V27" s="2796">
        <v>1</v>
      </c>
      <c r="W27" s="2796">
        <v>1122</v>
      </c>
      <c r="X27" s="2796">
        <v>2</v>
      </c>
      <c r="Y27" s="2793" t="s">
        <v>6618</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6421</v>
      </c>
      <c r="U28" s="2796" t="s">
        <v>5996</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5657</v>
      </c>
      <c r="D29" s="2791">
        <v>1</v>
      </c>
      <c r="E29" s="2791" t="s">
        <v>102</v>
      </c>
      <c r="F29" s="2791"/>
      <c r="G29" s="2791" t="s">
        <v>5657</v>
      </c>
      <c r="H29" s="2791"/>
      <c r="I29" s="2791">
        <v>1600</v>
      </c>
      <c r="J29" s="2791" t="s">
        <v>84</v>
      </c>
      <c r="M29" s="2791" t="s">
        <v>339</v>
      </c>
      <c r="N29" s="2792"/>
      <c r="O29" s="2793">
        <v>1400.1411000000001</v>
      </c>
      <c r="P29" s="2794" t="s">
        <v>333</v>
      </c>
      <c r="Q29" s="2794" t="s">
        <v>334</v>
      </c>
      <c r="R29" s="2789">
        <v>7016</v>
      </c>
      <c r="S29" s="2796" t="s">
        <v>328</v>
      </c>
      <c r="T29" s="2796" t="s">
        <v>5110</v>
      </c>
      <c r="U29" s="2796" t="s">
        <v>5996</v>
      </c>
      <c r="V29" s="2796">
        <v>1</v>
      </c>
      <c r="W29" s="2796">
        <v>1122</v>
      </c>
      <c r="X29" s="2796">
        <v>2</v>
      </c>
      <c r="Y29" s="2793" t="s">
        <v>6619</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5658</v>
      </c>
      <c r="G30" s="2791" t="s">
        <v>274</v>
      </c>
      <c r="H30" s="2791" t="s">
        <v>274</v>
      </c>
      <c r="I30" s="2791">
        <v>1505</v>
      </c>
      <c r="J30" s="2791" t="s">
        <v>84</v>
      </c>
      <c r="M30" s="2791" t="s">
        <v>346</v>
      </c>
      <c r="N30" s="2792"/>
      <c r="O30" s="2793">
        <v>1400.1421</v>
      </c>
      <c r="P30" s="2794" t="s">
        <v>340</v>
      </c>
      <c r="Q30" s="2794" t="s">
        <v>341</v>
      </c>
      <c r="R30" s="2789">
        <v>7021</v>
      </c>
      <c r="S30" s="2796" t="s">
        <v>316</v>
      </c>
      <c r="T30" s="2796" t="s">
        <v>6422</v>
      </c>
      <c r="U30" s="2796" t="s">
        <v>6418</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6615</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6423</v>
      </c>
      <c r="U32" s="2796" t="s">
        <v>6418</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5659</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6615</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6424</v>
      </c>
      <c r="U34" s="2796" t="s">
        <v>5115</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5660</v>
      </c>
      <c r="G35" s="2791" t="s">
        <v>293</v>
      </c>
      <c r="H35" s="2791"/>
      <c r="I35" s="2791">
        <v>1511</v>
      </c>
      <c r="J35" s="2791" t="s">
        <v>84</v>
      </c>
      <c r="M35" s="2791" t="s">
        <v>237</v>
      </c>
      <c r="N35" s="2792"/>
      <c r="O35" s="2793">
        <v>1495</v>
      </c>
      <c r="P35" s="2794" t="s">
        <v>377</v>
      </c>
      <c r="Q35" s="2794" t="s">
        <v>378</v>
      </c>
      <c r="R35" s="2789">
        <v>7054</v>
      </c>
      <c r="S35" s="2796" t="s">
        <v>5107</v>
      </c>
      <c r="T35" s="2796" t="s">
        <v>6425</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5108</v>
      </c>
      <c r="T36" s="2796" t="s">
        <v>6426</v>
      </c>
      <c r="U36" s="2796" t="s">
        <v>5996</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5115</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5661</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5662</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5663</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6372</v>
      </c>
      <c r="U48" s="2796" t="s">
        <v>5115</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5664</v>
      </c>
      <c r="G49" s="2791" t="s">
        <v>394</v>
      </c>
      <c r="H49" s="2791"/>
      <c r="I49" s="2791">
        <v>1700</v>
      </c>
      <c r="J49" s="2791" t="s">
        <v>84</v>
      </c>
      <c r="M49" s="2791" t="s">
        <v>317</v>
      </c>
      <c r="N49" s="2792"/>
      <c r="O49" s="2793">
        <v>1531</v>
      </c>
      <c r="P49" s="2794" t="s">
        <v>355</v>
      </c>
      <c r="Q49" s="2794" t="s">
        <v>356</v>
      </c>
      <c r="R49" s="2789">
        <v>7025</v>
      </c>
      <c r="S49" s="2796" t="s">
        <v>456</v>
      </c>
      <c r="T49" s="2796" t="s">
        <v>6373</v>
      </c>
      <c r="U49" s="2796" t="s">
        <v>6417</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5665</v>
      </c>
      <c r="G50" s="2791" t="s">
        <v>409</v>
      </c>
      <c r="H50" s="2791"/>
      <c r="I50" s="2791">
        <v>1711</v>
      </c>
      <c r="J50" s="2791" t="s">
        <v>84</v>
      </c>
      <c r="M50" s="2791" t="s">
        <v>323</v>
      </c>
      <c r="N50" s="2792" t="s">
        <v>119</v>
      </c>
      <c r="O50" s="2793">
        <v>1538</v>
      </c>
      <c r="P50" s="2794" t="s">
        <v>363</v>
      </c>
      <c r="Q50" s="2794" t="s">
        <v>364</v>
      </c>
      <c r="R50" s="2789">
        <v>7026</v>
      </c>
      <c r="S50" s="2796" t="s">
        <v>461</v>
      </c>
      <c r="T50" s="2796" t="s">
        <v>6374</v>
      </c>
      <c r="U50" s="2796" t="s">
        <v>6417</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5666</v>
      </c>
      <c r="G51" s="2791" t="s">
        <v>415</v>
      </c>
      <c r="H51" s="2791"/>
      <c r="I51" s="2791">
        <v>1801</v>
      </c>
      <c r="J51" s="2791" t="s">
        <v>84</v>
      </c>
      <c r="M51" s="2791" t="s">
        <v>329</v>
      </c>
      <c r="N51" s="2792" t="s">
        <v>119</v>
      </c>
      <c r="O51" s="2793">
        <v>1539</v>
      </c>
      <c r="P51" s="2794" t="s">
        <v>370</v>
      </c>
      <c r="Q51" s="2794" t="s">
        <v>371</v>
      </c>
      <c r="R51" s="2789">
        <v>7053</v>
      </c>
      <c r="S51" s="2796" t="s">
        <v>466</v>
      </c>
      <c r="T51" s="2796" t="s">
        <v>6375</v>
      </c>
      <c r="U51" s="2796" t="s">
        <v>6418</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5667</v>
      </c>
      <c r="G52" s="2791" t="s">
        <v>422</v>
      </c>
      <c r="H52" s="2791"/>
      <c r="I52" s="2791">
        <v>1811</v>
      </c>
      <c r="J52" s="2791" t="s">
        <v>84</v>
      </c>
      <c r="M52" s="2791" t="s">
        <v>337</v>
      </c>
      <c r="N52" s="2792"/>
      <c r="O52" s="2793">
        <v>1601</v>
      </c>
      <c r="P52" s="2794" t="s">
        <v>377</v>
      </c>
      <c r="Q52" s="2794" t="s">
        <v>378</v>
      </c>
      <c r="R52" s="2789">
        <v>7054</v>
      </c>
      <c r="S52" s="2796" t="s">
        <v>6368</v>
      </c>
      <c r="T52" s="2796" t="s">
        <v>6376</v>
      </c>
      <c r="U52" s="2796" t="s">
        <v>5115</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5668</v>
      </c>
      <c r="G53" s="2791" t="s">
        <v>429</v>
      </c>
      <c r="H53" s="2791"/>
      <c r="I53" s="2791">
        <v>1996</v>
      </c>
      <c r="J53" s="2791" t="s">
        <v>84</v>
      </c>
      <c r="M53" s="2791" t="s">
        <v>486</v>
      </c>
      <c r="N53" s="2792"/>
      <c r="O53" s="2793">
        <v>1601.1602</v>
      </c>
      <c r="P53" s="2794" t="s">
        <v>384</v>
      </c>
      <c r="Q53" s="2794" t="s">
        <v>385</v>
      </c>
      <c r="R53" s="2789">
        <v>7055</v>
      </c>
      <c r="S53" s="2796" t="s">
        <v>6369</v>
      </c>
      <c r="T53" s="2796" t="s">
        <v>6377</v>
      </c>
      <c r="U53" s="2796" t="s">
        <v>6417</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6370</v>
      </c>
      <c r="T54" s="2796" t="s">
        <v>6378</v>
      </c>
      <c r="U54" s="2796" t="s">
        <v>6417</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6371</v>
      </c>
      <c r="T55" s="2796" t="s">
        <v>6379</v>
      </c>
      <c r="U55" s="2796" t="s">
        <v>6418</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6380</v>
      </c>
      <c r="U56" s="2796" t="s">
        <v>5115</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5669</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5670</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5671</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5672</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5673</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5674</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5675</v>
      </c>
      <c r="G66" s="2791" t="s">
        <v>653</v>
      </c>
      <c r="H66" s="2791" t="s">
        <v>653</v>
      </c>
      <c r="I66" s="2791">
        <v>2206</v>
      </c>
      <c r="J66" s="2791" t="s">
        <v>84</v>
      </c>
      <c r="M66" s="2791" t="s">
        <v>556</v>
      </c>
      <c r="N66" s="2792" t="s">
        <v>557</v>
      </c>
      <c r="O66" s="2793">
        <v>1636</v>
      </c>
      <c r="S66" s="2796" t="s">
        <v>526</v>
      </c>
      <c r="T66" s="2796" t="s">
        <v>527</v>
      </c>
      <c r="U66" s="2796" t="s">
        <v>6427</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6427</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5907</v>
      </c>
      <c r="U70" s="2796" t="s">
        <v>6428</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5676</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6615</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5677</v>
      </c>
      <c r="G72" s="2791" t="s">
        <v>494</v>
      </c>
      <c r="H72" s="2791"/>
      <c r="I72" s="2791">
        <v>2221</v>
      </c>
      <c r="J72" s="2791" t="s">
        <v>84</v>
      </c>
      <c r="M72" s="2791" t="s">
        <v>583</v>
      </c>
      <c r="N72" s="2792"/>
      <c r="O72" s="2793">
        <v>1711.1712</v>
      </c>
      <c r="S72" s="2796">
        <v>122101</v>
      </c>
      <c r="T72" s="2796" t="s">
        <v>6429</v>
      </c>
      <c r="U72" s="2796" t="s">
        <v>5115</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6617</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5678</v>
      </c>
      <c r="G74" s="2791" t="s">
        <v>521</v>
      </c>
      <c r="H74" s="2791"/>
      <c r="I74" s="2791">
        <v>2231</v>
      </c>
      <c r="J74" s="2791" t="s">
        <v>84</v>
      </c>
      <c r="M74" s="2791" t="s">
        <v>422</v>
      </c>
      <c r="N74" s="2792"/>
      <c r="O74" s="2793">
        <v>1811</v>
      </c>
      <c r="S74" s="2796" t="s">
        <v>561</v>
      </c>
      <c r="T74" s="2796" t="s">
        <v>5111</v>
      </c>
      <c r="U74" s="2796" t="s">
        <v>3161</v>
      </c>
      <c r="V74" s="2796">
        <v>1</v>
      </c>
      <c r="W74" s="2796">
        <v>1221</v>
      </c>
      <c r="X74" s="2796">
        <v>2</v>
      </c>
      <c r="Y74" s="2793" t="s">
        <v>6618</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5679</v>
      </c>
      <c r="G75" s="2791" t="s">
        <v>507</v>
      </c>
      <c r="H75" s="2791"/>
      <c r="I75" s="2791">
        <v>2232</v>
      </c>
      <c r="J75" s="2791" t="s">
        <v>84</v>
      </c>
      <c r="M75" s="2791" t="s">
        <v>429</v>
      </c>
      <c r="N75" s="2792"/>
      <c r="O75" s="2793">
        <v>1996</v>
      </c>
      <c r="S75" s="2796">
        <v>122111</v>
      </c>
      <c r="T75" s="2796" t="s">
        <v>5920</v>
      </c>
      <c r="U75" s="2796" t="s">
        <v>6417</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5680</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6619</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5908</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5919</v>
      </c>
      <c r="U78" s="2796" t="s">
        <v>6418</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5681</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6615</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5682</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6624</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5683</v>
      </c>
      <c r="G81" s="2791" t="s">
        <v>534</v>
      </c>
      <c r="H81" s="2791"/>
      <c r="I81" s="2791">
        <v>2396</v>
      </c>
      <c r="J81" s="2791" t="s">
        <v>84</v>
      </c>
      <c r="M81" s="2791" t="s">
        <v>471</v>
      </c>
      <c r="N81" s="2792"/>
      <c r="O81" s="2793">
        <v>2201</v>
      </c>
      <c r="S81" s="2796">
        <v>122114</v>
      </c>
      <c r="T81" s="2796" t="s">
        <v>5918</v>
      </c>
      <c r="U81" s="2796" t="s">
        <v>6418</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6430</v>
      </c>
      <c r="U82" s="2796" t="s">
        <v>5115</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5909</v>
      </c>
      <c r="U83" s="2796" t="s">
        <v>6417</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5910</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5684</v>
      </c>
      <c r="G85" s="2791" t="s">
        <v>546</v>
      </c>
      <c r="H85" s="2791"/>
      <c r="I85" s="2791">
        <v>2501</v>
      </c>
      <c r="J85" s="2791" t="s">
        <v>84</v>
      </c>
      <c r="M85" s="2791" t="s">
        <v>489</v>
      </c>
      <c r="N85" s="2792"/>
      <c r="O85" s="2793">
        <v>2211</v>
      </c>
      <c r="S85" s="2796">
        <v>122123</v>
      </c>
      <c r="T85" s="2796" t="s">
        <v>5911</v>
      </c>
      <c r="U85" s="2796" t="s">
        <v>6418</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5685</v>
      </c>
      <c r="G86" s="2791" t="s">
        <v>550</v>
      </c>
      <c r="H86" s="2791"/>
      <c r="I86" s="2791">
        <v>2502</v>
      </c>
      <c r="J86" s="2791" t="s">
        <v>84</v>
      </c>
      <c r="M86" s="2791" t="s">
        <v>494</v>
      </c>
      <c r="N86" s="2792"/>
      <c r="O86" s="2793">
        <v>2221</v>
      </c>
      <c r="S86" s="2796">
        <v>122124</v>
      </c>
      <c r="T86" s="2796" t="s">
        <v>5912</v>
      </c>
      <c r="U86" s="2796" t="s">
        <v>6418</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6431</v>
      </c>
      <c r="U87" s="2796" t="s">
        <v>5115</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5913</v>
      </c>
      <c r="U88" s="2796" t="s">
        <v>6417</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5686</v>
      </c>
      <c r="G89" s="2791" t="s">
        <v>720</v>
      </c>
      <c r="H89" s="2791" t="s">
        <v>720</v>
      </c>
      <c r="I89" s="2791">
        <v>2506</v>
      </c>
      <c r="J89" s="2791" t="s">
        <v>84</v>
      </c>
      <c r="M89" s="2791" t="s">
        <v>513</v>
      </c>
      <c r="N89" s="2792"/>
      <c r="O89" s="2793">
        <v>2241</v>
      </c>
      <c r="S89" s="2796">
        <v>122132</v>
      </c>
      <c r="T89" s="2796" t="s">
        <v>5914</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5915</v>
      </c>
      <c r="U90" s="2796" t="s">
        <v>6418</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5687</v>
      </c>
      <c r="G91" s="2791" t="s">
        <v>599</v>
      </c>
      <c r="H91" s="2791"/>
      <c r="I91" s="2791">
        <v>2701</v>
      </c>
      <c r="J91" s="2791" t="s">
        <v>84</v>
      </c>
      <c r="M91" s="2791" t="s">
        <v>529</v>
      </c>
      <c r="N91" s="2792"/>
      <c r="O91" s="2793">
        <v>2395</v>
      </c>
      <c r="S91" s="2796">
        <v>122134</v>
      </c>
      <c r="T91" s="2796" t="s">
        <v>5916</v>
      </c>
      <c r="U91" s="2796" t="s">
        <v>6418</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5688</v>
      </c>
      <c r="G92" s="2791" t="s">
        <v>562</v>
      </c>
      <c r="H92" s="2791"/>
      <c r="I92" s="2791">
        <v>2711</v>
      </c>
      <c r="J92" s="2791" t="s">
        <v>84</v>
      </c>
      <c r="M92" s="2791" t="s">
        <v>534</v>
      </c>
      <c r="N92" s="2792"/>
      <c r="O92" s="2793">
        <v>2396</v>
      </c>
      <c r="S92" s="2796" t="s">
        <v>558</v>
      </c>
      <c r="T92" s="2796" t="s">
        <v>6432</v>
      </c>
      <c r="U92" s="2796" t="s">
        <v>5115</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5689</v>
      </c>
      <c r="G93" s="2791" t="s">
        <v>564</v>
      </c>
      <c r="H93" s="2791"/>
      <c r="I93" s="2791">
        <v>2715</v>
      </c>
      <c r="J93" s="2791" t="s">
        <v>84</v>
      </c>
      <c r="M93" s="2791" t="s">
        <v>541</v>
      </c>
      <c r="N93" s="2792"/>
      <c r="O93" s="2793">
        <v>2401</v>
      </c>
      <c r="S93" s="2796" t="s">
        <v>569</v>
      </c>
      <c r="T93" s="2796" t="s">
        <v>6433</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5690</v>
      </c>
      <c r="G94" s="2791" t="s">
        <v>570</v>
      </c>
      <c r="H94" s="2791"/>
      <c r="I94" s="2791">
        <v>2801</v>
      </c>
      <c r="J94" s="2791" t="s">
        <v>84</v>
      </c>
      <c r="M94" s="2791" t="s">
        <v>546</v>
      </c>
      <c r="N94" s="2792"/>
      <c r="O94" s="2793">
        <v>2501</v>
      </c>
      <c r="S94" s="2796" t="s">
        <v>575</v>
      </c>
      <c r="T94" s="2796" t="s">
        <v>6434</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5691</v>
      </c>
      <c r="G95" s="2791" t="s">
        <v>541</v>
      </c>
      <c r="H95" s="2791"/>
      <c r="I95" s="2791">
        <v>2401</v>
      </c>
      <c r="J95" s="2791" t="s">
        <v>84</v>
      </c>
      <c r="M95" s="2791" t="s">
        <v>550</v>
      </c>
      <c r="N95" s="2792"/>
      <c r="O95" s="2793">
        <v>2502</v>
      </c>
      <c r="S95" s="2796" t="s">
        <v>579</v>
      </c>
      <c r="T95" s="2796" t="s">
        <v>580</v>
      </c>
      <c r="U95" s="2796" t="s">
        <v>5115</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5692</v>
      </c>
      <c r="G96" s="2791" t="s">
        <v>576</v>
      </c>
      <c r="H96" s="2791"/>
      <c r="I96" s="2791">
        <v>2901</v>
      </c>
      <c r="J96" s="2791" t="s">
        <v>84</v>
      </c>
      <c r="M96" s="2791" t="s">
        <v>588</v>
      </c>
      <c r="N96" s="2792" t="s">
        <v>331</v>
      </c>
      <c r="O96" s="2793">
        <v>2502.11</v>
      </c>
      <c r="S96" s="2796">
        <v>122104</v>
      </c>
      <c r="T96" s="2796" t="s">
        <v>5906</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5693</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5872</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5694</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5695</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5696</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5697</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5698</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5699</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5700</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5873</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5875</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5701</v>
      </c>
      <c r="G124" s="2791" t="s">
        <v>766</v>
      </c>
      <c r="H124" s="2791" t="s">
        <v>767</v>
      </c>
      <c r="I124" s="2791">
        <v>6401</v>
      </c>
      <c r="J124" s="2791" t="s">
        <v>84</v>
      </c>
      <c r="M124" s="2791" t="s">
        <v>711</v>
      </c>
      <c r="N124" s="2792"/>
      <c r="O124" s="2793">
        <v>6711</v>
      </c>
      <c r="S124" s="2796" t="s">
        <v>773</v>
      </c>
      <c r="T124" s="2796" t="s">
        <v>6435</v>
      </c>
      <c r="U124" s="2796" t="s">
        <v>6428</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5115</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5115</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5115</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5115</v>
      </c>
      <c r="V128" s="2796">
        <v>1</v>
      </c>
      <c r="W128" s="2796">
        <v>1505</v>
      </c>
      <c r="X128" s="2796">
        <v>2</v>
      </c>
      <c r="Y128" s="2793" t="s">
        <v>295</v>
      </c>
      <c r="Z128" s="2793">
        <v>79.09</v>
      </c>
      <c r="AA128" s="2793" t="s">
        <v>843</v>
      </c>
      <c r="AB128" s="2793">
        <v>7512</v>
      </c>
    </row>
    <row r="129" spans="2:28">
      <c r="B129" s="2791">
        <v>6505</v>
      </c>
      <c r="C129" s="2791" t="s">
        <v>5702</v>
      </c>
      <c r="D129" s="2791">
        <v>1</v>
      </c>
      <c r="E129" s="2791" t="s">
        <v>102</v>
      </c>
      <c r="F129" s="2791"/>
      <c r="G129" s="2791" t="s">
        <v>5702</v>
      </c>
      <c r="H129" s="2791" t="s">
        <v>5702</v>
      </c>
      <c r="I129" s="2791">
        <v>6505</v>
      </c>
      <c r="J129" s="2791" t="s">
        <v>84</v>
      </c>
      <c r="M129" s="2791" t="s">
        <v>858</v>
      </c>
      <c r="N129" s="2792"/>
      <c r="O129" s="2793">
        <v>6829.2190000000001</v>
      </c>
      <c r="S129" s="2796" t="s">
        <v>784</v>
      </c>
      <c r="T129" s="2796" t="s">
        <v>5959</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5703</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5704</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5705</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5706</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6619</v>
      </c>
      <c r="Z135" s="2793">
        <v>1000</v>
      </c>
      <c r="AA135" s="2793" t="s">
        <v>882</v>
      </c>
      <c r="AB135" s="2793">
        <v>9120</v>
      </c>
    </row>
    <row r="136" spans="2:28">
      <c r="B136" s="2791">
        <v>6603</v>
      </c>
      <c r="C136" s="2791" t="s">
        <v>689</v>
      </c>
      <c r="D136" s="2791">
        <v>1</v>
      </c>
      <c r="E136" s="2791"/>
      <c r="F136" s="2791" t="s">
        <v>5707</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5112</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5113</v>
      </c>
      <c r="AB138" s="2793">
        <v>9331</v>
      </c>
    </row>
    <row r="139" spans="2:28">
      <c r="B139" s="2791">
        <v>6181</v>
      </c>
      <c r="C139" s="2791" t="s">
        <v>665</v>
      </c>
      <c r="D139" s="2791">
        <v>-1</v>
      </c>
      <c r="E139" s="2791"/>
      <c r="F139" s="2791" t="s">
        <v>5708</v>
      </c>
      <c r="G139" s="2791" t="s">
        <v>2396</v>
      </c>
      <c r="H139" s="2791" t="s">
        <v>2396</v>
      </c>
      <c r="I139" s="2791">
        <v>6181</v>
      </c>
      <c r="J139" s="2791" t="s">
        <v>84</v>
      </c>
      <c r="M139" s="2791" t="s">
        <v>909</v>
      </c>
      <c r="N139" s="2792"/>
      <c r="O139" s="2793">
        <v>6829.2389999999996</v>
      </c>
      <c r="S139" s="2796" t="s">
        <v>859</v>
      </c>
      <c r="T139" s="2796" t="s">
        <v>6436</v>
      </c>
      <c r="U139" s="2796" t="s">
        <v>6428</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5709</v>
      </c>
      <c r="G140" s="2791" t="s">
        <v>820</v>
      </c>
      <c r="H140" s="2791" t="s">
        <v>820</v>
      </c>
      <c r="I140" s="2791">
        <v>6111</v>
      </c>
      <c r="J140" s="2791" t="s">
        <v>84</v>
      </c>
      <c r="M140" s="2791" t="s">
        <v>915</v>
      </c>
      <c r="N140" s="2792" t="s">
        <v>119</v>
      </c>
      <c r="O140" s="2793" t="s">
        <v>916</v>
      </c>
      <c r="S140" s="2796" t="s">
        <v>885</v>
      </c>
      <c r="T140" s="2796" t="s">
        <v>886</v>
      </c>
      <c r="U140" s="2796" t="s">
        <v>5115</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5710</v>
      </c>
      <c r="I141" s="2791">
        <v>6111.01</v>
      </c>
      <c r="J141" s="2791" t="s">
        <v>84</v>
      </c>
      <c r="M141" s="2791" t="s">
        <v>921</v>
      </c>
      <c r="N141" s="2792" t="s">
        <v>119</v>
      </c>
      <c r="O141" s="2793" t="s">
        <v>922</v>
      </c>
      <c r="S141" s="2796" t="s">
        <v>889</v>
      </c>
      <c r="T141" s="2796" t="s">
        <v>890</v>
      </c>
      <c r="U141" s="2796" t="s">
        <v>5115</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5115</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5115</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5958</v>
      </c>
      <c r="U144" s="2796" t="s">
        <v>3097</v>
      </c>
      <c r="V144" s="2796">
        <v>1</v>
      </c>
      <c r="W144" s="2796">
        <v>1508</v>
      </c>
      <c r="X144" s="2796">
        <v>2</v>
      </c>
      <c r="Y144" s="2793" t="s">
        <v>295</v>
      </c>
    </row>
    <row r="145" spans="2:25">
      <c r="B145" s="2791">
        <v>6101</v>
      </c>
      <c r="C145" s="2791" t="s">
        <v>643</v>
      </c>
      <c r="D145" s="2791">
        <v>-1</v>
      </c>
      <c r="E145" s="2791"/>
      <c r="F145" s="2791" t="s">
        <v>5711</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5712</v>
      </c>
      <c r="G147" s="2791" t="s">
        <v>812</v>
      </c>
      <c r="H147" s="2791" t="s">
        <v>812</v>
      </c>
      <c r="I147" s="2791">
        <v>6671</v>
      </c>
      <c r="J147" s="2791" t="s">
        <v>84</v>
      </c>
      <c r="M147" s="2791" t="s">
        <v>940</v>
      </c>
      <c r="N147" s="2792" t="s">
        <v>941</v>
      </c>
      <c r="O147" s="2793" t="s">
        <v>942</v>
      </c>
      <c r="S147" s="2796" t="s">
        <v>917</v>
      </c>
      <c r="T147" s="2796" t="s">
        <v>6437</v>
      </c>
      <c r="U147" s="2796" t="s">
        <v>47</v>
      </c>
      <c r="V147" s="2796">
        <v>1</v>
      </c>
      <c r="W147" s="2796">
        <v>1501</v>
      </c>
      <c r="X147" s="2796">
        <v>2</v>
      </c>
      <c r="Y147" s="2793" t="s">
        <v>295</v>
      </c>
    </row>
    <row r="148" spans="2:25">
      <c r="B148" s="2791">
        <v>6171</v>
      </c>
      <c r="C148" s="2791" t="s">
        <v>660</v>
      </c>
      <c r="D148" s="2791">
        <v>-1</v>
      </c>
      <c r="E148" s="2791"/>
      <c r="F148" s="2791" t="s">
        <v>5713</v>
      </c>
      <c r="G148" s="2791" t="s">
        <v>2405</v>
      </c>
      <c r="H148" s="2791" t="s">
        <v>2405</v>
      </c>
      <c r="I148" s="2791">
        <v>6171</v>
      </c>
      <c r="J148" s="2791" t="s">
        <v>84</v>
      </c>
      <c r="M148" s="2791" t="s">
        <v>943</v>
      </c>
      <c r="N148" s="2792" t="s">
        <v>941</v>
      </c>
      <c r="O148" s="2793" t="s">
        <v>944</v>
      </c>
      <c r="S148" s="2796" t="s">
        <v>5585</v>
      </c>
      <c r="T148" s="2796" t="s">
        <v>5586</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5714</v>
      </c>
      <c r="G150" s="2791" t="s">
        <v>839</v>
      </c>
      <c r="H150" s="2791" t="s">
        <v>839</v>
      </c>
      <c r="I150" s="2791">
        <v>6710</v>
      </c>
      <c r="J150" s="2791" t="s">
        <v>84</v>
      </c>
      <c r="M150" s="2791" t="s">
        <v>947</v>
      </c>
      <c r="N150" s="2792" t="s">
        <v>948</v>
      </c>
      <c r="O150" s="2793">
        <v>6829.5320000000002</v>
      </c>
      <c r="S150" s="2796" t="s">
        <v>5917</v>
      </c>
      <c r="T150" s="2796" t="s">
        <v>6438</v>
      </c>
      <c r="U150" s="2796" t="s">
        <v>6428</v>
      </c>
      <c r="V150" s="2796">
        <v>1</v>
      </c>
      <c r="W150" s="2796">
        <v>1531</v>
      </c>
      <c r="X150" s="2796">
        <v>2</v>
      </c>
      <c r="Y150" s="2793" t="s">
        <v>295</v>
      </c>
    </row>
    <row r="151" spans="2:25">
      <c r="B151" s="2791">
        <v>6711</v>
      </c>
      <c r="C151" s="2791" t="s">
        <v>711</v>
      </c>
      <c r="D151" s="2791">
        <v>1</v>
      </c>
      <c r="E151" s="2791"/>
      <c r="F151" s="2791" t="s">
        <v>5715</v>
      </c>
      <c r="G151" s="2791" t="s">
        <v>851</v>
      </c>
      <c r="H151" s="2791" t="s">
        <v>851</v>
      </c>
      <c r="I151" s="2791">
        <v>6711</v>
      </c>
      <c r="J151" s="2791" t="s">
        <v>84</v>
      </c>
      <c r="M151" s="2791" t="s">
        <v>950</v>
      </c>
      <c r="N151" s="2792" t="s">
        <v>948</v>
      </c>
      <c r="O151" s="2793">
        <v>6829.5330000000004</v>
      </c>
      <c r="S151" s="2796" t="s">
        <v>928</v>
      </c>
      <c r="T151" s="2796" t="s">
        <v>5951</v>
      </c>
      <c r="U151" s="2796" t="s">
        <v>5115</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5952</v>
      </c>
      <c r="U152" s="2796" t="s">
        <v>5115</v>
      </c>
      <c r="V152" s="2796">
        <v>1</v>
      </c>
      <c r="W152" s="2796">
        <v>1531</v>
      </c>
      <c r="X152" s="2796">
        <v>2</v>
      </c>
      <c r="Y152" s="2793" t="s">
        <v>295</v>
      </c>
    </row>
    <row r="153" spans="2:25">
      <c r="B153" s="2791">
        <v>6791</v>
      </c>
      <c r="C153" s="2791" t="s">
        <v>717</v>
      </c>
      <c r="D153" s="2791">
        <v>1</v>
      </c>
      <c r="E153" s="2791"/>
      <c r="F153" s="2791" t="s">
        <v>5716</v>
      </c>
      <c r="G153" s="2791" t="s">
        <v>867</v>
      </c>
      <c r="H153" s="2791" t="s">
        <v>867</v>
      </c>
      <c r="I153" s="2791">
        <v>6791</v>
      </c>
      <c r="J153" s="2791" t="s">
        <v>84</v>
      </c>
      <c r="M153" s="2791" t="s">
        <v>955</v>
      </c>
      <c r="N153" s="2792" t="s">
        <v>708</v>
      </c>
      <c r="O153" s="2793">
        <v>6829.5349999999999</v>
      </c>
      <c r="S153" s="2796" t="s">
        <v>934</v>
      </c>
      <c r="T153" s="2796" t="s">
        <v>5953</v>
      </c>
      <c r="U153" s="2796" t="s">
        <v>5115</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6439</v>
      </c>
      <c r="U154" s="2796" t="s">
        <v>5115</v>
      </c>
      <c r="V154" s="2796">
        <v>1</v>
      </c>
      <c r="W154" s="2796">
        <v>1531</v>
      </c>
      <c r="X154" s="2796">
        <v>2</v>
      </c>
      <c r="Y154" s="2793" t="s">
        <v>295</v>
      </c>
    </row>
    <row r="155" spans="2:25">
      <c r="B155" s="2791">
        <v>6835</v>
      </c>
      <c r="C155" s="2791" t="s">
        <v>2408</v>
      </c>
      <c r="D155" s="2791"/>
      <c r="E155" s="2791" t="s">
        <v>708</v>
      </c>
      <c r="F155" s="2791"/>
      <c r="G155" s="2791" t="s">
        <v>2409</v>
      </c>
      <c r="H155" s="2791" t="s">
        <v>5717</v>
      </c>
      <c r="I155" s="2791">
        <v>6835</v>
      </c>
      <c r="J155" s="2791"/>
      <c r="M155" s="2791" t="s">
        <v>964</v>
      </c>
      <c r="N155" s="2792" t="s">
        <v>708</v>
      </c>
      <c r="O155" s="2793">
        <v>6829.5370000000003</v>
      </c>
      <c r="S155" s="2796" t="s">
        <v>949</v>
      </c>
      <c r="T155" s="2796" t="s">
        <v>5954</v>
      </c>
      <c r="U155" s="2796" t="s">
        <v>6440</v>
      </c>
      <c r="V155" s="2796">
        <v>1</v>
      </c>
      <c r="W155" s="2796">
        <v>1531</v>
      </c>
      <c r="X155" s="2796">
        <v>2</v>
      </c>
      <c r="Y155" s="2793" t="s">
        <v>295</v>
      </c>
    </row>
    <row r="156" spans="2:25">
      <c r="B156" s="2791">
        <v>6816</v>
      </c>
      <c r="C156" s="2791" t="s">
        <v>2401</v>
      </c>
      <c r="D156" s="2791">
        <v>1</v>
      </c>
      <c r="E156" s="2791"/>
      <c r="F156" s="2791"/>
      <c r="G156" s="2791" t="s">
        <v>2402</v>
      </c>
      <c r="H156" s="2791" t="s">
        <v>5718</v>
      </c>
      <c r="I156" s="2791">
        <v>6816</v>
      </c>
      <c r="J156" s="2791"/>
      <c r="M156" s="2791" t="s">
        <v>968</v>
      </c>
      <c r="N156" s="2792" t="s">
        <v>708</v>
      </c>
      <c r="O156" s="2793">
        <v>6829.5389999999998</v>
      </c>
      <c r="S156" s="2796" t="s">
        <v>939</v>
      </c>
      <c r="T156" s="2796" t="s">
        <v>5955</v>
      </c>
      <c r="U156" s="2796" t="s">
        <v>6418</v>
      </c>
      <c r="V156" s="2796">
        <v>1</v>
      </c>
      <c r="W156" s="2796">
        <v>1531</v>
      </c>
      <c r="X156" s="2796">
        <v>2</v>
      </c>
      <c r="Y156" s="2793" t="s">
        <v>295</v>
      </c>
    </row>
    <row r="157" spans="2:25">
      <c r="B157" s="2791">
        <v>6817</v>
      </c>
      <c r="C157" s="2791" t="s">
        <v>2403</v>
      </c>
      <c r="D157" s="2791">
        <v>1</v>
      </c>
      <c r="E157" s="2791"/>
      <c r="F157" s="2791"/>
      <c r="G157" s="2791" t="s">
        <v>2404</v>
      </c>
      <c r="H157" s="2791" t="s">
        <v>5719</v>
      </c>
      <c r="I157" s="2791">
        <v>6817</v>
      </c>
      <c r="J157" s="2791"/>
      <c r="M157" s="2791" t="s">
        <v>971</v>
      </c>
      <c r="N157" s="2792" t="s">
        <v>941</v>
      </c>
      <c r="O157" s="2793" t="s">
        <v>972</v>
      </c>
      <c r="S157" s="2796" t="s">
        <v>954</v>
      </c>
      <c r="T157" s="2796" t="s">
        <v>5956</v>
      </c>
      <c r="U157" s="2796" t="s">
        <v>5115</v>
      </c>
      <c r="V157" s="2796">
        <v>1</v>
      </c>
      <c r="W157" s="2796">
        <v>1531</v>
      </c>
      <c r="X157" s="2796">
        <v>2</v>
      </c>
      <c r="Y157" s="2793" t="s">
        <v>295</v>
      </c>
    </row>
    <row r="158" spans="2:25">
      <c r="B158" s="2791">
        <v>6830</v>
      </c>
      <c r="C158" s="2791" t="s">
        <v>2406</v>
      </c>
      <c r="D158" s="2791"/>
      <c r="E158" s="2791" t="s">
        <v>708</v>
      </c>
      <c r="F158" s="2791"/>
      <c r="G158" s="2791" t="s">
        <v>2407</v>
      </c>
      <c r="H158" s="2791" t="s">
        <v>5720</v>
      </c>
      <c r="I158" s="2791">
        <v>6830</v>
      </c>
      <c r="J158" s="2791"/>
      <c r="M158" s="2791" t="s">
        <v>975</v>
      </c>
      <c r="N158" s="2792" t="s">
        <v>941</v>
      </c>
      <c r="O158" s="2793" t="s">
        <v>976</v>
      </c>
      <c r="S158" s="2796" t="s">
        <v>951</v>
      </c>
      <c r="T158" s="2796" t="s">
        <v>5957</v>
      </c>
      <c r="U158" s="2796" t="s">
        <v>2862</v>
      </c>
      <c r="V158" s="2796">
        <v>1</v>
      </c>
      <c r="W158" s="2796">
        <v>1531</v>
      </c>
      <c r="X158" s="2796">
        <v>2</v>
      </c>
      <c r="Y158" s="2793" t="s">
        <v>295</v>
      </c>
    </row>
    <row r="159" spans="2:25">
      <c r="B159" s="2791">
        <v>6811</v>
      </c>
      <c r="C159" s="2791" t="s">
        <v>883</v>
      </c>
      <c r="D159" s="2791">
        <v>-1</v>
      </c>
      <c r="E159" s="2791" t="s">
        <v>708</v>
      </c>
      <c r="F159" s="2791"/>
      <c r="G159" s="2791" t="s">
        <v>5877</v>
      </c>
      <c r="H159" s="2791" t="s">
        <v>5721</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5722</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6441</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5723</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5724</v>
      </c>
      <c r="I163" s="2791">
        <v>6829.21</v>
      </c>
      <c r="J163" s="2791"/>
      <c r="M163" s="2791" t="s">
        <v>1005</v>
      </c>
      <c r="N163" s="2792"/>
      <c r="O163" s="2793">
        <v>8103</v>
      </c>
      <c r="S163" s="2796" t="s">
        <v>5619</v>
      </c>
      <c r="T163" s="2796" t="s">
        <v>5621</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5620</v>
      </c>
      <c r="T164" s="2796" t="s">
        <v>5622</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6442</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5725</v>
      </c>
      <c r="I169" s="2791">
        <v>6829.23</v>
      </c>
      <c r="J169" s="2791"/>
      <c r="M169" s="2791" t="s">
        <v>1033</v>
      </c>
      <c r="N169" s="2792"/>
      <c r="O169" s="2793">
        <v>8151</v>
      </c>
      <c r="S169" s="2796" t="s">
        <v>5615</v>
      </c>
      <c r="T169" s="2796" t="s">
        <v>5617</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5616</v>
      </c>
      <c r="T170" s="2796" t="s">
        <v>5618</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5114</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5743</v>
      </c>
      <c r="I182" s="2791">
        <v>6829.5</v>
      </c>
      <c r="J182" s="2791"/>
      <c r="M182" s="2791" t="s">
        <v>1104</v>
      </c>
      <c r="N182" s="2792" t="s">
        <v>119</v>
      </c>
      <c r="O182" s="2793">
        <v>8177</v>
      </c>
      <c r="S182" s="2796" t="s">
        <v>1156</v>
      </c>
      <c r="T182" s="2796" t="s">
        <v>1157</v>
      </c>
      <c r="U182" s="2796" t="s">
        <v>5114</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6443</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6444</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6445</v>
      </c>
      <c r="U191" s="2796" t="s">
        <v>47</v>
      </c>
      <c r="V191" s="2796">
        <v>1</v>
      </c>
      <c r="W191" s="2796">
        <v>1604</v>
      </c>
      <c r="X191" s="2796">
        <v>2</v>
      </c>
      <c r="Y191" s="2793" t="s">
        <v>6619</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5354</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6051</v>
      </c>
      <c r="T199" s="2796" t="s">
        <v>6053</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6052</v>
      </c>
      <c r="T200" s="2796" t="s">
        <v>6054</v>
      </c>
      <c r="U200" s="2796" t="s">
        <v>47</v>
      </c>
      <c r="V200" s="2796">
        <v>1</v>
      </c>
      <c r="W200" s="2796">
        <v>1701</v>
      </c>
      <c r="X200" s="2796">
        <v>2</v>
      </c>
      <c r="Y200" s="2793" t="s">
        <v>295</v>
      </c>
    </row>
    <row r="201" spans="2:25">
      <c r="B201" s="2791">
        <v>6841</v>
      </c>
      <c r="C201" s="2791" t="s">
        <v>967</v>
      </c>
      <c r="D201" s="2791">
        <v>-1</v>
      </c>
      <c r="E201" s="2791" t="s">
        <v>708</v>
      </c>
      <c r="F201" s="2791"/>
      <c r="G201" s="2791" t="s">
        <v>5744</v>
      </c>
      <c r="H201" s="2791" t="s">
        <v>5745</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5746</v>
      </c>
      <c r="H202" s="2791" t="s">
        <v>5746</v>
      </c>
      <c r="I202" s="2791">
        <v>6842</v>
      </c>
      <c r="J202" s="2791"/>
      <c r="M202" s="2791" t="s">
        <v>1185</v>
      </c>
      <c r="N202" s="2792"/>
      <c r="O202" s="2793">
        <v>8271</v>
      </c>
      <c r="S202" s="2796" t="s">
        <v>6064</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5726</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5727</v>
      </c>
      <c r="H204" s="2791" t="s">
        <v>5728</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5729</v>
      </c>
      <c r="H205" s="2791" t="s">
        <v>5730</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4921</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5731</v>
      </c>
      <c r="D213" s="2791">
        <v>1</v>
      </c>
      <c r="E213" s="2791" t="s">
        <v>102</v>
      </c>
      <c r="F213" s="2791"/>
      <c r="G213" s="2791" t="s">
        <v>5731</v>
      </c>
      <c r="H213" s="2791" t="s">
        <v>5731</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5732</v>
      </c>
      <c r="H215" s="2791" t="s">
        <v>5732</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5733</v>
      </c>
      <c r="D218" s="2791">
        <v>1</v>
      </c>
      <c r="E218" s="2791" t="s">
        <v>102</v>
      </c>
      <c r="F218" s="2791"/>
      <c r="G218" s="2791" t="s">
        <v>5733</v>
      </c>
      <c r="H218" s="2791" t="s">
        <v>5733</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5734</v>
      </c>
      <c r="D226" s="2791">
        <v>-1</v>
      </c>
      <c r="E226" s="2791" t="s">
        <v>102</v>
      </c>
      <c r="F226" s="2791"/>
      <c r="G226" s="2791" t="s">
        <v>5734</v>
      </c>
      <c r="H226" s="2791" t="s">
        <v>5734</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5735</v>
      </c>
      <c r="H227" s="2791" t="s">
        <v>5735</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4918</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5742</v>
      </c>
      <c r="H241" s="2791" t="s">
        <v>5742</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6446</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6446</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4915</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6447</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6448</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6449</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6450</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6451</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6452</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5587</v>
      </c>
      <c r="T273" s="2796" t="s">
        <v>5588</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6453</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6454</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6610</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6610</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5747</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6167</v>
      </c>
      <c r="T320" s="2796" t="s">
        <v>6168</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6636</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6637</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6455</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5694</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6610</v>
      </c>
    </row>
    <row r="328" spans="2:25">
      <c r="B328" s="2791">
        <v>8102</v>
      </c>
      <c r="C328" s="2791" t="s">
        <v>998</v>
      </c>
      <c r="D328" s="2791">
        <v>-1</v>
      </c>
      <c r="E328" s="2791" t="s">
        <v>999</v>
      </c>
      <c r="F328" s="2791" t="s">
        <v>5694</v>
      </c>
      <c r="G328" s="2791" t="s">
        <v>991</v>
      </c>
      <c r="H328" s="2791"/>
      <c r="I328" s="2791">
        <v>8102</v>
      </c>
      <c r="J328" s="2791" t="s">
        <v>84</v>
      </c>
      <c r="M328" s="2792" t="s">
        <v>1809</v>
      </c>
      <c r="N328" s="2792"/>
      <c r="O328" s="2793">
        <v>8776</v>
      </c>
      <c r="S328" s="2796" t="s">
        <v>6089</v>
      </c>
      <c r="T328" s="2796" t="s">
        <v>6090</v>
      </c>
      <c r="U328" s="2796" t="s">
        <v>1878</v>
      </c>
      <c r="V328" s="2796">
        <v>1</v>
      </c>
      <c r="W328" s="2796">
        <v>6101</v>
      </c>
      <c r="X328" s="2796">
        <v>1</v>
      </c>
      <c r="Y328" s="2793" t="s">
        <v>295</v>
      </c>
    </row>
    <row r="329" spans="2:25">
      <c r="B329" s="2791">
        <v>8103</v>
      </c>
      <c r="C329" s="2791" t="s">
        <v>1005</v>
      </c>
      <c r="D329" s="2791">
        <v>-1</v>
      </c>
      <c r="E329" s="2791"/>
      <c r="F329" s="2791" t="s">
        <v>5694</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5694</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5694</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5694</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5694</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5694</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5694</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5694</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5694</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5694</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5694</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6456</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6147</v>
      </c>
      <c r="T392" s="2796" t="s">
        <v>6148</v>
      </c>
      <c r="U392" s="2796" t="s">
        <v>47</v>
      </c>
      <c r="V392" s="2796">
        <v>-2</v>
      </c>
      <c r="W392" s="2796"/>
      <c r="X392" s="2796">
        <v>2</v>
      </c>
      <c r="Y392" s="2793" t="s">
        <v>6632</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6101</v>
      </c>
      <c r="T412" s="2796" t="s">
        <v>6100</v>
      </c>
      <c r="U412" s="2796" t="s">
        <v>47</v>
      </c>
      <c r="V412" s="2796">
        <v>-2</v>
      </c>
      <c r="W412" s="2796"/>
      <c r="X412" s="2796">
        <v>2</v>
      </c>
      <c r="Y412" s="2793" t="s">
        <v>6617</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5116</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5117</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5118</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5119</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5696</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5696</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5696</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5696</v>
      </c>
      <c r="G486" s="2791" t="s">
        <v>1004</v>
      </c>
      <c r="H486" s="2791"/>
      <c r="I486" s="2791">
        <v>8204</v>
      </c>
      <c r="J486" s="2791" t="s">
        <v>84</v>
      </c>
    </row>
    <row r="487" spans="2:25">
      <c r="B487" s="2791">
        <v>8209</v>
      </c>
      <c r="C487" s="2791" t="s">
        <v>1145</v>
      </c>
      <c r="D487" s="2791">
        <v>-1</v>
      </c>
      <c r="E487" s="2791"/>
      <c r="F487" s="2791" t="s">
        <v>5696</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5696</v>
      </c>
      <c r="G492" s="2791" t="s">
        <v>1182</v>
      </c>
      <c r="H492" s="2791"/>
      <c r="I492" s="2791">
        <v>8251</v>
      </c>
      <c r="J492" s="2791" t="s">
        <v>84</v>
      </c>
    </row>
    <row r="493" spans="2:25">
      <c r="B493" s="2791">
        <v>8252</v>
      </c>
      <c r="C493" s="2791" t="s">
        <v>1161</v>
      </c>
      <c r="D493" s="2791">
        <v>-1</v>
      </c>
      <c r="E493" s="2791"/>
      <c r="F493" s="2791" t="s">
        <v>5696</v>
      </c>
      <c r="G493" s="2791" t="s">
        <v>1055</v>
      </c>
      <c r="H493" s="2791"/>
      <c r="I493" s="2791">
        <v>8252</v>
      </c>
      <c r="J493" s="2791" t="s">
        <v>84</v>
      </c>
    </row>
    <row r="494" spans="2:25">
      <c r="B494" s="2791">
        <v>8253</v>
      </c>
      <c r="C494" s="2791" t="s">
        <v>1164</v>
      </c>
      <c r="D494" s="2791">
        <v>-1</v>
      </c>
      <c r="E494" s="2791" t="s">
        <v>331</v>
      </c>
      <c r="F494" s="2791" t="s">
        <v>5696</v>
      </c>
      <c r="G494" s="2791" t="s">
        <v>1049</v>
      </c>
      <c r="H494" s="2791"/>
      <c r="I494" s="2791">
        <v>8253</v>
      </c>
      <c r="J494" s="2791" t="s">
        <v>84</v>
      </c>
    </row>
    <row r="495" spans="2:25">
      <c r="B495" s="2791">
        <v>8256</v>
      </c>
      <c r="C495" s="2791" t="s">
        <v>1169</v>
      </c>
      <c r="D495" s="2791">
        <v>-1</v>
      </c>
      <c r="E495" s="2791"/>
      <c r="F495" s="2791" t="s">
        <v>5696</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5696</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5696</v>
      </c>
      <c r="G499" s="2791" t="s">
        <v>1095</v>
      </c>
      <c r="H499" s="2791"/>
      <c r="I499" s="2791">
        <v>8271</v>
      </c>
      <c r="J499" s="2791" t="s">
        <v>84</v>
      </c>
    </row>
    <row r="500" spans="2:10">
      <c r="B500" s="2791">
        <v>8275</v>
      </c>
      <c r="C500" s="2791" t="s">
        <v>1195</v>
      </c>
      <c r="D500" s="2791">
        <v>-1</v>
      </c>
      <c r="E500" s="2791" t="s">
        <v>331</v>
      </c>
      <c r="F500" s="2791" t="s">
        <v>5696</v>
      </c>
      <c r="G500" s="2791" t="s">
        <v>1114</v>
      </c>
      <c r="H500" s="2791"/>
      <c r="I500" s="2791">
        <v>8275</v>
      </c>
      <c r="J500" s="2791" t="s">
        <v>84</v>
      </c>
    </row>
    <row r="501" spans="2:10">
      <c r="B501" s="2791">
        <v>8276</v>
      </c>
      <c r="C501" s="2791" t="s">
        <v>1197</v>
      </c>
      <c r="D501" s="2791">
        <v>-1</v>
      </c>
      <c r="E501" s="2791" t="s">
        <v>999</v>
      </c>
      <c r="F501" s="2791" t="s">
        <v>5696</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5696</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5697</v>
      </c>
      <c r="G514" s="2791" t="s">
        <v>985</v>
      </c>
      <c r="H514" s="2791"/>
      <c r="I514" s="2791">
        <v>8301</v>
      </c>
      <c r="J514" s="2791" t="s">
        <v>84</v>
      </c>
    </row>
    <row r="515" spans="2:10">
      <c r="B515" s="2791">
        <v>8302</v>
      </c>
      <c r="C515" s="2791" t="s">
        <v>1222</v>
      </c>
      <c r="D515" s="2791">
        <v>1</v>
      </c>
      <c r="E515" s="2791"/>
      <c r="F515" s="2791" t="s">
        <v>5697</v>
      </c>
      <c r="G515" s="2791" t="s">
        <v>991</v>
      </c>
      <c r="H515" s="2791"/>
      <c r="I515" s="2791">
        <v>8302</v>
      </c>
      <c r="J515" s="2791" t="s">
        <v>84</v>
      </c>
    </row>
    <row r="516" spans="2:10">
      <c r="B516" s="2791">
        <v>8303</v>
      </c>
      <c r="C516" s="2791" t="s">
        <v>1227</v>
      </c>
      <c r="D516" s="2791">
        <v>1</v>
      </c>
      <c r="E516" s="2791"/>
      <c r="F516" s="2791" t="s">
        <v>5697</v>
      </c>
      <c r="G516" s="2791" t="s">
        <v>997</v>
      </c>
      <c r="H516" s="2791"/>
      <c r="I516" s="2791">
        <v>8303</v>
      </c>
      <c r="J516" s="2791" t="s">
        <v>84</v>
      </c>
    </row>
    <row r="517" spans="2:10">
      <c r="B517" s="2791">
        <v>8304</v>
      </c>
      <c r="C517" s="2791" t="s">
        <v>1232</v>
      </c>
      <c r="D517" s="2791">
        <v>1</v>
      </c>
      <c r="E517" s="2791" t="s">
        <v>708</v>
      </c>
      <c r="F517" s="2791" t="s">
        <v>5697</v>
      </c>
      <c r="G517" s="2791" t="s">
        <v>1004</v>
      </c>
      <c r="H517" s="2791"/>
      <c r="I517" s="2791">
        <v>8304</v>
      </c>
      <c r="J517" s="2791" t="s">
        <v>84</v>
      </c>
    </row>
    <row r="518" spans="2:10">
      <c r="B518" s="2791">
        <v>8309</v>
      </c>
      <c r="C518" s="2791" t="s">
        <v>1239</v>
      </c>
      <c r="D518" s="2791">
        <v>1</v>
      </c>
      <c r="E518" s="2791" t="s">
        <v>999</v>
      </c>
      <c r="F518" s="2791" t="s">
        <v>5697</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5697</v>
      </c>
      <c r="G522" s="2791" t="s">
        <v>1182</v>
      </c>
      <c r="H522" s="2791"/>
      <c r="I522" s="2791">
        <v>8351</v>
      </c>
      <c r="J522" s="2791" t="s">
        <v>84</v>
      </c>
    </row>
    <row r="523" spans="2:10">
      <c r="B523" s="2791">
        <v>8352</v>
      </c>
      <c r="C523" s="2791" t="s">
        <v>1263</v>
      </c>
      <c r="D523" s="2791">
        <v>1</v>
      </c>
      <c r="E523" s="2791" t="s">
        <v>999</v>
      </c>
      <c r="F523" s="2791" t="s">
        <v>5697</v>
      </c>
      <c r="G523" s="2791" t="s">
        <v>1055</v>
      </c>
      <c r="H523" s="2791"/>
      <c r="I523" s="2791">
        <v>8352</v>
      </c>
      <c r="J523" s="2791" t="s">
        <v>84</v>
      </c>
    </row>
    <row r="524" spans="2:10">
      <c r="B524" s="2791">
        <v>8353</v>
      </c>
      <c r="C524" s="2791" t="s">
        <v>1268</v>
      </c>
      <c r="D524" s="2791">
        <v>1</v>
      </c>
      <c r="E524" s="2791" t="s">
        <v>331</v>
      </c>
      <c r="F524" s="2791" t="s">
        <v>5697</v>
      </c>
      <c r="G524" s="2791" t="s">
        <v>1049</v>
      </c>
      <c r="H524" s="2791"/>
      <c r="I524" s="2791">
        <v>8353</v>
      </c>
      <c r="J524" s="2791" t="s">
        <v>84</v>
      </c>
    </row>
    <row r="525" spans="2:10">
      <c r="B525" s="2791">
        <v>8356</v>
      </c>
      <c r="C525" s="2791" t="s">
        <v>1273</v>
      </c>
      <c r="D525" s="2791">
        <v>1</v>
      </c>
      <c r="E525" s="2791" t="s">
        <v>999</v>
      </c>
      <c r="F525" s="2791" t="s">
        <v>5697</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5697</v>
      </c>
      <c r="G527" s="2791" t="s">
        <v>1081</v>
      </c>
      <c r="H527" s="2791"/>
      <c r="I527" s="2791">
        <v>8363</v>
      </c>
      <c r="J527" s="2791" t="s">
        <v>84</v>
      </c>
    </row>
    <row r="528" spans="2:10">
      <c r="B528" s="2791">
        <v>8366</v>
      </c>
      <c r="C528" s="2791" t="s">
        <v>1293</v>
      </c>
      <c r="D528" s="2791">
        <v>1</v>
      </c>
      <c r="E528" s="2791" t="s">
        <v>999</v>
      </c>
      <c r="F528" s="2791" t="s">
        <v>5697</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5697</v>
      </c>
      <c r="G530" s="2791" t="s">
        <v>1114</v>
      </c>
      <c r="H530" s="2791"/>
      <c r="I530" s="2791">
        <v>8375</v>
      </c>
      <c r="J530" s="2791" t="s">
        <v>84</v>
      </c>
    </row>
    <row r="531" spans="2:10">
      <c r="B531" s="2791">
        <v>8376</v>
      </c>
      <c r="C531" s="2791" t="s">
        <v>1320</v>
      </c>
      <c r="D531" s="2791">
        <v>1</v>
      </c>
      <c r="E531" s="2791"/>
      <c r="F531" s="2791" t="s">
        <v>5697</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5697</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5699</v>
      </c>
      <c r="G545" s="2791" t="s">
        <v>985</v>
      </c>
      <c r="H545" s="2791"/>
      <c r="I545" s="2791">
        <v>8401</v>
      </c>
      <c r="J545" s="2791" t="s">
        <v>84</v>
      </c>
    </row>
    <row r="546" spans="2:10">
      <c r="B546" s="2791">
        <v>8402</v>
      </c>
      <c r="C546" s="2791" t="s">
        <v>1350</v>
      </c>
      <c r="D546" s="2791">
        <v>-1</v>
      </c>
      <c r="E546" s="2791"/>
      <c r="F546" s="2791" t="s">
        <v>5699</v>
      </c>
      <c r="G546" s="2791" t="s">
        <v>991</v>
      </c>
      <c r="H546" s="2791"/>
      <c r="I546" s="2791">
        <v>8402</v>
      </c>
      <c r="J546" s="2791" t="s">
        <v>84</v>
      </c>
    </row>
    <row r="547" spans="2:10">
      <c r="B547" s="2791">
        <v>8403</v>
      </c>
      <c r="C547" s="2791" t="s">
        <v>1356</v>
      </c>
      <c r="D547" s="2791">
        <v>-1</v>
      </c>
      <c r="E547" s="2791"/>
      <c r="F547" s="2791" t="s">
        <v>5699</v>
      </c>
      <c r="G547" s="2791" t="s">
        <v>997</v>
      </c>
      <c r="H547" s="2791"/>
      <c r="I547" s="2791">
        <v>8403</v>
      </c>
      <c r="J547" s="2791" t="s">
        <v>84</v>
      </c>
    </row>
    <row r="548" spans="2:10">
      <c r="B548" s="2791">
        <v>8404</v>
      </c>
      <c r="C548" s="2791" t="s">
        <v>1362</v>
      </c>
      <c r="D548" s="2791">
        <v>-1</v>
      </c>
      <c r="E548" s="2791" t="s">
        <v>708</v>
      </c>
      <c r="F548" s="2791" t="s">
        <v>5699</v>
      </c>
      <c r="G548" s="2791" t="s">
        <v>1004</v>
      </c>
      <c r="H548" s="2791"/>
      <c r="I548" s="2791">
        <v>8404</v>
      </c>
      <c r="J548" s="2791" t="s">
        <v>84</v>
      </c>
    </row>
    <row r="549" spans="2:10">
      <c r="B549" s="2791">
        <v>8409</v>
      </c>
      <c r="C549" s="2791" t="s">
        <v>1368</v>
      </c>
      <c r="D549" s="2791">
        <v>-1</v>
      </c>
      <c r="E549" s="2791" t="s">
        <v>999</v>
      </c>
      <c r="F549" s="2791" t="s">
        <v>5699</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5699</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5699</v>
      </c>
      <c r="G554" s="2791" t="s">
        <v>1114</v>
      </c>
      <c r="H554" s="2791"/>
      <c r="I554" s="2791">
        <v>8475</v>
      </c>
      <c r="J554" s="2791" t="s">
        <v>84</v>
      </c>
    </row>
    <row r="555" spans="2:10">
      <c r="B555" s="2791">
        <v>8476</v>
      </c>
      <c r="C555" s="2791" t="s">
        <v>1452</v>
      </c>
      <c r="D555" s="2791">
        <v>-1</v>
      </c>
      <c r="E555" s="2791" t="s">
        <v>999</v>
      </c>
      <c r="F555" s="2791" t="s">
        <v>5699</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5699</v>
      </c>
      <c r="G558" s="2791" t="s">
        <v>1129</v>
      </c>
      <c r="H558" s="2791"/>
      <c r="I558" s="2791">
        <v>8481</v>
      </c>
      <c r="J558" s="2791" t="s">
        <v>84</v>
      </c>
    </row>
    <row r="559" spans="2:10">
      <c r="B559" s="2791">
        <v>8482</v>
      </c>
      <c r="C559" s="2791" t="s">
        <v>1468</v>
      </c>
      <c r="D559" s="2791">
        <v>-1</v>
      </c>
      <c r="E559" s="2791"/>
      <c r="F559" s="2791" t="s">
        <v>5699</v>
      </c>
      <c r="G559" s="2791" t="s">
        <v>1355</v>
      </c>
      <c r="H559" s="2791"/>
      <c r="I559" s="2791">
        <v>8482</v>
      </c>
      <c r="J559" s="2791" t="s">
        <v>84</v>
      </c>
    </row>
    <row r="560" spans="2:10">
      <c r="B560" s="2791">
        <v>8496</v>
      </c>
      <c r="C560" s="2791" t="s">
        <v>1473</v>
      </c>
      <c r="D560" s="2791">
        <v>-1</v>
      </c>
      <c r="E560" s="2791" t="s">
        <v>999</v>
      </c>
      <c r="F560" s="2791" t="s">
        <v>5699</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5700</v>
      </c>
      <c r="G638" s="2791" t="s">
        <v>985</v>
      </c>
      <c r="H638" s="2791"/>
      <c r="I638" s="2803">
        <v>8701</v>
      </c>
      <c r="J638" s="2791" t="s">
        <v>84</v>
      </c>
    </row>
    <row r="639" spans="2:10" ht="12.75">
      <c r="B639" s="2803">
        <v>8702</v>
      </c>
      <c r="C639" s="2791" t="s">
        <v>1730</v>
      </c>
      <c r="D639" s="2791">
        <v>-1</v>
      </c>
      <c r="E639" s="2791"/>
      <c r="F639" s="2791" t="s">
        <v>5700</v>
      </c>
      <c r="G639" s="2791" t="s">
        <v>991</v>
      </c>
      <c r="H639" s="2791"/>
      <c r="I639" s="2803">
        <v>8702</v>
      </c>
      <c r="J639" s="2791" t="s">
        <v>84</v>
      </c>
    </row>
    <row r="640" spans="2:10" ht="12.75">
      <c r="B640" s="2803">
        <v>8703</v>
      </c>
      <c r="C640" s="2791" t="s">
        <v>1735</v>
      </c>
      <c r="D640" s="2791">
        <v>-1</v>
      </c>
      <c r="E640" s="2791"/>
      <c r="F640" s="2791" t="s">
        <v>5700</v>
      </c>
      <c r="G640" s="2791" t="s">
        <v>997</v>
      </c>
      <c r="H640" s="2791"/>
      <c r="I640" s="2803">
        <v>8703</v>
      </c>
      <c r="J640" s="2791" t="s">
        <v>84</v>
      </c>
    </row>
    <row r="641" spans="2:10" ht="12.75">
      <c r="B641" s="2803">
        <v>8704</v>
      </c>
      <c r="C641" s="2791" t="s">
        <v>1740</v>
      </c>
      <c r="D641" s="2791">
        <v>-1</v>
      </c>
      <c r="E641" s="2791" t="s">
        <v>708</v>
      </c>
      <c r="F641" s="2791" t="s">
        <v>5700</v>
      </c>
      <c r="G641" s="2791" t="s">
        <v>1004</v>
      </c>
      <c r="H641" s="2791"/>
      <c r="I641" s="2803">
        <v>8704</v>
      </c>
      <c r="J641" s="2791" t="s">
        <v>84</v>
      </c>
    </row>
    <row r="642" spans="2:10" ht="12.75">
      <c r="B642" s="2803">
        <v>8709</v>
      </c>
      <c r="C642" s="2791" t="s">
        <v>1745</v>
      </c>
      <c r="D642" s="2791">
        <v>-1</v>
      </c>
      <c r="E642" s="2791"/>
      <c r="F642" s="2791" t="s">
        <v>5700</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5700</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5700</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5700</v>
      </c>
      <c r="G650" s="2791" t="s">
        <v>1071</v>
      </c>
      <c r="H650" s="2791"/>
      <c r="I650" s="2791">
        <v>8761</v>
      </c>
      <c r="J650" s="2791" t="s">
        <v>84</v>
      </c>
    </row>
    <row r="651" spans="2:10">
      <c r="B651" s="2791">
        <v>8762</v>
      </c>
      <c r="C651" s="2792" t="s">
        <v>1773</v>
      </c>
      <c r="D651" s="2791">
        <v>-1</v>
      </c>
      <c r="E651" s="2791"/>
      <c r="F651" s="2791" t="s">
        <v>5700</v>
      </c>
      <c r="G651" s="2791" t="s">
        <v>1076</v>
      </c>
      <c r="H651" s="2791"/>
      <c r="I651" s="2791">
        <v>8762</v>
      </c>
      <c r="J651" s="2791" t="s">
        <v>84</v>
      </c>
    </row>
    <row r="652" spans="2:10">
      <c r="B652" s="2791">
        <v>8763</v>
      </c>
      <c r="C652" s="2792" t="s">
        <v>1779</v>
      </c>
      <c r="D652" s="2791">
        <v>-1</v>
      </c>
      <c r="E652" s="2791"/>
      <c r="F652" s="2791" t="s">
        <v>5700</v>
      </c>
      <c r="G652" s="2791" t="s">
        <v>1081</v>
      </c>
      <c r="H652" s="2791"/>
      <c r="I652" s="2791">
        <v>8763</v>
      </c>
      <c r="J652" s="2791" t="s">
        <v>84</v>
      </c>
    </row>
    <row r="653" spans="2:10">
      <c r="B653" s="2791">
        <v>8766</v>
      </c>
      <c r="C653" s="2792" t="s">
        <v>1784</v>
      </c>
      <c r="D653" s="2791">
        <v>-1</v>
      </c>
      <c r="E653" s="2791"/>
      <c r="F653" s="2791" t="s">
        <v>5700</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5700</v>
      </c>
      <c r="G655" s="2791" t="s">
        <v>1109</v>
      </c>
      <c r="H655" s="2791"/>
      <c r="I655" s="2791">
        <v>8773</v>
      </c>
      <c r="J655" s="2791" t="s">
        <v>84</v>
      </c>
    </row>
    <row r="656" spans="2:10">
      <c r="B656" s="2791">
        <v>8775</v>
      </c>
      <c r="C656" s="2791" t="s">
        <v>1804</v>
      </c>
      <c r="D656" s="2791">
        <v>-1</v>
      </c>
      <c r="E656" s="2791" t="s">
        <v>331</v>
      </c>
      <c r="F656" s="2791" t="s">
        <v>5700</v>
      </c>
      <c r="G656" s="2791" t="s">
        <v>1114</v>
      </c>
      <c r="H656" s="2791"/>
      <c r="I656" s="2791">
        <v>8775</v>
      </c>
      <c r="J656" s="2791" t="s">
        <v>84</v>
      </c>
    </row>
    <row r="657" spans="2:10">
      <c r="B657" s="2791">
        <v>8776</v>
      </c>
      <c r="C657" s="2791" t="s">
        <v>1809</v>
      </c>
      <c r="D657" s="2791">
        <v>-1</v>
      </c>
      <c r="E657" s="2791"/>
      <c r="F657" s="2791" t="s">
        <v>5700</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5700</v>
      </c>
      <c r="G660" s="2791" t="s">
        <v>1129</v>
      </c>
      <c r="H660" s="2791"/>
      <c r="I660" s="2791">
        <v>8781</v>
      </c>
      <c r="J660" s="2791" t="s">
        <v>84</v>
      </c>
    </row>
    <row r="661" spans="2:10">
      <c r="B661" s="2791">
        <v>8782</v>
      </c>
      <c r="C661" s="2791" t="s">
        <v>1823</v>
      </c>
      <c r="D661" s="2791">
        <v>-1</v>
      </c>
      <c r="E661" s="2791" t="s">
        <v>999</v>
      </c>
      <c r="F661" s="2791" t="s">
        <v>5700</v>
      </c>
      <c r="G661" s="2791" t="s">
        <v>1355</v>
      </c>
      <c r="H661" s="2791"/>
      <c r="I661" s="2791">
        <v>8782</v>
      </c>
      <c r="J661" s="2791" t="s">
        <v>84</v>
      </c>
    </row>
    <row r="662" spans="2:10">
      <c r="B662" s="2791">
        <v>8796</v>
      </c>
      <c r="C662" s="2791" t="s">
        <v>1827</v>
      </c>
      <c r="D662" s="2791">
        <v>-1</v>
      </c>
      <c r="E662" s="2791" t="s">
        <v>999</v>
      </c>
      <c r="F662" s="2791" t="s">
        <v>5700</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5736</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5113</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5112</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5737</v>
      </c>
      <c r="F844" s="2793"/>
      <c r="G844" s="2793" t="s">
        <v>1023</v>
      </c>
      <c r="H844" s="2793"/>
      <c r="I844" s="2793">
        <v>8021</v>
      </c>
      <c r="J844" s="2793"/>
    </row>
    <row r="845" spans="2:10">
      <c r="B845" s="2793">
        <v>8030</v>
      </c>
      <c r="C845" s="2793" t="s">
        <v>1027</v>
      </c>
      <c r="D845" s="2793">
        <v>-1</v>
      </c>
      <c r="E845" s="2793" t="s">
        <v>5737</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5696</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5738</v>
      </c>
      <c r="G864" s="2793" t="s">
        <v>303</v>
      </c>
      <c r="H864" s="2793"/>
      <c r="I864" s="2793">
        <v>1515</v>
      </c>
      <c r="J864" s="2793" t="s">
        <v>84</v>
      </c>
    </row>
    <row r="865" spans="2:10">
      <c r="B865" s="2793">
        <v>6810</v>
      </c>
      <c r="C865" s="2793" t="s">
        <v>2397</v>
      </c>
      <c r="D865" s="2793"/>
      <c r="E865" s="2793" t="s">
        <v>5737</v>
      </c>
      <c r="F865" s="2793"/>
      <c r="G865" s="2793" t="s">
        <v>2398</v>
      </c>
      <c r="H865" s="2793" t="s">
        <v>2398</v>
      </c>
      <c r="I865" s="2793">
        <v>6810</v>
      </c>
      <c r="J865" s="2793"/>
    </row>
    <row r="866" spans="2:10">
      <c r="B866" s="2793">
        <v>6815</v>
      </c>
      <c r="C866" s="2793" t="s">
        <v>2399</v>
      </c>
      <c r="D866" s="2793"/>
      <c r="E866" s="2793" t="s">
        <v>5737</v>
      </c>
      <c r="F866" s="2793"/>
      <c r="G866" s="2793" t="s">
        <v>2400</v>
      </c>
      <c r="H866" s="2793" t="s">
        <v>2400</v>
      </c>
      <c r="I866" s="2793">
        <v>6815</v>
      </c>
      <c r="J866" s="2793"/>
    </row>
    <row r="867" spans="2:10">
      <c r="B867" s="2793">
        <v>4210</v>
      </c>
      <c r="C867" s="2793" t="s">
        <v>707</v>
      </c>
      <c r="D867" s="2793">
        <v>-1</v>
      </c>
      <c r="E867" s="2793" t="s">
        <v>5737</v>
      </c>
      <c r="F867" s="2793"/>
      <c r="G867" s="2793" t="s">
        <v>707</v>
      </c>
      <c r="H867" s="2793" t="s">
        <v>707</v>
      </c>
      <c r="I867" s="2793">
        <v>4210</v>
      </c>
      <c r="J867" s="2793"/>
    </row>
    <row r="868" spans="2:10">
      <c r="B868" s="2793">
        <v>6805</v>
      </c>
      <c r="C868" s="2793" t="s">
        <v>876</v>
      </c>
      <c r="D868" s="2793">
        <v>1</v>
      </c>
      <c r="E868" s="2793" t="s">
        <v>5739</v>
      </c>
      <c r="F868" s="2793"/>
      <c r="G868" s="2793" t="s">
        <v>877</v>
      </c>
      <c r="H868" s="2793" t="s">
        <v>877</v>
      </c>
      <c r="I868" s="2793">
        <v>6805</v>
      </c>
      <c r="J868" s="2793"/>
    </row>
    <row r="869" spans="2:10">
      <c r="B869" s="2793">
        <v>6710.11</v>
      </c>
      <c r="C869" s="2793" t="s">
        <v>844</v>
      </c>
      <c r="D869" s="2793">
        <v>-1</v>
      </c>
      <c r="E869" s="2793" t="s">
        <v>5737</v>
      </c>
      <c r="F869" s="2793"/>
      <c r="G869" s="2793" t="s">
        <v>845</v>
      </c>
      <c r="H869" s="2793" t="s">
        <v>845</v>
      </c>
      <c r="I869" s="2793">
        <v>6710.11</v>
      </c>
      <c r="J869" s="2793"/>
    </row>
    <row r="870" spans="2:10">
      <c r="B870" s="2793">
        <v>6711.01</v>
      </c>
      <c r="C870" s="2793" t="s">
        <v>856</v>
      </c>
      <c r="D870" s="2793">
        <v>1</v>
      </c>
      <c r="E870" s="2793" t="s">
        <v>5737</v>
      </c>
      <c r="F870" s="2793"/>
      <c r="G870" s="2793" t="s">
        <v>857</v>
      </c>
      <c r="H870" s="2793" t="s">
        <v>857</v>
      </c>
      <c r="I870" s="2793">
        <v>6711.01</v>
      </c>
      <c r="J870" s="2793"/>
    </row>
    <row r="871" spans="2:10">
      <c r="B871" s="2793">
        <v>7296.11</v>
      </c>
      <c r="C871" s="2793" t="s">
        <v>308</v>
      </c>
      <c r="D871" s="2793">
        <v>-1</v>
      </c>
      <c r="E871" s="2793" t="s">
        <v>5739</v>
      </c>
      <c r="F871" s="2793"/>
      <c r="G871" s="2793" t="s">
        <v>2264</v>
      </c>
      <c r="H871" s="2793" t="s">
        <v>2264</v>
      </c>
      <c r="I871" s="2793">
        <v>7296.11</v>
      </c>
      <c r="J871" s="2793"/>
    </row>
    <row r="872" spans="2:10">
      <c r="B872" s="2793">
        <v>1123</v>
      </c>
      <c r="C872" s="2793" t="s">
        <v>138</v>
      </c>
      <c r="D872" s="2793">
        <v>1</v>
      </c>
      <c r="E872" s="2793" t="s">
        <v>5737</v>
      </c>
      <c r="F872" s="2793"/>
      <c r="G872" s="2793" t="s">
        <v>138</v>
      </c>
      <c r="H872" s="2793" t="s">
        <v>138</v>
      </c>
      <c r="I872" s="2793">
        <v>1123</v>
      </c>
      <c r="J872" s="2793"/>
    </row>
    <row r="873" spans="2:10">
      <c r="B873" s="2793">
        <v>2203</v>
      </c>
      <c r="C873" s="2793" t="s">
        <v>480</v>
      </c>
      <c r="D873" s="2793">
        <v>-1</v>
      </c>
      <c r="E873" s="2793" t="s">
        <v>5737</v>
      </c>
      <c r="F873" s="2793"/>
      <c r="G873" s="2793" t="s">
        <v>480</v>
      </c>
      <c r="H873" s="2793" t="s">
        <v>480</v>
      </c>
      <c r="I873" s="2793">
        <v>2203</v>
      </c>
      <c r="J873" s="2793"/>
    </row>
    <row r="874" spans="2:10">
      <c r="B874" s="2793">
        <v>7021</v>
      </c>
      <c r="C874" s="2793" t="s">
        <v>340</v>
      </c>
      <c r="D874" s="2793">
        <v>1</v>
      </c>
      <c r="E874" s="2793" t="s">
        <v>5740</v>
      </c>
      <c r="F874" s="2793"/>
      <c r="G874" s="2793" t="s">
        <v>5741</v>
      </c>
      <c r="H874" s="2793" t="s">
        <v>5741</v>
      </c>
      <c r="I874" s="2793">
        <v>7021</v>
      </c>
      <c r="J874" s="2793"/>
    </row>
    <row r="875" spans="2:10">
      <c r="B875" s="2793">
        <v>7221</v>
      </c>
      <c r="C875" s="2793" t="s">
        <v>410</v>
      </c>
      <c r="D875" s="2793">
        <v>1</v>
      </c>
      <c r="E875" s="2793" t="s">
        <v>5740</v>
      </c>
      <c r="F875" s="2793"/>
      <c r="G875" s="2793" t="s">
        <v>410</v>
      </c>
      <c r="H875" s="2793" t="s">
        <v>410</v>
      </c>
      <c r="I875" s="2793">
        <v>7221</v>
      </c>
      <c r="J875" s="2793"/>
    </row>
  </sheetData>
  <sheetProtection algorithmName="SHA-512" hashValue="69jVvH+e6c8UGnBFc8NAu6GNN1YDXudXocr5b5rz4U5s/NTLTN2mCQJvhrdD/0wuF6upcxm2jZf1credgBpzIg==" saltValue="kcfQ/1KhRfvnACQCRiNVdw=="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topLeftCell="A46" workbookViewId="0">
      <selection activeCell="B14" sqref="B14:B17"/>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8">
      <c r="A5" s="1343"/>
      <c r="B5" s="1344" t="s">
        <v>2422</v>
      </c>
      <c r="C5" s="2784" t="s">
        <v>6651</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6650</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6647</v>
      </c>
      <c r="D7" s="1345" t="s">
        <v>2436</v>
      </c>
      <c r="E7" s="1355" t="s">
        <v>2437</v>
      </c>
      <c r="F7" s="1356" t="s">
        <v>6648</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6649</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6652</v>
      </c>
      <c r="F9" s="1364">
        <v>43859</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cxy0V+8YdL5eLMFISWMKKvUUMxBNZY1xf5GVQYFS45Lqiar1GjzEEKFy706/6nC+SuayXFf2IIPaVFmPalQm1A==" saltValue="pDlnATUHmdTI19l1yr6k0Q=="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105"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topLeftCell="A53"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山东天安化工股份有限公司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陈彦良</v>
      </c>
      <c r="K3" s="1285"/>
      <c r="L3" s="897">
        <f>IF(Lead!$F$9="","",Lead!$F$9)</f>
        <v>43859</v>
      </c>
      <c r="M3" s="1286" t="s">
        <v>2524</v>
      </c>
      <c r="N3" s="2788" t="s">
        <v>6588</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3" t="str">
        <f t="shared" ref="E9:E40" si="0">VLOOKUP(D9,Sheet_Items,2,0)</f>
        <v>资产</v>
      </c>
      <c r="F9" s="1270">
        <f>Area_RepDate</f>
        <v>43830</v>
      </c>
      <c r="G9" s="3078">
        <f ca="1">INDIRECT(C9&amp;"!CheckA"&amp;D9)</f>
        <v>267599628.46000001</v>
      </c>
      <c r="H9" s="1271" t="s">
        <v>59</v>
      </c>
      <c r="I9" s="1269">
        <v>5000</v>
      </c>
      <c r="J9" s="3073" t="str">
        <f t="shared" ref="J9:J40" si="1">VLOOKUP(I9,Sheet_Items,2,0)</f>
        <v>负债和所有者权益</v>
      </c>
      <c r="K9" s="1270">
        <f>Area_RepDate</f>
        <v>43830</v>
      </c>
      <c r="L9" s="3078">
        <f ca="1">INDIRECT(H9&amp;"!CheckA"&amp;I9)</f>
        <v>267599628.46000001</v>
      </c>
      <c r="M9" s="70">
        <f t="shared" ref="M9:M40" ca="1" si="2">ROUND(G9-L9,2)</f>
        <v>0</v>
      </c>
      <c r="N9" s="1293" t="str">
        <f t="shared" ref="N9:N40" ca="1" si="3">IF(M9=0,"√","×")</f>
        <v>√</v>
      </c>
      <c r="O9" s="641"/>
      <c r="P9" s="641"/>
      <c r="Q9" s="641"/>
      <c r="R9" s="641"/>
    </row>
    <row r="10" spans="1:18" ht="18">
      <c r="A10" s="30"/>
      <c r="B10" s="3066" t="s">
        <v>79</v>
      </c>
      <c r="C10" s="3067" t="s">
        <v>59</v>
      </c>
      <c r="D10" s="3068">
        <v>1999</v>
      </c>
      <c r="E10" s="3074" t="str">
        <f t="shared" si="0"/>
        <v>资产</v>
      </c>
      <c r="F10" s="3069">
        <f>Area_RepDate1</f>
        <v>43465</v>
      </c>
      <c r="G10" s="3079">
        <f ca="1">INDIRECT(C10&amp;"!CheckB"&amp;D10)</f>
        <v>349257402.50999999</v>
      </c>
      <c r="H10" s="3070" t="s">
        <v>59</v>
      </c>
      <c r="I10" s="3068">
        <v>5000</v>
      </c>
      <c r="J10" s="3074" t="str">
        <f t="shared" si="1"/>
        <v>负债和所有者权益</v>
      </c>
      <c r="K10" s="3069">
        <f>Area_RepDate1</f>
        <v>43465</v>
      </c>
      <c r="L10" s="3079">
        <f ca="1">INDIRECT(H10&amp;"!CheckB"&amp;I10)</f>
        <v>349257402.50999999</v>
      </c>
      <c r="M10" s="3071">
        <f t="shared" ca="1" si="2"/>
        <v>0</v>
      </c>
      <c r="N10" s="3072" t="str">
        <f t="shared" ca="1" si="3"/>
        <v>√</v>
      </c>
      <c r="O10" s="641"/>
      <c r="P10" s="641"/>
      <c r="Q10" s="641"/>
      <c r="R10" s="641"/>
    </row>
    <row r="11" spans="1:18" ht="24">
      <c r="A11" s="30"/>
      <c r="B11" s="3066" t="s">
        <v>96</v>
      </c>
      <c r="C11" s="3067" t="s">
        <v>97</v>
      </c>
      <c r="D11" s="3068">
        <v>6811</v>
      </c>
      <c r="E11" s="3075" t="str">
        <f t="shared" si="0"/>
        <v>归属于母公司所有者的净利润</v>
      </c>
      <c r="F11" s="3069" t="str">
        <f>Area_RepDuration</f>
        <v>2019年度</v>
      </c>
      <c r="G11" s="3080">
        <f ca="1">INDIRECT(C11&amp;"!CheckA"&amp;D11)</f>
        <v>1667235.32</v>
      </c>
      <c r="H11" s="3070" t="s">
        <v>99</v>
      </c>
      <c r="I11" s="3068">
        <v>8740</v>
      </c>
      <c r="J11" s="3075" t="str">
        <f t="shared" si="1"/>
        <v>未分配利润_综合收益总额增加权益</v>
      </c>
      <c r="K11" s="3069" t="str">
        <f>Area_RepDuration</f>
        <v>2019年度</v>
      </c>
      <c r="L11" s="3080">
        <f ca="1">INDIRECT(H11&amp;"!CheckA"&amp;I11)</f>
        <v>1667235.32</v>
      </c>
      <c r="M11" s="3071">
        <f t="shared" ca="1" si="2"/>
        <v>0</v>
      </c>
      <c r="N11" s="3072" t="str">
        <f t="shared" ca="1" si="3"/>
        <v>√</v>
      </c>
      <c r="O11" s="641"/>
      <c r="P11" s="641"/>
      <c r="Q11" s="641"/>
      <c r="R11" s="641"/>
    </row>
    <row r="12" spans="1:18" ht="24">
      <c r="A12" s="30"/>
      <c r="B12" s="3066" t="s">
        <v>115</v>
      </c>
      <c r="C12" s="3067" t="s">
        <v>97</v>
      </c>
      <c r="D12" s="3068">
        <v>6811</v>
      </c>
      <c r="E12" s="3074" t="str">
        <f t="shared" si="0"/>
        <v>归属于母公司所有者的净利润</v>
      </c>
      <c r="F12" s="3069" t="str">
        <f>Area_RepDuration1</f>
        <v>2018年度</v>
      </c>
      <c r="G12" s="3079">
        <f ca="1">INDIRECT(C12&amp;"!CheckB"&amp;D12)</f>
        <v>27366351.41</v>
      </c>
      <c r="H12" s="3070" t="s">
        <v>99</v>
      </c>
      <c r="I12" s="3068">
        <v>8740</v>
      </c>
      <c r="J12" s="3074" t="str">
        <f t="shared" si="1"/>
        <v>未分配利润_综合收益总额增加权益</v>
      </c>
      <c r="K12" s="3069" t="str">
        <f>Area_RepDuration1</f>
        <v>2018年度</v>
      </c>
      <c r="L12" s="3079">
        <f ca="1">INDIRECT(H12&amp;"!CheckB"&amp;I12)</f>
        <v>27366351.41</v>
      </c>
      <c r="M12" s="3071">
        <f t="shared" ca="1" si="2"/>
        <v>0</v>
      </c>
      <c r="N12" s="3072" t="str">
        <f t="shared" ca="1" si="3"/>
        <v>√</v>
      </c>
      <c r="O12" s="641"/>
      <c r="P12" s="641"/>
      <c r="Q12" s="641"/>
      <c r="R12" s="641"/>
    </row>
    <row r="13" spans="1:18" ht="24">
      <c r="A13" s="30"/>
      <c r="B13" s="3066" t="s">
        <v>130</v>
      </c>
      <c r="C13" s="3067" t="s">
        <v>97</v>
      </c>
      <c r="D13" s="3068">
        <v>6839</v>
      </c>
      <c r="E13" s="3075" t="str">
        <f t="shared" si="0"/>
        <v>综合收益总额</v>
      </c>
      <c r="F13" s="3069" t="str">
        <f>Area_RepDuration</f>
        <v>2019年度</v>
      </c>
      <c r="G13" s="3080">
        <f ca="1">INDIRECT(C13&amp;"!CheckA"&amp;D13)</f>
        <v>1667235.32</v>
      </c>
      <c r="H13" s="3070" t="s">
        <v>99</v>
      </c>
      <c r="I13" s="3068">
        <v>8040</v>
      </c>
      <c r="J13" s="3075" t="str">
        <f t="shared" si="1"/>
        <v>所有者权益_综合收益总额增加权益</v>
      </c>
      <c r="K13" s="3069" t="str">
        <f>Area_RepDuration</f>
        <v>2019年度</v>
      </c>
      <c r="L13" s="3080">
        <f ca="1">INDIRECT(H13&amp;"!CheckA"&amp;I13)</f>
        <v>1667235.32</v>
      </c>
      <c r="M13" s="3071">
        <f t="shared" ca="1" si="2"/>
        <v>0</v>
      </c>
      <c r="N13" s="3072" t="str">
        <f t="shared" ca="1" si="3"/>
        <v>√</v>
      </c>
      <c r="O13" s="641"/>
      <c r="P13" s="641"/>
      <c r="Q13" s="641"/>
      <c r="R13" s="641"/>
    </row>
    <row r="14" spans="1:18" ht="24">
      <c r="A14" s="30"/>
      <c r="B14" s="3066" t="s">
        <v>143</v>
      </c>
      <c r="C14" s="3067" t="s">
        <v>97</v>
      </c>
      <c r="D14" s="3068">
        <v>6839</v>
      </c>
      <c r="E14" s="3074" t="str">
        <f t="shared" si="0"/>
        <v>综合收益总额</v>
      </c>
      <c r="F14" s="3069" t="str">
        <f>Area_RepDuration1</f>
        <v>2018年度</v>
      </c>
      <c r="G14" s="3079">
        <f ca="1">INDIRECT(C14&amp;"!CheckB"&amp;D14)</f>
        <v>27366351.41</v>
      </c>
      <c r="H14" s="3070" t="s">
        <v>99</v>
      </c>
      <c r="I14" s="3068">
        <v>8040</v>
      </c>
      <c r="J14" s="3074" t="str">
        <f t="shared" si="1"/>
        <v>所有者权益_综合收益总额增加权益</v>
      </c>
      <c r="K14" s="3069" t="str">
        <f>Area_RepDuration1</f>
        <v>2018年度</v>
      </c>
      <c r="L14" s="3079">
        <f ca="1">INDIRECT(H14&amp;"!CheckB"&amp;I14)</f>
        <v>27366351.41</v>
      </c>
      <c r="M14" s="3071">
        <f t="shared" ca="1" si="2"/>
        <v>0</v>
      </c>
      <c r="N14" s="3072" t="str">
        <f t="shared" ca="1" si="3"/>
        <v>√</v>
      </c>
      <c r="O14" s="641"/>
      <c r="P14" s="641"/>
      <c r="Q14" s="641"/>
      <c r="R14" s="641"/>
    </row>
    <row r="15" spans="1:18" ht="36">
      <c r="A15" s="30"/>
      <c r="B15" s="3066" t="s">
        <v>155</v>
      </c>
      <c r="C15" s="3067" t="s">
        <v>97</v>
      </c>
      <c r="D15" s="3068">
        <v>6842</v>
      </c>
      <c r="E15" s="3075" t="str">
        <f t="shared" si="0"/>
        <v>归属于少数股东的综合收益总额</v>
      </c>
      <c r="F15" s="3069" t="str">
        <f>Area_RepDuration</f>
        <v>2019年度</v>
      </c>
      <c r="G15" s="3080">
        <f ca="1">INDIRECT(C15&amp;"!CheckA"&amp;D15)</f>
        <v>0</v>
      </c>
      <c r="H15" s="3070" t="s">
        <v>99</v>
      </c>
      <c r="I15" s="3068">
        <v>8940</v>
      </c>
      <c r="J15" s="3075" t="str">
        <f t="shared" si="1"/>
        <v>少数股东权益_综合收益总额增加权益</v>
      </c>
      <c r="K15" s="3069" t="str">
        <f>Area_RepDuration</f>
        <v>2019年度</v>
      </c>
      <c r="L15" s="3080">
        <f ca="1">INDIRECT(H15&amp;"!CheckA"&amp;I15)</f>
        <v>0</v>
      </c>
      <c r="M15" s="3071">
        <f t="shared" ca="1" si="2"/>
        <v>0</v>
      </c>
      <c r="N15" s="3072" t="str">
        <f t="shared" ca="1" si="3"/>
        <v>√</v>
      </c>
      <c r="O15" s="641"/>
      <c r="P15" s="641"/>
      <c r="Q15" s="641"/>
      <c r="R15" s="641"/>
    </row>
    <row r="16" spans="1:18" ht="36">
      <c r="A16" s="30"/>
      <c r="B16" s="3066" t="s">
        <v>166</v>
      </c>
      <c r="C16" s="3067" t="s">
        <v>97</v>
      </c>
      <c r="D16" s="3068">
        <v>6842</v>
      </c>
      <c r="E16" s="3074" t="str">
        <f t="shared" si="0"/>
        <v>归属于少数股东的综合收益总额</v>
      </c>
      <c r="F16" s="3069" t="str">
        <f>Area_RepDuration1</f>
        <v>2018年度</v>
      </c>
      <c r="G16" s="3079">
        <f ca="1">INDIRECT(C16&amp;"!CheckB"&amp;D16)</f>
        <v>0</v>
      </c>
      <c r="H16" s="3070" t="s">
        <v>99</v>
      </c>
      <c r="I16" s="3068">
        <v>8940</v>
      </c>
      <c r="J16" s="3074" t="str">
        <f t="shared" si="1"/>
        <v>少数股东权益_综合收益总额增加权益</v>
      </c>
      <c r="K16" s="3069" t="str">
        <f t="shared" ref="K16:K25" si="4">Area_RepDuration1</f>
        <v>2018年度</v>
      </c>
      <c r="L16" s="3079">
        <f t="shared" ref="L16:L25" ca="1" si="5">INDIRECT(H16&amp;"!CheckB"&amp;I16)</f>
        <v>0</v>
      </c>
      <c r="M16" s="3071">
        <f t="shared" ca="1" si="2"/>
        <v>0</v>
      </c>
      <c r="N16" s="3072" t="str">
        <f t="shared" ca="1" si="3"/>
        <v>√</v>
      </c>
      <c r="O16" s="641"/>
      <c r="P16" s="641"/>
      <c r="Q16" s="641"/>
      <c r="R16" s="641"/>
    </row>
    <row r="17" spans="1:18" ht="24">
      <c r="A17" s="30"/>
      <c r="B17" s="3066" t="s">
        <v>175</v>
      </c>
      <c r="C17" s="3067" t="s">
        <v>99</v>
      </c>
      <c r="D17" s="3068">
        <v>8110</v>
      </c>
      <c r="E17" s="3075" t="str">
        <f t="shared" si="0"/>
        <v>实收资本_本年年初余额</v>
      </c>
      <c r="F17" s="3069" t="str">
        <f t="shared" ref="F17:F26" si="6">Area_RepDuration</f>
        <v>2019年度</v>
      </c>
      <c r="G17" s="3080">
        <f t="shared" ref="G17:G26" ca="1" si="7">INDIRECT(C17&amp;"!CheckA"&amp;D17)</f>
        <v>85691911</v>
      </c>
      <c r="H17" s="3070" t="s">
        <v>99</v>
      </c>
      <c r="I17" s="3068">
        <v>8199</v>
      </c>
      <c r="J17" s="3074" t="str">
        <f t="shared" si="1"/>
        <v>实收资本_本期期末余额</v>
      </c>
      <c r="K17" s="3069" t="str">
        <f t="shared" si="4"/>
        <v>2018年度</v>
      </c>
      <c r="L17" s="3079">
        <f t="shared" ca="1" si="5"/>
        <v>85691911</v>
      </c>
      <c r="M17" s="3071">
        <f t="shared" ca="1" si="2"/>
        <v>0</v>
      </c>
      <c r="N17" s="3072" t="str">
        <f t="shared" ca="1" si="3"/>
        <v>√</v>
      </c>
      <c r="O17" s="641"/>
      <c r="P17" s="641"/>
      <c r="Q17" s="641"/>
      <c r="R17" s="641"/>
    </row>
    <row r="18" spans="1:18" ht="24">
      <c r="A18" s="30"/>
      <c r="B18" s="3066" t="s">
        <v>184</v>
      </c>
      <c r="C18" s="3067" t="s">
        <v>99</v>
      </c>
      <c r="D18" s="3068">
        <v>8210</v>
      </c>
      <c r="E18" s="3075" t="str">
        <f t="shared" si="0"/>
        <v>资本公积_本年年初余额</v>
      </c>
      <c r="F18" s="3069" t="str">
        <f t="shared" si="6"/>
        <v>2019年度</v>
      </c>
      <c r="G18" s="3080">
        <f t="shared" ca="1" si="7"/>
        <v>238420255.88999999</v>
      </c>
      <c r="H18" s="3070" t="s">
        <v>99</v>
      </c>
      <c r="I18" s="3068">
        <v>8299</v>
      </c>
      <c r="J18" s="3074" t="str">
        <f t="shared" si="1"/>
        <v>资本公积_本期期末余额</v>
      </c>
      <c r="K18" s="3069" t="str">
        <f t="shared" si="4"/>
        <v>2018年度</v>
      </c>
      <c r="L18" s="3079">
        <f t="shared" ca="1" si="5"/>
        <v>238420255.88999999</v>
      </c>
      <c r="M18" s="3071">
        <f t="shared" ca="1" si="2"/>
        <v>0</v>
      </c>
      <c r="N18" s="3072" t="str">
        <f t="shared" ca="1" si="3"/>
        <v>√</v>
      </c>
      <c r="O18" s="641"/>
      <c r="P18" s="641"/>
      <c r="Q18" s="641"/>
      <c r="R18" s="641"/>
    </row>
    <row r="19" spans="1:18" ht="24">
      <c r="A19" s="30"/>
      <c r="B19" s="3066" t="s">
        <v>195</v>
      </c>
      <c r="C19" s="3067" t="s">
        <v>99</v>
      </c>
      <c r="D19" s="3068">
        <v>8310</v>
      </c>
      <c r="E19" s="3075" t="str">
        <f t="shared" si="0"/>
        <v>库存股_本年年初余额</v>
      </c>
      <c r="F19" s="3069" t="str">
        <f t="shared" si="6"/>
        <v>2019年度</v>
      </c>
      <c r="G19" s="3080">
        <f t="shared" ca="1" si="7"/>
        <v>0</v>
      </c>
      <c r="H19" s="3070" t="s">
        <v>99</v>
      </c>
      <c r="I19" s="3068">
        <v>8399</v>
      </c>
      <c r="J19" s="3074" t="str">
        <f t="shared" si="1"/>
        <v>库存股_本期期末余额</v>
      </c>
      <c r="K19" s="3069" t="str">
        <f t="shared" si="4"/>
        <v>2018年度</v>
      </c>
      <c r="L19" s="3079">
        <f t="shared" ca="1" si="5"/>
        <v>0</v>
      </c>
      <c r="M19" s="3071">
        <f t="shared" ca="1" si="2"/>
        <v>0</v>
      </c>
      <c r="N19" s="3072" t="str">
        <f t="shared" ca="1" si="3"/>
        <v>√</v>
      </c>
      <c r="O19" s="641"/>
      <c r="P19" s="641"/>
      <c r="Q19" s="641"/>
      <c r="R19" s="641"/>
    </row>
    <row r="20" spans="1:18" ht="24">
      <c r="A20" s="30"/>
      <c r="B20" s="3066" t="s">
        <v>204</v>
      </c>
      <c r="C20" s="3067" t="s">
        <v>99</v>
      </c>
      <c r="D20" s="3068">
        <v>8410</v>
      </c>
      <c r="E20" s="3075" t="str">
        <f t="shared" si="0"/>
        <v>专项储备_本年年初余额</v>
      </c>
      <c r="F20" s="3069" t="str">
        <f t="shared" si="6"/>
        <v>2019年度</v>
      </c>
      <c r="G20" s="3080">
        <f t="shared" ca="1" si="7"/>
        <v>8378246.8099999996</v>
      </c>
      <c r="H20" s="3070" t="s">
        <v>99</v>
      </c>
      <c r="I20" s="3068">
        <v>8499</v>
      </c>
      <c r="J20" s="3074" t="str">
        <f t="shared" si="1"/>
        <v>专项储备_本期期末余额</v>
      </c>
      <c r="K20" s="3069" t="str">
        <f t="shared" si="4"/>
        <v>2018年度</v>
      </c>
      <c r="L20" s="3079">
        <f t="shared" ca="1" si="5"/>
        <v>8378246.8099999996</v>
      </c>
      <c r="M20" s="3071">
        <f t="shared" ca="1" si="2"/>
        <v>0</v>
      </c>
      <c r="N20" s="3072" t="str">
        <f t="shared" ca="1" si="3"/>
        <v>√</v>
      </c>
      <c r="O20" s="641"/>
      <c r="P20" s="641"/>
      <c r="Q20" s="641"/>
      <c r="R20" s="641"/>
    </row>
    <row r="21" spans="1:18" ht="24">
      <c r="A21" s="30"/>
      <c r="B21" s="3066" t="s">
        <v>214</v>
      </c>
      <c r="C21" s="3067" t="s">
        <v>99</v>
      </c>
      <c r="D21" s="3068">
        <v>8510</v>
      </c>
      <c r="E21" s="3075" t="str">
        <f t="shared" si="0"/>
        <v>盈余公积_本年年初余额</v>
      </c>
      <c r="F21" s="3069" t="str">
        <f t="shared" si="6"/>
        <v>2019年度</v>
      </c>
      <c r="G21" s="3080">
        <f t="shared" ca="1" si="7"/>
        <v>4637867.0999999996</v>
      </c>
      <c r="H21" s="3070" t="s">
        <v>99</v>
      </c>
      <c r="I21" s="3068">
        <v>8599</v>
      </c>
      <c r="J21" s="3074" t="str">
        <f t="shared" si="1"/>
        <v>盈余公积_本期期末余额</v>
      </c>
      <c r="K21" s="3069" t="str">
        <f t="shared" si="4"/>
        <v>2018年度</v>
      </c>
      <c r="L21" s="3079">
        <f t="shared" ca="1" si="5"/>
        <v>4637867.0999999996</v>
      </c>
      <c r="M21" s="3071">
        <f t="shared" ca="1" si="2"/>
        <v>0</v>
      </c>
      <c r="N21" s="3072" t="str">
        <f t="shared" ca="1" si="3"/>
        <v>√</v>
      </c>
      <c r="O21" s="641"/>
      <c r="P21" s="641"/>
      <c r="Q21" s="641"/>
      <c r="R21" s="641"/>
    </row>
    <row r="22" spans="1:18" ht="24">
      <c r="A22" s="30"/>
      <c r="B22" s="3066" t="s">
        <v>224</v>
      </c>
      <c r="C22" s="3067" t="s">
        <v>99</v>
      </c>
      <c r="D22" s="3068">
        <v>8610</v>
      </c>
      <c r="E22" s="3075" t="str">
        <f t="shared" si="0"/>
        <v>一般风险准备_本年年初余额</v>
      </c>
      <c r="F22" s="3069" t="str">
        <f t="shared" si="6"/>
        <v>2019年度</v>
      </c>
      <c r="G22" s="3080">
        <f t="shared" ca="1" si="7"/>
        <v>0</v>
      </c>
      <c r="H22" s="3070" t="s">
        <v>99</v>
      </c>
      <c r="I22" s="3068">
        <v>8699</v>
      </c>
      <c r="J22" s="3074" t="str">
        <f t="shared" si="1"/>
        <v>一般风险准备_本期期末余额</v>
      </c>
      <c r="K22" s="3069" t="str">
        <f t="shared" si="4"/>
        <v>2018年度</v>
      </c>
      <c r="L22" s="3079">
        <f t="shared" ca="1" si="5"/>
        <v>0</v>
      </c>
      <c r="M22" s="3071">
        <f t="shared" ca="1" si="2"/>
        <v>0</v>
      </c>
      <c r="N22" s="3072" t="str">
        <f t="shared" ca="1" si="3"/>
        <v>√</v>
      </c>
      <c r="O22" s="641"/>
      <c r="P22" s="641"/>
      <c r="Q22" s="641"/>
      <c r="R22" s="641"/>
    </row>
    <row r="23" spans="1:18" ht="24">
      <c r="A23" s="30"/>
      <c r="B23" s="3066" t="s">
        <v>232</v>
      </c>
      <c r="C23" s="3067" t="s">
        <v>99</v>
      </c>
      <c r="D23" s="3068">
        <v>8710</v>
      </c>
      <c r="E23" s="3075" t="str">
        <f t="shared" si="0"/>
        <v>未分配利润_本年年初余额</v>
      </c>
      <c r="F23" s="3069" t="str">
        <f t="shared" si="6"/>
        <v>2019年度</v>
      </c>
      <c r="G23" s="3080">
        <f t="shared" ca="1" si="7"/>
        <v>-145316230.15000001</v>
      </c>
      <c r="H23" s="3070" t="s">
        <v>99</v>
      </c>
      <c r="I23" s="3068">
        <v>8799</v>
      </c>
      <c r="J23" s="3074" t="str">
        <f t="shared" si="1"/>
        <v>未分配利润_本期期末余额</v>
      </c>
      <c r="K23" s="3069" t="str">
        <f t="shared" si="4"/>
        <v>2018年度</v>
      </c>
      <c r="L23" s="3079">
        <f t="shared" ca="1" si="5"/>
        <v>-145316230.15000001</v>
      </c>
      <c r="M23" s="3071">
        <f t="shared" ca="1" si="2"/>
        <v>0</v>
      </c>
      <c r="N23" s="3072" t="str">
        <f t="shared" ca="1" si="3"/>
        <v>√</v>
      </c>
      <c r="O23" s="641"/>
      <c r="P23" s="641"/>
      <c r="Q23" s="641"/>
      <c r="R23" s="641"/>
    </row>
    <row r="24" spans="1:18" ht="36">
      <c r="A24" s="30"/>
      <c r="B24" s="3066" t="s">
        <v>240</v>
      </c>
      <c r="C24" s="3067" t="s">
        <v>99</v>
      </c>
      <c r="D24" s="3068">
        <v>8810</v>
      </c>
      <c r="E24" s="3075" t="str">
        <f t="shared" si="0"/>
        <v>其他归属于母公司所有者权益_本年年初余额</v>
      </c>
      <c r="F24" s="3069" t="str">
        <f t="shared" si="6"/>
        <v>2019年度</v>
      </c>
      <c r="G24" s="3080">
        <f t="shared" ca="1" si="7"/>
        <v>0</v>
      </c>
      <c r="H24" s="3070" t="s">
        <v>99</v>
      </c>
      <c r="I24" s="3068">
        <v>8899</v>
      </c>
      <c r="J24" s="3074" t="str">
        <f t="shared" si="1"/>
        <v>其他归属于母公司所有者权益_本期期末余额</v>
      </c>
      <c r="K24" s="3069" t="str">
        <f t="shared" si="4"/>
        <v>2018年度</v>
      </c>
      <c r="L24" s="3079">
        <f t="shared" ca="1" si="5"/>
        <v>0</v>
      </c>
      <c r="M24" s="3071">
        <f t="shared" ca="1" si="2"/>
        <v>0</v>
      </c>
      <c r="N24" s="3072" t="str">
        <f t="shared" ca="1" si="3"/>
        <v>√</v>
      </c>
      <c r="O24" s="641"/>
      <c r="P24" s="641"/>
      <c r="Q24" s="641"/>
      <c r="R24" s="641"/>
    </row>
    <row r="25" spans="1:18" ht="24">
      <c r="A25" s="30"/>
      <c r="B25" s="3066" t="s">
        <v>250</v>
      </c>
      <c r="C25" s="3067" t="s">
        <v>99</v>
      </c>
      <c r="D25" s="3068">
        <v>8010</v>
      </c>
      <c r="E25" s="3075" t="str">
        <f t="shared" si="0"/>
        <v>所有者权益_本年年初余额</v>
      </c>
      <c r="F25" s="3069" t="str">
        <f t="shared" si="6"/>
        <v>2019年度</v>
      </c>
      <c r="G25" s="3080">
        <f t="shared" ca="1" si="7"/>
        <v>191812050.65000001</v>
      </c>
      <c r="H25" s="3070" t="s">
        <v>99</v>
      </c>
      <c r="I25" s="3068">
        <v>8099</v>
      </c>
      <c r="J25" s="3074" t="str">
        <f t="shared" si="1"/>
        <v>所有者权益_本期期末余额</v>
      </c>
      <c r="K25" s="3069" t="str">
        <f t="shared" si="4"/>
        <v>2018年度</v>
      </c>
      <c r="L25" s="3079">
        <f t="shared" ca="1" si="5"/>
        <v>191812050.65000001</v>
      </c>
      <c r="M25" s="3071">
        <f t="shared" ca="1" si="2"/>
        <v>0</v>
      </c>
      <c r="N25" s="3072" t="str">
        <f t="shared" ca="1" si="3"/>
        <v>√</v>
      </c>
      <c r="O25" s="641"/>
      <c r="P25" s="641"/>
      <c r="Q25" s="641"/>
      <c r="R25" s="641"/>
    </row>
    <row r="26" spans="1:18" ht="24">
      <c r="A26" s="30"/>
      <c r="B26" s="3066" t="s">
        <v>260</v>
      </c>
      <c r="C26" s="3067" t="s">
        <v>99</v>
      </c>
      <c r="D26" s="3068">
        <v>8199</v>
      </c>
      <c r="E26" s="3075" t="str">
        <f t="shared" si="0"/>
        <v>实收资本_本期期末余额</v>
      </c>
      <c r="F26" s="3069" t="str">
        <f t="shared" si="6"/>
        <v>2019年度</v>
      </c>
      <c r="G26" s="3080">
        <f t="shared" ca="1" si="7"/>
        <v>85691911</v>
      </c>
      <c r="H26" s="3070" t="s">
        <v>59</v>
      </c>
      <c r="I26" s="3068">
        <v>4001</v>
      </c>
      <c r="J26" s="3075" t="str">
        <f t="shared" si="1"/>
        <v>实收资本</v>
      </c>
      <c r="K26" s="3069">
        <f>Area_RepDate</f>
        <v>43830</v>
      </c>
      <c r="L26" s="3080">
        <f ca="1">INDIRECT(H26&amp;"!CheckA"&amp;I26)</f>
        <v>85691911</v>
      </c>
      <c r="M26" s="3071">
        <f t="shared" ca="1" si="2"/>
        <v>0</v>
      </c>
      <c r="N26" s="3072" t="str">
        <f t="shared" ca="1" si="3"/>
        <v>√</v>
      </c>
      <c r="O26" s="641"/>
      <c r="P26" s="641"/>
      <c r="Q26" s="641"/>
      <c r="R26" s="641"/>
    </row>
    <row r="27" spans="1:18" ht="24">
      <c r="A27" s="30"/>
      <c r="B27" s="3066" t="s">
        <v>268</v>
      </c>
      <c r="C27" s="3067" t="s">
        <v>99</v>
      </c>
      <c r="D27" s="3068">
        <v>8199</v>
      </c>
      <c r="E27" s="3074" t="str">
        <f t="shared" si="0"/>
        <v>实收资本_本期期末余额</v>
      </c>
      <c r="F27" s="3069" t="str">
        <f>Area_RepDuration1</f>
        <v>2018年度</v>
      </c>
      <c r="G27" s="3079">
        <f ca="1">INDIRECT(C27&amp;"!CheckB"&amp;D27)</f>
        <v>85691911</v>
      </c>
      <c r="H27" s="3070" t="s">
        <v>59</v>
      </c>
      <c r="I27" s="3068">
        <v>4001</v>
      </c>
      <c r="J27" s="3074" t="str">
        <f t="shared" si="1"/>
        <v>实收资本</v>
      </c>
      <c r="K27" s="3069">
        <f>Area_RepDate1</f>
        <v>43465</v>
      </c>
      <c r="L27" s="3079">
        <f ca="1">INDIRECT(H27&amp;"!CheckB"&amp;I27)</f>
        <v>85691911</v>
      </c>
      <c r="M27" s="3071">
        <f t="shared" ca="1" si="2"/>
        <v>0</v>
      </c>
      <c r="N27" s="3072" t="str">
        <f t="shared" ca="1" si="3"/>
        <v>√</v>
      </c>
      <c r="O27" s="641"/>
      <c r="P27" s="641"/>
      <c r="Q27" s="641"/>
      <c r="R27" s="641"/>
    </row>
    <row r="28" spans="1:18" ht="24">
      <c r="A28" s="30"/>
      <c r="B28" s="3066" t="s">
        <v>277</v>
      </c>
      <c r="C28" s="3067" t="s">
        <v>99</v>
      </c>
      <c r="D28" s="3068">
        <v>8299</v>
      </c>
      <c r="E28" s="3075" t="str">
        <f t="shared" si="0"/>
        <v>资本公积_本期期末余额</v>
      </c>
      <c r="F28" s="3069" t="str">
        <f>Area_RepDuration</f>
        <v>2019年度</v>
      </c>
      <c r="G28" s="3080">
        <f ca="1">INDIRECT(C28&amp;"!CheckA"&amp;D28)</f>
        <v>238420255.88999999</v>
      </c>
      <c r="H28" s="3070" t="s">
        <v>59</v>
      </c>
      <c r="I28" s="3068">
        <v>4002</v>
      </c>
      <c r="J28" s="3075" t="str">
        <f t="shared" si="1"/>
        <v>资本公积</v>
      </c>
      <c r="K28" s="3069">
        <f>Area_RepDate</f>
        <v>43830</v>
      </c>
      <c r="L28" s="3080">
        <f ca="1">INDIRECT(H28&amp;"!CheckA"&amp;I28)</f>
        <v>238420255.88999999</v>
      </c>
      <c r="M28" s="3071">
        <f t="shared" ca="1" si="2"/>
        <v>0</v>
      </c>
      <c r="N28" s="3072" t="str">
        <f t="shared" ca="1" si="3"/>
        <v>√</v>
      </c>
      <c r="O28" s="641"/>
      <c r="P28" s="641"/>
      <c r="Q28" s="641"/>
      <c r="R28" s="641"/>
    </row>
    <row r="29" spans="1:18" ht="24">
      <c r="A29" s="30"/>
      <c r="B29" s="3066" t="s">
        <v>285</v>
      </c>
      <c r="C29" s="3067" t="s">
        <v>99</v>
      </c>
      <c r="D29" s="3068">
        <v>8299</v>
      </c>
      <c r="E29" s="3074" t="str">
        <f t="shared" si="0"/>
        <v>资本公积_本期期末余额</v>
      </c>
      <c r="F29" s="3069" t="str">
        <f>Area_RepDuration1</f>
        <v>2018年度</v>
      </c>
      <c r="G29" s="3079">
        <f ca="1">INDIRECT(C29&amp;"!CheckB"&amp;D29)</f>
        <v>238420255.88999999</v>
      </c>
      <c r="H29" s="3070" t="s">
        <v>59</v>
      </c>
      <c r="I29" s="3068">
        <v>4002</v>
      </c>
      <c r="J29" s="3074" t="str">
        <f t="shared" si="1"/>
        <v>资本公积</v>
      </c>
      <c r="K29" s="3069">
        <f>Area_RepDate1</f>
        <v>43465</v>
      </c>
      <c r="L29" s="3079">
        <f ca="1">INDIRECT(H29&amp;"!CheckB"&amp;I29)</f>
        <v>238420255.88999999</v>
      </c>
      <c r="M29" s="3071">
        <f t="shared" ca="1" si="2"/>
        <v>0</v>
      </c>
      <c r="N29" s="3072" t="str">
        <f t="shared" ca="1" si="3"/>
        <v>√</v>
      </c>
      <c r="O29" s="641"/>
      <c r="P29" s="641"/>
      <c r="Q29" s="641"/>
      <c r="R29" s="641"/>
    </row>
    <row r="30" spans="1:18" ht="24">
      <c r="A30" s="30"/>
      <c r="B30" s="3066" t="s">
        <v>296</v>
      </c>
      <c r="C30" s="3067" t="s">
        <v>99</v>
      </c>
      <c r="D30" s="3068">
        <v>8399</v>
      </c>
      <c r="E30" s="3075" t="str">
        <f t="shared" si="0"/>
        <v>库存股_本期期末余额</v>
      </c>
      <c r="F30" s="3069" t="str">
        <f>Area_RepDuration</f>
        <v>2019年度</v>
      </c>
      <c r="G30" s="3080">
        <f ca="1">INDIRECT(C30&amp;"!CheckA"&amp;D30)</f>
        <v>0</v>
      </c>
      <c r="H30" s="3070" t="s">
        <v>59</v>
      </c>
      <c r="I30" s="3068">
        <v>4201</v>
      </c>
      <c r="J30" s="3075" t="str">
        <f t="shared" si="1"/>
        <v>库存股</v>
      </c>
      <c r="K30" s="3069">
        <f>Area_RepDate</f>
        <v>43830</v>
      </c>
      <c r="L30" s="3080">
        <f ca="1">INDIRECT(H30&amp;"!CheckA"&amp;I30)</f>
        <v>0</v>
      </c>
      <c r="M30" s="3071">
        <f t="shared" ca="1" si="2"/>
        <v>0</v>
      </c>
      <c r="N30" s="3072" t="str">
        <f t="shared" ca="1" si="3"/>
        <v>√</v>
      </c>
      <c r="O30" s="641"/>
      <c r="P30" s="641"/>
      <c r="Q30" s="641"/>
      <c r="R30" s="641"/>
    </row>
    <row r="31" spans="1:18" ht="24">
      <c r="A31" s="30"/>
      <c r="B31" s="3066" t="s">
        <v>306</v>
      </c>
      <c r="C31" s="3067" t="s">
        <v>99</v>
      </c>
      <c r="D31" s="3068">
        <v>8399</v>
      </c>
      <c r="E31" s="3074" t="str">
        <f t="shared" si="0"/>
        <v>库存股_本期期末余额</v>
      </c>
      <c r="F31" s="3069" t="str">
        <f>Area_RepDuration1</f>
        <v>2018年度</v>
      </c>
      <c r="G31" s="3079">
        <f ca="1">INDIRECT(C31&amp;"!CheckB"&amp;D31)</f>
        <v>0</v>
      </c>
      <c r="H31" s="3070" t="s">
        <v>59</v>
      </c>
      <c r="I31" s="3068">
        <v>4201</v>
      </c>
      <c r="J31" s="3074" t="str">
        <f t="shared" si="1"/>
        <v>库存股</v>
      </c>
      <c r="K31" s="3069">
        <f>Area_RepDate1</f>
        <v>43465</v>
      </c>
      <c r="L31" s="3079">
        <f ca="1">INDIRECT(H31&amp;"!CheckB"&amp;I31)</f>
        <v>0</v>
      </c>
      <c r="M31" s="3071">
        <f t="shared" ca="1" si="2"/>
        <v>0</v>
      </c>
      <c r="N31" s="3072" t="str">
        <f t="shared" ca="1" si="3"/>
        <v>√</v>
      </c>
      <c r="O31" s="641"/>
      <c r="P31" s="641"/>
      <c r="Q31" s="641"/>
      <c r="R31" s="641"/>
    </row>
    <row r="32" spans="1:18" ht="24">
      <c r="A32" s="30"/>
      <c r="B32" s="3066" t="s">
        <v>312</v>
      </c>
      <c r="C32" s="3067" t="s">
        <v>99</v>
      </c>
      <c r="D32" s="3068">
        <v>8499</v>
      </c>
      <c r="E32" s="3075" t="str">
        <f t="shared" si="0"/>
        <v>专项储备_本期期末余额</v>
      </c>
      <c r="F32" s="3069" t="str">
        <f>Area_RepDuration</f>
        <v>2019年度</v>
      </c>
      <c r="G32" s="3080">
        <f ca="1">INDIRECT(C32&amp;"!CheckA"&amp;D32)</f>
        <v>4545209.38</v>
      </c>
      <c r="H32" s="3070" t="s">
        <v>59</v>
      </c>
      <c r="I32" s="3068">
        <v>4301</v>
      </c>
      <c r="J32" s="3075" t="str">
        <f t="shared" si="1"/>
        <v>专项储备</v>
      </c>
      <c r="K32" s="3069">
        <f>Area_RepDate</f>
        <v>43830</v>
      </c>
      <c r="L32" s="3080">
        <f ca="1">INDIRECT(H32&amp;"!CheckA"&amp;I32)</f>
        <v>4545209.38</v>
      </c>
      <c r="M32" s="3071">
        <f t="shared" ca="1" si="2"/>
        <v>0</v>
      </c>
      <c r="N32" s="3072" t="str">
        <f t="shared" ca="1" si="3"/>
        <v>√</v>
      </c>
      <c r="O32" s="641"/>
      <c r="P32" s="641"/>
      <c r="Q32" s="641"/>
      <c r="R32" s="641"/>
    </row>
    <row r="33" spans="1:18" ht="24">
      <c r="A33" s="30"/>
      <c r="B33" s="3066" t="s">
        <v>318</v>
      </c>
      <c r="C33" s="3067" t="s">
        <v>99</v>
      </c>
      <c r="D33" s="3068">
        <v>8499</v>
      </c>
      <c r="E33" s="3074" t="str">
        <f t="shared" si="0"/>
        <v>专项储备_本期期末余额</v>
      </c>
      <c r="F33" s="3069" t="str">
        <f>Area_RepDuration1</f>
        <v>2018年度</v>
      </c>
      <c r="G33" s="3079">
        <f ca="1">INDIRECT(C33&amp;"!CheckB"&amp;D33)</f>
        <v>8378246.8099999996</v>
      </c>
      <c r="H33" s="3070" t="s">
        <v>59</v>
      </c>
      <c r="I33" s="3068">
        <v>4301</v>
      </c>
      <c r="J33" s="3074" t="str">
        <f t="shared" si="1"/>
        <v>专项储备</v>
      </c>
      <c r="K33" s="3069">
        <f>Area_RepDate1</f>
        <v>43465</v>
      </c>
      <c r="L33" s="3079">
        <f ca="1">INDIRECT(H33&amp;"!CheckB"&amp;I33)</f>
        <v>8378246.8099999996</v>
      </c>
      <c r="M33" s="3071">
        <f t="shared" ca="1" si="2"/>
        <v>0</v>
      </c>
      <c r="N33" s="3072" t="str">
        <f t="shared" ca="1" si="3"/>
        <v>√</v>
      </c>
      <c r="O33" s="641"/>
      <c r="P33" s="641"/>
      <c r="Q33" s="641"/>
      <c r="R33" s="641"/>
    </row>
    <row r="34" spans="1:18" ht="24">
      <c r="A34" s="30"/>
      <c r="B34" s="3066" t="s">
        <v>324</v>
      </c>
      <c r="C34" s="3067" t="s">
        <v>99</v>
      </c>
      <c r="D34" s="3068">
        <v>8599</v>
      </c>
      <c r="E34" s="3075" t="str">
        <f t="shared" si="0"/>
        <v>盈余公积_本期期末余额</v>
      </c>
      <c r="F34" s="3069" t="str">
        <f>Area_RepDuration</f>
        <v>2019年度</v>
      </c>
      <c r="G34" s="3080">
        <f ca="1">INDIRECT(C34&amp;"!CheckA"&amp;D34)</f>
        <v>4637867.0999999996</v>
      </c>
      <c r="H34" s="3070" t="s">
        <v>59</v>
      </c>
      <c r="I34" s="3068">
        <v>4101</v>
      </c>
      <c r="J34" s="3075" t="str">
        <f t="shared" si="1"/>
        <v>盈余公积</v>
      </c>
      <c r="K34" s="3069">
        <f>Area_RepDate</f>
        <v>43830</v>
      </c>
      <c r="L34" s="3080">
        <f ca="1">INDIRECT(H34&amp;"!CheckA"&amp;I34)</f>
        <v>4637867.0999999996</v>
      </c>
      <c r="M34" s="3071">
        <f t="shared" ca="1" si="2"/>
        <v>0</v>
      </c>
      <c r="N34" s="3072" t="str">
        <f t="shared" ca="1" si="3"/>
        <v>√</v>
      </c>
      <c r="O34" s="641"/>
      <c r="P34" s="641"/>
      <c r="Q34" s="641"/>
      <c r="R34" s="641"/>
    </row>
    <row r="35" spans="1:18" ht="24">
      <c r="A35" s="30"/>
      <c r="B35" s="3066" t="s">
        <v>330</v>
      </c>
      <c r="C35" s="3067" t="s">
        <v>99</v>
      </c>
      <c r="D35" s="3068">
        <v>8599</v>
      </c>
      <c r="E35" s="3074" t="str">
        <f t="shared" si="0"/>
        <v>盈余公积_本期期末余额</v>
      </c>
      <c r="F35" s="3069" t="str">
        <f>Area_RepDuration1</f>
        <v>2018年度</v>
      </c>
      <c r="G35" s="3079">
        <f ca="1">INDIRECT(C35&amp;"!CheckB"&amp;D35)</f>
        <v>4637867.0999999996</v>
      </c>
      <c r="H35" s="3070" t="s">
        <v>59</v>
      </c>
      <c r="I35" s="3068">
        <v>4101</v>
      </c>
      <c r="J35" s="3074" t="str">
        <f t="shared" si="1"/>
        <v>盈余公积</v>
      </c>
      <c r="K35" s="3069">
        <f>Area_RepDate1</f>
        <v>43465</v>
      </c>
      <c r="L35" s="3079">
        <f ca="1">INDIRECT(H35&amp;"!CheckB"&amp;I35)</f>
        <v>4637867.0999999996</v>
      </c>
      <c r="M35" s="3071">
        <f t="shared" ca="1" si="2"/>
        <v>0</v>
      </c>
      <c r="N35" s="3072" t="str">
        <f t="shared" ca="1" si="3"/>
        <v>√</v>
      </c>
      <c r="O35" s="641"/>
      <c r="P35" s="641"/>
      <c r="Q35" s="641"/>
      <c r="R35" s="641"/>
    </row>
    <row r="36" spans="1:18" ht="24">
      <c r="A36" s="30"/>
      <c r="B36" s="3066" t="s">
        <v>338</v>
      </c>
      <c r="C36" s="3067" t="s">
        <v>99</v>
      </c>
      <c r="D36" s="3068">
        <v>8699</v>
      </c>
      <c r="E36" s="3075" t="str">
        <f t="shared" si="0"/>
        <v>一般风险准备_本期期末余额</v>
      </c>
      <c r="F36" s="3069" t="str">
        <f>Area_RepDuration</f>
        <v>2019年度</v>
      </c>
      <c r="G36" s="3080">
        <f ca="1">INDIRECT(C36&amp;"!CheckA"&amp;D36)</f>
        <v>0</v>
      </c>
      <c r="H36" s="3070" t="s">
        <v>59</v>
      </c>
      <c r="I36" s="3068">
        <v>4102</v>
      </c>
      <c r="J36" s="3075" t="str">
        <f t="shared" si="1"/>
        <v>一般风险准备</v>
      </c>
      <c r="K36" s="3069">
        <f>Area_RepDate</f>
        <v>43830</v>
      </c>
      <c r="L36" s="3080">
        <f ca="1">INDIRECT(H36&amp;"!CheckA"&amp;I36)</f>
        <v>0</v>
      </c>
      <c r="M36" s="3071">
        <f t="shared" ca="1" si="2"/>
        <v>0</v>
      </c>
      <c r="N36" s="3072" t="str">
        <f t="shared" ca="1" si="3"/>
        <v>√</v>
      </c>
      <c r="O36" s="641"/>
      <c r="P36" s="641"/>
      <c r="Q36" s="641"/>
      <c r="R36" s="641"/>
    </row>
    <row r="37" spans="1:18" ht="24">
      <c r="A37" s="30"/>
      <c r="B37" s="3066" t="s">
        <v>345</v>
      </c>
      <c r="C37" s="3067" t="s">
        <v>99</v>
      </c>
      <c r="D37" s="3068">
        <v>8699</v>
      </c>
      <c r="E37" s="3074" t="str">
        <f t="shared" si="0"/>
        <v>一般风险准备_本期期末余额</v>
      </c>
      <c r="F37" s="3069" t="str">
        <f>Area_RepDuration1</f>
        <v>2018年度</v>
      </c>
      <c r="G37" s="3079">
        <f ca="1">INDIRECT(C37&amp;"!CheckB"&amp;D37)</f>
        <v>0</v>
      </c>
      <c r="H37" s="3070" t="s">
        <v>59</v>
      </c>
      <c r="I37" s="3068">
        <v>4102</v>
      </c>
      <c r="J37" s="3074" t="str">
        <f t="shared" si="1"/>
        <v>一般风险准备</v>
      </c>
      <c r="K37" s="3069">
        <f>Area_RepDate1</f>
        <v>43465</v>
      </c>
      <c r="L37" s="3079">
        <f ca="1">INDIRECT(H37&amp;"!CheckB"&amp;I37)</f>
        <v>0</v>
      </c>
      <c r="M37" s="3071">
        <f t="shared" ca="1" si="2"/>
        <v>0</v>
      </c>
      <c r="N37" s="3072" t="str">
        <f t="shared" ca="1" si="3"/>
        <v>√</v>
      </c>
      <c r="O37" s="641"/>
      <c r="P37" s="641"/>
      <c r="Q37" s="641"/>
      <c r="R37" s="641"/>
    </row>
    <row r="38" spans="1:18" ht="24">
      <c r="A38" s="30"/>
      <c r="B38" s="3066" t="s">
        <v>352</v>
      </c>
      <c r="C38" s="3067" t="s">
        <v>99</v>
      </c>
      <c r="D38" s="3068">
        <v>8799</v>
      </c>
      <c r="E38" s="3075" t="str">
        <f t="shared" si="0"/>
        <v>未分配利润_本期期末余额</v>
      </c>
      <c r="F38" s="3069" t="str">
        <f>Area_RepDuration</f>
        <v>2019年度</v>
      </c>
      <c r="G38" s="3080">
        <f ca="1">INDIRECT(C38&amp;"!CheckA"&amp;D38)</f>
        <v>-143648994.83000001</v>
      </c>
      <c r="H38" s="3070" t="s">
        <v>59</v>
      </c>
      <c r="I38" s="3068">
        <v>4200</v>
      </c>
      <c r="J38" s="3075" t="str">
        <f t="shared" si="1"/>
        <v>未分配利润</v>
      </c>
      <c r="K38" s="3069">
        <f>Area_RepDate</f>
        <v>43830</v>
      </c>
      <c r="L38" s="3080">
        <f ca="1">INDIRECT(H38&amp;"!CheckA"&amp;I38)</f>
        <v>-143648994.83000001</v>
      </c>
      <c r="M38" s="3071">
        <f t="shared" ca="1" si="2"/>
        <v>0</v>
      </c>
      <c r="N38" s="3072" t="str">
        <f t="shared" ca="1" si="3"/>
        <v>√</v>
      </c>
      <c r="O38" s="641"/>
      <c r="P38" s="641"/>
      <c r="Q38" s="641"/>
      <c r="R38" s="641"/>
    </row>
    <row r="39" spans="1:18" ht="24">
      <c r="A39" s="30"/>
      <c r="B39" s="3066" t="s">
        <v>360</v>
      </c>
      <c r="C39" s="3067" t="s">
        <v>99</v>
      </c>
      <c r="D39" s="3068">
        <v>8799</v>
      </c>
      <c r="E39" s="3074" t="str">
        <f t="shared" si="0"/>
        <v>未分配利润_本期期末余额</v>
      </c>
      <c r="F39" s="3069" t="str">
        <f>Area_RepDuration1</f>
        <v>2018年度</v>
      </c>
      <c r="G39" s="3079">
        <f ca="1">INDIRECT(C39&amp;"!CheckB"&amp;D39)</f>
        <v>-145316230.15000001</v>
      </c>
      <c r="H39" s="3070" t="s">
        <v>59</v>
      </c>
      <c r="I39" s="3068">
        <v>4200</v>
      </c>
      <c r="J39" s="3074" t="str">
        <f t="shared" si="1"/>
        <v>未分配利润</v>
      </c>
      <c r="K39" s="3069">
        <f>Area_RepDate1</f>
        <v>43465</v>
      </c>
      <c r="L39" s="3079">
        <f ca="1">INDIRECT(H39&amp;"!CheckB"&amp;I39)</f>
        <v>-145316230.15000001</v>
      </c>
      <c r="M39" s="3071">
        <f t="shared" ca="1" si="2"/>
        <v>0</v>
      </c>
      <c r="N39" s="3072" t="str">
        <f t="shared" ca="1" si="3"/>
        <v>√</v>
      </c>
      <c r="O39" s="641"/>
      <c r="P39" s="641"/>
      <c r="Q39" s="641"/>
      <c r="R39" s="641"/>
    </row>
    <row r="40" spans="1:18" ht="24">
      <c r="A40" s="30"/>
      <c r="B40" s="3066" t="s">
        <v>368</v>
      </c>
      <c r="C40" s="3067" t="s">
        <v>99</v>
      </c>
      <c r="D40" s="3068">
        <v>8099</v>
      </c>
      <c r="E40" s="3075" t="str">
        <f t="shared" si="0"/>
        <v>所有者权益_本期期末余额</v>
      </c>
      <c r="F40" s="3069" t="str">
        <f>Area_RepDuration</f>
        <v>2019年度</v>
      </c>
      <c r="G40" s="3080">
        <f ca="1">INDIRECT(C40&amp;"!CheckA"&amp;D40)</f>
        <v>189646248.53999999</v>
      </c>
      <c r="H40" s="3070" t="s">
        <v>59</v>
      </c>
      <c r="I40" s="3068">
        <v>4999</v>
      </c>
      <c r="J40" s="3075" t="str">
        <f t="shared" si="1"/>
        <v>所有者权益</v>
      </c>
      <c r="K40" s="3069">
        <f>Area_RepDate</f>
        <v>43830</v>
      </c>
      <c r="L40" s="3080">
        <f ca="1">INDIRECT(H40&amp;"!CheckA"&amp;I40)</f>
        <v>189646248.53999999</v>
      </c>
      <c r="M40" s="3071">
        <f t="shared" ca="1" si="2"/>
        <v>0</v>
      </c>
      <c r="N40" s="3072" t="str">
        <f t="shared" ca="1" si="3"/>
        <v>√</v>
      </c>
      <c r="O40" s="641"/>
      <c r="P40" s="641"/>
      <c r="Q40" s="641"/>
      <c r="R40" s="641"/>
    </row>
    <row r="41" spans="1:18" ht="24">
      <c r="A41" s="30"/>
      <c r="B41" s="3066" t="s">
        <v>375</v>
      </c>
      <c r="C41" s="3067" t="s">
        <v>99</v>
      </c>
      <c r="D41" s="3068">
        <v>8099</v>
      </c>
      <c r="E41" s="3074" t="str">
        <f t="shared" ref="E41:E72" si="8">VLOOKUP(D41,Sheet_Items,2,0)</f>
        <v>所有者权益_本期期末余额</v>
      </c>
      <c r="F41" s="3069" t="str">
        <f>Area_RepDuration1</f>
        <v>2018年度</v>
      </c>
      <c r="G41" s="3079">
        <f ca="1">INDIRECT(C41&amp;"!CheckB"&amp;D41)</f>
        <v>191812050.65000001</v>
      </c>
      <c r="H41" s="3070" t="s">
        <v>59</v>
      </c>
      <c r="I41" s="3068">
        <v>4999</v>
      </c>
      <c r="J41" s="3074" t="str">
        <f t="shared" ref="J41:J72" si="9">VLOOKUP(I41,Sheet_Items,2,0)</f>
        <v>所有者权益</v>
      </c>
      <c r="K41" s="3069">
        <f>Area_RepDate1</f>
        <v>43465</v>
      </c>
      <c r="L41" s="3079">
        <f ca="1">INDIRECT(H41&amp;"!CheckB"&amp;I41)</f>
        <v>191812050.65000001</v>
      </c>
      <c r="M41" s="3071">
        <f t="shared" ref="M41:M72" ca="1" si="10">ROUND(G41-L41,2)</f>
        <v>0</v>
      </c>
      <c r="N41" s="3072" t="str">
        <f t="shared" ref="N41:N72" ca="1" si="11">IF(M41=0,"√","×")</f>
        <v>√</v>
      </c>
      <c r="O41" s="641"/>
      <c r="P41" s="641"/>
      <c r="Q41" s="641"/>
      <c r="R41" s="641"/>
    </row>
    <row r="42" spans="1:18" ht="24">
      <c r="A42" s="30"/>
      <c r="B42" s="3066" t="s">
        <v>382</v>
      </c>
      <c r="C42" s="3067" t="s">
        <v>383</v>
      </c>
      <c r="D42" s="3068">
        <v>7349</v>
      </c>
      <c r="E42" s="3075" t="str">
        <f t="shared" si="8"/>
        <v>期初现金及现金等价物余额</v>
      </c>
      <c r="F42" s="3069" t="str">
        <f>Area_RepDuration</f>
        <v>2019年度</v>
      </c>
      <c r="G42" s="3080">
        <f ca="1">INDIRECT(C42&amp;"!CheckA"&amp;D42)</f>
        <v>35726503</v>
      </c>
      <c r="H42" s="3070" t="s">
        <v>383</v>
      </c>
      <c r="I42" s="3068">
        <v>7399</v>
      </c>
      <c r="J42" s="3074" t="str">
        <f t="shared" si="9"/>
        <v>期末现金及现金等价物余额</v>
      </c>
      <c r="K42" s="3069" t="str">
        <f>Area_RepDuration1</f>
        <v>2018年度</v>
      </c>
      <c r="L42" s="3079">
        <f ca="1">INDIRECT(H42&amp;"!CheckB"&amp;I42)</f>
        <v>35726503</v>
      </c>
      <c r="M42" s="3071">
        <f t="shared" ca="1" si="10"/>
        <v>0</v>
      </c>
      <c r="N42" s="3072" t="str">
        <f t="shared" ca="1" si="11"/>
        <v>√</v>
      </c>
      <c r="O42" s="641"/>
      <c r="P42" s="641"/>
      <c r="Q42" s="641"/>
      <c r="R42" s="641"/>
    </row>
    <row r="43" spans="1:18" ht="18">
      <c r="A43" s="30"/>
      <c r="B43" s="3066" t="s">
        <v>389</v>
      </c>
      <c r="C43" s="3067" t="s">
        <v>383</v>
      </c>
      <c r="D43" s="3068">
        <v>7502</v>
      </c>
      <c r="E43" s="3075" t="str">
        <f t="shared" si="8"/>
        <v>净利润金额</v>
      </c>
      <c r="F43" s="3069" t="str">
        <f>Area_RepDuration</f>
        <v>2019年度</v>
      </c>
      <c r="G43" s="3080">
        <f ca="1">INDIRECT(C43&amp;"!CheckA"&amp;D43)</f>
        <v>1667235.32</v>
      </c>
      <c r="H43" s="3070" t="s">
        <v>97</v>
      </c>
      <c r="I43" s="3068">
        <v>6799</v>
      </c>
      <c r="J43" s="3075" t="str">
        <f t="shared" si="9"/>
        <v>净利润</v>
      </c>
      <c r="K43" s="3069" t="str">
        <f>Area_RepDuration</f>
        <v>2019年度</v>
      </c>
      <c r="L43" s="3080">
        <f ca="1">INDIRECT(H43&amp;"!CheckA"&amp;I43)</f>
        <v>1667235.32</v>
      </c>
      <c r="M43" s="3071">
        <f t="shared" ca="1" si="10"/>
        <v>0</v>
      </c>
      <c r="N43" s="3072" t="str">
        <f t="shared" ca="1" si="11"/>
        <v>√</v>
      </c>
      <c r="O43" s="641"/>
      <c r="P43" s="641"/>
      <c r="Q43" s="641"/>
      <c r="R43" s="641"/>
    </row>
    <row r="44" spans="1:18" ht="18">
      <c r="A44" s="30"/>
      <c r="B44" s="3066" t="s">
        <v>395</v>
      </c>
      <c r="C44" s="3067" t="s">
        <v>383</v>
      </c>
      <c r="D44" s="3068">
        <v>7502</v>
      </c>
      <c r="E44" s="3074" t="str">
        <f t="shared" si="8"/>
        <v>净利润金额</v>
      </c>
      <c r="F44" s="3069" t="str">
        <f>Area_RepDuration1</f>
        <v>2018年度</v>
      </c>
      <c r="G44" s="3079">
        <f ca="1">INDIRECT(C44&amp;"!CheckB"&amp;D44)</f>
        <v>27366351.41</v>
      </c>
      <c r="H44" s="3070" t="s">
        <v>97</v>
      </c>
      <c r="I44" s="3068">
        <v>6799</v>
      </c>
      <c r="J44" s="3074" t="str">
        <f t="shared" si="9"/>
        <v>净利润</v>
      </c>
      <c r="K44" s="3069" t="str">
        <f>Area_RepDuration1</f>
        <v>2018年度</v>
      </c>
      <c r="L44" s="3079">
        <f ca="1">INDIRECT(H44&amp;"!CheckB"&amp;I44)</f>
        <v>27366351.41</v>
      </c>
      <c r="M44" s="3071">
        <f t="shared" ca="1" si="10"/>
        <v>0</v>
      </c>
      <c r="N44" s="3072" t="str">
        <f t="shared" ca="1" si="11"/>
        <v>√</v>
      </c>
      <c r="O44" s="641"/>
      <c r="P44" s="641"/>
      <c r="Q44" s="641"/>
      <c r="R44" s="641"/>
    </row>
    <row r="45" spans="1:18" ht="24">
      <c r="A45" s="30"/>
      <c r="B45" s="3066" t="s">
        <v>401</v>
      </c>
      <c r="C45" s="3067" t="s">
        <v>383</v>
      </c>
      <c r="D45" s="3068">
        <v>7525</v>
      </c>
      <c r="E45" s="3075" t="str">
        <f t="shared" si="8"/>
        <v>经营活动产生的现金流量净额</v>
      </c>
      <c r="F45" s="3069" t="str">
        <f>Area_RepDuration</f>
        <v>2019年度</v>
      </c>
      <c r="G45" s="3080">
        <f ca="1">INDIRECT(C45&amp;"!CheckA"&amp;D45)</f>
        <v>45949723.329999998</v>
      </c>
      <c r="H45" s="3070" t="s">
        <v>383</v>
      </c>
      <c r="I45" s="3068">
        <v>7099</v>
      </c>
      <c r="J45" s="3075" t="str">
        <f t="shared" si="9"/>
        <v>经营活动产生的现金流量净额</v>
      </c>
      <c r="K45" s="3069" t="str">
        <f>Area_RepDuration</f>
        <v>2019年度</v>
      </c>
      <c r="L45" s="3080">
        <f ca="1">INDIRECT(H45&amp;"!CheckA"&amp;I45)</f>
        <v>30734887.550000001</v>
      </c>
      <c r="M45" s="3071">
        <f t="shared" ca="1" si="10"/>
        <v>15214835.779999999</v>
      </c>
      <c r="N45" s="3072" t="str">
        <f t="shared" ca="1" si="11"/>
        <v>×</v>
      </c>
      <c r="O45" s="641"/>
      <c r="P45" s="641"/>
      <c r="Q45" s="641"/>
      <c r="R45" s="641"/>
    </row>
    <row r="46" spans="1:18" ht="24">
      <c r="A46" s="30"/>
      <c r="B46" s="3066" t="s">
        <v>408</v>
      </c>
      <c r="C46" s="3067" t="s">
        <v>383</v>
      </c>
      <c r="D46" s="3068">
        <v>7525</v>
      </c>
      <c r="E46" s="3074" t="str">
        <f t="shared" si="8"/>
        <v>经营活动产生的现金流量净额</v>
      </c>
      <c r="F46" s="3069" t="str">
        <f>Area_RepDuration1</f>
        <v>2018年度</v>
      </c>
      <c r="G46" s="3079">
        <f ca="1">INDIRECT(C46&amp;"!CheckB"&amp;D46)</f>
        <v>79775356.629999995</v>
      </c>
      <c r="H46" s="3070" t="s">
        <v>383</v>
      </c>
      <c r="I46" s="3068">
        <v>7099</v>
      </c>
      <c r="J46" s="3074" t="str">
        <f t="shared" si="9"/>
        <v>经营活动产生的现金流量净额</v>
      </c>
      <c r="K46" s="3069" t="str">
        <f>Area_RepDuration1</f>
        <v>2018年度</v>
      </c>
      <c r="L46" s="3079">
        <f ca="1">INDIRECT(H46&amp;"!CheckB"&amp;I46)</f>
        <v>79775356.629999995</v>
      </c>
      <c r="M46" s="3071">
        <f t="shared" ca="1" si="10"/>
        <v>0</v>
      </c>
      <c r="N46" s="3072" t="str">
        <f t="shared" ca="1" si="11"/>
        <v>√</v>
      </c>
      <c r="O46" s="641"/>
      <c r="P46" s="641"/>
      <c r="Q46" s="641"/>
      <c r="R46" s="641"/>
    </row>
    <row r="47" spans="1:18" ht="24">
      <c r="A47" s="30"/>
      <c r="B47" s="3066" t="s">
        <v>414</v>
      </c>
      <c r="C47" s="3067" t="s">
        <v>383</v>
      </c>
      <c r="D47" s="3068">
        <v>7539</v>
      </c>
      <c r="E47" s="3075" t="str">
        <f t="shared" si="8"/>
        <v>现金及现金等价物净增加额</v>
      </c>
      <c r="F47" s="3069" t="str">
        <f>Area_RepDuration</f>
        <v>2019年度</v>
      </c>
      <c r="G47" s="3080">
        <f ca="1">INDIRECT(C47&amp;"!CheckA"&amp;D47)</f>
        <v>-29044668.09</v>
      </c>
      <c r="H47" s="3070" t="s">
        <v>383</v>
      </c>
      <c r="I47" s="3068">
        <v>7348</v>
      </c>
      <c r="J47" s="3075" t="str">
        <f t="shared" si="9"/>
        <v>现金及现金等价物净增加额</v>
      </c>
      <c r="K47" s="3069" t="str">
        <f>Area_RepDuration</f>
        <v>2019年度</v>
      </c>
      <c r="L47" s="3080">
        <f ca="1">INDIRECT(H47&amp;"!CheckA"&amp;I47)</f>
        <v>-29044668.09</v>
      </c>
      <c r="M47" s="3071">
        <f t="shared" ca="1" si="10"/>
        <v>0</v>
      </c>
      <c r="N47" s="3072" t="str">
        <f t="shared" ca="1" si="11"/>
        <v>√</v>
      </c>
      <c r="O47" s="641"/>
      <c r="P47" s="641"/>
      <c r="Q47" s="641"/>
      <c r="R47" s="641"/>
    </row>
    <row r="48" spans="1:18" ht="24">
      <c r="A48" s="30"/>
      <c r="B48" s="3066" t="s">
        <v>421</v>
      </c>
      <c r="C48" s="3067" t="s">
        <v>383</v>
      </c>
      <c r="D48" s="3068">
        <v>7539</v>
      </c>
      <c r="E48" s="3074" t="str">
        <f t="shared" si="8"/>
        <v>现金及现金等价物净增加额</v>
      </c>
      <c r="F48" s="3069" t="str">
        <f>Area_RepDuration1</f>
        <v>2018年度</v>
      </c>
      <c r="G48" s="3079">
        <f ca="1">INDIRECT(C48&amp;"!CheckB"&amp;D48)</f>
        <v>27630420.84</v>
      </c>
      <c r="H48" s="3070" t="s">
        <v>383</v>
      </c>
      <c r="I48" s="3068">
        <v>7348</v>
      </c>
      <c r="J48" s="3074" t="str">
        <f t="shared" si="9"/>
        <v>现金及现金等价物净增加额</v>
      </c>
      <c r="K48" s="3069" t="str">
        <f>Area_RepDuration1</f>
        <v>2018年度</v>
      </c>
      <c r="L48" s="3079">
        <f ca="1">INDIRECT(H48&amp;"!CheckB"&amp;I48)</f>
        <v>27630420.84</v>
      </c>
      <c r="M48" s="3071">
        <f t="shared" ca="1" si="10"/>
        <v>0</v>
      </c>
      <c r="N48" s="3072" t="str">
        <f t="shared" ca="1" si="11"/>
        <v>√</v>
      </c>
      <c r="O48" s="641"/>
      <c r="P48" s="641"/>
      <c r="Q48" s="641"/>
      <c r="R48" s="641"/>
    </row>
    <row r="49" spans="1:18" ht="18">
      <c r="A49" s="30"/>
      <c r="B49" s="3066" t="s">
        <v>427</v>
      </c>
      <c r="C49" s="3067" t="s">
        <v>428</v>
      </c>
      <c r="D49" s="3068">
        <v>1999</v>
      </c>
      <c r="E49" s="3075" t="str">
        <f t="shared" si="8"/>
        <v>资产</v>
      </c>
      <c r="F49" s="3069">
        <f>Area_RepDate</f>
        <v>43830</v>
      </c>
      <c r="G49" s="3080">
        <f ca="1">INDIRECT(C49&amp;"!CheckA"&amp;D49)</f>
        <v>257874460.55000001</v>
      </c>
      <c r="H49" s="3070" t="s">
        <v>428</v>
      </c>
      <c r="I49" s="3068">
        <v>5000</v>
      </c>
      <c r="J49" s="3075" t="str">
        <f t="shared" si="9"/>
        <v>负债和所有者权益</v>
      </c>
      <c r="K49" s="3069">
        <f>Area_RepDate</f>
        <v>43830</v>
      </c>
      <c r="L49" s="3080">
        <f ca="1">INDIRECT(H49&amp;"!CheckA"&amp;I49)</f>
        <v>257874460.55000001</v>
      </c>
      <c r="M49" s="3071">
        <f t="shared" ca="1" si="10"/>
        <v>0</v>
      </c>
      <c r="N49" s="3072" t="str">
        <f t="shared" ca="1" si="11"/>
        <v>√</v>
      </c>
      <c r="O49" s="641"/>
      <c r="P49" s="641"/>
      <c r="Q49" s="641"/>
      <c r="R49" s="641"/>
    </row>
    <row r="50" spans="1:18" ht="18">
      <c r="A50" s="30"/>
      <c r="B50" s="3066" t="s">
        <v>435</v>
      </c>
      <c r="C50" s="3067" t="s">
        <v>428</v>
      </c>
      <c r="D50" s="3068">
        <v>1999</v>
      </c>
      <c r="E50" s="3074" t="str">
        <f t="shared" si="8"/>
        <v>资产</v>
      </c>
      <c r="F50" s="3069">
        <f>Area_RepDate1</f>
        <v>43465</v>
      </c>
      <c r="G50" s="3079">
        <f ca="1">INDIRECT(C50&amp;"!CheckB"&amp;D50)</f>
        <v>349257402.50999999</v>
      </c>
      <c r="H50" s="3070" t="s">
        <v>428</v>
      </c>
      <c r="I50" s="3068">
        <v>5000</v>
      </c>
      <c r="J50" s="3074" t="str">
        <f t="shared" si="9"/>
        <v>负债和所有者权益</v>
      </c>
      <c r="K50" s="3069">
        <f>Area_RepDate1</f>
        <v>43465</v>
      </c>
      <c r="L50" s="3079">
        <f ca="1">INDIRECT(H50&amp;"!CheckB"&amp;I50)</f>
        <v>349257402.50999999</v>
      </c>
      <c r="M50" s="3071">
        <f t="shared" ca="1" si="10"/>
        <v>0</v>
      </c>
      <c r="N50" s="3072" t="str">
        <f t="shared" ca="1" si="11"/>
        <v>√</v>
      </c>
      <c r="O50" s="641"/>
      <c r="P50" s="641"/>
      <c r="Q50" s="641"/>
      <c r="R50" s="641"/>
    </row>
    <row r="51" spans="1:18" ht="24">
      <c r="A51" s="30"/>
      <c r="B51" s="3066" t="s">
        <v>440</v>
      </c>
      <c r="C51" s="3067" t="s">
        <v>441</v>
      </c>
      <c r="D51" s="3068">
        <v>6839</v>
      </c>
      <c r="E51" s="3075" t="str">
        <f t="shared" si="8"/>
        <v>综合收益总额</v>
      </c>
      <c r="F51" s="3069" t="str">
        <f>Area_RepDuration</f>
        <v>2019年度</v>
      </c>
      <c r="G51" s="3080">
        <f ca="1">INDIRECT(C51&amp;"!CheckA"&amp;D51)</f>
        <v>-13547600.460000001</v>
      </c>
      <c r="H51" s="3070" t="s">
        <v>442</v>
      </c>
      <c r="I51" s="3068">
        <v>8040</v>
      </c>
      <c r="J51" s="3075" t="str">
        <f t="shared" si="9"/>
        <v>所有者权益_综合收益总额增加权益</v>
      </c>
      <c r="K51" s="3069" t="str">
        <f>Area_RepDuration</f>
        <v>2019年度</v>
      </c>
      <c r="L51" s="3080">
        <f ca="1">INDIRECT(H51&amp;"!CheckA"&amp;I51)</f>
        <v>-13547600.460000001</v>
      </c>
      <c r="M51" s="3071">
        <f t="shared" ca="1" si="10"/>
        <v>0</v>
      </c>
      <c r="N51" s="3072" t="str">
        <f t="shared" ca="1" si="11"/>
        <v>√</v>
      </c>
      <c r="O51" s="641"/>
      <c r="P51" s="641"/>
      <c r="Q51" s="641"/>
      <c r="R51" s="641"/>
    </row>
    <row r="52" spans="1:18" ht="24">
      <c r="A52" s="30"/>
      <c r="B52" s="3066" t="s">
        <v>450</v>
      </c>
      <c r="C52" s="3067" t="s">
        <v>441</v>
      </c>
      <c r="D52" s="3068">
        <v>6839</v>
      </c>
      <c r="E52" s="3074" t="str">
        <f t="shared" si="8"/>
        <v>综合收益总额</v>
      </c>
      <c r="F52" s="3069" t="str">
        <f>Area_RepDuration1</f>
        <v>2018年度</v>
      </c>
      <c r="G52" s="3079">
        <f ca="1">INDIRECT(C52&amp;"!CheckB"&amp;D52)</f>
        <v>27366351.41</v>
      </c>
      <c r="H52" s="3070" t="s">
        <v>442</v>
      </c>
      <c r="I52" s="3068">
        <v>8040</v>
      </c>
      <c r="J52" s="3074" t="str">
        <f t="shared" si="9"/>
        <v>所有者权益_综合收益总额增加权益</v>
      </c>
      <c r="K52" s="3069" t="str">
        <f t="shared" ref="K52:K61" si="12">Area_RepDuration1</f>
        <v>2018年度</v>
      </c>
      <c r="L52" s="3079">
        <f t="shared" ref="L52:L61" ca="1" si="13">INDIRECT(H52&amp;"!CheckB"&amp;I52)</f>
        <v>27366351.41</v>
      </c>
      <c r="M52" s="3071">
        <f t="shared" ca="1" si="10"/>
        <v>0</v>
      </c>
      <c r="N52" s="3072" t="str">
        <f t="shared" ca="1" si="11"/>
        <v>√</v>
      </c>
      <c r="O52" s="641"/>
      <c r="P52" s="641"/>
      <c r="Q52" s="641"/>
      <c r="R52" s="641"/>
    </row>
    <row r="53" spans="1:18" ht="24">
      <c r="A53" s="30"/>
      <c r="B53" s="3066" t="s">
        <v>455</v>
      </c>
      <c r="C53" s="3067" t="s">
        <v>442</v>
      </c>
      <c r="D53" s="3068">
        <v>8110</v>
      </c>
      <c r="E53" s="3075" t="str">
        <f t="shared" si="8"/>
        <v>实收资本_本年年初余额</v>
      </c>
      <c r="F53" s="3069" t="str">
        <f t="shared" ref="F53:F62" si="14">Area_RepDuration</f>
        <v>2019年度</v>
      </c>
      <c r="G53" s="3080">
        <f t="shared" ref="G53:G62" ca="1" si="15">INDIRECT(C53&amp;"!CheckA"&amp;D53)</f>
        <v>85691911</v>
      </c>
      <c r="H53" s="3070" t="s">
        <v>442</v>
      </c>
      <c r="I53" s="3068">
        <v>8199</v>
      </c>
      <c r="J53" s="3074" t="str">
        <f t="shared" si="9"/>
        <v>实收资本_本期期末余额</v>
      </c>
      <c r="K53" s="3069" t="str">
        <f t="shared" si="12"/>
        <v>2018年度</v>
      </c>
      <c r="L53" s="3079">
        <f t="shared" ca="1" si="13"/>
        <v>85691911</v>
      </c>
      <c r="M53" s="3071">
        <f t="shared" ca="1" si="10"/>
        <v>0</v>
      </c>
      <c r="N53" s="3072" t="str">
        <f t="shared" ca="1" si="11"/>
        <v>√</v>
      </c>
      <c r="O53" s="641"/>
      <c r="P53" s="641"/>
      <c r="Q53" s="641"/>
      <c r="R53" s="641"/>
    </row>
    <row r="54" spans="1:18" ht="24">
      <c r="A54" s="30"/>
      <c r="B54" s="3066" t="s">
        <v>458</v>
      </c>
      <c r="C54" s="3067" t="s">
        <v>442</v>
      </c>
      <c r="D54" s="3068">
        <v>8210</v>
      </c>
      <c r="E54" s="3075" t="str">
        <f t="shared" si="8"/>
        <v>资本公积_本年年初余额</v>
      </c>
      <c r="F54" s="3069" t="str">
        <f t="shared" si="14"/>
        <v>2019年度</v>
      </c>
      <c r="G54" s="3080">
        <f t="shared" ca="1" si="15"/>
        <v>238420255.88999999</v>
      </c>
      <c r="H54" s="3070" t="s">
        <v>442</v>
      </c>
      <c r="I54" s="3068">
        <v>8299</v>
      </c>
      <c r="J54" s="3074" t="str">
        <f t="shared" si="9"/>
        <v>资本公积_本期期末余额</v>
      </c>
      <c r="K54" s="3069" t="str">
        <f t="shared" si="12"/>
        <v>2018年度</v>
      </c>
      <c r="L54" s="3079">
        <f t="shared" ca="1" si="13"/>
        <v>238420255.88999999</v>
      </c>
      <c r="M54" s="3071">
        <f t="shared" ca="1" si="10"/>
        <v>0</v>
      </c>
      <c r="N54" s="3072" t="str">
        <f t="shared" ca="1" si="11"/>
        <v>√</v>
      </c>
      <c r="O54" s="641"/>
      <c r="P54" s="641"/>
      <c r="Q54" s="641"/>
      <c r="R54" s="641"/>
    </row>
    <row r="55" spans="1:18" ht="24">
      <c r="A55" s="30"/>
      <c r="B55" s="3066" t="s">
        <v>463</v>
      </c>
      <c r="C55" s="3067" t="s">
        <v>442</v>
      </c>
      <c r="D55" s="3068">
        <v>8310</v>
      </c>
      <c r="E55" s="3075" t="str">
        <f t="shared" si="8"/>
        <v>库存股_本年年初余额</v>
      </c>
      <c r="F55" s="3069" t="str">
        <f t="shared" si="14"/>
        <v>2019年度</v>
      </c>
      <c r="G55" s="3080">
        <f t="shared" ca="1" si="15"/>
        <v>0</v>
      </c>
      <c r="H55" s="3070" t="s">
        <v>442</v>
      </c>
      <c r="I55" s="3068">
        <v>8399</v>
      </c>
      <c r="J55" s="3074" t="str">
        <f t="shared" si="9"/>
        <v>库存股_本期期末余额</v>
      </c>
      <c r="K55" s="3069" t="str">
        <f t="shared" si="12"/>
        <v>2018年度</v>
      </c>
      <c r="L55" s="3079">
        <f t="shared" ca="1" si="13"/>
        <v>0</v>
      </c>
      <c r="M55" s="3071">
        <f t="shared" ca="1" si="10"/>
        <v>0</v>
      </c>
      <c r="N55" s="3072" t="str">
        <f t="shared" ca="1" si="11"/>
        <v>√</v>
      </c>
      <c r="O55" s="641"/>
      <c r="P55" s="641"/>
      <c r="Q55" s="641"/>
      <c r="R55" s="641"/>
    </row>
    <row r="56" spans="1:18" ht="24">
      <c r="A56" s="30"/>
      <c r="B56" s="3066" t="s">
        <v>468</v>
      </c>
      <c r="C56" s="3067" t="s">
        <v>442</v>
      </c>
      <c r="D56" s="3068">
        <v>8410</v>
      </c>
      <c r="E56" s="3075" t="str">
        <f t="shared" si="8"/>
        <v>专项储备_本年年初余额</v>
      </c>
      <c r="F56" s="3069" t="str">
        <f t="shared" si="14"/>
        <v>2019年度</v>
      </c>
      <c r="G56" s="3080">
        <f t="shared" ca="1" si="15"/>
        <v>8378246.8099999996</v>
      </c>
      <c r="H56" s="3070" t="s">
        <v>442</v>
      </c>
      <c r="I56" s="3068">
        <v>8499</v>
      </c>
      <c r="J56" s="3074" t="str">
        <f t="shared" si="9"/>
        <v>专项储备_本期期末余额</v>
      </c>
      <c r="K56" s="3069" t="str">
        <f t="shared" si="12"/>
        <v>2018年度</v>
      </c>
      <c r="L56" s="3079">
        <f t="shared" ca="1" si="13"/>
        <v>8378246.8099999996</v>
      </c>
      <c r="M56" s="3071">
        <f t="shared" ca="1" si="10"/>
        <v>0</v>
      </c>
      <c r="N56" s="3072" t="str">
        <f t="shared" ca="1" si="11"/>
        <v>√</v>
      </c>
      <c r="O56" s="641"/>
      <c r="P56" s="641"/>
      <c r="Q56" s="641"/>
      <c r="R56" s="641"/>
    </row>
    <row r="57" spans="1:18" ht="24">
      <c r="A57" s="30"/>
      <c r="B57" s="3066" t="s">
        <v>472</v>
      </c>
      <c r="C57" s="3067" t="s">
        <v>442</v>
      </c>
      <c r="D57" s="3068">
        <v>8510</v>
      </c>
      <c r="E57" s="3075" t="str">
        <f t="shared" si="8"/>
        <v>盈余公积_本年年初余额</v>
      </c>
      <c r="F57" s="3069" t="str">
        <f t="shared" si="14"/>
        <v>2019年度</v>
      </c>
      <c r="G57" s="3080">
        <f t="shared" ca="1" si="15"/>
        <v>4637867.0999999996</v>
      </c>
      <c r="H57" s="3070" t="s">
        <v>442</v>
      </c>
      <c r="I57" s="3068">
        <v>8599</v>
      </c>
      <c r="J57" s="3074" t="str">
        <f t="shared" si="9"/>
        <v>盈余公积_本期期末余额</v>
      </c>
      <c r="K57" s="3069" t="str">
        <f t="shared" si="12"/>
        <v>2018年度</v>
      </c>
      <c r="L57" s="3079">
        <f t="shared" ca="1" si="13"/>
        <v>4637867.0999999996</v>
      </c>
      <c r="M57" s="3071">
        <f t="shared" ca="1" si="10"/>
        <v>0</v>
      </c>
      <c r="N57" s="3072" t="str">
        <f t="shared" ca="1" si="11"/>
        <v>√</v>
      </c>
      <c r="O57" s="641"/>
      <c r="P57" s="641"/>
      <c r="Q57" s="641"/>
      <c r="R57" s="641"/>
    </row>
    <row r="58" spans="1:18" ht="24">
      <c r="A58" s="30"/>
      <c r="B58" s="3066" t="s">
        <v>477</v>
      </c>
      <c r="C58" s="3067" t="s">
        <v>442</v>
      </c>
      <c r="D58" s="3068">
        <v>8610</v>
      </c>
      <c r="E58" s="3075" t="str">
        <f t="shared" si="8"/>
        <v>一般风险准备_本年年初余额</v>
      </c>
      <c r="F58" s="3069" t="str">
        <f t="shared" si="14"/>
        <v>2019年度</v>
      </c>
      <c r="G58" s="3080" t="e">
        <f t="shared" ca="1" si="15"/>
        <v>#REF!</v>
      </c>
      <c r="H58" s="3070" t="s">
        <v>442</v>
      </c>
      <c r="I58" s="3068">
        <v>8699</v>
      </c>
      <c r="J58" s="3074" t="str">
        <f t="shared" si="9"/>
        <v>一般风险准备_本期期末余额</v>
      </c>
      <c r="K58" s="3069" t="str">
        <f t="shared" si="12"/>
        <v>2018年度</v>
      </c>
      <c r="L58" s="3079">
        <f t="shared" ca="1" si="13"/>
        <v>0</v>
      </c>
      <c r="M58" s="3071" t="e">
        <f t="shared" ca="1" si="10"/>
        <v>#REF!</v>
      </c>
      <c r="N58" s="3072" t="e">
        <f t="shared" ca="1" si="11"/>
        <v>#REF!</v>
      </c>
      <c r="O58" s="641"/>
      <c r="P58" s="641"/>
      <c r="Q58" s="641"/>
      <c r="R58" s="641"/>
    </row>
    <row r="59" spans="1:18" ht="24">
      <c r="A59" s="30"/>
      <c r="B59" s="3066" t="s">
        <v>481</v>
      </c>
      <c r="C59" s="3067" t="s">
        <v>442</v>
      </c>
      <c r="D59" s="3068">
        <v>8710</v>
      </c>
      <c r="E59" s="3075" t="str">
        <f t="shared" si="8"/>
        <v>未分配利润_本年年初余额</v>
      </c>
      <c r="F59" s="3069" t="str">
        <f t="shared" si="14"/>
        <v>2019年度</v>
      </c>
      <c r="G59" s="3080">
        <f t="shared" ca="1" si="15"/>
        <v>-145370982.44</v>
      </c>
      <c r="H59" s="3070" t="s">
        <v>442</v>
      </c>
      <c r="I59" s="3068">
        <v>8799</v>
      </c>
      <c r="J59" s="3074" t="str">
        <f t="shared" si="9"/>
        <v>未分配利润_本期期末余额</v>
      </c>
      <c r="K59" s="3069" t="str">
        <f t="shared" si="12"/>
        <v>2018年度</v>
      </c>
      <c r="L59" s="3079">
        <f t="shared" ca="1" si="13"/>
        <v>-145316230.15000001</v>
      </c>
      <c r="M59" s="3071">
        <f t="shared" ca="1" si="10"/>
        <v>-54752.29</v>
      </c>
      <c r="N59" s="3072" t="str">
        <f t="shared" ca="1" si="11"/>
        <v>×</v>
      </c>
      <c r="O59" s="641"/>
      <c r="P59" s="641"/>
      <c r="Q59" s="641"/>
      <c r="R59" s="641"/>
    </row>
    <row r="60" spans="1:18" ht="36">
      <c r="A60" s="30"/>
      <c r="B60" s="3066" t="s">
        <v>485</v>
      </c>
      <c r="C60" s="3067" t="s">
        <v>442</v>
      </c>
      <c r="D60" s="3068">
        <v>8810</v>
      </c>
      <c r="E60" s="3075" t="str">
        <f t="shared" si="8"/>
        <v>其他归属于母公司所有者权益_本年年初余额</v>
      </c>
      <c r="F60" s="3069" t="str">
        <f t="shared" si="14"/>
        <v>2019年度</v>
      </c>
      <c r="G60" s="3080">
        <f t="shared" ca="1" si="15"/>
        <v>0</v>
      </c>
      <c r="H60" s="3070" t="s">
        <v>442</v>
      </c>
      <c r="I60" s="3068">
        <v>8899</v>
      </c>
      <c r="J60" s="3074" t="str">
        <f t="shared" si="9"/>
        <v>其他归属于母公司所有者权益_本期期末余额</v>
      </c>
      <c r="K60" s="3069" t="str">
        <f t="shared" si="12"/>
        <v>2018年度</v>
      </c>
      <c r="L60" s="3079">
        <f t="shared" ca="1" si="13"/>
        <v>0</v>
      </c>
      <c r="M60" s="3071">
        <f t="shared" ca="1" si="10"/>
        <v>0</v>
      </c>
      <c r="N60" s="3072" t="str">
        <f t="shared" ca="1" si="11"/>
        <v>√</v>
      </c>
      <c r="O60" s="641"/>
      <c r="P60" s="641"/>
      <c r="Q60" s="641"/>
      <c r="R60" s="641"/>
    </row>
    <row r="61" spans="1:18" ht="24">
      <c r="A61" s="30"/>
      <c r="B61" s="3066" t="s">
        <v>490</v>
      </c>
      <c r="C61" s="3067" t="s">
        <v>442</v>
      </c>
      <c r="D61" s="3068">
        <v>8010</v>
      </c>
      <c r="E61" s="3075" t="str">
        <f t="shared" si="8"/>
        <v>所有者权益_本年年初余额</v>
      </c>
      <c r="F61" s="3069" t="str">
        <f t="shared" si="14"/>
        <v>2019年度</v>
      </c>
      <c r="G61" s="3080">
        <f t="shared" ca="1" si="15"/>
        <v>191757298.36000001</v>
      </c>
      <c r="H61" s="3070" t="s">
        <v>442</v>
      </c>
      <c r="I61" s="3068">
        <v>8099</v>
      </c>
      <c r="J61" s="3074" t="str">
        <f t="shared" si="9"/>
        <v>所有者权益_本期期末余额</v>
      </c>
      <c r="K61" s="3069" t="str">
        <f t="shared" si="12"/>
        <v>2018年度</v>
      </c>
      <c r="L61" s="3079">
        <f t="shared" ca="1" si="13"/>
        <v>191812050.65000001</v>
      </c>
      <c r="M61" s="3071">
        <f t="shared" ca="1" si="10"/>
        <v>-54752.29</v>
      </c>
      <c r="N61" s="3072" t="str">
        <f t="shared" ca="1" si="11"/>
        <v>×</v>
      </c>
      <c r="O61" s="641"/>
      <c r="P61" s="641"/>
      <c r="Q61" s="641"/>
      <c r="R61" s="641"/>
    </row>
    <row r="62" spans="1:18" ht="24">
      <c r="A62" s="30"/>
      <c r="B62" s="3066" t="s">
        <v>495</v>
      </c>
      <c r="C62" s="3067" t="s">
        <v>442</v>
      </c>
      <c r="D62" s="3068">
        <v>8199</v>
      </c>
      <c r="E62" s="3075" t="str">
        <f t="shared" si="8"/>
        <v>实收资本_本期期末余额</v>
      </c>
      <c r="F62" s="3069" t="str">
        <f t="shared" si="14"/>
        <v>2019年度</v>
      </c>
      <c r="G62" s="3080">
        <f t="shared" ca="1" si="15"/>
        <v>85691911</v>
      </c>
      <c r="H62" s="3070" t="s">
        <v>428</v>
      </c>
      <c r="I62" s="3068">
        <v>4001</v>
      </c>
      <c r="J62" s="3075" t="str">
        <f t="shared" si="9"/>
        <v>实收资本</v>
      </c>
      <c r="K62" s="3069">
        <f>Area_RepDate</f>
        <v>43830</v>
      </c>
      <c r="L62" s="3080">
        <f ca="1">INDIRECT(H62&amp;"!CheckA"&amp;I62)</f>
        <v>85691911</v>
      </c>
      <c r="M62" s="3071">
        <f t="shared" ca="1" si="10"/>
        <v>0</v>
      </c>
      <c r="N62" s="3072" t="str">
        <f t="shared" ca="1" si="11"/>
        <v>√</v>
      </c>
      <c r="O62" s="641"/>
      <c r="P62" s="641"/>
      <c r="Q62" s="641"/>
      <c r="R62" s="641"/>
    </row>
    <row r="63" spans="1:18" ht="24">
      <c r="A63" s="30"/>
      <c r="B63" s="3066" t="s">
        <v>500</v>
      </c>
      <c r="C63" s="3067" t="s">
        <v>442</v>
      </c>
      <c r="D63" s="3068">
        <v>8199</v>
      </c>
      <c r="E63" s="3074" t="str">
        <f t="shared" si="8"/>
        <v>实收资本_本期期末余额</v>
      </c>
      <c r="F63" s="3069" t="str">
        <f>Area_RepDuration1</f>
        <v>2018年度</v>
      </c>
      <c r="G63" s="3079">
        <f ca="1">INDIRECT(C63&amp;"!CheckB"&amp;D63)</f>
        <v>85691911</v>
      </c>
      <c r="H63" s="3070" t="s">
        <v>428</v>
      </c>
      <c r="I63" s="3068">
        <v>4001</v>
      </c>
      <c r="J63" s="3074" t="str">
        <f t="shared" si="9"/>
        <v>实收资本</v>
      </c>
      <c r="K63" s="3069">
        <f>Area_RepDate1</f>
        <v>43465</v>
      </c>
      <c r="L63" s="3079">
        <f ca="1">INDIRECT(H63&amp;"!CheckB"&amp;I63)</f>
        <v>85691911</v>
      </c>
      <c r="M63" s="3071">
        <f t="shared" ca="1" si="10"/>
        <v>0</v>
      </c>
      <c r="N63" s="3072" t="str">
        <f t="shared" ca="1" si="11"/>
        <v>√</v>
      </c>
      <c r="O63" s="641"/>
      <c r="P63" s="641"/>
      <c r="Q63" s="641"/>
      <c r="R63" s="641"/>
    </row>
    <row r="64" spans="1:18" ht="24">
      <c r="A64" s="30"/>
      <c r="B64" s="3066" t="s">
        <v>508</v>
      </c>
      <c r="C64" s="3067" t="s">
        <v>442</v>
      </c>
      <c r="D64" s="3068">
        <v>8299</v>
      </c>
      <c r="E64" s="3075" t="str">
        <f t="shared" si="8"/>
        <v>资本公积_本期期末余额</v>
      </c>
      <c r="F64" s="3069" t="str">
        <f>Area_RepDuration</f>
        <v>2019年度</v>
      </c>
      <c r="G64" s="3080">
        <f ca="1">INDIRECT(C64&amp;"!CheckA"&amp;D64)</f>
        <v>238420255.88999999</v>
      </c>
      <c r="H64" s="3070" t="s">
        <v>428</v>
      </c>
      <c r="I64" s="3068">
        <v>4002</v>
      </c>
      <c r="J64" s="3075" t="str">
        <f t="shared" si="9"/>
        <v>资本公积</v>
      </c>
      <c r="K64" s="3069">
        <f>Area_RepDate</f>
        <v>43830</v>
      </c>
      <c r="L64" s="3080">
        <f ca="1">INDIRECT(H64&amp;"!CheckA"&amp;I64)</f>
        <v>238420255.88999999</v>
      </c>
      <c r="M64" s="3071">
        <f t="shared" ca="1" si="10"/>
        <v>0</v>
      </c>
      <c r="N64" s="3072" t="str">
        <f t="shared" ca="1" si="11"/>
        <v>√</v>
      </c>
      <c r="O64" s="641"/>
      <c r="P64" s="641"/>
      <c r="Q64" s="641"/>
      <c r="R64" s="641"/>
    </row>
    <row r="65" spans="1:18" ht="24">
      <c r="A65" s="30"/>
      <c r="B65" s="3066" t="s">
        <v>514</v>
      </c>
      <c r="C65" s="3067" t="s">
        <v>442</v>
      </c>
      <c r="D65" s="3068">
        <v>8299</v>
      </c>
      <c r="E65" s="3074" t="str">
        <f t="shared" si="8"/>
        <v>资本公积_本期期末余额</v>
      </c>
      <c r="F65" s="3069" t="str">
        <f>Area_RepDuration1</f>
        <v>2018年度</v>
      </c>
      <c r="G65" s="3079">
        <f ca="1">INDIRECT(C65&amp;"!CheckB"&amp;D65)</f>
        <v>238420255.88999999</v>
      </c>
      <c r="H65" s="3070" t="s">
        <v>428</v>
      </c>
      <c r="I65" s="3068">
        <v>4002</v>
      </c>
      <c r="J65" s="3074" t="str">
        <f t="shared" si="9"/>
        <v>资本公积</v>
      </c>
      <c r="K65" s="3069">
        <f>Area_RepDate1</f>
        <v>43465</v>
      </c>
      <c r="L65" s="3079">
        <f ca="1">INDIRECT(H65&amp;"!CheckB"&amp;I65)</f>
        <v>238420255.88999999</v>
      </c>
      <c r="M65" s="3071">
        <f t="shared" ca="1" si="10"/>
        <v>0</v>
      </c>
      <c r="N65" s="3072" t="str">
        <f t="shared" ca="1" si="11"/>
        <v>√</v>
      </c>
      <c r="O65" s="641"/>
      <c r="P65" s="641"/>
      <c r="Q65" s="641"/>
      <c r="R65" s="641"/>
    </row>
    <row r="66" spans="1:18" ht="24">
      <c r="A66" s="30"/>
      <c r="B66" s="3066" t="s">
        <v>520</v>
      </c>
      <c r="C66" s="3067" t="s">
        <v>442</v>
      </c>
      <c r="D66" s="3068">
        <v>8399</v>
      </c>
      <c r="E66" s="3075" t="str">
        <f t="shared" si="8"/>
        <v>库存股_本期期末余额</v>
      </c>
      <c r="F66" s="3069" t="str">
        <f>Area_RepDuration</f>
        <v>2019年度</v>
      </c>
      <c r="G66" s="3080">
        <f ca="1">INDIRECT(C66&amp;"!CheckA"&amp;D66)</f>
        <v>0</v>
      </c>
      <c r="H66" s="3070" t="s">
        <v>428</v>
      </c>
      <c r="I66" s="3068">
        <v>4201</v>
      </c>
      <c r="J66" s="3075" t="str">
        <f t="shared" si="9"/>
        <v>库存股</v>
      </c>
      <c r="K66" s="3069">
        <f>Area_RepDate</f>
        <v>43830</v>
      </c>
      <c r="L66" s="3080">
        <f ca="1">INDIRECT(H66&amp;"!CheckA"&amp;I66)</f>
        <v>0</v>
      </c>
      <c r="M66" s="3071">
        <f t="shared" ca="1" si="10"/>
        <v>0</v>
      </c>
      <c r="N66" s="3072" t="str">
        <f t="shared" ca="1" si="11"/>
        <v>√</v>
      </c>
      <c r="O66" s="641"/>
      <c r="P66" s="641"/>
      <c r="Q66" s="641"/>
      <c r="R66" s="641"/>
    </row>
    <row r="67" spans="1:18" ht="24">
      <c r="A67" s="30"/>
      <c r="B67" s="3066" t="s">
        <v>525</v>
      </c>
      <c r="C67" s="3067" t="s">
        <v>442</v>
      </c>
      <c r="D67" s="3068">
        <v>8399</v>
      </c>
      <c r="E67" s="3074" t="str">
        <f t="shared" si="8"/>
        <v>库存股_本期期末余额</v>
      </c>
      <c r="F67" s="3069" t="str">
        <f>Area_RepDuration1</f>
        <v>2018年度</v>
      </c>
      <c r="G67" s="3079">
        <f ca="1">INDIRECT(C67&amp;"!CheckB"&amp;D67)</f>
        <v>0</v>
      </c>
      <c r="H67" s="3070" t="s">
        <v>428</v>
      </c>
      <c r="I67" s="3068">
        <v>4201</v>
      </c>
      <c r="J67" s="3074" t="str">
        <f t="shared" si="9"/>
        <v>库存股</v>
      </c>
      <c r="K67" s="3069">
        <f>Area_RepDate1</f>
        <v>43465</v>
      </c>
      <c r="L67" s="3079">
        <f ca="1">INDIRECT(H67&amp;"!CheckB"&amp;I67)</f>
        <v>0</v>
      </c>
      <c r="M67" s="3071">
        <f t="shared" ca="1" si="10"/>
        <v>0</v>
      </c>
      <c r="N67" s="3072" t="str">
        <f t="shared" ca="1" si="11"/>
        <v>√</v>
      </c>
      <c r="O67" s="641"/>
      <c r="P67" s="641"/>
      <c r="Q67" s="641"/>
      <c r="R67" s="641"/>
    </row>
    <row r="68" spans="1:18" ht="24">
      <c r="A68" s="30"/>
      <c r="B68" s="3066" t="s">
        <v>530</v>
      </c>
      <c r="C68" s="3067" t="s">
        <v>442</v>
      </c>
      <c r="D68" s="3068">
        <v>8499</v>
      </c>
      <c r="E68" s="3075" t="str">
        <f t="shared" si="8"/>
        <v>专项储备_本期期末余额</v>
      </c>
      <c r="F68" s="3069" t="str">
        <f>Area_RepDuration</f>
        <v>2019年度</v>
      </c>
      <c r="G68" s="3080">
        <f ca="1">INDIRECT(C68&amp;"!CheckA"&amp;D68)</f>
        <v>4545209.38</v>
      </c>
      <c r="H68" s="3070" t="s">
        <v>428</v>
      </c>
      <c r="I68" s="3068">
        <v>4301</v>
      </c>
      <c r="J68" s="3075" t="str">
        <f t="shared" si="9"/>
        <v>专项储备</v>
      </c>
      <c r="K68" s="3069">
        <f>Area_RepDate</f>
        <v>43830</v>
      </c>
      <c r="L68" s="3080">
        <f ca="1">INDIRECT(H68&amp;"!CheckA"&amp;I68)</f>
        <v>4545209.38</v>
      </c>
      <c r="M68" s="3071">
        <f t="shared" ca="1" si="10"/>
        <v>0</v>
      </c>
      <c r="N68" s="3072" t="str">
        <f t="shared" ca="1" si="11"/>
        <v>√</v>
      </c>
      <c r="O68" s="641"/>
      <c r="P68" s="641"/>
      <c r="Q68" s="641"/>
      <c r="R68" s="641"/>
    </row>
    <row r="69" spans="1:18" ht="24">
      <c r="A69" s="30"/>
      <c r="B69" s="3066" t="s">
        <v>535</v>
      </c>
      <c r="C69" s="3067" t="s">
        <v>442</v>
      </c>
      <c r="D69" s="3068">
        <v>8499</v>
      </c>
      <c r="E69" s="3074" t="str">
        <f t="shared" si="8"/>
        <v>专项储备_本期期末余额</v>
      </c>
      <c r="F69" s="3069" t="str">
        <f>Area_RepDuration1</f>
        <v>2018年度</v>
      </c>
      <c r="G69" s="3079">
        <f ca="1">INDIRECT(C69&amp;"!CheckB"&amp;D69)</f>
        <v>8378246.8099999996</v>
      </c>
      <c r="H69" s="3070" t="s">
        <v>428</v>
      </c>
      <c r="I69" s="3068">
        <v>4301</v>
      </c>
      <c r="J69" s="3074" t="str">
        <f t="shared" si="9"/>
        <v>专项储备</v>
      </c>
      <c r="K69" s="3069">
        <f>Area_RepDate1</f>
        <v>43465</v>
      </c>
      <c r="L69" s="3079">
        <f ca="1">INDIRECT(H69&amp;"!CheckB"&amp;I69)</f>
        <v>8378246.8099999996</v>
      </c>
      <c r="M69" s="3071">
        <f t="shared" ca="1" si="10"/>
        <v>0</v>
      </c>
      <c r="N69" s="3072" t="str">
        <f t="shared" ca="1" si="11"/>
        <v>√</v>
      </c>
      <c r="O69" s="641"/>
      <c r="P69" s="641"/>
      <c r="Q69" s="641"/>
      <c r="R69" s="641"/>
    </row>
    <row r="70" spans="1:18" ht="24">
      <c r="A70" s="30"/>
      <c r="B70" s="3066" t="s">
        <v>542</v>
      </c>
      <c r="C70" s="3067" t="s">
        <v>442</v>
      </c>
      <c r="D70" s="3068">
        <v>8599</v>
      </c>
      <c r="E70" s="3075" t="str">
        <f t="shared" si="8"/>
        <v>盈余公积_本期期末余额</v>
      </c>
      <c r="F70" s="3069" t="str">
        <f>Area_RepDuration</f>
        <v>2019年度</v>
      </c>
      <c r="G70" s="3080">
        <f ca="1">INDIRECT(C70&amp;"!CheckA"&amp;D70)</f>
        <v>4637867.0999999996</v>
      </c>
      <c r="H70" s="3070" t="s">
        <v>428</v>
      </c>
      <c r="I70" s="3068">
        <v>4101</v>
      </c>
      <c r="J70" s="3075" t="str">
        <f t="shared" si="9"/>
        <v>盈余公积</v>
      </c>
      <c r="K70" s="3069">
        <f>Area_RepDate</f>
        <v>43830</v>
      </c>
      <c r="L70" s="3080">
        <f ca="1">INDIRECT(H70&amp;"!CheckA"&amp;I70)</f>
        <v>4637867.0999999996</v>
      </c>
      <c r="M70" s="3071">
        <f t="shared" ca="1" si="10"/>
        <v>0</v>
      </c>
      <c r="N70" s="3072" t="str">
        <f t="shared" ca="1" si="11"/>
        <v>√</v>
      </c>
      <c r="O70" s="641"/>
      <c r="P70" s="641"/>
      <c r="Q70" s="641"/>
      <c r="R70" s="641"/>
    </row>
    <row r="71" spans="1:18" ht="24">
      <c r="A71" s="30"/>
      <c r="B71" s="3066" t="s">
        <v>547</v>
      </c>
      <c r="C71" s="3067" t="s">
        <v>442</v>
      </c>
      <c r="D71" s="3068">
        <v>8599</v>
      </c>
      <c r="E71" s="3074" t="str">
        <f t="shared" si="8"/>
        <v>盈余公积_本期期末余额</v>
      </c>
      <c r="F71" s="3069" t="str">
        <f>Area_RepDuration1</f>
        <v>2018年度</v>
      </c>
      <c r="G71" s="3079">
        <f ca="1">INDIRECT(C71&amp;"!CheckB"&amp;D71)</f>
        <v>4637867.0999999996</v>
      </c>
      <c r="H71" s="3070" t="s">
        <v>428</v>
      </c>
      <c r="I71" s="3068">
        <v>4101</v>
      </c>
      <c r="J71" s="3074" t="str">
        <f t="shared" si="9"/>
        <v>盈余公积</v>
      </c>
      <c r="K71" s="3069">
        <f>Area_RepDate1</f>
        <v>43465</v>
      </c>
      <c r="L71" s="3079">
        <f ca="1">INDIRECT(H71&amp;"!CheckB"&amp;I71)</f>
        <v>4637867.0999999996</v>
      </c>
      <c r="M71" s="3071">
        <f t="shared" ca="1" si="10"/>
        <v>0</v>
      </c>
      <c r="N71" s="3072" t="str">
        <f t="shared" ca="1" si="11"/>
        <v>√</v>
      </c>
      <c r="O71" s="641"/>
      <c r="P71" s="641"/>
      <c r="Q71" s="641"/>
      <c r="R71" s="641"/>
    </row>
    <row r="72" spans="1:18" ht="24">
      <c r="A72" s="30"/>
      <c r="B72" s="3066" t="s">
        <v>551</v>
      </c>
      <c r="C72" s="3067" t="s">
        <v>442</v>
      </c>
      <c r="D72" s="3068">
        <v>8699</v>
      </c>
      <c r="E72" s="3075" t="str">
        <f t="shared" si="8"/>
        <v>一般风险准备_本期期末余额</v>
      </c>
      <c r="F72" s="3069" t="str">
        <f>Area_RepDuration</f>
        <v>2019年度</v>
      </c>
      <c r="G72" s="3080">
        <f ca="1">INDIRECT(C72&amp;"!CheckA"&amp;D72)</f>
        <v>0</v>
      </c>
      <c r="H72" s="3070" t="s">
        <v>428</v>
      </c>
      <c r="I72" s="3068">
        <v>4102</v>
      </c>
      <c r="J72" s="3075" t="str">
        <f t="shared" si="9"/>
        <v>一般风险准备</v>
      </c>
      <c r="K72" s="3069">
        <f>Area_RepDate</f>
        <v>43830</v>
      </c>
      <c r="L72" s="3080">
        <f ca="1">INDIRECT(H72&amp;"!CheckA"&amp;I72)</f>
        <v>0</v>
      </c>
      <c r="M72" s="3071">
        <f t="shared" ca="1" si="10"/>
        <v>0</v>
      </c>
      <c r="N72" s="3072" t="str">
        <f t="shared" ca="1" si="11"/>
        <v>√</v>
      </c>
      <c r="O72" s="641"/>
      <c r="P72" s="641"/>
      <c r="Q72" s="641"/>
      <c r="R72" s="641"/>
    </row>
    <row r="73" spans="1:18" ht="24">
      <c r="A73" s="30"/>
      <c r="B73" s="3066" t="s">
        <v>555</v>
      </c>
      <c r="C73" s="3067" t="s">
        <v>442</v>
      </c>
      <c r="D73" s="3068">
        <v>8699</v>
      </c>
      <c r="E73" s="3074" t="str">
        <f t="shared" ref="E73:E84" si="16">VLOOKUP(D73,Sheet_Items,2,0)</f>
        <v>一般风险准备_本期期末余额</v>
      </c>
      <c r="F73" s="3069" t="str">
        <f>Area_RepDuration1</f>
        <v>2018年度</v>
      </c>
      <c r="G73" s="3079">
        <f ca="1">INDIRECT(C73&amp;"!CheckB"&amp;D73)</f>
        <v>0</v>
      </c>
      <c r="H73" s="3070" t="s">
        <v>428</v>
      </c>
      <c r="I73" s="3068">
        <v>4102</v>
      </c>
      <c r="J73" s="3074" t="str">
        <f t="shared" ref="J73:J84" si="17">VLOOKUP(I73,Sheet_Items,2,0)</f>
        <v>一般风险准备</v>
      </c>
      <c r="K73" s="3069">
        <f>Area_RepDate1</f>
        <v>43465</v>
      </c>
      <c r="L73" s="3079">
        <f ca="1">INDIRECT(H73&amp;"!CheckB"&amp;I73)</f>
        <v>0</v>
      </c>
      <c r="M73" s="3071">
        <f t="shared" ref="M73:M84" ca="1" si="18">ROUND(G73-L73,2)</f>
        <v>0</v>
      </c>
      <c r="N73" s="3072" t="str">
        <f t="shared" ref="N73:N84" ca="1" si="19">IF(M73=0,"√","×")</f>
        <v>√</v>
      </c>
      <c r="O73" s="641"/>
      <c r="P73" s="641"/>
      <c r="Q73" s="641"/>
      <c r="R73" s="641"/>
    </row>
    <row r="74" spans="1:18" ht="24">
      <c r="A74" s="30"/>
      <c r="B74" s="3066" t="s">
        <v>560</v>
      </c>
      <c r="C74" s="3067" t="s">
        <v>442</v>
      </c>
      <c r="D74" s="3068">
        <v>8799</v>
      </c>
      <c r="E74" s="3075" t="str">
        <f t="shared" si="16"/>
        <v>未分配利润_本期期末余额</v>
      </c>
      <c r="F74" s="3069" t="str">
        <f>Area_RepDuration</f>
        <v>2019年度</v>
      </c>
      <c r="G74" s="3080">
        <f ca="1">INDIRECT(C74&amp;"!CheckA"&amp;D74)</f>
        <v>-158918582.90000001</v>
      </c>
      <c r="H74" s="3070" t="s">
        <v>428</v>
      </c>
      <c r="I74" s="3068">
        <v>4200</v>
      </c>
      <c r="J74" s="3075" t="str">
        <f t="shared" si="17"/>
        <v>未分配利润</v>
      </c>
      <c r="K74" s="3069">
        <f>Area_RepDate</f>
        <v>43830</v>
      </c>
      <c r="L74" s="3080">
        <f ca="1">INDIRECT(H74&amp;"!CheckA"&amp;I74)</f>
        <v>-158918582.90000001</v>
      </c>
      <c r="M74" s="3071">
        <f t="shared" ca="1" si="18"/>
        <v>0</v>
      </c>
      <c r="N74" s="3072" t="str">
        <f t="shared" ca="1" si="19"/>
        <v>√</v>
      </c>
      <c r="O74" s="641"/>
      <c r="P74" s="641"/>
      <c r="Q74" s="641"/>
      <c r="R74" s="641"/>
    </row>
    <row r="75" spans="1:18" ht="24">
      <c r="A75" s="30"/>
      <c r="B75" s="3066" t="s">
        <v>563</v>
      </c>
      <c r="C75" s="3067" t="s">
        <v>442</v>
      </c>
      <c r="D75" s="3068">
        <v>8799</v>
      </c>
      <c r="E75" s="3074" t="str">
        <f t="shared" si="16"/>
        <v>未分配利润_本期期末余额</v>
      </c>
      <c r="F75" s="3069" t="str">
        <f>Area_RepDuration1</f>
        <v>2018年度</v>
      </c>
      <c r="G75" s="3079">
        <f ca="1">INDIRECT(C75&amp;"!CheckB"&amp;D75)</f>
        <v>-145316230.15000001</v>
      </c>
      <c r="H75" s="3070" t="s">
        <v>428</v>
      </c>
      <c r="I75" s="3068">
        <v>4200</v>
      </c>
      <c r="J75" s="3074" t="str">
        <f t="shared" si="17"/>
        <v>未分配利润</v>
      </c>
      <c r="K75" s="3069">
        <f>Area_RepDate1</f>
        <v>43465</v>
      </c>
      <c r="L75" s="3079">
        <f ca="1">INDIRECT(H75&amp;"!CheckB"&amp;I75)</f>
        <v>-145316230.15000001</v>
      </c>
      <c r="M75" s="3071">
        <f t="shared" ca="1" si="18"/>
        <v>0</v>
      </c>
      <c r="N75" s="3072" t="str">
        <f t="shared" ca="1" si="19"/>
        <v>√</v>
      </c>
      <c r="O75" s="641"/>
      <c r="P75" s="641"/>
      <c r="Q75" s="641"/>
      <c r="R75" s="641"/>
    </row>
    <row r="76" spans="1:18" ht="24">
      <c r="A76" s="30"/>
      <c r="B76" s="31" t="s">
        <v>565</v>
      </c>
      <c r="C76" s="35" t="s">
        <v>442</v>
      </c>
      <c r="D76" s="1269">
        <v>8099</v>
      </c>
      <c r="E76" s="3073" t="str">
        <f t="shared" si="16"/>
        <v>所有者权益_本期期末余额</v>
      </c>
      <c r="F76" s="1270" t="str">
        <f>Area_RepDuration</f>
        <v>2019年度</v>
      </c>
      <c r="G76" s="3078">
        <f ca="1">INDIRECT(C76&amp;"!CheckA"&amp;D76)</f>
        <v>174376660.47</v>
      </c>
      <c r="H76" s="1271" t="s">
        <v>428</v>
      </c>
      <c r="I76" s="1269">
        <v>4999</v>
      </c>
      <c r="J76" s="3073" t="str">
        <f t="shared" si="17"/>
        <v>所有者权益</v>
      </c>
      <c r="K76" s="1270">
        <f>Area_RepDate</f>
        <v>43830</v>
      </c>
      <c r="L76" s="3078">
        <f ca="1">INDIRECT(H76&amp;"!CheckA"&amp;I76)</f>
        <v>174376660.47</v>
      </c>
      <c r="M76" s="70">
        <f t="shared" ca="1" si="18"/>
        <v>0</v>
      </c>
      <c r="N76" s="1293" t="str">
        <f t="shared" ca="1" si="19"/>
        <v>√</v>
      </c>
      <c r="O76" s="641"/>
      <c r="P76" s="641"/>
      <c r="Q76" s="641"/>
      <c r="R76" s="641"/>
    </row>
    <row r="77" spans="1:18" ht="24">
      <c r="A77" s="30"/>
      <c r="B77" s="31" t="s">
        <v>571</v>
      </c>
      <c r="C77" s="35" t="s">
        <v>442</v>
      </c>
      <c r="D77" s="1269">
        <v>8099</v>
      </c>
      <c r="E77" s="3076" t="str">
        <f t="shared" si="16"/>
        <v>所有者权益_本期期末余额</v>
      </c>
      <c r="F77" s="1270" t="str">
        <f>Area_RepDuration1</f>
        <v>2018年度</v>
      </c>
      <c r="G77" s="3081">
        <f ca="1">INDIRECT(C77&amp;"!CheckB"&amp;D77)</f>
        <v>191812050.65000001</v>
      </c>
      <c r="H77" s="1271" t="s">
        <v>428</v>
      </c>
      <c r="I77" s="1269">
        <v>4999</v>
      </c>
      <c r="J77" s="3076" t="str">
        <f t="shared" si="17"/>
        <v>所有者权益</v>
      </c>
      <c r="K77" s="1270">
        <f>Area_RepDate1</f>
        <v>43465</v>
      </c>
      <c r="L77" s="3081">
        <f ca="1">INDIRECT(H77&amp;"!CheckB"&amp;I77)</f>
        <v>191812050.65000001</v>
      </c>
      <c r="M77" s="70">
        <f t="shared" ca="1" si="18"/>
        <v>0</v>
      </c>
      <c r="N77" s="1293" t="str">
        <f t="shared" ca="1" si="19"/>
        <v>√</v>
      </c>
      <c r="O77" s="641"/>
      <c r="P77" s="641"/>
      <c r="Q77" s="641"/>
      <c r="R77" s="641"/>
    </row>
    <row r="78" spans="1:18" ht="24">
      <c r="A78" s="30"/>
      <c r="B78" s="31" t="s">
        <v>577</v>
      </c>
      <c r="C78" s="35" t="s">
        <v>578</v>
      </c>
      <c r="D78" s="1269">
        <v>7349</v>
      </c>
      <c r="E78" s="3073" t="str">
        <f t="shared" si="16"/>
        <v>期初现金及现金等价物余额</v>
      </c>
      <c r="F78" s="1270" t="str">
        <f>Area_RepDuration</f>
        <v>2019年度</v>
      </c>
      <c r="G78" s="3078">
        <f ca="1">INDIRECT(C78&amp;"!CheckA"&amp;D78)</f>
        <v>35726503</v>
      </c>
      <c r="H78" s="1271" t="s">
        <v>578</v>
      </c>
      <c r="I78" s="1269">
        <v>7399</v>
      </c>
      <c r="J78" s="3076" t="str">
        <f t="shared" si="17"/>
        <v>期末现金及现金等价物余额</v>
      </c>
      <c r="K78" s="1270" t="str">
        <f>Area_RepDuration1</f>
        <v>2018年度</v>
      </c>
      <c r="L78" s="3081">
        <f ca="1">INDIRECT(H78&amp;"!CheckB"&amp;I78)</f>
        <v>35726503</v>
      </c>
      <c r="M78" s="70">
        <f t="shared" ca="1" si="18"/>
        <v>0</v>
      </c>
      <c r="N78" s="1293" t="str">
        <f t="shared" ca="1" si="19"/>
        <v>√</v>
      </c>
      <c r="O78" s="641"/>
      <c r="P78" s="641"/>
      <c r="Q78" s="641"/>
      <c r="R78" s="641"/>
    </row>
    <row r="79" spans="1:18" ht="18">
      <c r="A79" s="30"/>
      <c r="B79" s="31" t="s">
        <v>582</v>
      </c>
      <c r="C79" s="35" t="s">
        <v>578</v>
      </c>
      <c r="D79" s="1269">
        <v>7502</v>
      </c>
      <c r="E79" s="3073" t="str">
        <f t="shared" si="16"/>
        <v>净利润金额</v>
      </c>
      <c r="F79" s="1270" t="str">
        <f>Area_RepDuration</f>
        <v>2019年度</v>
      </c>
      <c r="G79" s="3078">
        <f ca="1">INDIRECT(C79&amp;"!CheckA"&amp;D79)</f>
        <v>-13547600.460000001</v>
      </c>
      <c r="H79" s="1271" t="s">
        <v>441</v>
      </c>
      <c r="I79" s="1269">
        <v>6799</v>
      </c>
      <c r="J79" s="3073" t="str">
        <f t="shared" si="17"/>
        <v>净利润</v>
      </c>
      <c r="K79" s="1270" t="str">
        <f>Area_RepDuration</f>
        <v>2019年度</v>
      </c>
      <c r="L79" s="3078">
        <f ca="1">INDIRECT(H79&amp;"!CheckA"&amp;I79)</f>
        <v>-13547600.460000001</v>
      </c>
      <c r="M79" s="70">
        <f t="shared" ca="1" si="18"/>
        <v>0</v>
      </c>
      <c r="N79" s="1293" t="str">
        <f t="shared" ca="1" si="19"/>
        <v>√</v>
      </c>
      <c r="O79" s="641"/>
      <c r="P79" s="641"/>
      <c r="Q79" s="641"/>
      <c r="R79" s="641"/>
    </row>
    <row r="80" spans="1:18" ht="18">
      <c r="A80" s="30"/>
      <c r="B80" s="31" t="s">
        <v>587</v>
      </c>
      <c r="C80" s="35" t="s">
        <v>578</v>
      </c>
      <c r="D80" s="1269">
        <v>7502</v>
      </c>
      <c r="E80" s="3076" t="str">
        <f t="shared" si="16"/>
        <v>净利润金额</v>
      </c>
      <c r="F80" s="1270" t="str">
        <f>Area_RepDuration1</f>
        <v>2018年度</v>
      </c>
      <c r="G80" s="3081">
        <f ca="1">INDIRECT(C80&amp;"!CheckB"&amp;D80)</f>
        <v>27366351.41</v>
      </c>
      <c r="H80" s="1271" t="s">
        <v>441</v>
      </c>
      <c r="I80" s="1269">
        <v>6799</v>
      </c>
      <c r="J80" s="3076" t="str">
        <f t="shared" si="17"/>
        <v>净利润</v>
      </c>
      <c r="K80" s="1270" t="str">
        <f>Area_RepDuration1</f>
        <v>2018年度</v>
      </c>
      <c r="L80" s="3081">
        <f ca="1">INDIRECT(H80&amp;"!CheckB"&amp;I80)</f>
        <v>27366351.41</v>
      </c>
      <c r="M80" s="70">
        <f t="shared" ca="1" si="18"/>
        <v>0</v>
      </c>
      <c r="N80" s="1293" t="str">
        <f t="shared" ca="1" si="19"/>
        <v>√</v>
      </c>
      <c r="O80" s="641"/>
      <c r="P80" s="641"/>
      <c r="Q80" s="641"/>
      <c r="R80" s="641"/>
    </row>
    <row r="81" spans="1:18" ht="24">
      <c r="A81" s="30"/>
      <c r="B81" s="31" t="s">
        <v>593</v>
      </c>
      <c r="C81" s="35" t="s">
        <v>578</v>
      </c>
      <c r="D81" s="1269">
        <v>7525</v>
      </c>
      <c r="E81" s="3073" t="str">
        <f t="shared" si="16"/>
        <v>经营活动产生的现金流量净额</v>
      </c>
      <c r="F81" s="1270" t="str">
        <f>Area_RepDuration</f>
        <v>2019年度</v>
      </c>
      <c r="G81" s="3078">
        <f ca="1">INDIRECT(C81&amp;"!CheckA"&amp;D81)</f>
        <v>30734887.550000001</v>
      </c>
      <c r="H81" s="1271" t="s">
        <v>578</v>
      </c>
      <c r="I81" s="1269">
        <v>7099</v>
      </c>
      <c r="J81" s="3073" t="str">
        <f t="shared" si="17"/>
        <v>经营活动产生的现金流量净额</v>
      </c>
      <c r="K81" s="1270" t="str">
        <f>Area_RepDuration</f>
        <v>2019年度</v>
      </c>
      <c r="L81" s="3078">
        <f ca="1">INDIRECT(H81&amp;"!CheckA"&amp;I81)</f>
        <v>30734887.550000001</v>
      </c>
      <c r="M81" s="70">
        <f t="shared" ca="1" si="18"/>
        <v>0</v>
      </c>
      <c r="N81" s="1293" t="str">
        <f t="shared" ca="1" si="19"/>
        <v>√</v>
      </c>
      <c r="O81" s="641"/>
      <c r="P81" s="641"/>
      <c r="Q81" s="641"/>
      <c r="R81" s="641"/>
    </row>
    <row r="82" spans="1:18" ht="24">
      <c r="A82" s="30"/>
      <c r="B82" s="31" t="s">
        <v>598</v>
      </c>
      <c r="C82" s="35" t="s">
        <v>578</v>
      </c>
      <c r="D82" s="1269">
        <v>7525</v>
      </c>
      <c r="E82" s="3076" t="str">
        <f t="shared" si="16"/>
        <v>经营活动产生的现金流量净额</v>
      </c>
      <c r="F82" s="1270" t="str">
        <f>Area_RepDuration1</f>
        <v>2018年度</v>
      </c>
      <c r="G82" s="3081">
        <f ca="1">INDIRECT(C82&amp;"!CheckB"&amp;D82)</f>
        <v>79775356.629999995</v>
      </c>
      <c r="H82" s="1271" t="s">
        <v>578</v>
      </c>
      <c r="I82" s="1269">
        <v>7099</v>
      </c>
      <c r="J82" s="3076" t="str">
        <f t="shared" si="17"/>
        <v>经营活动产生的现金流量净额</v>
      </c>
      <c r="K82" s="1270" t="str">
        <f>Area_RepDuration1</f>
        <v>2018年度</v>
      </c>
      <c r="L82" s="3081">
        <f ca="1">INDIRECT(H82&amp;"!CheckB"&amp;I82)</f>
        <v>79775356.629999995</v>
      </c>
      <c r="M82" s="70">
        <f t="shared" ca="1" si="18"/>
        <v>0</v>
      </c>
      <c r="N82" s="1293" t="str">
        <f t="shared" ca="1" si="19"/>
        <v>√</v>
      </c>
      <c r="O82" s="641"/>
      <c r="P82" s="641"/>
      <c r="Q82" s="641"/>
      <c r="R82" s="641"/>
    </row>
    <row r="83" spans="1:18" ht="24">
      <c r="A83" s="30"/>
      <c r="B83" s="31" t="s">
        <v>603</v>
      </c>
      <c r="C83" s="35" t="s">
        <v>578</v>
      </c>
      <c r="D83" s="1269">
        <v>7539</v>
      </c>
      <c r="E83" s="3073" t="str">
        <f t="shared" si="16"/>
        <v>现金及现金等价物净增加额</v>
      </c>
      <c r="F83" s="1270" t="str">
        <f>Area_RepDuration</f>
        <v>2019年度</v>
      </c>
      <c r="G83" s="3078">
        <f ca="1">INDIRECT(C83&amp;"!CheckA"&amp;D83)</f>
        <v>-29044668.09</v>
      </c>
      <c r="H83" s="1271" t="s">
        <v>578</v>
      </c>
      <c r="I83" s="1269">
        <v>7348</v>
      </c>
      <c r="J83" s="3073" t="str">
        <f t="shared" si="17"/>
        <v>现金及现金等价物净增加额</v>
      </c>
      <c r="K83" s="1270" t="str">
        <f>Area_RepDuration</f>
        <v>2019年度</v>
      </c>
      <c r="L83" s="3078">
        <f ca="1">INDIRECT(H83&amp;"!CheckA"&amp;I83)</f>
        <v>-29044668.09</v>
      </c>
      <c r="M83" s="70">
        <f t="shared" ca="1" si="18"/>
        <v>0</v>
      </c>
      <c r="N83" s="1293" t="str">
        <f t="shared" ca="1" si="19"/>
        <v>√</v>
      </c>
      <c r="O83" s="641"/>
      <c r="P83" s="641"/>
      <c r="Q83" s="641"/>
      <c r="R83" s="641"/>
    </row>
    <row r="84" spans="1:18" ht="24">
      <c r="A84" s="30"/>
      <c r="B84" s="36" t="s">
        <v>608</v>
      </c>
      <c r="C84" s="37" t="s">
        <v>578</v>
      </c>
      <c r="D84" s="1272">
        <v>7539</v>
      </c>
      <c r="E84" s="3077" t="str">
        <f t="shared" si="16"/>
        <v>现金及现金等价物净增加额</v>
      </c>
      <c r="F84" s="1273" t="str">
        <f>Area_RepDuration1</f>
        <v>2018年度</v>
      </c>
      <c r="G84" s="3082">
        <f ca="1">INDIRECT(C84&amp;"!CheckB"&amp;D84)</f>
        <v>27630420.84</v>
      </c>
      <c r="H84" s="1274" t="s">
        <v>578</v>
      </c>
      <c r="I84" s="1272">
        <v>7348</v>
      </c>
      <c r="J84" s="3077" t="str">
        <f t="shared" si="17"/>
        <v>现金及现金等价物净增加额</v>
      </c>
      <c r="K84" s="1273" t="str">
        <f>Area_RepDuration1</f>
        <v>2018年度</v>
      </c>
      <c r="L84" s="3082">
        <f ca="1">INDIRECT(H84&amp;"!CheckB"&amp;I84)</f>
        <v>27630420.84</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EjYRxthJ0Kg1eu/+ASBNC8APTgA+lSKx4GtZ2yKYv5Q6YKci7uokL6vtK3Sk+kExj9pYxNx58YaltU3eJXH90g==" saltValue="koX6TaL+Mywb/kjp3luPCw==" spinCount="100000" sheet="1" scenarios="1" formatCells="0" autoFilter="0"/>
  <phoneticPr fontId="163" type="noConversion"/>
  <conditionalFormatting sqref="M9:M84">
    <cfRule type="expression" dxfId="4104"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16" workbookViewId="0">
      <selection activeCell="F28" sqref="F28"/>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编制单位：山东天安化工股份有限公司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3"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7891834.9100000001</v>
      </c>
      <c r="G10" s="1199">
        <f t="shared" si="3"/>
        <v>79452903</v>
      </c>
      <c r="H10" s="2815">
        <v>2001</v>
      </c>
      <c r="I10" s="1206" t="str">
        <f t="shared" si="4"/>
        <v>短期借款</v>
      </c>
      <c r="J10" s="1197"/>
      <c r="K10" s="1198"/>
      <c r="L10" s="1207">
        <f t="shared" si="5"/>
        <v>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v>3532481.3</v>
      </c>
      <c r="G16" s="1199">
        <v>2024958.1</v>
      </c>
      <c r="H16" s="2815">
        <v>2201</v>
      </c>
      <c r="I16" s="1206" t="str">
        <f t="shared" si="4"/>
        <v>应付票据</v>
      </c>
      <c r="J16" s="1197"/>
      <c r="K16" s="1198"/>
      <c r="L16" s="1207">
        <f t="shared" si="5"/>
        <v>42762500</v>
      </c>
      <c r="M16" s="641"/>
      <c r="N16" s="641"/>
      <c r="O16" s="641"/>
      <c r="P16" s="641"/>
    </row>
    <row r="17" spans="1:16" ht="18">
      <c r="A17" s="2750">
        <f t="shared" si="0"/>
        <v>0</v>
      </c>
      <c r="B17" s="2750">
        <f t="shared" si="1"/>
        <v>0</v>
      </c>
      <c r="C17" s="2807">
        <v>1122</v>
      </c>
      <c r="D17" s="975" t="str">
        <f t="shared" si="2"/>
        <v>应收账款</v>
      </c>
      <c r="E17" s="1197"/>
      <c r="F17" s="1198">
        <v>48253601.340000004</v>
      </c>
      <c r="G17" s="1199">
        <v>43128210.229999997</v>
      </c>
      <c r="H17" s="2815">
        <v>2202</v>
      </c>
      <c r="I17" s="1206" t="str">
        <f t="shared" si="4"/>
        <v>应付账款</v>
      </c>
      <c r="J17" s="1197"/>
      <c r="K17" s="1198">
        <v>58814880.079999998</v>
      </c>
      <c r="L17" s="1207">
        <v>35943625.149999999</v>
      </c>
      <c r="M17" s="641"/>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v>2050802.61</v>
      </c>
      <c r="L18" s="1207">
        <v>2572903.23</v>
      </c>
      <c r="M18" s="641"/>
      <c r="N18" s="641"/>
      <c r="O18" s="641"/>
      <c r="P18" s="641"/>
    </row>
    <row r="19" spans="1:16" ht="18">
      <c r="A19" s="2750">
        <f t="shared" si="0"/>
        <v>0</v>
      </c>
      <c r="B19" s="2750" t="str">
        <f t="shared" si="1"/>
        <v>_SR</v>
      </c>
      <c r="C19" s="2807">
        <v>1125</v>
      </c>
      <c r="D19" s="975" t="str">
        <f>VLOOKUP($C19,Sheet_Items,6,0)</f>
        <v>预付款项</v>
      </c>
      <c r="E19" s="1197"/>
      <c r="F19" s="1198">
        <v>7528799.0199999996</v>
      </c>
      <c r="G19" s="1199">
        <v>2419762.12</v>
      </c>
      <c r="H19" s="2815">
        <v>2206</v>
      </c>
      <c r="I19" s="1206" t="str">
        <f t="shared" si="4"/>
        <v>合同负债</v>
      </c>
      <c r="J19" s="1197"/>
      <c r="K19" s="1198"/>
      <c r="L19" s="1207">
        <f t="shared" si="5"/>
        <v>0</v>
      </c>
      <c r="M19" s="641"/>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8891788.4800000004</v>
      </c>
      <c r="G23" s="1202">
        <f>SUM(G24:G26)</f>
        <v>1187767</v>
      </c>
      <c r="H23" s="2815">
        <v>2312</v>
      </c>
      <c r="I23" s="1206" t="str">
        <f t="shared" si="4"/>
        <v>代理承销证券款</v>
      </c>
      <c r="J23" s="1197"/>
      <c r="K23" s="1198"/>
      <c r="L23" s="1207">
        <f t="shared" si="5"/>
        <v>0</v>
      </c>
      <c r="M23" s="641"/>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76153.320000000007</v>
      </c>
      <c r="H24" s="2815">
        <v>2211</v>
      </c>
      <c r="I24" s="1206" t="str">
        <f t="shared" si="4"/>
        <v>应付职工薪酬</v>
      </c>
      <c r="J24" s="1197"/>
      <c r="K24" s="1198">
        <v>2397461.7799999998</v>
      </c>
      <c r="L24" s="1207">
        <v>6936778.7800000003</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3622479.71</v>
      </c>
      <c r="L25" s="1207">
        <v>7888725.9500000002</v>
      </c>
      <c r="M25" s="641"/>
      <c r="N25" s="641"/>
      <c r="O25" s="641"/>
      <c r="P25" s="641"/>
    </row>
    <row r="26" spans="1:16" ht="18">
      <c r="A26" s="2750">
        <f t="shared" si="0"/>
        <v>0</v>
      </c>
      <c r="B26" s="2750">
        <f t="shared" si="1"/>
        <v>0</v>
      </c>
      <c r="C26" s="2807">
        <v>1221</v>
      </c>
      <c r="D26" s="1140" t="str">
        <f t="shared" si="2"/>
        <v>其他应收款</v>
      </c>
      <c r="E26" s="1197"/>
      <c r="F26" s="1198">
        <v>8891788.4800000004</v>
      </c>
      <c r="G26" s="1199">
        <v>1111613.68</v>
      </c>
      <c r="H26" s="2815">
        <v>2246</v>
      </c>
      <c r="I26" s="1206" t="str">
        <f>VLOOKUP($H26,Sheet_Items,2,0)</f>
        <v>其他应付款（报表项目）</v>
      </c>
      <c r="J26" s="1200"/>
      <c r="K26" s="1201">
        <f>SUM(K27:K29)</f>
        <v>11067755.74</v>
      </c>
      <c r="L26" s="1208">
        <f>SUM(L27,L28,L29)</f>
        <v>61340818.75</v>
      </c>
      <c r="M26" s="641"/>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0">
        <f t="shared" si="0"/>
        <v>0</v>
      </c>
      <c r="B28" s="2750">
        <f t="shared" si="1"/>
        <v>0</v>
      </c>
      <c r="C28" s="2807">
        <v>1400</v>
      </c>
      <c r="D28" s="975" t="str">
        <f t="shared" si="2"/>
        <v>存货</v>
      </c>
      <c r="E28" s="1197"/>
      <c r="F28" s="1198">
        <v>25995109.16</v>
      </c>
      <c r="G28" s="1199">
        <v>33104385.260000002</v>
      </c>
      <c r="H28" s="2815">
        <v>2232</v>
      </c>
      <c r="I28" s="1651" t="str">
        <f t="shared" si="4"/>
        <v>应付股利</v>
      </c>
      <c r="J28" s="1197"/>
      <c r="K28" s="1198"/>
      <c r="L28" s="1207">
        <f t="shared" si="7"/>
        <v>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v>11067755.74</v>
      </c>
      <c r="L29" s="1207">
        <v>61340818.75</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c r="G32" s="1199">
        <f t="shared" si="6"/>
        <v>0</v>
      </c>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102093614.20999999</v>
      </c>
      <c r="G35" s="1204">
        <f>SUM(G10:G34)-SUM(G23)</f>
        <v>161317985.71000001</v>
      </c>
      <c r="H35" s="2816">
        <v>2498</v>
      </c>
      <c r="I35" s="1205" t="str">
        <f t="shared" si="4"/>
        <v>流动负债合计</v>
      </c>
      <c r="J35" s="1200"/>
      <c r="K35" s="1203">
        <f>SUM(K10:K34)-SUM(K26)</f>
        <v>77953379.920000002</v>
      </c>
      <c r="L35" s="1209">
        <f>SUM(L10:L34)-SUM(L26)</f>
        <v>157445351.86000001</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v>3003000</v>
      </c>
      <c r="G39" s="1199">
        <f t="shared" si="8"/>
        <v>3003000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c r="G43" s="1199">
        <f t="shared" si="8"/>
        <v>0</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85912962.349999994</v>
      </c>
      <c r="G47" s="1202">
        <f>SUM(G48:G49)</f>
        <v>99146371.280000001</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v>85912962.349999994</v>
      </c>
      <c r="G48" s="1199">
        <f>IF($C48="","",IF(ISERROR(VLOOKUP($C48,Sheet_Balance1,2,0)),0,VLOOKUP($C48,Sheet_Balance1,2,0)))</f>
        <v>99146371.280000001</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c r="L49" s="1207">
        <f t="shared" si="10"/>
        <v>0</v>
      </c>
      <c r="M49" s="641"/>
      <c r="N49" s="641"/>
      <c r="O49" s="641"/>
      <c r="P49" s="641"/>
    </row>
    <row r="50" spans="1:16" ht="18">
      <c r="A50" s="2750">
        <f t="shared" si="0"/>
        <v>0</v>
      </c>
      <c r="B50" s="2750">
        <f t="shared" si="1"/>
        <v>0</v>
      </c>
      <c r="C50" s="2807">
        <v>1616</v>
      </c>
      <c r="D50" s="975" t="str">
        <f>VLOOKUP($C50,Sheet_Items,2,0)</f>
        <v>在建工程（报表项目）</v>
      </c>
      <c r="E50" s="1200"/>
      <c r="F50" s="1201">
        <f>SUM(F51:F52)</f>
        <v>36387220.170000002</v>
      </c>
      <c r="G50" s="1202">
        <f>SUM(G51:G52)</f>
        <v>43951288.280000001</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v>36387220.170000002</v>
      </c>
      <c r="G51" s="1199">
        <v>43951288.280000001</v>
      </c>
      <c r="H51" s="2815">
        <v>2998</v>
      </c>
      <c r="I51" s="1205" t="str">
        <f>IF($H51="","",VLOOKUP($H51,Sheet_Items,6,0))</f>
        <v>非流动负债合计</v>
      </c>
      <c r="J51" s="1200"/>
      <c r="K51" s="1203">
        <f>SUM(K37:K50)-SUM(K40,K41,K43)</f>
        <v>0</v>
      </c>
      <c r="L51" s="1209">
        <f>SUM(L37:L50)-SUM(L40,L41,L43)</f>
        <v>0</v>
      </c>
      <c r="M51" s="641"/>
      <c r="N51" s="641"/>
      <c r="O51" s="641"/>
      <c r="P51" s="641"/>
    </row>
    <row r="52" spans="1:16" ht="18">
      <c r="A52" s="2750">
        <f t="shared" si="0"/>
        <v>0</v>
      </c>
      <c r="B52" s="2750" t="str">
        <f t="shared" si="1"/>
        <v>＝</v>
      </c>
      <c r="C52" s="2807">
        <v>1605</v>
      </c>
      <c r="D52" s="1140" t="str">
        <f>IF($C52="","",VLOOKUP($C52,Sheet_Items,6,0))</f>
        <v>工程物资</v>
      </c>
      <c r="E52" s="1197"/>
      <c r="F52" s="1198"/>
      <c r="G52" s="1199"/>
      <c r="H52" s="2815">
        <v>2999</v>
      </c>
      <c r="I52" s="1205" t="str">
        <f>IF($H52="","",VLOOKUP($H52,Sheet_Items,6,0))</f>
        <v>负债合计</v>
      </c>
      <c r="J52" s="1200"/>
      <c r="K52" s="1203">
        <f>SUM(K35,K51)</f>
        <v>77953379.920000002</v>
      </c>
      <c r="L52" s="1209">
        <f>SUM(L35,L51)</f>
        <v>157445351.86000001</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ref="G53:G66" si="11">IF($C53="","",IF(ISERROR(VLOOKUP($C53,Sheet_Balance1,2,0)),0,VLOOKUP($C53,Sheet_Balance1,2,0)))</f>
        <v>0</v>
      </c>
      <c r="H53" s="2815">
        <v>4000</v>
      </c>
      <c r="I53" s="1205" t="str">
        <f t="shared" ref="I53:I68" si="12">IF($H53="","",VLOOKUP($H53,Sheet_Items,7,0))</f>
        <v>所有者权益(或股东权益)：</v>
      </c>
      <c r="J53" s="1197"/>
      <c r="K53" s="1198"/>
      <c r="L53" s="1207">
        <f t="shared" ref="L53:L63"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v>85691911</v>
      </c>
      <c r="L54" s="1207">
        <f t="shared" si="13"/>
        <v>85691911</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v>22921846.190000001</v>
      </c>
      <c r="G56" s="1199">
        <f t="shared" si="11"/>
        <v>20891148.170000002</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v>238420255.88999999</v>
      </c>
      <c r="L58" s="1207">
        <f t="shared" si="13"/>
        <v>238420255.88999999</v>
      </c>
      <c r="M58" s="641"/>
      <c r="N58" s="641"/>
      <c r="O58" s="641"/>
      <c r="P58" s="641"/>
    </row>
    <row r="59" spans="1:16" ht="18">
      <c r="A59" s="2750">
        <f t="shared" si="0"/>
        <v>0</v>
      </c>
      <c r="B59" s="2750">
        <f t="shared" si="1"/>
        <v>0</v>
      </c>
      <c r="C59" s="2807">
        <v>1801</v>
      </c>
      <c r="D59" s="975" t="str">
        <f t="shared" si="14"/>
        <v>长期待摊费用</v>
      </c>
      <c r="E59" s="1197"/>
      <c r="F59" s="1198">
        <v>1548766.81</v>
      </c>
      <c r="G59" s="1199">
        <f t="shared" si="11"/>
        <v>1731944.44</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v>15732218.73</v>
      </c>
      <c r="G60" s="1199">
        <f t="shared" si="11"/>
        <v>15732218.73</v>
      </c>
      <c r="H60" s="2815">
        <v>4215</v>
      </c>
      <c r="I60" s="1206" t="str">
        <f t="shared" si="12"/>
        <v>其他综合收益</v>
      </c>
      <c r="J60" s="1197"/>
      <c r="K60" s="1198"/>
      <c r="L60" s="1207">
        <f t="shared" si="13"/>
        <v>0</v>
      </c>
      <c r="M60" s="641"/>
      <c r="N60" s="641"/>
      <c r="O60" s="641"/>
      <c r="P60" s="641"/>
    </row>
    <row r="61" spans="1:16" ht="18">
      <c r="A61" s="2750">
        <f t="shared" si="0"/>
        <v>0</v>
      </c>
      <c r="B61" s="2750">
        <f t="shared" si="1"/>
        <v>0</v>
      </c>
      <c r="C61" s="2807">
        <v>1996</v>
      </c>
      <c r="D61" s="975" t="str">
        <f t="shared" si="14"/>
        <v>其他非流动资产</v>
      </c>
      <c r="E61" s="1197"/>
      <c r="F61" s="1198"/>
      <c r="G61" s="1199">
        <v>3483445.9</v>
      </c>
      <c r="H61" s="2815">
        <v>4301</v>
      </c>
      <c r="I61" s="1206" t="str">
        <f t="shared" si="12"/>
        <v>专项储备</v>
      </c>
      <c r="J61" s="1197"/>
      <c r="K61" s="1198">
        <v>4545209.38</v>
      </c>
      <c r="L61" s="1207">
        <f t="shared" si="13"/>
        <v>8378246.8099999996</v>
      </c>
      <c r="M61" s="3274">
        <f>L61-K61</f>
        <v>3833037.43</v>
      </c>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v>4637867.0999999996</v>
      </c>
      <c r="L62" s="1207">
        <f t="shared" si="13"/>
        <v>4637867.0999999996</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-143648994.83000001</v>
      </c>
      <c r="L64" s="1207">
        <v>-145316230.15000001</v>
      </c>
      <c r="M64" s="3274"/>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189646248.53999999</v>
      </c>
      <c r="L65" s="1232">
        <f>SUM(L54:L55,L58,-L59,L60:L64)</f>
        <v>191812050.65000001</v>
      </c>
      <c r="M65" s="3274"/>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165506014.25</v>
      </c>
      <c r="G67" s="1204">
        <f>SUM(G37:G66)-SUM(G47,G50)</f>
        <v>187939416.80000001</v>
      </c>
      <c r="H67" s="2818">
        <v>4999</v>
      </c>
      <c r="I67" s="1233" t="str">
        <f t="shared" si="12"/>
        <v>所有者权益（或股东权益）合计</v>
      </c>
      <c r="J67" s="1200"/>
      <c r="K67" s="1203">
        <f>SUM(K65,K66)</f>
        <v>189646248.53999999</v>
      </c>
      <c r="L67" s="1209">
        <f>SUM(L65,L66)</f>
        <v>191812050.65000001</v>
      </c>
      <c r="M67" s="641"/>
      <c r="N67" s="641"/>
      <c r="O67" s="641"/>
      <c r="P67" s="641"/>
    </row>
    <row r="68" spans="1:16" ht="24">
      <c r="A68" s="2750" t="str">
        <f t="shared" si="0"/>
        <v>＝</v>
      </c>
      <c r="B68" s="2750" t="str">
        <f t="shared" si="1"/>
        <v>＝</v>
      </c>
      <c r="C68" s="2807">
        <v>1999</v>
      </c>
      <c r="D68" s="1210" t="str">
        <f t="shared" si="14"/>
        <v>资产总计</v>
      </c>
      <c r="E68" s="1211"/>
      <c r="F68" s="1212">
        <f>SUM(F35,F67)</f>
        <v>267599628.46000001</v>
      </c>
      <c r="G68" s="1213">
        <f>SUM(G35,G67)</f>
        <v>349257402.50999999</v>
      </c>
      <c r="H68" s="2819">
        <v>5000</v>
      </c>
      <c r="I68" s="1234" t="str">
        <f t="shared" si="12"/>
        <v>负债和所有者权益（或股东权益）总计</v>
      </c>
      <c r="J68" s="1211"/>
      <c r="K68" s="1212">
        <f>SUM(K52,K67)</f>
        <v>267599628.46000001</v>
      </c>
      <c r="L68" s="1235">
        <f>SUM(L52,L67)</f>
        <v>349257402.50999999</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267599628.46000001</v>
      </c>
      <c r="H94" s="2823"/>
      <c r="I94" s="1236" t="str">
        <f>I68</f>
        <v>负债和所有者权益（或股东权益）总计</v>
      </c>
      <c r="J94" s="1222"/>
      <c r="K94" s="1001">
        <f>K68</f>
        <v>267599628.46000001</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349257402.50999999</v>
      </c>
      <c r="H96" s="2823"/>
      <c r="I96" s="1241" t="str">
        <f>I68</f>
        <v>负债和所有者权益（或股东权益）总计</v>
      </c>
      <c r="J96" s="1222"/>
      <c r="K96" s="1001">
        <f>L68</f>
        <v>349257402.50999999</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CpQiI+mY+E2u29rmpHkTTXdms0VBKl7I1kq1H4SYa1HHFLD9GzbP45zpC50JvaSf/h6uYpJBmJqNATF+SQHVuw==" saltValue="vBIYqOjXa0HoPJ+e7DPsYw==" spinCount="100000" sheet="1" scenarios="1" formatCells="0" autoFilter="0"/>
  <phoneticPr fontId="163" type="noConversion"/>
  <conditionalFormatting sqref="F68:G68">
    <cfRule type="expression" dxfId="4103" priority="1" stopIfTrue="1">
      <formula>ROUND(F68-K68,2)&lt;&gt;0</formula>
    </cfRule>
  </conditionalFormatting>
  <conditionalFormatting sqref="K68:L68">
    <cfRule type="expression" dxfId="4102" priority="2" stopIfTrue="1">
      <formula>ROUND(K68-F68,2)&lt;&gt;0</formula>
    </cfRule>
  </conditionalFormatting>
  <conditionalFormatting sqref="L94 L92 L96:L97">
    <cfRule type="cellIs" dxfId="4101"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1" workbookViewId="0">
      <selection activeCell="H26" sqref="H26"/>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编制单位：山东天安化工股份有限公司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 t="shared" ref="C9:C79" si="1">VLOOKUP($B9,Sheet_Items,6,0)</f>
        <v>一、营业总收入</v>
      </c>
      <c r="D9" s="1081"/>
      <c r="E9" s="921">
        <f>SUM(E10:E13)</f>
        <v>227506544.46000001</v>
      </c>
      <c r="F9" s="1135">
        <f>SUM(F10:F13)</f>
        <v>339876355.07999998</v>
      </c>
      <c r="G9" s="641"/>
      <c r="H9" s="641"/>
      <c r="I9" s="641"/>
      <c r="J9" s="641"/>
    </row>
    <row r="10" spans="1:10" ht="18">
      <c r="A10" s="2750">
        <f t="shared" si="0"/>
        <v>0</v>
      </c>
      <c r="B10" s="2807">
        <v>6001</v>
      </c>
      <c r="C10" s="1652" t="str">
        <f>VLOOKUP($B10,Sheet_Items,7,0)</f>
        <v>其中：营业收入</v>
      </c>
      <c r="D10" s="1136"/>
      <c r="E10" s="1079">
        <v>227506544.46000001</v>
      </c>
      <c r="F10" s="1080">
        <v>339876355.07999998</v>
      </c>
      <c r="G10" s="641"/>
      <c r="H10" s="641"/>
      <c r="I10" s="641"/>
      <c r="J10" s="641"/>
    </row>
    <row r="11" spans="1:10" ht="18">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226053010.99000001</v>
      </c>
      <c r="F14" s="1135">
        <f>SUM(F15:F27)</f>
        <v>300293949.13999999</v>
      </c>
      <c r="G14" s="641"/>
      <c r="H14" s="641"/>
      <c r="I14" s="641"/>
      <c r="J14" s="641"/>
    </row>
    <row r="15" spans="1:10" ht="18">
      <c r="A15" s="2750">
        <f t="shared" si="0"/>
        <v>0</v>
      </c>
      <c r="B15" s="2807">
        <v>6401</v>
      </c>
      <c r="C15" s="1138" t="str">
        <f t="shared" si="1"/>
        <v>减：营业成本</v>
      </c>
      <c r="D15" s="1081"/>
      <c r="E15" s="1079">
        <v>182901443.08000001</v>
      </c>
      <c r="F15" s="1080">
        <v>239939923.65000001</v>
      </c>
      <c r="G15" s="641"/>
      <c r="H15" s="641"/>
      <c r="I15" s="641"/>
      <c r="J15" s="641"/>
    </row>
    <row r="16" spans="1:10" ht="18">
      <c r="A16" s="2750" t="str">
        <f t="shared" si="0"/>
        <v>△</v>
      </c>
      <c r="B16" s="2807">
        <v>6411</v>
      </c>
      <c r="C16" s="975" t="str">
        <f t="shared" si="1"/>
        <v>利息支出</v>
      </c>
      <c r="D16" s="1081"/>
      <c r="E16" s="1079"/>
      <c r="F16" s="1080"/>
      <c r="G16" s="641"/>
      <c r="H16" s="641"/>
      <c r="I16" s="641"/>
      <c r="J16" s="641"/>
    </row>
    <row r="17" spans="1:10" ht="18">
      <c r="A17" s="2750" t="str">
        <f t="shared" si="0"/>
        <v>△</v>
      </c>
      <c r="B17" s="2807">
        <v>6421</v>
      </c>
      <c r="C17" s="975" t="str">
        <f t="shared" si="1"/>
        <v>手续费及佣金支出</v>
      </c>
      <c r="D17" s="1081"/>
      <c r="E17" s="1079"/>
      <c r="F17" s="1080"/>
      <c r="G17" s="641"/>
      <c r="H17" s="641"/>
      <c r="I17" s="641"/>
      <c r="J17" s="641"/>
    </row>
    <row r="18" spans="1:10" ht="18">
      <c r="A18" s="2750" t="str">
        <f t="shared" si="0"/>
        <v>△</v>
      </c>
      <c r="B18" s="2807">
        <v>6531</v>
      </c>
      <c r="C18" s="975" t="str">
        <f t="shared" si="1"/>
        <v>退保金</v>
      </c>
      <c r="D18" s="1081"/>
      <c r="E18" s="1079"/>
      <c r="F18" s="1080"/>
      <c r="G18" s="641"/>
      <c r="H18" s="641"/>
      <c r="I18" s="641"/>
      <c r="J18" s="641"/>
    </row>
    <row r="19" spans="1:10" ht="18">
      <c r="A19" s="2750" t="str">
        <f t="shared" si="0"/>
        <v>△</v>
      </c>
      <c r="B19" s="2807">
        <v>6510</v>
      </c>
      <c r="C19" s="975" t="str">
        <f t="shared" si="1"/>
        <v>赔付支出净额</v>
      </c>
      <c r="D19" s="1081"/>
      <c r="E19" s="1079"/>
      <c r="F19" s="1080">
        <f t="shared" ref="F19:F39" si="2">IF($B19="","",IF(ISERROR(VLOOKUP($B19,Sheet_Balance1,2,0)),0,VLOOKUP($B19,Sheet_Balance1,2,0)))</f>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v>3698966.08</v>
      </c>
      <c r="F23" s="1080">
        <v>6554133.3899999997</v>
      </c>
      <c r="G23" s="641"/>
      <c r="H23" s="641"/>
      <c r="I23" s="641"/>
      <c r="J23" s="641"/>
    </row>
    <row r="24" spans="1:10" ht="18">
      <c r="A24" s="2750">
        <f t="shared" si="0"/>
        <v>0</v>
      </c>
      <c r="B24" s="2807">
        <v>6601</v>
      </c>
      <c r="C24" s="975" t="str">
        <f t="shared" si="1"/>
        <v>销售费用</v>
      </c>
      <c r="D24" s="1081"/>
      <c r="E24" s="1079">
        <v>13546525.32</v>
      </c>
      <c r="F24" s="1080">
        <v>22551947.460000001</v>
      </c>
      <c r="G24" s="641"/>
      <c r="H24" s="641"/>
      <c r="I24" s="641"/>
      <c r="J24" s="641"/>
    </row>
    <row r="25" spans="1:10" ht="18">
      <c r="A25" s="2750">
        <f t="shared" si="0"/>
        <v>0</v>
      </c>
      <c r="B25" s="2807">
        <v>6602</v>
      </c>
      <c r="C25" s="975" t="str">
        <f t="shared" si="1"/>
        <v>管理费用</v>
      </c>
      <c r="D25" s="1081"/>
      <c r="E25" s="1079">
        <v>25555922.829999998</v>
      </c>
      <c r="F25" s="1080">
        <v>28739665.809999999</v>
      </c>
      <c r="G25" s="641"/>
      <c r="H25" s="641"/>
      <c r="I25" s="641"/>
      <c r="J25" s="641"/>
    </row>
    <row r="26" spans="1:10" ht="18">
      <c r="A26" s="2750">
        <f>VLOOKUP($B26,Sheet_Items,4,0)</f>
        <v>0</v>
      </c>
      <c r="B26" s="2807">
        <v>6606</v>
      </c>
      <c r="C26" s="975" t="str">
        <f>VLOOKUP($B26,Sheet_Items,6,0)</f>
        <v>研发费用</v>
      </c>
      <c r="D26" s="1081"/>
      <c r="E26" s="1079"/>
      <c r="F26" s="1080">
        <f t="shared" si="2"/>
        <v>0</v>
      </c>
      <c r="G26" s="641"/>
      <c r="H26" s="641"/>
      <c r="I26" s="641"/>
      <c r="J26" s="641"/>
    </row>
    <row r="27" spans="1:10" ht="18">
      <c r="A27" s="2750">
        <f t="shared" si="0"/>
        <v>0</v>
      </c>
      <c r="B27" s="2807">
        <v>6603</v>
      </c>
      <c r="C27" s="975" t="str">
        <f t="shared" si="1"/>
        <v>财务费用</v>
      </c>
      <c r="D27" s="1081"/>
      <c r="E27" s="1079">
        <v>350153.68</v>
      </c>
      <c r="F27" s="1080">
        <f t="shared" si="2"/>
        <v>2508278.83</v>
      </c>
      <c r="G27" s="641"/>
      <c r="H27" s="641"/>
      <c r="I27" s="641"/>
      <c r="J27" s="641"/>
    </row>
    <row r="28" spans="1:10" ht="18">
      <c r="A28" s="2750">
        <f>VLOOKUP($B28,Sheet_Items,4,0)</f>
        <v>0</v>
      </c>
      <c r="B28" s="2807" t="s">
        <v>803</v>
      </c>
      <c r="C28" s="975" t="str">
        <f>VLOOKUP($B28,Sheet_Items,6,0)</f>
        <v>其中：利息费用</v>
      </c>
      <c r="D28" s="1081"/>
      <c r="E28" s="1079">
        <v>2094341.69</v>
      </c>
      <c r="F28" s="1080">
        <f t="shared" si="2"/>
        <v>0</v>
      </c>
      <c r="G28" s="641"/>
      <c r="H28" s="641"/>
      <c r="I28" s="641"/>
      <c r="J28" s="641"/>
    </row>
    <row r="29" spans="1:10" ht="18">
      <c r="A29" s="2750">
        <f>VLOOKUP($B29,Sheet_Items,4,0)</f>
        <v>0</v>
      </c>
      <c r="B29" s="2807" t="s">
        <v>810</v>
      </c>
      <c r="C29" s="1140" t="str">
        <f>VLOOKUP($B29,Sheet_Items,6,0)</f>
        <v>利息收入</v>
      </c>
      <c r="D29" s="1081"/>
      <c r="E29" s="1079">
        <v>-1330385.21</v>
      </c>
      <c r="F29" s="1080">
        <f t="shared" si="2"/>
        <v>0</v>
      </c>
      <c r="G29" s="641"/>
      <c r="H29" s="641"/>
      <c r="I29" s="641"/>
      <c r="J29" s="641"/>
    </row>
    <row r="30" spans="1:10" ht="18">
      <c r="A30" s="2750">
        <f>VLOOKUP($B30,Sheet_Items,4,0)</f>
        <v>0</v>
      </c>
      <c r="B30" s="2807">
        <v>6181</v>
      </c>
      <c r="C30" s="1139" t="str">
        <f>VLOOKUP($B30,Sheet_Items,7,0)</f>
        <v>加：其他收益</v>
      </c>
      <c r="D30" s="1081"/>
      <c r="E30" s="1079">
        <v>143120</v>
      </c>
      <c r="F30" s="1080">
        <f t="shared" si="2"/>
        <v>15000</v>
      </c>
      <c r="G30" s="641"/>
      <c r="H30" s="641"/>
      <c r="I30" s="641"/>
      <c r="J30" s="641"/>
    </row>
    <row r="31" spans="1:10" ht="18">
      <c r="A31" s="2750">
        <f t="shared" si="0"/>
        <v>0</v>
      </c>
      <c r="B31" s="2807">
        <v>6111</v>
      </c>
      <c r="C31" s="975" t="str">
        <f t="shared" si="1"/>
        <v>投资收益（损失以“-”号填列）</v>
      </c>
      <c r="D31" s="1081"/>
      <c r="E31" s="1079"/>
      <c r="F31" s="1080">
        <f t="shared" si="2"/>
        <v>300300</v>
      </c>
      <c r="G31" s="641"/>
      <c r="H31" s="641"/>
      <c r="I31" s="641"/>
      <c r="J31" s="641"/>
    </row>
    <row r="32" spans="1:10" ht="18">
      <c r="A32" s="2750">
        <f t="shared" si="0"/>
        <v>0</v>
      </c>
      <c r="B32" s="2825">
        <v>6111.01</v>
      </c>
      <c r="C32" s="1140" t="str">
        <f>VLOOKUP($B32,Sheet_Items,6,0)</f>
        <v>其中：对联营企业和合营企业的投资收益</v>
      </c>
      <c r="D32" s="1081"/>
      <c r="E32" s="1079"/>
      <c r="F32" s="1080">
        <f t="shared" si="2"/>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f t="shared" si="2"/>
        <v>0</v>
      </c>
      <c r="G33" s="641"/>
      <c r="H33" s="641"/>
      <c r="I33" s="641"/>
      <c r="J33" s="641"/>
    </row>
    <row r="34" spans="1:10" ht="18">
      <c r="A34" s="2750" t="str">
        <f t="shared" si="0"/>
        <v>△</v>
      </c>
      <c r="B34" s="2807">
        <v>6161</v>
      </c>
      <c r="C34" s="975" t="str">
        <f t="shared" si="1"/>
        <v>汇兑收益（损失以“-”号填列）</v>
      </c>
      <c r="D34" s="1081"/>
      <c r="E34" s="1079"/>
      <c r="F34" s="1080">
        <f t="shared" si="2"/>
        <v>0</v>
      </c>
      <c r="G34" s="641"/>
      <c r="H34" s="641"/>
      <c r="I34" s="641"/>
      <c r="J34" s="641"/>
    </row>
    <row r="35" spans="1:10" ht="18">
      <c r="A35" s="2750" t="str">
        <f>VLOOKUP($B35,Sheet_Items,4,0)</f>
        <v>_JR</v>
      </c>
      <c r="B35" s="2807">
        <v>6102</v>
      </c>
      <c r="C35" s="1142" t="str">
        <f>VLOOKUP($B35,Sheet_Items,6,0)</f>
        <v>净敞口套期收益（损失以“-”号填列）</v>
      </c>
      <c r="D35" s="1081"/>
      <c r="E35" s="1079"/>
      <c r="F35" s="1080">
        <f t="shared" si="2"/>
        <v>0</v>
      </c>
      <c r="G35" s="641"/>
      <c r="H35" s="641"/>
      <c r="I35" s="641"/>
      <c r="J35" s="641"/>
    </row>
    <row r="36" spans="1:10" ht="18">
      <c r="A36" s="2750">
        <f>VLOOKUP($B36,Sheet_Items,4,0)</f>
        <v>0</v>
      </c>
      <c r="B36" s="2807">
        <v>6101</v>
      </c>
      <c r="C36" s="975" t="str">
        <f>VLOOKUP($B36,Sheet_Items,6,0)</f>
        <v>公允价值变动收益（损失以“-”号填列）</v>
      </c>
      <c r="D36" s="1081"/>
      <c r="E36" s="1079"/>
      <c r="F36" s="1080">
        <f t="shared" si="2"/>
        <v>0</v>
      </c>
      <c r="G36" s="641"/>
      <c r="H36" s="641"/>
      <c r="I36" s="641"/>
      <c r="J36" s="641"/>
    </row>
    <row r="37" spans="1:10" ht="18">
      <c r="A37" s="2750" t="str">
        <f>VLOOKUP($B37,Sheet_Items,4,0)</f>
        <v>_JR</v>
      </c>
      <c r="B37" s="2807">
        <v>6672</v>
      </c>
      <c r="C37" s="1142" t="str">
        <f>VLOOKUP($B37,Sheet_Items,6,0)</f>
        <v>信用减值损失（损失以“-”号填列）</v>
      </c>
      <c r="D37" s="1081"/>
      <c r="E37" s="1079"/>
      <c r="F37" s="1080">
        <f t="shared" si="2"/>
        <v>0</v>
      </c>
      <c r="G37" s="641"/>
      <c r="H37" s="641"/>
      <c r="I37" s="641"/>
      <c r="J37" s="641"/>
    </row>
    <row r="38" spans="1:10" ht="18">
      <c r="A38" s="2750">
        <f>VLOOKUP($B38,Sheet_Items,4,0)</f>
        <v>0</v>
      </c>
      <c r="B38" s="2807">
        <v>6671</v>
      </c>
      <c r="C38" s="975" t="str">
        <f>VLOOKUP($B38,Sheet_Items,6,0)</f>
        <v>资产减值损失（损失以“-”号填列）</v>
      </c>
      <c r="D38" s="1081"/>
      <c r="E38" s="1079">
        <v>563291.46</v>
      </c>
      <c r="F38" s="1080">
        <v>-9046997.6899999995</v>
      </c>
      <c r="G38" s="641"/>
      <c r="H38" s="641"/>
      <c r="I38" s="641"/>
      <c r="J38" s="641"/>
    </row>
    <row r="39" spans="1:10" ht="18">
      <c r="A39" s="2750">
        <f>VLOOKUP($B39,Sheet_Items,4,0)</f>
        <v>0</v>
      </c>
      <c r="B39" s="2807">
        <v>6171</v>
      </c>
      <c r="C39" s="1139" t="str">
        <f>VLOOKUP($B39,Sheet_Items,6,0)</f>
        <v>资产处置收益（损失以“-”号填列）</v>
      </c>
      <c r="D39" s="1081"/>
      <c r="E39" s="1079">
        <v>-202484.15</v>
      </c>
      <c r="F39" s="1080">
        <f t="shared" si="2"/>
        <v>-1081801.72</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1957460.78</v>
      </c>
      <c r="F40" s="1080">
        <f>SUM(F10:F13)-SUM(F15:F27)+SUM(F30:F39)-SUM(F32,F33)</f>
        <v>29768906.530000001</v>
      </c>
      <c r="G40" s="641"/>
      <c r="H40" s="641"/>
      <c r="I40" s="641"/>
      <c r="J40" s="641"/>
    </row>
    <row r="41" spans="1:10" ht="18">
      <c r="A41" s="2750">
        <f t="shared" si="0"/>
        <v>0</v>
      </c>
      <c r="B41" s="2807">
        <v>6710</v>
      </c>
      <c r="C41" s="975" t="str">
        <f t="shared" si="1"/>
        <v>加：营业外收入</v>
      </c>
      <c r="D41" s="1081"/>
      <c r="E41" s="1079">
        <v>68824.56</v>
      </c>
      <c r="F41" s="1080">
        <f>IF($B41="","",IF(ISERROR(VLOOKUP($B41,Sheet_Balance1,2,0)),0,VLOOKUP($B41,Sheet_Balance1,2,0)))</f>
        <v>52566.02</v>
      </c>
      <c r="G41" s="641"/>
      <c r="H41" s="641"/>
      <c r="I41" s="641"/>
      <c r="J41" s="641"/>
    </row>
    <row r="42" spans="1:10" ht="18">
      <c r="A42" s="2750">
        <f t="shared" si="0"/>
        <v>0</v>
      </c>
      <c r="B42" s="2807">
        <v>6711</v>
      </c>
      <c r="C42" s="975" t="str">
        <f t="shared" si="1"/>
        <v>减：营业外支出</v>
      </c>
      <c r="D42" s="1081"/>
      <c r="E42" s="1079">
        <v>239577.31</v>
      </c>
      <c r="F42" s="1080">
        <f>IF($B42="","",IF(ISERROR(VLOOKUP($B42,Sheet_Balance1,2,0)),0,VLOOKUP($B42,Sheet_Balance1,2,0)))</f>
        <v>910205.83</v>
      </c>
      <c r="G42" s="641"/>
      <c r="H42" s="641"/>
      <c r="I42" s="641"/>
      <c r="J42" s="641"/>
    </row>
    <row r="43" spans="1:10" ht="18">
      <c r="A43" s="2750" t="str">
        <f t="shared" si="0"/>
        <v>＝</v>
      </c>
      <c r="B43" s="2807">
        <v>6788</v>
      </c>
      <c r="C43" s="1144" t="str">
        <f>VLOOKUP($B43,Sheet_Items,7,0)</f>
        <v>四、利润总额（亏损总额以“-”号填列）</v>
      </c>
      <c r="D43" s="1081"/>
      <c r="E43" s="1082">
        <f>SUM(E40,E41,-E42)</f>
        <v>1786708.03</v>
      </c>
      <c r="F43" s="1083">
        <f>SUM(F40,F41,-F42)</f>
        <v>28911266.719999999</v>
      </c>
      <c r="G43" s="641"/>
      <c r="H43" s="641"/>
      <c r="I43" s="641"/>
      <c r="J43" s="641"/>
    </row>
    <row r="44" spans="1:10" ht="18">
      <c r="A44" s="2750">
        <f t="shared" si="0"/>
        <v>0</v>
      </c>
      <c r="B44" s="2807">
        <v>6791</v>
      </c>
      <c r="C44" s="975" t="str">
        <f t="shared" si="1"/>
        <v>减：所得税费用</v>
      </c>
      <c r="D44" s="1081"/>
      <c r="E44" s="1079">
        <v>119472.71</v>
      </c>
      <c r="F44" s="1080">
        <f>IF($B44="","",IF(ISERROR(VLOOKUP($B44,Sheet_Balance1,2,0)),0,VLOOKUP($B44,Sheet_Balance1,2,0)))</f>
        <v>1544915.31</v>
      </c>
      <c r="G44" s="641"/>
      <c r="H44" s="641"/>
      <c r="I44" s="641"/>
      <c r="J44" s="641"/>
    </row>
    <row r="45" spans="1:10" ht="18">
      <c r="A45" s="2750" t="str">
        <f t="shared" si="0"/>
        <v>＝</v>
      </c>
      <c r="B45" s="2807">
        <v>6799</v>
      </c>
      <c r="C45" s="1144" t="str">
        <f>VLOOKUP($B45,Sheet_Items,7,0)</f>
        <v>五、净利润（净亏损以“-”号填列）</v>
      </c>
      <c r="D45" s="1081"/>
      <c r="E45" s="1082">
        <f>SUM(E43,-E44)</f>
        <v>1667235.32</v>
      </c>
      <c r="F45" s="1083">
        <f>SUM(F43,-F44)</f>
        <v>27366351.41</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3"/>
        <v>0</v>
      </c>
      <c r="B47" s="2807">
        <v>6816</v>
      </c>
      <c r="C47" s="975" t="str">
        <f t="shared" si="4"/>
        <v>1.持续经营净利润（净亏损以“-”号填列）</v>
      </c>
      <c r="D47" s="1081" t="s">
        <v>19</v>
      </c>
      <c r="E47" s="1079">
        <v>1667235.32</v>
      </c>
      <c r="F47" s="1080">
        <v>27366351.41</v>
      </c>
      <c r="G47" s="641"/>
      <c r="H47" s="641"/>
      <c r="I47" s="641"/>
      <c r="J47" s="641"/>
    </row>
    <row r="48" spans="1:10" ht="18">
      <c r="A48" s="2750">
        <f t="shared" si="3"/>
        <v>0</v>
      </c>
      <c r="B48" s="2807">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0" t="str">
        <f t="shared" si="3"/>
        <v>※</v>
      </c>
      <c r="B49" s="2807">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1667235.32</v>
      </c>
      <c r="F50" s="1080">
        <f>SUM(F45)</f>
        <v>27366351.41</v>
      </c>
      <c r="G50" s="641"/>
      <c r="H50" s="641"/>
      <c r="I50" s="641"/>
      <c r="J50" s="641"/>
    </row>
    <row r="51" spans="1:10" ht="18">
      <c r="A51" s="2750" t="str">
        <f t="shared" si="3"/>
        <v>※</v>
      </c>
      <c r="B51" s="2807">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5"/>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5"/>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5"/>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5"/>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0" t="str">
        <f t="shared" ref="A62:A67" si="7">VLOOKUP($B62,Sheet_Items,4,0)</f>
        <v>_JR</v>
      </c>
      <c r="B62" s="2826" t="s">
        <v>916</v>
      </c>
      <c r="C62" s="1653" t="str">
        <f t="shared" si="5"/>
        <v>其他债权投资公允价值变动</v>
      </c>
      <c r="D62" s="1146"/>
      <c r="E62" s="1147"/>
      <c r="F62" s="1148">
        <f t="shared" si="6"/>
        <v>0</v>
      </c>
      <c r="G62" s="641"/>
      <c r="H62" s="641"/>
      <c r="I62" s="641"/>
      <c r="J62" s="641"/>
    </row>
    <row r="63" spans="1:10" ht="18">
      <c r="A63" s="2750" t="str">
        <f t="shared" si="7"/>
        <v>ＸJRH</v>
      </c>
      <c r="B63" s="2826">
        <v>6829.232</v>
      </c>
      <c r="C63" s="1653" t="str">
        <f t="shared" si="5"/>
        <v>可供出售金融资产公允价值变动损益</v>
      </c>
      <c r="D63" s="1146"/>
      <c r="E63" s="1147"/>
      <c r="F63" s="1148">
        <f t="shared" si="6"/>
        <v>0</v>
      </c>
      <c r="G63" s="641"/>
      <c r="H63" s="641"/>
      <c r="I63" s="641"/>
      <c r="J63" s="641"/>
    </row>
    <row r="64" spans="1:10" ht="18">
      <c r="A64" s="2750" t="str">
        <f t="shared" si="7"/>
        <v>_JR</v>
      </c>
      <c r="B64" s="2826" t="s">
        <v>922</v>
      </c>
      <c r="C64" s="1653" t="str">
        <f t="shared" si="5"/>
        <v>金融资产重分类计入其他综合收益的金额</v>
      </c>
      <c r="D64" s="1146"/>
      <c r="E64" s="1147"/>
      <c r="F64" s="1148">
        <f t="shared" si="6"/>
        <v>0</v>
      </c>
      <c r="G64" s="641"/>
      <c r="H64" s="641"/>
      <c r="I64" s="641"/>
      <c r="J64" s="641"/>
    </row>
    <row r="65" spans="1:10" ht="18">
      <c r="A65" s="2750" t="str">
        <f t="shared" si="7"/>
        <v>ＸJRH</v>
      </c>
      <c r="B65" s="2826">
        <v>6829.2330000000002</v>
      </c>
      <c r="C65" s="1653" t="str">
        <f t="shared" si="5"/>
        <v>持有至到期投资重分类为可供出售金融资产损益</v>
      </c>
      <c r="D65" s="1146"/>
      <c r="E65" s="1147"/>
      <c r="F65" s="1148">
        <f t="shared" si="6"/>
        <v>0</v>
      </c>
      <c r="G65" s="641"/>
      <c r="H65" s="641"/>
      <c r="I65" s="641"/>
      <c r="J65" s="641"/>
    </row>
    <row r="66" spans="1:10" ht="18">
      <c r="A66" s="2750" t="str">
        <f t="shared" si="7"/>
        <v>_JR</v>
      </c>
      <c r="B66" s="2826" t="s">
        <v>927</v>
      </c>
      <c r="C66" s="1653" t="str">
        <f t="shared" si="5"/>
        <v>其他债权投资信用减值准备</v>
      </c>
      <c r="D66" s="1146"/>
      <c r="E66" s="1147"/>
      <c r="F66" s="1148">
        <f t="shared" si="6"/>
        <v>0</v>
      </c>
      <c r="G66" s="641"/>
      <c r="H66" s="641"/>
      <c r="I66" s="641"/>
      <c r="J66" s="641"/>
    </row>
    <row r="67" spans="1:10" ht="18">
      <c r="A67" s="2750" t="str">
        <f t="shared" si="7"/>
        <v>_JR</v>
      </c>
      <c r="B67" s="2826" t="s">
        <v>930</v>
      </c>
      <c r="C67" s="1653" t="str">
        <f t="shared" si="5"/>
        <v>现金流量套期储备</v>
      </c>
      <c r="D67" s="1146"/>
      <c r="E67" s="1147"/>
      <c r="F67" s="1148">
        <f t="shared" si="6"/>
        <v>0</v>
      </c>
      <c r="G67" s="641"/>
      <c r="H67" s="641"/>
      <c r="I67" s="641"/>
      <c r="J67" s="641"/>
    </row>
    <row r="68" spans="1:10" ht="18">
      <c r="A68" s="2750" t="str">
        <f t="shared" si="0"/>
        <v>ＸJRH</v>
      </c>
      <c r="B68" s="2826">
        <v>6829.2340000000004</v>
      </c>
      <c r="C68" s="1653" t="str">
        <f t="shared" si="5"/>
        <v>现金流量套期损益的有效部分</v>
      </c>
      <c r="D68" s="1146"/>
      <c r="E68" s="1147"/>
      <c r="F68" s="1148">
        <f t="shared" si="6"/>
        <v>0</v>
      </c>
      <c r="G68" s="641"/>
      <c r="H68" s="641"/>
      <c r="I68" s="641"/>
      <c r="J68" s="641"/>
    </row>
    <row r="69" spans="1:10" ht="18">
      <c r="A69" s="2750" t="str">
        <f t="shared" si="0"/>
        <v>Ｘ</v>
      </c>
      <c r="B69" s="2826">
        <v>6829.2349999999997</v>
      </c>
      <c r="C69" s="1653" t="str">
        <f t="shared" si="5"/>
        <v>外币财务报表折算差额</v>
      </c>
      <c r="D69" s="1146"/>
      <c r="E69" s="1147"/>
      <c r="F69" s="1148">
        <f t="shared" si="6"/>
        <v>0</v>
      </c>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0">
        <f t="shared" si="0"/>
        <v>0</v>
      </c>
      <c r="B72" s="2826">
        <v>6829.2389999999996</v>
      </c>
      <c r="C72" s="1653" t="str">
        <f t="shared" si="5"/>
        <v>其他</v>
      </c>
      <c r="D72" s="1146"/>
      <c r="E72" s="1147"/>
      <c r="F72" s="1148">
        <f t="shared" si="6"/>
        <v>0</v>
      </c>
      <c r="G72" s="641"/>
      <c r="H72" s="641"/>
      <c r="I72" s="641"/>
      <c r="J72" s="641"/>
    </row>
    <row r="73" spans="1:10" ht="18">
      <c r="A73" s="2750" t="str">
        <f t="shared" si="0"/>
        <v>※</v>
      </c>
      <c r="B73" s="2826">
        <v>6829.5</v>
      </c>
      <c r="C73" s="975" t="str">
        <f t="shared" si="5"/>
        <v>（二）归属于少数股东的其他综合收益的税后净额</v>
      </c>
      <c r="D73" s="1146"/>
      <c r="E73" s="1147"/>
      <c r="F73" s="1148">
        <f t="shared" si="6"/>
        <v>0</v>
      </c>
      <c r="G73" s="641"/>
      <c r="H73" s="641"/>
      <c r="I73" s="641"/>
      <c r="J73" s="641"/>
    </row>
    <row r="74" spans="1:10" ht="18">
      <c r="A74" s="2750" t="str">
        <f t="shared" si="0"/>
        <v>＝</v>
      </c>
      <c r="B74" s="2807">
        <v>6839</v>
      </c>
      <c r="C74" s="1144" t="str">
        <f t="shared" si="5"/>
        <v>七、综合收益总额</v>
      </c>
      <c r="D74" s="1081"/>
      <c r="E74" s="1082">
        <f>SUM(E45,E52)</f>
        <v>1667235.32</v>
      </c>
      <c r="F74" s="1083">
        <f>SUM(F45,F52)</f>
        <v>27366351.41</v>
      </c>
      <c r="G74" s="641"/>
      <c r="H74" s="641"/>
      <c r="I74" s="641"/>
      <c r="J74" s="641"/>
    </row>
    <row r="75" spans="1:10" ht="18">
      <c r="A75" s="2750" t="str">
        <f t="shared" si="0"/>
        <v>※</v>
      </c>
      <c r="B75" s="2807">
        <v>6841</v>
      </c>
      <c r="C75" s="1151" t="str">
        <f t="shared" si="5"/>
        <v>（一）归属于母公司所有者的综合收益总额</v>
      </c>
      <c r="D75" s="1152"/>
      <c r="E75" s="1153">
        <f>SUM(E50,E53)</f>
        <v>1667235.32</v>
      </c>
      <c r="F75" s="1154">
        <f>SUM(F50,F53)</f>
        <v>27366351.41</v>
      </c>
      <c r="G75" s="641"/>
      <c r="H75" s="641"/>
      <c r="I75" s="641"/>
      <c r="J75" s="641"/>
    </row>
    <row r="76" spans="1:10" ht="18">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8">
      <c r="A80" s="2747"/>
      <c r="B80" s="2750"/>
      <c r="C80" s="1650" t="s">
        <v>5646</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1667235.32</v>
      </c>
      <c r="F88" s="1171">
        <f>F45</f>
        <v>27366351.41</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1667235.32</v>
      </c>
      <c r="F89" s="1171">
        <f>F50+F51</f>
        <v>27366351.41</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1667235.32</v>
      </c>
      <c r="F92" s="1171">
        <f>F45</f>
        <v>27366351.41</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1667235.32</v>
      </c>
      <c r="F93" s="1171">
        <f>F47+F48</f>
        <v>27366351.41</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1667235.32</v>
      </c>
      <c r="F96" s="1055">
        <f>F74</f>
        <v>27366351.41</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1667235.32</v>
      </c>
      <c r="F97" s="1171">
        <f>F75+F76</f>
        <v>27366351.41</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1667235.32</v>
      </c>
      <c r="F105" s="1055">
        <f>F50</f>
        <v>27366351.41</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1667235.32</v>
      </c>
      <c r="F106" s="1055">
        <f>preCE!AB18</f>
        <v>27366351.41</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1667235.32</v>
      </c>
      <c r="F117" s="1055">
        <f>F74</f>
        <v>27366351.41</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1667235.32</v>
      </c>
      <c r="F118" s="1055">
        <f>preCE!AE18</f>
        <v>27366351.41</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1667235.32</v>
      </c>
      <c r="F121" s="1055">
        <f>F75</f>
        <v>27366351.41</v>
      </c>
      <c r="G121" s="709"/>
      <c r="H121" s="641"/>
      <c r="I121" s="641"/>
      <c r="J121" s="641"/>
      <c r="K121" s="1189"/>
      <c r="L121" s="1190"/>
    </row>
    <row r="122" spans="1:12" ht="18">
      <c r="A122" s="2811" t="s">
        <v>2565</v>
      </c>
      <c r="B122" s="2810"/>
      <c r="C122" s="1179" t="str">
        <f>preCE!$C$18</f>
        <v>（一）综合收益总额</v>
      </c>
      <c r="D122" s="1029" t="s">
        <v>442</v>
      </c>
      <c r="E122" s="1028">
        <f>preCE!Q18-preCE!P18</f>
        <v>1667235.32</v>
      </c>
      <c r="F122" s="1055">
        <f>preCE!AE18-preCE!AD18</f>
        <v>27366351.41</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GCiJnKdcjywHjW3G3oG4BFH0k2ZGasuPnGf/Nee1ED108xkwcBUCfALYwjQvsw7iW5RCgxfbtRKWri9h+dkgOQ==" saltValue="OXAhwBs7DjED8pLKCVr54g==" spinCount="100000" sheet="1" scenarios="1" formatCells="0" autoFilter="0"/>
  <phoneticPr fontId="163" type="noConversion"/>
  <conditionalFormatting sqref="C9:F74">
    <cfRule type="expression" dxfId="4100" priority="23" stopIfTrue="1">
      <formula>AND($A9&lt;&gt;"＝",MOD(ROW(),3)=0)</formula>
    </cfRule>
    <cfRule type="expression" dxfId="4099" priority="24" stopIfTrue="1">
      <formula>$A9="："</formula>
    </cfRule>
    <cfRule type="expression" dxfId="4098" priority="25" stopIfTrue="1">
      <formula>$A9="＝"</formula>
    </cfRule>
  </conditionalFormatting>
  <conditionalFormatting sqref="E90:F90 E98:F98 E103:F103 E107:F107 E111:F111 E115:F115 E123:F123 E127:F127 E129:F129 E119:F119">
    <cfRule type="cellIs" dxfId="4097" priority="27" stopIfTrue="1" operator="notEqual">
      <formula>0</formula>
    </cfRule>
  </conditionalFormatting>
  <conditionalFormatting sqref="E94:F94">
    <cfRule type="cellIs" dxfId="4096"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U32"/>
  <sheetViews>
    <sheetView topLeftCell="A16" workbookViewId="0">
      <selection activeCell="G22" sqref="G22"/>
    </sheetView>
  </sheetViews>
  <sheetFormatPr defaultColWidth="9.140625" defaultRowHeight="16.5"/>
  <cols>
    <col min="1" max="1" width="4.42578125" style="3108" customWidth="1"/>
    <col min="2" max="2" width="29.28515625" style="3108" customWidth="1"/>
    <col min="3" max="3" width="5.28515625" style="3169" customWidth="1"/>
    <col min="4" max="4" width="17.42578125" style="3170" customWidth="1"/>
    <col min="5" max="5" width="19" style="3108" customWidth="1"/>
    <col min="6" max="6" width="17" style="3170" customWidth="1"/>
    <col min="7" max="7" width="18.7109375" style="3170" customWidth="1"/>
    <col min="8" max="9" width="17.5703125" style="3170" customWidth="1"/>
    <col min="10" max="11" width="18" style="3170" customWidth="1"/>
    <col min="12" max="12" width="16.140625" style="3170" customWidth="1"/>
    <col min="13" max="17" width="19.42578125" style="3128" customWidth="1"/>
    <col min="18" max="21" width="19.42578125" style="3108" customWidth="1"/>
    <col min="22" max="16384" width="9.140625" style="3108"/>
  </cols>
  <sheetData>
    <row r="1" spans="1:21" ht="33.75">
      <c r="B1" s="3410" t="s">
        <v>7275</v>
      </c>
      <c r="C1" s="3411"/>
      <c r="D1" s="3411"/>
      <c r="E1" s="3411"/>
      <c r="F1" s="3411"/>
      <c r="G1" s="3411"/>
      <c r="H1" s="3109"/>
      <c r="I1" s="3109"/>
      <c r="J1" s="3109"/>
      <c r="K1" s="3109"/>
      <c r="L1" s="3109"/>
      <c r="M1" s="3110"/>
      <c r="N1" s="3110"/>
      <c r="O1" s="3110"/>
      <c r="P1" s="3110"/>
      <c r="Q1" s="3110"/>
      <c r="R1" s="3111"/>
      <c r="S1" s="3111"/>
      <c r="T1" s="3111"/>
      <c r="U1" s="3111"/>
    </row>
    <row r="2" spans="1:21" ht="21" customHeight="1">
      <c r="B2" s="3412" t="s">
        <v>7276</v>
      </c>
      <c r="C2" s="3412"/>
      <c r="D2" s="3412"/>
      <c r="E2" s="3412"/>
      <c r="F2" s="3412"/>
      <c r="G2" s="3412"/>
      <c r="H2" s="3112"/>
      <c r="I2" s="3112"/>
      <c r="J2" s="3112"/>
      <c r="K2" s="3112"/>
      <c r="L2" s="3112"/>
      <c r="M2" s="3110"/>
      <c r="N2" s="3110"/>
      <c r="O2" s="3110"/>
      <c r="P2" s="3110"/>
      <c r="Q2" s="3110"/>
      <c r="R2" s="3111"/>
      <c r="S2" s="3111"/>
      <c r="T2" s="3111"/>
      <c r="U2" s="3111"/>
    </row>
    <row r="3" spans="1:21" ht="6.75" customHeight="1">
      <c r="B3" s="3113"/>
      <c r="C3" s="3113"/>
      <c r="D3" s="3113"/>
      <c r="E3" s="3114"/>
      <c r="F3" s="3115"/>
      <c r="G3" s="3116"/>
      <c r="H3" s="3116"/>
      <c r="I3" s="3116"/>
      <c r="J3" s="3116"/>
      <c r="K3" s="3116"/>
      <c r="L3" s="3116"/>
      <c r="M3" s="3110"/>
      <c r="N3" s="3110"/>
      <c r="O3" s="3110"/>
      <c r="P3" s="3110"/>
      <c r="Q3" s="3110"/>
      <c r="R3" s="3111"/>
      <c r="S3" s="3111"/>
      <c r="T3" s="3111"/>
      <c r="U3" s="3111"/>
    </row>
    <row r="4" spans="1:21" ht="18" customHeight="1" thickBot="1">
      <c r="B4" s="3117"/>
      <c r="C4" s="3118"/>
      <c r="D4" s="3119"/>
      <c r="E4" s="3120"/>
      <c r="F4" s="3119"/>
      <c r="G4" s="3121"/>
      <c r="H4" s="3121" t="s">
        <v>7277</v>
      </c>
      <c r="I4" s="3121"/>
      <c r="J4" s="3121"/>
      <c r="K4" s="3121"/>
      <c r="L4" s="3121"/>
      <c r="M4" s="3110"/>
      <c r="N4" s="3110"/>
      <c r="O4" s="3110"/>
      <c r="P4" s="3110"/>
      <c r="Q4" s="3110"/>
      <c r="R4" s="3111"/>
      <c r="S4" s="3111"/>
      <c r="T4" s="3111"/>
      <c r="U4" s="3111"/>
    </row>
    <row r="5" spans="1:21" ht="21.95" customHeight="1" thickTop="1">
      <c r="A5" s="3122"/>
      <c r="B5" s="3123" t="s">
        <v>2522</v>
      </c>
      <c r="C5" s="3124" t="s">
        <v>2667</v>
      </c>
      <c r="D5" s="3125" t="s">
        <v>7278</v>
      </c>
      <c r="E5" s="3126" t="s">
        <v>7279</v>
      </c>
      <c r="F5" s="3125" t="s">
        <v>7280</v>
      </c>
      <c r="G5" s="3125" t="s">
        <v>7281</v>
      </c>
      <c r="H5" s="3127" t="s">
        <v>7282</v>
      </c>
      <c r="I5" s="3127" t="s">
        <v>7283</v>
      </c>
      <c r="J5" s="3127" t="s">
        <v>7284</v>
      </c>
      <c r="K5" s="3127" t="s">
        <v>7285</v>
      </c>
      <c r="L5" s="3127" t="s">
        <v>7286</v>
      </c>
    </row>
    <row r="6" spans="1:21" ht="21.95" customHeight="1">
      <c r="B6" s="3129" t="s">
        <v>7287</v>
      </c>
      <c r="C6" s="3130"/>
      <c r="D6" s="3131">
        <v>49809920.899999999</v>
      </c>
      <c r="E6" s="3132">
        <f>Notes!H330</f>
        <v>59490148.100000001</v>
      </c>
      <c r="F6" s="3133"/>
      <c r="G6" s="3133"/>
      <c r="H6" s="3131">
        <f>E6+F6-G6</f>
        <v>59490148.100000001</v>
      </c>
      <c r="I6" s="3131"/>
      <c r="J6" s="3131"/>
      <c r="K6" s="3131"/>
      <c r="L6" s="3131"/>
      <c r="M6" s="3134"/>
      <c r="N6" s="3135"/>
      <c r="O6" s="3110"/>
      <c r="P6" s="3110"/>
      <c r="Q6" s="3110"/>
      <c r="R6" s="3111"/>
      <c r="S6" s="3111"/>
      <c r="T6" s="3111"/>
      <c r="U6" s="3111"/>
    </row>
    <row r="7" spans="1:21" ht="29.25" customHeight="1">
      <c r="B7" s="3129" t="s">
        <v>7288</v>
      </c>
      <c r="C7" s="3130"/>
      <c r="D7" s="3131">
        <v>6681710.6699999999</v>
      </c>
      <c r="E7" s="3136">
        <v>6792184.6500000004</v>
      </c>
      <c r="F7" s="3137"/>
      <c r="G7" s="3133">
        <f>AJE!P69</f>
        <v>544984.78</v>
      </c>
      <c r="H7" s="3131">
        <f>E7+G7-F7</f>
        <v>7337169.4299999997</v>
      </c>
      <c r="I7" s="3131"/>
      <c r="J7" s="3131"/>
      <c r="K7" s="3131"/>
      <c r="L7" s="3131">
        <f>H7-D7</f>
        <v>655458.76</v>
      </c>
      <c r="M7" s="3138"/>
      <c r="N7" s="3139"/>
      <c r="O7" s="3139"/>
      <c r="P7" s="3110"/>
      <c r="Q7" s="3110"/>
      <c r="R7" s="3111"/>
      <c r="S7" s="3111"/>
      <c r="T7" s="3111"/>
      <c r="U7" s="3111"/>
    </row>
    <row r="8" spans="1:21" ht="29.25" customHeight="1">
      <c r="B8" s="3140" t="s">
        <v>7289</v>
      </c>
      <c r="C8" s="3141"/>
      <c r="D8" s="3142">
        <f>D6-D7</f>
        <v>43128210.229999997</v>
      </c>
      <c r="E8" s="3142">
        <f t="shared" ref="E8:G8" si="0">E6-E7</f>
        <v>52697963.450000003</v>
      </c>
      <c r="F8" s="3142">
        <f t="shared" si="0"/>
        <v>0</v>
      </c>
      <c r="G8" s="3142">
        <f t="shared" si="0"/>
        <v>-544984.78</v>
      </c>
      <c r="H8" s="3142">
        <f>H6-H7</f>
        <v>52152978.670000002</v>
      </c>
      <c r="I8" s="3143">
        <f>E8-[22]preBS!F18</f>
        <v>52697963.450000003</v>
      </c>
      <c r="J8" s="3143">
        <f>H8-[22]BS!G13</f>
        <v>52152978.670000002</v>
      </c>
      <c r="K8" s="3143">
        <f>D8-[22]BS!H13</f>
        <v>43128210.229999997</v>
      </c>
      <c r="L8" s="3131"/>
      <c r="M8" s="3138"/>
      <c r="N8" s="3139"/>
      <c r="O8" s="3139"/>
      <c r="P8" s="3110"/>
      <c r="Q8" s="3110"/>
      <c r="R8" s="3111"/>
      <c r="S8" s="3111"/>
      <c r="T8" s="3111"/>
      <c r="U8" s="3111"/>
    </row>
    <row r="9" spans="1:21" ht="29.25" customHeight="1">
      <c r="B9" s="3129" t="s">
        <v>7290</v>
      </c>
      <c r="C9" s="3130"/>
      <c r="D9" s="3131"/>
      <c r="E9" s="3136"/>
      <c r="F9" s="3137"/>
      <c r="G9" s="3133"/>
      <c r="H9" s="3131">
        <f t="shared" ref="H9:H10" si="1">E9+G9-F9</f>
        <v>0</v>
      </c>
      <c r="I9" s="3131"/>
      <c r="J9" s="3131"/>
      <c r="K9" s="3131"/>
      <c r="L9" s="3131"/>
      <c r="M9" s="3138"/>
      <c r="N9" s="3139"/>
      <c r="O9" s="3139"/>
      <c r="P9" s="3110"/>
      <c r="Q9" s="3110"/>
      <c r="R9" s="3111"/>
      <c r="S9" s="3111"/>
      <c r="T9" s="3111"/>
      <c r="U9" s="3111"/>
    </row>
    <row r="10" spans="1:21" ht="29.25" customHeight="1">
      <c r="B10" s="3129" t="s">
        <v>7291</v>
      </c>
      <c r="C10" s="3130"/>
      <c r="D10" s="3131"/>
      <c r="E10" s="3136"/>
      <c r="F10" s="3137"/>
      <c r="G10" s="3133"/>
      <c r="H10" s="3131">
        <f t="shared" si="1"/>
        <v>0</v>
      </c>
      <c r="I10" s="3131"/>
      <c r="J10" s="3131"/>
      <c r="K10" s="3131"/>
      <c r="L10" s="3131">
        <f t="shared" ref="L10" si="2">H10-D10</f>
        <v>0</v>
      </c>
      <c r="M10" s="3138"/>
      <c r="N10" s="3139"/>
      <c r="O10" s="3139"/>
      <c r="P10" s="3110"/>
      <c r="Q10" s="3110"/>
      <c r="R10" s="3111"/>
      <c r="S10" s="3111"/>
      <c r="T10" s="3111"/>
      <c r="U10" s="3111"/>
    </row>
    <row r="11" spans="1:21" ht="21.95" customHeight="1">
      <c r="B11" s="3140" t="s">
        <v>7292</v>
      </c>
      <c r="C11" s="3141"/>
      <c r="D11" s="3142">
        <f>+D9-D10</f>
        <v>0</v>
      </c>
      <c r="E11" s="3142">
        <f t="shared" ref="E11:G11" si="3">+E9-E10</f>
        <v>0</v>
      </c>
      <c r="F11" s="3142">
        <f t="shared" si="3"/>
        <v>0</v>
      </c>
      <c r="G11" s="3142">
        <f t="shared" si="3"/>
        <v>0</v>
      </c>
      <c r="H11" s="3142">
        <f>+H9-H10</f>
        <v>0</v>
      </c>
      <c r="I11" s="3143">
        <f>E11-[22]preBS!F17</f>
        <v>0</v>
      </c>
      <c r="J11" s="3143">
        <f>H11-[22]BS!G12</f>
        <v>0</v>
      </c>
      <c r="K11" s="3143">
        <f>J11-[22]BS!G12</f>
        <v>0</v>
      </c>
      <c r="L11" s="3131"/>
      <c r="M11" s="3144"/>
      <c r="N11" s="3110"/>
      <c r="O11" s="3110"/>
      <c r="P11" s="3110"/>
      <c r="Q11" s="3110"/>
      <c r="R11" s="3111"/>
      <c r="S11" s="3111"/>
      <c r="T11" s="3111"/>
      <c r="U11" s="3111"/>
    </row>
    <row r="12" spans="1:21" ht="21.95" customHeight="1">
      <c r="B12" s="3129" t="s">
        <v>201</v>
      </c>
      <c r="C12" s="3130"/>
      <c r="D12" s="3131">
        <v>7207779.0499999998</v>
      </c>
      <c r="E12" s="3145">
        <f>Notes!H1003</f>
        <v>15111272.470000001</v>
      </c>
      <c r="F12" s="3133"/>
      <c r="G12" s="3133"/>
      <c r="H12" s="3131">
        <f>E12+F12-G12</f>
        <v>15111272.470000001</v>
      </c>
      <c r="I12" s="3131"/>
      <c r="J12" s="3131"/>
      <c r="K12" s="3131"/>
      <c r="L12" s="3131"/>
      <c r="M12" s="3138"/>
      <c r="N12" s="3139"/>
      <c r="O12" s="3110"/>
      <c r="P12" s="3110"/>
      <c r="Q12" s="3110"/>
      <c r="R12" s="3111"/>
      <c r="S12" s="3111"/>
      <c r="T12" s="3111"/>
      <c r="U12" s="3111"/>
    </row>
    <row r="13" spans="1:21" ht="21.95" customHeight="1">
      <c r="B13" s="3129" t="s">
        <v>242</v>
      </c>
      <c r="C13" s="3130"/>
      <c r="D13" s="3131">
        <v>6096165.3700000001</v>
      </c>
      <c r="E13" s="3145">
        <v>5422399.9299999997</v>
      </c>
      <c r="F13" s="3133"/>
      <c r="G13" s="3133">
        <f>AJE!P73+AJE!P185</f>
        <v>927942.8</v>
      </c>
      <c r="H13" s="3131">
        <f>E13+G13-F13</f>
        <v>6350342.7300000004</v>
      </c>
      <c r="I13" s="3131"/>
      <c r="J13" s="3131"/>
      <c r="K13" s="3131"/>
      <c r="L13" s="3131">
        <f>H13-D13</f>
        <v>254177.36</v>
      </c>
      <c r="M13" s="3146"/>
      <c r="N13" s="3139"/>
      <c r="O13" s="3110"/>
      <c r="P13" s="3110"/>
      <c r="Q13" s="3110"/>
      <c r="R13" s="3111"/>
      <c r="S13" s="3111"/>
      <c r="T13" s="3111"/>
      <c r="U13" s="3111"/>
    </row>
    <row r="14" spans="1:21" ht="21.95" customHeight="1">
      <c r="B14" s="3140" t="s">
        <v>7293</v>
      </c>
      <c r="C14" s="3141"/>
      <c r="D14" s="3142">
        <f>D12-D13</f>
        <v>1111613.68</v>
      </c>
      <c r="E14" s="3147">
        <f>E12-E13</f>
        <v>9688872.5399999991</v>
      </c>
      <c r="F14" s="3147">
        <f>F12-F13</f>
        <v>0</v>
      </c>
      <c r="G14" s="3147">
        <f>G12-G13</f>
        <v>-927942.8</v>
      </c>
      <c r="H14" s="3142">
        <f>H12-H13</f>
        <v>8760929.7400000002</v>
      </c>
      <c r="I14" s="3143">
        <f>E14-[22]preBS!F26</f>
        <v>9688872.5399999991</v>
      </c>
      <c r="J14" s="3143">
        <f>H14-([22]BS!G15-[22]BS!G16-[22]BS!G17)</f>
        <v>8760929.7400000002</v>
      </c>
      <c r="K14" s="3143">
        <f>D14-([22]BS!H15-[22]BS!H16-[22]BS!H17)</f>
        <v>1111613.68</v>
      </c>
      <c r="L14" s="3131"/>
      <c r="M14" s="3138"/>
      <c r="N14" s="3110"/>
      <c r="O14" s="3110"/>
      <c r="P14" s="3110"/>
      <c r="Q14" s="3110"/>
      <c r="R14" s="3111"/>
      <c r="S14" s="3111"/>
      <c r="T14" s="3111"/>
      <c r="U14" s="3111"/>
    </row>
    <row r="15" spans="1:21" ht="21.95" customHeight="1">
      <c r="B15" s="3129" t="s">
        <v>229</v>
      </c>
      <c r="C15" s="3130"/>
      <c r="D15" s="3131">
        <v>35743338.340000004</v>
      </c>
      <c r="E15" s="3132">
        <f>Notes!H1636</f>
        <v>22963590.850000001</v>
      </c>
      <c r="F15" s="3133"/>
      <c r="G15" s="3133"/>
      <c r="H15" s="3131">
        <f>E15+F15-G15</f>
        <v>22963590.850000001</v>
      </c>
      <c r="I15" s="3131"/>
      <c r="J15" s="3131"/>
      <c r="K15" s="3131"/>
      <c r="L15" s="3131"/>
      <c r="M15" s="3138"/>
      <c r="N15" s="3110"/>
      <c r="O15" s="3110"/>
      <c r="P15" s="3110"/>
      <c r="Q15" s="3110"/>
      <c r="R15" s="3111"/>
      <c r="S15" s="3111"/>
      <c r="T15" s="3111"/>
      <c r="U15" s="3111"/>
    </row>
    <row r="16" spans="1:21" ht="21.95" customHeight="1">
      <c r="B16" s="3129" t="s">
        <v>354</v>
      </c>
      <c r="C16" s="3130"/>
      <c r="D16" s="3131">
        <v>2849407.98</v>
      </c>
      <c r="E16" s="3136">
        <v>619880.68999999994</v>
      </c>
      <c r="F16" s="3133"/>
      <c r="G16" s="3133">
        <f>AJE!O26</f>
        <v>-257713.75</v>
      </c>
      <c r="H16" s="3131">
        <f>E16+G16-F16</f>
        <v>362166.94</v>
      </c>
      <c r="I16" s="3131"/>
      <c r="J16" s="3131"/>
      <c r="K16" s="3131"/>
      <c r="L16" s="3131">
        <f>H16-D16</f>
        <v>-2487241.04</v>
      </c>
      <c r="M16" s="3138"/>
      <c r="N16" s="3139"/>
      <c r="O16" s="3110"/>
      <c r="P16" s="3110"/>
      <c r="Q16" s="3110"/>
      <c r="R16" s="3111"/>
      <c r="S16" s="3111"/>
      <c r="T16" s="3111"/>
      <c r="U16" s="3111"/>
    </row>
    <row r="17" spans="1:21" ht="21.95" customHeight="1">
      <c r="B17" s="3140" t="s">
        <v>7294</v>
      </c>
      <c r="C17" s="3141"/>
      <c r="D17" s="3142">
        <f>D15-D16</f>
        <v>32893930.359999999</v>
      </c>
      <c r="E17" s="3147">
        <f>E15-E16</f>
        <v>22343710.16</v>
      </c>
      <c r="F17" s="3147">
        <f>F15-F16</f>
        <v>0</v>
      </c>
      <c r="G17" s="3147">
        <f>G15-G16</f>
        <v>257713.75</v>
      </c>
      <c r="H17" s="3142">
        <f>H15-H16</f>
        <v>22601423.91</v>
      </c>
      <c r="I17" s="3143">
        <f>E17-[22]preBS!F28</f>
        <v>22343710.16</v>
      </c>
      <c r="J17" s="3143">
        <f>H17-[22]BS!G18</f>
        <v>22601423.91</v>
      </c>
      <c r="K17" s="3143">
        <f>D17-[22]BS!H18</f>
        <v>32893930.359999999</v>
      </c>
      <c r="L17" s="3131"/>
      <c r="M17" s="3138"/>
      <c r="N17" s="3110"/>
      <c r="O17" s="3110"/>
      <c r="P17" s="3110"/>
      <c r="Q17" s="3110"/>
      <c r="R17" s="3111"/>
      <c r="S17" s="3111"/>
      <c r="T17" s="3111"/>
      <c r="U17" s="3111"/>
    </row>
    <row r="18" spans="1:21" ht="21.95" customHeight="1">
      <c r="B18" s="3129" t="s">
        <v>7295</v>
      </c>
      <c r="C18" s="3130"/>
      <c r="D18" s="3133"/>
      <c r="E18" s="3136"/>
      <c r="F18" s="3133"/>
      <c r="G18" s="3133"/>
      <c r="H18" s="3131">
        <f t="shared" ref="H18:H26" si="4">E18+G18-F18</f>
        <v>0</v>
      </c>
      <c r="I18" s="3131"/>
      <c r="J18" s="3131"/>
      <c r="K18" s="3131"/>
      <c r="L18" s="3131"/>
      <c r="M18" s="3138"/>
      <c r="N18" s="3110"/>
      <c r="O18" s="3110"/>
      <c r="P18" s="3110"/>
      <c r="Q18" s="3110"/>
      <c r="R18" s="3111"/>
      <c r="S18" s="3111"/>
      <c r="T18" s="3111"/>
      <c r="U18" s="3111"/>
    </row>
    <row r="19" spans="1:21" ht="21.95" customHeight="1">
      <c r="B19" s="3129" t="s">
        <v>445</v>
      </c>
      <c r="C19" s="3130"/>
      <c r="D19" s="3133"/>
      <c r="E19" s="3136"/>
      <c r="F19" s="3133"/>
      <c r="G19" s="3133"/>
      <c r="H19" s="3131">
        <f t="shared" si="4"/>
        <v>0</v>
      </c>
      <c r="I19" s="3131"/>
      <c r="J19" s="3131"/>
      <c r="K19" s="3131"/>
      <c r="L19" s="3131"/>
      <c r="M19" s="3148"/>
      <c r="N19" s="3110"/>
      <c r="O19" s="3110"/>
      <c r="P19" s="3110"/>
      <c r="Q19" s="3110"/>
      <c r="R19" s="3111"/>
      <c r="S19" s="3111"/>
      <c r="T19" s="3111"/>
      <c r="U19" s="3111"/>
    </row>
    <row r="20" spans="1:21" ht="21.95" customHeight="1">
      <c r="B20" s="3129" t="s">
        <v>491</v>
      </c>
      <c r="C20" s="3130"/>
      <c r="D20" s="3133">
        <v>47077149.619999997</v>
      </c>
      <c r="E20" s="3136">
        <v>47077149.619999997</v>
      </c>
      <c r="F20" s="3133"/>
      <c r="G20" s="3133">
        <f>AJE!P209</f>
        <v>5883475.4900000002</v>
      </c>
      <c r="H20" s="3131">
        <f t="shared" si="4"/>
        <v>52960625.109999999</v>
      </c>
      <c r="I20" s="3131"/>
      <c r="J20" s="3131"/>
      <c r="K20" s="3131"/>
      <c r="L20" s="3131">
        <f>H20-D20</f>
        <v>5883475.4900000002</v>
      </c>
      <c r="M20" s="3110"/>
      <c r="N20" s="3110"/>
      <c r="O20" s="3110"/>
      <c r="P20" s="3110"/>
      <c r="Q20" s="3110"/>
      <c r="R20" s="3111"/>
      <c r="S20" s="3111"/>
      <c r="T20" s="3111"/>
      <c r="U20" s="3111"/>
    </row>
    <row r="21" spans="1:21" ht="21.95" customHeight="1">
      <c r="B21" s="3129" t="s">
        <v>502</v>
      </c>
      <c r="C21" s="3130"/>
      <c r="D21" s="3133">
        <v>84454279.640000001</v>
      </c>
      <c r="E21" s="3136">
        <v>84454279.640000001</v>
      </c>
      <c r="F21" s="3133"/>
      <c r="G21" s="3133"/>
      <c r="H21" s="3131">
        <f t="shared" si="4"/>
        <v>84454279.640000001</v>
      </c>
      <c r="I21" s="3131"/>
      <c r="J21" s="3131"/>
      <c r="K21" s="3131"/>
      <c r="L21" s="3131">
        <f>H21-D21</f>
        <v>0</v>
      </c>
      <c r="M21" s="3110"/>
      <c r="N21" s="3110"/>
      <c r="O21" s="3110"/>
      <c r="P21" s="3110"/>
      <c r="Q21" s="3110"/>
      <c r="R21" s="3111"/>
      <c r="S21" s="3111"/>
      <c r="T21" s="3111"/>
      <c r="U21" s="3111"/>
    </row>
    <row r="22" spans="1:21" ht="21.95" customHeight="1">
      <c r="B22" s="3129" t="s">
        <v>537</v>
      </c>
      <c r="C22" s="3130"/>
      <c r="D22" s="3133"/>
      <c r="E22" s="3136"/>
      <c r="F22" s="3133"/>
      <c r="G22" s="3133"/>
      <c r="H22" s="3131">
        <f t="shared" si="4"/>
        <v>0</v>
      </c>
      <c r="I22" s="3131"/>
      <c r="J22" s="3131"/>
      <c r="K22" s="3131"/>
      <c r="L22" s="3131"/>
      <c r="M22" s="3110"/>
      <c r="N22" s="3110"/>
      <c r="O22" s="3110"/>
      <c r="P22" s="3110"/>
      <c r="Q22" s="3110"/>
      <c r="R22" s="3111"/>
      <c r="S22" s="3111"/>
      <c r="T22" s="3111"/>
      <c r="U22" s="3111"/>
    </row>
    <row r="23" spans="1:21" ht="21.95" customHeight="1">
      <c r="B23" s="3129" t="s">
        <v>553</v>
      </c>
      <c r="C23" s="3130"/>
      <c r="D23" s="3133"/>
      <c r="E23" s="3136"/>
      <c r="F23" s="3133"/>
      <c r="G23" s="3133"/>
      <c r="H23" s="3131">
        <f t="shared" si="4"/>
        <v>0</v>
      </c>
      <c r="I23" s="3131"/>
      <c r="J23" s="3131"/>
      <c r="K23" s="3131"/>
      <c r="L23" s="3131"/>
      <c r="M23" s="3110"/>
      <c r="N23" s="3110"/>
      <c r="O23" s="3110"/>
      <c r="P23" s="3110"/>
      <c r="Q23" s="3110"/>
      <c r="R23" s="3111"/>
      <c r="S23" s="3111"/>
      <c r="T23" s="3111"/>
      <c r="U23" s="3111"/>
    </row>
    <row r="24" spans="1:21" ht="21.95" customHeight="1">
      <c r="B24" s="3129" t="s">
        <v>515</v>
      </c>
      <c r="C24" s="3130"/>
      <c r="D24" s="3133">
        <v>210454.9</v>
      </c>
      <c r="E24" s="3136">
        <v>210454.9</v>
      </c>
      <c r="F24" s="3133"/>
      <c r="G24" s="3133"/>
      <c r="H24" s="3131">
        <f t="shared" si="4"/>
        <v>210454.9</v>
      </c>
      <c r="I24" s="3131"/>
      <c r="J24" s="3131"/>
      <c r="K24" s="3131"/>
      <c r="L24" s="3131">
        <f t="shared" ref="L24:L25" si="5">H24-D24</f>
        <v>0</v>
      </c>
      <c r="M24" s="3110"/>
      <c r="N24" s="3110"/>
      <c r="O24" s="3110"/>
      <c r="P24" s="3110"/>
      <c r="Q24" s="3110"/>
      <c r="R24" s="3111"/>
      <c r="S24" s="3111"/>
      <c r="T24" s="3111"/>
      <c r="U24" s="3111"/>
    </row>
    <row r="25" spans="1:21" ht="21.95" customHeight="1">
      <c r="B25" s="3129" t="s">
        <v>574</v>
      </c>
      <c r="C25" s="3130"/>
      <c r="D25" s="3133">
        <v>224441.26</v>
      </c>
      <c r="E25" s="3136">
        <v>224441.26</v>
      </c>
      <c r="F25" s="3133"/>
      <c r="G25" s="3133"/>
      <c r="H25" s="3131">
        <f t="shared" si="4"/>
        <v>224441.26</v>
      </c>
      <c r="I25" s="3131"/>
      <c r="J25" s="3131"/>
      <c r="K25" s="3131"/>
      <c r="L25" s="3131">
        <f t="shared" si="5"/>
        <v>0</v>
      </c>
      <c r="M25" s="3110"/>
      <c r="N25" s="3110"/>
      <c r="O25" s="3110"/>
      <c r="P25" s="3110"/>
      <c r="Q25" s="3110"/>
      <c r="R25" s="3111"/>
      <c r="S25" s="3111"/>
      <c r="T25" s="3111"/>
      <c r="U25" s="3111"/>
    </row>
    <row r="26" spans="1:21" ht="21.95" customHeight="1">
      <c r="B26" s="3129" t="s">
        <v>583</v>
      </c>
      <c r="C26" s="3130"/>
      <c r="D26" s="3133"/>
      <c r="E26" s="3136"/>
      <c r="F26" s="3133"/>
      <c r="G26" s="3133"/>
      <c r="H26" s="3131">
        <f t="shared" si="4"/>
        <v>0</v>
      </c>
      <c r="I26" s="3131"/>
      <c r="J26" s="3131"/>
      <c r="K26" s="3131"/>
      <c r="L26" s="3131"/>
      <c r="M26" s="3110"/>
      <c r="N26" s="3110"/>
      <c r="O26" s="3110"/>
      <c r="P26" s="3110"/>
      <c r="Q26" s="3110"/>
      <c r="R26" s="3111"/>
      <c r="S26" s="3111"/>
      <c r="T26" s="3111"/>
      <c r="U26" s="3111"/>
    </row>
    <row r="27" spans="1:21" ht="22.5" customHeight="1">
      <c r="B27" s="3149" t="s">
        <v>441</v>
      </c>
      <c r="C27" s="3150"/>
      <c r="D27" s="3151"/>
      <c r="E27" s="3150"/>
      <c r="F27" s="3152"/>
      <c r="G27" s="3152"/>
      <c r="H27" s="3153"/>
      <c r="I27" s="3153"/>
      <c r="J27" s="3153"/>
      <c r="K27" s="3153"/>
      <c r="L27" s="3153">
        <f>[22]IS!E16</f>
        <v>0</v>
      </c>
    </row>
    <row r="28" spans="1:21" ht="21" customHeight="1" thickBot="1">
      <c r="B28" s="3154" t="s">
        <v>7296</v>
      </c>
      <c r="C28" s="3155"/>
      <c r="D28" s="3156"/>
      <c r="E28" s="3155"/>
      <c r="F28" s="3156"/>
      <c r="G28" s="3156"/>
      <c r="H28" s="3157"/>
      <c r="I28" s="3157"/>
      <c r="J28" s="3157"/>
      <c r="K28" s="3157"/>
      <c r="L28" s="3158">
        <f>SUM(L7:L16)-L27</f>
        <v>-1577604.92</v>
      </c>
    </row>
    <row r="29" spans="1:21" ht="18" customHeight="1" thickTop="1">
      <c r="A29" s="3159"/>
      <c r="B29" s="3160"/>
      <c r="C29" s="3161"/>
      <c r="D29" s="3146"/>
      <c r="E29" s="3161"/>
      <c r="F29" s="3161"/>
      <c r="G29" s="3162"/>
      <c r="H29" s="3162"/>
      <c r="I29" s="3162"/>
      <c r="J29" s="3162"/>
      <c r="K29" s="3162"/>
      <c r="L29" s="3162"/>
    </row>
    <row r="30" spans="1:21" ht="18" customHeight="1">
      <c r="B30" s="3163"/>
      <c r="C30" s="3164"/>
      <c r="D30" s="3165"/>
      <c r="E30" s="3146"/>
      <c r="F30" s="3166"/>
      <c r="G30" s="3166"/>
      <c r="H30" s="3166"/>
      <c r="I30" s="3166"/>
      <c r="J30" s="3166"/>
      <c r="K30" s="3396" t="s">
        <v>7757</v>
      </c>
      <c r="L30" s="3397">
        <f>2229527.29</f>
        <v>2229527.29</v>
      </c>
    </row>
    <row r="31" spans="1:21" ht="18" customHeight="1">
      <c r="B31" s="3111"/>
      <c r="C31" s="3164"/>
      <c r="D31" s="3167"/>
      <c r="E31" s="3146"/>
      <c r="F31" s="3167"/>
      <c r="G31" s="3168"/>
      <c r="H31" s="3168"/>
      <c r="I31" s="3168"/>
      <c r="J31" s="3168"/>
      <c r="K31" s="3168"/>
      <c r="L31" s="3168"/>
    </row>
    <row r="32" spans="1:21" ht="18" customHeight="1">
      <c r="E32" s="3171"/>
    </row>
  </sheetData>
  <mergeCells count="2">
    <mergeCell ref="B1:G1"/>
    <mergeCell ref="B2:G2"/>
  </mergeCells>
  <phoneticPr fontId="163"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B1:P26"/>
  <sheetViews>
    <sheetView topLeftCell="A4" workbookViewId="0">
      <selection activeCell="G9" sqref="G9"/>
    </sheetView>
  </sheetViews>
  <sheetFormatPr defaultColWidth="9.140625" defaultRowHeight="15.75"/>
  <cols>
    <col min="1" max="1" width="3.42578125" style="3172" customWidth="1"/>
    <col min="2" max="2" width="28" style="3172" customWidth="1"/>
    <col min="3" max="3" width="15" style="3212" customWidth="1"/>
    <col min="4" max="4" width="15.5703125" style="3212" customWidth="1"/>
    <col min="5" max="5" width="14.5703125" style="3212" customWidth="1"/>
    <col min="6" max="6" width="16.28515625" style="3212" customWidth="1"/>
    <col min="7" max="7" width="13.140625" style="3212" customWidth="1"/>
    <col min="8" max="8" width="14.7109375" style="3212" customWidth="1"/>
    <col min="9" max="9" width="13.85546875" style="3172" hidden="1" customWidth="1"/>
    <col min="10" max="10" width="9.140625" style="3172" hidden="1" customWidth="1"/>
    <col min="11" max="11" width="9.140625" style="3173" hidden="1" customWidth="1"/>
    <col min="12" max="12" width="20.5703125" style="3173" hidden="1" customWidth="1"/>
    <col min="13" max="14" width="9.140625" style="3173" hidden="1" customWidth="1"/>
    <col min="15" max="15" width="9.140625" style="3172" hidden="1" customWidth="1"/>
    <col min="16" max="16" width="17.140625" style="3172" customWidth="1"/>
    <col min="17" max="16384" width="9.140625" style="3172"/>
  </cols>
  <sheetData>
    <row r="1" spans="2:16" ht="31.5">
      <c r="B1" s="3413" t="s">
        <v>7297</v>
      </c>
      <c r="C1" s="3414"/>
      <c r="D1" s="3414"/>
      <c r="E1" s="3414"/>
      <c r="F1" s="3414"/>
      <c r="G1" s="3414"/>
      <c r="H1" s="3414"/>
    </row>
    <row r="2" spans="2:16">
      <c r="B2" s="3415" t="s">
        <v>7356</v>
      </c>
      <c r="C2" s="3416"/>
      <c r="D2" s="3416"/>
      <c r="E2" s="3416"/>
      <c r="F2" s="3416"/>
      <c r="G2" s="3416"/>
      <c r="H2" s="3416"/>
    </row>
    <row r="3" spans="2:16" ht="15.75" customHeight="1">
      <c r="B3" s="3174"/>
      <c r="C3" s="3175"/>
      <c r="D3" s="3175"/>
      <c r="E3" s="3175"/>
      <c r="F3" s="3175"/>
      <c r="G3" s="3175"/>
      <c r="H3" s="3176"/>
    </row>
    <row r="4" spans="2:16" ht="16.5" thickBot="1">
      <c r="B4" s="3177"/>
      <c r="C4" s="3175"/>
      <c r="D4" s="3175"/>
      <c r="E4" s="3175"/>
      <c r="F4" s="3175"/>
      <c r="G4" s="3175"/>
      <c r="H4" s="3176"/>
    </row>
    <row r="5" spans="2:16" ht="43.5" customHeight="1" thickTop="1">
      <c r="B5" s="3178" t="s">
        <v>7298</v>
      </c>
      <c r="C5" s="3179" t="s">
        <v>7299</v>
      </c>
      <c r="D5" s="3179" t="s">
        <v>7300</v>
      </c>
      <c r="E5" s="3179" t="s">
        <v>7301</v>
      </c>
      <c r="F5" s="3180" t="s">
        <v>7302</v>
      </c>
      <c r="G5" s="3181" t="s">
        <v>7303</v>
      </c>
      <c r="H5" s="3182" t="s">
        <v>7304</v>
      </c>
      <c r="I5" s="3183"/>
      <c r="J5" s="3183"/>
      <c r="K5" s="3184"/>
      <c r="L5" s="3184"/>
      <c r="M5" s="3184"/>
      <c r="N5" s="3184"/>
      <c r="O5" s="3183"/>
    </row>
    <row r="6" spans="2:16">
      <c r="B6" s="3185" t="s">
        <v>7305</v>
      </c>
      <c r="C6" s="3186"/>
      <c r="D6" s="3187">
        <v>0.25</v>
      </c>
      <c r="E6" s="3188"/>
      <c r="F6" s="3187">
        <v>0.25</v>
      </c>
      <c r="G6" s="3188"/>
      <c r="H6" s="3189"/>
      <c r="I6" s="3183"/>
      <c r="J6" s="3183"/>
      <c r="K6" s="3190"/>
      <c r="L6" s="3190"/>
      <c r="M6" s="3190"/>
      <c r="N6" s="3190"/>
      <c r="O6" s="3183"/>
    </row>
    <row r="7" spans="2:16" ht="18" customHeight="1">
      <c r="B7" s="3191" t="s">
        <v>7306</v>
      </c>
      <c r="C7" s="3192">
        <f>减值表!D7+减值表!D13</f>
        <v>12777876.039999999</v>
      </c>
      <c r="D7" s="3193">
        <f>ROUND(C7*$D$6,2)</f>
        <v>3194469.01</v>
      </c>
      <c r="E7" s="3193">
        <f>减值表!H7+减值表!H13</f>
        <v>13687512.16</v>
      </c>
      <c r="F7" s="3193">
        <f>ROUND(E7*$F$6,2)</f>
        <v>3421878.04</v>
      </c>
      <c r="G7" s="3194"/>
      <c r="H7" s="3195">
        <f>F7-G7</f>
        <v>3421878.04</v>
      </c>
      <c r="I7" s="3183"/>
      <c r="J7" s="3183"/>
      <c r="K7" s="3183"/>
      <c r="L7" s="3183"/>
      <c r="M7" s="3183"/>
      <c r="N7" s="3183"/>
      <c r="O7" s="3183"/>
      <c r="P7" s="3196"/>
    </row>
    <row r="8" spans="2:16" ht="18" customHeight="1">
      <c r="B8" s="3191" t="s">
        <v>7262</v>
      </c>
      <c r="C8" s="3197">
        <f>减值表!D16</f>
        <v>2849407.98</v>
      </c>
      <c r="D8" s="3193">
        <f>ROUND(C8*$D$6,2)</f>
        <v>712352</v>
      </c>
      <c r="E8" s="3193">
        <f>减值表!H16</f>
        <v>362166.94</v>
      </c>
      <c r="F8" s="3193">
        <f>ROUND(E8*$F$6,2)</f>
        <v>90541.74</v>
      </c>
      <c r="G8" s="3193"/>
      <c r="H8" s="3198">
        <f>F8-G8</f>
        <v>90541.74</v>
      </c>
      <c r="I8" s="3183"/>
      <c r="J8" s="3183"/>
      <c r="K8" s="3183"/>
      <c r="L8" s="3183"/>
      <c r="M8" s="3183"/>
      <c r="N8" s="3183"/>
      <c r="O8" s="3183"/>
      <c r="P8" s="3196"/>
    </row>
    <row r="9" spans="2:16" s="3372" customFormat="1" ht="18" customHeight="1">
      <c r="B9" s="3373" t="s">
        <v>7666</v>
      </c>
      <c r="C9" s="3374">
        <f>减值表!D20</f>
        <v>47077149.619999997</v>
      </c>
      <c r="D9" s="3375">
        <f t="shared" ref="D9:D12" si="0">C9*$D$6</f>
        <v>11769287.41</v>
      </c>
      <c r="E9" s="3376">
        <f>减值表!H20</f>
        <v>52960625.109999999</v>
      </c>
      <c r="F9" s="3375">
        <f t="shared" ref="F9:F12" si="1">ROUND(E9*$F$6,2)</f>
        <v>13240156.279999999</v>
      </c>
      <c r="G9" s="3377"/>
      <c r="H9" s="3378">
        <f>F9-G9</f>
        <v>13240156.279999999</v>
      </c>
      <c r="I9" s="3379"/>
      <c r="J9" s="3380">
        <f t="shared" ref="J9" si="2">E9-C9</f>
        <v>5883475.4900000002</v>
      </c>
      <c r="K9" s="3380">
        <f>J9*0.15</f>
        <v>882521.32</v>
      </c>
    </row>
    <row r="10" spans="2:16" s="3372" customFormat="1" ht="18" customHeight="1">
      <c r="B10" s="3381" t="s">
        <v>7739</v>
      </c>
      <c r="C10" s="3382">
        <f>减值表!D21</f>
        <v>84454279.640000001</v>
      </c>
      <c r="D10" s="3383">
        <f t="shared" si="0"/>
        <v>21113569.91</v>
      </c>
      <c r="E10" s="3383">
        <f>减值表!H21</f>
        <v>84454279.640000001</v>
      </c>
      <c r="F10" s="3383">
        <f>ROUND(E10*$F$6,2)</f>
        <v>21113569.91</v>
      </c>
      <c r="G10" s="3384"/>
      <c r="H10" s="3385"/>
      <c r="I10" s="3379"/>
      <c r="J10" s="3380"/>
      <c r="K10" s="3380"/>
    </row>
    <row r="11" spans="2:16" s="3372" customFormat="1" ht="18" customHeight="1">
      <c r="B11" s="3373" t="s">
        <v>7740</v>
      </c>
      <c r="C11" s="3374">
        <f>减值表!D24</f>
        <v>210454.9</v>
      </c>
      <c r="D11" s="3375">
        <f t="shared" si="0"/>
        <v>52613.73</v>
      </c>
      <c r="E11" s="3376">
        <f>减值表!H24</f>
        <v>210454.9</v>
      </c>
      <c r="F11" s="3375">
        <f t="shared" si="1"/>
        <v>52613.73</v>
      </c>
      <c r="G11" s="3377"/>
      <c r="H11" s="3378">
        <f t="shared" ref="H11:H12" si="3">F11-G11</f>
        <v>52613.73</v>
      </c>
      <c r="I11" s="3379"/>
      <c r="J11" s="3380">
        <f>E11-C11</f>
        <v>0</v>
      </c>
    </row>
    <row r="12" spans="2:16" s="3372" customFormat="1" ht="18" customHeight="1">
      <c r="B12" s="3373" t="s">
        <v>7741</v>
      </c>
      <c r="C12" s="3374">
        <f>减值表!D25</f>
        <v>224441.26</v>
      </c>
      <c r="D12" s="3375">
        <f t="shared" si="0"/>
        <v>56110.32</v>
      </c>
      <c r="E12" s="3386">
        <f>减值表!H25</f>
        <v>224441.26</v>
      </c>
      <c r="F12" s="3375">
        <f t="shared" si="1"/>
        <v>56110.32</v>
      </c>
      <c r="G12" s="3377"/>
      <c r="H12" s="3378">
        <f t="shared" si="3"/>
        <v>56110.32</v>
      </c>
      <c r="I12" s="3379"/>
      <c r="J12" s="3380">
        <f>E12-C12</f>
        <v>0</v>
      </c>
    </row>
    <row r="13" spans="2:16" ht="18" customHeight="1">
      <c r="B13" s="3191" t="s">
        <v>7307</v>
      </c>
      <c r="C13" s="3197"/>
      <c r="D13" s="3193">
        <f>C13*$D$6</f>
        <v>0</v>
      </c>
      <c r="E13" s="3193"/>
      <c r="F13" s="3193">
        <f>ROUND(E13*$F$6,2)</f>
        <v>0</v>
      </c>
      <c r="G13" s="3199"/>
      <c r="H13" s="3198">
        <f>F13-G13</f>
        <v>0</v>
      </c>
      <c r="I13" s="3183"/>
      <c r="J13" s="3183"/>
      <c r="K13" s="3183"/>
      <c r="L13" s="3183"/>
      <c r="M13" s="3183"/>
      <c r="N13" s="3183"/>
      <c r="O13" s="3183"/>
      <c r="P13" s="3196"/>
    </row>
    <row r="14" spans="2:16" ht="18" customHeight="1">
      <c r="B14" s="3200" t="s">
        <v>7308</v>
      </c>
      <c r="C14" s="3201"/>
      <c r="D14" s="3193">
        <f>C14*$D$6</f>
        <v>0</v>
      </c>
      <c r="E14" s="3193"/>
      <c r="F14" s="3193">
        <f>ROUND(E14*$F$6,2)</f>
        <v>0</v>
      </c>
      <c r="G14" s="3199"/>
      <c r="H14" s="3198">
        <f>F14-G14</f>
        <v>0</v>
      </c>
      <c r="I14" s="3183"/>
      <c r="J14" s="3183"/>
      <c r="K14" s="3183"/>
      <c r="L14" s="3183"/>
      <c r="M14" s="3183"/>
      <c r="N14" s="3183"/>
      <c r="O14" s="3183"/>
      <c r="P14" s="3196"/>
    </row>
    <row r="15" spans="2:16" ht="18" customHeight="1">
      <c r="B15" s="3200" t="s">
        <v>7309</v>
      </c>
      <c r="C15" s="3201"/>
      <c r="D15" s="3193">
        <f>C15*$D$6</f>
        <v>0</v>
      </c>
      <c r="E15" s="3193"/>
      <c r="F15" s="3193">
        <f>ROUND(E15*$F$6,2)</f>
        <v>0</v>
      </c>
      <c r="G15" s="3199"/>
      <c r="H15" s="3198">
        <f>F15-G15</f>
        <v>0</v>
      </c>
      <c r="I15" s="3183"/>
      <c r="J15" s="3183"/>
      <c r="K15" s="3183"/>
      <c r="L15" s="3183"/>
      <c r="M15" s="3183"/>
      <c r="N15" s="3183"/>
      <c r="O15" s="3183"/>
      <c r="P15" s="3196"/>
    </row>
    <row r="16" spans="2:16" ht="18.75" customHeight="1" thickBot="1">
      <c r="B16" s="3202" t="s">
        <v>7310</v>
      </c>
      <c r="C16" s="3203">
        <f>SUM(C7:C15)-C10</f>
        <v>63139329.799999997</v>
      </c>
      <c r="D16" s="3203">
        <f>SUM(D7:D15)-D10</f>
        <v>15784832.470000001</v>
      </c>
      <c r="E16" s="3203">
        <f t="shared" ref="E16:F16" si="4">SUM(E7:E15)-E10</f>
        <v>67445200.370000005</v>
      </c>
      <c r="F16" s="3203">
        <f t="shared" si="4"/>
        <v>16861300.109999999</v>
      </c>
      <c r="G16" s="3203">
        <f>preBS!F60</f>
        <v>15732218.73</v>
      </c>
      <c r="H16" s="3203">
        <f>F16-G16</f>
        <v>1129081.3799999999</v>
      </c>
      <c r="I16" s="3183"/>
      <c r="J16" s="3183"/>
      <c r="K16" s="3183"/>
      <c r="L16" s="3183"/>
      <c r="M16" s="3183"/>
      <c r="N16" s="3183"/>
      <c r="O16" s="3183"/>
      <c r="P16" s="3196"/>
    </row>
    <row r="17" spans="2:16" ht="18" customHeight="1" thickTop="1">
      <c r="B17" s="3191" t="s">
        <v>7311</v>
      </c>
      <c r="C17" s="3197"/>
      <c r="D17" s="3204"/>
      <c r="E17" s="3204"/>
      <c r="F17" s="3193"/>
      <c r="G17" s="3199"/>
      <c r="H17" s="3205"/>
      <c r="I17" s="3183"/>
      <c r="J17" s="3183"/>
      <c r="K17" s="3183"/>
      <c r="L17" s="3183"/>
      <c r="M17" s="3183"/>
      <c r="N17" s="3183"/>
      <c r="O17" s="3183"/>
      <c r="P17" s="3196"/>
    </row>
    <row r="18" spans="2:16" ht="18" customHeight="1">
      <c r="B18" s="3191"/>
      <c r="C18" s="3197"/>
      <c r="D18" s="3204"/>
      <c r="E18" s="3204"/>
      <c r="F18" s="3204"/>
      <c r="G18" s="3199"/>
      <c r="H18" s="3205"/>
      <c r="I18" s="3183"/>
      <c r="J18" s="3183"/>
      <c r="K18" s="3183"/>
      <c r="L18" s="3183"/>
      <c r="M18" s="3183"/>
      <c r="N18" s="3183"/>
      <c r="O18" s="3183"/>
    </row>
    <row r="19" spans="2:16" ht="18.75" customHeight="1">
      <c r="B19" s="3191"/>
      <c r="C19" s="3197"/>
      <c r="D19" s="3204"/>
      <c r="E19" s="3204"/>
      <c r="F19" s="3204"/>
      <c r="G19" s="3204"/>
      <c r="H19" s="3206"/>
      <c r="I19" s="3183"/>
      <c r="J19" s="3183"/>
      <c r="K19" s="3183"/>
      <c r="L19" s="3183"/>
      <c r="M19" s="3183"/>
      <c r="N19" s="3183"/>
      <c r="O19" s="3183"/>
    </row>
    <row r="20" spans="2:16" ht="18.75" customHeight="1" thickBot="1">
      <c r="B20" s="3202" t="s">
        <v>7312</v>
      </c>
      <c r="C20" s="3207">
        <f t="shared" ref="C20:H20" si="5">SUM(C17:C19)</f>
        <v>0</v>
      </c>
      <c r="D20" s="3207">
        <f t="shared" si="5"/>
        <v>0</v>
      </c>
      <c r="E20" s="3207">
        <f t="shared" si="5"/>
        <v>0</v>
      </c>
      <c r="F20" s="3207">
        <f t="shared" si="5"/>
        <v>0</v>
      </c>
      <c r="G20" s="3207">
        <f t="shared" si="5"/>
        <v>0</v>
      </c>
      <c r="H20" s="3207">
        <f t="shared" si="5"/>
        <v>0</v>
      </c>
      <c r="I20" s="3183"/>
      <c r="J20" s="3183"/>
      <c r="K20" s="3183"/>
      <c r="L20" s="3183"/>
      <c r="M20" s="3183"/>
      <c r="N20" s="3183"/>
      <c r="O20" s="3183"/>
    </row>
    <row r="21" spans="2:16" ht="16.5" thickTop="1">
      <c r="B21" s="3208" t="s">
        <v>7313</v>
      </c>
      <c r="C21" s="3209"/>
      <c r="D21" s="3209"/>
      <c r="E21" s="3209"/>
      <c r="F21" s="3209"/>
      <c r="G21" s="3210"/>
      <c r="H21" s="3210"/>
    </row>
    <row r="22" spans="2:16">
      <c r="B22" s="3208" t="s">
        <v>7314</v>
      </c>
      <c r="C22" s="3209"/>
      <c r="D22" s="3211">
        <f>D16-[22]BS!H38</f>
        <v>15784832.470000001</v>
      </c>
      <c r="E22" s="3211">
        <f>D20-[22]BS!L32</f>
        <v>0</v>
      </c>
      <c r="F22" s="3209"/>
      <c r="G22" s="3210"/>
      <c r="H22" s="3210">
        <f>F20-[22]BS!K32</f>
        <v>0</v>
      </c>
    </row>
    <row r="23" spans="2:16">
      <c r="G23" s="3213"/>
    </row>
    <row r="26" spans="2:16">
      <c r="B26" s="3214"/>
    </row>
  </sheetData>
  <protectedRanges>
    <protectedRange password="CC99" sqref="C8:F8 D7 F7 C13:F15" name="区域1" securityDescriptor=""/>
    <protectedRange password="CC99" sqref="C7" name="区域1_1" securityDescriptor=""/>
    <protectedRange password="CC99" sqref="E7" name="区域1_2" securityDescriptor=""/>
    <protectedRange password="CC99" sqref="C9:F12" name="区域1_3"/>
  </protectedRanges>
  <mergeCells count="2">
    <mergeCell ref="B1:H1"/>
    <mergeCell ref="B2:H2"/>
  </mergeCells>
  <phoneticPr fontId="163" type="noConversion"/>
  <pageMargins left="0.69930555555555596" right="0.69930555555555596"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Y59"/>
  <sheetViews>
    <sheetView topLeftCell="A5" zoomScaleNormal="100" workbookViewId="0">
      <selection activeCell="C14" sqref="C14"/>
    </sheetView>
  </sheetViews>
  <sheetFormatPr defaultColWidth="9.140625" defaultRowHeight="15.75"/>
  <cols>
    <col min="1" max="1" width="3.7109375" style="3273" customWidth="1"/>
    <col min="2" max="2" width="38" style="3107" customWidth="1"/>
    <col min="3" max="3" width="21.5703125" style="3269" customWidth="1"/>
    <col min="4" max="5" width="17.42578125" style="3107" customWidth="1"/>
    <col min="6" max="6" width="28.5703125" style="3107" customWidth="1"/>
    <col min="7" max="9" width="17.42578125" style="3107" customWidth="1"/>
    <col min="10" max="10" width="10.5703125" style="3107" customWidth="1"/>
    <col min="11" max="16384" width="9.140625" style="3107"/>
  </cols>
  <sheetData>
    <row r="1" spans="1:13" ht="12.75">
      <c r="A1" s="3107"/>
      <c r="B1" s="3417" t="s">
        <v>7315</v>
      </c>
      <c r="C1" s="3418"/>
    </row>
    <row r="2" spans="1:13" ht="13.5" thickBot="1">
      <c r="A2" s="3107"/>
      <c r="B2" s="3419" t="s">
        <v>7316</v>
      </c>
      <c r="C2" s="3418"/>
      <c r="E2" s="3215"/>
    </row>
    <row r="3" spans="1:13" ht="15.75" hidden="1" customHeight="1">
      <c r="A3" s="3107"/>
      <c r="B3" s="3216"/>
      <c r="C3" s="3217"/>
    </row>
    <row r="4" spans="1:13" ht="13.5" hidden="1" thickBot="1">
      <c r="A4" s="3107"/>
      <c r="B4" s="3218"/>
      <c r="C4" s="3217"/>
    </row>
    <row r="5" spans="1:13" ht="18.75" customHeight="1" thickTop="1">
      <c r="A5" s="3107"/>
      <c r="B5" s="3219" t="s">
        <v>2522</v>
      </c>
      <c r="C5" s="3220" t="s">
        <v>7316</v>
      </c>
      <c r="D5" s="3221" t="s">
        <v>7317</v>
      </c>
      <c r="F5" s="3219" t="s">
        <v>2522</v>
      </c>
      <c r="G5" s="3222" t="s">
        <v>7318</v>
      </c>
      <c r="H5" s="3222"/>
    </row>
    <row r="6" spans="1:13" ht="18.75" customHeight="1">
      <c r="A6" s="3107"/>
      <c r="B6" s="3223" t="s">
        <v>7264</v>
      </c>
      <c r="C6" s="3224">
        <f>IS!E28</f>
        <v>-14006075.07</v>
      </c>
      <c r="D6" s="3225"/>
      <c r="E6" s="3226"/>
      <c r="F6" s="3227" t="s">
        <v>7319</v>
      </c>
      <c r="G6" s="3228">
        <f>Notes!H4702</f>
        <v>205862.99</v>
      </c>
      <c r="H6" s="3228"/>
      <c r="I6" s="3215"/>
    </row>
    <row r="7" spans="1:13" ht="18.75" customHeight="1">
      <c r="A7" s="3107"/>
      <c r="B7" s="3229" t="s">
        <v>7320</v>
      </c>
      <c r="C7" s="3224">
        <f>SUM(C8:C31)</f>
        <v>16688502.15</v>
      </c>
      <c r="D7" s="3225"/>
      <c r="E7" s="3226"/>
      <c r="F7" s="3227" t="s">
        <v>7321</v>
      </c>
      <c r="G7" s="3228">
        <f>Notes!H4671</f>
        <v>384617.45</v>
      </c>
      <c r="H7" s="3228"/>
    </row>
    <row r="8" spans="1:13" ht="18.75" customHeight="1">
      <c r="A8" s="3107"/>
      <c r="B8" s="3230" t="s">
        <v>7265</v>
      </c>
      <c r="C8" s="3224">
        <f>减值表!L7+减值表!L13</f>
        <v>909636.12</v>
      </c>
      <c r="D8" s="3225"/>
      <c r="E8" s="3231"/>
      <c r="F8" s="3227" t="s">
        <v>7322</v>
      </c>
      <c r="G8" s="3228"/>
      <c r="H8" s="3228"/>
      <c r="I8" s="3232"/>
      <c r="J8" s="3232"/>
    </row>
    <row r="9" spans="1:13" ht="18.75" customHeight="1">
      <c r="A9" s="3107"/>
      <c r="B9" s="3230" t="s">
        <v>354</v>
      </c>
      <c r="C9" s="3224">
        <f>减值表!L16</f>
        <v>-2487241.04</v>
      </c>
      <c r="D9" s="3225"/>
      <c r="E9" s="3232"/>
      <c r="F9" s="3233" t="s">
        <v>7323</v>
      </c>
      <c r="G9" s="3234">
        <f>SUM(G6:G8)</f>
        <v>590480.43999999994</v>
      </c>
      <c r="H9" s="3234"/>
    </row>
    <row r="10" spans="1:13" s="3387" customFormat="1" ht="18.75" customHeight="1">
      <c r="B10" s="3388" t="s">
        <v>7742</v>
      </c>
      <c r="C10" s="3389">
        <f>减值表!L24</f>
        <v>0</v>
      </c>
      <c r="D10" s="3390"/>
      <c r="F10" s="3235" t="s">
        <v>7325</v>
      </c>
      <c r="G10" s="3228">
        <f>G9*0.6</f>
        <v>354288.26</v>
      </c>
      <c r="H10" s="3228"/>
    </row>
    <row r="11" spans="1:13" s="3387" customFormat="1" ht="18.75" customHeight="1">
      <c r="B11" s="3388" t="s">
        <v>7743</v>
      </c>
      <c r="C11" s="3389">
        <f>减值表!L21</f>
        <v>0</v>
      </c>
      <c r="D11" s="3390"/>
      <c r="F11" s="3235" t="s">
        <v>7327</v>
      </c>
      <c r="G11" s="3228">
        <f>IS!E7</f>
        <v>231319311.91</v>
      </c>
      <c r="H11" s="3228"/>
    </row>
    <row r="12" spans="1:13" s="3387" customFormat="1" ht="18.75" customHeight="1">
      <c r="B12" s="3388" t="s">
        <v>7744</v>
      </c>
      <c r="C12" s="3389">
        <f>减值表!L20</f>
        <v>5883475.4900000002</v>
      </c>
      <c r="D12" s="3390"/>
      <c r="F12" s="3235" t="s">
        <v>7329</v>
      </c>
      <c r="G12" s="3228">
        <f>G11*0.5%</f>
        <v>1156596.56</v>
      </c>
      <c r="H12" s="3228"/>
      <c r="I12" s="3391"/>
      <c r="L12" s="3392"/>
      <c r="M12" s="3391"/>
    </row>
    <row r="13" spans="1:13" s="3387" customFormat="1" ht="18.75" customHeight="1" thickBot="1">
      <c r="B13" s="3388" t="s">
        <v>7745</v>
      </c>
      <c r="C13" s="3389">
        <f>减值表!L25</f>
        <v>0</v>
      </c>
      <c r="D13" s="3393"/>
      <c r="F13" s="3239" t="s">
        <v>7331</v>
      </c>
      <c r="G13" s="3240">
        <f>IF(G12&gt;G10,G9-G10,G9-G12)</f>
        <v>236192.18</v>
      </c>
      <c r="H13" s="3240"/>
      <c r="I13" s="3391"/>
      <c r="L13" s="3392"/>
      <c r="M13" s="3391"/>
    </row>
    <row r="14" spans="1:13" s="3387" customFormat="1" ht="18.75" customHeight="1" thickTop="1">
      <c r="B14" s="3388" t="s">
        <v>7746</v>
      </c>
      <c r="C14" s="3389">
        <f>CE!K33</f>
        <v>3399381.78</v>
      </c>
      <c r="D14" s="3393"/>
      <c r="F14" s="3394"/>
      <c r="G14" s="3395"/>
      <c r="H14" s="3395"/>
      <c r="I14" s="3391"/>
      <c r="L14" s="3392"/>
      <c r="M14" s="3391"/>
    </row>
    <row r="15" spans="1:13" ht="18.75" customHeight="1">
      <c r="A15" s="3107"/>
      <c r="B15" s="3230" t="s">
        <v>7324</v>
      </c>
      <c r="C15" s="3224"/>
      <c r="D15" s="3225"/>
      <c r="E15" s="3232"/>
      <c r="G15" s="3215"/>
      <c r="H15" s="3215"/>
    </row>
    <row r="16" spans="1:13" ht="18.75" customHeight="1">
      <c r="A16" s="3107"/>
      <c r="B16" s="3236" t="s">
        <v>7326</v>
      </c>
      <c r="C16" s="3237"/>
      <c r="D16" s="3225"/>
      <c r="E16" s="3238"/>
      <c r="F16" s="3241" t="s">
        <v>7333</v>
      </c>
      <c r="G16" s="3242">
        <f>[22]Notes!I2652</f>
        <v>0</v>
      </c>
      <c r="H16" s="3242"/>
    </row>
    <row r="17" spans="1:10" ht="18.75" customHeight="1" thickBot="1">
      <c r="A17" s="3107"/>
      <c r="B17" s="3236" t="s">
        <v>7328</v>
      </c>
      <c r="C17" s="3237"/>
      <c r="D17" s="3225"/>
      <c r="E17" s="3238"/>
      <c r="G17" s="3243"/>
    </row>
    <row r="18" spans="1:10" ht="18.75" customHeight="1" thickTop="1">
      <c r="A18" s="3107"/>
      <c r="B18" s="3236" t="s">
        <v>7330</v>
      </c>
      <c r="C18" s="3237"/>
      <c r="D18" s="3225"/>
      <c r="E18" s="3238"/>
      <c r="F18" s="3219" t="s">
        <v>2522</v>
      </c>
      <c r="G18" s="3244" t="s">
        <v>2887</v>
      </c>
      <c r="H18" s="3244" t="s">
        <v>7335</v>
      </c>
    </row>
    <row r="19" spans="1:10" ht="18.75" customHeight="1">
      <c r="A19" s="3107"/>
      <c r="B19" s="3236" t="s">
        <v>7332</v>
      </c>
      <c r="C19" s="3237"/>
      <c r="D19" s="3225"/>
      <c r="E19" s="3238"/>
      <c r="F19" s="3235" t="s">
        <v>7338</v>
      </c>
      <c r="G19" s="3247"/>
      <c r="H19" s="3248">
        <v>0.14000000000000001</v>
      </c>
    </row>
    <row r="20" spans="1:10" ht="18.75" customHeight="1">
      <c r="A20" s="3107"/>
      <c r="B20" s="3230" t="s">
        <v>7266</v>
      </c>
      <c r="C20" s="3224">
        <f>Notes!H4954</f>
        <v>70000</v>
      </c>
      <c r="D20" s="3225"/>
      <c r="E20" s="3232"/>
      <c r="F20" s="3235" t="s">
        <v>7307</v>
      </c>
      <c r="G20" s="3247"/>
      <c r="H20" s="3251">
        <v>2.5000000000000001E-2</v>
      </c>
    </row>
    <row r="21" spans="1:10" ht="18.75" customHeight="1" thickBot="1">
      <c r="A21" s="3107"/>
      <c r="B21" s="3230" t="s">
        <v>7334</v>
      </c>
      <c r="C21" s="3224"/>
      <c r="D21" s="3225"/>
      <c r="E21" s="3232"/>
      <c r="F21" s="3252" t="s">
        <v>7339</v>
      </c>
      <c r="G21" s="3247"/>
      <c r="H21" s="3248">
        <v>0.02</v>
      </c>
    </row>
    <row r="22" spans="1:10" ht="18.75" customHeight="1" thickTop="1" thickBot="1">
      <c r="A22" s="3107"/>
      <c r="B22" s="3230" t="s">
        <v>7267</v>
      </c>
      <c r="C22" s="3224"/>
      <c r="D22" s="3225"/>
      <c r="E22" s="3232"/>
      <c r="F22" s="3253" t="s">
        <v>7323</v>
      </c>
      <c r="G22" s="3254">
        <f>SUM(G19:G21)</f>
        <v>0</v>
      </c>
      <c r="H22" s="3255"/>
      <c r="I22" s="3245" t="s">
        <v>7336</v>
      </c>
      <c r="J22" s="3246" t="s">
        <v>7263</v>
      </c>
    </row>
    <row r="23" spans="1:10" ht="18.75" customHeight="1" thickTop="1">
      <c r="A23" s="3107"/>
      <c r="B23" s="3230" t="s">
        <v>7337</v>
      </c>
      <c r="C23" s="3224"/>
      <c r="D23" s="3225"/>
      <c r="E23" s="3232"/>
      <c r="I23" s="3249">
        <f>$G$16*H19</f>
        <v>0</v>
      </c>
      <c r="J23" s="3250">
        <f>IF(G19&lt;I23,0,G19-I23)</f>
        <v>0</v>
      </c>
    </row>
    <row r="24" spans="1:10" ht="18.75" customHeight="1" thickBot="1">
      <c r="A24" s="3107"/>
      <c r="B24" s="3230" t="s">
        <v>7747</v>
      </c>
      <c r="C24" s="3224">
        <f>8620257.62+AJE!O178</f>
        <v>8620257.6199999992</v>
      </c>
      <c r="D24" s="3225"/>
      <c r="E24" s="3232"/>
      <c r="I24" s="3249">
        <f>$G$16*H20</f>
        <v>0</v>
      </c>
      <c r="J24" s="3250">
        <f>IF(G20&lt;I24,0,G20-I24)</f>
        <v>0</v>
      </c>
    </row>
    <row r="25" spans="1:10" ht="18.75" customHeight="1" thickTop="1">
      <c r="A25" s="3107"/>
      <c r="B25" s="3230" t="s">
        <v>2310</v>
      </c>
      <c r="C25" s="3224"/>
      <c r="D25" s="3225"/>
      <c r="E25" s="3232"/>
      <c r="F25" s="3219" t="s">
        <v>2522</v>
      </c>
      <c r="G25" s="3222" t="s">
        <v>2887</v>
      </c>
      <c r="I25" s="3249">
        <f>$G$16*H21</f>
        <v>0</v>
      </c>
      <c r="J25" s="3250">
        <f>IF(G21&lt;I25,0,G21-I25)</f>
        <v>0</v>
      </c>
    </row>
    <row r="26" spans="1:10" ht="18.75" customHeight="1" thickBot="1">
      <c r="A26" s="3107"/>
      <c r="B26" s="3230" t="s">
        <v>7340</v>
      </c>
      <c r="C26" s="3224"/>
      <c r="D26" s="3225"/>
      <c r="E26" s="3232"/>
      <c r="F26" s="3227" t="s">
        <v>7341</v>
      </c>
      <c r="G26" s="3228">
        <f>Notes!H4673</f>
        <v>56800</v>
      </c>
      <c r="I26" s="3254"/>
      <c r="J26" s="3240">
        <f>SUM(J23:J25)</f>
        <v>0</v>
      </c>
    </row>
    <row r="27" spans="1:10" ht="18.75" customHeight="1" thickTop="1">
      <c r="A27" s="3107"/>
      <c r="B27" s="3230" t="s">
        <v>3923</v>
      </c>
      <c r="C27" s="3224">
        <f>J23</f>
        <v>0</v>
      </c>
      <c r="D27" s="3225"/>
      <c r="E27" s="3232"/>
      <c r="F27" s="3227" t="s">
        <v>7343</v>
      </c>
      <c r="G27" s="3228"/>
    </row>
    <row r="28" spans="1:10" ht="18.75" customHeight="1">
      <c r="A28" s="3107"/>
      <c r="B28" s="3230" t="s">
        <v>7268</v>
      </c>
      <c r="C28" s="3224">
        <f>J24</f>
        <v>0</v>
      </c>
      <c r="D28" s="3225"/>
      <c r="E28" s="3232"/>
      <c r="F28" s="3227" t="s">
        <v>7345</v>
      </c>
      <c r="G28" s="3228"/>
    </row>
    <row r="29" spans="1:10" ht="18.75" customHeight="1">
      <c r="A29" s="3107"/>
      <c r="B29" s="3230" t="s">
        <v>7269</v>
      </c>
      <c r="C29" s="3224">
        <f>J25</f>
        <v>0</v>
      </c>
      <c r="D29" s="3225"/>
      <c r="E29" s="3232"/>
      <c r="F29" s="3233" t="s">
        <v>7323</v>
      </c>
      <c r="G29" s="3234">
        <f>SUM(G25:G28)</f>
        <v>56800</v>
      </c>
    </row>
    <row r="30" spans="1:10" ht="18.75" customHeight="1">
      <c r="A30" s="3107"/>
      <c r="B30" s="3236" t="s">
        <v>7270</v>
      </c>
      <c r="C30" s="3237">
        <f>G13</f>
        <v>236192.18</v>
      </c>
      <c r="D30" s="3225"/>
      <c r="E30" s="3256"/>
      <c r="F30" s="3235" t="s">
        <v>7327</v>
      </c>
      <c r="G30" s="3228">
        <f>[22]IS!E7</f>
        <v>0</v>
      </c>
    </row>
    <row r="31" spans="1:10" ht="18.75" customHeight="1">
      <c r="A31" s="3107"/>
      <c r="B31" s="3236" t="s">
        <v>7342</v>
      </c>
      <c r="C31" s="3237">
        <f>G32</f>
        <v>56800</v>
      </c>
      <c r="D31" s="3225"/>
      <c r="E31" s="3231"/>
      <c r="F31" s="3235" t="s">
        <v>7349</v>
      </c>
      <c r="G31" s="3228">
        <f>G30*15%</f>
        <v>0</v>
      </c>
    </row>
    <row r="32" spans="1:10" ht="18.75" customHeight="1" thickBot="1">
      <c r="A32" s="3107"/>
      <c r="B32" s="3229" t="s">
        <v>7344</v>
      </c>
      <c r="C32" s="3224">
        <f>SUM(C33:C37)</f>
        <v>0</v>
      </c>
      <c r="D32" s="3225"/>
      <c r="E32" s="3257"/>
      <c r="F32" s="3239" t="s">
        <v>7331</v>
      </c>
      <c r="G32" s="3240">
        <f>IF(G31&gt;G29,0,G29-G31)</f>
        <v>56800</v>
      </c>
    </row>
    <row r="33" spans="1:13" ht="18.75" customHeight="1" thickTop="1">
      <c r="A33" s="3107"/>
      <c r="B33" s="3230" t="s">
        <v>7346</v>
      </c>
      <c r="C33" s="3224"/>
      <c r="D33" s="3225"/>
      <c r="E33" s="3258"/>
      <c r="F33" s="3260"/>
    </row>
    <row r="34" spans="1:13" ht="18.75" customHeight="1">
      <c r="A34" s="3107"/>
      <c r="B34" s="3230" t="s">
        <v>7347</v>
      </c>
      <c r="C34" s="3237"/>
      <c r="D34" s="3225"/>
      <c r="E34" s="3232"/>
    </row>
    <row r="35" spans="1:13" ht="18.75" customHeight="1">
      <c r="A35" s="3107"/>
      <c r="B35" s="3230" t="s">
        <v>7348</v>
      </c>
      <c r="C35" s="3237"/>
      <c r="D35" s="3225"/>
      <c r="E35" s="3231"/>
      <c r="F35" s="3260"/>
    </row>
    <row r="36" spans="1:13" ht="19.5" customHeight="1">
      <c r="A36" s="3107"/>
      <c r="B36" s="3230" t="s">
        <v>7350</v>
      </c>
      <c r="C36" s="3237"/>
      <c r="D36" s="3225"/>
      <c r="E36" s="3232"/>
      <c r="F36" s="3260"/>
      <c r="I36" s="3232"/>
    </row>
    <row r="37" spans="1:13" ht="18.75" customHeight="1">
      <c r="A37" s="3107"/>
      <c r="B37" s="3230" t="s">
        <v>7351</v>
      </c>
      <c r="C37" s="3259"/>
      <c r="D37" s="3225"/>
      <c r="E37" s="3232"/>
      <c r="G37" s="3265"/>
      <c r="I37" s="3232"/>
    </row>
    <row r="38" spans="1:13" ht="18.75" customHeight="1">
      <c r="A38" s="3107"/>
      <c r="B38" s="3261" t="s">
        <v>7352</v>
      </c>
      <c r="C38" s="3224">
        <f>C6+C7-C32</f>
        <v>2682427.08</v>
      </c>
      <c r="D38" s="3225"/>
      <c r="E38" s="3232"/>
      <c r="G38" s="3265"/>
      <c r="I38" s="3232"/>
      <c r="M38" s="3107" t="s">
        <v>7353</v>
      </c>
    </row>
    <row r="39" spans="1:13" ht="18.75" customHeight="1">
      <c r="A39" s="3107"/>
      <c r="B39" s="3230" t="s">
        <v>7271</v>
      </c>
      <c r="C39" s="3187">
        <v>0.25</v>
      </c>
      <c r="D39" s="3225"/>
      <c r="E39" s="3226"/>
      <c r="G39" s="3265"/>
      <c r="I39" s="3232"/>
    </row>
    <row r="40" spans="1:13" ht="18.75" customHeight="1">
      <c r="A40" s="3107"/>
      <c r="B40" s="3230" t="s">
        <v>7272</v>
      </c>
      <c r="C40" s="3224">
        <f>ROUND(IF(C38*C39&lt;0,0,C38*C39),2)</f>
        <v>670606.77</v>
      </c>
      <c r="D40" s="3225"/>
      <c r="E40" s="3232"/>
      <c r="G40" s="3265"/>
      <c r="I40" s="3262"/>
    </row>
    <row r="41" spans="1:13" ht="18.75" customHeight="1">
      <c r="A41" s="3107"/>
      <c r="B41" s="3230" t="s">
        <v>7273</v>
      </c>
      <c r="C41" s="3224">
        <f>preIS!E44</f>
        <v>119472.71</v>
      </c>
      <c r="D41" s="3263"/>
      <c r="E41" s="3264"/>
    </row>
    <row r="42" spans="1:13" ht="18.75" customHeight="1" thickBot="1">
      <c r="A42" s="3107"/>
      <c r="B42" s="3266" t="s">
        <v>7274</v>
      </c>
      <c r="C42" s="3267">
        <f>C40-C41</f>
        <v>551134.06000000006</v>
      </c>
      <c r="D42" s="3225"/>
      <c r="E42" s="3232"/>
    </row>
    <row r="43" spans="1:13" ht="18.75" customHeight="1" thickTop="1">
      <c r="A43" s="3107"/>
      <c r="B43" s="3268"/>
      <c r="E43" s="3232"/>
    </row>
    <row r="44" spans="1:13" ht="12.75">
      <c r="A44" s="3107"/>
      <c r="B44" s="3270" t="s">
        <v>7354</v>
      </c>
      <c r="C44" s="3271">
        <f>[22]preIS!E41-([22]preBS!G62-[22]preBS!F62+[22]preBS!K51-[22]preBS!L51)-C41</f>
        <v>-119472.71</v>
      </c>
      <c r="D44" s="3272"/>
      <c r="E44" s="3232"/>
    </row>
    <row r="45" spans="1:13">
      <c r="B45" s="3270" t="s">
        <v>7355</v>
      </c>
      <c r="C45" s="3271">
        <f>[22]IS!E26-([22]BS!H38-[22]BS!G38+[22]BS!K32-[22]BS!L32)-C40</f>
        <v>-670606.77</v>
      </c>
      <c r="D45" s="3272"/>
    </row>
    <row r="46" spans="1:13">
      <c r="B46" s="3268"/>
    </row>
    <row r="47" spans="1:13">
      <c r="B47" s="3268"/>
    </row>
    <row r="57" spans="1:25" s="3269" customFormat="1">
      <c r="A57" s="3273"/>
      <c r="B57" s="3107"/>
      <c r="D57" s="3107"/>
      <c r="E57" s="3107"/>
      <c r="F57" s="3107"/>
      <c r="G57" s="3107"/>
      <c r="H57" s="3107"/>
      <c r="I57" s="3107"/>
      <c r="J57" s="3107"/>
      <c r="K57" s="3107"/>
      <c r="L57" s="3107"/>
      <c r="M57" s="3107"/>
      <c r="N57" s="3107"/>
      <c r="O57" s="3107"/>
      <c r="P57" s="3107"/>
      <c r="Q57" s="3107"/>
      <c r="R57" s="3107"/>
      <c r="S57" s="3107"/>
      <c r="T57" s="3107"/>
      <c r="U57" s="3107"/>
      <c r="V57" s="3107"/>
      <c r="W57" s="3107"/>
      <c r="X57" s="3107"/>
      <c r="Y57" s="3107"/>
    </row>
    <row r="58" spans="1:25" s="3269" customFormat="1">
      <c r="A58" s="3273"/>
      <c r="B58" s="3107"/>
      <c r="D58" s="3107"/>
      <c r="E58" s="3107"/>
      <c r="F58" s="3107"/>
      <c r="G58" s="3107"/>
      <c r="H58" s="3107"/>
      <c r="I58" s="3107"/>
      <c r="J58" s="3107"/>
      <c r="K58" s="3107"/>
      <c r="L58" s="3107"/>
      <c r="M58" s="3107"/>
      <c r="N58" s="3107"/>
      <c r="O58" s="3107"/>
      <c r="P58" s="3107"/>
      <c r="Q58" s="3107"/>
      <c r="R58" s="3107"/>
      <c r="S58" s="3107"/>
      <c r="T58" s="3107"/>
      <c r="U58" s="3107"/>
      <c r="V58" s="3107"/>
      <c r="W58" s="3107"/>
      <c r="X58" s="3107"/>
      <c r="Y58" s="3107"/>
    </row>
    <row r="59" spans="1:25" s="3269" customFormat="1">
      <c r="A59" s="3273"/>
      <c r="B59" s="3107"/>
      <c r="D59" s="3107"/>
      <c r="E59" s="3107"/>
      <c r="F59" s="3107"/>
      <c r="G59" s="3107"/>
      <c r="H59" s="3107"/>
      <c r="I59" s="3107"/>
      <c r="J59" s="3107"/>
      <c r="K59" s="3107"/>
      <c r="L59" s="3107"/>
      <c r="M59" s="3107"/>
      <c r="N59" s="3107"/>
      <c r="O59" s="3107"/>
      <c r="P59" s="3107"/>
      <c r="Q59" s="3107"/>
      <c r="R59" s="3107"/>
      <c r="S59" s="3107"/>
      <c r="T59" s="3107"/>
      <c r="U59" s="3107"/>
      <c r="V59" s="3107"/>
      <c r="W59" s="3107"/>
      <c r="X59" s="3107"/>
      <c r="Y59" s="3107"/>
    </row>
  </sheetData>
  <mergeCells count="2">
    <mergeCell ref="B1:C1"/>
    <mergeCell ref="B2:C2"/>
  </mergeCells>
  <phoneticPr fontId="163"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302"/>
  <sheetViews>
    <sheetView zoomScale="85" zoomScaleNormal="85" workbookViewId="0">
      <pane xSplit="1" ySplit="7" topLeftCell="B8" activePane="bottomRight" state="frozen"/>
      <selection pane="topRight" activeCell="B1" sqref="B1"/>
      <selection pane="bottomLeft" activeCell="A8" sqref="A8"/>
      <selection pane="bottomRight" activeCell="D10" sqref="D10"/>
    </sheetView>
  </sheetViews>
  <sheetFormatPr defaultRowHeight="18" customHeight="1"/>
  <cols>
    <col min="1" max="1" width="46" style="3305" customWidth="1"/>
    <col min="2" max="2" width="14.7109375" style="3362" customWidth="1"/>
    <col min="3" max="3" width="48" style="3362" customWidth="1"/>
    <col min="4" max="4" width="48" style="3363" customWidth="1"/>
    <col min="5" max="5" width="20.140625" style="3364" customWidth="1"/>
    <col min="6" max="7" width="16.5703125" style="3349" customWidth="1"/>
    <col min="8" max="10" width="19.42578125" style="3349" customWidth="1"/>
    <col min="11" max="14" width="19.42578125" style="3305" customWidth="1"/>
    <col min="15" max="256" width="9.140625" style="3305"/>
    <col min="257" max="257" width="43.42578125" style="3305" customWidth="1"/>
    <col min="258" max="258" width="13.42578125" style="3305" customWidth="1"/>
    <col min="259" max="259" width="18.28515625" style="3305" customWidth="1"/>
    <col min="260" max="260" width="45.42578125" style="3305" customWidth="1"/>
    <col min="261" max="261" width="19" style="3305" customWidth="1"/>
    <col min="262" max="263" width="16.5703125" style="3305" customWidth="1"/>
    <col min="264" max="270" width="19.42578125" style="3305" customWidth="1"/>
    <col min="271" max="512" width="9.140625" style="3305"/>
    <col min="513" max="513" width="43.42578125" style="3305" customWidth="1"/>
    <col min="514" max="514" width="13.42578125" style="3305" customWidth="1"/>
    <col min="515" max="515" width="18.28515625" style="3305" customWidth="1"/>
    <col min="516" max="516" width="45.42578125" style="3305" customWidth="1"/>
    <col min="517" max="517" width="19" style="3305" customWidth="1"/>
    <col min="518" max="519" width="16.5703125" style="3305" customWidth="1"/>
    <col min="520" max="526" width="19.42578125" style="3305" customWidth="1"/>
    <col min="527" max="768" width="9.140625" style="3305"/>
    <col min="769" max="769" width="43.42578125" style="3305" customWidth="1"/>
    <col min="770" max="770" width="13.42578125" style="3305" customWidth="1"/>
    <col min="771" max="771" width="18.28515625" style="3305" customWidth="1"/>
    <col min="772" max="772" width="45.42578125" style="3305" customWidth="1"/>
    <col min="773" max="773" width="19" style="3305" customWidth="1"/>
    <col min="774" max="775" width="16.5703125" style="3305" customWidth="1"/>
    <col min="776" max="782" width="19.42578125" style="3305" customWidth="1"/>
    <col min="783" max="1024" width="9.140625" style="3305"/>
    <col min="1025" max="1025" width="43.42578125" style="3305" customWidth="1"/>
    <col min="1026" max="1026" width="13.42578125" style="3305" customWidth="1"/>
    <col min="1027" max="1027" width="18.28515625" style="3305" customWidth="1"/>
    <col min="1028" max="1028" width="45.42578125" style="3305" customWidth="1"/>
    <col min="1029" max="1029" width="19" style="3305" customWidth="1"/>
    <col min="1030" max="1031" width="16.5703125" style="3305" customWidth="1"/>
    <col min="1032" max="1038" width="19.42578125" style="3305" customWidth="1"/>
    <col min="1039" max="1280" width="9.140625" style="3305"/>
    <col min="1281" max="1281" width="43.42578125" style="3305" customWidth="1"/>
    <col min="1282" max="1282" width="13.42578125" style="3305" customWidth="1"/>
    <col min="1283" max="1283" width="18.28515625" style="3305" customWidth="1"/>
    <col min="1284" max="1284" width="45.42578125" style="3305" customWidth="1"/>
    <col min="1285" max="1285" width="19" style="3305" customWidth="1"/>
    <col min="1286" max="1287" width="16.5703125" style="3305" customWidth="1"/>
    <col min="1288" max="1294" width="19.42578125" style="3305" customWidth="1"/>
    <col min="1295" max="1536" width="9.140625" style="3305"/>
    <col min="1537" max="1537" width="43.42578125" style="3305" customWidth="1"/>
    <col min="1538" max="1538" width="13.42578125" style="3305" customWidth="1"/>
    <col min="1539" max="1539" width="18.28515625" style="3305" customWidth="1"/>
    <col min="1540" max="1540" width="45.42578125" style="3305" customWidth="1"/>
    <col min="1541" max="1541" width="19" style="3305" customWidth="1"/>
    <col min="1542" max="1543" width="16.5703125" style="3305" customWidth="1"/>
    <col min="1544" max="1550" width="19.42578125" style="3305" customWidth="1"/>
    <col min="1551" max="1792" width="9.140625" style="3305"/>
    <col min="1793" max="1793" width="43.42578125" style="3305" customWidth="1"/>
    <col min="1794" max="1794" width="13.42578125" style="3305" customWidth="1"/>
    <col min="1795" max="1795" width="18.28515625" style="3305" customWidth="1"/>
    <col min="1796" max="1796" width="45.42578125" style="3305" customWidth="1"/>
    <col min="1797" max="1797" width="19" style="3305" customWidth="1"/>
    <col min="1798" max="1799" width="16.5703125" style="3305" customWidth="1"/>
    <col min="1800" max="1806" width="19.42578125" style="3305" customWidth="1"/>
    <col min="1807" max="2048" width="9.140625" style="3305"/>
    <col min="2049" max="2049" width="43.42578125" style="3305" customWidth="1"/>
    <col min="2050" max="2050" width="13.42578125" style="3305" customWidth="1"/>
    <col min="2051" max="2051" width="18.28515625" style="3305" customWidth="1"/>
    <col min="2052" max="2052" width="45.42578125" style="3305" customWidth="1"/>
    <col min="2053" max="2053" width="19" style="3305" customWidth="1"/>
    <col min="2054" max="2055" width="16.5703125" style="3305" customWidth="1"/>
    <col min="2056" max="2062" width="19.42578125" style="3305" customWidth="1"/>
    <col min="2063" max="2304" width="9.140625" style="3305"/>
    <col min="2305" max="2305" width="43.42578125" style="3305" customWidth="1"/>
    <col min="2306" max="2306" width="13.42578125" style="3305" customWidth="1"/>
    <col min="2307" max="2307" width="18.28515625" style="3305" customWidth="1"/>
    <col min="2308" max="2308" width="45.42578125" style="3305" customWidth="1"/>
    <col min="2309" max="2309" width="19" style="3305" customWidth="1"/>
    <col min="2310" max="2311" width="16.5703125" style="3305" customWidth="1"/>
    <col min="2312" max="2318" width="19.42578125" style="3305" customWidth="1"/>
    <col min="2319" max="2560" width="9.140625" style="3305"/>
    <col min="2561" max="2561" width="43.42578125" style="3305" customWidth="1"/>
    <col min="2562" max="2562" width="13.42578125" style="3305" customWidth="1"/>
    <col min="2563" max="2563" width="18.28515625" style="3305" customWidth="1"/>
    <col min="2564" max="2564" width="45.42578125" style="3305" customWidth="1"/>
    <col min="2565" max="2565" width="19" style="3305" customWidth="1"/>
    <col min="2566" max="2567" width="16.5703125" style="3305" customWidth="1"/>
    <col min="2568" max="2574" width="19.42578125" style="3305" customWidth="1"/>
    <col min="2575" max="2816" width="9.140625" style="3305"/>
    <col min="2817" max="2817" width="43.42578125" style="3305" customWidth="1"/>
    <col min="2818" max="2818" width="13.42578125" style="3305" customWidth="1"/>
    <col min="2819" max="2819" width="18.28515625" style="3305" customWidth="1"/>
    <col min="2820" max="2820" width="45.42578125" style="3305" customWidth="1"/>
    <col min="2821" max="2821" width="19" style="3305" customWidth="1"/>
    <col min="2822" max="2823" width="16.5703125" style="3305" customWidth="1"/>
    <col min="2824" max="2830" width="19.42578125" style="3305" customWidth="1"/>
    <col min="2831" max="3072" width="9.140625" style="3305"/>
    <col min="3073" max="3073" width="43.42578125" style="3305" customWidth="1"/>
    <col min="3074" max="3074" width="13.42578125" style="3305" customWidth="1"/>
    <col min="3075" max="3075" width="18.28515625" style="3305" customWidth="1"/>
    <col min="3076" max="3076" width="45.42578125" style="3305" customWidth="1"/>
    <col min="3077" max="3077" width="19" style="3305" customWidth="1"/>
    <col min="3078" max="3079" width="16.5703125" style="3305" customWidth="1"/>
    <col min="3080" max="3086" width="19.42578125" style="3305" customWidth="1"/>
    <col min="3087" max="3328" width="9.140625" style="3305"/>
    <col min="3329" max="3329" width="43.42578125" style="3305" customWidth="1"/>
    <col min="3330" max="3330" width="13.42578125" style="3305" customWidth="1"/>
    <col min="3331" max="3331" width="18.28515625" style="3305" customWidth="1"/>
    <col min="3332" max="3332" width="45.42578125" style="3305" customWidth="1"/>
    <col min="3333" max="3333" width="19" style="3305" customWidth="1"/>
    <col min="3334" max="3335" width="16.5703125" style="3305" customWidth="1"/>
    <col min="3336" max="3342" width="19.42578125" style="3305" customWidth="1"/>
    <col min="3343" max="3584" width="9.140625" style="3305"/>
    <col min="3585" max="3585" width="43.42578125" style="3305" customWidth="1"/>
    <col min="3586" max="3586" width="13.42578125" style="3305" customWidth="1"/>
    <col min="3587" max="3587" width="18.28515625" style="3305" customWidth="1"/>
    <col min="3588" max="3588" width="45.42578125" style="3305" customWidth="1"/>
    <col min="3589" max="3589" width="19" style="3305" customWidth="1"/>
    <col min="3590" max="3591" width="16.5703125" style="3305" customWidth="1"/>
    <col min="3592" max="3598" width="19.42578125" style="3305" customWidth="1"/>
    <col min="3599" max="3840" width="9.140625" style="3305"/>
    <col min="3841" max="3841" width="43.42578125" style="3305" customWidth="1"/>
    <col min="3842" max="3842" width="13.42578125" style="3305" customWidth="1"/>
    <col min="3843" max="3843" width="18.28515625" style="3305" customWidth="1"/>
    <col min="3844" max="3844" width="45.42578125" style="3305" customWidth="1"/>
    <col min="3845" max="3845" width="19" style="3305" customWidth="1"/>
    <col min="3846" max="3847" width="16.5703125" style="3305" customWidth="1"/>
    <col min="3848" max="3854" width="19.42578125" style="3305" customWidth="1"/>
    <col min="3855" max="4096" width="9.140625" style="3305"/>
    <col min="4097" max="4097" width="43.42578125" style="3305" customWidth="1"/>
    <col min="4098" max="4098" width="13.42578125" style="3305" customWidth="1"/>
    <col min="4099" max="4099" width="18.28515625" style="3305" customWidth="1"/>
    <col min="4100" max="4100" width="45.42578125" style="3305" customWidth="1"/>
    <col min="4101" max="4101" width="19" style="3305" customWidth="1"/>
    <col min="4102" max="4103" width="16.5703125" style="3305" customWidth="1"/>
    <col min="4104" max="4110" width="19.42578125" style="3305" customWidth="1"/>
    <col min="4111" max="4352" width="9.140625" style="3305"/>
    <col min="4353" max="4353" width="43.42578125" style="3305" customWidth="1"/>
    <col min="4354" max="4354" width="13.42578125" style="3305" customWidth="1"/>
    <col min="4355" max="4355" width="18.28515625" style="3305" customWidth="1"/>
    <col min="4356" max="4356" width="45.42578125" style="3305" customWidth="1"/>
    <col min="4357" max="4357" width="19" style="3305" customWidth="1"/>
    <col min="4358" max="4359" width="16.5703125" style="3305" customWidth="1"/>
    <col min="4360" max="4366" width="19.42578125" style="3305" customWidth="1"/>
    <col min="4367" max="4608" width="9.140625" style="3305"/>
    <col min="4609" max="4609" width="43.42578125" style="3305" customWidth="1"/>
    <col min="4610" max="4610" width="13.42578125" style="3305" customWidth="1"/>
    <col min="4611" max="4611" width="18.28515625" style="3305" customWidth="1"/>
    <col min="4612" max="4612" width="45.42578125" style="3305" customWidth="1"/>
    <col min="4613" max="4613" width="19" style="3305" customWidth="1"/>
    <col min="4614" max="4615" width="16.5703125" style="3305" customWidth="1"/>
    <col min="4616" max="4622" width="19.42578125" style="3305" customWidth="1"/>
    <col min="4623" max="4864" width="9.140625" style="3305"/>
    <col min="4865" max="4865" width="43.42578125" style="3305" customWidth="1"/>
    <col min="4866" max="4866" width="13.42578125" style="3305" customWidth="1"/>
    <col min="4867" max="4867" width="18.28515625" style="3305" customWidth="1"/>
    <col min="4868" max="4868" width="45.42578125" style="3305" customWidth="1"/>
    <col min="4869" max="4869" width="19" style="3305" customWidth="1"/>
    <col min="4870" max="4871" width="16.5703125" style="3305" customWidth="1"/>
    <col min="4872" max="4878" width="19.42578125" style="3305" customWidth="1"/>
    <col min="4879" max="5120" width="9.140625" style="3305"/>
    <col min="5121" max="5121" width="43.42578125" style="3305" customWidth="1"/>
    <col min="5122" max="5122" width="13.42578125" style="3305" customWidth="1"/>
    <col min="5123" max="5123" width="18.28515625" style="3305" customWidth="1"/>
    <col min="5124" max="5124" width="45.42578125" style="3305" customWidth="1"/>
    <col min="5125" max="5125" width="19" style="3305" customWidth="1"/>
    <col min="5126" max="5127" width="16.5703125" style="3305" customWidth="1"/>
    <col min="5128" max="5134" width="19.42578125" style="3305" customWidth="1"/>
    <col min="5135" max="5376" width="9.140625" style="3305"/>
    <col min="5377" max="5377" width="43.42578125" style="3305" customWidth="1"/>
    <col min="5378" max="5378" width="13.42578125" style="3305" customWidth="1"/>
    <col min="5379" max="5379" width="18.28515625" style="3305" customWidth="1"/>
    <col min="5380" max="5380" width="45.42578125" style="3305" customWidth="1"/>
    <col min="5381" max="5381" width="19" style="3305" customWidth="1"/>
    <col min="5382" max="5383" width="16.5703125" style="3305" customWidth="1"/>
    <col min="5384" max="5390" width="19.42578125" style="3305" customWidth="1"/>
    <col min="5391" max="5632" width="9.140625" style="3305"/>
    <col min="5633" max="5633" width="43.42578125" style="3305" customWidth="1"/>
    <col min="5634" max="5634" width="13.42578125" style="3305" customWidth="1"/>
    <col min="5635" max="5635" width="18.28515625" style="3305" customWidth="1"/>
    <col min="5636" max="5636" width="45.42578125" style="3305" customWidth="1"/>
    <col min="5637" max="5637" width="19" style="3305" customWidth="1"/>
    <col min="5638" max="5639" width="16.5703125" style="3305" customWidth="1"/>
    <col min="5640" max="5646" width="19.42578125" style="3305" customWidth="1"/>
    <col min="5647" max="5888" width="9.140625" style="3305"/>
    <col min="5889" max="5889" width="43.42578125" style="3305" customWidth="1"/>
    <col min="5890" max="5890" width="13.42578125" style="3305" customWidth="1"/>
    <col min="5891" max="5891" width="18.28515625" style="3305" customWidth="1"/>
    <col min="5892" max="5892" width="45.42578125" style="3305" customWidth="1"/>
    <col min="5893" max="5893" width="19" style="3305" customWidth="1"/>
    <col min="5894" max="5895" width="16.5703125" style="3305" customWidth="1"/>
    <col min="5896" max="5902" width="19.42578125" style="3305" customWidth="1"/>
    <col min="5903" max="6144" width="9.140625" style="3305"/>
    <col min="6145" max="6145" width="43.42578125" style="3305" customWidth="1"/>
    <col min="6146" max="6146" width="13.42578125" style="3305" customWidth="1"/>
    <col min="6147" max="6147" width="18.28515625" style="3305" customWidth="1"/>
    <col min="6148" max="6148" width="45.42578125" style="3305" customWidth="1"/>
    <col min="6149" max="6149" width="19" style="3305" customWidth="1"/>
    <col min="6150" max="6151" width="16.5703125" style="3305" customWidth="1"/>
    <col min="6152" max="6158" width="19.42578125" style="3305" customWidth="1"/>
    <col min="6159" max="6400" width="9.140625" style="3305"/>
    <col min="6401" max="6401" width="43.42578125" style="3305" customWidth="1"/>
    <col min="6402" max="6402" width="13.42578125" style="3305" customWidth="1"/>
    <col min="6403" max="6403" width="18.28515625" style="3305" customWidth="1"/>
    <col min="6404" max="6404" width="45.42578125" style="3305" customWidth="1"/>
    <col min="6405" max="6405" width="19" style="3305" customWidth="1"/>
    <col min="6406" max="6407" width="16.5703125" style="3305" customWidth="1"/>
    <col min="6408" max="6414" width="19.42578125" style="3305" customWidth="1"/>
    <col min="6415" max="6656" width="9.140625" style="3305"/>
    <col min="6657" max="6657" width="43.42578125" style="3305" customWidth="1"/>
    <col min="6658" max="6658" width="13.42578125" style="3305" customWidth="1"/>
    <col min="6659" max="6659" width="18.28515625" style="3305" customWidth="1"/>
    <col min="6660" max="6660" width="45.42578125" style="3305" customWidth="1"/>
    <col min="6661" max="6661" width="19" style="3305" customWidth="1"/>
    <col min="6662" max="6663" width="16.5703125" style="3305" customWidth="1"/>
    <col min="6664" max="6670" width="19.42578125" style="3305" customWidth="1"/>
    <col min="6671" max="6912" width="9.140625" style="3305"/>
    <col min="6913" max="6913" width="43.42578125" style="3305" customWidth="1"/>
    <col min="6914" max="6914" width="13.42578125" style="3305" customWidth="1"/>
    <col min="6915" max="6915" width="18.28515625" style="3305" customWidth="1"/>
    <col min="6916" max="6916" width="45.42578125" style="3305" customWidth="1"/>
    <col min="6917" max="6917" width="19" style="3305" customWidth="1"/>
    <col min="6918" max="6919" width="16.5703125" style="3305" customWidth="1"/>
    <col min="6920" max="6926" width="19.42578125" style="3305" customWidth="1"/>
    <col min="6927" max="7168" width="9.140625" style="3305"/>
    <col min="7169" max="7169" width="43.42578125" style="3305" customWidth="1"/>
    <col min="7170" max="7170" width="13.42578125" style="3305" customWidth="1"/>
    <col min="7171" max="7171" width="18.28515625" style="3305" customWidth="1"/>
    <col min="7172" max="7172" width="45.42578125" style="3305" customWidth="1"/>
    <col min="7173" max="7173" width="19" style="3305" customWidth="1"/>
    <col min="7174" max="7175" width="16.5703125" style="3305" customWidth="1"/>
    <col min="7176" max="7182" width="19.42578125" style="3305" customWidth="1"/>
    <col min="7183" max="7424" width="9.140625" style="3305"/>
    <col min="7425" max="7425" width="43.42578125" style="3305" customWidth="1"/>
    <col min="7426" max="7426" width="13.42578125" style="3305" customWidth="1"/>
    <col min="7427" max="7427" width="18.28515625" style="3305" customWidth="1"/>
    <col min="7428" max="7428" width="45.42578125" style="3305" customWidth="1"/>
    <col min="7429" max="7429" width="19" style="3305" customWidth="1"/>
    <col min="7430" max="7431" width="16.5703125" style="3305" customWidth="1"/>
    <col min="7432" max="7438" width="19.42578125" style="3305" customWidth="1"/>
    <col min="7439" max="7680" width="9.140625" style="3305"/>
    <col min="7681" max="7681" width="43.42578125" style="3305" customWidth="1"/>
    <col min="7682" max="7682" width="13.42578125" style="3305" customWidth="1"/>
    <col min="7683" max="7683" width="18.28515625" style="3305" customWidth="1"/>
    <col min="7684" max="7684" width="45.42578125" style="3305" customWidth="1"/>
    <col min="7685" max="7685" width="19" style="3305" customWidth="1"/>
    <col min="7686" max="7687" width="16.5703125" style="3305" customWidth="1"/>
    <col min="7688" max="7694" width="19.42578125" style="3305" customWidth="1"/>
    <col min="7695" max="7936" width="9.140625" style="3305"/>
    <col min="7937" max="7937" width="43.42578125" style="3305" customWidth="1"/>
    <col min="7938" max="7938" width="13.42578125" style="3305" customWidth="1"/>
    <col min="7939" max="7939" width="18.28515625" style="3305" customWidth="1"/>
    <col min="7940" max="7940" width="45.42578125" style="3305" customWidth="1"/>
    <col min="7941" max="7941" width="19" style="3305" customWidth="1"/>
    <col min="7942" max="7943" width="16.5703125" style="3305" customWidth="1"/>
    <col min="7944" max="7950" width="19.42578125" style="3305" customWidth="1"/>
    <col min="7951" max="8192" width="9.140625" style="3305"/>
    <col min="8193" max="8193" width="43.42578125" style="3305" customWidth="1"/>
    <col min="8194" max="8194" width="13.42578125" style="3305" customWidth="1"/>
    <col min="8195" max="8195" width="18.28515625" style="3305" customWidth="1"/>
    <col min="8196" max="8196" width="45.42578125" style="3305" customWidth="1"/>
    <col min="8197" max="8197" width="19" style="3305" customWidth="1"/>
    <col min="8198" max="8199" width="16.5703125" style="3305" customWidth="1"/>
    <col min="8200" max="8206" width="19.42578125" style="3305" customWidth="1"/>
    <col min="8207" max="8448" width="9.140625" style="3305"/>
    <col min="8449" max="8449" width="43.42578125" style="3305" customWidth="1"/>
    <col min="8450" max="8450" width="13.42578125" style="3305" customWidth="1"/>
    <col min="8451" max="8451" width="18.28515625" style="3305" customWidth="1"/>
    <col min="8452" max="8452" width="45.42578125" style="3305" customWidth="1"/>
    <col min="8453" max="8453" width="19" style="3305" customWidth="1"/>
    <col min="8454" max="8455" width="16.5703125" style="3305" customWidth="1"/>
    <col min="8456" max="8462" width="19.42578125" style="3305" customWidth="1"/>
    <col min="8463" max="8704" width="9.140625" style="3305"/>
    <col min="8705" max="8705" width="43.42578125" style="3305" customWidth="1"/>
    <col min="8706" max="8706" width="13.42578125" style="3305" customWidth="1"/>
    <col min="8707" max="8707" width="18.28515625" style="3305" customWidth="1"/>
    <col min="8708" max="8708" width="45.42578125" style="3305" customWidth="1"/>
    <col min="8709" max="8709" width="19" style="3305" customWidth="1"/>
    <col min="8710" max="8711" width="16.5703125" style="3305" customWidth="1"/>
    <col min="8712" max="8718" width="19.42578125" style="3305" customWidth="1"/>
    <col min="8719" max="8960" width="9.140625" style="3305"/>
    <col min="8961" max="8961" width="43.42578125" style="3305" customWidth="1"/>
    <col min="8962" max="8962" width="13.42578125" style="3305" customWidth="1"/>
    <col min="8963" max="8963" width="18.28515625" style="3305" customWidth="1"/>
    <col min="8964" max="8964" width="45.42578125" style="3305" customWidth="1"/>
    <col min="8965" max="8965" width="19" style="3305" customWidth="1"/>
    <col min="8966" max="8967" width="16.5703125" style="3305" customWidth="1"/>
    <col min="8968" max="8974" width="19.42578125" style="3305" customWidth="1"/>
    <col min="8975" max="9216" width="9.140625" style="3305"/>
    <col min="9217" max="9217" width="43.42578125" style="3305" customWidth="1"/>
    <col min="9218" max="9218" width="13.42578125" style="3305" customWidth="1"/>
    <col min="9219" max="9219" width="18.28515625" style="3305" customWidth="1"/>
    <col min="9220" max="9220" width="45.42578125" style="3305" customWidth="1"/>
    <col min="9221" max="9221" width="19" style="3305" customWidth="1"/>
    <col min="9222" max="9223" width="16.5703125" style="3305" customWidth="1"/>
    <col min="9224" max="9230" width="19.42578125" style="3305" customWidth="1"/>
    <col min="9231" max="9472" width="9.140625" style="3305"/>
    <col min="9473" max="9473" width="43.42578125" style="3305" customWidth="1"/>
    <col min="9474" max="9474" width="13.42578125" style="3305" customWidth="1"/>
    <col min="9475" max="9475" width="18.28515625" style="3305" customWidth="1"/>
    <col min="9476" max="9476" width="45.42578125" style="3305" customWidth="1"/>
    <col min="9477" max="9477" width="19" style="3305" customWidth="1"/>
    <col min="9478" max="9479" width="16.5703125" style="3305" customWidth="1"/>
    <col min="9480" max="9486" width="19.42578125" style="3305" customWidth="1"/>
    <col min="9487" max="9728" width="9.140625" style="3305"/>
    <col min="9729" max="9729" width="43.42578125" style="3305" customWidth="1"/>
    <col min="9730" max="9730" width="13.42578125" style="3305" customWidth="1"/>
    <col min="9731" max="9731" width="18.28515625" style="3305" customWidth="1"/>
    <col min="9732" max="9732" width="45.42578125" style="3305" customWidth="1"/>
    <col min="9733" max="9733" width="19" style="3305" customWidth="1"/>
    <col min="9734" max="9735" width="16.5703125" style="3305" customWidth="1"/>
    <col min="9736" max="9742" width="19.42578125" style="3305" customWidth="1"/>
    <col min="9743" max="9984" width="9.140625" style="3305"/>
    <col min="9985" max="9985" width="43.42578125" style="3305" customWidth="1"/>
    <col min="9986" max="9986" width="13.42578125" style="3305" customWidth="1"/>
    <col min="9987" max="9987" width="18.28515625" style="3305" customWidth="1"/>
    <col min="9988" max="9988" width="45.42578125" style="3305" customWidth="1"/>
    <col min="9989" max="9989" width="19" style="3305" customWidth="1"/>
    <col min="9990" max="9991" width="16.5703125" style="3305" customWidth="1"/>
    <col min="9992" max="9998" width="19.42578125" style="3305" customWidth="1"/>
    <col min="9999" max="10240" width="9.140625" style="3305"/>
    <col min="10241" max="10241" width="43.42578125" style="3305" customWidth="1"/>
    <col min="10242" max="10242" width="13.42578125" style="3305" customWidth="1"/>
    <col min="10243" max="10243" width="18.28515625" style="3305" customWidth="1"/>
    <col min="10244" max="10244" width="45.42578125" style="3305" customWidth="1"/>
    <col min="10245" max="10245" width="19" style="3305" customWidth="1"/>
    <col min="10246" max="10247" width="16.5703125" style="3305" customWidth="1"/>
    <col min="10248" max="10254" width="19.42578125" style="3305" customWidth="1"/>
    <col min="10255" max="10496" width="9.140625" style="3305"/>
    <col min="10497" max="10497" width="43.42578125" style="3305" customWidth="1"/>
    <col min="10498" max="10498" width="13.42578125" style="3305" customWidth="1"/>
    <col min="10499" max="10499" width="18.28515625" style="3305" customWidth="1"/>
    <col min="10500" max="10500" width="45.42578125" style="3305" customWidth="1"/>
    <col min="10501" max="10501" width="19" style="3305" customWidth="1"/>
    <col min="10502" max="10503" width="16.5703125" style="3305" customWidth="1"/>
    <col min="10504" max="10510" width="19.42578125" style="3305" customWidth="1"/>
    <col min="10511" max="10752" width="9.140625" style="3305"/>
    <col min="10753" max="10753" width="43.42578125" style="3305" customWidth="1"/>
    <col min="10754" max="10754" width="13.42578125" style="3305" customWidth="1"/>
    <col min="10755" max="10755" width="18.28515625" style="3305" customWidth="1"/>
    <col min="10756" max="10756" width="45.42578125" style="3305" customWidth="1"/>
    <col min="10757" max="10757" width="19" style="3305" customWidth="1"/>
    <col min="10758" max="10759" width="16.5703125" style="3305" customWidth="1"/>
    <col min="10760" max="10766" width="19.42578125" style="3305" customWidth="1"/>
    <col min="10767" max="11008" width="9.140625" style="3305"/>
    <col min="11009" max="11009" width="43.42578125" style="3305" customWidth="1"/>
    <col min="11010" max="11010" width="13.42578125" style="3305" customWidth="1"/>
    <col min="11011" max="11011" width="18.28515625" style="3305" customWidth="1"/>
    <col min="11012" max="11012" width="45.42578125" style="3305" customWidth="1"/>
    <col min="11013" max="11013" width="19" style="3305" customWidth="1"/>
    <col min="11014" max="11015" width="16.5703125" style="3305" customWidth="1"/>
    <col min="11016" max="11022" width="19.42578125" style="3305" customWidth="1"/>
    <col min="11023" max="11264" width="9.140625" style="3305"/>
    <col min="11265" max="11265" width="43.42578125" style="3305" customWidth="1"/>
    <col min="11266" max="11266" width="13.42578125" style="3305" customWidth="1"/>
    <col min="11267" max="11267" width="18.28515625" style="3305" customWidth="1"/>
    <col min="11268" max="11268" width="45.42578125" style="3305" customWidth="1"/>
    <col min="11269" max="11269" width="19" style="3305" customWidth="1"/>
    <col min="11270" max="11271" width="16.5703125" style="3305" customWidth="1"/>
    <col min="11272" max="11278" width="19.42578125" style="3305" customWidth="1"/>
    <col min="11279" max="11520" width="9.140625" style="3305"/>
    <col min="11521" max="11521" width="43.42578125" style="3305" customWidth="1"/>
    <col min="11522" max="11522" width="13.42578125" style="3305" customWidth="1"/>
    <col min="11523" max="11523" width="18.28515625" style="3305" customWidth="1"/>
    <col min="11524" max="11524" width="45.42578125" style="3305" customWidth="1"/>
    <col min="11525" max="11525" width="19" style="3305" customWidth="1"/>
    <col min="11526" max="11527" width="16.5703125" style="3305" customWidth="1"/>
    <col min="11528" max="11534" width="19.42578125" style="3305" customWidth="1"/>
    <col min="11535" max="11776" width="9.140625" style="3305"/>
    <col min="11777" max="11777" width="43.42578125" style="3305" customWidth="1"/>
    <col min="11778" max="11778" width="13.42578125" style="3305" customWidth="1"/>
    <col min="11779" max="11779" width="18.28515625" style="3305" customWidth="1"/>
    <col min="11780" max="11780" width="45.42578125" style="3305" customWidth="1"/>
    <col min="11781" max="11781" width="19" style="3305" customWidth="1"/>
    <col min="11782" max="11783" width="16.5703125" style="3305" customWidth="1"/>
    <col min="11784" max="11790" width="19.42578125" style="3305" customWidth="1"/>
    <col min="11791" max="12032" width="9.140625" style="3305"/>
    <col min="12033" max="12033" width="43.42578125" style="3305" customWidth="1"/>
    <col min="12034" max="12034" width="13.42578125" style="3305" customWidth="1"/>
    <col min="12035" max="12035" width="18.28515625" style="3305" customWidth="1"/>
    <col min="12036" max="12036" width="45.42578125" style="3305" customWidth="1"/>
    <col min="12037" max="12037" width="19" style="3305" customWidth="1"/>
    <col min="12038" max="12039" width="16.5703125" style="3305" customWidth="1"/>
    <col min="12040" max="12046" width="19.42578125" style="3305" customWidth="1"/>
    <col min="12047" max="12288" width="9.140625" style="3305"/>
    <col min="12289" max="12289" width="43.42578125" style="3305" customWidth="1"/>
    <col min="12290" max="12290" width="13.42578125" style="3305" customWidth="1"/>
    <col min="12291" max="12291" width="18.28515625" style="3305" customWidth="1"/>
    <col min="12292" max="12292" width="45.42578125" style="3305" customWidth="1"/>
    <col min="12293" max="12293" width="19" style="3305" customWidth="1"/>
    <col min="12294" max="12295" width="16.5703125" style="3305" customWidth="1"/>
    <col min="12296" max="12302" width="19.42578125" style="3305" customWidth="1"/>
    <col min="12303" max="12544" width="9.140625" style="3305"/>
    <col min="12545" max="12545" width="43.42578125" style="3305" customWidth="1"/>
    <col min="12546" max="12546" width="13.42578125" style="3305" customWidth="1"/>
    <col min="12547" max="12547" width="18.28515625" style="3305" customWidth="1"/>
    <col min="12548" max="12548" width="45.42578125" style="3305" customWidth="1"/>
    <col min="12549" max="12549" width="19" style="3305" customWidth="1"/>
    <col min="12550" max="12551" width="16.5703125" style="3305" customWidth="1"/>
    <col min="12552" max="12558" width="19.42578125" style="3305" customWidth="1"/>
    <col min="12559" max="12800" width="9.140625" style="3305"/>
    <col min="12801" max="12801" width="43.42578125" style="3305" customWidth="1"/>
    <col min="12802" max="12802" width="13.42578125" style="3305" customWidth="1"/>
    <col min="12803" max="12803" width="18.28515625" style="3305" customWidth="1"/>
    <col min="12804" max="12804" width="45.42578125" style="3305" customWidth="1"/>
    <col min="12805" max="12805" width="19" style="3305" customWidth="1"/>
    <col min="12806" max="12807" width="16.5703125" style="3305" customWidth="1"/>
    <col min="12808" max="12814" width="19.42578125" style="3305" customWidth="1"/>
    <col min="12815" max="13056" width="9.140625" style="3305"/>
    <col min="13057" max="13057" width="43.42578125" style="3305" customWidth="1"/>
    <col min="13058" max="13058" width="13.42578125" style="3305" customWidth="1"/>
    <col min="13059" max="13059" width="18.28515625" style="3305" customWidth="1"/>
    <col min="13060" max="13060" width="45.42578125" style="3305" customWidth="1"/>
    <col min="13061" max="13061" width="19" style="3305" customWidth="1"/>
    <col min="13062" max="13063" width="16.5703125" style="3305" customWidth="1"/>
    <col min="13064" max="13070" width="19.42578125" style="3305" customWidth="1"/>
    <col min="13071" max="13312" width="9.140625" style="3305"/>
    <col min="13313" max="13313" width="43.42578125" style="3305" customWidth="1"/>
    <col min="13314" max="13314" width="13.42578125" style="3305" customWidth="1"/>
    <col min="13315" max="13315" width="18.28515625" style="3305" customWidth="1"/>
    <col min="13316" max="13316" width="45.42578125" style="3305" customWidth="1"/>
    <col min="13317" max="13317" width="19" style="3305" customWidth="1"/>
    <col min="13318" max="13319" width="16.5703125" style="3305" customWidth="1"/>
    <col min="13320" max="13326" width="19.42578125" style="3305" customWidth="1"/>
    <col min="13327" max="13568" width="9.140625" style="3305"/>
    <col min="13569" max="13569" width="43.42578125" style="3305" customWidth="1"/>
    <col min="13570" max="13570" width="13.42578125" style="3305" customWidth="1"/>
    <col min="13571" max="13571" width="18.28515625" style="3305" customWidth="1"/>
    <col min="13572" max="13572" width="45.42578125" style="3305" customWidth="1"/>
    <col min="13573" max="13573" width="19" style="3305" customWidth="1"/>
    <col min="13574" max="13575" width="16.5703125" style="3305" customWidth="1"/>
    <col min="13576" max="13582" width="19.42578125" style="3305" customWidth="1"/>
    <col min="13583" max="13824" width="9.140625" style="3305"/>
    <col min="13825" max="13825" width="43.42578125" style="3305" customWidth="1"/>
    <col min="13826" max="13826" width="13.42578125" style="3305" customWidth="1"/>
    <col min="13827" max="13827" width="18.28515625" style="3305" customWidth="1"/>
    <col min="13828" max="13828" width="45.42578125" style="3305" customWidth="1"/>
    <col min="13829" max="13829" width="19" style="3305" customWidth="1"/>
    <col min="13830" max="13831" width="16.5703125" style="3305" customWidth="1"/>
    <col min="13832" max="13838" width="19.42578125" style="3305" customWidth="1"/>
    <col min="13839" max="14080" width="9.140625" style="3305"/>
    <col min="14081" max="14081" width="43.42578125" style="3305" customWidth="1"/>
    <col min="14082" max="14082" width="13.42578125" style="3305" customWidth="1"/>
    <col min="14083" max="14083" width="18.28515625" style="3305" customWidth="1"/>
    <col min="14084" max="14084" width="45.42578125" style="3305" customWidth="1"/>
    <col min="14085" max="14085" width="19" style="3305" customWidth="1"/>
    <col min="14086" max="14087" width="16.5703125" style="3305" customWidth="1"/>
    <col min="14088" max="14094" width="19.42578125" style="3305" customWidth="1"/>
    <col min="14095" max="14336" width="9.140625" style="3305"/>
    <col min="14337" max="14337" width="43.42578125" style="3305" customWidth="1"/>
    <col min="14338" max="14338" width="13.42578125" style="3305" customWidth="1"/>
    <col min="14339" max="14339" width="18.28515625" style="3305" customWidth="1"/>
    <col min="14340" max="14340" width="45.42578125" style="3305" customWidth="1"/>
    <col min="14341" max="14341" width="19" style="3305" customWidth="1"/>
    <col min="14342" max="14343" width="16.5703125" style="3305" customWidth="1"/>
    <col min="14344" max="14350" width="19.42578125" style="3305" customWidth="1"/>
    <col min="14351" max="14592" width="9.140625" style="3305"/>
    <col min="14593" max="14593" width="43.42578125" style="3305" customWidth="1"/>
    <col min="14594" max="14594" width="13.42578125" style="3305" customWidth="1"/>
    <col min="14595" max="14595" width="18.28515625" style="3305" customWidth="1"/>
    <col min="14596" max="14596" width="45.42578125" style="3305" customWidth="1"/>
    <col min="14597" max="14597" width="19" style="3305" customWidth="1"/>
    <col min="14598" max="14599" width="16.5703125" style="3305" customWidth="1"/>
    <col min="14600" max="14606" width="19.42578125" style="3305" customWidth="1"/>
    <col min="14607" max="14848" width="9.140625" style="3305"/>
    <col min="14849" max="14849" width="43.42578125" style="3305" customWidth="1"/>
    <col min="14850" max="14850" width="13.42578125" style="3305" customWidth="1"/>
    <col min="14851" max="14851" width="18.28515625" style="3305" customWidth="1"/>
    <col min="14852" max="14852" width="45.42578125" style="3305" customWidth="1"/>
    <col min="14853" max="14853" width="19" style="3305" customWidth="1"/>
    <col min="14854" max="14855" width="16.5703125" style="3305" customWidth="1"/>
    <col min="14856" max="14862" width="19.42578125" style="3305" customWidth="1"/>
    <col min="14863" max="15104" width="9.140625" style="3305"/>
    <col min="15105" max="15105" width="43.42578125" style="3305" customWidth="1"/>
    <col min="15106" max="15106" width="13.42578125" style="3305" customWidth="1"/>
    <col min="15107" max="15107" width="18.28515625" style="3305" customWidth="1"/>
    <col min="15108" max="15108" width="45.42578125" style="3305" customWidth="1"/>
    <col min="15109" max="15109" width="19" style="3305" customWidth="1"/>
    <col min="15110" max="15111" width="16.5703125" style="3305" customWidth="1"/>
    <col min="15112" max="15118" width="19.42578125" style="3305" customWidth="1"/>
    <col min="15119" max="15360" width="9.140625" style="3305"/>
    <col min="15361" max="15361" width="43.42578125" style="3305" customWidth="1"/>
    <col min="15362" max="15362" width="13.42578125" style="3305" customWidth="1"/>
    <col min="15363" max="15363" width="18.28515625" style="3305" customWidth="1"/>
    <col min="15364" max="15364" width="45.42578125" style="3305" customWidth="1"/>
    <col min="15365" max="15365" width="19" style="3305" customWidth="1"/>
    <col min="15366" max="15367" width="16.5703125" style="3305" customWidth="1"/>
    <col min="15368" max="15374" width="19.42578125" style="3305" customWidth="1"/>
    <col min="15375" max="15616" width="9.140625" style="3305"/>
    <col min="15617" max="15617" width="43.42578125" style="3305" customWidth="1"/>
    <col min="15618" max="15618" width="13.42578125" style="3305" customWidth="1"/>
    <col min="15619" max="15619" width="18.28515625" style="3305" customWidth="1"/>
    <col min="15620" max="15620" width="45.42578125" style="3305" customWidth="1"/>
    <col min="15621" max="15621" width="19" style="3305" customWidth="1"/>
    <col min="15622" max="15623" width="16.5703125" style="3305" customWidth="1"/>
    <col min="15624" max="15630" width="19.42578125" style="3305" customWidth="1"/>
    <col min="15631" max="15872" width="9.140625" style="3305"/>
    <col min="15873" max="15873" width="43.42578125" style="3305" customWidth="1"/>
    <col min="15874" max="15874" width="13.42578125" style="3305" customWidth="1"/>
    <col min="15875" max="15875" width="18.28515625" style="3305" customWidth="1"/>
    <col min="15876" max="15876" width="45.42578125" style="3305" customWidth="1"/>
    <col min="15877" max="15877" width="19" style="3305" customWidth="1"/>
    <col min="15878" max="15879" width="16.5703125" style="3305" customWidth="1"/>
    <col min="15880" max="15886" width="19.42578125" style="3305" customWidth="1"/>
    <col min="15887" max="16128" width="9.140625" style="3305"/>
    <col min="16129" max="16129" width="43.42578125" style="3305" customWidth="1"/>
    <col min="16130" max="16130" width="13.42578125" style="3305" customWidth="1"/>
    <col min="16131" max="16131" width="18.28515625" style="3305" customWidth="1"/>
    <col min="16132" max="16132" width="45.42578125" style="3305" customWidth="1"/>
    <col min="16133" max="16133" width="19" style="3305" customWidth="1"/>
    <col min="16134" max="16135" width="16.5703125" style="3305" customWidth="1"/>
    <col min="16136" max="16142" width="19.42578125" style="3305" customWidth="1"/>
    <col min="16143" max="16384" width="9.140625" style="3305"/>
  </cols>
  <sheetData>
    <row r="1" spans="1:13" ht="25.5">
      <c r="A1" s="3420" t="s">
        <v>7483</v>
      </c>
      <c r="B1" s="3421"/>
      <c r="C1" s="3421"/>
      <c r="D1" s="3421"/>
      <c r="E1" s="3421"/>
      <c r="F1" s="3303" t="s">
        <v>7484</v>
      </c>
      <c r="G1" s="3304"/>
      <c r="H1" s="3305"/>
      <c r="I1" s="3305"/>
      <c r="J1" s="3305"/>
    </row>
    <row r="2" spans="1:13" ht="21" customHeight="1">
      <c r="A2" s="3422">
        <v>43830</v>
      </c>
      <c r="B2" s="3422"/>
      <c r="C2" s="3422"/>
      <c r="D2" s="3422"/>
      <c r="E2" s="3422"/>
      <c r="F2" s="3305"/>
      <c r="G2" s="3305"/>
      <c r="H2" s="3305"/>
      <c r="I2" s="3305"/>
      <c r="J2" s="3305"/>
    </row>
    <row r="3" spans="1:13" ht="18" customHeight="1">
      <c r="A3" s="3306"/>
      <c r="B3" s="3307"/>
      <c r="C3" s="3307"/>
      <c r="D3" s="3308"/>
      <c r="E3" s="3309"/>
      <c r="F3" s="3305"/>
      <c r="G3" s="3305"/>
      <c r="H3" s="3305"/>
      <c r="I3" s="3305"/>
      <c r="J3" s="3305"/>
    </row>
    <row r="4" spans="1:13" ht="18" customHeight="1" thickBot="1">
      <c r="A4" s="3310" t="s">
        <v>7485</v>
      </c>
      <c r="B4" s="3311"/>
      <c r="C4" s="3311"/>
      <c r="D4" s="3312"/>
      <c r="E4" s="3313"/>
      <c r="F4" s="3314"/>
      <c r="G4" s="3305"/>
      <c r="H4" s="3305"/>
      <c r="I4" s="3305"/>
      <c r="J4" s="3305"/>
    </row>
    <row r="5" spans="1:13" ht="21.95" customHeight="1" thickTop="1">
      <c r="A5" s="3315" t="s">
        <v>6756</v>
      </c>
      <c r="B5" s="3316" t="s">
        <v>7486</v>
      </c>
      <c r="C5" s="3316"/>
      <c r="D5" s="3316" t="s">
        <v>7487</v>
      </c>
      <c r="E5" s="3317" t="s">
        <v>7488</v>
      </c>
      <c r="F5" s="3305"/>
      <c r="G5" s="3305"/>
      <c r="H5" s="3305"/>
      <c r="I5" s="3305"/>
      <c r="J5" s="3305"/>
    </row>
    <row r="6" spans="1:13" ht="21.95" customHeight="1">
      <c r="A6" s="3318" t="s">
        <v>7489</v>
      </c>
      <c r="B6" s="3319"/>
      <c r="C6" s="3320"/>
      <c r="D6" s="3321"/>
      <c r="E6" s="3322">
        <f>CF!E99</f>
        <v>0</v>
      </c>
      <c r="F6" s="3323"/>
      <c r="G6" s="3305"/>
      <c r="H6" s="3305"/>
      <c r="I6" s="3305"/>
      <c r="J6" s="3305"/>
    </row>
    <row r="7" spans="1:13" ht="21.95" customHeight="1">
      <c r="A7" s="3324" t="s">
        <v>7490</v>
      </c>
      <c r="B7" s="3325"/>
      <c r="C7" s="3325"/>
      <c r="D7" s="3321"/>
      <c r="E7" s="3326">
        <f>CF!E95</f>
        <v>0</v>
      </c>
      <c r="F7" s="3323"/>
      <c r="G7" s="3305"/>
      <c r="H7" s="3305"/>
      <c r="I7" s="3305"/>
      <c r="J7" s="3305"/>
    </row>
    <row r="8" spans="1:13" ht="21.95" customHeight="1">
      <c r="A8" s="3327" t="s">
        <v>7491</v>
      </c>
      <c r="B8" s="3328" t="s">
        <v>7252</v>
      </c>
      <c r="C8" s="3105" t="s">
        <v>7492</v>
      </c>
      <c r="D8" s="3106" t="s">
        <v>741</v>
      </c>
      <c r="E8" s="3329">
        <f>IS!E7</f>
        <v>231319311.91</v>
      </c>
      <c r="F8" s="3305"/>
      <c r="G8" s="3305"/>
      <c r="H8" s="3305"/>
      <c r="I8" s="3305"/>
      <c r="J8" s="3305"/>
    </row>
    <row r="9" spans="1:13" ht="21.95" customHeight="1">
      <c r="A9" s="3330"/>
      <c r="B9" s="3328" t="s">
        <v>7252</v>
      </c>
      <c r="C9" s="3105" t="s">
        <v>7492</v>
      </c>
      <c r="D9" s="3106" t="s">
        <v>7493</v>
      </c>
      <c r="E9" s="3331">
        <v>27308332.739999998</v>
      </c>
      <c r="F9" s="3305"/>
      <c r="G9" s="3305"/>
      <c r="H9" s="3305"/>
      <c r="I9" s="3305"/>
      <c r="J9" s="3305"/>
    </row>
    <row r="10" spans="1:13" ht="21.95" customHeight="1">
      <c r="A10" s="3330"/>
      <c r="B10" s="3328" t="s">
        <v>7252</v>
      </c>
      <c r="C10" s="3105" t="s">
        <v>7494</v>
      </c>
      <c r="D10" s="3106" t="s">
        <v>7495</v>
      </c>
      <c r="E10" s="3326">
        <f>BS!H12+BS!H14</f>
        <v>2024958.1</v>
      </c>
      <c r="F10" s="3305"/>
      <c r="G10" s="3323"/>
      <c r="H10" s="3305"/>
      <c r="I10" s="3305"/>
      <c r="J10" s="3305"/>
    </row>
    <row r="11" spans="1:13" ht="21.95" customHeight="1">
      <c r="A11" s="3330"/>
      <c r="B11" s="3328" t="s">
        <v>7253</v>
      </c>
      <c r="C11" s="3105" t="s">
        <v>7496</v>
      </c>
      <c r="D11" s="3106" t="s">
        <v>7495</v>
      </c>
      <c r="E11" s="3326">
        <f>BS!G12+BS!G14</f>
        <v>3532481.3</v>
      </c>
      <c r="F11" s="3323"/>
      <c r="G11" s="3305"/>
      <c r="H11" s="3305"/>
      <c r="I11" s="3305"/>
      <c r="J11" s="3305"/>
    </row>
    <row r="12" spans="1:13" ht="21.95" customHeight="1">
      <c r="A12" s="3330"/>
      <c r="B12" s="3328" t="s">
        <v>7253</v>
      </c>
      <c r="C12" s="3105" t="s">
        <v>7492</v>
      </c>
      <c r="D12" s="3106" t="s">
        <v>7497</v>
      </c>
      <c r="E12" s="3331">
        <f>H15</f>
        <v>66399792.149999999</v>
      </c>
      <c r="F12" s="3305"/>
      <c r="G12" s="3332" t="s">
        <v>7498</v>
      </c>
      <c r="H12" s="3333"/>
      <c r="I12" s="3305"/>
      <c r="J12" s="3305" t="s">
        <v>7499</v>
      </c>
    </row>
    <row r="13" spans="1:13" ht="21.95" customHeight="1">
      <c r="A13" s="3330"/>
      <c r="B13" s="3328" t="s">
        <v>7252</v>
      </c>
      <c r="C13" s="3105" t="s">
        <v>7494</v>
      </c>
      <c r="D13" s="3106" t="s">
        <v>7500</v>
      </c>
      <c r="E13" s="3326">
        <f>Notes!I6192</f>
        <v>43128210.229999997</v>
      </c>
      <c r="F13" s="3305"/>
      <c r="G13" s="3332" t="s">
        <v>7501</v>
      </c>
      <c r="H13" s="3334">
        <v>66399792.149999999</v>
      </c>
      <c r="I13" s="3305"/>
      <c r="J13" s="3332" t="s">
        <v>7502</v>
      </c>
      <c r="K13" s="3335" t="s">
        <v>7503</v>
      </c>
      <c r="L13" s="3332" t="s">
        <v>7504</v>
      </c>
      <c r="M13" s="3332" t="s">
        <v>7505</v>
      </c>
    </row>
    <row r="14" spans="1:13" ht="21.95" customHeight="1">
      <c r="A14" s="3330"/>
      <c r="B14" s="3328" t="s">
        <v>7252</v>
      </c>
      <c r="C14" s="3105" t="s">
        <v>7494</v>
      </c>
      <c r="D14" s="3106" t="s">
        <v>7506</v>
      </c>
      <c r="E14" s="3336">
        <f>减值表!D7</f>
        <v>6681710.6699999999</v>
      </c>
      <c r="F14" s="3323">
        <f>E13+E14-Notes!I330</f>
        <v>0</v>
      </c>
      <c r="G14" s="3332" t="s">
        <v>7507</v>
      </c>
      <c r="H14" s="3334"/>
      <c r="I14" s="3305"/>
      <c r="J14" s="3337" t="s">
        <v>7508</v>
      </c>
      <c r="K14" s="3337" t="s">
        <v>7509</v>
      </c>
      <c r="L14" s="3338">
        <v>12695000</v>
      </c>
      <c r="M14" s="3338">
        <f>L14</f>
        <v>12695000</v>
      </c>
    </row>
    <row r="15" spans="1:13" ht="21.95" customHeight="1">
      <c r="A15" s="3330"/>
      <c r="B15" s="3328" t="s">
        <v>7253</v>
      </c>
      <c r="C15" s="3105" t="s">
        <v>7496</v>
      </c>
      <c r="D15" s="3106" t="s">
        <v>7500</v>
      </c>
      <c r="E15" s="3326">
        <f>Notes!H6192</f>
        <v>52134727.899999999</v>
      </c>
      <c r="F15" s="3323">
        <f>E15+E16-Notes!H330</f>
        <v>-18250.77</v>
      </c>
      <c r="G15" s="3332" t="s">
        <v>7497</v>
      </c>
      <c r="H15" s="3334">
        <v>66399792.149999999</v>
      </c>
      <c r="I15" s="3305"/>
      <c r="J15" s="3337" t="s">
        <v>7510</v>
      </c>
      <c r="K15" s="3337" t="s">
        <v>7511</v>
      </c>
    </row>
    <row r="16" spans="1:13" ht="21.95" customHeight="1">
      <c r="A16" s="3330"/>
      <c r="B16" s="3328" t="s">
        <v>7253</v>
      </c>
      <c r="C16" s="3105" t="s">
        <v>7496</v>
      </c>
      <c r="D16" s="3106" t="s">
        <v>7506</v>
      </c>
      <c r="E16" s="3336">
        <f>减值表!H7</f>
        <v>7337169.4299999997</v>
      </c>
      <c r="F16" s="3323"/>
      <c r="G16" s="3332" t="s">
        <v>7512</v>
      </c>
      <c r="H16" s="3334"/>
      <c r="I16" s="3305"/>
      <c r="J16" s="3305"/>
    </row>
    <row r="17" spans="1:10" ht="21.95" customHeight="1">
      <c r="A17" s="3330"/>
      <c r="B17" s="3328" t="s">
        <v>7252</v>
      </c>
      <c r="C17" s="3105" t="s">
        <v>7496</v>
      </c>
      <c r="D17" s="3106" t="s">
        <v>7513</v>
      </c>
      <c r="E17" s="3326">
        <f>Notes!H6220</f>
        <v>1190488.93</v>
      </c>
      <c r="F17" s="3323"/>
      <c r="G17" s="3332" t="s">
        <v>7514</v>
      </c>
      <c r="H17" s="3334">
        <v>66399792.149999999</v>
      </c>
      <c r="I17" s="3305"/>
      <c r="J17" s="3305"/>
    </row>
    <row r="18" spans="1:10" ht="21.95" customHeight="1">
      <c r="A18" s="3330"/>
      <c r="B18" s="3328" t="s">
        <v>7253</v>
      </c>
      <c r="C18" s="3105" t="s">
        <v>7494</v>
      </c>
      <c r="D18" s="3106" t="s">
        <v>7513</v>
      </c>
      <c r="E18" s="3326">
        <f>Notes!I6220</f>
        <v>2572903.23</v>
      </c>
      <c r="F18" s="3323"/>
      <c r="G18" s="3332"/>
      <c r="H18" s="3334"/>
      <c r="I18" s="3305"/>
      <c r="J18" s="3305"/>
    </row>
    <row r="19" spans="1:10" ht="21.95" customHeight="1">
      <c r="A19" s="3330"/>
      <c r="B19" s="3328" t="s">
        <v>7253</v>
      </c>
      <c r="C19" s="3105" t="s">
        <v>7492</v>
      </c>
      <c r="D19" s="3106" t="s">
        <v>7515</v>
      </c>
      <c r="E19" s="3336"/>
      <c r="F19" s="3323">
        <f>E14-E16-E19</f>
        <v>-655458.76</v>
      </c>
      <c r="G19" s="3323"/>
      <c r="H19" s="3305"/>
      <c r="I19" s="3305"/>
      <c r="J19" s="3305"/>
    </row>
    <row r="20" spans="1:10" ht="21.95" customHeight="1">
      <c r="A20" s="3339" t="s">
        <v>2241</v>
      </c>
      <c r="B20" s="3340" t="s">
        <v>7516</v>
      </c>
      <c r="C20" s="3340"/>
      <c r="D20" s="3341"/>
      <c r="E20" s="3342">
        <f>SUMIF(B8:B19,"加",E8:E19)-SUMIF(B8:B19,"减",E8:E19)</f>
        <v>179675938.56999999</v>
      </c>
      <c r="F20" s="3305"/>
      <c r="G20" s="3305"/>
      <c r="H20" s="3305"/>
      <c r="I20" s="3305"/>
      <c r="J20" s="3305"/>
    </row>
    <row r="21" spans="1:10" ht="21.95" customHeight="1">
      <c r="A21" s="3327" t="s">
        <v>7517</v>
      </c>
      <c r="B21" s="3328" t="s">
        <v>7252</v>
      </c>
      <c r="C21" s="3105" t="s">
        <v>7492</v>
      </c>
      <c r="D21" s="3343" t="s">
        <v>7254</v>
      </c>
      <c r="E21" s="3326">
        <f>E31</f>
        <v>0</v>
      </c>
      <c r="F21" s="3305"/>
      <c r="G21" s="3305"/>
      <c r="H21" s="3305"/>
      <c r="I21" s="3305"/>
      <c r="J21" s="3305"/>
    </row>
    <row r="22" spans="1:10" ht="21.95" customHeight="1">
      <c r="A22" s="3330"/>
      <c r="B22" s="3328" t="s">
        <v>7252</v>
      </c>
      <c r="C22" s="3105" t="s">
        <v>7492</v>
      </c>
      <c r="D22" s="3343" t="s">
        <v>7518</v>
      </c>
      <c r="E22" s="3326"/>
      <c r="F22" s="3305"/>
      <c r="G22" s="3305"/>
      <c r="H22" s="3305"/>
      <c r="I22" s="3305"/>
      <c r="J22" s="3305"/>
    </row>
    <row r="23" spans="1:10" ht="21.95" customHeight="1">
      <c r="A23" s="3330"/>
      <c r="B23" s="3328" t="s">
        <v>7252</v>
      </c>
      <c r="C23" s="3105" t="s">
        <v>7492</v>
      </c>
      <c r="D23" s="3343" t="s">
        <v>7255</v>
      </c>
      <c r="E23" s="3326"/>
      <c r="F23" s="3305"/>
      <c r="G23" s="3305"/>
      <c r="H23" s="3305"/>
      <c r="I23" s="3305"/>
      <c r="J23" s="3305"/>
    </row>
    <row r="24" spans="1:10" ht="21.95" customHeight="1">
      <c r="A24" s="3330"/>
      <c r="B24" s="3328" t="s">
        <v>7252</v>
      </c>
      <c r="C24" s="3105" t="s">
        <v>7492</v>
      </c>
      <c r="D24" s="3343" t="s">
        <v>7256</v>
      </c>
      <c r="E24" s="3326"/>
      <c r="F24" s="3305"/>
      <c r="G24" s="3305"/>
      <c r="H24" s="3305"/>
      <c r="I24" s="3305"/>
      <c r="J24" s="3305"/>
    </row>
    <row r="25" spans="1:10" ht="21.95" customHeight="1">
      <c r="A25" s="3339" t="s">
        <v>43</v>
      </c>
      <c r="B25" s="3340" t="s">
        <v>7516</v>
      </c>
      <c r="C25" s="3340"/>
      <c r="D25" s="3341"/>
      <c r="E25" s="3342">
        <f>SUMIF(B21:B24,"加",E21:E24)-SUMIF(B21:B24,"减",E21:E24)</f>
        <v>0</v>
      </c>
      <c r="F25" s="3305"/>
      <c r="G25" s="3305"/>
      <c r="H25" s="3305"/>
      <c r="I25" s="3305"/>
      <c r="J25" s="3305"/>
    </row>
    <row r="26" spans="1:10" ht="21.95" customHeight="1">
      <c r="A26" s="3327" t="s">
        <v>7519</v>
      </c>
      <c r="B26" s="3328" t="s">
        <v>7252</v>
      </c>
      <c r="C26" s="3105" t="s">
        <v>7492</v>
      </c>
      <c r="D26" s="3106" t="s">
        <v>839</v>
      </c>
      <c r="E26" s="3329">
        <f>IS!E26+IS!E16</f>
        <v>211944.56</v>
      </c>
      <c r="F26" s="3305"/>
      <c r="G26" s="3323"/>
      <c r="H26" s="3305"/>
      <c r="I26" s="3305"/>
      <c r="J26" s="3305"/>
    </row>
    <row r="27" spans="1:10" ht="21.95" customHeight="1">
      <c r="A27" s="3330"/>
      <c r="B27" s="3328" t="s">
        <v>7253</v>
      </c>
      <c r="C27" s="3105" t="s">
        <v>7492</v>
      </c>
      <c r="D27" s="3106" t="s">
        <v>7523</v>
      </c>
      <c r="E27" s="3331"/>
      <c r="F27" s="3323"/>
      <c r="G27" s="3305"/>
      <c r="H27" s="3305"/>
      <c r="I27" s="3305"/>
      <c r="J27" s="3305"/>
    </row>
    <row r="28" spans="1:10" ht="21.95" customHeight="1">
      <c r="A28" s="3330"/>
      <c r="B28" s="3328" t="s">
        <v>7253</v>
      </c>
      <c r="C28" s="3105" t="s">
        <v>7492</v>
      </c>
      <c r="D28" s="3106" t="s">
        <v>7524</v>
      </c>
      <c r="E28" s="3326"/>
      <c r="F28" s="3305"/>
      <c r="G28" s="3305"/>
      <c r="H28" s="3305"/>
      <c r="I28" s="3305"/>
      <c r="J28" s="3305"/>
    </row>
    <row r="29" spans="1:10" ht="21.95" customHeight="1">
      <c r="A29" s="3330"/>
      <c r="B29" s="3328" t="s">
        <v>7252</v>
      </c>
      <c r="C29" s="3105" t="s">
        <v>7492</v>
      </c>
      <c r="D29" s="3106" t="s">
        <v>7525</v>
      </c>
      <c r="E29" s="3326"/>
      <c r="F29" s="3305"/>
      <c r="G29" s="3305"/>
      <c r="H29" s="3305"/>
      <c r="I29" s="3305"/>
      <c r="J29" s="3305"/>
    </row>
    <row r="30" spans="1:10" ht="21.95" customHeight="1">
      <c r="A30" s="3330"/>
      <c r="B30" s="3105" t="s">
        <v>7520</v>
      </c>
      <c r="C30" s="3105" t="s">
        <v>7521</v>
      </c>
      <c r="D30" s="3106" t="s">
        <v>7522</v>
      </c>
      <c r="E30" s="3326">
        <f>E161</f>
        <v>1332867.3799999999</v>
      </c>
      <c r="F30" s="3305"/>
      <c r="G30" s="3305"/>
      <c r="H30" s="3305"/>
      <c r="I30" s="3305"/>
      <c r="J30" s="3305"/>
    </row>
    <row r="31" spans="1:10" ht="21.95" customHeight="1">
      <c r="A31" s="3330"/>
      <c r="B31" s="3328" t="s">
        <v>7253</v>
      </c>
      <c r="C31" s="3105" t="s">
        <v>7492</v>
      </c>
      <c r="D31" s="3106" t="s">
        <v>7526</v>
      </c>
      <c r="E31" s="3344"/>
      <c r="F31" s="3337"/>
      <c r="G31" s="3305"/>
      <c r="H31" s="3305"/>
      <c r="I31" s="3305"/>
      <c r="J31" s="3305"/>
    </row>
    <row r="32" spans="1:10" ht="21.95" customHeight="1">
      <c r="A32" s="3330"/>
      <c r="B32" s="3328" t="s">
        <v>7253</v>
      </c>
      <c r="C32" s="3105" t="s">
        <v>7527</v>
      </c>
      <c r="D32" s="3106" t="s">
        <v>7528</v>
      </c>
      <c r="E32" s="3326"/>
      <c r="F32" s="3305"/>
      <c r="G32" s="3305"/>
      <c r="H32" s="3305"/>
      <c r="I32" s="3305"/>
      <c r="J32" s="3305"/>
    </row>
    <row r="33" spans="1:10" ht="21.95" customHeight="1">
      <c r="A33" s="3330"/>
      <c r="B33" s="3105" t="s">
        <v>7520</v>
      </c>
      <c r="C33" s="3105" t="s">
        <v>7521</v>
      </c>
      <c r="D33" s="3106" t="s">
        <v>7529</v>
      </c>
      <c r="E33" s="3326"/>
      <c r="F33" s="3305"/>
      <c r="G33" s="3305"/>
      <c r="H33" s="3305"/>
      <c r="I33" s="3305"/>
      <c r="J33" s="3305"/>
    </row>
    <row r="34" spans="1:10" ht="21.95" customHeight="1">
      <c r="A34" s="3330"/>
      <c r="B34" s="3328" t="s">
        <v>7253</v>
      </c>
      <c r="C34" s="3105" t="s">
        <v>7257</v>
      </c>
      <c r="D34" s="3106" t="s">
        <v>7530</v>
      </c>
      <c r="E34" s="3326"/>
      <c r="F34" s="3305"/>
      <c r="G34" s="3305"/>
      <c r="H34" s="3305"/>
      <c r="I34" s="3305"/>
      <c r="J34" s="3305"/>
    </row>
    <row r="35" spans="1:10" ht="21.95" customHeight="1">
      <c r="A35" s="3330"/>
      <c r="B35" s="3105" t="s">
        <v>7520</v>
      </c>
      <c r="C35" s="3105" t="s">
        <v>7258</v>
      </c>
      <c r="D35" s="3106" t="s">
        <v>7530</v>
      </c>
      <c r="E35" s="3326"/>
      <c r="F35" s="3305"/>
      <c r="G35" s="3305"/>
      <c r="H35" s="3305"/>
      <c r="I35" s="3305"/>
      <c r="J35" s="3305"/>
    </row>
    <row r="36" spans="1:10" ht="21.95" customHeight="1">
      <c r="A36" s="3330"/>
      <c r="B36" s="3328" t="s">
        <v>7253</v>
      </c>
      <c r="C36" s="3105" t="s">
        <v>7496</v>
      </c>
      <c r="D36" s="3106" t="s">
        <v>7531</v>
      </c>
      <c r="E36" s="3326"/>
      <c r="F36" s="3305"/>
      <c r="G36" s="3305"/>
      <c r="H36" s="3305"/>
      <c r="I36" s="3305"/>
      <c r="J36" s="3305"/>
    </row>
    <row r="37" spans="1:10" ht="21.95" customHeight="1">
      <c r="A37" s="3330"/>
      <c r="B37" s="3105" t="s">
        <v>7520</v>
      </c>
      <c r="C37" s="3105" t="s">
        <v>7258</v>
      </c>
      <c r="D37" s="3106" t="s">
        <v>5613</v>
      </c>
      <c r="E37" s="3326"/>
      <c r="F37" s="3305"/>
      <c r="G37" s="3305"/>
      <c r="H37" s="3305"/>
      <c r="I37" s="3305"/>
      <c r="J37" s="3305"/>
    </row>
    <row r="38" spans="1:10" ht="21.95" customHeight="1">
      <c r="A38" s="3330"/>
      <c r="B38" s="3328" t="s">
        <v>7253</v>
      </c>
      <c r="C38" s="3105" t="s">
        <v>7257</v>
      </c>
      <c r="D38" s="3106" t="s">
        <v>7532</v>
      </c>
      <c r="E38" s="3326"/>
      <c r="F38" s="3305"/>
      <c r="G38" s="3305">
        <v>3265000</v>
      </c>
      <c r="H38" s="3305"/>
      <c r="I38" s="3305"/>
      <c r="J38" s="3305"/>
    </row>
    <row r="39" spans="1:10" ht="21.95" customHeight="1">
      <c r="A39" s="3330"/>
      <c r="B39" s="3105" t="s">
        <v>7520</v>
      </c>
      <c r="C39" s="3105" t="s">
        <v>7533</v>
      </c>
      <c r="D39" s="3106" t="s">
        <v>7534</v>
      </c>
      <c r="E39" s="3326"/>
      <c r="F39" s="3305"/>
      <c r="G39" s="3305"/>
      <c r="H39" s="3305"/>
      <c r="I39" s="3305"/>
      <c r="J39" s="3305"/>
    </row>
    <row r="40" spans="1:10" ht="21.95" customHeight="1">
      <c r="A40" s="3330"/>
      <c r="B40" s="3328" t="s">
        <v>7253</v>
      </c>
      <c r="C40" s="3105" t="s">
        <v>7535</v>
      </c>
      <c r="D40" s="3106" t="s">
        <v>7536</v>
      </c>
      <c r="E40" s="3326"/>
      <c r="F40" s="3305"/>
      <c r="G40" s="3305"/>
      <c r="H40" s="3305"/>
      <c r="I40" s="3305"/>
      <c r="J40" s="3305"/>
    </row>
    <row r="41" spans="1:10" ht="21.95" customHeight="1">
      <c r="A41" s="3330"/>
      <c r="B41" s="3105" t="s">
        <v>7520</v>
      </c>
      <c r="C41" s="3105" t="s">
        <v>7533</v>
      </c>
      <c r="D41" s="3106" t="s">
        <v>7536</v>
      </c>
      <c r="E41" s="3326"/>
      <c r="F41" s="3305"/>
      <c r="G41" s="3305"/>
      <c r="H41" s="3305"/>
      <c r="I41" s="3305"/>
      <c r="J41" s="3305"/>
    </row>
    <row r="42" spans="1:10" ht="21.95" customHeight="1">
      <c r="A42" s="3330"/>
      <c r="B42" s="3105" t="s">
        <v>7520</v>
      </c>
      <c r="C42" s="3105" t="s">
        <v>7535</v>
      </c>
      <c r="D42" s="3106" t="s">
        <v>7537</v>
      </c>
      <c r="E42" s="3326"/>
      <c r="F42" s="3305"/>
      <c r="G42" s="3305"/>
      <c r="H42" s="3305"/>
      <c r="I42" s="3305"/>
      <c r="J42" s="3305"/>
    </row>
    <row r="43" spans="1:10" ht="21.95" customHeight="1">
      <c r="A43" s="3330"/>
      <c r="B43" s="3105" t="s">
        <v>7538</v>
      </c>
      <c r="C43" s="3105" t="s">
        <v>7533</v>
      </c>
      <c r="D43" s="3106" t="s">
        <v>7537</v>
      </c>
      <c r="E43" s="3326"/>
      <c r="F43" s="3305"/>
      <c r="G43" s="3305"/>
      <c r="H43" s="3305"/>
      <c r="I43" s="3305"/>
      <c r="J43" s="3305"/>
    </row>
    <row r="44" spans="1:10" ht="21.95" customHeight="1">
      <c r="A44" s="3345"/>
      <c r="B44" s="3105" t="s">
        <v>7538</v>
      </c>
      <c r="C44" s="3346" t="s">
        <v>2775</v>
      </c>
      <c r="D44" s="3347" t="s">
        <v>247</v>
      </c>
      <c r="E44" s="3326">
        <f>Notes!H6195</f>
        <v>0</v>
      </c>
      <c r="F44" s="3305"/>
      <c r="G44" s="3305"/>
      <c r="H44" s="3305"/>
      <c r="I44" s="3305"/>
      <c r="J44" s="3305"/>
    </row>
    <row r="45" spans="1:10" ht="21.95" customHeight="1">
      <c r="A45" s="3345"/>
      <c r="B45" s="3346" t="s">
        <v>7520</v>
      </c>
      <c r="C45" s="3346" t="s">
        <v>7535</v>
      </c>
      <c r="D45" s="3347" t="s">
        <v>7539</v>
      </c>
      <c r="E45" s="3326">
        <f>E44</f>
        <v>0</v>
      </c>
      <c r="F45" s="3305"/>
      <c r="G45" s="3305"/>
      <c r="H45" s="3305"/>
      <c r="I45" s="3305"/>
      <c r="J45" s="3305"/>
    </row>
    <row r="46" spans="1:10" ht="21.95" customHeight="1">
      <c r="A46" s="3345"/>
      <c r="B46" s="3346" t="s">
        <v>7252</v>
      </c>
      <c r="C46" s="3346" t="s">
        <v>2776</v>
      </c>
      <c r="D46" s="3347" t="s">
        <v>247</v>
      </c>
      <c r="E46" s="3326">
        <f>Notes!I6195</f>
        <v>0</v>
      </c>
      <c r="F46" s="3305"/>
      <c r="G46" s="3305"/>
      <c r="H46" s="3305"/>
      <c r="I46" s="3305"/>
      <c r="J46" s="3305"/>
    </row>
    <row r="47" spans="1:10" ht="21.95" customHeight="1">
      <c r="A47" s="3345"/>
      <c r="B47" s="3346" t="s">
        <v>7538</v>
      </c>
      <c r="C47" s="3346" t="s">
        <v>7533</v>
      </c>
      <c r="D47" s="3347" t="s">
        <v>7539</v>
      </c>
      <c r="E47" s="3326">
        <f>E46</f>
        <v>0</v>
      </c>
      <c r="F47" s="3305"/>
      <c r="G47" s="3305"/>
      <c r="H47" s="3305"/>
      <c r="I47" s="3305"/>
      <c r="J47" s="3305"/>
    </row>
    <row r="48" spans="1:10" ht="21.95" customHeight="1">
      <c r="A48" s="3345"/>
      <c r="B48" s="3346" t="s">
        <v>7252</v>
      </c>
      <c r="C48" s="3346" t="s">
        <v>2775</v>
      </c>
      <c r="D48" s="3347" t="s">
        <v>534</v>
      </c>
      <c r="E48" s="3326"/>
      <c r="F48" s="3305"/>
      <c r="G48" s="3305"/>
      <c r="H48" s="3305"/>
      <c r="I48" s="3305"/>
      <c r="J48" s="3305"/>
    </row>
    <row r="49" spans="1:10" ht="21.95" customHeight="1">
      <c r="A49" s="3345"/>
      <c r="B49" s="3105" t="s">
        <v>7538</v>
      </c>
      <c r="C49" s="3346" t="s">
        <v>2776</v>
      </c>
      <c r="D49" s="3347" t="s">
        <v>534</v>
      </c>
      <c r="E49" s="3326"/>
      <c r="F49" s="3305"/>
      <c r="G49" s="3305"/>
      <c r="H49" s="3305"/>
      <c r="I49" s="3305"/>
      <c r="J49" s="3305"/>
    </row>
    <row r="50" spans="1:10" ht="21.95" customHeight="1">
      <c r="A50" s="3345"/>
      <c r="B50" s="3105" t="s">
        <v>7538</v>
      </c>
      <c r="C50" s="3346"/>
      <c r="D50" s="3347"/>
      <c r="E50" s="3348"/>
      <c r="F50" s="3305"/>
      <c r="G50" s="3305"/>
      <c r="H50" s="3305"/>
      <c r="I50" s="3305"/>
      <c r="J50" s="3305"/>
    </row>
    <row r="51" spans="1:10" ht="21.95" customHeight="1">
      <c r="A51" s="3339" t="s">
        <v>67</v>
      </c>
      <c r="B51" s="3340" t="s">
        <v>7540</v>
      </c>
      <c r="C51" s="3340"/>
      <c r="D51" s="3341"/>
      <c r="E51" s="3342">
        <f>SUMIF(B26:B49,"加",E26:E49)-SUMIF(B26:B49,"减",E26:E49)-E50</f>
        <v>1544811.94</v>
      </c>
      <c r="F51" s="3305"/>
      <c r="G51" s="3323"/>
      <c r="H51" s="3305"/>
      <c r="I51" s="3305"/>
      <c r="J51" s="3305"/>
    </row>
    <row r="52" spans="1:10" ht="21.95" customHeight="1">
      <c r="A52" s="3330" t="s">
        <v>7541</v>
      </c>
      <c r="B52" s="3328" t="s">
        <v>7252</v>
      </c>
      <c r="C52" s="3105" t="s">
        <v>7542</v>
      </c>
      <c r="D52" s="3106" t="s">
        <v>766</v>
      </c>
      <c r="E52" s="3329">
        <f>IS!E8</f>
        <v>197062457.09</v>
      </c>
      <c r="F52" s="3305"/>
      <c r="G52" s="3305"/>
      <c r="H52" s="3305"/>
      <c r="I52" s="3305"/>
      <c r="J52" s="3305"/>
    </row>
    <row r="53" spans="1:10" ht="21.95" customHeight="1">
      <c r="A53" s="3330"/>
      <c r="B53" s="3328" t="s">
        <v>7252</v>
      </c>
      <c r="C53" s="3105" t="s">
        <v>7542</v>
      </c>
      <c r="D53" s="3106" t="s">
        <v>7847</v>
      </c>
      <c r="E53" s="3329">
        <f>Notes!H4710</f>
        <v>6974021.6100000003</v>
      </c>
      <c r="F53" s="3305"/>
      <c r="G53" s="3305"/>
      <c r="H53" s="3305"/>
      <c r="I53" s="3305"/>
      <c r="J53" s="3305"/>
    </row>
    <row r="54" spans="1:10" ht="21.95" customHeight="1">
      <c r="A54" s="3330"/>
      <c r="B54" s="3328" t="s">
        <v>7252</v>
      </c>
      <c r="C54" s="3105" t="s">
        <v>7492</v>
      </c>
      <c r="D54" s="3106" t="s">
        <v>7543</v>
      </c>
      <c r="E54" s="3331">
        <f>17517408.13-147280.07</f>
        <v>17370128.059999999</v>
      </c>
      <c r="F54" s="3399"/>
      <c r="G54" s="3305"/>
      <c r="H54" s="3305"/>
      <c r="I54" s="3305"/>
      <c r="J54" s="3305"/>
    </row>
    <row r="55" spans="1:10" ht="21.95" customHeight="1">
      <c r="A55" s="3330"/>
      <c r="B55" s="3328" t="s">
        <v>7252</v>
      </c>
      <c r="C55" s="3105" t="s">
        <v>7496</v>
      </c>
      <c r="D55" s="3106" t="s">
        <v>7544</v>
      </c>
      <c r="E55" s="3326">
        <f>BS!G19</f>
        <v>22601423.91</v>
      </c>
      <c r="F55" s="3323"/>
      <c r="G55" s="3305"/>
      <c r="H55" s="3305"/>
      <c r="I55" s="3305"/>
      <c r="J55" s="3305"/>
    </row>
    <row r="56" spans="1:10" ht="21.95" customHeight="1">
      <c r="A56" s="3330"/>
      <c r="B56" s="3328" t="s">
        <v>7253</v>
      </c>
      <c r="C56" s="3105" t="s">
        <v>7494</v>
      </c>
      <c r="D56" s="3106" t="s">
        <v>7544</v>
      </c>
      <c r="E56" s="3326">
        <f>BS!H19</f>
        <v>33104385.260000002</v>
      </c>
      <c r="F56" s="3323"/>
      <c r="G56" s="3305"/>
      <c r="H56" s="3305"/>
      <c r="I56" s="3305"/>
      <c r="J56" s="3305"/>
    </row>
    <row r="57" spans="1:10" ht="21.95" customHeight="1">
      <c r="A57" s="3330"/>
      <c r="B57" s="3328" t="s">
        <v>7253</v>
      </c>
      <c r="C57" s="3105" t="s">
        <v>7494</v>
      </c>
      <c r="D57" s="3106" t="s">
        <v>7545</v>
      </c>
      <c r="E57" s="3336">
        <f>减值表!D16</f>
        <v>2849407.98</v>
      </c>
      <c r="F57" s="3305"/>
      <c r="G57" s="3305"/>
      <c r="H57" s="3305"/>
      <c r="I57" s="3305"/>
      <c r="J57" s="3305"/>
    </row>
    <row r="58" spans="1:10" ht="21.95" customHeight="1">
      <c r="A58" s="3330"/>
      <c r="B58" s="3328" t="s">
        <v>7252</v>
      </c>
      <c r="C58" s="3105" t="s">
        <v>7496</v>
      </c>
      <c r="D58" s="3106" t="s">
        <v>7545</v>
      </c>
      <c r="E58" s="3336">
        <f>减值表!H16</f>
        <v>362166.94</v>
      </c>
      <c r="F58" s="3368"/>
      <c r="G58" s="3305"/>
      <c r="H58" s="3305"/>
      <c r="I58" s="3305"/>
      <c r="J58" s="3305"/>
    </row>
    <row r="59" spans="1:10" ht="21.95" customHeight="1">
      <c r="A59" s="3330"/>
      <c r="B59" s="3328" t="s">
        <v>7252</v>
      </c>
      <c r="C59" s="3105" t="s">
        <v>7496</v>
      </c>
      <c r="D59" s="3106" t="s">
        <v>7546</v>
      </c>
      <c r="E59" s="3326">
        <f>Notes!H6193</f>
        <v>1491719.74</v>
      </c>
      <c r="F59" s="3305"/>
      <c r="G59" s="3305"/>
      <c r="H59" s="3305"/>
      <c r="I59" s="3305"/>
      <c r="J59" s="3305"/>
    </row>
    <row r="60" spans="1:10" ht="22.5" customHeight="1">
      <c r="A60" s="3330"/>
      <c r="B60" s="3328" t="s">
        <v>7253</v>
      </c>
      <c r="C60" s="3105" t="s">
        <v>7494</v>
      </c>
      <c r="D60" s="3106" t="s">
        <v>7546</v>
      </c>
      <c r="E60" s="3326">
        <f>Notes!I6193</f>
        <v>2419762.12</v>
      </c>
      <c r="F60" s="3305"/>
      <c r="G60" s="3305"/>
      <c r="H60" s="3305"/>
      <c r="I60" s="3305"/>
      <c r="J60" s="3305"/>
    </row>
    <row r="61" spans="1:10" ht="21.95" customHeight="1">
      <c r="A61" s="3330"/>
      <c r="B61" s="3328" t="s">
        <v>7252</v>
      </c>
      <c r="C61" s="3105" t="s">
        <v>7494</v>
      </c>
      <c r="D61" s="3106" t="s">
        <v>7547</v>
      </c>
      <c r="E61" s="3326">
        <f>BS!L12</f>
        <v>42762500</v>
      </c>
      <c r="F61" s="3305"/>
      <c r="G61" s="3305"/>
      <c r="H61" s="3305"/>
      <c r="I61" s="3305"/>
      <c r="J61" s="3305"/>
    </row>
    <row r="62" spans="1:10" ht="21.95" customHeight="1">
      <c r="A62" s="3330"/>
      <c r="B62" s="3328" t="s">
        <v>7253</v>
      </c>
      <c r="C62" s="3105" t="s">
        <v>7548</v>
      </c>
      <c r="D62" s="3106" t="s">
        <v>7549</v>
      </c>
      <c r="E62" s="3326"/>
      <c r="F62" s="3305"/>
      <c r="G62" s="3305"/>
      <c r="H62" s="3305"/>
      <c r="I62" s="3305"/>
      <c r="J62" s="3305"/>
    </row>
    <row r="63" spans="1:10" ht="21.95" customHeight="1">
      <c r="A63" s="3330"/>
      <c r="B63" s="3328" t="s">
        <v>7253</v>
      </c>
      <c r="C63" s="3105" t="s">
        <v>7492</v>
      </c>
      <c r="D63" s="3106" t="s">
        <v>7756</v>
      </c>
      <c r="E63" s="3326">
        <f>Notes!I15</f>
        <v>43726400</v>
      </c>
      <c r="F63" s="3305"/>
      <c r="G63" s="3305"/>
      <c r="H63" s="3305"/>
      <c r="I63" s="3305"/>
      <c r="J63" s="3305"/>
    </row>
    <row r="64" spans="1:10" ht="21.95" customHeight="1">
      <c r="A64" s="3330"/>
      <c r="B64" s="3328" t="s">
        <v>7253</v>
      </c>
      <c r="C64" s="3105" t="s">
        <v>7550</v>
      </c>
      <c r="D64" s="3106" t="s">
        <v>7551</v>
      </c>
      <c r="E64" s="3326">
        <f>H17</f>
        <v>66399792.149999999</v>
      </c>
      <c r="F64" s="3305"/>
      <c r="G64" s="3305"/>
      <c r="H64" s="3305"/>
      <c r="I64" s="3305"/>
      <c r="J64" s="3305"/>
    </row>
    <row r="65" spans="1:10" ht="21.95" customHeight="1">
      <c r="A65" s="3330"/>
      <c r="B65" s="3328" t="s">
        <v>7252</v>
      </c>
      <c r="C65" s="3105" t="s">
        <v>7552</v>
      </c>
      <c r="D65" s="3106" t="s">
        <v>7553</v>
      </c>
      <c r="E65" s="3326">
        <f>Notes!I6219</f>
        <v>35943625.149999999</v>
      </c>
      <c r="F65" s="3323"/>
      <c r="G65" s="3305"/>
      <c r="H65" s="3305"/>
      <c r="I65" s="3305"/>
      <c r="J65" s="3305"/>
    </row>
    <row r="66" spans="1:10" ht="21.95" customHeight="1">
      <c r="A66" s="3330"/>
      <c r="B66" s="3328" t="s">
        <v>7253</v>
      </c>
      <c r="C66" s="3105" t="s">
        <v>7548</v>
      </c>
      <c r="D66" s="3106" t="s">
        <v>7553</v>
      </c>
      <c r="E66" s="3326">
        <f>Notes!H6219</f>
        <v>60014311.829999998</v>
      </c>
      <c r="F66" s="3323"/>
      <c r="G66" s="3305"/>
      <c r="H66" s="3305"/>
      <c r="I66" s="3305"/>
      <c r="J66" s="3305"/>
    </row>
    <row r="67" spans="1:10" ht="21.95" customHeight="1">
      <c r="A67" s="3330"/>
      <c r="B67" s="3105" t="s">
        <v>7554</v>
      </c>
      <c r="C67" s="3105" t="s">
        <v>7548</v>
      </c>
      <c r="D67" s="3106" t="s">
        <v>7555</v>
      </c>
      <c r="E67" s="3326"/>
      <c r="F67" s="3305"/>
      <c r="G67" s="3305"/>
      <c r="H67" s="3305"/>
      <c r="I67" s="3305"/>
      <c r="J67" s="3305"/>
    </row>
    <row r="68" spans="1:10" ht="21.95" customHeight="1">
      <c r="A68" s="3330"/>
      <c r="B68" s="3105" t="s">
        <v>7556</v>
      </c>
      <c r="C68" s="3105" t="s">
        <v>7533</v>
      </c>
      <c r="D68" s="3106" t="s">
        <v>7557</v>
      </c>
      <c r="E68" s="3326"/>
      <c r="F68" s="3305"/>
      <c r="G68" s="3305"/>
      <c r="H68" s="3305"/>
      <c r="I68" s="3305"/>
      <c r="J68" s="3305"/>
    </row>
    <row r="69" spans="1:10" ht="21.95" customHeight="1">
      <c r="A69" s="3330"/>
      <c r="B69" s="3105" t="s">
        <v>7556</v>
      </c>
      <c r="C69" s="3105" t="s">
        <v>7533</v>
      </c>
      <c r="D69" s="3106" t="s">
        <v>7558</v>
      </c>
      <c r="E69" s="3331"/>
      <c r="F69" s="3305"/>
      <c r="G69" s="3305"/>
      <c r="H69" s="3305"/>
      <c r="I69" s="3305"/>
      <c r="J69" s="3305"/>
    </row>
    <row r="70" spans="1:10" ht="21.95" customHeight="1">
      <c r="A70" s="3330"/>
      <c r="B70" s="3105" t="s">
        <v>7554</v>
      </c>
      <c r="C70" s="3105" t="s">
        <v>7535</v>
      </c>
      <c r="D70" s="3106" t="s">
        <v>7558</v>
      </c>
      <c r="E70" s="3331"/>
      <c r="F70" s="3305"/>
      <c r="G70" s="3305"/>
      <c r="H70" s="3305"/>
      <c r="I70" s="3305"/>
      <c r="J70" s="3305"/>
    </row>
    <row r="71" spans="1:10" ht="21.95" customHeight="1">
      <c r="A71" s="3330"/>
      <c r="B71" s="3105" t="s">
        <v>7556</v>
      </c>
      <c r="C71" s="3105" t="s">
        <v>7535</v>
      </c>
      <c r="D71" s="3106" t="s">
        <v>7559</v>
      </c>
      <c r="E71" s="3331">
        <f>Notes!H3449</f>
        <v>2916420.95</v>
      </c>
      <c r="F71" s="3305"/>
      <c r="G71" s="3305"/>
      <c r="H71" s="3305"/>
      <c r="I71" s="3305"/>
      <c r="J71" s="3305"/>
    </row>
    <row r="72" spans="1:10" ht="21.95" customHeight="1">
      <c r="A72" s="3330"/>
      <c r="B72" s="3105" t="s">
        <v>7560</v>
      </c>
      <c r="C72" s="3105" t="s">
        <v>7533</v>
      </c>
      <c r="D72" s="3106" t="s">
        <v>7559</v>
      </c>
      <c r="E72" s="3331">
        <f>Notes!I3449-900000</f>
        <v>9126549.8100000005</v>
      </c>
      <c r="F72" s="3323"/>
      <c r="G72" s="3305"/>
      <c r="H72" s="3305"/>
      <c r="I72" s="3305"/>
      <c r="J72" s="3305"/>
    </row>
    <row r="73" spans="1:10" ht="21.95" customHeight="1">
      <c r="A73" s="3330"/>
      <c r="B73" s="3105" t="s">
        <v>7560</v>
      </c>
      <c r="C73" s="3105" t="s">
        <v>7535</v>
      </c>
      <c r="D73" s="3106" t="s">
        <v>7561</v>
      </c>
      <c r="E73" s="3331">
        <f>BS!K45</f>
        <v>4545209.38</v>
      </c>
      <c r="F73" s="3323"/>
      <c r="G73" s="3305"/>
      <c r="H73" s="3305"/>
      <c r="I73" s="3305"/>
      <c r="J73" s="3305"/>
    </row>
    <row r="74" spans="1:10" ht="21.95" customHeight="1">
      <c r="A74" s="3330"/>
      <c r="B74" s="3105" t="s">
        <v>7562</v>
      </c>
      <c r="C74" s="3105" t="s">
        <v>7258</v>
      </c>
      <c r="D74" s="3106" t="s">
        <v>627</v>
      </c>
      <c r="E74" s="3331">
        <f>BS!L45</f>
        <v>8378246.8099999996</v>
      </c>
      <c r="F74" s="3323"/>
      <c r="G74" s="3305"/>
      <c r="H74" s="3305"/>
      <c r="I74" s="3305"/>
      <c r="J74" s="3305"/>
    </row>
    <row r="75" spans="1:10" ht="21.95" customHeight="1">
      <c r="A75" s="3330"/>
      <c r="B75" s="3105" t="s">
        <v>7562</v>
      </c>
      <c r="C75" s="3105" t="s">
        <v>7521</v>
      </c>
      <c r="D75" s="3106" t="s">
        <v>7563</v>
      </c>
      <c r="E75" s="3331"/>
      <c r="F75" s="3305"/>
      <c r="G75" s="3305"/>
      <c r="H75" s="3305"/>
      <c r="I75" s="3305"/>
      <c r="J75" s="3305"/>
    </row>
    <row r="76" spans="1:10" ht="21.95" customHeight="1">
      <c r="A76" s="3330"/>
      <c r="B76" s="3328" t="s">
        <v>7253</v>
      </c>
      <c r="C76" s="3105" t="s">
        <v>7521</v>
      </c>
      <c r="D76" s="3106" t="s">
        <v>7564</v>
      </c>
      <c r="E76" s="3331">
        <v>10372577.880000001</v>
      </c>
      <c r="H76" s="3305"/>
      <c r="I76" s="3305"/>
      <c r="J76" s="3305"/>
    </row>
    <row r="77" spans="1:10" ht="21.95" customHeight="1">
      <c r="A77" s="3330"/>
      <c r="B77" s="3328" t="s">
        <v>7253</v>
      </c>
      <c r="C77" s="3105" t="s">
        <v>7521</v>
      </c>
      <c r="D77" s="3106" t="s">
        <v>7565</v>
      </c>
      <c r="E77" s="3326">
        <v>8097310.8200000003</v>
      </c>
      <c r="H77" s="3305"/>
      <c r="I77" s="3305"/>
      <c r="J77" s="3305"/>
    </row>
    <row r="78" spans="1:10" ht="21.95" customHeight="1">
      <c r="A78" s="3330"/>
      <c r="B78" s="3328" t="s">
        <v>7253</v>
      </c>
      <c r="C78" s="3105" t="s">
        <v>7259</v>
      </c>
      <c r="D78" s="3106" t="s">
        <v>7260</v>
      </c>
      <c r="E78" s="3331"/>
      <c r="H78" s="3305"/>
      <c r="I78" s="3305"/>
      <c r="J78" s="3305"/>
    </row>
    <row r="79" spans="1:10" ht="21.95" customHeight="1">
      <c r="A79" s="3330"/>
      <c r="B79" s="3328" t="s">
        <v>7253</v>
      </c>
      <c r="C79" s="3105" t="s">
        <v>7550</v>
      </c>
      <c r="D79" s="3106" t="s">
        <v>7566</v>
      </c>
      <c r="E79" s="3331">
        <v>17327319.59</v>
      </c>
      <c r="H79" s="3305"/>
      <c r="I79" s="3305"/>
      <c r="J79" s="3305"/>
    </row>
    <row r="80" spans="1:10" ht="21.95" customHeight="1">
      <c r="A80" s="3330"/>
      <c r="B80" s="3328" t="s">
        <v>7253</v>
      </c>
      <c r="C80" s="3105" t="s">
        <v>7492</v>
      </c>
      <c r="D80" s="3106" t="s">
        <v>7829</v>
      </c>
      <c r="E80" s="3331">
        <v>-2019072.39</v>
      </c>
      <c r="H80" s="3305"/>
      <c r="I80" s="3305"/>
      <c r="J80" s="3305"/>
    </row>
    <row r="81" spans="1:10" ht="21.95" customHeight="1">
      <c r="A81" s="3330"/>
      <c r="B81" s="3328" t="s">
        <v>7253</v>
      </c>
      <c r="C81" s="3105" t="s">
        <v>7550</v>
      </c>
      <c r="D81" s="3106" t="s">
        <v>7567</v>
      </c>
      <c r="E81" s="3336">
        <v>-210454.9</v>
      </c>
      <c r="F81" s="3338">
        <f>E58-E57-E81</f>
        <v>-2276786.14</v>
      </c>
      <c r="H81" s="3305"/>
      <c r="I81" s="3305"/>
      <c r="J81" s="3305"/>
    </row>
    <row r="82" spans="1:10" ht="21.95" customHeight="1">
      <c r="A82" s="3339" t="s">
        <v>2244</v>
      </c>
      <c r="B82" s="3340" t="s">
        <v>7568</v>
      </c>
      <c r="C82" s="3340"/>
      <c r="D82" s="3341"/>
      <c r="E82" s="3342">
        <f>SUMIF(B52:B81,"加",E52:E81)-SUMIF(B52:B81,"减",E52:E81)</f>
        <v>80109210.730000004</v>
      </c>
      <c r="H82" s="3305"/>
      <c r="I82" s="3305"/>
      <c r="J82" s="3305"/>
    </row>
    <row r="83" spans="1:10" ht="21.95" customHeight="1">
      <c r="A83" s="3327" t="s">
        <v>7569</v>
      </c>
      <c r="B83" s="3328" t="s">
        <v>7252</v>
      </c>
      <c r="C83" s="3105" t="s">
        <v>7550</v>
      </c>
      <c r="D83" s="3106" t="s">
        <v>7570</v>
      </c>
      <c r="E83" s="3326">
        <f>E77</f>
        <v>8097310.8200000003</v>
      </c>
      <c r="G83" s="3400" t="s">
        <v>7769</v>
      </c>
      <c r="H83" s="3337" t="s">
        <v>7770</v>
      </c>
      <c r="I83" s="3399">
        <v>15533247.050000001</v>
      </c>
      <c r="J83" s="3305"/>
    </row>
    <row r="84" spans="1:10" ht="21.95" customHeight="1">
      <c r="A84" s="3330"/>
      <c r="B84" s="3328" t="s">
        <v>7252</v>
      </c>
      <c r="C84" s="3105" t="s">
        <v>7550</v>
      </c>
      <c r="D84" s="3106" t="s">
        <v>7571</v>
      </c>
      <c r="E84" s="3326">
        <f>E149</f>
        <v>777265.25</v>
      </c>
      <c r="H84" s="3337" t="s">
        <v>7771</v>
      </c>
      <c r="I84" s="3399">
        <v>5960472.0099999998</v>
      </c>
      <c r="J84" s="3305"/>
    </row>
    <row r="85" spans="1:10" ht="21.95" customHeight="1">
      <c r="A85" s="3330"/>
      <c r="B85" s="3328" t="s">
        <v>7252</v>
      </c>
      <c r="C85" s="3105" t="s">
        <v>7572</v>
      </c>
      <c r="D85" s="3106" t="s">
        <v>7573</v>
      </c>
      <c r="E85" s="3326">
        <f>E150</f>
        <v>3945451.62</v>
      </c>
      <c r="H85" s="3337" t="s">
        <v>7772</v>
      </c>
      <c r="I85" s="3305">
        <v>69</v>
      </c>
      <c r="J85" s="3305"/>
    </row>
    <row r="86" spans="1:10" ht="21.95" customHeight="1">
      <c r="A86" s="3330"/>
      <c r="B86" s="3328" t="s">
        <v>7252</v>
      </c>
      <c r="C86" s="3105" t="s">
        <v>7572</v>
      </c>
      <c r="D86" s="3106" t="s">
        <v>7574</v>
      </c>
      <c r="E86" s="3326">
        <f>E76</f>
        <v>10372577.880000001</v>
      </c>
      <c r="G86" s="3349" t="s">
        <v>7773</v>
      </c>
      <c r="H86" s="3305"/>
      <c r="I86" s="3399">
        <v>7645720.46</v>
      </c>
      <c r="J86" s="3305"/>
    </row>
    <row r="87" spans="1:10" ht="21.95" customHeight="1">
      <c r="A87" s="3330"/>
      <c r="B87" s="3328" t="s">
        <v>7252</v>
      </c>
      <c r="C87" s="3105" t="s">
        <v>7552</v>
      </c>
      <c r="D87" s="3106" t="s">
        <v>7575</v>
      </c>
      <c r="E87" s="3326">
        <f>Notes!I6221</f>
        <v>6936778.7800000003</v>
      </c>
      <c r="F87" s="3350"/>
      <c r="G87" s="3349" t="s">
        <v>7774</v>
      </c>
      <c r="H87" s="3305"/>
      <c r="I87" s="3399">
        <v>796240.69</v>
      </c>
      <c r="J87" s="3305"/>
    </row>
    <row r="88" spans="1:10" ht="21.95" customHeight="1">
      <c r="A88" s="3330"/>
      <c r="B88" s="3105" t="s">
        <v>7560</v>
      </c>
      <c r="C88" s="3105" t="s">
        <v>7548</v>
      </c>
      <c r="D88" s="3106" t="s">
        <v>7575</v>
      </c>
      <c r="E88" s="3326">
        <f>Notes!H6221</f>
        <v>6350911.7800000003</v>
      </c>
      <c r="F88" s="3338">
        <f>E83+E84+E85+E86-[46]Notes!I2607</f>
        <v>-9582939.7100000009</v>
      </c>
      <c r="G88" s="3349" t="s">
        <v>7775</v>
      </c>
      <c r="H88" s="3305"/>
      <c r="I88" s="3399">
        <v>934117.81</v>
      </c>
      <c r="J88" s="3305"/>
    </row>
    <row r="89" spans="1:10" ht="21.95" customHeight="1">
      <c r="A89" s="3330"/>
      <c r="B89" s="3346"/>
      <c r="C89" s="3346"/>
      <c r="D89" s="3347" t="s">
        <v>7576</v>
      </c>
      <c r="E89" s="3348"/>
      <c r="H89" s="3305"/>
      <c r="I89" s="3305"/>
      <c r="J89" s="3305"/>
    </row>
    <row r="90" spans="1:10" ht="21.95" customHeight="1">
      <c r="A90" s="3339" t="s">
        <v>104</v>
      </c>
      <c r="B90" s="3340" t="s">
        <v>7568</v>
      </c>
      <c r="C90" s="3340"/>
      <c r="D90" s="3341"/>
      <c r="E90" s="3342">
        <f>SUMIF(B83:B88,"加",E83:E88)-SUMIF(B83:B88,"减",E83:E88)-E89</f>
        <v>23778472.57</v>
      </c>
      <c r="H90" s="3323"/>
      <c r="I90" s="3305"/>
      <c r="J90" s="3305"/>
    </row>
    <row r="91" spans="1:10" ht="21.95" customHeight="1">
      <c r="A91" s="3327" t="s">
        <v>7577</v>
      </c>
      <c r="B91" s="3328" t="s">
        <v>7252</v>
      </c>
      <c r="C91" s="3105" t="s">
        <v>7550</v>
      </c>
      <c r="D91" s="3106" t="s">
        <v>7578</v>
      </c>
      <c r="E91" s="3329">
        <f>IS!E9</f>
        <v>3777403.45</v>
      </c>
      <c r="G91" s="3350"/>
      <c r="H91" s="3305"/>
      <c r="I91" s="3305"/>
      <c r="J91" s="3305"/>
    </row>
    <row r="92" spans="1:10" ht="21.95" customHeight="1">
      <c r="A92" s="3330"/>
      <c r="B92" s="3351" t="s">
        <v>7562</v>
      </c>
      <c r="C92" s="3105" t="s">
        <v>7579</v>
      </c>
      <c r="D92" s="3106" t="s">
        <v>7580</v>
      </c>
      <c r="E92" s="3326">
        <f>(E47-E45)*-1</f>
        <v>0</v>
      </c>
      <c r="G92" s="3350"/>
      <c r="H92" s="3305"/>
      <c r="I92" s="3305"/>
      <c r="J92" s="3305"/>
    </row>
    <row r="93" spans="1:10" ht="21.95" customHeight="1">
      <c r="A93" s="3330"/>
      <c r="B93" s="3328" t="s">
        <v>7252</v>
      </c>
      <c r="C93" s="3105" t="s">
        <v>7550</v>
      </c>
      <c r="D93" s="3106" t="s">
        <v>7581</v>
      </c>
      <c r="E93" s="3326">
        <f>E164</f>
        <v>0</v>
      </c>
      <c r="H93" s="3305"/>
      <c r="I93" s="3305"/>
      <c r="J93" s="3305"/>
    </row>
    <row r="94" spans="1:10" ht="21.95" customHeight="1">
      <c r="A94" s="3330"/>
      <c r="B94" s="3328" t="s">
        <v>7252</v>
      </c>
      <c r="C94" s="3105" t="s">
        <v>7550</v>
      </c>
      <c r="D94" s="3106" t="s">
        <v>867</v>
      </c>
      <c r="E94" s="3329">
        <f>IS!E29</f>
        <v>-458474.61</v>
      </c>
      <c r="H94" s="3305"/>
      <c r="I94" s="3305"/>
      <c r="J94" s="3305"/>
    </row>
    <row r="95" spans="1:10" ht="21.95" customHeight="1">
      <c r="A95" s="3330"/>
      <c r="B95" s="3328" t="s">
        <v>7252</v>
      </c>
      <c r="C95" s="3105" t="s">
        <v>7550</v>
      </c>
      <c r="D95" s="3106" t="s">
        <v>7582</v>
      </c>
      <c r="E95" s="3326">
        <f>E9</f>
        <v>27308332.739999998</v>
      </c>
      <c r="H95" s="3305"/>
      <c r="I95" s="3305"/>
      <c r="J95" s="3305"/>
    </row>
    <row r="96" spans="1:10" ht="21.95" customHeight="1">
      <c r="A96" s="3330"/>
      <c r="B96" s="3328" t="s">
        <v>7252</v>
      </c>
      <c r="C96" s="3105" t="s">
        <v>7583</v>
      </c>
      <c r="D96" s="3106" t="s">
        <v>7584</v>
      </c>
      <c r="E96" s="3326">
        <f>Notes!I6222</f>
        <v>7888725.9500000002</v>
      </c>
      <c r="F96" s="3350"/>
      <c r="J96" s="3305"/>
    </row>
    <row r="97" spans="1:10" ht="21.95" customHeight="1">
      <c r="A97" s="3330"/>
      <c r="B97" s="3328" t="s">
        <v>7252</v>
      </c>
      <c r="C97" s="3105" t="s">
        <v>7583</v>
      </c>
      <c r="D97" s="3106" t="s">
        <v>7585</v>
      </c>
      <c r="E97" s="3326"/>
      <c r="G97" s="3350"/>
      <c r="J97" s="3305"/>
    </row>
    <row r="98" spans="1:10" ht="21.95" customHeight="1">
      <c r="A98" s="3330"/>
      <c r="B98" s="3328" t="s">
        <v>7252</v>
      </c>
      <c r="C98" s="3105" t="s">
        <v>7586</v>
      </c>
      <c r="D98" s="3106" t="s">
        <v>7587</v>
      </c>
      <c r="E98" s="3326">
        <f>BS!G42</f>
        <v>16879550.879999999</v>
      </c>
      <c r="F98" s="3350"/>
      <c r="J98" s="3305"/>
    </row>
    <row r="99" spans="1:10" ht="21.95" customHeight="1">
      <c r="A99" s="3330"/>
      <c r="B99" s="3105" t="s">
        <v>7562</v>
      </c>
      <c r="C99" s="3105" t="s">
        <v>7572</v>
      </c>
      <c r="D99" s="3106" t="s">
        <v>7588</v>
      </c>
      <c r="E99" s="3344">
        <f>E22</f>
        <v>0</v>
      </c>
      <c r="J99" s="3305"/>
    </row>
    <row r="100" spans="1:10" ht="21.95" customHeight="1">
      <c r="A100" s="3330"/>
      <c r="B100" s="3328" t="s">
        <v>7253</v>
      </c>
      <c r="C100" s="3105" t="s">
        <v>7550</v>
      </c>
      <c r="D100" s="3106" t="s">
        <v>7589</v>
      </c>
      <c r="E100" s="3326">
        <f>E54</f>
        <v>17370128.059999999</v>
      </c>
      <c r="I100" s="3350"/>
      <c r="J100" s="3305"/>
    </row>
    <row r="101" spans="1:10" ht="21.95" customHeight="1">
      <c r="A101" s="3330"/>
      <c r="B101" s="3105" t="s">
        <v>7562</v>
      </c>
      <c r="C101" s="3105" t="s">
        <v>7548</v>
      </c>
      <c r="D101" s="3106" t="s">
        <v>7590</v>
      </c>
      <c r="E101" s="3331"/>
      <c r="J101" s="3305"/>
    </row>
    <row r="102" spans="1:10" ht="21.95" customHeight="1">
      <c r="A102" s="3330"/>
      <c r="B102" s="3328" t="s">
        <v>7253</v>
      </c>
      <c r="C102" s="3105" t="s">
        <v>7552</v>
      </c>
      <c r="D102" s="3106" t="s">
        <v>7590</v>
      </c>
      <c r="E102" s="3331"/>
      <c r="J102" s="3305"/>
    </row>
    <row r="103" spans="1:10" ht="21.95" customHeight="1">
      <c r="A103" s="3330"/>
      <c r="B103" s="3328" t="s">
        <v>7253</v>
      </c>
      <c r="C103" s="3105" t="s">
        <v>7548</v>
      </c>
      <c r="D103" s="3106" t="s">
        <v>7591</v>
      </c>
      <c r="E103" s="3326"/>
      <c r="J103" s="3305"/>
    </row>
    <row r="104" spans="1:10" ht="21.95" customHeight="1">
      <c r="A104" s="3330"/>
      <c r="B104" s="3328" t="s">
        <v>7253</v>
      </c>
      <c r="C104" s="3105" t="s">
        <v>7552</v>
      </c>
      <c r="D104" s="3106" t="s">
        <v>7592</v>
      </c>
      <c r="E104" s="3326">
        <f>BS!H42</f>
        <v>15732218.73</v>
      </c>
      <c r="F104" s="3350"/>
      <c r="G104" s="3352"/>
      <c r="J104" s="3305"/>
    </row>
    <row r="105" spans="1:10" ht="21.95" customHeight="1">
      <c r="A105" s="3330"/>
      <c r="B105" s="3328" t="s">
        <v>7253</v>
      </c>
      <c r="C105" s="3105" t="s">
        <v>7548</v>
      </c>
      <c r="D105" s="3106" t="s">
        <v>7593</v>
      </c>
      <c r="E105" s="3326">
        <f>Notes!H6222</f>
        <v>4883645.8</v>
      </c>
      <c r="F105" s="3350"/>
      <c r="G105" s="3352"/>
      <c r="J105" s="3305"/>
    </row>
    <row r="106" spans="1:10" ht="21.95" customHeight="1">
      <c r="A106" s="3330"/>
      <c r="B106" s="3328" t="s">
        <v>7253</v>
      </c>
      <c r="C106" s="3346"/>
      <c r="D106" s="3347"/>
      <c r="E106" s="3348"/>
      <c r="G106" s="3352"/>
      <c r="J106" s="3305"/>
    </row>
    <row r="107" spans="1:10" ht="21.95" customHeight="1">
      <c r="A107" s="3339" t="s">
        <v>120</v>
      </c>
      <c r="B107" s="3340" t="s">
        <v>7568</v>
      </c>
      <c r="C107" s="3340"/>
      <c r="D107" s="3341"/>
      <c r="E107" s="3342">
        <f>SUMIF(B91:B105,"加",E91:E105)-SUMIF(B91:B105,"减",E91:E105)-E106</f>
        <v>17409545.82</v>
      </c>
      <c r="J107" s="3305"/>
    </row>
    <row r="108" spans="1:10" ht="21.95" customHeight="1">
      <c r="A108" s="3327" t="s">
        <v>7594</v>
      </c>
      <c r="B108" s="3328" t="s">
        <v>7252</v>
      </c>
      <c r="C108" s="3105" t="s">
        <v>7550</v>
      </c>
      <c r="D108" s="3106" t="s">
        <v>7566</v>
      </c>
      <c r="E108" s="3326">
        <f>E79</f>
        <v>17327319.59</v>
      </c>
      <c r="J108" s="3305"/>
    </row>
    <row r="109" spans="1:10" ht="21.95" customHeight="1">
      <c r="A109" s="3330"/>
      <c r="B109" s="3351" t="s">
        <v>7848</v>
      </c>
      <c r="C109" s="3105" t="s">
        <v>7542</v>
      </c>
      <c r="D109" s="3106" t="s">
        <v>7847</v>
      </c>
      <c r="E109" s="3329">
        <f>E53</f>
        <v>6974021.6100000003</v>
      </c>
      <c r="F109" s="3305"/>
      <c r="G109" s="3305"/>
      <c r="H109" s="3305"/>
      <c r="I109" s="3305"/>
      <c r="J109" s="3305"/>
    </row>
    <row r="110" spans="1:10" ht="21.95" customHeight="1">
      <c r="A110" s="3330"/>
      <c r="B110" s="3328" t="s">
        <v>7252</v>
      </c>
      <c r="C110" s="3105" t="s">
        <v>7259</v>
      </c>
      <c r="D110" s="3106" t="s">
        <v>7260</v>
      </c>
      <c r="E110" s="3326">
        <f>E78</f>
        <v>0</v>
      </c>
      <c r="J110" s="3305"/>
    </row>
    <row r="111" spans="1:10" ht="21.95" customHeight="1">
      <c r="A111" s="3330"/>
      <c r="B111" s="3328" t="s">
        <v>7252</v>
      </c>
      <c r="C111" s="3105" t="s">
        <v>7572</v>
      </c>
      <c r="D111" s="3106" t="s">
        <v>680</v>
      </c>
      <c r="E111" s="3329">
        <f>IS!E10</f>
        <v>13846726.529999999</v>
      </c>
      <c r="F111" s="3350"/>
      <c r="J111" s="3305"/>
    </row>
    <row r="112" spans="1:10" ht="21.95" customHeight="1">
      <c r="A112" s="3330"/>
      <c r="B112" s="3328" t="s">
        <v>7252</v>
      </c>
      <c r="C112" s="3105" t="s">
        <v>7572</v>
      </c>
      <c r="D112" s="3106" t="s">
        <v>685</v>
      </c>
      <c r="E112" s="3329">
        <f>IS!E11</f>
        <v>18794129.440000001</v>
      </c>
      <c r="F112" s="3350"/>
      <c r="H112" s="3350"/>
      <c r="J112" s="3305"/>
    </row>
    <row r="113" spans="1:10" ht="21.95" customHeight="1">
      <c r="A113" s="3330"/>
      <c r="B113" s="3328" t="s">
        <v>7252</v>
      </c>
      <c r="C113" s="3105" t="s">
        <v>7550</v>
      </c>
      <c r="D113" s="3106" t="s">
        <v>7595</v>
      </c>
      <c r="E113" s="3329">
        <f>IS!E13</f>
        <v>347671.51</v>
      </c>
      <c r="F113" s="3350"/>
      <c r="J113" s="3305"/>
    </row>
    <row r="114" spans="1:10" ht="21.95" customHeight="1">
      <c r="A114" s="3330"/>
      <c r="B114" s="3328" t="s">
        <v>7252</v>
      </c>
      <c r="C114" s="3105" t="s">
        <v>7550</v>
      </c>
      <c r="D114" s="3106" t="s">
        <v>851</v>
      </c>
      <c r="E114" s="3329">
        <f>IS!E27-IS!E24</f>
        <v>-2557938.54</v>
      </c>
      <c r="G114" s="3305"/>
      <c r="H114" s="3305"/>
      <c r="I114" s="3305"/>
      <c r="J114" s="3305"/>
    </row>
    <row r="115" spans="1:10" ht="21.95" customHeight="1">
      <c r="A115" s="3330"/>
      <c r="B115" s="3105" t="s">
        <v>7253</v>
      </c>
      <c r="C115" s="3105" t="s">
        <v>7548</v>
      </c>
      <c r="D115" s="3106" t="s">
        <v>7590</v>
      </c>
      <c r="E115" s="3326">
        <f>E101</f>
        <v>0</v>
      </c>
      <c r="G115" s="3305"/>
      <c r="H115" s="3305"/>
      <c r="I115" s="3305"/>
      <c r="J115" s="3305"/>
    </row>
    <row r="116" spans="1:10" ht="21.95" customHeight="1">
      <c r="A116" s="3330"/>
      <c r="B116" s="3328" t="s">
        <v>7252</v>
      </c>
      <c r="C116" s="3105" t="s">
        <v>7552</v>
      </c>
      <c r="D116" s="3106" t="s">
        <v>7590</v>
      </c>
      <c r="E116" s="3326">
        <f>E102</f>
        <v>0</v>
      </c>
      <c r="G116" s="3305"/>
      <c r="H116" s="3305"/>
      <c r="I116" s="3305"/>
      <c r="J116" s="3305"/>
    </row>
    <row r="117" spans="1:10" ht="21.95" customHeight="1">
      <c r="A117" s="3330"/>
      <c r="B117" s="3105" t="s">
        <v>7562</v>
      </c>
      <c r="C117" s="3105" t="s">
        <v>7548</v>
      </c>
      <c r="D117" s="3106" t="s">
        <v>7596</v>
      </c>
      <c r="E117" s="3326"/>
      <c r="G117" s="3305"/>
      <c r="H117" s="3305"/>
      <c r="I117" s="3305"/>
      <c r="J117" s="3305"/>
    </row>
    <row r="118" spans="1:10" ht="21.95" customHeight="1">
      <c r="A118" s="3330"/>
      <c r="B118" s="3105" t="s">
        <v>7560</v>
      </c>
      <c r="C118" s="3105" t="s">
        <v>7533</v>
      </c>
      <c r="D118" s="3106" t="s">
        <v>7597</v>
      </c>
      <c r="E118" s="3326"/>
      <c r="G118" s="3305"/>
      <c r="H118" s="3305"/>
      <c r="I118" s="3305"/>
      <c r="J118" s="3305"/>
    </row>
    <row r="119" spans="1:10" ht="21.95" customHeight="1">
      <c r="A119" s="3330"/>
      <c r="B119" s="3328" t="s">
        <v>7252</v>
      </c>
      <c r="C119" s="3105" t="s">
        <v>7535</v>
      </c>
      <c r="D119" s="3106" t="s">
        <v>7598</v>
      </c>
      <c r="E119" s="3326">
        <f>Notes!H6194</f>
        <v>8760929.7400000002</v>
      </c>
      <c r="F119" s="3350"/>
      <c r="G119" s="3305"/>
      <c r="H119" s="3305"/>
      <c r="I119" s="3305"/>
      <c r="J119" s="3305"/>
    </row>
    <row r="120" spans="1:10" ht="21.95" customHeight="1">
      <c r="A120" s="3330"/>
      <c r="B120" s="3328" t="s">
        <v>7253</v>
      </c>
      <c r="C120" s="3105" t="s">
        <v>7552</v>
      </c>
      <c r="D120" s="3106" t="s">
        <v>7599</v>
      </c>
      <c r="E120" s="3326">
        <f>Notes!I6194</f>
        <v>1187767</v>
      </c>
      <c r="F120" s="3350"/>
      <c r="G120" s="3305"/>
      <c r="H120" s="3305"/>
      <c r="I120" s="3305"/>
      <c r="J120" s="3305"/>
    </row>
    <row r="121" spans="1:10" ht="21.95" customHeight="1">
      <c r="A121" s="3330"/>
      <c r="B121" s="3328" t="s">
        <v>7252</v>
      </c>
      <c r="C121" s="3105" t="s">
        <v>7548</v>
      </c>
      <c r="D121" s="3106" t="s">
        <v>7600</v>
      </c>
      <c r="E121" s="3336">
        <f>减值表!H13</f>
        <v>6350342.7300000004</v>
      </c>
      <c r="F121" s="3338">
        <f>E121-E122</f>
        <v>254177.36</v>
      </c>
      <c r="G121" s="3305"/>
      <c r="H121" s="3305"/>
      <c r="I121" s="3305"/>
      <c r="J121" s="3305"/>
    </row>
    <row r="122" spans="1:10" ht="21.95" customHeight="1">
      <c r="A122" s="3330"/>
      <c r="B122" s="3328" t="s">
        <v>7253</v>
      </c>
      <c r="C122" s="3105" t="s">
        <v>7583</v>
      </c>
      <c r="D122" s="3106" t="s">
        <v>7601</v>
      </c>
      <c r="E122" s="3336">
        <f>减值表!D13</f>
        <v>6096165.3700000001</v>
      </c>
      <c r="F122" s="3338"/>
      <c r="G122" s="3305"/>
      <c r="H122" s="3305"/>
      <c r="I122" s="3305"/>
      <c r="J122" s="3305"/>
    </row>
    <row r="123" spans="1:10" ht="21.95" customHeight="1">
      <c r="A123" s="3330"/>
      <c r="B123" s="3328" t="s">
        <v>7252</v>
      </c>
      <c r="C123" s="3105" t="s">
        <v>7548</v>
      </c>
      <c r="D123" s="3106" t="s">
        <v>7555</v>
      </c>
      <c r="E123" s="3326">
        <f>E67</f>
        <v>0</v>
      </c>
      <c r="G123" s="3305"/>
      <c r="H123" s="3305"/>
      <c r="I123" s="3305"/>
      <c r="J123" s="3305"/>
    </row>
    <row r="124" spans="1:10" ht="21.95" customHeight="1">
      <c r="A124" s="3330"/>
      <c r="B124" s="3328" t="s">
        <v>7253</v>
      </c>
      <c r="C124" s="3105" t="s">
        <v>7552</v>
      </c>
      <c r="D124" s="3106" t="s">
        <v>7555</v>
      </c>
      <c r="E124" s="3326">
        <f>E68</f>
        <v>0</v>
      </c>
      <c r="G124" s="3305"/>
      <c r="H124" s="3305"/>
      <c r="I124" s="3305"/>
      <c r="J124" s="3305"/>
    </row>
    <row r="125" spans="1:10" ht="21.95" customHeight="1">
      <c r="A125" s="3330"/>
      <c r="B125" s="3328" t="s">
        <v>7252</v>
      </c>
      <c r="C125" s="3105" t="s">
        <v>7548</v>
      </c>
      <c r="D125" s="3106" t="s">
        <v>7602</v>
      </c>
      <c r="E125" s="3326"/>
      <c r="F125" s="3350"/>
      <c r="G125" s="3305"/>
      <c r="H125" s="3305"/>
      <c r="I125" s="3305"/>
      <c r="J125" s="3305"/>
    </row>
    <row r="126" spans="1:10" ht="21.95" customHeight="1">
      <c r="A126" s="3330"/>
      <c r="B126" s="3328" t="s">
        <v>7253</v>
      </c>
      <c r="C126" s="3105" t="s">
        <v>7552</v>
      </c>
      <c r="D126" s="3106" t="s">
        <v>7602</v>
      </c>
      <c r="E126" s="3326"/>
      <c r="G126" s="3305"/>
      <c r="H126" s="3305"/>
      <c r="I126" s="3305"/>
      <c r="J126" s="3305"/>
    </row>
    <row r="127" spans="1:10" ht="21.95" customHeight="1">
      <c r="A127" s="3330"/>
      <c r="B127" s="3328" t="s">
        <v>7253</v>
      </c>
      <c r="C127" s="3105" t="s">
        <v>7548</v>
      </c>
      <c r="D127" s="3106" t="s">
        <v>7603</v>
      </c>
      <c r="E127" s="3326"/>
      <c r="G127" s="3305"/>
      <c r="H127" s="3305"/>
      <c r="I127" s="3305"/>
      <c r="J127" s="3305"/>
    </row>
    <row r="128" spans="1:10" ht="21.95" customHeight="1">
      <c r="A128" s="3330"/>
      <c r="B128" s="3328" t="s">
        <v>7252</v>
      </c>
      <c r="C128" s="3105" t="s">
        <v>7552</v>
      </c>
      <c r="D128" s="3106" t="s">
        <v>7603</v>
      </c>
      <c r="E128" s="3326"/>
      <c r="G128" s="3305"/>
      <c r="H128" s="3305"/>
      <c r="I128" s="3305"/>
      <c r="J128" s="3305"/>
    </row>
    <row r="129" spans="1:10" ht="21.95" customHeight="1">
      <c r="A129" s="3330"/>
      <c r="B129" s="3328" t="s">
        <v>7253</v>
      </c>
      <c r="C129" s="3105" t="s">
        <v>7548</v>
      </c>
      <c r="D129" s="3106" t="s">
        <v>7604</v>
      </c>
      <c r="E129" s="3326"/>
      <c r="F129" s="3349" t="s">
        <v>7605</v>
      </c>
      <c r="G129" s="3305"/>
      <c r="H129" s="3305"/>
      <c r="I129" s="3305"/>
      <c r="J129" s="3305"/>
    </row>
    <row r="130" spans="1:10" ht="21.95" customHeight="1">
      <c r="A130" s="3330"/>
      <c r="B130" s="3328" t="s">
        <v>7252</v>
      </c>
      <c r="C130" s="3105" t="s">
        <v>7552</v>
      </c>
      <c r="D130" s="3106" t="s">
        <v>7604</v>
      </c>
      <c r="E130" s="3326"/>
      <c r="F130" s="3349" t="s">
        <v>7605</v>
      </c>
      <c r="G130" s="3305"/>
      <c r="H130" s="3305"/>
      <c r="I130" s="3305"/>
      <c r="J130" s="3305"/>
    </row>
    <row r="131" spans="1:10" ht="21.95" customHeight="1">
      <c r="A131" s="3330"/>
      <c r="B131" s="3328" t="s">
        <v>7253</v>
      </c>
      <c r="C131" s="3105" t="s">
        <v>7548</v>
      </c>
      <c r="D131" s="3106" t="s">
        <v>7606</v>
      </c>
      <c r="E131" s="3326">
        <f>Notes!H6223</f>
        <v>11058441.74</v>
      </c>
      <c r="F131" s="3350"/>
      <c r="G131" s="3305"/>
      <c r="H131" s="3305"/>
      <c r="I131" s="3305"/>
      <c r="J131" s="3305"/>
    </row>
    <row r="132" spans="1:10" ht="21.95" customHeight="1">
      <c r="A132" s="3330"/>
      <c r="B132" s="3328" t="s">
        <v>7252</v>
      </c>
      <c r="C132" s="3105" t="s">
        <v>7552</v>
      </c>
      <c r="D132" s="3106" t="s">
        <v>7606</v>
      </c>
      <c r="E132" s="3326">
        <f>Notes!I6223</f>
        <v>61340818.75</v>
      </c>
      <c r="F132" s="3350"/>
      <c r="G132" s="3305"/>
      <c r="H132" s="3305"/>
      <c r="I132" s="3305"/>
      <c r="J132" s="3305"/>
    </row>
    <row r="133" spans="1:10" ht="21.95" customHeight="1">
      <c r="A133" s="3330"/>
      <c r="B133" s="3351" t="s">
        <v>7766</v>
      </c>
      <c r="C133" s="3105" t="s">
        <v>7765</v>
      </c>
      <c r="D133" s="3106" t="s">
        <v>7764</v>
      </c>
      <c r="E133" s="3326">
        <v>91500020</v>
      </c>
      <c r="F133" s="3350"/>
      <c r="G133" s="3305"/>
      <c r="H133" s="3305"/>
      <c r="I133" s="3305"/>
      <c r="J133" s="3305"/>
    </row>
    <row r="134" spans="1:10" ht="21.95" customHeight="1">
      <c r="A134" s="3330"/>
      <c r="B134" s="3351" t="s">
        <v>7767</v>
      </c>
      <c r="C134" s="3105" t="s">
        <v>7763</v>
      </c>
      <c r="D134" s="3106" t="s">
        <v>7764</v>
      </c>
      <c r="E134" s="3326">
        <v>44850015</v>
      </c>
      <c r="F134" s="3350"/>
      <c r="G134" s="3305"/>
      <c r="H134" s="3305"/>
      <c r="I134" s="3305"/>
      <c r="J134" s="3305"/>
    </row>
    <row r="135" spans="1:10" ht="21.95" customHeight="1">
      <c r="A135" s="3330"/>
      <c r="B135" s="3328" t="s">
        <v>7253</v>
      </c>
      <c r="C135" s="3105" t="s">
        <v>7586</v>
      </c>
      <c r="D135" s="3106" t="s">
        <v>7607</v>
      </c>
      <c r="E135" s="3326"/>
      <c r="G135" s="3305"/>
      <c r="H135" s="3305"/>
      <c r="I135" s="3305"/>
      <c r="J135" s="3305"/>
    </row>
    <row r="136" spans="1:10" ht="21.95" customHeight="1">
      <c r="A136" s="3330"/>
      <c r="B136" s="3328" t="s">
        <v>7252</v>
      </c>
      <c r="C136" s="3105" t="s">
        <v>7583</v>
      </c>
      <c r="D136" s="3106" t="s">
        <v>7607</v>
      </c>
      <c r="E136" s="3326"/>
      <c r="G136" s="3305"/>
      <c r="H136" s="3305"/>
      <c r="I136" s="3305"/>
      <c r="J136" s="3305"/>
    </row>
    <row r="137" spans="1:10" ht="21.95" customHeight="1">
      <c r="A137" s="3330"/>
      <c r="B137" s="3328" t="s">
        <v>7253</v>
      </c>
      <c r="C137" s="3105" t="s">
        <v>7586</v>
      </c>
      <c r="D137" s="3106" t="s">
        <v>7608</v>
      </c>
      <c r="E137" s="3326"/>
      <c r="G137" s="3305"/>
      <c r="H137" s="3305"/>
      <c r="I137" s="3305"/>
      <c r="J137" s="3305"/>
    </row>
    <row r="138" spans="1:10" ht="21.95" customHeight="1">
      <c r="A138" s="3330"/>
      <c r="B138" s="3328" t="s">
        <v>7253</v>
      </c>
      <c r="C138" s="3105" t="s">
        <v>7586</v>
      </c>
      <c r="D138" s="3106" t="s">
        <v>7609</v>
      </c>
      <c r="E138" s="3331">
        <f>Notes!P2676</f>
        <v>148464472.00999999</v>
      </c>
      <c r="G138" s="3305"/>
      <c r="H138" s="3305"/>
      <c r="I138" s="3305"/>
      <c r="J138" s="3305"/>
    </row>
    <row r="139" spans="1:10" ht="21.95" customHeight="1">
      <c r="A139" s="3330"/>
      <c r="B139" s="3328" t="s">
        <v>7253</v>
      </c>
      <c r="C139" s="3105" t="s">
        <v>7586</v>
      </c>
      <c r="D139" s="3106" t="s">
        <v>7610</v>
      </c>
      <c r="E139" s="3326"/>
      <c r="G139" s="3305"/>
      <c r="H139" s="3305"/>
      <c r="I139" s="3305"/>
      <c r="J139" s="3305"/>
    </row>
    <row r="140" spans="1:10" ht="21.95" customHeight="1">
      <c r="A140" s="3330"/>
      <c r="B140" s="3328" t="s">
        <v>7253</v>
      </c>
      <c r="C140" s="3105" t="s">
        <v>7586</v>
      </c>
      <c r="D140" s="3106" t="s">
        <v>7611</v>
      </c>
      <c r="E140" s="3326"/>
      <c r="G140" s="3305"/>
      <c r="H140" s="3305"/>
      <c r="I140" s="3305"/>
      <c r="J140" s="3305"/>
    </row>
    <row r="141" spans="1:10" ht="21.95" customHeight="1">
      <c r="A141" s="3330"/>
      <c r="B141" s="3105" t="s">
        <v>7562</v>
      </c>
      <c r="C141" s="3105" t="s">
        <v>7583</v>
      </c>
      <c r="D141" s="3106" t="s">
        <v>7608</v>
      </c>
      <c r="E141" s="3326"/>
      <c r="F141" s="3350"/>
      <c r="G141" s="3305"/>
      <c r="H141" s="3305"/>
      <c r="I141" s="3305"/>
      <c r="J141" s="3305"/>
    </row>
    <row r="142" spans="1:10" ht="21.95" customHeight="1">
      <c r="A142" s="3330"/>
      <c r="B142" s="3105" t="s">
        <v>7562</v>
      </c>
      <c r="C142" s="3105" t="s">
        <v>7533</v>
      </c>
      <c r="D142" s="3106" t="s">
        <v>7612</v>
      </c>
      <c r="E142" s="3331">
        <f>Notes!H2676</f>
        <v>135106304.03</v>
      </c>
      <c r="F142" s="3350"/>
      <c r="G142" s="3305"/>
      <c r="H142" s="3305"/>
      <c r="I142" s="3305"/>
      <c r="J142" s="3305"/>
    </row>
    <row r="143" spans="1:10" ht="21.95" customHeight="1">
      <c r="A143" s="3330"/>
      <c r="B143" s="3105" t="s">
        <v>7562</v>
      </c>
      <c r="C143" s="3105" t="s">
        <v>7533</v>
      </c>
      <c r="D143" s="3106" t="s">
        <v>7613</v>
      </c>
      <c r="E143" s="3326"/>
      <c r="G143" s="3305"/>
      <c r="H143" s="3305"/>
      <c r="I143" s="3305"/>
      <c r="J143" s="3305"/>
    </row>
    <row r="144" spans="1:10" ht="21.95" customHeight="1">
      <c r="A144" s="3330"/>
      <c r="B144" s="3105" t="s">
        <v>7562</v>
      </c>
      <c r="C144" s="3105" t="s">
        <v>7533</v>
      </c>
      <c r="D144" s="3106" t="s">
        <v>7614</v>
      </c>
      <c r="E144" s="3326"/>
      <c r="G144" s="3305"/>
      <c r="H144" s="3305"/>
      <c r="I144" s="3305"/>
      <c r="J144" s="3305"/>
    </row>
    <row r="145" spans="1:10" ht="21.95" customHeight="1">
      <c r="A145" s="3330"/>
      <c r="B145" s="3328" t="s">
        <v>7253</v>
      </c>
      <c r="C145" s="3105" t="s">
        <v>7542</v>
      </c>
      <c r="D145" s="3343" t="s">
        <v>7261</v>
      </c>
      <c r="E145" s="3331">
        <f>Notes!N2676</f>
        <v>4847446.13</v>
      </c>
      <c r="G145" s="3305"/>
      <c r="H145" s="3305"/>
      <c r="I145" s="3305"/>
      <c r="J145" s="3305"/>
    </row>
    <row r="146" spans="1:10" ht="21.95" customHeight="1">
      <c r="A146" s="3330"/>
      <c r="B146" s="3328" t="s">
        <v>7253</v>
      </c>
      <c r="C146" s="3105" t="s">
        <v>7550</v>
      </c>
      <c r="D146" s="3106" t="s">
        <v>7615</v>
      </c>
      <c r="E146" s="3326"/>
      <c r="G146" s="3305"/>
      <c r="H146" s="3305"/>
      <c r="I146" s="3305"/>
      <c r="J146" s="3305"/>
    </row>
    <row r="147" spans="1:10" ht="21.95" customHeight="1">
      <c r="A147" s="3330"/>
      <c r="B147" s="3328" t="s">
        <v>7253</v>
      </c>
      <c r="C147" s="3105" t="s">
        <v>7550</v>
      </c>
      <c r="D147" s="3106" t="s">
        <v>7616</v>
      </c>
      <c r="E147" s="3326"/>
      <c r="G147" s="3305"/>
      <c r="H147" s="3305"/>
      <c r="I147" s="3305"/>
      <c r="J147" s="3305"/>
    </row>
    <row r="148" spans="1:10" ht="21.95" customHeight="1">
      <c r="A148" s="3330"/>
      <c r="B148" s="3328" t="s">
        <v>7253</v>
      </c>
      <c r="C148" s="3105" t="s">
        <v>7550</v>
      </c>
      <c r="D148" s="3106" t="s">
        <v>7617</v>
      </c>
      <c r="E148" s="3326"/>
      <c r="G148" s="3305"/>
      <c r="H148" s="3305"/>
      <c r="I148" s="3305"/>
      <c r="J148" s="3305"/>
    </row>
    <row r="149" spans="1:10" ht="21.95" customHeight="1">
      <c r="A149" s="3330"/>
      <c r="B149" s="3328" t="s">
        <v>7253</v>
      </c>
      <c r="C149" s="3105" t="s">
        <v>7550</v>
      </c>
      <c r="D149" s="3106" t="s">
        <v>7618</v>
      </c>
      <c r="E149" s="3331">
        <v>777265.25</v>
      </c>
      <c r="G149" s="3305"/>
      <c r="H149" s="3305"/>
      <c r="I149" s="3305"/>
      <c r="J149" s="3305"/>
    </row>
    <row r="150" spans="1:10" ht="21.95" customHeight="1">
      <c r="A150" s="3330"/>
      <c r="B150" s="3328" t="s">
        <v>7253</v>
      </c>
      <c r="C150" s="3105" t="s">
        <v>7550</v>
      </c>
      <c r="D150" s="3106" t="s">
        <v>7619</v>
      </c>
      <c r="E150" s="3331">
        <v>3945451.62</v>
      </c>
      <c r="G150" s="3305"/>
      <c r="H150" s="3305"/>
      <c r="I150" s="3305"/>
      <c r="J150" s="3305"/>
    </row>
    <row r="151" spans="1:10" ht="21.95" customHeight="1">
      <c r="A151" s="3330"/>
      <c r="B151" s="3328" t="s">
        <v>7253</v>
      </c>
      <c r="C151" s="3105" t="s">
        <v>7550</v>
      </c>
      <c r="D151" s="3106" t="s">
        <v>7620</v>
      </c>
      <c r="E151" s="3331">
        <f>Notes!L3077</f>
        <v>507056.61</v>
      </c>
      <c r="F151" s="3305"/>
      <c r="G151" s="3305"/>
      <c r="H151" s="3305"/>
      <c r="I151" s="3305"/>
      <c r="J151" s="3305"/>
    </row>
    <row r="152" spans="1:10" ht="21.95" customHeight="1">
      <c r="A152" s="3330"/>
      <c r="B152" s="3328" t="s">
        <v>7253</v>
      </c>
      <c r="C152" s="3105" t="s">
        <v>7550</v>
      </c>
      <c r="D152" s="3106" t="s">
        <v>7621</v>
      </c>
      <c r="E152" s="3331">
        <f>Notes!J3225</f>
        <v>991288.81</v>
      </c>
      <c r="F152" s="3305"/>
      <c r="G152" s="3305"/>
      <c r="H152" s="3305"/>
      <c r="I152" s="3305"/>
      <c r="J152" s="3305"/>
    </row>
    <row r="153" spans="1:10" ht="21.95" customHeight="1">
      <c r="A153" s="3330"/>
      <c r="B153" s="3328" t="s">
        <v>7253</v>
      </c>
      <c r="C153" s="3105" t="s">
        <v>7550</v>
      </c>
      <c r="D153" s="3106" t="s">
        <v>7622</v>
      </c>
      <c r="E153" s="3326"/>
      <c r="F153" s="3305"/>
      <c r="G153" s="3305"/>
      <c r="H153" s="3305"/>
      <c r="I153" s="3305"/>
      <c r="J153" s="3305"/>
    </row>
    <row r="154" spans="1:10" ht="21.95" customHeight="1">
      <c r="A154" s="3330"/>
      <c r="B154" s="3328" t="s">
        <v>7253</v>
      </c>
      <c r="C154" s="3105" t="s">
        <v>7550</v>
      </c>
      <c r="D154" s="3106" t="s">
        <v>7623</v>
      </c>
      <c r="E154" s="3326"/>
      <c r="F154" s="3305"/>
      <c r="G154" s="3305"/>
      <c r="H154" s="3305"/>
      <c r="I154" s="3305"/>
      <c r="J154" s="3305"/>
    </row>
    <row r="155" spans="1:10" ht="21.95" customHeight="1">
      <c r="A155" s="3330"/>
      <c r="B155" s="3328" t="s">
        <v>7253</v>
      </c>
      <c r="C155" s="3105" t="s">
        <v>7550</v>
      </c>
      <c r="D155" s="3106" t="s">
        <v>7624</v>
      </c>
      <c r="E155" s="3326"/>
      <c r="F155" s="3305"/>
      <c r="G155" s="3305"/>
      <c r="H155" s="3305"/>
      <c r="I155" s="3305"/>
      <c r="J155" s="3305"/>
    </row>
    <row r="156" spans="1:10" ht="21.95" customHeight="1">
      <c r="A156" s="3330"/>
      <c r="B156" s="3328" t="s">
        <v>7253</v>
      </c>
      <c r="C156" s="3105" t="s">
        <v>7550</v>
      </c>
      <c r="D156" s="3106" t="s">
        <v>7625</v>
      </c>
      <c r="E156" s="3331">
        <f>Notes!H4952</f>
        <v>1573265.7</v>
      </c>
      <c r="F156" s="3305"/>
      <c r="G156" s="3305"/>
      <c r="H156" s="3305"/>
      <c r="I156" s="3305"/>
      <c r="J156" s="3305"/>
    </row>
    <row r="157" spans="1:10" ht="21.95" customHeight="1">
      <c r="A157" s="3330"/>
      <c r="B157" s="3328" t="s">
        <v>7253</v>
      </c>
      <c r="C157" s="3105" t="s">
        <v>7550</v>
      </c>
      <c r="D157" s="3106" t="s">
        <v>7626</v>
      </c>
      <c r="E157" s="3331">
        <f>-Notes!H4905</f>
        <v>0</v>
      </c>
      <c r="F157" s="3305"/>
      <c r="G157" s="3305"/>
      <c r="H157" s="3305"/>
      <c r="I157" s="3305"/>
      <c r="J157" s="3305"/>
    </row>
    <row r="158" spans="1:10" ht="21.95" customHeight="1">
      <c r="A158" s="3330"/>
      <c r="B158" s="3328" t="s">
        <v>7253</v>
      </c>
      <c r="C158" s="3105" t="s">
        <v>7550</v>
      </c>
      <c r="D158" s="3106" t="s">
        <v>7627</v>
      </c>
      <c r="E158" s="3326">
        <f>-Notes!H4906</f>
        <v>-4370781.55</v>
      </c>
      <c r="F158" s="3305"/>
      <c r="G158" s="3305"/>
      <c r="H158" s="3305"/>
      <c r="I158" s="3305"/>
      <c r="J158" s="3305"/>
    </row>
    <row r="159" spans="1:10" ht="21.95" customHeight="1">
      <c r="A159" s="3330"/>
      <c r="B159" s="3328" t="s">
        <v>7253</v>
      </c>
      <c r="C159" s="3105" t="s">
        <v>7550</v>
      </c>
      <c r="D159" s="3106" t="s">
        <v>7628</v>
      </c>
      <c r="E159" s="3326"/>
      <c r="F159" s="3305"/>
      <c r="G159" s="3305"/>
      <c r="H159" s="3305"/>
      <c r="I159" s="3305"/>
      <c r="J159" s="3305"/>
    </row>
    <row r="160" spans="1:10" ht="21.95" customHeight="1">
      <c r="A160" s="3330"/>
      <c r="B160" s="3328" t="s">
        <v>7253</v>
      </c>
      <c r="C160" s="3105" t="s">
        <v>7550</v>
      </c>
      <c r="D160" s="3106" t="s">
        <v>7629</v>
      </c>
      <c r="E160" s="3331">
        <f>Notes!H4755</f>
        <v>2094341.69</v>
      </c>
      <c r="F160" s="3323"/>
      <c r="G160" s="3305"/>
      <c r="H160" s="3305"/>
      <c r="I160" s="3305"/>
      <c r="J160" s="3305"/>
    </row>
    <row r="161" spans="1:10" ht="21.95" customHeight="1">
      <c r="A161" s="3330"/>
      <c r="B161" s="3105" t="s">
        <v>7556</v>
      </c>
      <c r="C161" s="3105" t="s">
        <v>7550</v>
      </c>
      <c r="D161" s="3106" t="s">
        <v>7630</v>
      </c>
      <c r="E161" s="3331">
        <f>Notes!H4756</f>
        <v>1332867.3799999999</v>
      </c>
      <c r="F161" s="3305"/>
      <c r="G161" s="3305"/>
      <c r="H161" s="3305"/>
      <c r="I161" s="3305"/>
      <c r="J161" s="3305"/>
    </row>
    <row r="162" spans="1:10" ht="21.95" customHeight="1">
      <c r="A162" s="3330"/>
      <c r="B162" s="3328" t="s">
        <v>7253</v>
      </c>
      <c r="C162" s="3105" t="s">
        <v>7572</v>
      </c>
      <c r="D162" s="3106" t="s">
        <v>7631</v>
      </c>
      <c r="E162" s="3326"/>
      <c r="F162" s="3305"/>
      <c r="G162" s="3305"/>
      <c r="H162" s="3305"/>
      <c r="I162" s="3305"/>
      <c r="J162" s="3305"/>
    </row>
    <row r="163" spans="1:10" ht="21.95" customHeight="1">
      <c r="A163" s="3330"/>
      <c r="B163" s="3105" t="s">
        <v>7562</v>
      </c>
      <c r="C163" s="3105" t="s">
        <v>7572</v>
      </c>
      <c r="D163" s="3106" t="s">
        <v>7632</v>
      </c>
      <c r="E163" s="3331">
        <v>-664330.32999999996</v>
      </c>
      <c r="F163" s="3305"/>
      <c r="G163" s="3305"/>
      <c r="H163" s="3305"/>
      <c r="I163" s="3305"/>
      <c r="J163" s="3305"/>
    </row>
    <row r="164" spans="1:10" ht="21.95" customHeight="1">
      <c r="A164" s="3330"/>
      <c r="B164" s="3328" t="s">
        <v>7253</v>
      </c>
      <c r="C164" s="3105" t="s">
        <v>7550</v>
      </c>
      <c r="D164" s="3343" t="s">
        <v>7633</v>
      </c>
      <c r="E164" s="3331"/>
      <c r="F164" s="3305"/>
      <c r="G164" s="3305"/>
      <c r="H164" s="3305"/>
      <c r="I164" s="3305"/>
      <c r="J164" s="3305"/>
    </row>
    <row r="165" spans="1:10" ht="21.95" customHeight="1">
      <c r="A165" s="3330"/>
      <c r="B165" s="3353"/>
      <c r="C165" s="3346"/>
      <c r="D165" s="3347"/>
      <c r="E165" s="3354"/>
      <c r="F165" s="3305"/>
      <c r="G165" s="3305"/>
      <c r="H165" s="3305"/>
      <c r="I165" s="3305"/>
      <c r="J165" s="3305"/>
    </row>
    <row r="166" spans="1:10" ht="21.95" customHeight="1">
      <c r="A166" s="3339" t="s">
        <v>133</v>
      </c>
      <c r="B166" s="3340" t="s">
        <v>7568</v>
      </c>
      <c r="C166" s="3340"/>
      <c r="D166" s="3341"/>
      <c r="E166" s="3342">
        <f>SUMIF(B108:B164,"加",E108:E164)-SUMIF(B108:B164,"减",E108:E164)+E165</f>
        <v>29188633.84</v>
      </c>
      <c r="F166" s="3305"/>
      <c r="G166" s="3305"/>
      <c r="H166" s="3305"/>
      <c r="I166" s="3305"/>
      <c r="J166" s="3305"/>
    </row>
    <row r="167" spans="1:10" ht="21.95" customHeight="1">
      <c r="A167" s="3327" t="s">
        <v>7634</v>
      </c>
      <c r="B167" s="3328" t="s">
        <v>7252</v>
      </c>
      <c r="C167" s="3105" t="s">
        <v>7550</v>
      </c>
      <c r="D167" s="3106" t="s">
        <v>7635</v>
      </c>
      <c r="E167" s="3326"/>
      <c r="G167" s="3305"/>
      <c r="H167" s="3305"/>
      <c r="I167" s="3305"/>
      <c r="J167" s="3305"/>
    </row>
    <row r="168" spans="1:10" ht="21.95" customHeight="1">
      <c r="A168" s="3330"/>
      <c r="B168" s="3328" t="s">
        <v>7252</v>
      </c>
      <c r="C168" s="3105" t="s">
        <v>7550</v>
      </c>
      <c r="D168" s="3106" t="s">
        <v>7636</v>
      </c>
      <c r="E168" s="3326"/>
      <c r="G168" s="3305"/>
      <c r="H168" s="3305"/>
      <c r="I168" s="3305"/>
      <c r="J168" s="3305"/>
    </row>
    <row r="169" spans="1:10" ht="21.95" customHeight="1">
      <c r="A169" s="3330"/>
      <c r="B169" s="3328" t="s">
        <v>7252</v>
      </c>
      <c r="C169" s="3105" t="s">
        <v>7550</v>
      </c>
      <c r="D169" s="3106" t="s">
        <v>7637</v>
      </c>
      <c r="E169" s="3326"/>
      <c r="G169" s="3305"/>
      <c r="H169" s="3305"/>
      <c r="I169" s="3305"/>
      <c r="J169" s="3305"/>
    </row>
    <row r="170" spans="1:10" ht="21.95" customHeight="1">
      <c r="A170" s="3330"/>
      <c r="B170" s="3328" t="s">
        <v>7252</v>
      </c>
      <c r="C170" s="3105" t="s">
        <v>7550</v>
      </c>
      <c r="D170" s="3106" t="s">
        <v>7638</v>
      </c>
      <c r="E170" s="3326"/>
      <c r="G170" s="3305"/>
      <c r="H170" s="3305"/>
      <c r="I170" s="3305"/>
      <c r="J170" s="3305"/>
    </row>
    <row r="171" spans="1:10" ht="21.95" customHeight="1">
      <c r="A171" s="3339" t="s">
        <v>146</v>
      </c>
      <c r="B171" s="3340" t="s">
        <v>7568</v>
      </c>
      <c r="C171" s="3340"/>
      <c r="D171" s="3341"/>
      <c r="E171" s="3342">
        <f>SUMIF(B167:B170,"加",E167:E170)-SUMIF(B167:B170,"减",E167:E170)</f>
        <v>0</v>
      </c>
      <c r="G171" s="3305"/>
      <c r="H171" s="3305"/>
      <c r="I171" s="3305"/>
      <c r="J171" s="3305"/>
    </row>
    <row r="172" spans="1:10" ht="21.95" customHeight="1">
      <c r="A172" s="3327" t="s">
        <v>7639</v>
      </c>
      <c r="B172" s="3328" t="s">
        <v>7252</v>
      </c>
      <c r="C172" s="3105" t="s">
        <v>7550</v>
      </c>
      <c r="D172" s="3106" t="s">
        <v>7640</v>
      </c>
      <c r="E172" s="3329"/>
      <c r="G172" s="3305"/>
      <c r="H172" s="3305"/>
      <c r="I172" s="3305"/>
      <c r="J172" s="3305"/>
    </row>
    <row r="173" spans="1:10" ht="21.95" customHeight="1">
      <c r="A173" s="3330"/>
      <c r="B173" s="3328" t="s">
        <v>7252</v>
      </c>
      <c r="C173" s="3105" t="s">
        <v>7572</v>
      </c>
      <c r="D173" s="3106" t="s">
        <v>7641</v>
      </c>
      <c r="E173" s="3326"/>
      <c r="G173" s="3305"/>
      <c r="H173" s="3305"/>
      <c r="I173" s="3305"/>
      <c r="J173" s="3305"/>
    </row>
    <row r="174" spans="1:10" ht="21.95" customHeight="1">
      <c r="A174" s="3330"/>
      <c r="B174" s="3328" t="s">
        <v>7252</v>
      </c>
      <c r="C174" s="3105" t="s">
        <v>7572</v>
      </c>
      <c r="D174" s="3347" t="s">
        <v>7642</v>
      </c>
      <c r="E174" s="3326"/>
      <c r="G174" s="3305"/>
      <c r="H174" s="3305"/>
      <c r="I174" s="3305"/>
      <c r="J174" s="3305"/>
    </row>
    <row r="175" spans="1:10" ht="21.95" customHeight="1">
      <c r="A175" s="3330"/>
      <c r="B175" s="3328" t="s">
        <v>7252</v>
      </c>
      <c r="C175" s="3105" t="s">
        <v>7572</v>
      </c>
      <c r="D175" s="3347" t="s">
        <v>7643</v>
      </c>
      <c r="E175" s="3326"/>
      <c r="G175" s="3305"/>
      <c r="H175" s="3305"/>
      <c r="I175" s="3305"/>
      <c r="J175" s="3305"/>
    </row>
    <row r="176" spans="1:10" ht="21.95" customHeight="1">
      <c r="A176" s="3330"/>
      <c r="B176" s="3346" t="s">
        <v>7562</v>
      </c>
      <c r="C176" s="3346" t="s">
        <v>7552</v>
      </c>
      <c r="D176" s="3347" t="s">
        <v>7644</v>
      </c>
      <c r="E176" s="3326"/>
      <c r="G176" s="3305"/>
      <c r="H176" s="3305"/>
      <c r="I176" s="3305"/>
      <c r="J176" s="3305"/>
    </row>
    <row r="177" spans="1:10" ht="21.95" customHeight="1">
      <c r="A177" s="3330"/>
      <c r="B177" s="3346" t="s">
        <v>7560</v>
      </c>
      <c r="C177" s="3346" t="s">
        <v>7535</v>
      </c>
      <c r="D177" s="3347" t="s">
        <v>7645</v>
      </c>
      <c r="E177" s="3326"/>
      <c r="G177" s="3305"/>
      <c r="H177" s="3305"/>
      <c r="I177" s="3305"/>
      <c r="J177" s="3305"/>
    </row>
    <row r="178" spans="1:10" ht="21.95" customHeight="1">
      <c r="A178" s="3330"/>
      <c r="B178" s="3346" t="s">
        <v>7562</v>
      </c>
      <c r="C178" s="3346" t="s">
        <v>7533</v>
      </c>
      <c r="D178" s="3347" t="s">
        <v>7646</v>
      </c>
      <c r="E178" s="3326"/>
      <c r="G178" s="3305"/>
      <c r="H178" s="3305"/>
      <c r="I178" s="3305"/>
      <c r="J178" s="3305"/>
    </row>
    <row r="179" spans="1:10" ht="21.95" customHeight="1">
      <c r="A179" s="3330"/>
      <c r="B179" s="3346" t="s">
        <v>7560</v>
      </c>
      <c r="C179" s="3346" t="s">
        <v>7535</v>
      </c>
      <c r="D179" s="3347" t="s">
        <v>7646</v>
      </c>
      <c r="E179" s="3326"/>
      <c r="G179" s="3305"/>
      <c r="H179" s="3305"/>
      <c r="I179" s="3305"/>
      <c r="J179" s="3305"/>
    </row>
    <row r="180" spans="1:10" ht="21.95" customHeight="1">
      <c r="A180" s="3339" t="s">
        <v>157</v>
      </c>
      <c r="B180" s="3340" t="s">
        <v>7540</v>
      </c>
      <c r="C180" s="3340"/>
      <c r="D180" s="3341"/>
      <c r="E180" s="3342">
        <f>SUMIF(B172:B179,"加",E172:E179)-SUMIF(B172:B179,"减",E172:E179)</f>
        <v>0</v>
      </c>
      <c r="F180" s="3350"/>
      <c r="G180" s="3305"/>
      <c r="H180" s="3305"/>
      <c r="I180" s="3305"/>
      <c r="J180" s="3305"/>
    </row>
    <row r="181" spans="1:10" ht="21.95" customHeight="1">
      <c r="A181" s="3327" t="s">
        <v>7647</v>
      </c>
      <c r="B181" s="3328" t="s">
        <v>7252</v>
      </c>
      <c r="C181" s="3105" t="s">
        <v>7542</v>
      </c>
      <c r="D181" s="3106" t="s">
        <v>7648</v>
      </c>
      <c r="E181" s="3326"/>
      <c r="G181" s="3305"/>
      <c r="H181" s="3305"/>
      <c r="I181" s="3305"/>
      <c r="J181" s="3305"/>
    </row>
    <row r="182" spans="1:10" ht="21.95" customHeight="1">
      <c r="A182" s="3330"/>
      <c r="B182" s="3328" t="s">
        <v>7252</v>
      </c>
      <c r="C182" s="3105" t="s">
        <v>7542</v>
      </c>
      <c r="D182" s="3106" t="s">
        <v>7649</v>
      </c>
      <c r="E182" s="3329"/>
      <c r="F182" s="3349" t="s">
        <v>7650</v>
      </c>
      <c r="G182" s="3305"/>
      <c r="H182" s="3305"/>
      <c r="I182" s="3305"/>
      <c r="J182" s="3305"/>
    </row>
    <row r="183" spans="1:10" ht="21.95" customHeight="1">
      <c r="A183" s="3330"/>
      <c r="B183" s="3328" t="s">
        <v>7252</v>
      </c>
      <c r="C183" s="3105" t="s">
        <v>7542</v>
      </c>
      <c r="D183" s="3106" t="s">
        <v>7651</v>
      </c>
      <c r="E183" s="3326"/>
      <c r="F183" s="3305"/>
      <c r="G183" s="3305"/>
      <c r="H183" s="3305"/>
      <c r="I183" s="3305"/>
      <c r="J183" s="3305"/>
    </row>
    <row r="184" spans="1:10" ht="21.95" customHeight="1">
      <c r="A184" s="3330"/>
      <c r="B184" s="3328" t="s">
        <v>7252</v>
      </c>
      <c r="C184" s="3105" t="s">
        <v>7542</v>
      </c>
      <c r="D184" s="3106" t="s">
        <v>7652</v>
      </c>
      <c r="E184" s="3326"/>
      <c r="F184" s="3305"/>
      <c r="G184" s="3305"/>
      <c r="H184" s="3305"/>
      <c r="I184" s="3305"/>
      <c r="J184" s="3305"/>
    </row>
    <row r="185" spans="1:10" ht="21.95" customHeight="1">
      <c r="A185" s="3330"/>
      <c r="B185" s="3328" t="s">
        <v>7252</v>
      </c>
      <c r="C185" s="3105" t="s">
        <v>7542</v>
      </c>
      <c r="D185" s="3106" t="s">
        <v>7653</v>
      </c>
      <c r="E185" s="3326">
        <f>-E158</f>
        <v>4370781.55</v>
      </c>
      <c r="F185" s="3305"/>
      <c r="G185" s="3305"/>
      <c r="H185" s="3305"/>
      <c r="I185" s="3305"/>
      <c r="J185" s="3305"/>
    </row>
    <row r="186" spans="1:10" ht="21.95" customHeight="1">
      <c r="A186" s="3330"/>
      <c r="B186" s="3328" t="s">
        <v>7252</v>
      </c>
      <c r="C186" s="3105" t="s">
        <v>7542</v>
      </c>
      <c r="D186" s="3106" t="s">
        <v>7654</v>
      </c>
      <c r="E186" s="3326"/>
      <c r="F186" s="3305"/>
      <c r="G186" s="3305"/>
      <c r="H186" s="3305"/>
      <c r="I186" s="3305"/>
      <c r="J186" s="3305"/>
    </row>
    <row r="187" spans="1:10" ht="21.95" customHeight="1">
      <c r="A187" s="3330"/>
      <c r="B187" s="3328" t="s">
        <v>7252</v>
      </c>
      <c r="C187" s="3105" t="s">
        <v>7542</v>
      </c>
      <c r="D187" s="3106" t="s">
        <v>7655</v>
      </c>
      <c r="E187" s="3326"/>
      <c r="F187" s="3305"/>
      <c r="G187" s="3305"/>
      <c r="H187" s="3305"/>
      <c r="I187" s="3305"/>
      <c r="J187" s="3305"/>
    </row>
    <row r="188" spans="1:10" ht="21.95" customHeight="1">
      <c r="A188" s="3330"/>
      <c r="B188" s="3328" t="s">
        <v>7253</v>
      </c>
      <c r="C188" s="3105" t="s">
        <v>7542</v>
      </c>
      <c r="D188" s="3106" t="s">
        <v>7656</v>
      </c>
      <c r="E188" s="3326"/>
      <c r="F188" s="3305"/>
      <c r="G188" s="3305"/>
      <c r="H188" s="3305"/>
      <c r="I188" s="3305"/>
      <c r="J188" s="3305"/>
    </row>
    <row r="189" spans="1:10" ht="21.95" customHeight="1">
      <c r="A189" s="3339" t="s">
        <v>2250</v>
      </c>
      <c r="B189" s="3340" t="s">
        <v>7540</v>
      </c>
      <c r="C189" s="3340"/>
      <c r="D189" s="3341"/>
      <c r="E189" s="3342">
        <f>SUMIF(B181:B188,"加",E181:E188)-SUMIF(B181:B188,"减",E181:E188)</f>
        <v>4370781.55</v>
      </c>
      <c r="F189" s="3305"/>
      <c r="G189" s="3305"/>
      <c r="H189" s="3305"/>
      <c r="I189" s="3305"/>
      <c r="J189" s="3305"/>
    </row>
    <row r="190" spans="1:10" ht="21.95" customHeight="1">
      <c r="A190" s="3327" t="s">
        <v>7657</v>
      </c>
      <c r="B190" s="3328" t="s">
        <v>7252</v>
      </c>
      <c r="C190" s="3105" t="s">
        <v>7542</v>
      </c>
      <c r="D190" s="3106" t="s">
        <v>7658</v>
      </c>
      <c r="E190" s="3326"/>
      <c r="F190" s="3305"/>
      <c r="G190" s="3305"/>
      <c r="H190" s="3305"/>
      <c r="I190" s="3305"/>
      <c r="J190" s="3305"/>
    </row>
    <row r="191" spans="1:10" ht="21.95" customHeight="1">
      <c r="A191" s="3330"/>
      <c r="B191" s="3105" t="s">
        <v>7562</v>
      </c>
      <c r="C191" s="3105" t="s">
        <v>7542</v>
      </c>
      <c r="D191" s="3106" t="s">
        <v>7659</v>
      </c>
      <c r="E191" s="3326"/>
      <c r="F191" s="3305"/>
      <c r="G191" s="3305"/>
      <c r="H191" s="3305"/>
      <c r="I191" s="3305"/>
      <c r="J191" s="3305"/>
    </row>
    <row r="192" spans="1:10" ht="21.95" customHeight="1">
      <c r="A192" s="3330"/>
      <c r="B192" s="3105" t="s">
        <v>7562</v>
      </c>
      <c r="C192" s="3105" t="s">
        <v>7542</v>
      </c>
      <c r="D192" s="3106" t="s">
        <v>7660</v>
      </c>
      <c r="E192" s="3344"/>
      <c r="F192" s="3337"/>
      <c r="G192" s="3305"/>
      <c r="H192" s="3305"/>
      <c r="I192" s="3305"/>
      <c r="J192" s="3305"/>
    </row>
    <row r="193" spans="1:10" ht="21.95" customHeight="1">
      <c r="A193" s="3339" t="s">
        <v>176</v>
      </c>
      <c r="B193" s="3340" t="s">
        <v>7540</v>
      </c>
      <c r="C193" s="3340"/>
      <c r="D193" s="3341"/>
      <c r="E193" s="3342">
        <f>SUMIF(B190:B192,"加",E190:E192)-SUMIF(B190:B192,"减",E190:E192)</f>
        <v>0</v>
      </c>
      <c r="F193" s="3305"/>
      <c r="G193" s="3305"/>
      <c r="H193" s="3305"/>
      <c r="I193" s="3305"/>
      <c r="J193" s="3305"/>
    </row>
    <row r="194" spans="1:10" ht="21.95" customHeight="1">
      <c r="A194" s="3327" t="s">
        <v>7661</v>
      </c>
      <c r="B194" s="3328" t="s">
        <v>7252</v>
      </c>
      <c r="C194" s="3105" t="s">
        <v>7542</v>
      </c>
      <c r="D194" s="3106" t="s">
        <v>7662</v>
      </c>
      <c r="E194" s="3326"/>
      <c r="F194" s="3305"/>
      <c r="G194" s="3305"/>
      <c r="H194" s="3305"/>
      <c r="I194" s="3305"/>
      <c r="J194" s="3305"/>
    </row>
    <row r="195" spans="1:10" ht="21.95" customHeight="1">
      <c r="A195" s="3327"/>
      <c r="B195" s="3328" t="s">
        <v>7252</v>
      </c>
      <c r="C195" s="3105" t="s">
        <v>7542</v>
      </c>
      <c r="D195" s="3355"/>
      <c r="E195" s="3354"/>
      <c r="F195" s="3337"/>
      <c r="G195" s="3305"/>
      <c r="H195" s="3305"/>
      <c r="I195" s="3305"/>
      <c r="J195" s="3305"/>
    </row>
    <row r="196" spans="1:10" ht="21.95" customHeight="1">
      <c r="A196" s="3339" t="s">
        <v>187</v>
      </c>
      <c r="B196" s="3340" t="s">
        <v>7540</v>
      </c>
      <c r="C196" s="3340"/>
      <c r="D196" s="3341"/>
      <c r="E196" s="3342">
        <f>E194+E195</f>
        <v>0</v>
      </c>
      <c r="F196" s="3305"/>
      <c r="G196" s="3305"/>
      <c r="H196" s="3305"/>
      <c r="I196" s="3305"/>
      <c r="J196" s="3305"/>
    </row>
    <row r="197" spans="1:10" ht="21.95" customHeight="1">
      <c r="A197" s="3327" t="s">
        <v>7663</v>
      </c>
      <c r="B197" s="3328" t="s">
        <v>7252</v>
      </c>
      <c r="C197" s="3105" t="s">
        <v>7548</v>
      </c>
      <c r="D197" s="3106" t="s">
        <v>7664</v>
      </c>
      <c r="E197" s="3326"/>
      <c r="F197" s="3305"/>
      <c r="G197" s="3305"/>
      <c r="H197" s="3305"/>
      <c r="I197" s="3305"/>
      <c r="J197" s="3305"/>
    </row>
    <row r="198" spans="1:10" ht="21.95" customHeight="1">
      <c r="A198" s="3330"/>
      <c r="B198" s="3328" t="s">
        <v>7252</v>
      </c>
      <c r="C198" s="3105" t="s">
        <v>7548</v>
      </c>
      <c r="D198" s="3106" t="s">
        <v>7665</v>
      </c>
      <c r="E198" s="3326">
        <f>BS!G34</f>
        <v>80029486.859999999</v>
      </c>
      <c r="F198" s="3305"/>
      <c r="G198" s="3305"/>
      <c r="H198" s="3305"/>
      <c r="I198" s="3305"/>
      <c r="J198" s="3305"/>
    </row>
    <row r="199" spans="1:10" ht="21.95" customHeight="1">
      <c r="A199" s="3330"/>
      <c r="B199" s="3351" t="s">
        <v>7556</v>
      </c>
      <c r="C199" s="3105" t="s">
        <v>7548</v>
      </c>
      <c r="D199" s="3106" t="s">
        <v>7666</v>
      </c>
      <c r="E199" s="3326">
        <f>减值表!H20</f>
        <v>52960625.109999999</v>
      </c>
      <c r="F199" s="3305"/>
      <c r="G199" s="3305"/>
      <c r="H199" s="3305"/>
      <c r="I199" s="3305"/>
      <c r="J199" s="3305"/>
    </row>
    <row r="200" spans="1:10" ht="21.95" customHeight="1">
      <c r="A200" s="3330"/>
      <c r="B200" s="3351" t="s">
        <v>7556</v>
      </c>
      <c r="C200" s="3105" t="s">
        <v>2775</v>
      </c>
      <c r="D200" s="3106" t="s">
        <v>7667</v>
      </c>
      <c r="E200" s="3326">
        <f>AJE!O223</f>
        <v>7731484.2000000002</v>
      </c>
      <c r="F200" s="3305"/>
      <c r="G200" s="3305"/>
      <c r="H200" s="3305"/>
      <c r="I200" s="3305"/>
      <c r="J200" s="3305"/>
    </row>
    <row r="201" spans="1:10" ht="21.95" customHeight="1">
      <c r="A201" s="3330"/>
      <c r="B201" s="3351" t="s">
        <v>7562</v>
      </c>
      <c r="C201" s="3105" t="s">
        <v>2775</v>
      </c>
      <c r="D201" s="3106" t="s">
        <v>7668</v>
      </c>
      <c r="E201" s="3326"/>
      <c r="F201" s="3305"/>
      <c r="G201" s="3305"/>
      <c r="H201" s="3305"/>
      <c r="I201" s="3305"/>
      <c r="J201" s="3305"/>
    </row>
    <row r="202" spans="1:10" ht="21.95" customHeight="1">
      <c r="A202" s="3330"/>
      <c r="B202" s="3351" t="s">
        <v>7562</v>
      </c>
      <c r="C202" s="3105" t="s">
        <v>2775</v>
      </c>
      <c r="D202" s="3106" t="s">
        <v>7669</v>
      </c>
      <c r="E202" s="3326"/>
      <c r="F202" s="3305"/>
      <c r="G202" s="3305"/>
      <c r="H202" s="3305"/>
      <c r="I202" s="3305"/>
      <c r="J202" s="3305"/>
    </row>
    <row r="203" spans="1:10" ht="21.95" customHeight="1">
      <c r="A203" s="3330"/>
      <c r="B203" s="3328" t="s">
        <v>7252</v>
      </c>
      <c r="C203" s="3105" t="s">
        <v>7548</v>
      </c>
      <c r="D203" s="3106" t="s">
        <v>7670</v>
      </c>
      <c r="E203" s="3326">
        <f>BS!G35</f>
        <v>36687949.960000001</v>
      </c>
      <c r="F203" s="3323"/>
      <c r="G203" s="3305"/>
      <c r="H203" s="3305"/>
      <c r="I203" s="3305"/>
      <c r="J203" s="3305"/>
    </row>
    <row r="204" spans="1:10" ht="21.95" customHeight="1">
      <c r="A204" s="3330"/>
      <c r="B204" s="3328" t="s">
        <v>7252</v>
      </c>
      <c r="C204" s="3105" t="s">
        <v>7548</v>
      </c>
      <c r="D204" s="3106" t="s">
        <v>7671</v>
      </c>
      <c r="E204" s="3326"/>
      <c r="F204" s="3323">
        <f>E203+E204-[46]BS!G28</f>
        <v>-7263338.3200000003</v>
      </c>
      <c r="G204" s="3305"/>
      <c r="H204" s="3305"/>
      <c r="I204" s="3305"/>
      <c r="J204" s="3305"/>
    </row>
    <row r="205" spans="1:10" ht="21.95" customHeight="1">
      <c r="A205" s="3330"/>
      <c r="B205" s="3351" t="s">
        <v>7560</v>
      </c>
      <c r="C205" s="3105" t="s">
        <v>7672</v>
      </c>
      <c r="D205" s="3106" t="s">
        <v>7551</v>
      </c>
      <c r="E205" s="3326"/>
      <c r="F205" s="3305"/>
      <c r="G205" s="3305"/>
      <c r="H205" s="3305"/>
      <c r="I205" s="3305"/>
      <c r="J205" s="3305"/>
    </row>
    <row r="206" spans="1:10" ht="21.95" customHeight="1">
      <c r="A206" s="3330"/>
      <c r="B206" s="3328" t="s">
        <v>7252</v>
      </c>
      <c r="C206" s="3105" t="s">
        <v>7548</v>
      </c>
      <c r="D206" s="3106" t="s">
        <v>7673</v>
      </c>
      <c r="E206" s="3326"/>
      <c r="F206" s="3305"/>
      <c r="G206" s="3305"/>
      <c r="H206" s="3305"/>
      <c r="I206" s="3305"/>
      <c r="J206" s="3305"/>
    </row>
    <row r="207" spans="1:10" ht="21.95" customHeight="1">
      <c r="A207" s="3330"/>
      <c r="B207" s="3328" t="s">
        <v>7252</v>
      </c>
      <c r="C207" s="3105" t="s">
        <v>7548</v>
      </c>
      <c r="D207" s="3106" t="s">
        <v>7674</v>
      </c>
      <c r="E207" s="3326"/>
      <c r="F207" s="3305"/>
      <c r="G207" s="3305"/>
      <c r="H207" s="3305"/>
      <c r="I207" s="3305"/>
      <c r="J207" s="3305"/>
    </row>
    <row r="208" spans="1:10" ht="21.95" customHeight="1">
      <c r="A208" s="3330"/>
      <c r="B208" s="3328" t="s">
        <v>7252</v>
      </c>
      <c r="C208" s="3105" t="s">
        <v>7548</v>
      </c>
      <c r="D208" s="3106" t="s">
        <v>7675</v>
      </c>
      <c r="E208" s="3326"/>
      <c r="F208" s="3305"/>
      <c r="G208" s="3305"/>
      <c r="H208" s="3305"/>
      <c r="I208" s="3305"/>
      <c r="J208" s="3305"/>
    </row>
    <row r="209" spans="1:10" ht="21.95" customHeight="1">
      <c r="A209" s="3330"/>
      <c r="B209" s="3328" t="s">
        <v>7252</v>
      </c>
      <c r="C209" s="3105" t="s">
        <v>7548</v>
      </c>
      <c r="D209" s="3106" t="s">
        <v>7676</v>
      </c>
      <c r="E209" s="3326">
        <f>BS!G38</f>
        <v>22921846.190000001</v>
      </c>
      <c r="F209" s="3323"/>
      <c r="G209" s="3305"/>
      <c r="H209" s="3305"/>
      <c r="I209" s="3305"/>
      <c r="J209" s="3305"/>
    </row>
    <row r="210" spans="1:10" ht="21.95" customHeight="1">
      <c r="A210" s="3330"/>
      <c r="B210" s="3328" t="s">
        <v>7252</v>
      </c>
      <c r="C210" s="3105" t="s">
        <v>7677</v>
      </c>
      <c r="D210" s="3106" t="s">
        <v>7678</v>
      </c>
      <c r="E210" s="3326"/>
      <c r="F210" s="3305"/>
      <c r="G210" s="3305"/>
      <c r="H210" s="3305"/>
      <c r="I210" s="3305"/>
      <c r="J210" s="3305"/>
    </row>
    <row r="211" spans="1:10" ht="21.95" customHeight="1">
      <c r="A211" s="3330"/>
      <c r="B211" s="3328" t="s">
        <v>7252</v>
      </c>
      <c r="C211" s="3105" t="s">
        <v>7677</v>
      </c>
      <c r="D211" s="3106" t="s">
        <v>7679</v>
      </c>
      <c r="E211" s="3326"/>
      <c r="F211" s="3305"/>
      <c r="G211" s="3305"/>
      <c r="H211" s="3305"/>
      <c r="I211" s="3305"/>
      <c r="J211" s="3305"/>
    </row>
    <row r="212" spans="1:10" ht="21.95" customHeight="1">
      <c r="A212" s="3330"/>
      <c r="B212" s="3328" t="s">
        <v>7252</v>
      </c>
      <c r="C212" s="3105" t="s">
        <v>7677</v>
      </c>
      <c r="D212" s="3106" t="s">
        <v>7680</v>
      </c>
      <c r="E212" s="3326">
        <f>BS!G41</f>
        <v>1548766.81</v>
      </c>
      <c r="F212" s="3323">
        <f>E212-E224</f>
        <v>-183177.63</v>
      </c>
      <c r="G212" s="3305"/>
      <c r="H212" s="3305"/>
      <c r="I212" s="3305"/>
      <c r="J212" s="3305"/>
    </row>
    <row r="213" spans="1:10" ht="21.95" customHeight="1">
      <c r="A213" s="3330"/>
      <c r="B213" s="3328" t="s">
        <v>7252</v>
      </c>
      <c r="C213" s="3105" t="s">
        <v>7548</v>
      </c>
      <c r="D213" s="3106" t="s">
        <v>7681</v>
      </c>
      <c r="E213" s="3326">
        <f>BS!G43</f>
        <v>443012.47</v>
      </c>
      <c r="F213" s="3305"/>
      <c r="G213" s="3305"/>
      <c r="H213" s="3305"/>
      <c r="I213" s="3305"/>
      <c r="J213" s="3305"/>
    </row>
    <row r="214" spans="1:10" ht="21.95" customHeight="1">
      <c r="A214" s="3330"/>
      <c r="B214" s="3105" t="s">
        <v>7560</v>
      </c>
      <c r="C214" s="3105" t="s">
        <v>7552</v>
      </c>
      <c r="D214" s="3106" t="s">
        <v>7664</v>
      </c>
      <c r="E214" s="3326"/>
      <c r="F214" s="3305"/>
      <c r="G214" s="3305"/>
      <c r="H214" s="3305"/>
      <c r="I214" s="3305"/>
      <c r="J214" s="3305"/>
    </row>
    <row r="215" spans="1:10" ht="21.95" customHeight="1">
      <c r="A215" s="3330"/>
      <c r="B215" s="3105" t="s">
        <v>7560</v>
      </c>
      <c r="C215" s="3105" t="s">
        <v>7533</v>
      </c>
      <c r="D215" s="3106" t="s">
        <v>7682</v>
      </c>
      <c r="E215" s="3326">
        <f>BS!H34</f>
        <v>99146371.280000001</v>
      </c>
      <c r="F215" s="3305"/>
      <c r="G215" s="3305"/>
      <c r="H215" s="3305"/>
      <c r="I215" s="3305"/>
      <c r="J215" s="3305"/>
    </row>
    <row r="216" spans="1:10" ht="21.95" customHeight="1">
      <c r="A216" s="3330"/>
      <c r="B216" s="3105" t="s">
        <v>7560</v>
      </c>
      <c r="C216" s="3105" t="s">
        <v>7533</v>
      </c>
      <c r="D216" s="3106" t="s">
        <v>7683</v>
      </c>
      <c r="E216" s="3326">
        <f>BS!H35</f>
        <v>43951288.280000001</v>
      </c>
      <c r="F216" s="3323"/>
      <c r="G216" s="3323"/>
      <c r="H216" s="3305"/>
      <c r="I216" s="3305"/>
      <c r="J216" s="3305"/>
    </row>
    <row r="217" spans="1:10" ht="21.95" customHeight="1">
      <c r="A217" s="3330"/>
      <c r="B217" s="3105" t="s">
        <v>7560</v>
      </c>
      <c r="C217" s="3105" t="s">
        <v>7533</v>
      </c>
      <c r="D217" s="3106" t="s">
        <v>351</v>
      </c>
      <c r="E217" s="3326"/>
      <c r="F217" s="3323">
        <f>E216+E217-[46]BS!H28</f>
        <v>-1384511.48</v>
      </c>
      <c r="G217" s="3323"/>
      <c r="H217" s="3305"/>
      <c r="I217" s="3305"/>
      <c r="J217" s="3305"/>
    </row>
    <row r="218" spans="1:10" ht="21.95" customHeight="1">
      <c r="A218" s="3330"/>
      <c r="B218" s="3105" t="s">
        <v>7560</v>
      </c>
      <c r="C218" s="3105" t="s">
        <v>7533</v>
      </c>
      <c r="D218" s="3106" t="s">
        <v>359</v>
      </c>
      <c r="E218" s="3326"/>
      <c r="F218" s="3305"/>
      <c r="G218" s="3305"/>
      <c r="H218" s="3305"/>
      <c r="I218" s="3305"/>
      <c r="J218" s="3305"/>
    </row>
    <row r="219" spans="1:10" ht="21.95" customHeight="1">
      <c r="A219" s="3330"/>
      <c r="B219" s="3105" t="s">
        <v>7560</v>
      </c>
      <c r="C219" s="3105" t="s">
        <v>7533</v>
      </c>
      <c r="D219" s="3106" t="s">
        <v>381</v>
      </c>
      <c r="E219" s="3326"/>
      <c r="F219" s="3305"/>
      <c r="G219" s="3305"/>
      <c r="H219" s="3305"/>
      <c r="I219" s="3305"/>
      <c r="J219" s="3305"/>
    </row>
    <row r="220" spans="1:10" ht="21.95" customHeight="1">
      <c r="A220" s="3330"/>
      <c r="B220" s="3105" t="s">
        <v>7560</v>
      </c>
      <c r="C220" s="3105" t="s">
        <v>7533</v>
      </c>
      <c r="D220" s="3106" t="s">
        <v>388</v>
      </c>
      <c r="E220" s="3326"/>
      <c r="F220" s="3305"/>
      <c r="G220" s="3305"/>
      <c r="H220" s="3305"/>
      <c r="I220" s="3305"/>
      <c r="J220" s="3305"/>
    </row>
    <row r="221" spans="1:10" ht="21.95" customHeight="1">
      <c r="A221" s="3330"/>
      <c r="B221" s="3105" t="s">
        <v>7560</v>
      </c>
      <c r="C221" s="3105" t="s">
        <v>7533</v>
      </c>
      <c r="D221" s="3106" t="s">
        <v>396</v>
      </c>
      <c r="E221" s="3326">
        <f>BS!H38</f>
        <v>20891148.170000002</v>
      </c>
      <c r="F221" s="3323"/>
      <c r="G221" s="3305"/>
      <c r="H221" s="3305"/>
      <c r="I221" s="3305"/>
      <c r="J221" s="3305"/>
    </row>
    <row r="222" spans="1:10" ht="21.95" customHeight="1">
      <c r="A222" s="3330"/>
      <c r="B222" s="3105" t="s">
        <v>7684</v>
      </c>
      <c r="C222" s="3105" t="s">
        <v>7552</v>
      </c>
      <c r="D222" s="3106" t="s">
        <v>394</v>
      </c>
      <c r="E222" s="3326"/>
      <c r="F222" s="3305"/>
      <c r="G222" s="3305"/>
      <c r="H222" s="3305"/>
      <c r="I222" s="3305"/>
      <c r="J222" s="3305"/>
    </row>
    <row r="223" spans="1:10" ht="21.95" customHeight="1">
      <c r="A223" s="3330"/>
      <c r="B223" s="3105" t="s">
        <v>7684</v>
      </c>
      <c r="C223" s="3105" t="s">
        <v>7533</v>
      </c>
      <c r="D223" s="3106" t="s">
        <v>409</v>
      </c>
      <c r="E223" s="3326"/>
      <c r="F223" s="3305"/>
      <c r="G223" s="3305"/>
      <c r="H223" s="3305"/>
      <c r="I223" s="3305"/>
      <c r="J223" s="3305"/>
    </row>
    <row r="224" spans="1:10" ht="21.95" customHeight="1">
      <c r="A224" s="3330"/>
      <c r="B224" s="3105" t="s">
        <v>7684</v>
      </c>
      <c r="C224" s="3105" t="s">
        <v>7533</v>
      </c>
      <c r="D224" s="3106" t="s">
        <v>415</v>
      </c>
      <c r="E224" s="3326">
        <f>BS!H41</f>
        <v>1731944.44</v>
      </c>
      <c r="F224" s="3305"/>
      <c r="G224" s="3305"/>
      <c r="H224" s="3305"/>
      <c r="I224" s="3305"/>
      <c r="J224" s="3305"/>
    </row>
    <row r="225" spans="1:10" ht="21.95" customHeight="1">
      <c r="A225" s="3330"/>
      <c r="B225" s="3105" t="s">
        <v>7560</v>
      </c>
      <c r="C225" s="3105" t="s">
        <v>7533</v>
      </c>
      <c r="D225" s="3106" t="s">
        <v>429</v>
      </c>
      <c r="E225" s="3326">
        <f>BS!H43</f>
        <v>3483445.9</v>
      </c>
      <c r="F225" s="3305"/>
      <c r="G225" s="3305"/>
      <c r="H225" s="3305"/>
      <c r="I225" s="3305"/>
      <c r="J225" s="3305"/>
    </row>
    <row r="226" spans="1:10" ht="21.95" customHeight="1">
      <c r="A226" s="3330"/>
      <c r="B226" s="3105" t="s">
        <v>7562</v>
      </c>
      <c r="C226" s="3105" t="s">
        <v>7535</v>
      </c>
      <c r="D226" s="3106" t="s">
        <v>7685</v>
      </c>
      <c r="E226" s="3326"/>
      <c r="F226" s="3305"/>
      <c r="G226" s="3305"/>
      <c r="H226" s="3305"/>
      <c r="I226" s="3305"/>
      <c r="J226" s="3305"/>
    </row>
    <row r="227" spans="1:10" ht="21.95" customHeight="1">
      <c r="A227" s="3330"/>
      <c r="B227" s="3105" t="s">
        <v>7562</v>
      </c>
      <c r="C227" s="3105" t="s">
        <v>7535</v>
      </c>
      <c r="D227" s="3106" t="s">
        <v>7612</v>
      </c>
      <c r="E227" s="3326">
        <f t="shared" ref="E227:E233" si="0">E138</f>
        <v>148464472.00999999</v>
      </c>
      <c r="F227" s="3305"/>
      <c r="G227" s="3305"/>
      <c r="H227" s="3305"/>
      <c r="I227" s="3305"/>
      <c r="J227" s="3305"/>
    </row>
    <row r="228" spans="1:10" ht="21.95" customHeight="1">
      <c r="A228" s="3330"/>
      <c r="B228" s="3105" t="s">
        <v>7562</v>
      </c>
      <c r="C228" s="3105" t="s">
        <v>7535</v>
      </c>
      <c r="D228" s="3106" t="s">
        <v>7613</v>
      </c>
      <c r="E228" s="3326">
        <f t="shared" si="0"/>
        <v>0</v>
      </c>
      <c r="F228" s="3305"/>
      <c r="G228" s="3305"/>
      <c r="H228" s="3305"/>
      <c r="I228" s="3305"/>
      <c r="J228" s="3305"/>
    </row>
    <row r="229" spans="1:10" ht="21.95" customHeight="1">
      <c r="A229" s="3330"/>
      <c r="B229" s="3105" t="s">
        <v>7562</v>
      </c>
      <c r="C229" s="3105" t="s">
        <v>7535</v>
      </c>
      <c r="D229" s="3106" t="s">
        <v>7614</v>
      </c>
      <c r="E229" s="3326">
        <f t="shared" si="0"/>
        <v>0</v>
      </c>
      <c r="F229" s="3305"/>
      <c r="G229" s="3305"/>
      <c r="H229" s="3305"/>
      <c r="I229" s="3305"/>
      <c r="J229" s="3305"/>
    </row>
    <row r="230" spans="1:10" ht="21.95" customHeight="1">
      <c r="A230" s="3330"/>
      <c r="B230" s="3105" t="s">
        <v>7560</v>
      </c>
      <c r="C230" s="3105" t="s">
        <v>7533</v>
      </c>
      <c r="D230" s="3106" t="s">
        <v>7685</v>
      </c>
      <c r="E230" s="3326">
        <f t="shared" si="0"/>
        <v>0</v>
      </c>
      <c r="F230" s="3305"/>
      <c r="G230" s="3305"/>
      <c r="H230" s="3305"/>
      <c r="I230" s="3305"/>
      <c r="J230" s="3305"/>
    </row>
    <row r="231" spans="1:10" ht="21.95" customHeight="1">
      <c r="A231" s="3330"/>
      <c r="B231" s="3105" t="s">
        <v>7560</v>
      </c>
      <c r="C231" s="3105" t="s">
        <v>7533</v>
      </c>
      <c r="D231" s="3106" t="s">
        <v>7612</v>
      </c>
      <c r="E231" s="3326">
        <f t="shared" si="0"/>
        <v>135106304.03</v>
      </c>
      <c r="F231" s="3305"/>
      <c r="G231" s="3305"/>
      <c r="H231" s="3305"/>
      <c r="I231" s="3305"/>
      <c r="J231" s="3305"/>
    </row>
    <row r="232" spans="1:10" ht="21.95" customHeight="1">
      <c r="A232" s="3330"/>
      <c r="B232" s="3105" t="s">
        <v>7560</v>
      </c>
      <c r="C232" s="3105" t="s">
        <v>7533</v>
      </c>
      <c r="D232" s="3106" t="s">
        <v>7613</v>
      </c>
      <c r="E232" s="3326">
        <f t="shared" si="0"/>
        <v>0</v>
      </c>
      <c r="F232" s="3305"/>
      <c r="G232" s="3305"/>
      <c r="H232" s="3305"/>
      <c r="I232" s="3305"/>
      <c r="J232" s="3305"/>
    </row>
    <row r="233" spans="1:10" ht="21.95" customHeight="1">
      <c r="A233" s="3330"/>
      <c r="B233" s="3105" t="s">
        <v>7560</v>
      </c>
      <c r="C233" s="3105" t="s">
        <v>7533</v>
      </c>
      <c r="D233" s="3106" t="s">
        <v>7614</v>
      </c>
      <c r="E233" s="3326">
        <f t="shared" si="0"/>
        <v>0</v>
      </c>
      <c r="F233" s="3305"/>
      <c r="G233" s="3305"/>
      <c r="H233" s="3305"/>
      <c r="I233" s="3305"/>
      <c r="J233" s="3305"/>
    </row>
    <row r="234" spans="1:10" ht="21.95" customHeight="1">
      <c r="A234" s="3330"/>
      <c r="B234" s="3105" t="s">
        <v>7560</v>
      </c>
      <c r="C234" s="3105" t="s">
        <v>7533</v>
      </c>
      <c r="D234" s="3106" t="s">
        <v>7686</v>
      </c>
      <c r="E234" s="3326">
        <f>减值表!D20</f>
        <v>47077149.619999997</v>
      </c>
      <c r="F234" s="3305"/>
      <c r="G234" s="3305"/>
      <c r="H234" s="3305"/>
      <c r="I234" s="3305"/>
      <c r="J234" s="3305"/>
    </row>
    <row r="235" spans="1:10" ht="21.95" customHeight="1">
      <c r="A235" s="3330"/>
      <c r="B235" s="3105" t="s">
        <v>7560</v>
      </c>
      <c r="C235" s="3105" t="s">
        <v>7533</v>
      </c>
      <c r="D235" s="3106" t="s">
        <v>7687</v>
      </c>
      <c r="E235" s="3326"/>
      <c r="F235" s="3305"/>
      <c r="G235" s="3305"/>
      <c r="H235" s="3305"/>
      <c r="I235" s="3305"/>
      <c r="J235" s="3305"/>
    </row>
    <row r="236" spans="1:10" ht="21.95" customHeight="1">
      <c r="A236" s="3330"/>
      <c r="B236" s="3105" t="s">
        <v>7560</v>
      </c>
      <c r="C236" s="3105" t="s">
        <v>7533</v>
      </c>
      <c r="D236" s="3106" t="s">
        <v>7688</v>
      </c>
      <c r="E236" s="3326"/>
      <c r="F236" s="3305"/>
      <c r="G236" s="3305"/>
      <c r="H236" s="3305"/>
      <c r="I236" s="3305"/>
      <c r="J236" s="3305"/>
    </row>
    <row r="237" spans="1:10" ht="21.95" customHeight="1">
      <c r="A237" s="3330"/>
      <c r="B237" s="3105" t="s">
        <v>7560</v>
      </c>
      <c r="C237" s="3105" t="s">
        <v>7533</v>
      </c>
      <c r="D237" s="3106" t="s">
        <v>7689</v>
      </c>
      <c r="E237" s="3326"/>
      <c r="F237" s="3305"/>
      <c r="G237" s="3305"/>
      <c r="H237" s="3305"/>
      <c r="I237" s="3305"/>
      <c r="J237" s="3305"/>
    </row>
    <row r="238" spans="1:10" ht="21.95" customHeight="1">
      <c r="A238" s="3330"/>
      <c r="B238" s="3105" t="s">
        <v>7562</v>
      </c>
      <c r="C238" s="3105" t="s">
        <v>7542</v>
      </c>
      <c r="D238" s="3106" t="s">
        <v>7690</v>
      </c>
      <c r="E238" s="3326"/>
      <c r="F238" s="3305"/>
      <c r="G238" s="3305"/>
      <c r="H238" s="3305"/>
      <c r="I238" s="3305"/>
      <c r="J238" s="3305"/>
    </row>
    <row r="239" spans="1:10" ht="21.95" customHeight="1">
      <c r="A239" s="3330"/>
      <c r="B239" s="3105" t="s">
        <v>7691</v>
      </c>
      <c r="C239" s="3105" t="s">
        <v>7542</v>
      </c>
      <c r="D239" s="3106" t="s">
        <v>7692</v>
      </c>
      <c r="E239" s="3331">
        <f>Notes!N2665</f>
        <v>7585109.7300000004</v>
      </c>
      <c r="F239" s="3323">
        <f>E239-E145-E157-E240</f>
        <v>1573265.7</v>
      </c>
      <c r="G239" s="3305"/>
      <c r="H239" s="3305"/>
      <c r="I239" s="3305"/>
      <c r="J239" s="3305"/>
    </row>
    <row r="240" spans="1:10" ht="21.95" customHeight="1">
      <c r="A240" s="3330"/>
      <c r="B240" s="3105" t="s">
        <v>7684</v>
      </c>
      <c r="C240" s="3105" t="s">
        <v>7542</v>
      </c>
      <c r="D240" s="3106" t="s">
        <v>7693</v>
      </c>
      <c r="E240" s="3331">
        <f>Notes!N2687</f>
        <v>1164397.8999999999</v>
      </c>
      <c r="F240" s="3323"/>
      <c r="G240" s="3305"/>
      <c r="H240" s="3305"/>
      <c r="I240" s="3305"/>
      <c r="J240" s="3305"/>
    </row>
    <row r="241" spans="1:10" ht="21.95" customHeight="1">
      <c r="A241" s="3330"/>
      <c r="B241" s="3105" t="s">
        <v>7691</v>
      </c>
      <c r="C241" s="3105" t="s">
        <v>7542</v>
      </c>
      <c r="D241" s="3106" t="s">
        <v>7694</v>
      </c>
      <c r="E241" s="3326"/>
      <c r="F241" s="3305"/>
      <c r="G241" s="3305"/>
      <c r="H241" s="3305"/>
      <c r="I241" s="3305"/>
      <c r="J241" s="3305"/>
    </row>
    <row r="242" spans="1:10" ht="21.95" customHeight="1">
      <c r="A242" s="3330"/>
      <c r="B242" s="3105" t="s">
        <v>7691</v>
      </c>
      <c r="C242" s="3105" t="s">
        <v>7542</v>
      </c>
      <c r="D242" s="3106" t="s">
        <v>7695</v>
      </c>
      <c r="E242" s="3326"/>
      <c r="F242" s="3305"/>
      <c r="G242" s="3305"/>
      <c r="H242" s="3305"/>
      <c r="I242" s="3305"/>
      <c r="J242" s="3305"/>
    </row>
    <row r="243" spans="1:10" ht="21.95" customHeight="1">
      <c r="A243" s="3330"/>
      <c r="B243" s="3105" t="s">
        <v>7691</v>
      </c>
      <c r="C243" s="3105" t="s">
        <v>7542</v>
      </c>
      <c r="D243" s="3106" t="s">
        <v>7696</v>
      </c>
      <c r="E243" s="3326">
        <f>E151</f>
        <v>507056.61</v>
      </c>
      <c r="F243" s="3368"/>
      <c r="G243" s="3305"/>
      <c r="H243" s="3305"/>
      <c r="I243" s="3305"/>
      <c r="J243" s="3305"/>
    </row>
    <row r="244" spans="1:10" ht="21.95" customHeight="1">
      <c r="A244" s="3330"/>
      <c r="B244" s="3105" t="s">
        <v>7562</v>
      </c>
      <c r="C244" s="3105" t="s">
        <v>7542</v>
      </c>
      <c r="D244" s="3106" t="s">
        <v>7697</v>
      </c>
      <c r="E244" s="3326">
        <f>E153</f>
        <v>0</v>
      </c>
      <c r="F244" s="3305"/>
      <c r="G244" s="3305"/>
      <c r="H244" s="3305"/>
      <c r="I244" s="3305"/>
      <c r="J244" s="3305"/>
    </row>
    <row r="245" spans="1:10" ht="21.95" customHeight="1">
      <c r="A245" s="3330"/>
      <c r="B245" s="3105" t="s">
        <v>7691</v>
      </c>
      <c r="C245" s="3105" t="s">
        <v>7542</v>
      </c>
      <c r="D245" s="3106" t="s">
        <v>7698</v>
      </c>
      <c r="E245" s="3326"/>
      <c r="F245" s="3305"/>
      <c r="G245" s="3305"/>
      <c r="H245" s="3305"/>
      <c r="I245" s="3305"/>
      <c r="J245" s="3305"/>
    </row>
    <row r="246" spans="1:10" ht="21.95" customHeight="1">
      <c r="A246" s="3330"/>
      <c r="B246" s="3105" t="s">
        <v>7691</v>
      </c>
      <c r="C246" s="3105" t="s">
        <v>7542</v>
      </c>
      <c r="D246" s="3106" t="s">
        <v>7699</v>
      </c>
      <c r="E246" s="3326">
        <f>E152</f>
        <v>991288.81</v>
      </c>
      <c r="F246" s="3305"/>
      <c r="G246" s="3305"/>
      <c r="H246" s="3305"/>
      <c r="I246" s="3305"/>
      <c r="J246" s="3305"/>
    </row>
    <row r="247" spans="1:10" ht="21.95" customHeight="1">
      <c r="A247" s="3330"/>
      <c r="B247" s="3105" t="s">
        <v>7562</v>
      </c>
      <c r="C247" s="3105" t="s">
        <v>7542</v>
      </c>
      <c r="D247" s="3106" t="s">
        <v>7700</v>
      </c>
      <c r="E247" s="3326"/>
      <c r="F247" s="3305"/>
      <c r="G247" s="3305"/>
      <c r="H247" s="3305"/>
      <c r="I247" s="3305"/>
      <c r="J247" s="3305"/>
    </row>
    <row r="248" spans="1:10" ht="21.95" customHeight="1">
      <c r="A248" s="3330"/>
      <c r="B248" s="3328" t="s">
        <v>7252</v>
      </c>
      <c r="C248" s="3105" t="s">
        <v>7535</v>
      </c>
      <c r="D248" s="3106" t="s">
        <v>7558</v>
      </c>
      <c r="E248" s="3326">
        <f>E70</f>
        <v>0</v>
      </c>
      <c r="F248" s="3305"/>
      <c r="G248" s="3305"/>
      <c r="H248" s="3305"/>
      <c r="I248" s="3305"/>
      <c r="J248" s="3305"/>
    </row>
    <row r="249" spans="1:10" ht="21.95" customHeight="1">
      <c r="A249" s="3330"/>
      <c r="B249" s="3328" t="s">
        <v>7252</v>
      </c>
      <c r="C249" s="3105" t="s">
        <v>7552</v>
      </c>
      <c r="D249" s="3106" t="s">
        <v>7701</v>
      </c>
      <c r="E249" s="3326">
        <f>E72</f>
        <v>9126549.8100000005</v>
      </c>
      <c r="F249" s="3305"/>
      <c r="G249" s="3305"/>
      <c r="H249" s="3305"/>
      <c r="I249" s="3305"/>
      <c r="J249" s="3305"/>
    </row>
    <row r="250" spans="1:10" ht="21.95" customHeight="1">
      <c r="A250" s="3330"/>
      <c r="B250" s="3328" t="s">
        <v>7253</v>
      </c>
      <c r="C250" s="3105" t="s">
        <v>7677</v>
      </c>
      <c r="D250" s="3106" t="s">
        <v>7702</v>
      </c>
      <c r="E250" s="3326">
        <f>E71</f>
        <v>2916420.95</v>
      </c>
      <c r="F250" s="3368">
        <f>E249-E250</f>
        <v>6210128.8600000003</v>
      </c>
      <c r="G250" s="3305"/>
      <c r="H250" s="3305"/>
      <c r="I250" s="3305"/>
      <c r="J250" s="3305"/>
    </row>
    <row r="251" spans="1:10" ht="21.95" customHeight="1">
      <c r="A251" s="3330"/>
      <c r="B251" s="3328" t="s">
        <v>7253</v>
      </c>
      <c r="C251" s="3105" t="s">
        <v>7552</v>
      </c>
      <c r="D251" s="3106" t="s">
        <v>7703</v>
      </c>
      <c r="E251" s="3326">
        <f>E69</f>
        <v>0</v>
      </c>
      <c r="F251" s="3368"/>
      <c r="G251" s="3305"/>
      <c r="H251" s="3305"/>
      <c r="I251" s="3305"/>
      <c r="J251" s="3305"/>
    </row>
    <row r="252" spans="1:10" ht="21.95" customHeight="1">
      <c r="A252" s="3330"/>
      <c r="B252" s="3356" t="s">
        <v>7560</v>
      </c>
      <c r="C252" s="3346" t="s">
        <v>7550</v>
      </c>
      <c r="D252" s="3357" t="s">
        <v>7704</v>
      </c>
      <c r="E252" s="3354"/>
      <c r="F252" s="3337"/>
      <c r="G252" s="3305"/>
      <c r="H252" s="3305"/>
      <c r="I252" s="3305"/>
      <c r="J252" s="3305"/>
    </row>
    <row r="253" spans="1:10" ht="21.95" customHeight="1">
      <c r="A253" s="3339" t="s">
        <v>5742</v>
      </c>
      <c r="B253" s="3340" t="s">
        <v>7568</v>
      </c>
      <c r="C253" s="3340"/>
      <c r="D253" s="3341"/>
      <c r="E253" s="3342">
        <f>SUMIF(B197:B252,"加",E197:E252)-SUMIF(B197:B252,"减",E197:E252)</f>
        <v>13529178</v>
      </c>
      <c r="F253" s="3305"/>
      <c r="G253" s="3305"/>
      <c r="H253" s="3305"/>
      <c r="I253" s="3305"/>
      <c r="J253" s="3305"/>
    </row>
    <row r="254" spans="1:10" ht="21.95" customHeight="1">
      <c r="A254" s="3327" t="s">
        <v>7705</v>
      </c>
      <c r="B254" s="3328" t="s">
        <v>7252</v>
      </c>
      <c r="C254" s="3105" t="s">
        <v>7550</v>
      </c>
      <c r="D254" s="3106" t="s">
        <v>7706</v>
      </c>
      <c r="E254" s="3326"/>
      <c r="F254" s="3305"/>
      <c r="G254" s="3305"/>
      <c r="H254" s="3305"/>
      <c r="I254" s="3305"/>
      <c r="J254" s="3305"/>
    </row>
    <row r="255" spans="1:10" ht="21.95" customHeight="1">
      <c r="A255" s="3330"/>
      <c r="B255" s="3328" t="s">
        <v>7252</v>
      </c>
      <c r="C255" s="3105" t="s">
        <v>7550</v>
      </c>
      <c r="D255" s="3106" t="s">
        <v>7707</v>
      </c>
      <c r="E255" s="3326"/>
      <c r="F255" s="3305"/>
      <c r="G255" s="3305"/>
      <c r="H255" s="3305"/>
      <c r="I255" s="3305"/>
      <c r="J255" s="3305"/>
    </row>
    <row r="256" spans="1:10" ht="21.95" customHeight="1">
      <c r="A256" s="3330"/>
      <c r="B256" s="3328" t="s">
        <v>7252</v>
      </c>
      <c r="C256" s="3105" t="s">
        <v>7550</v>
      </c>
      <c r="D256" s="3106" t="s">
        <v>7708</v>
      </c>
      <c r="E256" s="3326"/>
      <c r="F256" s="3305"/>
      <c r="G256" s="3305"/>
      <c r="H256" s="3305"/>
      <c r="I256" s="3305"/>
      <c r="J256" s="3305"/>
    </row>
    <row r="257" spans="1:10" ht="21.95" customHeight="1">
      <c r="A257" s="3358"/>
      <c r="B257" s="3328" t="s">
        <v>7252</v>
      </c>
      <c r="C257" s="3105" t="s">
        <v>7550</v>
      </c>
      <c r="D257" s="3106" t="s">
        <v>7709</v>
      </c>
      <c r="E257" s="3326"/>
      <c r="F257" s="3305"/>
      <c r="G257" s="3305"/>
      <c r="H257" s="3305"/>
      <c r="I257" s="3305"/>
      <c r="J257" s="3305"/>
    </row>
    <row r="258" spans="1:10" ht="21.95" customHeight="1">
      <c r="A258" s="3330"/>
      <c r="B258" s="3328" t="s">
        <v>7252</v>
      </c>
      <c r="C258" s="3105" t="s">
        <v>7550</v>
      </c>
      <c r="D258" s="3106" t="s">
        <v>7710</v>
      </c>
      <c r="E258" s="3326"/>
      <c r="F258" s="3305"/>
      <c r="G258" s="3305"/>
      <c r="H258" s="3305"/>
      <c r="I258" s="3305"/>
      <c r="J258" s="3305"/>
    </row>
    <row r="259" spans="1:10" ht="21.95" customHeight="1">
      <c r="A259" s="3339" t="s">
        <v>207</v>
      </c>
      <c r="B259" s="3340" t="s">
        <v>7568</v>
      </c>
      <c r="C259" s="3340"/>
      <c r="D259" s="3341"/>
      <c r="E259" s="3342">
        <f>SUMIF(B254:B258,"加",E254:E258)-SUMIF(B254:B258,"减",E254:E258)</f>
        <v>0</v>
      </c>
      <c r="F259" s="3305"/>
      <c r="G259" s="3305"/>
      <c r="H259" s="3305"/>
      <c r="I259" s="3305"/>
      <c r="J259" s="3305"/>
    </row>
    <row r="260" spans="1:10" ht="21.95" customHeight="1">
      <c r="A260" s="3359" t="s">
        <v>7711</v>
      </c>
      <c r="B260" s="3328" t="s">
        <v>7252</v>
      </c>
      <c r="C260" s="3105" t="s">
        <v>7550</v>
      </c>
      <c r="D260" s="3106" t="s">
        <v>7712</v>
      </c>
      <c r="E260" s="3326"/>
      <c r="F260" s="3305"/>
      <c r="G260" s="3305"/>
      <c r="H260" s="3305"/>
      <c r="I260" s="3305"/>
      <c r="J260" s="3305"/>
    </row>
    <row r="261" spans="1:10" ht="21.95" customHeight="1">
      <c r="A261" s="3358"/>
      <c r="B261" s="3328" t="s">
        <v>7252</v>
      </c>
      <c r="C261" s="3105" t="s">
        <v>7550</v>
      </c>
      <c r="D261" s="3106" t="s">
        <v>7709</v>
      </c>
      <c r="E261" s="3326"/>
      <c r="F261" s="3305"/>
      <c r="G261" s="3305"/>
      <c r="H261" s="3305"/>
      <c r="I261" s="3305"/>
      <c r="J261" s="3305"/>
    </row>
    <row r="262" spans="1:10" ht="21.95" customHeight="1">
      <c r="A262" s="3339" t="s">
        <v>217</v>
      </c>
      <c r="B262" s="3340" t="s">
        <v>7568</v>
      </c>
      <c r="C262" s="3340"/>
      <c r="D262" s="3341"/>
      <c r="E262" s="3342">
        <f>SUMIF(B260:B261,"加",E260:E261)-SUMIF(B260:B261,"减",E260:E261)</f>
        <v>0</v>
      </c>
      <c r="F262" s="3305"/>
      <c r="G262" s="3305"/>
      <c r="H262" s="3305"/>
      <c r="I262" s="3305"/>
      <c r="J262" s="3305"/>
    </row>
    <row r="263" spans="1:10" ht="21.95" customHeight="1">
      <c r="A263" s="3327" t="s">
        <v>7713</v>
      </c>
      <c r="B263" s="3328" t="s">
        <v>7252</v>
      </c>
      <c r="C263" s="3105" t="s">
        <v>7550</v>
      </c>
      <c r="D263" s="3106" t="s">
        <v>7714</v>
      </c>
      <c r="E263" s="3326"/>
      <c r="F263" s="3305"/>
      <c r="G263" s="3305"/>
      <c r="H263" s="3305"/>
      <c r="I263" s="3305"/>
      <c r="J263" s="3305"/>
    </row>
    <row r="264" spans="1:10" ht="21.95" customHeight="1">
      <c r="A264" s="3339" t="s">
        <v>225</v>
      </c>
      <c r="B264" s="3340" t="s">
        <v>7568</v>
      </c>
      <c r="C264" s="3340"/>
      <c r="D264" s="3341"/>
      <c r="E264" s="3342">
        <f>SUMIF(B263:B263,"加",E263:E263)-SUMIF(B263:B263,"减",E263:E263)</f>
        <v>0</v>
      </c>
      <c r="F264" s="3305"/>
      <c r="G264" s="3305"/>
      <c r="H264" s="3305"/>
      <c r="I264" s="3305"/>
      <c r="J264" s="3305"/>
    </row>
    <row r="265" spans="1:10" ht="21.95" customHeight="1">
      <c r="A265" s="3327" t="s">
        <v>7715</v>
      </c>
      <c r="B265" s="3328" t="s">
        <v>7252</v>
      </c>
      <c r="C265" s="3105" t="s">
        <v>7548</v>
      </c>
      <c r="D265" s="3106" t="s">
        <v>652</v>
      </c>
      <c r="E265" s="3326"/>
      <c r="F265" s="3305"/>
      <c r="G265" s="3305"/>
      <c r="H265" s="3305"/>
      <c r="I265" s="3305"/>
      <c r="J265" s="3305"/>
    </row>
    <row r="266" spans="1:10" ht="21.95" customHeight="1">
      <c r="A266" s="3330"/>
      <c r="B266" s="3328" t="s">
        <v>7252</v>
      </c>
      <c r="C266" s="3105" t="s">
        <v>7548</v>
      </c>
      <c r="D266" s="3106" t="s">
        <v>7716</v>
      </c>
      <c r="E266" s="3326"/>
      <c r="F266" s="3305"/>
      <c r="G266" s="3305"/>
      <c r="H266" s="3305"/>
      <c r="I266" s="3305"/>
      <c r="J266" s="3305"/>
    </row>
    <row r="267" spans="1:10" ht="21.95" customHeight="1">
      <c r="A267" s="3330"/>
      <c r="B267" s="3328" t="s">
        <v>7253</v>
      </c>
      <c r="C267" s="3105" t="s">
        <v>7552</v>
      </c>
      <c r="D267" s="3106" t="s">
        <v>652</v>
      </c>
      <c r="E267" s="3326"/>
      <c r="F267" s="3305"/>
      <c r="G267" s="3305"/>
      <c r="H267" s="3305"/>
      <c r="I267" s="3305"/>
      <c r="J267" s="3305"/>
    </row>
    <row r="268" spans="1:10" ht="21.95" customHeight="1">
      <c r="A268" s="3330"/>
      <c r="B268" s="3328" t="s">
        <v>7253</v>
      </c>
      <c r="C268" s="3105" t="s">
        <v>7552</v>
      </c>
      <c r="D268" s="3106" t="s">
        <v>7716</v>
      </c>
      <c r="E268" s="3326"/>
      <c r="F268" s="3305"/>
      <c r="G268" s="3305"/>
      <c r="H268" s="3305"/>
      <c r="I268" s="3305"/>
      <c r="J268" s="3305"/>
    </row>
    <row r="269" spans="1:10" ht="21.95" customHeight="1">
      <c r="A269" s="3339" t="s">
        <v>233</v>
      </c>
      <c r="B269" s="3340" t="s">
        <v>7568</v>
      </c>
      <c r="C269" s="3340"/>
      <c r="D269" s="3341"/>
      <c r="E269" s="3342">
        <f>SUMIF(B265:B268,"加",E265:E268)-SUMIF(B265:B268,"减",E265:E268)</f>
        <v>0</v>
      </c>
      <c r="F269" s="3305"/>
      <c r="G269" s="3305"/>
      <c r="H269" s="3305"/>
      <c r="I269" s="3305"/>
      <c r="J269" s="3305"/>
    </row>
    <row r="270" spans="1:10" ht="21.95" customHeight="1">
      <c r="A270" s="3327" t="s">
        <v>7717</v>
      </c>
      <c r="B270" s="3328" t="s">
        <v>7252</v>
      </c>
      <c r="C270" s="3105" t="s">
        <v>7718</v>
      </c>
      <c r="D270" s="3106" t="s">
        <v>7719</v>
      </c>
      <c r="E270" s="3331"/>
      <c r="F270" s="3305"/>
      <c r="G270" s="3305"/>
      <c r="H270" s="3305"/>
      <c r="I270" s="3305"/>
      <c r="J270" s="3305"/>
    </row>
    <row r="271" spans="1:10" ht="21.95" customHeight="1">
      <c r="A271" s="3330"/>
      <c r="B271" s="3328" t="s">
        <v>7252</v>
      </c>
      <c r="C271" s="3105" t="s">
        <v>7718</v>
      </c>
      <c r="D271" s="3106" t="s">
        <v>7720</v>
      </c>
      <c r="E271" s="3326"/>
      <c r="F271" s="3305"/>
      <c r="G271" s="3305"/>
      <c r="H271" s="3305"/>
      <c r="I271" s="3305"/>
      <c r="J271" s="3305"/>
    </row>
    <row r="272" spans="1:10" ht="21.95" customHeight="1">
      <c r="A272" s="3330"/>
      <c r="B272" s="3328" t="s">
        <v>7252</v>
      </c>
      <c r="C272" s="3105" t="s">
        <v>7718</v>
      </c>
      <c r="D272" s="3347" t="s">
        <v>550</v>
      </c>
      <c r="E272" s="3348"/>
      <c r="F272" s="3305"/>
      <c r="G272" s="3305"/>
      <c r="H272" s="3305"/>
      <c r="I272" s="3305"/>
      <c r="J272" s="3305"/>
    </row>
    <row r="273" spans="1:10" ht="21.95" customHeight="1">
      <c r="A273" s="3330"/>
      <c r="B273" s="3328" t="s">
        <v>7252</v>
      </c>
      <c r="C273" s="3105" t="s">
        <v>7718</v>
      </c>
      <c r="D273" s="3347" t="s">
        <v>554</v>
      </c>
      <c r="E273" s="3348"/>
      <c r="F273" s="3305"/>
      <c r="G273" s="3305"/>
      <c r="H273" s="3305"/>
      <c r="I273" s="3305"/>
      <c r="J273" s="3305"/>
    </row>
    <row r="274" spans="1:10" ht="21.95" customHeight="1">
      <c r="A274" s="3339" t="s">
        <v>253</v>
      </c>
      <c r="B274" s="3340" t="s">
        <v>7568</v>
      </c>
      <c r="C274" s="3340"/>
      <c r="D274" s="3341"/>
      <c r="E274" s="3342">
        <f>SUMIF(B270:B273,"加",E270:E273)-SUMIF(B270:B273,"减",E270:E273)</f>
        <v>0</v>
      </c>
      <c r="F274" s="3305"/>
      <c r="G274" s="3305"/>
      <c r="H274" s="3305"/>
      <c r="I274" s="3305"/>
      <c r="J274" s="3305"/>
    </row>
    <row r="275" spans="1:10" ht="21.95" customHeight="1">
      <c r="A275" s="3327" t="s">
        <v>7721</v>
      </c>
      <c r="B275" s="3328" t="s">
        <v>7252</v>
      </c>
      <c r="C275" s="3105" t="s">
        <v>7718</v>
      </c>
      <c r="D275" s="3106" t="s">
        <v>7722</v>
      </c>
      <c r="E275" s="3326"/>
      <c r="H275" s="3305"/>
      <c r="I275" s="3305"/>
      <c r="J275" s="3305"/>
    </row>
    <row r="276" spans="1:10" ht="21.95" customHeight="1">
      <c r="A276" s="3330"/>
      <c r="B276" s="3351" t="s">
        <v>7762</v>
      </c>
      <c r="C276" s="3105" t="s">
        <v>7763</v>
      </c>
      <c r="D276" s="3106" t="s">
        <v>7764</v>
      </c>
      <c r="E276" s="3326">
        <v>44850015</v>
      </c>
      <c r="H276" s="3305"/>
      <c r="I276" s="3305"/>
      <c r="J276" s="3305"/>
    </row>
    <row r="277" spans="1:10" ht="21.95" customHeight="1">
      <c r="A277" s="3330"/>
      <c r="B277" s="3328" t="s">
        <v>7252</v>
      </c>
      <c r="C277" s="3105" t="s">
        <v>7718</v>
      </c>
      <c r="D277" s="3106" t="s">
        <v>7723</v>
      </c>
      <c r="E277" s="3326"/>
      <c r="H277" s="3305"/>
      <c r="I277" s="3305"/>
      <c r="J277" s="3305"/>
    </row>
    <row r="278" spans="1:10" ht="21.95" customHeight="1">
      <c r="A278" s="3339" t="s">
        <v>261</v>
      </c>
      <c r="B278" s="3340" t="s">
        <v>7568</v>
      </c>
      <c r="C278" s="3340"/>
      <c r="D278" s="3341"/>
      <c r="E278" s="3342">
        <f>SUMIF(B275:B277,"加",E275:E277)-SUMIF(B275:B277,"减",E275:E277)</f>
        <v>44850015</v>
      </c>
      <c r="H278" s="3305"/>
      <c r="I278" s="3305"/>
      <c r="J278" s="3305"/>
    </row>
    <row r="279" spans="1:10" ht="21.95" customHeight="1">
      <c r="A279" s="3327" t="s">
        <v>7724</v>
      </c>
      <c r="B279" s="3328" t="s">
        <v>7252</v>
      </c>
      <c r="C279" s="3105" t="s">
        <v>7725</v>
      </c>
      <c r="D279" s="3106" t="s">
        <v>7726</v>
      </c>
      <c r="E279" s="3331"/>
      <c r="H279" s="3305"/>
      <c r="I279" s="3305"/>
      <c r="J279" s="3305"/>
    </row>
    <row r="280" spans="1:10" ht="21.95" customHeight="1">
      <c r="A280" s="3330"/>
      <c r="B280" s="3328" t="s">
        <v>7252</v>
      </c>
      <c r="C280" s="3105" t="s">
        <v>7725</v>
      </c>
      <c r="D280" s="3106" t="s">
        <v>7727</v>
      </c>
      <c r="E280" s="3344"/>
      <c r="H280" s="3305"/>
      <c r="I280" s="3305"/>
      <c r="J280" s="3305"/>
    </row>
    <row r="281" spans="1:10" ht="21.95" customHeight="1">
      <c r="A281" s="3330"/>
      <c r="B281" s="3328" t="s">
        <v>7252</v>
      </c>
      <c r="C281" s="3105" t="s">
        <v>7725</v>
      </c>
      <c r="D281" s="3106" t="s">
        <v>7728</v>
      </c>
      <c r="E281" s="3331"/>
      <c r="H281" s="3305"/>
      <c r="I281" s="3305"/>
      <c r="J281" s="3305"/>
    </row>
    <row r="282" spans="1:10" ht="23.25" customHeight="1">
      <c r="A282" s="3330"/>
      <c r="B282" s="3328" t="s">
        <v>7253</v>
      </c>
      <c r="C282" s="3105" t="s">
        <v>7718</v>
      </c>
      <c r="D282" s="3106" t="s">
        <v>7728</v>
      </c>
      <c r="E282" s="3326"/>
      <c r="H282" s="3305"/>
      <c r="I282" s="3305"/>
      <c r="J282" s="3305"/>
    </row>
    <row r="283" spans="1:10" ht="23.25" customHeight="1">
      <c r="A283" s="3330"/>
      <c r="B283" s="3328" t="s">
        <v>7252</v>
      </c>
      <c r="C283" s="3105" t="s">
        <v>7725</v>
      </c>
      <c r="D283" s="3347" t="s">
        <v>550</v>
      </c>
      <c r="E283" s="3348"/>
      <c r="H283" s="3305"/>
      <c r="I283" s="3305"/>
      <c r="J283" s="3305"/>
    </row>
    <row r="284" spans="1:10" ht="23.25" customHeight="1">
      <c r="A284" s="3330"/>
      <c r="B284" s="3328" t="s">
        <v>7252</v>
      </c>
      <c r="C284" s="3105" t="s">
        <v>7725</v>
      </c>
      <c r="D284" s="3347" t="s">
        <v>554</v>
      </c>
      <c r="E284" s="3348"/>
      <c r="H284" s="3305"/>
      <c r="I284" s="3305"/>
      <c r="J284" s="3305"/>
    </row>
    <row r="285" spans="1:10" ht="21.95" customHeight="1">
      <c r="A285" s="3339" t="s">
        <v>269</v>
      </c>
      <c r="B285" s="3340" t="s">
        <v>7568</v>
      </c>
      <c r="C285" s="3340"/>
      <c r="D285" s="3341"/>
      <c r="E285" s="3342">
        <f>SUMIF(B279:B284,"加",E279:E284)-SUMIF(B279:B284,"减",E279:E284)</f>
        <v>0</v>
      </c>
      <c r="H285" s="3305"/>
      <c r="I285" s="3305"/>
      <c r="J285" s="3305"/>
    </row>
    <row r="286" spans="1:10" ht="21.95" customHeight="1">
      <c r="A286" s="3327" t="s">
        <v>7729</v>
      </c>
      <c r="B286" s="3328" t="s">
        <v>7252</v>
      </c>
      <c r="C286" s="3105" t="s">
        <v>7725</v>
      </c>
      <c r="D286" s="3106" t="s">
        <v>7730</v>
      </c>
      <c r="E286" s="3331"/>
      <c r="G286" s="3350"/>
      <c r="H286" s="3305"/>
      <c r="I286" s="3305"/>
      <c r="J286" s="3305"/>
    </row>
    <row r="287" spans="1:10" ht="21.95" customHeight="1">
      <c r="A287" s="3330"/>
      <c r="B287" s="3328" t="s">
        <v>7252</v>
      </c>
      <c r="C287" s="3105" t="s">
        <v>7550</v>
      </c>
      <c r="D287" s="3106" t="s">
        <v>7731</v>
      </c>
      <c r="E287" s="3326">
        <f>E160</f>
        <v>2094341.69</v>
      </c>
      <c r="F287" s="3349" t="s">
        <v>7761</v>
      </c>
      <c r="H287" s="3305"/>
      <c r="I287" s="3305"/>
      <c r="J287" s="3305"/>
    </row>
    <row r="288" spans="1:10" ht="21.95" customHeight="1">
      <c r="A288" s="3330"/>
      <c r="B288" s="3328" t="s">
        <v>7252</v>
      </c>
      <c r="C288" s="3105" t="s">
        <v>7552</v>
      </c>
      <c r="D288" s="3106" t="s">
        <v>7732</v>
      </c>
      <c r="E288" s="3326"/>
      <c r="H288" s="3305"/>
      <c r="I288" s="3305"/>
      <c r="J288" s="3305"/>
    </row>
    <row r="289" spans="1:10" ht="21.95" customHeight="1">
      <c r="A289" s="3330"/>
      <c r="B289" s="3328" t="s">
        <v>7253</v>
      </c>
      <c r="C289" s="3105" t="s">
        <v>7548</v>
      </c>
      <c r="D289" s="3106" t="s">
        <v>7732</v>
      </c>
      <c r="E289" s="3326"/>
      <c r="H289" s="3305"/>
      <c r="I289" s="3305"/>
      <c r="J289" s="3305"/>
    </row>
    <row r="290" spans="1:10" ht="21.95" customHeight="1">
      <c r="A290" s="3339" t="s">
        <v>2262</v>
      </c>
      <c r="B290" s="3340" t="s">
        <v>7568</v>
      </c>
      <c r="C290" s="3340"/>
      <c r="D290" s="3341"/>
      <c r="E290" s="3342">
        <f>SUMIF(B286:B289,"加",E286:E289)-SUMIF(B286:B289,"减",E286:E289)</f>
        <v>2094341.69</v>
      </c>
      <c r="H290" s="3305"/>
      <c r="I290" s="3305"/>
      <c r="J290" s="3305"/>
    </row>
    <row r="291" spans="1:10" ht="21.95" customHeight="1">
      <c r="A291" s="3327" t="s">
        <v>7733</v>
      </c>
      <c r="B291" s="3328" t="s">
        <v>7252</v>
      </c>
      <c r="C291" s="3105" t="s">
        <v>7550</v>
      </c>
      <c r="D291" s="3106" t="s">
        <v>7734</v>
      </c>
      <c r="E291" s="3326"/>
      <c r="H291" s="3305"/>
      <c r="I291" s="3305"/>
      <c r="J291" s="3305"/>
    </row>
    <row r="292" spans="1:10" ht="21.95" customHeight="1">
      <c r="A292" s="3330"/>
      <c r="B292" s="3328" t="s">
        <v>7252</v>
      </c>
      <c r="C292" s="3105" t="s">
        <v>7725</v>
      </c>
      <c r="D292" s="3106" t="s">
        <v>7735</v>
      </c>
      <c r="E292" s="3326"/>
      <c r="F292" s="3305"/>
      <c r="G292" s="3305"/>
      <c r="H292" s="3305"/>
      <c r="I292" s="3305"/>
      <c r="J292" s="3305"/>
    </row>
    <row r="293" spans="1:10" ht="21.95" customHeight="1">
      <c r="A293" s="3330"/>
      <c r="B293" s="3360" t="s">
        <v>7252</v>
      </c>
      <c r="C293" s="3361" t="s">
        <v>7725</v>
      </c>
      <c r="D293" s="3106" t="s">
        <v>7736</v>
      </c>
      <c r="E293" s="3326">
        <f>Notes!H15</f>
        <v>1212482.17</v>
      </c>
      <c r="F293" s="3305"/>
      <c r="G293" s="3305"/>
      <c r="H293" s="3305"/>
      <c r="I293" s="3305"/>
      <c r="J293" s="3305"/>
    </row>
    <row r="294" spans="1:10" ht="21.95" customHeight="1">
      <c r="A294" s="3330"/>
      <c r="B294" s="3328" t="s">
        <v>7252</v>
      </c>
      <c r="C294" s="3105" t="s">
        <v>7725</v>
      </c>
      <c r="D294" s="3106" t="s">
        <v>7764</v>
      </c>
      <c r="E294" s="3326">
        <v>91500020</v>
      </c>
      <c r="F294" s="3305"/>
      <c r="G294" s="3305"/>
      <c r="H294" s="3305"/>
      <c r="I294" s="3305"/>
      <c r="J294" s="3305"/>
    </row>
    <row r="295" spans="1:10" ht="21.95" customHeight="1">
      <c r="A295" s="3339" t="s">
        <v>300</v>
      </c>
      <c r="B295" s="3340" t="s">
        <v>7568</v>
      </c>
      <c r="C295" s="3325"/>
      <c r="D295" s="3321"/>
      <c r="E295" s="3342">
        <f>SUMIF(B291:B294,"加",E291:E294)-SUMIF(B291:B294,"减",E291:E294)</f>
        <v>92712502.170000002</v>
      </c>
      <c r="F295" s="3305"/>
      <c r="G295" s="3305"/>
      <c r="H295" s="3305"/>
      <c r="I295" s="3305"/>
      <c r="J295" s="3305"/>
    </row>
    <row r="296" spans="1:10" ht="18" customHeight="1">
      <c r="A296" s="3337"/>
      <c r="F296" s="3305"/>
      <c r="G296" s="3305"/>
      <c r="H296" s="3305"/>
      <c r="I296" s="3305"/>
      <c r="J296" s="3305"/>
    </row>
    <row r="297" spans="1:10" ht="18" customHeight="1">
      <c r="E297" s="3365"/>
      <c r="F297" s="3366"/>
      <c r="G297" s="3305"/>
      <c r="H297" s="3305"/>
      <c r="I297" s="3305"/>
      <c r="J297" s="3305"/>
    </row>
    <row r="299" spans="1:10" ht="18" customHeight="1">
      <c r="D299" s="3367" t="s">
        <v>7737</v>
      </c>
      <c r="E299" s="3364">
        <f>E14-E16-E19</f>
        <v>-655458.76</v>
      </c>
      <c r="F299" s="3350"/>
    </row>
    <row r="300" spans="1:10" ht="18" customHeight="1">
      <c r="D300" s="3367" t="s">
        <v>7738</v>
      </c>
      <c r="E300" s="3364">
        <f>E58-E57-E81</f>
        <v>-2276786.14</v>
      </c>
      <c r="G300" s="3350"/>
    </row>
    <row r="301" spans="1:10" ht="18" customHeight="1">
      <c r="D301" s="3367" t="s">
        <v>7738</v>
      </c>
      <c r="E301" s="3364">
        <f>E121-E122</f>
        <v>254177.36</v>
      </c>
    </row>
    <row r="302" spans="1:10" ht="18" customHeight="1">
      <c r="E302" s="3364">
        <f>E299-E300-E301</f>
        <v>1367150.02</v>
      </c>
    </row>
  </sheetData>
  <autoFilter ref="A7:WVV295"/>
  <mergeCells count="2">
    <mergeCell ref="A1:E1"/>
    <mergeCell ref="A2:E2"/>
  </mergeCells>
  <phoneticPr fontId="163" type="noConversion"/>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117" workbookViewId="0">
      <selection activeCell="E79" sqref="E79"/>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15.28515625" style="1" bestFit="1" customWidth="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请选择CF补充资料编制方案...</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编制单位：山东天安化工股份有限公司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f>CF底稿!E20</f>
        <v>179675938.56999999</v>
      </c>
      <c r="F10" s="1080">
        <f t="shared" si="2"/>
        <v>289012665.19</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f>CF底稿!E25</f>
        <v>0</v>
      </c>
      <c r="F21" s="1080">
        <f t="shared" si="2"/>
        <v>0</v>
      </c>
      <c r="G21" s="641"/>
      <c r="H21" s="641"/>
      <c r="I21" s="641"/>
      <c r="J21" s="641"/>
    </row>
    <row r="22" spans="1:10" ht="18">
      <c r="A22" s="2750">
        <f t="shared" si="0"/>
        <v>0</v>
      </c>
      <c r="B22" s="2807">
        <v>7046</v>
      </c>
      <c r="C22" s="1077" t="str">
        <f t="shared" si="1"/>
        <v>收到其他与经营活动有关的现金</v>
      </c>
      <c r="D22" s="1078"/>
      <c r="E22" s="1079">
        <f>CF底稿!E51</f>
        <v>1544811.94</v>
      </c>
      <c r="F22" s="1080">
        <f t="shared" si="2"/>
        <v>76489.33</v>
      </c>
      <c r="G22" s="641"/>
      <c r="H22" s="641"/>
      <c r="I22" s="641"/>
      <c r="J22" s="641"/>
    </row>
    <row r="23" spans="1:10" ht="18">
      <c r="A23" s="2750" t="str">
        <f t="shared" si="0"/>
        <v>＝</v>
      </c>
      <c r="B23" s="2807">
        <v>7048</v>
      </c>
      <c r="C23" s="1073" t="str">
        <f t="shared" si="1"/>
        <v>经营活动现金流入小计</v>
      </c>
      <c r="D23" s="1078"/>
      <c r="E23" s="1082">
        <f>SUM(E10:E22)</f>
        <v>181220750.50999999</v>
      </c>
      <c r="F23" s="1083">
        <f>SUM(F10:F22)</f>
        <v>289089154.51999998</v>
      </c>
      <c r="G23" s="641"/>
      <c r="H23" s="641"/>
      <c r="I23" s="641"/>
      <c r="J23" s="641"/>
    </row>
    <row r="24" spans="1:10" ht="18">
      <c r="A24" s="2750">
        <f t="shared" si="0"/>
        <v>0</v>
      </c>
      <c r="B24" s="2807">
        <v>7051</v>
      </c>
      <c r="C24" s="1077" t="str">
        <f t="shared" si="1"/>
        <v>购买商品、接受劳务支付的现金</v>
      </c>
      <c r="D24" s="1078"/>
      <c r="E24" s="1079">
        <f>CF底稿!E82</f>
        <v>80109210.730000004</v>
      </c>
      <c r="F24" s="1080">
        <f t="shared" ref="F24:F33" si="3">IF($B24="","",IF(ISERROR(VLOOKUP($B24,Sheet_Balance1,2,0)),0,VLOOKUP($B24,Sheet_Balance1,2,0)))</f>
        <v>36580289.390000001</v>
      </c>
      <c r="G24" s="641"/>
      <c r="H24" s="641"/>
      <c r="I24" s="641"/>
      <c r="J24" s="641"/>
    </row>
    <row r="25" spans="1:10" ht="18">
      <c r="A25" s="2750" t="str">
        <f t="shared" si="0"/>
        <v>△</v>
      </c>
      <c r="B25" s="2807">
        <v>7053</v>
      </c>
      <c r="C25" s="1077" t="str">
        <f t="shared" si="1"/>
        <v>客户贷款及垫款净增加额</v>
      </c>
      <c r="D25" s="1078"/>
      <c r="E25" s="1079"/>
      <c r="F25" s="1080">
        <f t="shared" si="3"/>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641"/>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f>CF底稿!E90</f>
        <v>23778472.57</v>
      </c>
      <c r="F31" s="1080">
        <f t="shared" si="3"/>
        <v>28223185.809999999</v>
      </c>
      <c r="G31" s="641"/>
      <c r="H31" s="641"/>
      <c r="I31" s="641"/>
      <c r="J31" s="641"/>
    </row>
    <row r="32" spans="1:10" ht="18">
      <c r="A32" s="2750">
        <f t="shared" si="0"/>
        <v>0</v>
      </c>
      <c r="B32" s="2807">
        <v>7071</v>
      </c>
      <c r="C32" s="1077" t="str">
        <f t="shared" si="1"/>
        <v>支付的各项税费</v>
      </c>
      <c r="D32" s="1078"/>
      <c r="E32" s="1079">
        <f>CF底稿!E107</f>
        <v>17409545.82</v>
      </c>
      <c r="F32" s="1080">
        <f t="shared" si="3"/>
        <v>23224814.02</v>
      </c>
      <c r="G32" s="641"/>
      <c r="H32" s="641"/>
      <c r="I32" s="641"/>
      <c r="J32" s="641"/>
    </row>
    <row r="33" spans="1:10" ht="18">
      <c r="A33" s="2750">
        <f t="shared" si="0"/>
        <v>0</v>
      </c>
      <c r="B33" s="2807">
        <v>7096</v>
      </c>
      <c r="C33" s="1077" t="str">
        <f t="shared" si="1"/>
        <v>支付其他与经营活动有关的现金</v>
      </c>
      <c r="D33" s="1078"/>
      <c r="E33" s="1079">
        <f>CF底稿!E166</f>
        <v>29188633.84</v>
      </c>
      <c r="F33" s="1080">
        <f t="shared" si="3"/>
        <v>121285508.67</v>
      </c>
      <c r="G33" s="641"/>
      <c r="H33" s="641"/>
      <c r="I33" s="641"/>
      <c r="J33" s="641"/>
    </row>
    <row r="34" spans="1:10" ht="18">
      <c r="A34" s="2750" t="str">
        <f t="shared" si="0"/>
        <v>＝</v>
      </c>
      <c r="B34" s="2807">
        <v>7098</v>
      </c>
      <c r="C34" s="1073" t="str">
        <f t="shared" si="1"/>
        <v>经营活动现金流出小计</v>
      </c>
      <c r="D34" s="1078"/>
      <c r="E34" s="1082">
        <f>SUM(E24:E33)</f>
        <v>150485862.96000001</v>
      </c>
      <c r="F34" s="1083">
        <f>SUM(F24:F33)</f>
        <v>209313797.88999999</v>
      </c>
      <c r="G34" s="641"/>
      <c r="H34" s="641"/>
      <c r="I34" s="641"/>
      <c r="J34" s="641"/>
    </row>
    <row r="35" spans="1:10" ht="18">
      <c r="A35" s="2750" t="str">
        <f t="shared" si="0"/>
        <v>＝</v>
      </c>
      <c r="B35" s="2807">
        <v>7099</v>
      </c>
      <c r="C35" s="1073" t="str">
        <f t="shared" si="1"/>
        <v>经营活动产生的现金流量净额</v>
      </c>
      <c r="D35" s="1078"/>
      <c r="E35" s="1082">
        <f>SUM(E23,-E34)</f>
        <v>30734887.550000001</v>
      </c>
      <c r="F35" s="1083">
        <f>SUM(F23,-F34)</f>
        <v>79775356.629999995</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f>CF底稿!E171</f>
        <v>0</v>
      </c>
      <c r="F37" s="1080">
        <f t="shared" si="4"/>
        <v>0</v>
      </c>
      <c r="G37" s="641"/>
      <c r="H37" s="641"/>
      <c r="I37" s="641"/>
      <c r="J37" s="641"/>
    </row>
    <row r="38" spans="1:10" ht="18">
      <c r="A38" s="2750">
        <f t="shared" si="0"/>
        <v>0</v>
      </c>
      <c r="B38" s="2807">
        <v>7105</v>
      </c>
      <c r="C38" s="1077" t="str">
        <f t="shared" si="1"/>
        <v>取得投资收益收到的现金</v>
      </c>
      <c r="D38" s="1078"/>
      <c r="E38" s="1079">
        <f>CF底稿!E180</f>
        <v>0</v>
      </c>
      <c r="F38" s="1080">
        <f t="shared" si="4"/>
        <v>300300</v>
      </c>
      <c r="G38" s="641"/>
      <c r="H38" s="641"/>
      <c r="I38" s="641"/>
      <c r="J38" s="641"/>
    </row>
    <row r="39" spans="1:10" ht="18">
      <c r="A39" s="2750">
        <f t="shared" si="0"/>
        <v>0</v>
      </c>
      <c r="B39" s="2807">
        <v>7111</v>
      </c>
      <c r="C39" s="1077" t="str">
        <f t="shared" si="1"/>
        <v>处置固定资产、无形资产和其他长期资产收回的现金净额</v>
      </c>
      <c r="D39" s="1078"/>
      <c r="E39" s="1079">
        <f>CF底稿!E189</f>
        <v>4370781.55</v>
      </c>
      <c r="F39" s="1080">
        <f t="shared" si="4"/>
        <v>206034.48</v>
      </c>
      <c r="G39" s="641"/>
      <c r="H39" s="641"/>
      <c r="I39" s="641"/>
      <c r="J39" s="641"/>
    </row>
    <row r="40" spans="1:10" ht="18">
      <c r="A40" s="2750">
        <f t="shared" si="0"/>
        <v>0</v>
      </c>
      <c r="B40" s="2807">
        <v>7121</v>
      </c>
      <c r="C40" s="1077" t="str">
        <f t="shared" si="1"/>
        <v>处置子公司及其他营业单位收到的现金净额</v>
      </c>
      <c r="D40" s="1078"/>
      <c r="E40" s="1079">
        <f>CF底稿!E193</f>
        <v>0</v>
      </c>
      <c r="F40" s="1080">
        <f t="shared" si="4"/>
        <v>0</v>
      </c>
      <c r="G40" s="641"/>
      <c r="H40" s="641"/>
      <c r="I40" s="641"/>
      <c r="J40" s="641"/>
    </row>
    <row r="41" spans="1:10" ht="18">
      <c r="A41" s="2750">
        <f t="shared" si="0"/>
        <v>0</v>
      </c>
      <c r="B41" s="2807">
        <v>7146</v>
      </c>
      <c r="C41" s="1077" t="str">
        <f t="shared" si="1"/>
        <v>收到其他与投资活动有关的现金</v>
      </c>
      <c r="D41" s="1078"/>
      <c r="E41" s="1079">
        <f>CF底稿!E196</f>
        <v>0</v>
      </c>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4370781.55</v>
      </c>
      <c r="F42" s="1083">
        <f>SUM(F37:F41)</f>
        <v>506334.48</v>
      </c>
      <c r="G42" s="641"/>
      <c r="H42" s="641"/>
      <c r="I42" s="641"/>
      <c r="J42" s="641"/>
    </row>
    <row r="43" spans="1:10" ht="18">
      <c r="A43" s="2750">
        <f t="shared" si="5"/>
        <v>0</v>
      </c>
      <c r="B43" s="2807">
        <v>7151</v>
      </c>
      <c r="C43" s="1077" t="str">
        <f t="shared" si="6"/>
        <v>购建固定资产、无形资产和其他长期资产支付的现金</v>
      </c>
      <c r="D43" s="1078"/>
      <c r="E43" s="1079">
        <f>CF底稿!E253</f>
        <v>13529178</v>
      </c>
      <c r="F43" s="1080">
        <f>IF($B43="","",IF(ISERROR(VLOOKUP($B43,Sheet_Balance1,2,0)),0,VLOOKUP($B43,Sheet_Balance1,2,0)))</f>
        <v>5355857.1900000004</v>
      </c>
      <c r="G43" s="641"/>
      <c r="H43" s="641"/>
      <c r="I43" s="641"/>
      <c r="J43" s="641"/>
    </row>
    <row r="44" spans="1:10" ht="18">
      <c r="A44" s="2750">
        <f t="shared" si="5"/>
        <v>0</v>
      </c>
      <c r="B44" s="2807">
        <v>7161</v>
      </c>
      <c r="C44" s="1077" t="str">
        <f t="shared" si="6"/>
        <v>投资支付的现金</v>
      </c>
      <c r="D44" s="1078"/>
      <c r="E44" s="1079">
        <f>CF底稿!E259</f>
        <v>0</v>
      </c>
      <c r="F44" s="1080">
        <f>IF($B44="","",IF(ISERROR(VLOOKUP($B44,Sheet_Balance1,2,0)),0,VLOOKUP($B44,Sheet_Balance1,2,0)))</f>
        <v>0</v>
      </c>
      <c r="G44" s="641"/>
      <c r="H44" s="641"/>
      <c r="I44" s="64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f>CF底稿!E262</f>
        <v>0</v>
      </c>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f>CF底稿!E264</f>
        <v>0</v>
      </c>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13529178</v>
      </c>
      <c r="F48" s="1083">
        <f>SUM(F43:F47)</f>
        <v>5355857.1900000004</v>
      </c>
      <c r="G48" s="641"/>
      <c r="H48" s="641"/>
      <c r="I48" s="641"/>
      <c r="J48" s="641"/>
    </row>
    <row r="49" spans="1:10" ht="18">
      <c r="A49" s="2750" t="str">
        <f t="shared" si="5"/>
        <v>＝</v>
      </c>
      <c r="B49" s="2807">
        <v>7199</v>
      </c>
      <c r="C49" s="1073" t="str">
        <f t="shared" si="6"/>
        <v>投资活动产生的现金流量净额</v>
      </c>
      <c r="D49" s="1078"/>
      <c r="E49" s="1082">
        <f>SUM(E42,-E48)</f>
        <v>-9158396.4499999993</v>
      </c>
      <c r="F49" s="1083">
        <f>SUM(F42,-F48)</f>
        <v>-4849522.71</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f>CF底稿!E269</f>
        <v>0</v>
      </c>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f>CF底稿!E274</f>
        <v>0</v>
      </c>
      <c r="F53" s="1080">
        <f>IF($B53="","",IF(ISERROR(VLOOKUP($B53,Sheet_Balance1,2,0)),0,VLOOKUP($B53,Sheet_Balance1,2,0)))</f>
        <v>0</v>
      </c>
      <c r="G53" s="641"/>
      <c r="H53" s="641"/>
      <c r="I53" s="641"/>
      <c r="J53" s="641"/>
    </row>
    <row r="54" spans="1:10" ht="18">
      <c r="A54" s="2750">
        <f t="shared" si="5"/>
        <v>0</v>
      </c>
      <c r="B54" s="2807">
        <v>7246</v>
      </c>
      <c r="C54" s="1077" t="str">
        <f t="shared" si="6"/>
        <v>收到其他与筹资活动有关的现金</v>
      </c>
      <c r="D54" s="1078"/>
      <c r="E54" s="1079">
        <f>CF底稿!E278</f>
        <v>44850015</v>
      </c>
      <c r="F54" s="1080">
        <f>IF($B54="","",IF(ISERROR(VLOOKUP($B54,Sheet_Balance1,2,0)),0,VLOOKUP($B54,Sheet_Balance1,2,0)))</f>
        <v>0</v>
      </c>
      <c r="G54" s="641"/>
      <c r="H54" s="641"/>
      <c r="I54" s="641"/>
      <c r="J54" s="641"/>
    </row>
    <row r="55" spans="1:10" ht="18">
      <c r="A55" s="2750" t="str">
        <f t="shared" si="5"/>
        <v>＝</v>
      </c>
      <c r="B55" s="2807">
        <v>7248</v>
      </c>
      <c r="C55" s="1073" t="str">
        <f t="shared" si="6"/>
        <v>筹资活动现金流入小计</v>
      </c>
      <c r="D55" s="1078"/>
      <c r="E55" s="1082">
        <f>SUM(E51,E53:E54)</f>
        <v>44850015</v>
      </c>
      <c r="F55" s="1083">
        <f>SUM(F51,F53:F54)</f>
        <v>0</v>
      </c>
      <c r="G55" s="641"/>
      <c r="H55" s="641"/>
      <c r="I55" s="641"/>
      <c r="J55" s="641"/>
    </row>
    <row r="56" spans="1:10" ht="18">
      <c r="A56" s="2750">
        <f t="shared" si="5"/>
        <v>0</v>
      </c>
      <c r="B56" s="2807">
        <v>7251</v>
      </c>
      <c r="C56" s="1077" t="str">
        <f t="shared" si="6"/>
        <v>偿还债务支付的现金</v>
      </c>
      <c r="D56" s="1078"/>
      <c r="E56" s="1079">
        <f>CF底稿!E285</f>
        <v>0</v>
      </c>
      <c r="F56" s="1080">
        <f>IF($B56="","",IF(ISERROR(VLOOKUP($B56,Sheet_Balance1,2,0)),0,VLOOKUP($B56,Sheet_Balance1,2,0)))</f>
        <v>0</v>
      </c>
      <c r="G56" s="641"/>
      <c r="H56" s="641"/>
      <c r="I56" s="641"/>
      <c r="J56" s="641"/>
    </row>
    <row r="57" spans="1:10" ht="18">
      <c r="A57" s="2750">
        <f t="shared" si="5"/>
        <v>0</v>
      </c>
      <c r="B57" s="2807">
        <v>7261</v>
      </c>
      <c r="C57" s="1077" t="str">
        <f t="shared" si="6"/>
        <v>分配股利、利润或偿付利息支付的现金</v>
      </c>
      <c r="D57" s="1078"/>
      <c r="E57" s="1079">
        <f>CF底稿!E290</f>
        <v>2094341.69</v>
      </c>
      <c r="F57" s="1080">
        <f>IF($B57="","",IF(ISERROR(VLOOKUP($B57,Sheet_Balance1,2,0)),0,VLOOKUP($B57,Sheet_Balance1,2,0)))</f>
        <v>3327146.8</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f>CF底稿!E295</f>
        <v>92712502.170000002</v>
      </c>
      <c r="F59" s="1080">
        <f>IF($B59="","",IF(ISERROR(VLOOKUP($B59,Sheet_Balance1,2,0)),0,VLOOKUP($B59,Sheet_Balance1,2,0)))</f>
        <v>43726400</v>
      </c>
      <c r="G59" s="641"/>
      <c r="H59" s="641"/>
      <c r="I59" s="641"/>
      <c r="J59" s="641"/>
    </row>
    <row r="60" spans="1:10" ht="18">
      <c r="A60" s="2750" t="str">
        <f t="shared" si="5"/>
        <v>＝</v>
      </c>
      <c r="B60" s="2807">
        <v>7298</v>
      </c>
      <c r="C60" s="1073" t="str">
        <f t="shared" si="6"/>
        <v>筹资活动现金流出小计</v>
      </c>
      <c r="D60" s="1078"/>
      <c r="E60" s="1082">
        <f>SUM(E56:E57,E59)</f>
        <v>94806843.859999999</v>
      </c>
      <c r="F60" s="1083">
        <f>SUM(F56:F57,F59)</f>
        <v>47053546.799999997</v>
      </c>
      <c r="G60" s="641"/>
      <c r="H60" s="641"/>
      <c r="I60" s="641"/>
      <c r="J60" s="641"/>
    </row>
    <row r="61" spans="1:10" ht="18">
      <c r="A61" s="2750" t="str">
        <f t="shared" si="5"/>
        <v>＝</v>
      </c>
      <c r="B61" s="2807">
        <v>7299</v>
      </c>
      <c r="C61" s="1073" t="str">
        <f t="shared" si="6"/>
        <v>筹资活动产生的现金流量净额</v>
      </c>
      <c r="D61" s="1078"/>
      <c r="E61" s="1082">
        <f>SUM(E55,-E60)</f>
        <v>-49956828.859999999</v>
      </c>
      <c r="F61" s="1083">
        <f>SUM(F55,-F60)</f>
        <v>-47053546.799999997</v>
      </c>
      <c r="G61" s="641"/>
      <c r="H61" s="641"/>
      <c r="I61" s="641"/>
      <c r="J61" s="641"/>
    </row>
    <row r="62" spans="1:10" ht="18">
      <c r="A62" s="2750">
        <f t="shared" si="5"/>
        <v>0</v>
      </c>
      <c r="B62" s="2807">
        <v>7309</v>
      </c>
      <c r="C62" s="1085" t="str">
        <f t="shared" si="6"/>
        <v>四、汇率变动对现金及现金等价物的影响</v>
      </c>
      <c r="D62" s="1078"/>
      <c r="E62" s="1079">
        <v>-664330.32999999996</v>
      </c>
      <c r="F62" s="1080">
        <f>IF($B62="","",IF(ISERROR(VLOOKUP($B62,Sheet_Balance1,2,0)),0,VLOOKUP($B62,Sheet_Balance1,2,0)))</f>
        <v>-241866.28</v>
      </c>
      <c r="G62" s="641"/>
      <c r="H62" s="3398"/>
      <c r="I62" s="641"/>
      <c r="J62" s="641"/>
    </row>
    <row r="63" spans="1:10" ht="18">
      <c r="A63" s="2750" t="str">
        <f t="shared" si="5"/>
        <v>＝</v>
      </c>
      <c r="B63" s="2807">
        <v>7348</v>
      </c>
      <c r="C63" s="1073" t="str">
        <f t="shared" si="6"/>
        <v>五、现金及现金等价物净增加额</v>
      </c>
      <c r="D63" s="1078"/>
      <c r="E63" s="1082">
        <f>SUM(E35,E49,E61,E62)</f>
        <v>-29044668.09</v>
      </c>
      <c r="F63" s="1083">
        <f>SUM(F35,F49,F61,F62)</f>
        <v>27630420.84</v>
      </c>
      <c r="G63" s="641"/>
      <c r="H63" s="641"/>
      <c r="I63" s="641"/>
      <c r="J63" s="641"/>
    </row>
    <row r="64" spans="1:10" ht="18">
      <c r="A64" s="2750">
        <f t="shared" si="5"/>
        <v>0</v>
      </c>
      <c r="B64" s="2807">
        <v>7349</v>
      </c>
      <c r="C64" s="1084" t="str">
        <f t="shared" si="6"/>
        <v>加：期初现金及现金等价物余额</v>
      </c>
      <c r="D64" s="1078"/>
      <c r="E64" s="1079">
        <f>F65</f>
        <v>35726503</v>
      </c>
      <c r="F64" s="1080">
        <f>IF($B64="","",IF(ISERROR(VLOOKUP($B64,Sheet_Balance1,2,0)),0,VLOOKUP($B64,Sheet_Balance1,2,0)))</f>
        <v>8096082.1600000001</v>
      </c>
      <c r="G64" s="641"/>
      <c r="H64" s="641"/>
      <c r="I64" s="641"/>
      <c r="J64" s="641"/>
    </row>
    <row r="65" spans="1:10" ht="18">
      <c r="A65" s="2750" t="str">
        <f t="shared" si="5"/>
        <v>＝</v>
      </c>
      <c r="B65" s="2807">
        <v>7399</v>
      </c>
      <c r="C65" s="1086" t="str">
        <f t="shared" si="6"/>
        <v>六、期末现金及现金等价物余额</v>
      </c>
      <c r="D65" s="1087"/>
      <c r="E65" s="1088">
        <f>SUM(E63,E64)</f>
        <v>6681834.9100000001</v>
      </c>
      <c r="F65" s="1089">
        <f>SUM(F63,F64)</f>
        <v>35726503</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1667235.32</v>
      </c>
      <c r="F71" s="1100">
        <f>VLOOKUP(6799,Sheet_Trialbal,7,0)</f>
        <v>27366351.41</v>
      </c>
      <c r="G71" s="709"/>
      <c r="H71" s="709"/>
      <c r="I71" s="709"/>
      <c r="J71" s="641"/>
    </row>
    <row r="72" spans="1:10" ht="18">
      <c r="A72" s="2828">
        <f t="shared" si="7"/>
        <v>0</v>
      </c>
      <c r="B72" s="2807">
        <v>7503</v>
      </c>
      <c r="C72" s="1101" t="str">
        <f>VLOOKUP($B72,Sheet_Items,6,0)</f>
        <v>加：资产减值准备</v>
      </c>
      <c r="D72" s="1098"/>
      <c r="E72" s="1099">
        <f>-IS!E23</f>
        <v>13357245.939999999</v>
      </c>
      <c r="F72" s="1100">
        <f t="shared" ref="F72:F87" si="9">IF($B72="","",IF(ISERROR(VLOOKUP($B72,Sheet_Balance1,2,0)),0,VLOOKUP($B72,Sheet_Balance1,2,0)))</f>
        <v>9046997.6899999995</v>
      </c>
      <c r="G72" s="709"/>
      <c r="H72" s="709"/>
      <c r="I72" s="709"/>
      <c r="J72" s="641"/>
    </row>
    <row r="73" spans="1:10" ht="18">
      <c r="A73" s="2828" t="str">
        <f>VLOOKUP($B73,Sheet_Items,4,0)</f>
        <v>_JR</v>
      </c>
      <c r="B73" s="2807">
        <v>7504</v>
      </c>
      <c r="C73" s="1102" t="str">
        <f>VLOOKUP($B73,Sheet_Items,6,0)</f>
        <v>信用减值损失</v>
      </c>
      <c r="D73" s="1098"/>
      <c r="E73" s="1099">
        <f>-IS!E22</f>
        <v>909636.12</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f>Notes!L2676</f>
        <v>18205614.109999999</v>
      </c>
      <c r="F74" s="1100">
        <f t="shared" si="9"/>
        <v>20918935.469999999</v>
      </c>
      <c r="G74" s="709"/>
      <c r="H74" s="709"/>
      <c r="I74" s="709"/>
      <c r="J74" s="641"/>
    </row>
    <row r="75" spans="1:10" ht="18">
      <c r="A75" s="2828">
        <f t="shared" si="7"/>
        <v>0</v>
      </c>
      <c r="B75" s="2807">
        <v>7506</v>
      </c>
      <c r="C75" s="1654" t="str">
        <f t="shared" si="8"/>
        <v>无形资产摊销</v>
      </c>
      <c r="D75" s="1098"/>
      <c r="E75" s="1099">
        <f>Notes!L3077</f>
        <v>507056.61</v>
      </c>
      <c r="F75" s="1100">
        <f t="shared" si="9"/>
        <v>518597.8</v>
      </c>
      <c r="G75" s="709"/>
      <c r="H75" s="709"/>
      <c r="I75" s="709"/>
      <c r="J75" s="641"/>
    </row>
    <row r="76" spans="1:10" ht="18">
      <c r="A76" s="2828">
        <f t="shared" si="7"/>
        <v>0</v>
      </c>
      <c r="B76" s="2807">
        <v>7507</v>
      </c>
      <c r="C76" s="1654" t="str">
        <f t="shared" si="8"/>
        <v>长期待摊费用摊销</v>
      </c>
      <c r="D76" s="1098"/>
      <c r="E76" s="1099">
        <f>Notes!J3225</f>
        <v>991288.81</v>
      </c>
      <c r="F76" s="1100">
        <f t="shared" si="9"/>
        <v>418055.56</v>
      </c>
      <c r="G76" s="709"/>
      <c r="H76" s="709"/>
      <c r="I76" s="709"/>
      <c r="J76" s="641"/>
    </row>
    <row r="77" spans="1:10" ht="24">
      <c r="A77" s="2828">
        <f t="shared" si="7"/>
        <v>0</v>
      </c>
      <c r="B77" s="2807">
        <v>7508</v>
      </c>
      <c r="C77" s="1654" t="str">
        <f t="shared" si="8"/>
        <v>处置固定资产、无形资产和其他长期资产的损失（收益以“－”号填列）</v>
      </c>
      <c r="D77" s="1098"/>
      <c r="E77" s="1099">
        <f>-Notes!H4904</f>
        <v>-4370781.55</v>
      </c>
      <c r="F77" s="1100">
        <f t="shared" si="9"/>
        <v>1081801.72</v>
      </c>
      <c r="G77" s="709"/>
      <c r="H77" s="709"/>
      <c r="I77" s="709"/>
      <c r="J77" s="641"/>
    </row>
    <row r="78" spans="1:10" ht="18">
      <c r="A78" s="2828">
        <f t="shared" si="7"/>
        <v>0</v>
      </c>
      <c r="B78" s="2807">
        <v>7509</v>
      </c>
      <c r="C78" s="1654" t="str">
        <f t="shared" si="8"/>
        <v>固定资产报废损失（收益以“－”号填列）</v>
      </c>
      <c r="D78" s="1098"/>
      <c r="E78" s="1099">
        <f>Notes!H4952</f>
        <v>1573265.7</v>
      </c>
      <c r="F78" s="1100">
        <f t="shared" si="9"/>
        <v>583996.41</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f>Notes!H4755-E62</f>
        <v>2758672.02</v>
      </c>
      <c r="F80" s="1100">
        <f t="shared" si="9"/>
        <v>3569013.08</v>
      </c>
      <c r="G80" s="709"/>
      <c r="H80" s="709"/>
      <c r="I80" s="709"/>
      <c r="J80" s="641"/>
    </row>
    <row r="81" spans="1:12" ht="18">
      <c r="A81" s="2828">
        <f t="shared" si="7"/>
        <v>0</v>
      </c>
      <c r="B81" s="2807">
        <v>7512</v>
      </c>
      <c r="C81" s="1654" t="str">
        <f t="shared" si="8"/>
        <v>投资损失（收益以“－”号填列）</v>
      </c>
      <c r="D81" s="1098"/>
      <c r="E81" s="1099"/>
      <c r="F81" s="1100">
        <f t="shared" si="9"/>
        <v>-300300</v>
      </c>
      <c r="G81" s="709"/>
      <c r="H81" s="709"/>
      <c r="I81" s="709"/>
      <c r="J81" s="641"/>
    </row>
    <row r="82" spans="1:12" ht="18">
      <c r="A82" s="2828">
        <f t="shared" si="7"/>
        <v>0</v>
      </c>
      <c r="B82" s="2807">
        <v>7515</v>
      </c>
      <c r="C82" s="1654" t="str">
        <f t="shared" si="8"/>
        <v>递延所得税资产减少（增加以“－”号填列）</v>
      </c>
      <c r="D82" s="1098"/>
      <c r="E82" s="1099">
        <f>BS!H42-BS!G42</f>
        <v>-1147332.1499999999</v>
      </c>
      <c r="F82" s="1100">
        <f t="shared" si="9"/>
        <v>-2030493.73</v>
      </c>
      <c r="G82" s="709"/>
      <c r="H82" s="709"/>
      <c r="I82" s="709"/>
      <c r="J82" s="641"/>
    </row>
    <row r="83" spans="1:12" ht="18">
      <c r="A83" s="2828">
        <f t="shared" si="7"/>
        <v>0</v>
      </c>
      <c r="B83" s="2807">
        <v>7516</v>
      </c>
      <c r="C83" s="1654" t="str">
        <f t="shared" si="8"/>
        <v>递延所得税负债增加（减少以“－”号填列）</v>
      </c>
      <c r="D83" s="1098"/>
      <c r="E83" s="1099"/>
      <c r="F83" s="1100">
        <f t="shared" si="9"/>
        <v>0</v>
      </c>
      <c r="G83" s="709"/>
      <c r="H83" s="709"/>
      <c r="I83" s="709"/>
      <c r="J83" s="641"/>
    </row>
    <row r="84" spans="1:12" ht="18">
      <c r="A84" s="2828">
        <f t="shared" si="7"/>
        <v>0</v>
      </c>
      <c r="B84" s="2807">
        <v>7517</v>
      </c>
      <c r="C84" s="1654" t="str">
        <f t="shared" si="8"/>
        <v>存货的减少（增加以“－”号填列）</v>
      </c>
      <c r="D84" s="1098"/>
      <c r="E84" s="1099">
        <f>BS!H19-BS!G19-减值表!L16-减值表!L30+Notes!L1625</f>
        <v>12779747.49</v>
      </c>
      <c r="F84" s="1100">
        <f t="shared" si="9"/>
        <v>-18584625.84</v>
      </c>
      <c r="G84" s="709"/>
      <c r="H84" s="709"/>
      <c r="I84" s="709">
        <f>Notes!K1636-Notes!H1636</f>
        <v>12779747.49</v>
      </c>
      <c r="J84" s="641"/>
    </row>
    <row r="85" spans="1:12" ht="18">
      <c r="A85" s="2828">
        <f t="shared" si="7"/>
        <v>0</v>
      </c>
      <c r="B85" s="2807">
        <v>7518</v>
      </c>
      <c r="C85" s="1654" t="str">
        <f t="shared" si="8"/>
        <v>经营性应收项目的减少（增加以“－”号填列）</v>
      </c>
      <c r="D85" s="1098"/>
      <c r="E85" s="1099">
        <f>Notes!J6211-减值表!L7-减值表!L13-Notes!L1625</f>
        <v>-20087869.739999998</v>
      </c>
      <c r="F85" s="1100">
        <f t="shared" si="9"/>
        <v>82970816.75</v>
      </c>
      <c r="G85" s="709"/>
      <c r="H85" s="709"/>
      <c r="I85" s="3408">
        <f>I84-E84</f>
        <v>0</v>
      </c>
      <c r="J85" s="641"/>
    </row>
    <row r="86" spans="1:12" ht="18">
      <c r="A86" s="2828">
        <f t="shared" si="7"/>
        <v>0</v>
      </c>
      <c r="B86" s="2807">
        <v>7519</v>
      </c>
      <c r="C86" s="1654" t="str">
        <f t="shared" si="8"/>
        <v>经营性应付项目的增加（减少以“－”号填列）</v>
      </c>
      <c r="D86" s="1098"/>
      <c r="E86" s="1099">
        <f>Notes!J6240+Notes!I15</f>
        <v>22638982.079999998</v>
      </c>
      <c r="F86" s="1100">
        <f t="shared" si="9"/>
        <v>-47532373.100000001</v>
      </c>
      <c r="G86" s="709"/>
      <c r="H86" s="709"/>
      <c r="I86" s="709"/>
      <c r="J86" s="641"/>
    </row>
    <row r="87" spans="1:12" ht="18">
      <c r="A87" s="2828">
        <f t="shared" si="7"/>
        <v>0</v>
      </c>
      <c r="B87" s="2807">
        <v>7523</v>
      </c>
      <c r="C87" s="1654" t="str">
        <f t="shared" si="8"/>
        <v>其他</v>
      </c>
      <c r="D87" s="1098"/>
      <c r="E87" s="1099">
        <f>BS!K45-BS!L45</f>
        <v>-3833037.43</v>
      </c>
      <c r="F87" s="1100">
        <f t="shared" si="9"/>
        <v>1748583.41</v>
      </c>
      <c r="G87" s="709"/>
      <c r="H87" s="709"/>
      <c r="I87" s="709"/>
      <c r="J87" s="641"/>
    </row>
    <row r="88" spans="1:12" ht="18">
      <c r="A88" s="2828" t="str">
        <f t="shared" si="7"/>
        <v>＝</v>
      </c>
      <c r="B88" s="2807">
        <v>7525</v>
      </c>
      <c r="C88" s="1103" t="str">
        <f t="shared" si="8"/>
        <v>经营活动产生的现金流量净额</v>
      </c>
      <c r="D88" s="1098"/>
      <c r="E88" s="1104">
        <f>SUM(E71:E87)</f>
        <v>45949723.329999998</v>
      </c>
      <c r="F88" s="1105">
        <f>SUM(F71:F87)</f>
        <v>79775356.629999995</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f>6681834.91</f>
        <v>6681834.9100000001</v>
      </c>
      <c r="F94" s="1100">
        <v>35726503</v>
      </c>
      <c r="G94" s="709"/>
      <c r="H94" s="1106" t="s">
        <v>2589</v>
      </c>
      <c r="I94" s="1127"/>
      <c r="J94" s="1092"/>
      <c r="K94" s="1128"/>
      <c r="L94" s="1128"/>
    </row>
    <row r="95" spans="1:12" ht="18">
      <c r="A95" s="2828">
        <f t="shared" si="7"/>
        <v>0</v>
      </c>
      <c r="B95" s="2807">
        <v>7536</v>
      </c>
      <c r="C95" s="1101" t="str">
        <f t="shared" si="8"/>
        <v>减：现金的年初余额</v>
      </c>
      <c r="D95" s="1098"/>
      <c r="E95" s="1099">
        <f>F94</f>
        <v>35726503</v>
      </c>
      <c r="F95" s="1100">
        <f>IF($B95="","",IF(ISERROR(VLOOKUP($B95,Sheet_Balance1,2,0)),0,VLOOKUP($B95,Sheet_Balance1,2,0)))</f>
        <v>8096082.1600000001</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-29044668.09</v>
      </c>
      <c r="F98" s="1110">
        <f>SUM(F94,-F95,F96,-F97)</f>
        <v>27630420.84</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35726503</v>
      </c>
      <c r="F103" s="1055"/>
      <c r="G103" s="709"/>
      <c r="H103" s="709"/>
      <c r="I103" s="709"/>
      <c r="J103" s="641"/>
    </row>
    <row r="104" spans="1:10" ht="18">
      <c r="A104" s="2828"/>
      <c r="B104" s="2829"/>
      <c r="C104" s="1122" t="str">
        <f>C65&amp;" | "&amp;F101</f>
        <v>六、期末现金及现金等价物余额 | 上期金额</v>
      </c>
      <c r="D104" s="1120" t="s">
        <v>578</v>
      </c>
      <c r="E104" s="1028">
        <f>F65</f>
        <v>35726503</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1667235.32</v>
      </c>
      <c r="F108" s="1055">
        <f>F71</f>
        <v>27366351.41</v>
      </c>
      <c r="G108" s="709"/>
      <c r="H108" s="709"/>
      <c r="I108" s="709"/>
      <c r="J108" s="641"/>
    </row>
    <row r="109" spans="1:10" ht="18">
      <c r="A109" s="2828"/>
      <c r="B109" s="2829">
        <v>6799</v>
      </c>
      <c r="C109" s="1122" t="str">
        <f>VLOOKUP($B109,Sheet_Items,2,0)</f>
        <v>净利润</v>
      </c>
      <c r="D109" s="1120" t="s">
        <v>441</v>
      </c>
      <c r="E109" s="1028">
        <f>preIS!E45</f>
        <v>1667235.32</v>
      </c>
      <c r="F109" s="1055">
        <f>preIS!F45</f>
        <v>27366351.41</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45949723.329999998</v>
      </c>
      <c r="F113" s="1055">
        <f>F88</f>
        <v>79775356.629999995</v>
      </c>
      <c r="G113" s="709"/>
      <c r="H113" s="709"/>
      <c r="I113" s="709"/>
      <c r="J113" s="641"/>
    </row>
    <row r="114" spans="1:10" ht="18">
      <c r="A114" s="2828"/>
      <c r="B114" s="2829">
        <v>7099</v>
      </c>
      <c r="C114" s="1122" t="str">
        <f>C35&amp;"（主表）"</f>
        <v>经营活动产生的现金流量净额（主表）</v>
      </c>
      <c r="D114" s="1120" t="s">
        <v>578</v>
      </c>
      <c r="E114" s="1028">
        <f>E35</f>
        <v>30734887.550000001</v>
      </c>
      <c r="F114" s="1055">
        <f>F35</f>
        <v>79775356.629999995</v>
      </c>
      <c r="G114" s="709"/>
      <c r="H114" s="709"/>
      <c r="I114" s="709"/>
      <c r="J114" s="641"/>
    </row>
    <row r="115" spans="1:10" ht="18">
      <c r="A115" s="2828"/>
      <c r="B115" s="2829"/>
      <c r="C115" s="942" t="s">
        <v>2580</v>
      </c>
      <c r="D115" s="1120"/>
      <c r="E115" s="1032">
        <f>IF($F$68="方案B",0,ROUND(E113-E114,2))</f>
        <v>15214835.779999999</v>
      </c>
      <c r="F115" s="1056">
        <f>IF($F$68="方案B",0,ROUND(F113-F114,2))</f>
        <v>0</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6681834.9100000001</v>
      </c>
      <c r="F117" s="1055">
        <f>SUM(F94,F96)</f>
        <v>35726503</v>
      </c>
      <c r="G117" s="709"/>
      <c r="H117" s="709"/>
      <c r="I117" s="709"/>
      <c r="J117" s="641"/>
    </row>
    <row r="118" spans="1:10" ht="18">
      <c r="A118" s="2828"/>
      <c r="B118" s="2829">
        <v>7399</v>
      </c>
      <c r="C118" s="1122" t="str">
        <f>C65&amp;"（主表）"</f>
        <v>六、期末现金及现金等价物余额（主表）</v>
      </c>
      <c r="D118" s="1120" t="s">
        <v>578</v>
      </c>
      <c r="E118" s="1028">
        <f>E65</f>
        <v>6681834.9100000001</v>
      </c>
      <c r="F118" s="1055">
        <f>F65</f>
        <v>35726503</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35726503</v>
      </c>
      <c r="F121" s="1055">
        <f>SUM(F95,F97)</f>
        <v>8096082.1600000001</v>
      </c>
      <c r="G121" s="709"/>
      <c r="H121" s="709"/>
      <c r="I121" s="709"/>
      <c r="J121" s="641"/>
    </row>
    <row r="122" spans="1:10" ht="18">
      <c r="A122" s="2828"/>
      <c r="B122" s="2829">
        <v>7349</v>
      </c>
      <c r="C122" s="1122" t="str">
        <f>C64&amp;"（主表）"</f>
        <v>加：期初现金及现金等价物余额（主表）</v>
      </c>
      <c r="D122" s="1120" t="s">
        <v>578</v>
      </c>
      <c r="E122" s="1028">
        <f>E64</f>
        <v>35726503</v>
      </c>
      <c r="F122" s="1055">
        <f>F64</f>
        <v>8096082.1600000001</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-29044668.09</v>
      </c>
      <c r="F125" s="1055">
        <f>F98</f>
        <v>27630420.84</v>
      </c>
      <c r="G125" s="709"/>
      <c r="H125" s="709"/>
      <c r="I125" s="709"/>
      <c r="J125" s="641"/>
    </row>
    <row r="126" spans="1:10" ht="18">
      <c r="A126" s="2828"/>
      <c r="B126" s="2829">
        <v>7348</v>
      </c>
      <c r="C126" s="1122" t="str">
        <f>C63&amp;"（主表）"</f>
        <v>五、现金及现金等价物净增加额（主表）</v>
      </c>
      <c r="D126" s="1120" t="s">
        <v>578</v>
      </c>
      <c r="E126" s="1028">
        <f>E63</f>
        <v>-29044668.09</v>
      </c>
      <c r="F126" s="1055">
        <f>F63</f>
        <v>27630420.84</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15214835.779999999</v>
      </c>
      <c r="F129" s="1131">
        <f>SUMIF($C102:$C128,"差       异",F102:F128)</f>
        <v>0</v>
      </c>
      <c r="H129" s="1132" t="str">
        <f>IF(E129+F129=0,"Balanced","Diff "&amp;TEXT(ROUND(E129+F129,2),"#,###.00"))</f>
        <v>Diff 15,214,835.78</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ykJn2105vipQ29l0R11n6YxpulCOnJQI/jWPT4F8vmGD0O0b6mgq5iObnOwRGrNruJvymRY93O5EdUeysnC63g==" saltValue="yBlXLqW4K3E3LdiBZ2yfXg==" spinCount="100000" sheet="1" scenarios="1" formatCells="0" autoFilter="0"/>
  <phoneticPr fontId="163" type="noConversion"/>
  <conditionalFormatting sqref="H2">
    <cfRule type="expression" dxfId="4095" priority="6" stopIfTrue="1">
      <formula>$H$2&lt;&gt;""</formula>
    </cfRule>
  </conditionalFormatting>
  <conditionalFormatting sqref="C9:F64">
    <cfRule type="expression" dxfId="4094" priority="1" stopIfTrue="1">
      <formula>AND($A9&lt;&gt;"＝",MOD(ROW(),3)=0)</formula>
    </cfRule>
    <cfRule type="expression" dxfId="4093" priority="2" stopIfTrue="1">
      <formula>$A9="："</formula>
    </cfRule>
    <cfRule type="expression" dxfId="4092" priority="3" stopIfTrue="1">
      <formula>$A9="＝"</formula>
    </cfRule>
  </conditionalFormatting>
  <conditionalFormatting sqref="E129:F129 E115:F115 E110:F110 E119:F119 E123:F123 E127:F127 E105:F105">
    <cfRule type="cellIs" dxfId="4091"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A30" workbookViewId="0">
      <selection activeCell="K39" sqref="K39"/>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423" t="s">
        <v>974</v>
      </c>
      <c r="D3" s="3423"/>
      <c r="E3" s="3423"/>
      <c r="F3" s="3423"/>
      <c r="G3" s="3423"/>
      <c r="H3" s="3423"/>
      <c r="I3" s="3423"/>
      <c r="J3" s="3423"/>
      <c r="K3" s="3423"/>
      <c r="L3" s="3423"/>
      <c r="M3" s="3423"/>
      <c r="N3" s="3423"/>
      <c r="O3" s="3423"/>
      <c r="P3" s="3423"/>
      <c r="Q3" s="3423"/>
      <c r="R3" s="3423"/>
      <c r="S3" s="3423"/>
      <c r="T3" s="3423"/>
      <c r="U3" s="3423"/>
      <c r="V3" s="3423"/>
      <c r="W3" s="3423"/>
      <c r="X3" s="3423"/>
      <c r="Y3" s="3423"/>
      <c r="Z3" s="3423"/>
      <c r="AA3" s="3423"/>
      <c r="AB3" s="3423"/>
      <c r="AC3" s="1043"/>
      <c r="AD3" s="1043"/>
      <c r="AE3" s="1043"/>
      <c r="AF3" s="641"/>
      <c r="AG3" s="641"/>
      <c r="AH3" s="641"/>
      <c r="AI3" s="641"/>
    </row>
    <row r="4" spans="1:35" ht="18.75" customHeight="1">
      <c r="A4" s="2747"/>
      <c r="B4" s="2747"/>
      <c r="C4" s="3424" t="str">
        <f>Lead!$F$7</f>
        <v>2019年度</v>
      </c>
      <c r="D4" s="3424"/>
      <c r="E4" s="3424"/>
      <c r="F4" s="3424"/>
      <c r="G4" s="3424"/>
      <c r="H4" s="3424"/>
      <c r="I4" s="3424"/>
      <c r="J4" s="3424"/>
      <c r="K4" s="3424"/>
      <c r="L4" s="3424"/>
      <c r="M4" s="3424"/>
      <c r="N4" s="3424"/>
      <c r="O4" s="3424"/>
      <c r="P4" s="3424"/>
      <c r="Q4" s="3424"/>
      <c r="R4" s="3424"/>
      <c r="S4" s="3424"/>
      <c r="T4" s="3424"/>
      <c r="U4" s="3424"/>
      <c r="V4" s="3424"/>
      <c r="W4" s="3424"/>
      <c r="X4" s="3424"/>
      <c r="Y4" s="3424"/>
      <c r="Z4" s="3424"/>
      <c r="AA4" s="3424"/>
      <c r="AB4" s="3424"/>
      <c r="AC4" s="965"/>
      <c r="AD4" s="965"/>
      <c r="AE4" s="833" t="s">
        <v>2607</v>
      </c>
      <c r="AF4" s="641"/>
      <c r="AG4" s="641"/>
      <c r="AH4" s="641"/>
      <c r="AI4" s="641"/>
    </row>
    <row r="5" spans="1:35" ht="18.75" customHeight="1">
      <c r="A5" s="2747"/>
      <c r="B5" s="2747"/>
      <c r="C5" s="966" t="str">
        <f>Lead!$B$5&amp;"："&amp;Lead!$C$5</f>
        <v>编制单位：山东天安化工股份有限公司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6638</v>
      </c>
      <c r="E6" s="969"/>
      <c r="F6" s="969"/>
      <c r="G6" s="969"/>
      <c r="H6" s="970"/>
      <c r="I6" s="970"/>
      <c r="J6" s="970"/>
      <c r="K6" s="970"/>
      <c r="L6" s="970"/>
      <c r="M6" s="970"/>
      <c r="N6" s="970"/>
      <c r="O6" s="970"/>
      <c r="P6" s="970"/>
      <c r="Q6" s="1015"/>
      <c r="R6" s="1016" t="s">
        <v>6639</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425" t="s">
        <v>713</v>
      </c>
      <c r="E7" s="3426"/>
      <c r="F7" s="3426"/>
      <c r="G7" s="3426"/>
      <c r="H7" s="3426"/>
      <c r="I7" s="3426"/>
      <c r="J7" s="3426"/>
      <c r="K7" s="3426"/>
      <c r="L7" s="3426"/>
      <c r="M7" s="3426"/>
      <c r="N7" s="3426"/>
      <c r="O7" s="3427"/>
      <c r="P7" s="1008"/>
      <c r="Q7" s="1017"/>
      <c r="R7" s="3428" t="s">
        <v>713</v>
      </c>
      <c r="S7" s="3426"/>
      <c r="T7" s="3426"/>
      <c r="U7" s="3426"/>
      <c r="V7" s="3426"/>
      <c r="W7" s="3426"/>
      <c r="X7" s="3426"/>
      <c r="Y7" s="3426"/>
      <c r="Z7" s="3426"/>
      <c r="AA7" s="3426"/>
      <c r="AB7" s="3426"/>
      <c r="AC7" s="3427"/>
      <c r="AD7" s="1008"/>
      <c r="AE7" s="1046"/>
      <c r="AF7" s="641"/>
      <c r="AG7" s="641"/>
      <c r="AH7" s="641"/>
      <c r="AI7" s="641"/>
    </row>
    <row r="8" spans="1:35" ht="36">
      <c r="A8" s="2747" t="s">
        <v>2556</v>
      </c>
      <c r="B8" s="2747" t="s">
        <v>2558</v>
      </c>
      <c r="C8" s="972" t="s">
        <v>47</v>
      </c>
      <c r="D8" s="973" t="s">
        <v>5876</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f>R40</f>
        <v>85691911</v>
      </c>
      <c r="E9" s="918"/>
      <c r="F9" s="918"/>
      <c r="G9" s="918"/>
      <c r="H9" s="918">
        <f>V40</f>
        <v>238420255.88999999</v>
      </c>
      <c r="I9" s="918"/>
      <c r="J9" s="918"/>
      <c r="K9" s="918">
        <f>Y40</f>
        <v>8378246.8099999996</v>
      </c>
      <c r="L9" s="918">
        <f>Z40</f>
        <v>4637867.0999999996</v>
      </c>
      <c r="M9" s="918"/>
      <c r="N9" s="918">
        <f>AB40</f>
        <v>-145316230.15000001</v>
      </c>
      <c r="O9" s="918"/>
      <c r="P9" s="918"/>
      <c r="Q9" s="1020">
        <f>SUM(D9:H9,-I9,J9:P9)</f>
        <v>191812050.65000001</v>
      </c>
      <c r="R9" s="1021">
        <f>IF(ISERROR(VLOOKUP(VALUE(R$2&amp;$B9),Sheet_Balance1,2,0)),0,VLOOKUP(VALUE(R$2&amp;$B9),Sheet_Balance1,2,0))</f>
        <v>85691911</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238420255.88999999</v>
      </c>
      <c r="W9" s="918">
        <f t="shared" si="2"/>
        <v>0</v>
      </c>
      <c r="X9" s="918">
        <f>IF(ISERROR(VLOOKUP((X$2&amp;$B9),Sheet_Balance1,2,0)),0,VLOOKUP((X$2&amp;$B9),Sheet_Balance1,2,0))</f>
        <v>0</v>
      </c>
      <c r="Y9" s="918">
        <f t="shared" ref="Y9:AD13" si="3">IF(ISERROR(VLOOKUP(VALUE(Y$2&amp;$B9),Sheet_Balance1,2,0)),0,VLOOKUP(VALUE(Y$2&amp;$B9),Sheet_Balance1,2,0))</f>
        <v>6629663.4000000004</v>
      </c>
      <c r="Z9" s="918">
        <f t="shared" si="3"/>
        <v>1901231.96</v>
      </c>
      <c r="AA9" s="918">
        <f t="shared" si="3"/>
        <v>0</v>
      </c>
      <c r="AB9" s="918">
        <f t="shared" si="3"/>
        <v>-169945946.41999999</v>
      </c>
      <c r="AC9" s="918">
        <f t="shared" si="3"/>
        <v>0</v>
      </c>
      <c r="AD9" s="918">
        <f t="shared" si="3"/>
        <v>0</v>
      </c>
      <c r="AE9" s="1049">
        <f>SUM(R9:V9,-W9,X9:AD9)</f>
        <v>162697115.83000001</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85691911</v>
      </c>
      <c r="E14" s="885">
        <f>SUM(E9:E13)</f>
        <v>0</v>
      </c>
      <c r="F14" s="885">
        <f>SUM(F9:F13)</f>
        <v>0</v>
      </c>
      <c r="G14" s="885">
        <f>SUM(G9:G13)</f>
        <v>0</v>
      </c>
      <c r="H14" s="885">
        <f t="shared" ref="H14:P14" si="6">SUM(H9:H13)</f>
        <v>238420255.88999999</v>
      </c>
      <c r="I14" s="885">
        <f t="shared" si="6"/>
        <v>0</v>
      </c>
      <c r="J14" s="885">
        <f t="shared" si="6"/>
        <v>0</v>
      </c>
      <c r="K14" s="885">
        <f t="shared" si="6"/>
        <v>8378246.8099999996</v>
      </c>
      <c r="L14" s="885">
        <f t="shared" si="6"/>
        <v>4637867.0999999996</v>
      </c>
      <c r="M14" s="885">
        <f t="shared" si="6"/>
        <v>0</v>
      </c>
      <c r="N14" s="885">
        <f t="shared" si="6"/>
        <v>-145316230.15000001</v>
      </c>
      <c r="O14" s="885">
        <f t="shared" si="6"/>
        <v>0</v>
      </c>
      <c r="P14" s="885">
        <f t="shared" si="6"/>
        <v>0</v>
      </c>
      <c r="Q14" s="1020">
        <f t="shared" si="4"/>
        <v>191812050.65000001</v>
      </c>
      <c r="R14" s="1022">
        <f t="shared" ref="R14:AD14" si="7">SUM(R9:R13)</f>
        <v>85691911</v>
      </c>
      <c r="S14" s="1022">
        <f t="shared" si="7"/>
        <v>0</v>
      </c>
      <c r="T14" s="1022">
        <f t="shared" si="7"/>
        <v>0</v>
      </c>
      <c r="U14" s="1022">
        <f t="shared" si="7"/>
        <v>0</v>
      </c>
      <c r="V14" s="885">
        <f t="shared" si="7"/>
        <v>238420255.88999999</v>
      </c>
      <c r="W14" s="885">
        <f t="shared" si="7"/>
        <v>0</v>
      </c>
      <c r="X14" s="885">
        <f t="shared" si="7"/>
        <v>0</v>
      </c>
      <c r="Y14" s="885">
        <f t="shared" si="7"/>
        <v>6629663.4000000004</v>
      </c>
      <c r="Z14" s="885">
        <f t="shared" si="7"/>
        <v>1901231.96</v>
      </c>
      <c r="AA14" s="885">
        <f t="shared" si="7"/>
        <v>0</v>
      </c>
      <c r="AB14" s="885">
        <f t="shared" si="7"/>
        <v>-169945946.41999999</v>
      </c>
      <c r="AC14" s="885">
        <f t="shared" si="7"/>
        <v>0</v>
      </c>
      <c r="AD14" s="885">
        <f t="shared" si="7"/>
        <v>0</v>
      </c>
      <c r="AE14" s="1049">
        <f t="shared" si="5"/>
        <v>162697115.83000001</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-3833037.43</v>
      </c>
      <c r="L15" s="885">
        <f t="shared" si="8"/>
        <v>0</v>
      </c>
      <c r="M15" s="885">
        <f t="shared" si="8"/>
        <v>0</v>
      </c>
      <c r="N15" s="885">
        <f t="shared" si="8"/>
        <v>1667235.32</v>
      </c>
      <c r="O15" s="885">
        <f t="shared" si="8"/>
        <v>0</v>
      </c>
      <c r="P15" s="885">
        <f t="shared" si="8"/>
        <v>0</v>
      </c>
      <c r="Q15" s="1020">
        <f t="shared" si="4"/>
        <v>-2165802.11</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1748583.41</v>
      </c>
      <c r="Z15" s="885">
        <f t="shared" si="9"/>
        <v>2736635.14</v>
      </c>
      <c r="AA15" s="885">
        <f t="shared" si="9"/>
        <v>0</v>
      </c>
      <c r="AB15" s="885">
        <f t="shared" si="9"/>
        <v>24629716.27</v>
      </c>
      <c r="AC15" s="885">
        <f t="shared" si="9"/>
        <v>0</v>
      </c>
      <c r="AD15" s="885">
        <f t="shared" si="9"/>
        <v>0</v>
      </c>
      <c r="AE15" s="1049">
        <f t="shared" si="5"/>
        <v>29114934.82</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1667235.32</v>
      </c>
      <c r="O16" s="918"/>
      <c r="P16" s="918"/>
      <c r="Q16" s="1020">
        <f t="shared" si="4"/>
        <v>1667235.32</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27366351.41</v>
      </c>
      <c r="AC16" s="918">
        <f t="shared" ref="AC16:AD18" si="13">IF(ISERROR(VLOOKUP(VALUE(AC$2&amp;$B16),Sheet_Balance1,2,0)),0,VLOOKUP(VALUE(AC$2&amp;$B16),Sheet_Balance1,2,0))</f>
        <v>0</v>
      </c>
      <c r="AD16" s="918">
        <f t="shared" si="13"/>
        <v>0</v>
      </c>
      <c r="AE16" s="1049">
        <f t="shared" si="5"/>
        <v>27366351.41</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1667235.32</v>
      </c>
      <c r="O18" s="918"/>
      <c r="P18" s="918"/>
      <c r="Q18" s="1020">
        <f t="shared" si="4"/>
        <v>1667235.32</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27366351.41</v>
      </c>
      <c r="AC18" s="918">
        <f t="shared" si="13"/>
        <v>0</v>
      </c>
      <c r="AD18" s="918">
        <f t="shared" si="13"/>
        <v>0</v>
      </c>
      <c r="AE18" s="1049">
        <f t="shared" si="5"/>
        <v>27366351.41</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2736635.14</v>
      </c>
      <c r="AA24" s="885">
        <f t="shared" si="21"/>
        <v>0</v>
      </c>
      <c r="AB24" s="885">
        <f t="shared" si="21"/>
        <v>-2736635.14</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2736635.14</v>
      </c>
      <c r="AA25" s="918">
        <f t="shared" si="24"/>
        <v>0</v>
      </c>
      <c r="AB25" s="918">
        <f t="shared" si="24"/>
        <v>-2736635.14</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-3833037.43</v>
      </c>
      <c r="L36" s="885">
        <f t="shared" si="34"/>
        <v>0</v>
      </c>
      <c r="M36" s="885">
        <f t="shared" si="34"/>
        <v>0</v>
      </c>
      <c r="N36" s="885">
        <f t="shared" si="34"/>
        <v>0</v>
      </c>
      <c r="O36" s="885">
        <f t="shared" si="34"/>
        <v>0</v>
      </c>
      <c r="P36" s="885">
        <f t="shared" si="34"/>
        <v>0</v>
      </c>
      <c r="Q36" s="1020">
        <f t="shared" si="4"/>
        <v>-3833037.43</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1748583.41</v>
      </c>
      <c r="Z36" s="885">
        <f t="shared" si="35"/>
        <v>0</v>
      </c>
      <c r="AA36" s="885">
        <f t="shared" si="35"/>
        <v>0</v>
      </c>
      <c r="AB36" s="885">
        <f t="shared" si="35"/>
        <v>0</v>
      </c>
      <c r="AC36" s="885">
        <f t="shared" si="35"/>
        <v>0</v>
      </c>
      <c r="AD36" s="885">
        <f t="shared" si="35"/>
        <v>0</v>
      </c>
      <c r="AE36" s="1049">
        <f t="shared" si="5"/>
        <v>1748583.41</v>
      </c>
      <c r="AF36" s="641"/>
      <c r="AG36" s="641"/>
      <c r="AH36" s="641"/>
      <c r="AI36" s="641"/>
    </row>
    <row r="37" spans="1:35" ht="18">
      <c r="A37" s="2750"/>
      <c r="B37" s="2831" t="s">
        <v>2592</v>
      </c>
      <c r="C37" s="977" t="str">
        <f t="shared" si="14"/>
        <v>本期提取</v>
      </c>
      <c r="D37" s="918"/>
      <c r="E37" s="918"/>
      <c r="F37" s="918"/>
      <c r="G37" s="918"/>
      <c r="H37" s="918"/>
      <c r="I37" s="918"/>
      <c r="J37" s="918"/>
      <c r="K37" s="918">
        <v>3399381.78</v>
      </c>
      <c r="L37" s="918"/>
      <c r="M37" s="918"/>
      <c r="N37" s="918"/>
      <c r="O37" s="918"/>
      <c r="P37" s="918"/>
      <c r="Q37" s="1020">
        <f t="shared" si="4"/>
        <v>3399381.78</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2774044.47</v>
      </c>
      <c r="Z37" s="918">
        <f t="shared" si="38"/>
        <v>0</v>
      </c>
      <c r="AA37" s="918">
        <f t="shared" si="38"/>
        <v>0</v>
      </c>
      <c r="AB37" s="918">
        <f t="shared" si="38"/>
        <v>0</v>
      </c>
      <c r="AC37" s="918">
        <f t="shared" si="38"/>
        <v>0</v>
      </c>
      <c r="AD37" s="918">
        <f t="shared" si="38"/>
        <v>0</v>
      </c>
      <c r="AE37" s="1049">
        <f t="shared" si="5"/>
        <v>2774044.47</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v>-7232419.21</v>
      </c>
      <c r="L38" s="918"/>
      <c r="M38" s="918"/>
      <c r="N38" s="918"/>
      <c r="O38" s="918"/>
      <c r="P38" s="918"/>
      <c r="Q38" s="1020">
        <f t="shared" si="4"/>
        <v>-7232419.21</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-1025461.06</v>
      </c>
      <c r="Z38" s="918">
        <f t="shared" si="38"/>
        <v>0</v>
      </c>
      <c r="AA38" s="918">
        <f t="shared" si="38"/>
        <v>0</v>
      </c>
      <c r="AB38" s="918">
        <f t="shared" si="38"/>
        <v>0</v>
      </c>
      <c r="AC38" s="918">
        <f t="shared" si="38"/>
        <v>0</v>
      </c>
      <c r="AD38" s="918">
        <f t="shared" si="38"/>
        <v>0</v>
      </c>
      <c r="AE38" s="1049">
        <f t="shared" si="5"/>
        <v>-1025461.06</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0" t="s">
        <v>287</v>
      </c>
      <c r="B40" s="2831" t="s">
        <v>2643</v>
      </c>
      <c r="C40" s="985" t="str">
        <f t="shared" si="14"/>
        <v>四、本年年末余额</v>
      </c>
      <c r="D40" s="986">
        <f>SUM(D14,D15)</f>
        <v>85691911</v>
      </c>
      <c r="E40" s="986">
        <f>SUM(E14,E15)</f>
        <v>0</v>
      </c>
      <c r="F40" s="986">
        <f>SUM(F14,F15)</f>
        <v>0</v>
      </c>
      <c r="G40" s="986">
        <f>SUM(G14,G15)</f>
        <v>0</v>
      </c>
      <c r="H40" s="986">
        <f t="shared" ref="H40:AE40" si="39">SUM(H14,H15)</f>
        <v>238420255.88999999</v>
      </c>
      <c r="I40" s="986">
        <f t="shared" si="39"/>
        <v>0</v>
      </c>
      <c r="J40" s="986">
        <f t="shared" si="39"/>
        <v>0</v>
      </c>
      <c r="K40" s="986">
        <f t="shared" si="39"/>
        <v>4545209.38</v>
      </c>
      <c r="L40" s="986">
        <f t="shared" si="39"/>
        <v>4637867.0999999996</v>
      </c>
      <c r="M40" s="986">
        <f t="shared" si="39"/>
        <v>0</v>
      </c>
      <c r="N40" s="986">
        <f t="shared" si="39"/>
        <v>-143648994.83000001</v>
      </c>
      <c r="O40" s="986">
        <f t="shared" si="39"/>
        <v>0</v>
      </c>
      <c r="P40" s="1010">
        <f t="shared" si="39"/>
        <v>0</v>
      </c>
      <c r="Q40" s="1025">
        <f t="shared" si="39"/>
        <v>189646248.53999999</v>
      </c>
      <c r="R40" s="1010">
        <f t="shared" ref="R40:AD40" si="40">SUM(R14,R15)</f>
        <v>85691911</v>
      </c>
      <c r="S40" s="1010">
        <f t="shared" si="40"/>
        <v>0</v>
      </c>
      <c r="T40" s="1010">
        <f t="shared" si="40"/>
        <v>0</v>
      </c>
      <c r="U40" s="1010">
        <f t="shared" si="40"/>
        <v>0</v>
      </c>
      <c r="V40" s="986">
        <f t="shared" si="40"/>
        <v>238420255.88999999</v>
      </c>
      <c r="W40" s="986">
        <f t="shared" si="40"/>
        <v>0</v>
      </c>
      <c r="X40" s="986">
        <f t="shared" si="40"/>
        <v>0</v>
      </c>
      <c r="Y40" s="986">
        <f t="shared" si="40"/>
        <v>8378246.8099999996</v>
      </c>
      <c r="Z40" s="986">
        <f t="shared" si="40"/>
        <v>4637867.0999999996</v>
      </c>
      <c r="AA40" s="986">
        <f t="shared" si="40"/>
        <v>0</v>
      </c>
      <c r="AB40" s="986">
        <f t="shared" si="40"/>
        <v>-145316230.15000001</v>
      </c>
      <c r="AC40" s="986">
        <f t="shared" si="40"/>
        <v>0</v>
      </c>
      <c r="AD40" s="986">
        <f t="shared" si="40"/>
        <v>0</v>
      </c>
      <c r="AE40" s="1051">
        <f t="shared" si="39"/>
        <v>191812050.65000001</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85691911</v>
      </c>
      <c r="S47" s="1028">
        <f t="shared" ref="S47:AE47" si="41">E14</f>
        <v>0</v>
      </c>
      <c r="T47" s="1028">
        <f t="shared" si="41"/>
        <v>0</v>
      </c>
      <c r="U47" s="1028">
        <f t="shared" si="41"/>
        <v>0</v>
      </c>
      <c r="V47" s="1001">
        <f t="shared" si="41"/>
        <v>238420255.88999999</v>
      </c>
      <c r="W47" s="1001">
        <f t="shared" si="41"/>
        <v>0</v>
      </c>
      <c r="X47" s="1001">
        <f t="shared" si="41"/>
        <v>0</v>
      </c>
      <c r="Y47" s="1001">
        <f t="shared" si="41"/>
        <v>8378246.8099999996</v>
      </c>
      <c r="Z47" s="1001">
        <f t="shared" si="41"/>
        <v>4637867.0999999996</v>
      </c>
      <c r="AA47" s="1001">
        <f t="shared" si="41"/>
        <v>0</v>
      </c>
      <c r="AB47" s="1001">
        <f t="shared" si="41"/>
        <v>-145316230.15000001</v>
      </c>
      <c r="AC47" s="1001">
        <f t="shared" si="41"/>
        <v>0</v>
      </c>
      <c r="AD47" s="1001">
        <f t="shared" si="41"/>
        <v>0</v>
      </c>
      <c r="AE47" s="1054">
        <f t="shared" si="41"/>
        <v>191812050.65000001</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85691911</v>
      </c>
      <c r="S48" s="1030">
        <f>S40</f>
        <v>0</v>
      </c>
      <c r="T48" s="1030">
        <f>T40</f>
        <v>0</v>
      </c>
      <c r="U48" s="1030">
        <f>U40</f>
        <v>0</v>
      </c>
      <c r="V48" s="1031">
        <f t="shared" ref="V48:AE48" si="42">V40</f>
        <v>238420255.88999999</v>
      </c>
      <c r="W48" s="1031">
        <f t="shared" si="42"/>
        <v>0</v>
      </c>
      <c r="X48" s="1031">
        <f t="shared" si="42"/>
        <v>0</v>
      </c>
      <c r="Y48" s="1031">
        <f t="shared" si="42"/>
        <v>8378246.8099999996</v>
      </c>
      <c r="Z48" s="1031">
        <f t="shared" si="42"/>
        <v>4637867.0999999996</v>
      </c>
      <c r="AA48" s="1031">
        <f t="shared" si="42"/>
        <v>0</v>
      </c>
      <c r="AB48" s="1031">
        <f t="shared" si="42"/>
        <v>-145316230.15000001</v>
      </c>
      <c r="AC48" s="1031">
        <f t="shared" si="42"/>
        <v>0</v>
      </c>
      <c r="AD48" s="1031">
        <f t="shared" si="42"/>
        <v>0</v>
      </c>
      <c r="AE48" s="1055">
        <f t="shared" si="42"/>
        <v>191812050.65000001</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6638</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85691911</v>
      </c>
      <c r="E54" s="1001">
        <f>E40</f>
        <v>0</v>
      </c>
      <c r="F54" s="1001">
        <f>F40</f>
        <v>0</v>
      </c>
      <c r="G54" s="1001">
        <f>G40</f>
        <v>0</v>
      </c>
      <c r="H54" s="1001">
        <f t="shared" ref="H54:AE54" si="45">H40</f>
        <v>238420255.88999999</v>
      </c>
      <c r="I54" s="1001">
        <f t="shared" si="45"/>
        <v>0</v>
      </c>
      <c r="J54" s="1001">
        <f t="shared" si="45"/>
        <v>0</v>
      </c>
      <c r="K54" s="1001">
        <f t="shared" si="45"/>
        <v>4545209.38</v>
      </c>
      <c r="L54" s="1001">
        <f t="shared" si="45"/>
        <v>4637867.0999999996</v>
      </c>
      <c r="M54" s="1001">
        <f t="shared" si="45"/>
        <v>0</v>
      </c>
      <c r="N54" s="1001">
        <f t="shared" si="45"/>
        <v>-143648994.83000001</v>
      </c>
      <c r="O54" s="1001">
        <f t="shared" si="45"/>
        <v>0</v>
      </c>
      <c r="P54" s="1001">
        <f t="shared" si="45"/>
        <v>0</v>
      </c>
      <c r="Q54" s="1038">
        <f t="shared" si="45"/>
        <v>189646248.53999999</v>
      </c>
      <c r="R54" s="1030">
        <f t="shared" si="45"/>
        <v>85691911</v>
      </c>
      <c r="S54" s="1030">
        <f t="shared" si="45"/>
        <v>0</v>
      </c>
      <c r="T54" s="1030">
        <f t="shared" si="45"/>
        <v>0</v>
      </c>
      <c r="U54" s="1030">
        <f t="shared" si="45"/>
        <v>0</v>
      </c>
      <c r="V54" s="1031">
        <f t="shared" si="45"/>
        <v>238420255.88999999</v>
      </c>
      <c r="W54" s="1031">
        <f t="shared" si="45"/>
        <v>0</v>
      </c>
      <c r="X54" s="1031">
        <f t="shared" si="45"/>
        <v>0</v>
      </c>
      <c r="Y54" s="1031">
        <f t="shared" si="45"/>
        <v>8378246.8099999996</v>
      </c>
      <c r="Z54" s="1031">
        <f t="shared" si="45"/>
        <v>4637867.0999999996</v>
      </c>
      <c r="AA54" s="1031">
        <f t="shared" si="45"/>
        <v>0</v>
      </c>
      <c r="AB54" s="1031">
        <f t="shared" si="45"/>
        <v>-145316230.15000001</v>
      </c>
      <c r="AC54" s="1031">
        <f t="shared" si="45"/>
        <v>0</v>
      </c>
      <c r="AD54" s="1031">
        <f t="shared" si="45"/>
        <v>0</v>
      </c>
      <c r="AE54" s="1055">
        <f t="shared" si="45"/>
        <v>191812050.65000001</v>
      </c>
      <c r="AF54" s="641"/>
      <c r="AG54" s="641"/>
      <c r="AH54" s="641"/>
      <c r="AI54" s="641"/>
    </row>
    <row r="55" spans="1:35" ht="18">
      <c r="A55" s="2750" t="s">
        <v>2565</v>
      </c>
      <c r="B55" s="2750"/>
      <c r="C55" s="1003" t="s">
        <v>2645</v>
      </c>
      <c r="D55" s="1001">
        <f>preBS!K54</f>
        <v>85691911</v>
      </c>
      <c r="E55" s="1001">
        <f>preBS!K56</f>
        <v>0</v>
      </c>
      <c r="F55" s="1001">
        <f>preBS!K57</f>
        <v>0</v>
      </c>
      <c r="G55" s="1001">
        <f>preBS!K55-preBS!K56-preBS!K57</f>
        <v>0</v>
      </c>
      <c r="H55" s="1001">
        <f>preBS!K58</f>
        <v>238420255.88999999</v>
      </c>
      <c r="I55" s="1001">
        <f>preBS!K59</f>
        <v>0</v>
      </c>
      <c r="J55" s="1001">
        <f>preBS!K60</f>
        <v>0</v>
      </c>
      <c r="K55" s="1001">
        <f>preBS!K61</f>
        <v>4545209.38</v>
      </c>
      <c r="L55" s="1001">
        <f>preBS!K62</f>
        <v>4637867.0999999996</v>
      </c>
      <c r="M55" s="1001">
        <f>preBS!K63</f>
        <v>0</v>
      </c>
      <c r="N55" s="1001">
        <f>preBS!K64</f>
        <v>-143648994.83000001</v>
      </c>
      <c r="O55" s="1001"/>
      <c r="P55" s="1001">
        <f>preBS!K66</f>
        <v>0</v>
      </c>
      <c r="Q55" s="1038">
        <f>preBS!K67</f>
        <v>189646248.53999999</v>
      </c>
      <c r="R55" s="1030">
        <f>preBS!L54</f>
        <v>85691911</v>
      </c>
      <c r="S55" s="1030">
        <f>preBS!L56</f>
        <v>0</v>
      </c>
      <c r="T55" s="1030">
        <f>preBS!L57</f>
        <v>0</v>
      </c>
      <c r="U55" s="1030">
        <f>preBS!L55-preBS!L56-preBS!L57</f>
        <v>0</v>
      </c>
      <c r="V55" s="1031">
        <f>preBS!L58</f>
        <v>238420255.88999999</v>
      </c>
      <c r="W55" s="1031">
        <f>preBS!L59</f>
        <v>0</v>
      </c>
      <c r="X55" s="1031">
        <f>preBS!L60</f>
        <v>0</v>
      </c>
      <c r="Y55" s="1031">
        <f>preBS!L61</f>
        <v>8378246.8099999996</v>
      </c>
      <c r="Z55" s="1031">
        <f>preBS!L62</f>
        <v>4637867.0999999996</v>
      </c>
      <c r="AA55" s="1031">
        <f>preBS!L63</f>
        <v>0</v>
      </c>
      <c r="AB55" s="1031">
        <f>preBS!L64</f>
        <v>-145316230.15000001</v>
      </c>
      <c r="AC55" s="1031"/>
      <c r="AD55" s="1031">
        <f>preBS!L66</f>
        <v>0</v>
      </c>
      <c r="AE55" s="1055">
        <f>preBS!L67</f>
        <v>191812050.65000001</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vY2mYOHe6GxpSTeRGB6ECT84fT+ttSG43JVo+o8vcc7hQrCTBqfoBucDDmPYz+udhVLiQazrKaRPYjuql0sv0Q==" saltValue="vb6TKjEuQQ9kBna+4vfVfA==" spinCount="100000" sheet="1" scenarios="1" formatCells="0" autoFilter="0"/>
  <mergeCells count="4">
    <mergeCell ref="C3:AB3"/>
    <mergeCell ref="C4:AB4"/>
    <mergeCell ref="D7:O7"/>
    <mergeCell ref="R7:AC7"/>
  </mergeCells>
  <phoneticPr fontId="163" type="noConversion"/>
  <conditionalFormatting sqref="C40:P40 R40:AD40">
    <cfRule type="expression" dxfId="4090" priority="1" stopIfTrue="1">
      <formula>$A40="："</formula>
    </cfRule>
    <cfRule type="expression" dxfId="4089" priority="2" stopIfTrue="1">
      <formula>$A40="＝"</formula>
    </cfRule>
    <cfRule type="expression" dxfId="4088" priority="3" stopIfTrue="1">
      <formula>AND($A40&lt;&gt;"＝",MOD(ROW(),3)=0)</formula>
    </cfRule>
  </conditionalFormatting>
  <conditionalFormatting sqref="C47 D56:AE56 R49:AE49">
    <cfRule type="cellIs" dxfId="4087"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23" workbookViewId="0">
      <selection activeCell="G155" sqref="G155"/>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山东天安化工股份有限公司</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陈彦良</v>
      </c>
      <c r="K3" s="897">
        <f>Lead!$F$9</f>
        <v>43859</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53"/>
      <c r="U6" s="1645" t="s">
        <v>6802</v>
      </c>
    </row>
    <row r="7" spans="1:21" ht="12.75" thickTop="1">
      <c r="A7" s="1645"/>
      <c r="B7" s="1645"/>
      <c r="C7" s="1645"/>
      <c r="D7" s="876"/>
      <c r="E7" s="877"/>
      <c r="F7" s="878" t="s">
        <v>2437</v>
      </c>
      <c r="G7" s="879"/>
      <c r="H7" s="879"/>
      <c r="I7" s="906"/>
      <c r="J7" s="907" t="s">
        <v>2444</v>
      </c>
      <c r="K7" s="908"/>
      <c r="L7" s="908"/>
      <c r="M7" s="909"/>
      <c r="N7" s="641"/>
      <c r="O7" s="641"/>
      <c r="P7" s="641"/>
      <c r="Q7" s="641"/>
      <c r="T7" s="3054"/>
      <c r="U7" s="3061"/>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6">
        <f t="shared" si="0"/>
        <v>0</v>
      </c>
      <c r="B11" s="1645">
        <f t="shared" si="1"/>
        <v>1</v>
      </c>
      <c r="C11" s="1645" t="str">
        <f t="shared" si="2"/>
        <v>J</v>
      </c>
      <c r="D11" s="1657">
        <v>1015</v>
      </c>
      <c r="E11" s="886" t="str">
        <f t="shared" si="3"/>
        <v>货币资金</v>
      </c>
      <c r="F11" s="884">
        <f t="shared" ref="F11:F62" si="4">VLOOKUP($D11,Sheet_Prebs1,4,0)</f>
        <v>7891834.9100000001</v>
      </c>
      <c r="G11" s="885">
        <f>SUMIF(AJE!$B:$B,$C11&amp;$D11&amp;"*",AJE!$O:$O)</f>
        <v>2482.17</v>
      </c>
      <c r="H11" s="885">
        <f>SUMIF(AJE!$B:$B,$C11&amp;$D11&amp;"*",AJE!$P:$P)</f>
        <v>0</v>
      </c>
      <c r="I11" s="913">
        <f>($B11*F11+G11-H11)*$B11</f>
        <v>7894317.0800000001</v>
      </c>
      <c r="J11" s="914">
        <f t="shared" ref="J11:J62" si="5">VLOOKUP($D11,Sheet_Prebs1,5,0)</f>
        <v>79452903</v>
      </c>
      <c r="K11" s="885">
        <f>SUMIF('AJE1'!$B:$B,$C11&amp;$D11&amp;"*",'AJE1'!$O:$O)</f>
        <v>0</v>
      </c>
      <c r="L11" s="885">
        <f>SUMIF('AJE1'!$B:$B,$C11&amp;$D11&amp;"*",'AJE1'!$P:$P)</f>
        <v>0</v>
      </c>
      <c r="M11" s="891">
        <f t="shared" ref="M11:M62" si="6">($B11*J11+K11-L11)*$B11</f>
        <v>79452903</v>
      </c>
      <c r="N11" s="641"/>
      <c r="O11" s="641"/>
      <c r="P11" s="641"/>
      <c r="Q11" s="641"/>
      <c r="T11" s="3055">
        <v>1015</v>
      </c>
      <c r="U11" s="3063">
        <v>79452903</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45153168.329999998</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51786082.640000001</v>
      </c>
      <c r="G17" s="885">
        <f>SUMIF(AJE!$B:$B,$C17&amp;$D17&amp;"*",AJE!$O:$O)+SUMIF(AJE!$B:$B,"J1121*",AJE!$O:$O)+SUMIF(AJE!$B:$B,"J1122*",AJE!$O:$O)</f>
        <v>4444362.1100000003</v>
      </c>
      <c r="H17" s="885">
        <f>SUMIF(AJE!$B:$B,$C17&amp;$D17&amp;"*",AJE!$P:$P)+SUMIF(AJE!$B:$B,"J1121*",AJE!$P:$P)+SUMIF(AJE!$B:$B,"J1122*",AJE!$P:$P)</f>
        <v>4150469.14</v>
      </c>
      <c r="I17" s="913">
        <f>($B17*F17+G17-H17)*$B17</f>
        <v>52079975.609999999</v>
      </c>
      <c r="J17" s="914">
        <f>SUM(J18:J19)</f>
        <v>45153168.329999998</v>
      </c>
      <c r="K17" s="885">
        <f>SUMIF('AJE1'!$B:$B,$C17&amp;$D17&amp;"*",'AJE1'!$O:$O)+SUMIF('AJE1'!$B:$B,"J1121*",'AJE1'!$O:$O)+SUMIF('AJE1'!$B:$B,"J1122*",'AJE1'!$O:$O)</f>
        <v>0</v>
      </c>
      <c r="L17" s="885">
        <f>SUMIF('AJE1'!$B:$B,$C17&amp;$D17&amp;"*",'AJE1'!$P:$P)+SUMIF('AJE1'!$B:$B,"J1121*",'AJE1'!$P:$P)+SUMIF('AJE1'!$B:$B,"J1122*",'AJE1'!$P:$P)</f>
        <v>0</v>
      </c>
      <c r="M17" s="891">
        <f t="shared" si="6"/>
        <v>45153168.329999998</v>
      </c>
      <c r="N17" s="641"/>
      <c r="O17" s="641"/>
      <c r="P17" s="641"/>
      <c r="Q17" s="641"/>
      <c r="T17" s="3055">
        <v>1121</v>
      </c>
      <c r="U17" s="3063">
        <v>2024958.1</v>
      </c>
    </row>
    <row r="18" spans="1:21" ht="18">
      <c r="A18" s="1646">
        <f t="shared" si="0"/>
        <v>0</v>
      </c>
      <c r="B18" s="1645">
        <f t="shared" si="1"/>
        <v>1</v>
      </c>
      <c r="C18" s="1645" t="str">
        <f t="shared" si="2"/>
        <v>J</v>
      </c>
      <c r="D18" s="1657">
        <v>1121</v>
      </c>
      <c r="E18" s="886" t="str">
        <f t="shared" si="3"/>
        <v>应收票据</v>
      </c>
      <c r="F18" s="884">
        <f t="shared" si="4"/>
        <v>3532481.3</v>
      </c>
      <c r="G18" s="885">
        <f>SUMIF(AJE!$B:$B,$C18&amp;$D18&amp;"*",AJE!$O:$O)</f>
        <v>0</v>
      </c>
      <c r="H18" s="885">
        <f>SUMIF(AJE!$B:$B,$C18&amp;$D18&amp;"*",AJE!$P:$P)</f>
        <v>3532481.3</v>
      </c>
      <c r="I18" s="913">
        <f t="shared" si="7"/>
        <v>0</v>
      </c>
      <c r="J18" s="914">
        <f t="shared" si="5"/>
        <v>2024958.1</v>
      </c>
      <c r="K18" s="885">
        <f>SUMIF('AJE1'!$B:$B,$C18&amp;$D18&amp;"*",'AJE1'!$O:$O)</f>
        <v>0</v>
      </c>
      <c r="L18" s="885">
        <f>SUMIF('AJE1'!$B:$B,$C18&amp;$D18&amp;"*",'AJE1'!$P:$P)</f>
        <v>0</v>
      </c>
      <c r="M18" s="891">
        <f t="shared" si="6"/>
        <v>2024958.1</v>
      </c>
      <c r="N18" s="641"/>
      <c r="O18" s="641"/>
      <c r="P18" s="641"/>
      <c r="Q18" s="641"/>
      <c r="T18" s="3055">
        <v>1122</v>
      </c>
      <c r="U18" s="3063">
        <v>43128210.229999997</v>
      </c>
    </row>
    <row r="19" spans="1:21" ht="18">
      <c r="A19" s="1646">
        <f t="shared" si="0"/>
        <v>0</v>
      </c>
      <c r="B19" s="1645">
        <f t="shared" si="1"/>
        <v>1</v>
      </c>
      <c r="C19" s="1645" t="str">
        <f t="shared" si="2"/>
        <v>J</v>
      </c>
      <c r="D19" s="1657">
        <v>1122</v>
      </c>
      <c r="E19" s="886" t="str">
        <f t="shared" si="3"/>
        <v>应收账款</v>
      </c>
      <c r="F19" s="884">
        <f t="shared" si="4"/>
        <v>48253601.340000004</v>
      </c>
      <c r="G19" s="885">
        <f>SUMIF(AJE!$B:$B,$C19&amp;$D19&amp;"*",AJE!$O:$O)</f>
        <v>4444362.1100000003</v>
      </c>
      <c r="H19" s="885">
        <f>SUMIF(AJE!$B:$B,$C19&amp;$D19&amp;"*",AJE!$P:$P)</f>
        <v>617987.83999999997</v>
      </c>
      <c r="I19" s="913">
        <f t="shared" si="7"/>
        <v>52079975.609999999</v>
      </c>
      <c r="J19" s="914">
        <f t="shared" si="5"/>
        <v>43128210.229999997</v>
      </c>
      <c r="K19" s="885">
        <f>SUMIF('AJE1'!$B:$B,$C19&amp;$D19&amp;"*",'AJE1'!$O:$O)</f>
        <v>0</v>
      </c>
      <c r="L19" s="885">
        <f>SUMIF('AJE1'!$B:$B,$C19&amp;$D19&amp;"*",'AJE1'!$P:$P)</f>
        <v>0</v>
      </c>
      <c r="M19" s="891">
        <f t="shared" si="6"/>
        <v>43128210.229999997</v>
      </c>
      <c r="N19" s="641"/>
      <c r="O19" s="641"/>
      <c r="P19" s="641"/>
      <c r="Q19" s="641"/>
      <c r="T19" s="3055">
        <v>1125</v>
      </c>
      <c r="U19" s="3063">
        <v>2419762.12</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3532481.3</v>
      </c>
      <c r="H20" s="885">
        <f>SUMIF(AJE!$B:$B,$C20&amp;$D20&amp;"*",AJE!$P:$P)</f>
        <v>0</v>
      </c>
      <c r="I20" s="913">
        <f>($B20*F20+G20-H20)*$B20</f>
        <v>3532481.3</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6">
        <f t="shared" si="0"/>
        <v>0</v>
      </c>
      <c r="B21" s="1645">
        <f t="shared" si="1"/>
        <v>1</v>
      </c>
      <c r="C21" s="1645" t="str">
        <f t="shared" si="2"/>
        <v>J</v>
      </c>
      <c r="D21" s="1657">
        <v>1125</v>
      </c>
      <c r="E21" s="886" t="str">
        <f t="shared" si="3"/>
        <v>预付款项</v>
      </c>
      <c r="F21" s="884">
        <f t="shared" si="4"/>
        <v>7528799.0199999996</v>
      </c>
      <c r="G21" s="885">
        <f>SUMIF(AJE!$B:$B,$C21&amp;$D21&amp;"*",AJE!$O:$O)</f>
        <v>473678.13</v>
      </c>
      <c r="H21" s="885">
        <f>SUMIF(AJE!$B:$B,$C21&amp;$D21&amp;"*",AJE!$P:$P)</f>
        <v>6510757.4100000001</v>
      </c>
      <c r="I21" s="913">
        <f t="shared" si="7"/>
        <v>1491719.74</v>
      </c>
      <c r="J21" s="914">
        <f t="shared" si="5"/>
        <v>2419762.12</v>
      </c>
      <c r="K21" s="885">
        <f>SUMIF('AJE1'!$B:$B,$C21&amp;$D21&amp;"*",'AJE1'!$O:$O)</f>
        <v>0</v>
      </c>
      <c r="L21" s="885">
        <f>SUMIF('AJE1'!$B:$B,$C21&amp;$D21&amp;"*",'AJE1'!$P:$P)</f>
        <v>0</v>
      </c>
      <c r="M21" s="891">
        <f t="shared" si="6"/>
        <v>2419762.12</v>
      </c>
      <c r="N21" s="641"/>
      <c r="O21" s="641"/>
      <c r="P21" s="641"/>
      <c r="Q21" s="641"/>
      <c r="T21" s="3055">
        <v>1211</v>
      </c>
      <c r="U21" s="3063">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1187767</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76153.320000000007</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8891788.4800000004</v>
      </c>
      <c r="G25" s="885">
        <f>SUMIF(AJE!$B:$B,"J1221*",AJE!$O:$O)+SUMIF(AJE!$B:$B,"J1132*",AJE!$O:$O)+SUMIF(AJE!$B:$B,"J1131*",AJE!$O:$O)</f>
        <v>806398.06</v>
      </c>
      <c r="H25" s="885">
        <f>SUMIF(AJE!$B:$B,"J1221*",AJE!$P:$P)+SUMIF(AJE!$B:$B,"J1132*",AJE!$P:$P)+SUMIF(AJE!$B:$B,"J1131*",AJE!$P:$P)</f>
        <v>937256.8</v>
      </c>
      <c r="I25" s="913">
        <f>($B25*F25+G25-H25)*$B25</f>
        <v>8760929.7400000002</v>
      </c>
      <c r="J25" s="914">
        <f t="shared" si="5"/>
        <v>1187767</v>
      </c>
      <c r="K25" s="885">
        <f>SUMIF('AJE1'!$B:$B,"J1221*",'AJE1'!$O:$O)+SUMIF('AJE1'!$B:$B,"J1132*",'AJE1'!$O:$O)+SUMIF('AJE1'!$B:$B,"J1131*",'AJE1'!$O:$O)</f>
        <v>0</v>
      </c>
      <c r="L25" s="885">
        <f>SUMIF('AJE1'!$B:$B,"J1221*",'AJE1'!$P:$P)+SUMIF('AJE1'!$B:$B,"J1132*",'AJE1'!$P:$P)+SUMIF('AJE1'!$B:$B,"J1131*",'AJE1'!$P:$P)</f>
        <v>0</v>
      </c>
      <c r="M25" s="891">
        <f t="shared" si="6"/>
        <v>1187767</v>
      </c>
      <c r="N25" s="641"/>
      <c r="O25" s="641"/>
      <c r="P25" s="641"/>
      <c r="Q25" s="641"/>
      <c r="T25" s="3055">
        <v>1131</v>
      </c>
      <c r="U25" s="3063">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76153.320000000007</v>
      </c>
      <c r="K26" s="885">
        <f>SUMIF('AJE1'!$B:$B,$C26&amp;$D26&amp;"*",'AJE1'!$O:$O)</f>
        <v>0</v>
      </c>
      <c r="L26" s="885">
        <f>SUMIF('AJE1'!$B:$B,$C26&amp;$D26&amp;"*",'AJE1'!$P:$P)</f>
        <v>0</v>
      </c>
      <c r="M26" s="891">
        <f t="shared" si="6"/>
        <v>76153.320000000007</v>
      </c>
      <c r="N26" s="641"/>
      <c r="O26" s="641"/>
      <c r="P26" s="641"/>
      <c r="Q26" s="641"/>
      <c r="T26" s="3055">
        <v>1221</v>
      </c>
      <c r="U26" s="3063">
        <v>1111613.68</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6">
        <f t="shared" si="0"/>
        <v>0</v>
      </c>
      <c r="B28" s="1645">
        <f t="shared" si="1"/>
        <v>1</v>
      </c>
      <c r="C28" s="1645" t="str">
        <f t="shared" si="2"/>
        <v>J</v>
      </c>
      <c r="D28" s="1657">
        <v>1221</v>
      </c>
      <c r="E28" s="2183" t="str">
        <f t="shared" si="3"/>
        <v>其他应收款</v>
      </c>
      <c r="F28" s="884">
        <f t="shared" si="4"/>
        <v>8891788.4800000004</v>
      </c>
      <c r="G28" s="885">
        <f>SUMIF(AJE!$B:$B,$C28&amp;$D28&amp;"*",AJE!$O:$O)</f>
        <v>806398.06</v>
      </c>
      <c r="H28" s="885">
        <f>SUMIF(AJE!$B:$B,$C28&amp;$D28&amp;"*",AJE!$P:$P)</f>
        <v>937256.8</v>
      </c>
      <c r="I28" s="913">
        <f t="shared" si="7"/>
        <v>8760929.7400000002</v>
      </c>
      <c r="J28" s="914">
        <f t="shared" si="5"/>
        <v>1111613.68</v>
      </c>
      <c r="K28" s="885">
        <f>SUMIF('AJE1'!$B:$B,$C28&amp;$D28&amp;"*",'AJE1'!$O:$O)</f>
        <v>0</v>
      </c>
      <c r="L28" s="885">
        <f>SUMIF('AJE1'!$B:$B,$C28&amp;$D28&amp;"*",'AJE1'!$P:$P)</f>
        <v>0</v>
      </c>
      <c r="M28" s="891">
        <f t="shared" si="6"/>
        <v>1111613.68</v>
      </c>
      <c r="N28" s="641"/>
      <c r="O28" s="641"/>
      <c r="P28" s="641"/>
      <c r="Q28" s="641"/>
      <c r="T28" s="3055">
        <v>1400</v>
      </c>
      <c r="U28" s="3063">
        <v>33104385.260000002</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6">
        <f t="shared" si="0"/>
        <v>0</v>
      </c>
      <c r="B30" s="1645">
        <f t="shared" si="1"/>
        <v>1</v>
      </c>
      <c r="C30" s="1645" t="str">
        <f t="shared" si="2"/>
        <v>J</v>
      </c>
      <c r="D30" s="1657">
        <v>1400</v>
      </c>
      <c r="E30" s="888" t="str">
        <f t="shared" si="3"/>
        <v>存货</v>
      </c>
      <c r="F30" s="884">
        <f t="shared" si="4"/>
        <v>25995109.16</v>
      </c>
      <c r="G30" s="885">
        <f>SUMIF(AJE!$B:$B,$C30&amp;$D30&amp;"*",AJE!$O:$O)</f>
        <v>0</v>
      </c>
      <c r="H30" s="885">
        <f>SUMIF(AJE!$B:$B,$C30&amp;$D30&amp;"*",AJE!$P:$P)</f>
        <v>3393685.25</v>
      </c>
      <c r="I30" s="913">
        <f t="shared" si="7"/>
        <v>22601423.91</v>
      </c>
      <c r="J30" s="914">
        <f t="shared" si="5"/>
        <v>33104385.260000002</v>
      </c>
      <c r="K30" s="885">
        <f>SUMIF('AJE1'!$B:$B,$C30&amp;$D30&amp;"*",'AJE1'!$O:$O)</f>
        <v>0</v>
      </c>
      <c r="L30" s="885">
        <f>SUMIF('AJE1'!$B:$B,$C30&amp;$D30&amp;"*",'AJE1'!$P:$P)</f>
        <v>0</v>
      </c>
      <c r="M30" s="891">
        <f t="shared" si="6"/>
        <v>33104385.260000002</v>
      </c>
      <c r="N30" s="641"/>
      <c r="O30" s="641"/>
      <c r="P30" s="641"/>
      <c r="Q30" s="641"/>
      <c r="T30" s="3055">
        <v>1495</v>
      </c>
      <c r="U30" s="3063">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0</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161317985.71000001</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6">
        <f t="shared" si="0"/>
        <v>0</v>
      </c>
      <c r="B34" s="1645">
        <f t="shared" si="1"/>
        <v>1</v>
      </c>
      <c r="C34" s="1645" t="str">
        <f t="shared" si="2"/>
        <v>J</v>
      </c>
      <c r="D34" s="1657">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c r="T34" s="3055">
        <v>1600</v>
      </c>
      <c r="U34" s="3063">
        <v>0</v>
      </c>
    </row>
    <row r="35" spans="1:21" ht="18">
      <c r="A35" s="1646" t="str">
        <f t="shared" si="0"/>
        <v>＝</v>
      </c>
      <c r="B35" s="1645">
        <f t="shared" si="1"/>
        <v>0</v>
      </c>
      <c r="C35" s="1645">
        <f t="shared" si="2"/>
        <v>0</v>
      </c>
      <c r="D35" s="1657">
        <v>1498</v>
      </c>
      <c r="E35" s="888" t="str">
        <f t="shared" si="3"/>
        <v>流动资产</v>
      </c>
      <c r="F35" s="884">
        <f>SUM(F11:F34)-SUM(F17,F26,F27,F28)</f>
        <v>102093614.20999999</v>
      </c>
      <c r="G35" s="885">
        <f t="shared" ref="G35:M35" si="11">SUM(G11:G34)-SUM(G17,G26,G27,G28)</f>
        <v>9259401.7699999996</v>
      </c>
      <c r="H35" s="885">
        <f t="shared" si="11"/>
        <v>14992168.6</v>
      </c>
      <c r="I35" s="913">
        <f t="shared" si="11"/>
        <v>96360847.379999995</v>
      </c>
      <c r="J35" s="914">
        <f t="shared" si="11"/>
        <v>161317985.71000001</v>
      </c>
      <c r="K35" s="885">
        <f t="shared" si="11"/>
        <v>0</v>
      </c>
      <c r="L35" s="885">
        <f t="shared" si="11"/>
        <v>0</v>
      </c>
      <c r="M35" s="891">
        <f t="shared" si="11"/>
        <v>161317985.71000001</v>
      </c>
      <c r="N35" s="641"/>
      <c r="O35" s="641"/>
      <c r="P35" s="641"/>
      <c r="Q35" s="641"/>
      <c r="T35" s="3055">
        <v>1503</v>
      </c>
      <c r="U35" s="3063">
        <v>3003000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55">
        <v>1501</v>
      </c>
      <c r="U36" s="3063">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6" t="str">
        <f t="shared" si="0"/>
        <v>JRH</v>
      </c>
      <c r="B39" s="1645">
        <f t="shared" si="1"/>
        <v>1</v>
      </c>
      <c r="C39" s="1645" t="str">
        <f t="shared" si="2"/>
        <v>J</v>
      </c>
      <c r="D39" s="1657">
        <v>1503</v>
      </c>
      <c r="E39" s="888" t="str">
        <f t="shared" si="3"/>
        <v>可供出售金融资产</v>
      </c>
      <c r="F39" s="884">
        <f t="shared" si="4"/>
        <v>3003000</v>
      </c>
      <c r="G39" s="885">
        <f>SUMIF(AJE!$B:$B,$C39&amp;$D39&amp;"*",AJE!$O:$O)</f>
        <v>0</v>
      </c>
      <c r="H39" s="885">
        <f>SUMIF(AJE!$B:$B,$C39&amp;$D39&amp;"*",AJE!$P:$P)</f>
        <v>3003000</v>
      </c>
      <c r="I39" s="913">
        <f t="shared" si="12"/>
        <v>0</v>
      </c>
      <c r="J39" s="914">
        <f t="shared" si="5"/>
        <v>3003000</v>
      </c>
      <c r="K39" s="885">
        <f>SUMIF('AJE1'!$B:$B,$C39&amp;$D39&amp;"*",'AJE1'!$O:$O)</f>
        <v>0</v>
      </c>
      <c r="L39" s="885">
        <f>SUMIF('AJE1'!$B:$B,$C39&amp;$D39&amp;"*",'AJE1'!$P:$P)</f>
        <v>0</v>
      </c>
      <c r="M39" s="891">
        <f t="shared" si="6"/>
        <v>3003000</v>
      </c>
      <c r="N39" s="641"/>
      <c r="O39" s="641"/>
      <c r="P39" s="641"/>
      <c r="Q39" s="641"/>
      <c r="T39" s="3055">
        <v>1511</v>
      </c>
      <c r="U39" s="3063">
        <v>0</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99146371.280000001</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99146371.280000001</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3">
        <v>43951288.280000001</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37430861.509999998</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3003000</v>
      </c>
      <c r="H46" s="885">
        <f>SUMIF(AJE!$B:$B,$C46&amp;$D46&amp;"*",AJE!$P:$P)</f>
        <v>0</v>
      </c>
      <c r="I46" s="913">
        <f>($B46*F46+G46-H46)*$B46</f>
        <v>3003000</v>
      </c>
      <c r="J46" s="914">
        <f t="shared" si="5"/>
        <v>0</v>
      </c>
      <c r="K46" s="885">
        <f>SUMIF('AJE1'!$B:$B,$C46&amp;$D46&amp;"*",'AJE1'!$O:$O)</f>
        <v>0</v>
      </c>
      <c r="L46" s="885">
        <f>SUMIF('AJE1'!$B:$B,$C46&amp;$D46&amp;"*",'AJE1'!$P:$P)</f>
        <v>0</v>
      </c>
      <c r="M46" s="891">
        <f t="shared" si="15"/>
        <v>0</v>
      </c>
      <c r="N46" s="641"/>
      <c r="O46" s="641"/>
      <c r="P46" s="641"/>
      <c r="Q46" s="641"/>
      <c r="T46" s="3055">
        <v>1605</v>
      </c>
      <c r="U46" s="3063">
        <v>6520426.7699999996</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85912962.349999994</v>
      </c>
      <c r="G48" s="885">
        <f>SUMIF(AJE!$B:$B,"J1601*",AJE!$O:$O)+SUMIF(AJE!$B:$B,"J1606*",AJE!$O:$O)</f>
        <v>0</v>
      </c>
      <c r="H48" s="885">
        <f>SUMIF(AJE!$B:$B,"J1601*",AJE!$P:$P)+SUMIF(AJE!$B:$B,"J1606*",AJE!$P:$P)</f>
        <v>5883475.4900000002</v>
      </c>
      <c r="I48" s="913">
        <f>($B48*F48+G48-H48)*$B48</f>
        <v>80029486.859999999</v>
      </c>
      <c r="J48" s="914">
        <f t="shared" si="5"/>
        <v>99146371.280000001</v>
      </c>
      <c r="K48" s="885">
        <f>SUMIF('AJE1'!$B:$B,"J1601*",'AJE1'!$O:$O)+SUMIF('AJE1'!$B:$B,"J1606*",'AJE1'!$O:$O)</f>
        <v>0</v>
      </c>
      <c r="L48" s="885">
        <f>SUMIF('AJE1'!$B:$B,"J1601*",'AJE1'!$P:$P)+SUMIF('AJE1'!$B:$B,"J1606*",'AJE1'!$P:$P)</f>
        <v>0</v>
      </c>
      <c r="M48" s="891">
        <f t="shared" si="6"/>
        <v>99146371.280000001</v>
      </c>
      <c r="N48" s="641"/>
      <c r="O48" s="641"/>
      <c r="P48" s="641"/>
      <c r="Q48" s="641"/>
      <c r="T48" s="3055">
        <v>1631</v>
      </c>
      <c r="U48" s="3063">
        <v>0</v>
      </c>
    </row>
    <row r="49" spans="1:21" ht="18">
      <c r="A49" s="1646">
        <f t="shared" si="0"/>
        <v>0</v>
      </c>
      <c r="B49" s="1645">
        <f t="shared" si="1"/>
        <v>1</v>
      </c>
      <c r="C49" s="1645" t="str">
        <f t="shared" si="2"/>
        <v>J</v>
      </c>
      <c r="D49" s="1657">
        <v>1601</v>
      </c>
      <c r="E49" s="2186" t="str">
        <f t="shared" si="3"/>
        <v>固定资产</v>
      </c>
      <c r="F49" s="884">
        <f t="shared" si="4"/>
        <v>85912962.349999994</v>
      </c>
      <c r="G49" s="885">
        <f>SUMIF(AJE!$B:$B,$C49&amp;$D49&amp;"*",AJE!$O:$O)</f>
        <v>0</v>
      </c>
      <c r="H49" s="885">
        <f>SUMIF(AJE!$B:$B,$C49&amp;$D49&amp;"*",AJE!$P:$P)</f>
        <v>5883475.4900000002</v>
      </c>
      <c r="I49" s="913">
        <f t="shared" si="12"/>
        <v>80029486.859999999</v>
      </c>
      <c r="J49" s="914">
        <f t="shared" si="5"/>
        <v>99146371.280000001</v>
      </c>
      <c r="K49" s="885">
        <f>SUMIF('AJE1'!$B:$B,$C49&amp;$D49&amp;"*",'AJE1'!$O:$O)</f>
        <v>0</v>
      </c>
      <c r="L49" s="885">
        <f>SUMIF('AJE1'!$B:$B,$C49&amp;$D49&amp;"*",'AJE1'!$P:$P)</f>
        <v>0</v>
      </c>
      <c r="M49" s="891">
        <f t="shared" si="6"/>
        <v>99146371.280000001</v>
      </c>
      <c r="N49" s="641"/>
      <c r="O49" s="641"/>
      <c r="P49" s="641"/>
      <c r="Q49" s="641"/>
      <c r="T49" s="3055">
        <v>1701</v>
      </c>
      <c r="U49" s="3063">
        <v>20891148.170000002</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36387220.170000002</v>
      </c>
      <c r="G51" s="885">
        <f>SUMIF(AJE!$B:$B,"J1604*",AJE!$O:$O)+SUMIF(AJE!$B:$B,"J1605*",AJE!$O:$O)</f>
        <v>11779753.49</v>
      </c>
      <c r="H51" s="885">
        <f>SUMIF(AJE!$B:$B,"J1604*",AJE!$P:$P)+SUMIF(AJE!$B:$B,"J1605*",AJE!$P:$P)</f>
        <v>11479023.699999999</v>
      </c>
      <c r="I51" s="913">
        <f>($B51*F51+G51-H51)*$B51</f>
        <v>36687949.960000001</v>
      </c>
      <c r="J51" s="914">
        <f t="shared" si="5"/>
        <v>43951288.280000001</v>
      </c>
      <c r="K51" s="885">
        <f>SUMIF('AJE1'!$B:$B,"J1604*",'AJE1'!$O:$O)+SUMIF('AJE1'!$B:$B,"J1605*",'AJE1'!$O:$O)</f>
        <v>0</v>
      </c>
      <c r="L51" s="885">
        <f>SUMIF('AJE1'!$B:$B,"J1604*",'AJE1'!$P:$P)+SUMIF('AJE1'!$B:$B,"J1605*",'AJE1'!$P:$P)</f>
        <v>0</v>
      </c>
      <c r="M51" s="891">
        <f t="shared" si="6"/>
        <v>43951288.280000001</v>
      </c>
      <c r="N51" s="641"/>
      <c r="O51" s="641"/>
      <c r="P51" s="641"/>
      <c r="Q51" s="641"/>
      <c r="T51" s="3055">
        <v>1711</v>
      </c>
      <c r="U51" s="3063">
        <v>0</v>
      </c>
    </row>
    <row r="52" spans="1:21" ht="18">
      <c r="A52" s="1646">
        <f t="shared" si="0"/>
        <v>0</v>
      </c>
      <c r="B52" s="1645">
        <f t="shared" si="1"/>
        <v>1</v>
      </c>
      <c r="C52" s="1645" t="str">
        <f t="shared" si="2"/>
        <v>J</v>
      </c>
      <c r="D52" s="1657">
        <v>1604</v>
      </c>
      <c r="E52" s="2186" t="str">
        <f t="shared" si="3"/>
        <v>在建工程</v>
      </c>
      <c r="F52" s="884">
        <f t="shared" si="4"/>
        <v>36387220.170000002</v>
      </c>
      <c r="G52" s="885">
        <f>SUMIF(AJE!$B:$B,$C52&amp;$D52&amp;"*",AJE!$O:$O)</f>
        <v>5032213.99</v>
      </c>
      <c r="H52" s="885">
        <f>SUMIF(AJE!$B:$B,$C52&amp;$D52&amp;"*",AJE!$P:$P)</f>
        <v>11479023.699999999</v>
      </c>
      <c r="I52" s="913">
        <f t="shared" si="12"/>
        <v>29940410.460000001</v>
      </c>
      <c r="J52" s="914">
        <f t="shared" si="5"/>
        <v>43951288.280000001</v>
      </c>
      <c r="K52" s="885">
        <f>SUMIF('AJE1'!$B:$B,$C52&amp;$D52&amp;"*",'AJE1'!$O:$O)</f>
        <v>0</v>
      </c>
      <c r="L52" s="885">
        <f>SUMIF('AJE1'!$B:$B,$C52&amp;$D52&amp;"*",'AJE1'!$P:$P)</f>
        <v>0</v>
      </c>
      <c r="M52" s="891">
        <f t="shared" si="6"/>
        <v>43951288.280000001</v>
      </c>
      <c r="N52" s="641"/>
      <c r="O52" s="641"/>
      <c r="P52" s="641"/>
      <c r="Q52" s="641"/>
      <c r="T52" s="3055">
        <v>1801</v>
      </c>
      <c r="U52" s="3063">
        <v>1731944.44</v>
      </c>
    </row>
    <row r="53" spans="1:21" ht="18">
      <c r="A53" s="1646">
        <f t="shared" si="0"/>
        <v>0</v>
      </c>
      <c r="B53" s="1645">
        <f t="shared" si="1"/>
        <v>1</v>
      </c>
      <c r="C53" s="1645" t="str">
        <f t="shared" si="2"/>
        <v>J</v>
      </c>
      <c r="D53" s="1657">
        <v>1605</v>
      </c>
      <c r="E53" s="2186" t="str">
        <f t="shared" si="3"/>
        <v>工程物资</v>
      </c>
      <c r="F53" s="884">
        <f t="shared" si="4"/>
        <v>0</v>
      </c>
      <c r="G53" s="885">
        <f>SUMIF(AJE!$B:$B,$C53&amp;$D53&amp;"*",AJE!$O:$O)</f>
        <v>6747539.5</v>
      </c>
      <c r="H53" s="885">
        <f>SUMIF(AJE!$B:$B,$C53&amp;$D53&amp;"*",AJE!$P:$P)</f>
        <v>0</v>
      </c>
      <c r="I53" s="913">
        <f t="shared" si="12"/>
        <v>6747539.5</v>
      </c>
      <c r="J53" s="914">
        <f t="shared" si="5"/>
        <v>0</v>
      </c>
      <c r="K53" s="885">
        <f>SUMIF('AJE1'!$B:$B,$C53&amp;$D53&amp;"*",'AJE1'!$O:$O)</f>
        <v>0</v>
      </c>
      <c r="L53" s="885">
        <f>SUMIF('AJE1'!$B:$B,$C53&amp;$D53&amp;"*",'AJE1'!$P:$P)</f>
        <v>0</v>
      </c>
      <c r="M53" s="891">
        <f t="shared" si="6"/>
        <v>0</v>
      </c>
      <c r="N53" s="641"/>
      <c r="O53" s="641"/>
      <c r="P53" s="641"/>
      <c r="Q53" s="641"/>
      <c r="T53" s="3055">
        <v>1811</v>
      </c>
      <c r="U53" s="3063">
        <v>15732218.73</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3483445.9</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187939416.80000001</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349257402.50999999</v>
      </c>
    </row>
    <row r="57" spans="1:21" ht="18">
      <c r="A57" s="1646">
        <f t="shared" si="0"/>
        <v>0</v>
      </c>
      <c r="B57" s="1645">
        <f t="shared" si="1"/>
        <v>1</v>
      </c>
      <c r="C57" s="1645" t="str">
        <f t="shared" si="2"/>
        <v>J</v>
      </c>
      <c r="D57" s="1657">
        <v>1701</v>
      </c>
      <c r="E57" s="888" t="str">
        <f t="shared" si="3"/>
        <v>无形资产</v>
      </c>
      <c r="F57" s="884">
        <f t="shared" si="4"/>
        <v>22921846.190000001</v>
      </c>
      <c r="G57" s="885">
        <f>SUMIF(AJE!$B:$B,$C57&amp;$D57&amp;"*",AJE!$O:$O)</f>
        <v>0</v>
      </c>
      <c r="H57" s="885">
        <f>SUMIF(AJE!$B:$B,$C57&amp;$D57&amp;"*",AJE!$P:$P)</f>
        <v>0</v>
      </c>
      <c r="I57" s="913">
        <f t="shared" si="12"/>
        <v>22921846.190000001</v>
      </c>
      <c r="J57" s="914">
        <f t="shared" si="5"/>
        <v>20891148.170000002</v>
      </c>
      <c r="K57" s="885">
        <f>SUMIF('AJE1'!$B:$B,$C57&amp;$D57&amp;"*",'AJE1'!$O:$O)</f>
        <v>0</v>
      </c>
      <c r="L57" s="885">
        <f>SUMIF('AJE1'!$B:$B,$C57&amp;$D57&amp;"*",'AJE1'!$P:$P)</f>
        <v>0</v>
      </c>
      <c r="M57" s="891">
        <f t="shared" si="6"/>
        <v>20891148.170000002</v>
      </c>
      <c r="N57" s="641"/>
      <c r="O57" s="641"/>
      <c r="P57" s="641"/>
      <c r="Q57" s="641"/>
      <c r="T57" s="3055">
        <v>2000</v>
      </c>
      <c r="U57" s="3063">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6">
        <f t="shared" si="0"/>
        <v>0</v>
      </c>
      <c r="B60" s="1645">
        <f t="shared" si="1"/>
        <v>1</v>
      </c>
      <c r="C60" s="1645" t="str">
        <f t="shared" si="2"/>
        <v>J</v>
      </c>
      <c r="D60" s="1657">
        <v>1801</v>
      </c>
      <c r="E60" s="888" t="str">
        <f t="shared" si="3"/>
        <v>长期待摊费用</v>
      </c>
      <c r="F60" s="884">
        <f t="shared" si="4"/>
        <v>1548766.81</v>
      </c>
      <c r="G60" s="885">
        <f>SUMIF(AJE!$B:$B,$C60&amp;$D60&amp;"*",AJE!$O:$O)</f>
        <v>0</v>
      </c>
      <c r="H60" s="885">
        <f>SUMIF(AJE!$B:$B,$C60&amp;$D60&amp;"*",AJE!$P:$P)</f>
        <v>0</v>
      </c>
      <c r="I60" s="913">
        <f t="shared" si="12"/>
        <v>1548766.81</v>
      </c>
      <c r="J60" s="914">
        <f t="shared" si="5"/>
        <v>1731944.44</v>
      </c>
      <c r="K60" s="885">
        <f>SUMIF('AJE1'!$B:$B,$C60&amp;$D60&amp;"*",'AJE1'!$O:$O)</f>
        <v>0</v>
      </c>
      <c r="L60" s="885">
        <f>SUMIF('AJE1'!$B:$B,$C60&amp;$D60&amp;"*",'AJE1'!$P:$P)</f>
        <v>0</v>
      </c>
      <c r="M60" s="891">
        <f t="shared" si="6"/>
        <v>1731944.44</v>
      </c>
      <c r="N60" s="641"/>
      <c r="O60" s="641"/>
      <c r="P60" s="641"/>
      <c r="Q60" s="641"/>
      <c r="T60" s="3055">
        <v>2010</v>
      </c>
      <c r="U60" s="3063">
        <v>0</v>
      </c>
    </row>
    <row r="61" spans="1:21" ht="18">
      <c r="A61" s="1646">
        <f t="shared" si="0"/>
        <v>0</v>
      </c>
      <c r="B61" s="1645">
        <f t="shared" si="1"/>
        <v>1</v>
      </c>
      <c r="C61" s="1645" t="str">
        <f t="shared" si="2"/>
        <v>J</v>
      </c>
      <c r="D61" s="1657">
        <v>1811</v>
      </c>
      <c r="E61" s="888" t="str">
        <f t="shared" si="3"/>
        <v>递延所得税资产</v>
      </c>
      <c r="F61" s="884">
        <f t="shared" si="4"/>
        <v>15732218.73</v>
      </c>
      <c r="G61" s="885">
        <f>SUMIF(AJE!$B:$B,$C61&amp;$D61&amp;"*",AJE!$O:$O)</f>
        <v>1147332.1499999999</v>
      </c>
      <c r="H61" s="885">
        <f>SUMIF(AJE!$B:$B,$C61&amp;$D61&amp;"*",AJE!$P:$P)</f>
        <v>0</v>
      </c>
      <c r="I61" s="913">
        <f t="shared" si="12"/>
        <v>16879550.879999999</v>
      </c>
      <c r="J61" s="914">
        <f t="shared" si="5"/>
        <v>15732218.73</v>
      </c>
      <c r="K61" s="885">
        <f>SUMIF('AJE1'!$B:$B,$C61&amp;$D61&amp;"*",'AJE1'!$O:$O)</f>
        <v>0</v>
      </c>
      <c r="L61" s="885">
        <f>SUMIF('AJE1'!$B:$B,$C61&amp;$D61&amp;"*",'AJE1'!$P:$P)</f>
        <v>0</v>
      </c>
      <c r="M61" s="891">
        <f t="shared" si="6"/>
        <v>15732218.73</v>
      </c>
      <c r="N61" s="641"/>
      <c r="O61" s="641"/>
      <c r="P61" s="641"/>
      <c r="Q61" s="641"/>
      <c r="T61" s="3055">
        <v>2003</v>
      </c>
      <c r="U61" s="3063">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443012.47</v>
      </c>
      <c r="H62" s="885">
        <f>SUMIF(AJE!$B:$B,$C62&amp;$D62&amp;"*",AJE!$P:$P)</f>
        <v>0</v>
      </c>
      <c r="I62" s="913">
        <f t="shared" si="12"/>
        <v>443012.47</v>
      </c>
      <c r="J62" s="914">
        <f t="shared" si="5"/>
        <v>3483445.9</v>
      </c>
      <c r="K62" s="885">
        <f>SUMIF('AJE1'!$B:$B,$C62&amp;$D62&amp;"*",'AJE1'!$O:$O)</f>
        <v>0</v>
      </c>
      <c r="L62" s="885">
        <f>SUMIF('AJE1'!$B:$B,$C62&amp;$D62&amp;"*",'AJE1'!$P:$P)</f>
        <v>0</v>
      </c>
      <c r="M62" s="891">
        <f t="shared" si="6"/>
        <v>3483445.9</v>
      </c>
      <c r="N62" s="641"/>
      <c r="O62" s="641"/>
      <c r="P62" s="641"/>
      <c r="Q62" s="641"/>
      <c r="T62" s="3055">
        <v>2101</v>
      </c>
      <c r="U62" s="3063">
        <v>0</v>
      </c>
    </row>
    <row r="63" spans="1:21" ht="18">
      <c r="A63" s="1646" t="str">
        <f t="shared" si="0"/>
        <v>＝</v>
      </c>
      <c r="B63" s="1645">
        <f t="shared" si="1"/>
        <v>0</v>
      </c>
      <c r="C63" s="1645">
        <f t="shared" si="2"/>
        <v>0</v>
      </c>
      <c r="D63" s="1657">
        <v>1998</v>
      </c>
      <c r="E63" s="890" t="str">
        <f t="shared" si="3"/>
        <v>非流动资产</v>
      </c>
      <c r="F63" s="891">
        <f t="shared" ref="F63:M63" si="17">SUM(F37:F62)-SUM(F49,F50,F52,F53)</f>
        <v>165506014.25</v>
      </c>
      <c r="G63" s="891">
        <f t="shared" si="17"/>
        <v>16373098.109999999</v>
      </c>
      <c r="H63" s="891">
        <f t="shared" si="17"/>
        <v>20365499.190000001</v>
      </c>
      <c r="I63" s="913">
        <f t="shared" si="17"/>
        <v>161513613.16999999</v>
      </c>
      <c r="J63" s="915">
        <f t="shared" si="17"/>
        <v>187939416.80000001</v>
      </c>
      <c r="K63" s="891">
        <f t="shared" si="17"/>
        <v>0</v>
      </c>
      <c r="L63" s="891">
        <f t="shared" si="17"/>
        <v>0</v>
      </c>
      <c r="M63" s="891">
        <f t="shared" si="17"/>
        <v>187939416.80000001</v>
      </c>
      <c r="N63" s="641"/>
      <c r="O63" s="641"/>
      <c r="P63" s="641"/>
      <c r="Q63" s="641"/>
      <c r="T63" s="3055">
        <v>2115</v>
      </c>
      <c r="U63" s="3063">
        <v>0</v>
      </c>
    </row>
    <row r="64" spans="1:21" ht="18">
      <c r="A64" s="1646" t="str">
        <f t="shared" si="0"/>
        <v>＝</v>
      </c>
      <c r="B64" s="1645">
        <f t="shared" si="1"/>
        <v>0</v>
      </c>
      <c r="C64" s="1645">
        <f t="shared" si="2"/>
        <v>0</v>
      </c>
      <c r="D64" s="1657">
        <v>1999</v>
      </c>
      <c r="E64" s="890" t="str">
        <f t="shared" si="3"/>
        <v>资产</v>
      </c>
      <c r="F64" s="891">
        <f t="shared" ref="F64:M64" si="18">SUM(F35,F63)</f>
        <v>267599628.46000001</v>
      </c>
      <c r="G64" s="891">
        <f t="shared" si="18"/>
        <v>25632499.879999999</v>
      </c>
      <c r="H64" s="891">
        <f t="shared" si="18"/>
        <v>35357667.789999999</v>
      </c>
      <c r="I64" s="913">
        <f t="shared" si="18"/>
        <v>257874460.55000001</v>
      </c>
      <c r="J64" s="915">
        <f t="shared" si="18"/>
        <v>349257402.50999999</v>
      </c>
      <c r="K64" s="891">
        <f t="shared" si="18"/>
        <v>0</v>
      </c>
      <c r="L64" s="891">
        <f t="shared" si="18"/>
        <v>0</v>
      </c>
      <c r="M64" s="891">
        <f t="shared" si="18"/>
        <v>349257402.50999999</v>
      </c>
      <c r="N64" s="641"/>
      <c r="O64" s="641"/>
      <c r="P64" s="641"/>
      <c r="Q64" s="641"/>
      <c r="T64" s="3055">
        <v>2203</v>
      </c>
      <c r="U64" s="3063">
        <v>78706125.150000006</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55">
        <v>2201</v>
      </c>
      <c r="U65" s="3063">
        <v>42762500</v>
      </c>
    </row>
    <row r="66" spans="1:21"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3">
        <v>35943625.149999999</v>
      </c>
    </row>
    <row r="67" spans="1:21"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2572903.23</v>
      </c>
    </row>
    <row r="68" spans="1:21"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6936778.7800000003</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7888725.9500000002</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58814880.079999998</v>
      </c>
      <c r="G72" s="885">
        <f>SUMIF(AJE!$B:$B,$C72&amp;$D72&amp;"*",AJE!$O:$O)+SUMIF(AJE!$B:$B,"J2201*",AJE!$O:$O)+SUMIF(AJE!$B:$B,"J2202*",AJE!$O:$O)</f>
        <v>0</v>
      </c>
      <c r="H72" s="885">
        <f>SUMIF(AJE!$B:$B,$C72&amp;$D72&amp;"*",AJE!$P:$P)+SUMIF(AJE!$B:$B,"J2201*",AJE!$P:$P)+SUMIF(AJE!$B:$B,"J2202*",AJE!$P:$P)</f>
        <v>1199431.75</v>
      </c>
      <c r="I72" s="913">
        <f t="shared" si="22"/>
        <v>60014311.829999998</v>
      </c>
      <c r="J72" s="914">
        <f>SUM(J73:J74)</f>
        <v>78706125.150000006</v>
      </c>
      <c r="K72" s="885">
        <f>SUMIF('AJE1'!$B:$B,$C72&amp;$D72&amp;"*",'AJE1'!$O:$O)+SUMIF('AJE1'!$B:$B,"J2201*",'AJE1'!$O:$O)+SUMIF('AJE1'!$B:$B,"J2202*",'AJE1'!$O:$O)</f>
        <v>0</v>
      </c>
      <c r="L72" s="885">
        <f>SUMIF('AJE1'!$B:$B,$C72&amp;$D72&amp;"*",'AJE1'!$P:$P)+SUMIF('AJE1'!$B:$B,"J2201*",'AJE1'!$P:$P)+SUMIF('AJE1'!$B:$B,"J2202*",'AJE1'!$P:$P)</f>
        <v>0</v>
      </c>
      <c r="M72" s="891">
        <f t="shared" si="21"/>
        <v>78706125.150000006</v>
      </c>
      <c r="N72" s="641"/>
      <c r="O72" s="641"/>
      <c r="P72" s="641"/>
      <c r="Q72" s="641"/>
      <c r="T72" s="3055">
        <v>2246</v>
      </c>
      <c r="U72" s="3063">
        <v>61340818.75</v>
      </c>
    </row>
    <row r="73" spans="1:21" ht="18">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42762500</v>
      </c>
      <c r="K73" s="885">
        <f>SUMIF('AJE1'!$B:$B,$C73&amp;$D73&amp;"*",'AJE1'!$O:$O)</f>
        <v>0</v>
      </c>
      <c r="L73" s="885">
        <f>SUMIF('AJE1'!$B:$B,$C73&amp;$D73&amp;"*",'AJE1'!$P:$P)</f>
        <v>0</v>
      </c>
      <c r="M73" s="891">
        <f t="shared" si="21"/>
        <v>42762500</v>
      </c>
      <c r="N73" s="641"/>
      <c r="O73" s="641"/>
      <c r="P73" s="641"/>
      <c r="Q73" s="641"/>
      <c r="T73" s="3055">
        <v>2231</v>
      </c>
      <c r="U73" s="3063">
        <v>0</v>
      </c>
    </row>
    <row r="74" spans="1:21" ht="18">
      <c r="A74" s="1646">
        <f t="shared" si="0"/>
        <v>0</v>
      </c>
      <c r="B74" s="1645">
        <f t="shared" si="1"/>
        <v>-1</v>
      </c>
      <c r="C74" s="1645" t="str">
        <f t="shared" si="2"/>
        <v>J</v>
      </c>
      <c r="D74" s="1657">
        <v>2202</v>
      </c>
      <c r="E74" s="916" t="str">
        <f t="shared" si="3"/>
        <v>应付账款</v>
      </c>
      <c r="F74" s="884">
        <f t="shared" si="19"/>
        <v>58814880.079999998</v>
      </c>
      <c r="G74" s="885">
        <f>SUMIF(AJE!$B:$B,$C74&amp;$D74&amp;"*",AJE!$O:$O)</f>
        <v>0</v>
      </c>
      <c r="H74" s="885">
        <f>SUMIF(AJE!$B:$B,$C74&amp;$D74&amp;"*",AJE!$P:$P)</f>
        <v>1199431.75</v>
      </c>
      <c r="I74" s="913">
        <f t="shared" si="22"/>
        <v>60014311.829999998</v>
      </c>
      <c r="J74" s="914">
        <f t="shared" si="20"/>
        <v>35943625.149999999</v>
      </c>
      <c r="K74" s="885">
        <f>SUMIF('AJE1'!$B:$B,$C74&amp;$D74&amp;"*",'AJE1'!$O:$O)</f>
        <v>0</v>
      </c>
      <c r="L74" s="885">
        <f>SUMIF('AJE1'!$B:$B,$C74&amp;$D74&amp;"*",'AJE1'!$P:$P)</f>
        <v>0</v>
      </c>
      <c r="M74" s="891">
        <f t="shared" si="21"/>
        <v>35943625.149999999</v>
      </c>
      <c r="N74" s="641"/>
      <c r="O74" s="641"/>
      <c r="P74" s="641"/>
      <c r="Q74" s="641"/>
      <c r="T74" s="3055">
        <v>2232</v>
      </c>
      <c r="U74" s="3063">
        <v>0</v>
      </c>
    </row>
    <row r="75" spans="1:21" ht="18">
      <c r="A75" s="1646">
        <f t="shared" si="0"/>
        <v>0</v>
      </c>
      <c r="B75" s="1645">
        <f t="shared" si="1"/>
        <v>-1</v>
      </c>
      <c r="C75" s="1645" t="str">
        <f t="shared" si="2"/>
        <v>J</v>
      </c>
      <c r="D75" s="1657">
        <v>2205</v>
      </c>
      <c r="E75" s="888" t="str">
        <f t="shared" si="3"/>
        <v>预收款项</v>
      </c>
      <c r="F75" s="884">
        <f t="shared" si="19"/>
        <v>2050802.61</v>
      </c>
      <c r="G75" s="885">
        <f>SUMIF(AJE!$B:$B,$C75&amp;$D75&amp;"*",AJE!$O:$O)</f>
        <v>860313.68</v>
      </c>
      <c r="H75" s="885">
        <f>SUMIF(AJE!$B:$B,$C75&amp;$D75&amp;"*",AJE!$P:$P)</f>
        <v>0</v>
      </c>
      <c r="I75" s="913">
        <f t="shared" si="22"/>
        <v>1190488.93</v>
      </c>
      <c r="J75" s="914">
        <f t="shared" si="20"/>
        <v>2572903.23</v>
      </c>
      <c r="K75" s="885">
        <f>SUMIF('AJE1'!$B:$B,$C75&amp;$D75&amp;"*",'AJE1'!$O:$O)</f>
        <v>0</v>
      </c>
      <c r="L75" s="885">
        <f>SUMIF('AJE1'!$B:$B,$C75&amp;$D75&amp;"*",'AJE1'!$P:$P)</f>
        <v>0</v>
      </c>
      <c r="M75" s="891">
        <f t="shared" si="21"/>
        <v>2572903.23</v>
      </c>
      <c r="N75" s="641"/>
      <c r="O75" s="641"/>
      <c r="P75" s="641"/>
      <c r="Q75" s="641"/>
      <c r="T75" s="3055">
        <v>2241</v>
      </c>
      <c r="U75" s="3063">
        <v>61340818.75</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6">
        <f t="shared" si="0"/>
        <v>0</v>
      </c>
      <c r="B81" s="1645">
        <f t="shared" si="1"/>
        <v>-1</v>
      </c>
      <c r="C81" s="1645" t="str">
        <f t="shared" si="2"/>
        <v>J</v>
      </c>
      <c r="D81" s="1657">
        <v>2211</v>
      </c>
      <c r="E81" s="888" t="str">
        <f t="shared" si="3"/>
        <v>应付职工薪酬</v>
      </c>
      <c r="F81" s="884">
        <f t="shared" si="19"/>
        <v>2397461.7799999998</v>
      </c>
      <c r="G81" s="885">
        <f>SUMIF(AJE!$B:$B,$C81&amp;$D81&amp;"*",AJE!$O:$O)</f>
        <v>0</v>
      </c>
      <c r="H81" s="885">
        <f>SUMIF(AJE!$B:$B,$C81&amp;$D81&amp;"*",AJE!$P:$P)</f>
        <v>3953450</v>
      </c>
      <c r="I81" s="913">
        <f t="shared" si="22"/>
        <v>6350911.7800000003</v>
      </c>
      <c r="J81" s="914">
        <f t="shared" si="20"/>
        <v>6936778.7800000003</v>
      </c>
      <c r="K81" s="885">
        <f>SUMIF('AJE1'!$B:$B,$C81&amp;$D81&amp;"*",'AJE1'!$O:$O)</f>
        <v>0</v>
      </c>
      <c r="L81" s="885">
        <f>SUMIF('AJE1'!$B:$B,$C81&amp;$D81&amp;"*",'AJE1'!$P:$P)</f>
        <v>0</v>
      </c>
      <c r="M81" s="891">
        <f t="shared" si="21"/>
        <v>6936778.7800000003</v>
      </c>
      <c r="N81" s="641"/>
      <c r="O81" s="641"/>
      <c r="P81" s="641"/>
      <c r="Q81" s="641"/>
      <c r="T81" s="3055">
        <v>2395</v>
      </c>
      <c r="U81" s="3063">
        <v>0</v>
      </c>
    </row>
    <row r="82" spans="1:21" ht="18">
      <c r="A82" s="1646">
        <f t="shared" si="0"/>
        <v>0</v>
      </c>
      <c r="B82" s="1645">
        <f t="shared" si="1"/>
        <v>-1</v>
      </c>
      <c r="C82" s="1645" t="str">
        <f t="shared" si="2"/>
        <v>J</v>
      </c>
      <c r="D82" s="1657">
        <v>2221</v>
      </c>
      <c r="E82" s="888" t="str">
        <f t="shared" si="3"/>
        <v>应交税费</v>
      </c>
      <c r="F82" s="884">
        <f t="shared" si="19"/>
        <v>3622479.71</v>
      </c>
      <c r="G82" s="885">
        <f>SUMIF(AJE!$B:$B,$C82&amp;$D82&amp;"*",AJE!$O:$O)</f>
        <v>0</v>
      </c>
      <c r="H82" s="885">
        <f>SUMIF(AJE!$B:$B,$C82&amp;$D82&amp;"*",AJE!$P:$P)</f>
        <v>1261166.0900000001</v>
      </c>
      <c r="I82" s="913">
        <f t="shared" si="22"/>
        <v>4883645.8</v>
      </c>
      <c r="J82" s="914">
        <f t="shared" si="20"/>
        <v>7888725.9500000002</v>
      </c>
      <c r="K82" s="885">
        <f>SUMIF('AJE1'!$B:$B,$C82&amp;$D82&amp;"*",'AJE1'!$O:$O)</f>
        <v>0</v>
      </c>
      <c r="L82" s="885">
        <f>SUMIF('AJE1'!$B:$B,$C82&amp;$D82&amp;"*",'AJE1'!$P:$P)</f>
        <v>0</v>
      </c>
      <c r="M82" s="891">
        <f t="shared" si="21"/>
        <v>7888725.9500000002</v>
      </c>
      <c r="N82" s="641"/>
      <c r="O82" s="641"/>
      <c r="P82" s="641"/>
      <c r="Q82" s="641"/>
      <c r="T82" s="3055">
        <v>2396</v>
      </c>
      <c r="U82" s="3063">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9"/>
        <v>11067755.74</v>
      </c>
      <c r="G83" s="885">
        <f>SUMIF(AJE!$B:$B,"J2241*",AJE!$O:$O)+SUMIF(AJE!$B:$B,"J2231*",AJE!$O:$O)+SUMIF(AJE!$B:$B,"J2232*",AJE!$O:$O)</f>
        <v>9314</v>
      </c>
      <c r="H83" s="885">
        <f>SUMIF(AJE!$B:$B,"J2241*",AJE!$P:$P)+SUMIF(AJE!$B:$B,"J2231*",AJE!$P:$P)+SUMIF(AJE!$B:$B,"J2232*",AJE!$P:$P)</f>
        <v>0</v>
      </c>
      <c r="I83" s="913">
        <f t="shared" si="22"/>
        <v>11058441.74</v>
      </c>
      <c r="J83" s="914">
        <f t="shared" si="20"/>
        <v>61340818.75</v>
      </c>
      <c r="K83" s="885">
        <f>SUMIF('AJE1'!$B:$B,"J2241*",'AJE1'!$O:$O)+SUMIF('AJE1'!$B:$B,"J2231*",'AJE1'!$O:$O)+SUMIF('AJE1'!$B:$B,"J2232*",'AJE1'!$O:$O)</f>
        <v>0</v>
      </c>
      <c r="L83" s="885">
        <f>SUMIF('AJE1'!$B:$B,"J2241*",'AJE1'!$P:$P)+SUMIF('AJE1'!$B:$B,"J2231*",'AJE1'!$P:$P)+SUMIF('AJE1'!$B:$B,"J2232*",'AJE1'!$P:$P)</f>
        <v>0</v>
      </c>
      <c r="M83" s="891">
        <f t="shared" si="21"/>
        <v>61340818.75</v>
      </c>
      <c r="N83" s="641"/>
      <c r="O83" s="641"/>
      <c r="P83" s="641"/>
      <c r="Q83" s="641"/>
      <c r="T83" s="3055">
        <v>2498</v>
      </c>
      <c r="U83" s="3063">
        <v>157445351.86000001</v>
      </c>
    </row>
    <row r="84" spans="1:21"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3"/>
    </row>
    <row r="85" spans="1:21"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6">
        <f t="shared" si="0"/>
        <v>0</v>
      </c>
      <c r="B86" s="1645">
        <f t="shared" si="1"/>
        <v>-1</v>
      </c>
      <c r="C86" s="1645" t="str">
        <f t="shared" si="2"/>
        <v>J</v>
      </c>
      <c r="D86" s="1657">
        <v>2241</v>
      </c>
      <c r="E86" s="2186" t="str">
        <f t="shared" si="3"/>
        <v>其他应付款</v>
      </c>
      <c r="F86" s="884">
        <f t="shared" si="19"/>
        <v>11067755.74</v>
      </c>
      <c r="G86" s="885">
        <f>SUMIF(AJE!$B:$B,$C86&amp;$D86&amp;"*",AJE!$O:$O)</f>
        <v>9314</v>
      </c>
      <c r="H86" s="885">
        <f>SUMIF(AJE!$B:$B,$C86&amp;$D86&amp;"*",AJE!$P:$P)</f>
        <v>0</v>
      </c>
      <c r="I86" s="913">
        <f t="shared" si="22"/>
        <v>11058441.74</v>
      </c>
      <c r="J86" s="914">
        <f t="shared" si="20"/>
        <v>61340818.75</v>
      </c>
      <c r="K86" s="885">
        <f>SUMIF('AJE1'!$B:$B,$C86&amp;$D86&amp;"*",'AJE1'!$O:$O)</f>
        <v>0</v>
      </c>
      <c r="L86" s="885">
        <f>SUMIF('AJE1'!$B:$B,$C86&amp;$D86&amp;"*",'AJE1'!$P:$P)</f>
        <v>0</v>
      </c>
      <c r="M86" s="891">
        <f t="shared" si="21"/>
        <v>61340818.75</v>
      </c>
      <c r="N86" s="641"/>
      <c r="O86" s="641"/>
      <c r="P86" s="641"/>
      <c r="Q86" s="641"/>
      <c r="T86" s="3055">
        <v>2502</v>
      </c>
      <c r="U86" s="3063">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3">
        <v>0</v>
      </c>
    </row>
    <row r="92" spans="1:21" ht="18">
      <c r="A92" s="1646" t="str">
        <f t="shared" si="0"/>
        <v>＝</v>
      </c>
      <c r="B92" s="1645">
        <f t="shared" si="1"/>
        <v>0</v>
      </c>
      <c r="C92" s="1645">
        <f t="shared" si="2"/>
        <v>0</v>
      </c>
      <c r="D92" s="2184">
        <v>2498</v>
      </c>
      <c r="E92" s="2185" t="str">
        <f t="shared" si="3"/>
        <v>流动负债</v>
      </c>
      <c r="F92" s="884">
        <f>SUM(F66:F91)-SUM(F72,F84,F85,F86)</f>
        <v>77953379.920000002</v>
      </c>
      <c r="G92" s="885">
        <f t="shared" ref="G92:M92" si="25">SUM(G66:G91)-SUM(G72,G84,G85,G86)</f>
        <v>869627.68</v>
      </c>
      <c r="H92" s="885">
        <f t="shared" si="25"/>
        <v>6414047.8399999999</v>
      </c>
      <c r="I92" s="913">
        <f t="shared" si="25"/>
        <v>83497800.079999998</v>
      </c>
      <c r="J92" s="914">
        <f t="shared" si="25"/>
        <v>157445351.86000001</v>
      </c>
      <c r="K92" s="885">
        <f t="shared" si="25"/>
        <v>0</v>
      </c>
      <c r="L92" s="885">
        <f t="shared" si="25"/>
        <v>0</v>
      </c>
      <c r="M92" s="891">
        <f t="shared" si="25"/>
        <v>157445351.86000001</v>
      </c>
      <c r="N92" s="641"/>
      <c r="O92" s="641"/>
      <c r="P92" s="641"/>
      <c r="Q92" s="641"/>
      <c r="T92" s="3055">
        <v>2715</v>
      </c>
      <c r="U92" s="3063">
        <v>0</v>
      </c>
    </row>
    <row r="93" spans="1:21"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157445351.86000001</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85691911</v>
      </c>
    </row>
    <row r="101" spans="1:21"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3">
        <v>238420255.88999999</v>
      </c>
    </row>
    <row r="105" spans="1:21"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6">
        <f t="shared" si="26"/>
        <v>0</v>
      </c>
      <c r="B106" s="1645">
        <f t="shared" si="27"/>
        <v>-1</v>
      </c>
      <c r="C106" s="1645" t="str">
        <f t="shared" si="28"/>
        <v>J</v>
      </c>
      <c r="D106" s="1657">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8378246.8099999996</v>
      </c>
    </row>
    <row r="108" spans="1:21" ht="18">
      <c r="A108" s="1646" t="str">
        <f t="shared" si="26"/>
        <v>＝</v>
      </c>
      <c r="B108" s="1645">
        <f t="shared" si="27"/>
        <v>0</v>
      </c>
      <c r="C108" s="1645">
        <f t="shared" si="28"/>
        <v>0</v>
      </c>
      <c r="D108" s="2184">
        <v>2998</v>
      </c>
      <c r="E108" s="2185"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3">
        <v>4637867.0999999996</v>
      </c>
    </row>
    <row r="109" spans="1:21" ht="18">
      <c r="A109" s="1646" t="str">
        <f t="shared" si="26"/>
        <v>＝</v>
      </c>
      <c r="B109" s="1645">
        <f t="shared" si="27"/>
        <v>0</v>
      </c>
      <c r="C109" s="1645">
        <f t="shared" si="28"/>
        <v>0</v>
      </c>
      <c r="D109" s="2184">
        <v>2999</v>
      </c>
      <c r="E109" s="2185" t="str">
        <f t="shared" si="29"/>
        <v>负债</v>
      </c>
      <c r="F109" s="884">
        <f t="shared" ref="F109:M109" si="33">SUM(F92,F108)</f>
        <v>77953379.920000002</v>
      </c>
      <c r="G109" s="885">
        <f t="shared" si="33"/>
        <v>869627.68</v>
      </c>
      <c r="H109" s="885">
        <f t="shared" si="33"/>
        <v>6414047.8399999999</v>
      </c>
      <c r="I109" s="913">
        <f t="shared" si="33"/>
        <v>83497800.079999998</v>
      </c>
      <c r="J109" s="914">
        <f t="shared" si="33"/>
        <v>157445351.86000001</v>
      </c>
      <c r="K109" s="885">
        <f t="shared" si="33"/>
        <v>0</v>
      </c>
      <c r="L109" s="885">
        <f t="shared" si="33"/>
        <v>0</v>
      </c>
      <c r="M109" s="891">
        <f t="shared" si="33"/>
        <v>157445351.86000001</v>
      </c>
      <c r="N109" s="641"/>
      <c r="O109" s="641"/>
      <c r="P109" s="641"/>
      <c r="Q109" s="641"/>
      <c r="T109" s="3055">
        <v>4102</v>
      </c>
      <c r="U109" s="3063">
        <v>0</v>
      </c>
    </row>
    <row r="110" spans="1:21"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55">
        <v>4200</v>
      </c>
      <c r="U110" s="3063">
        <v>-145316230.15000001</v>
      </c>
    </row>
    <row r="111" spans="1:21" ht="18">
      <c r="A111" s="1646">
        <f t="shared" si="26"/>
        <v>0</v>
      </c>
      <c r="B111" s="1645">
        <f t="shared" si="27"/>
        <v>-1</v>
      </c>
      <c r="C111" s="1645" t="str">
        <f t="shared" si="28"/>
        <v>J</v>
      </c>
      <c r="D111" s="1657">
        <v>4001</v>
      </c>
      <c r="E111" s="888" t="str">
        <f t="shared" si="29"/>
        <v>实收资本</v>
      </c>
      <c r="F111" s="884">
        <f t="shared" si="19"/>
        <v>85691911</v>
      </c>
      <c r="G111" s="885">
        <f>SUMIF(AJE!$B:$B,$C111&amp;"81*",AJE!$O:$O)</f>
        <v>0</v>
      </c>
      <c r="H111" s="885">
        <f>SUMIF(AJE!$B:$B,$C111&amp;"81*",AJE!$P:$P)</f>
        <v>0</v>
      </c>
      <c r="I111" s="913">
        <f t="shared" ref="I111:I123" si="34">(B111*F111+G111-H111)*B111</f>
        <v>85691911</v>
      </c>
      <c r="J111" s="914">
        <f t="shared" si="20"/>
        <v>85691911</v>
      </c>
      <c r="K111" s="885">
        <f>SUMIF('AJE1'!$B:$B,$C111&amp;"81*",'AJE1'!$O:$O)</f>
        <v>0</v>
      </c>
      <c r="L111" s="885">
        <f>SUMIF('AJE1'!$B:$B,$C111&amp;"81*",'AJE1'!$P:$P)</f>
        <v>0</v>
      </c>
      <c r="M111" s="891">
        <f t="shared" si="21"/>
        <v>85691911</v>
      </c>
      <c r="N111" s="641"/>
      <c r="O111" s="641"/>
      <c r="P111" s="641"/>
      <c r="Q111" s="641"/>
      <c r="T111" s="3055">
        <v>4210</v>
      </c>
      <c r="U111" s="3064">
        <v>0</v>
      </c>
    </row>
    <row r="112" spans="1:21"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191812050.65000001</v>
      </c>
    </row>
    <row r="113" spans="1:21"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191812050.65000001</v>
      </c>
    </row>
    <row r="115" spans="1:21" ht="18">
      <c r="A115" s="1646">
        <f t="shared" si="26"/>
        <v>0</v>
      </c>
      <c r="B115" s="1645">
        <f t="shared" si="27"/>
        <v>-1</v>
      </c>
      <c r="C115" s="1645" t="str">
        <f t="shared" si="28"/>
        <v>J</v>
      </c>
      <c r="D115" s="1657">
        <v>4002</v>
      </c>
      <c r="E115" s="888" t="str">
        <f t="shared" si="29"/>
        <v>资本公积</v>
      </c>
      <c r="F115" s="884">
        <f t="shared" si="19"/>
        <v>238420255.88999999</v>
      </c>
      <c r="G115" s="885">
        <f>SUMIF(AJE!$B:$B,$C115&amp;"82*",AJE!$O:$O)</f>
        <v>0</v>
      </c>
      <c r="H115" s="885">
        <f>SUMIF(AJE!$B:$B,$C115&amp;"82*",AJE!$P:$P)</f>
        <v>0</v>
      </c>
      <c r="I115" s="913">
        <f t="shared" si="34"/>
        <v>238420255.88999999</v>
      </c>
      <c r="J115" s="914">
        <f t="shared" si="20"/>
        <v>238420255.88999999</v>
      </c>
      <c r="K115" s="885">
        <f>SUMIF('AJE1'!$B:$B,$C115&amp;"82*",'AJE1'!$O:$O)</f>
        <v>0</v>
      </c>
      <c r="L115" s="885">
        <f>SUMIF('AJE1'!$B:$B,$C115&amp;"82*",'AJE1'!$P:$P)</f>
        <v>0</v>
      </c>
      <c r="M115" s="891">
        <f t="shared" si="21"/>
        <v>238420255.88999999</v>
      </c>
      <c r="N115" s="641"/>
      <c r="O115" s="641"/>
      <c r="P115" s="641"/>
      <c r="Q115" s="641"/>
      <c r="T115" s="3055">
        <v>5000</v>
      </c>
      <c r="U115" s="3063">
        <v>349257402.50999999</v>
      </c>
    </row>
    <row r="116" spans="1:21"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339876355.07999998</v>
      </c>
    </row>
    <row r="118" spans="1:21" ht="18">
      <c r="A118" s="1646">
        <f t="shared" si="26"/>
        <v>0</v>
      </c>
      <c r="B118" s="1645">
        <f t="shared" si="27"/>
        <v>-1</v>
      </c>
      <c r="C118" s="1645" t="str">
        <f t="shared" si="28"/>
        <v>J</v>
      </c>
      <c r="D118" s="1657">
        <v>4301</v>
      </c>
      <c r="E118" s="888" t="str">
        <f t="shared" si="29"/>
        <v>专项储备</v>
      </c>
      <c r="F118" s="884">
        <f t="shared" si="19"/>
        <v>4545209.38</v>
      </c>
      <c r="G118" s="885">
        <f>SUMIF(AJE!$B:$B,$C118&amp;"84*",AJE!$O:$O)</f>
        <v>0</v>
      </c>
      <c r="H118" s="885">
        <f>SUMIF(AJE!$B:$B,$C118&amp;"84*",AJE!$P:$P)</f>
        <v>0</v>
      </c>
      <c r="I118" s="913">
        <f t="shared" si="34"/>
        <v>4545209.38</v>
      </c>
      <c r="J118" s="914">
        <f t="shared" si="20"/>
        <v>8378246.8099999996</v>
      </c>
      <c r="K118" s="885">
        <f>SUMIF('AJE1'!$B:$B,$C118&amp;"84*",'AJE1'!$O:$O)</f>
        <v>0</v>
      </c>
      <c r="L118" s="885">
        <f>SUMIF('AJE1'!$B:$B,$C118&amp;"84*",'AJE1'!$P:$P)</f>
        <v>0</v>
      </c>
      <c r="M118" s="891">
        <f t="shared" si="21"/>
        <v>8378246.8099999996</v>
      </c>
      <c r="N118" s="641"/>
      <c r="O118" s="641"/>
      <c r="P118" s="641"/>
      <c r="Q118" s="641"/>
      <c r="T118" s="3055">
        <v>6001</v>
      </c>
      <c r="U118" s="3063">
        <v>339876355.07999998</v>
      </c>
    </row>
    <row r="119" spans="1:21" ht="18">
      <c r="A119" s="1646">
        <f t="shared" si="26"/>
        <v>0</v>
      </c>
      <c r="B119" s="1645">
        <f t="shared" si="27"/>
        <v>-1</v>
      </c>
      <c r="C119" s="1645" t="str">
        <f t="shared" si="28"/>
        <v>J</v>
      </c>
      <c r="D119" s="1657">
        <v>4101</v>
      </c>
      <c r="E119" s="888" t="str">
        <f t="shared" si="29"/>
        <v>盈余公积</v>
      </c>
      <c r="F119" s="884">
        <f t="shared" si="19"/>
        <v>4637867.0999999996</v>
      </c>
      <c r="G119" s="885">
        <f>SUMIF(AJE!$B:$B,$C119&amp;"85*",AJE!$O:$O)</f>
        <v>0</v>
      </c>
      <c r="H119" s="885">
        <f>SUMIF(AJE!$B:$B,$C119&amp;"85*",AJE!$P:$P)</f>
        <v>0</v>
      </c>
      <c r="I119" s="913">
        <f t="shared" si="34"/>
        <v>4637867.0999999996</v>
      </c>
      <c r="J119" s="914">
        <f t="shared" si="20"/>
        <v>4637867.0999999996</v>
      </c>
      <c r="K119" s="885">
        <f>SUMIF('AJE1'!$B:$B,$C119&amp;"85*",'AJE1'!$O:$O)</f>
        <v>0</v>
      </c>
      <c r="L119" s="885">
        <f>SUMIF('AJE1'!$B:$B,$C119&amp;"85*",'AJE1'!$P:$P)</f>
        <v>0</v>
      </c>
      <c r="M119" s="891">
        <f t="shared" si="21"/>
        <v>4637867.0999999996</v>
      </c>
      <c r="N119" s="641"/>
      <c r="O119" s="641"/>
      <c r="P119" s="641"/>
      <c r="Q119" s="641"/>
      <c r="T119" s="3055">
        <v>6011</v>
      </c>
      <c r="U119" s="3063">
        <v>0</v>
      </c>
    </row>
    <row r="120" spans="1:21"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6">
        <f t="shared" si="26"/>
        <v>0</v>
      </c>
      <c r="B121" s="1645">
        <f t="shared" si="27"/>
        <v>-1</v>
      </c>
      <c r="C121" s="1645" t="str">
        <f t="shared" si="28"/>
        <v>J</v>
      </c>
      <c r="D121" s="2184">
        <v>4200</v>
      </c>
      <c r="E121" s="2185" t="str">
        <f t="shared" si="29"/>
        <v>未分配利润</v>
      </c>
      <c r="F121" s="884">
        <f t="shared" si="19"/>
        <v>-143648994.83000001</v>
      </c>
      <c r="G121" s="885">
        <f>SUMIF(AJE!$B:$B,$C121&amp;"87*",AJE!$O:$O)+VLOOKUP(6799,Sheet_Trialbal,4,0)</f>
        <v>32841668.760000002</v>
      </c>
      <c r="H121" s="885">
        <f>SUMIF(AJE!$B:$B,$C121&amp;"87*",AJE!$P:$P)+VLOOKUP(6799,Sheet_Trialbal,5,0)</f>
        <v>17572080.690000001</v>
      </c>
      <c r="I121" s="913">
        <f t="shared" si="34"/>
        <v>-158918582.90000001</v>
      </c>
      <c r="J121" s="914">
        <f t="shared" si="20"/>
        <v>-145316230.15000001</v>
      </c>
      <c r="K121" s="885">
        <f>SUMIF('AJE1'!$B:$B,$C121&amp;"87*",'AJE1'!$O:$O)+VLOOKUP(6799,Sheet_Trialbal,8,0)</f>
        <v>0</v>
      </c>
      <c r="L121" s="885">
        <f>SUMIF('AJE1'!$B:$B,$C121&amp;"87*",'AJE1'!$P:$P)+VLOOKUP(6799,Sheet_Trialbal,9,0)</f>
        <v>0</v>
      </c>
      <c r="M121" s="891">
        <f t="shared" si="21"/>
        <v>-145316230.15000001</v>
      </c>
      <c r="N121" s="641"/>
      <c r="O121" s="641"/>
      <c r="P121" s="641"/>
      <c r="Q121" s="641"/>
      <c r="T121" s="3055">
        <v>6021</v>
      </c>
      <c r="U121" s="3063">
        <v>0</v>
      </c>
    </row>
    <row r="122" spans="1:21" ht="18">
      <c r="A122" s="1646" t="str">
        <f t="shared" si="26"/>
        <v>※</v>
      </c>
      <c r="B122" s="1645">
        <f t="shared" si="27"/>
        <v>0</v>
      </c>
      <c r="C122" s="1645">
        <f t="shared" si="28"/>
        <v>0</v>
      </c>
      <c r="D122" s="1657">
        <v>4298</v>
      </c>
      <c r="E122" s="888" t="str">
        <f t="shared" si="29"/>
        <v>归属于母公司所有者权益</v>
      </c>
      <c r="F122" s="884">
        <f>SUM(F111:F112,F115,-F116,F117:F121)</f>
        <v>189646248.53999999</v>
      </c>
      <c r="G122" s="919">
        <f>SUM(G111:G112,G115:G121)</f>
        <v>32841668.760000002</v>
      </c>
      <c r="H122" s="919">
        <f>SUM(H111:H112,H115:H121)</f>
        <v>17572080.690000001</v>
      </c>
      <c r="I122" s="913">
        <f>SUM(I111:I112,I115,-I116,I117:I121)</f>
        <v>174376660.47</v>
      </c>
      <c r="J122" s="914">
        <f>SUM(J111:J112,J115,-J116,J117:J121)</f>
        <v>191812050.65000001</v>
      </c>
      <c r="K122" s="919">
        <f>SUM(K111:K112,K115:K121)</f>
        <v>0</v>
      </c>
      <c r="L122" s="919">
        <f>SUM(L111:L112,L115:L121)</f>
        <v>0</v>
      </c>
      <c r="M122" s="891">
        <f>SUM(M111:M112,M115,-M116,M117:M121)</f>
        <v>191812050.65000001</v>
      </c>
      <c r="N122" s="641"/>
      <c r="O122" s="641"/>
      <c r="P122" s="641"/>
      <c r="Q122" s="641"/>
      <c r="T122" s="3055">
        <v>6598</v>
      </c>
      <c r="U122" s="3063">
        <v>309340946.82999998</v>
      </c>
    </row>
    <row r="123" spans="1:21"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239939923.65000001</v>
      </c>
    </row>
    <row r="124" spans="1:21" ht="18">
      <c r="A124" s="1646" t="str">
        <f t="shared" si="26"/>
        <v>＝</v>
      </c>
      <c r="B124" s="1645">
        <f t="shared" si="27"/>
        <v>0</v>
      </c>
      <c r="C124" s="1645">
        <f t="shared" si="28"/>
        <v>0</v>
      </c>
      <c r="D124" s="2184">
        <v>4999</v>
      </c>
      <c r="E124" s="2185" t="str">
        <f t="shared" si="29"/>
        <v>所有者权益</v>
      </c>
      <c r="F124" s="884">
        <f t="shared" ref="F124:M124" si="35">SUM(F122:F123)</f>
        <v>189646248.53999999</v>
      </c>
      <c r="G124" s="885">
        <f t="shared" si="35"/>
        <v>32841668.760000002</v>
      </c>
      <c r="H124" s="885">
        <f t="shared" si="35"/>
        <v>17572080.690000001</v>
      </c>
      <c r="I124" s="913">
        <f t="shared" si="35"/>
        <v>174376660.47</v>
      </c>
      <c r="J124" s="914">
        <f t="shared" si="35"/>
        <v>191812050.65000001</v>
      </c>
      <c r="K124" s="885">
        <f t="shared" si="35"/>
        <v>0</v>
      </c>
      <c r="L124" s="885">
        <f t="shared" si="35"/>
        <v>0</v>
      </c>
      <c r="M124" s="891">
        <f t="shared" si="35"/>
        <v>191812050.65000001</v>
      </c>
      <c r="N124" s="641"/>
      <c r="O124" s="641"/>
      <c r="P124" s="641"/>
      <c r="Q124" s="641"/>
      <c r="T124" s="3055">
        <v>6411</v>
      </c>
      <c r="U124" s="3063">
        <v>0</v>
      </c>
    </row>
    <row r="125" spans="1:21" ht="18">
      <c r="A125" s="1646" t="str">
        <f t="shared" si="26"/>
        <v>＝</v>
      </c>
      <c r="B125" s="1645">
        <f t="shared" si="27"/>
        <v>0</v>
      </c>
      <c r="C125" s="1645">
        <f t="shared" si="28"/>
        <v>0</v>
      </c>
      <c r="D125" s="2184">
        <v>5000</v>
      </c>
      <c r="E125" s="2185" t="str">
        <f t="shared" si="29"/>
        <v>负债和所有者权益</v>
      </c>
      <c r="F125" s="884">
        <f t="shared" ref="F125:M125" si="36">SUM(F109,F124)</f>
        <v>267599628.46000001</v>
      </c>
      <c r="G125" s="885">
        <f t="shared" si="36"/>
        <v>33711296.439999998</v>
      </c>
      <c r="H125" s="885">
        <f t="shared" si="36"/>
        <v>23986128.530000001</v>
      </c>
      <c r="I125" s="913">
        <f t="shared" si="36"/>
        <v>257874460.55000001</v>
      </c>
      <c r="J125" s="914">
        <f t="shared" si="36"/>
        <v>349257402.50999999</v>
      </c>
      <c r="K125" s="885">
        <f t="shared" si="36"/>
        <v>0</v>
      </c>
      <c r="L125" s="885">
        <f t="shared" si="36"/>
        <v>0</v>
      </c>
      <c r="M125" s="891">
        <f t="shared" si="36"/>
        <v>349257402.50999999</v>
      </c>
      <c r="N125" s="641"/>
      <c r="O125" s="641"/>
      <c r="P125" s="641"/>
      <c r="Q125" s="641"/>
      <c r="T125" s="3055">
        <v>6421</v>
      </c>
      <c r="U125" s="3063">
        <v>0</v>
      </c>
    </row>
    <row r="126" spans="1:21"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6" t="str">
        <f t="shared" si="26"/>
        <v>※</v>
      </c>
      <c r="B127" s="1645">
        <f t="shared" si="27"/>
        <v>0</v>
      </c>
      <c r="C127" s="1645">
        <f t="shared" si="28"/>
        <v>0</v>
      </c>
      <c r="D127" s="2184">
        <v>6098</v>
      </c>
      <c r="E127" s="2185" t="str">
        <f t="shared" si="29"/>
        <v>营业总收入</v>
      </c>
      <c r="F127" s="884">
        <f t="shared" ref="F127:M127" si="37">SUM(F128:F131)</f>
        <v>227506544.46000001</v>
      </c>
      <c r="G127" s="885">
        <f t="shared" si="37"/>
        <v>0</v>
      </c>
      <c r="H127" s="885">
        <f t="shared" si="37"/>
        <v>3812767.45</v>
      </c>
      <c r="I127" s="913">
        <f t="shared" si="37"/>
        <v>231319311.91</v>
      </c>
      <c r="J127" s="914">
        <f t="shared" si="37"/>
        <v>339876355.07999998</v>
      </c>
      <c r="K127" s="885">
        <f t="shared" si="37"/>
        <v>0</v>
      </c>
      <c r="L127" s="885">
        <f t="shared" si="37"/>
        <v>0</v>
      </c>
      <c r="M127" s="891">
        <f t="shared" si="37"/>
        <v>339876355.07999998</v>
      </c>
      <c r="N127" s="641"/>
      <c r="O127" s="641"/>
      <c r="P127" s="641"/>
      <c r="Q127" s="641"/>
      <c r="T127" s="3055">
        <v>6510</v>
      </c>
      <c r="U127" s="3063">
        <v>0</v>
      </c>
    </row>
    <row r="128" spans="1:21" ht="18">
      <c r="A128" s="1646">
        <f t="shared" si="26"/>
        <v>0</v>
      </c>
      <c r="B128" s="1645">
        <f t="shared" si="27"/>
        <v>-1</v>
      </c>
      <c r="C128" s="1645" t="str">
        <f t="shared" si="28"/>
        <v>J</v>
      </c>
      <c r="D128" s="1657">
        <v>6001</v>
      </c>
      <c r="E128" s="888" t="str">
        <f t="shared" si="29"/>
        <v>营业收入</v>
      </c>
      <c r="F128" s="884">
        <f>VLOOKUP($D128,Sheet_Preis,4,0)</f>
        <v>227506544.46000001</v>
      </c>
      <c r="G128" s="885">
        <f>SUMIF(AJE!$B:$B,$C128&amp;$D128&amp;"*",AJE!$O:$O)</f>
        <v>0</v>
      </c>
      <c r="H128" s="885">
        <f>SUMIF(AJE!$B:$B,$C128&amp;$D128&amp;"*",AJE!$P:$P)</f>
        <v>3812767.45</v>
      </c>
      <c r="I128" s="913">
        <f t="shared" ref="I128:I169" si="38">(B128*F128+G128-H128)*B128</f>
        <v>231319311.91</v>
      </c>
      <c r="J128" s="914">
        <f>VLOOKUP($D128,Sheet_Preis,5,0)</f>
        <v>339876355.07999998</v>
      </c>
      <c r="K128" s="885">
        <f>SUMIF('AJE1'!$B:$B,$C128&amp;$D128&amp;"*",'AJE1'!$O:$O)</f>
        <v>0</v>
      </c>
      <c r="L128" s="885">
        <f>SUMIF('AJE1'!$B:$B,$C128&amp;$D128&amp;"*",'AJE1'!$P:$P)</f>
        <v>0</v>
      </c>
      <c r="M128" s="891">
        <f t="shared" ref="M128:M169" si="39">($B128*J128+K128-L128)*$B128</f>
        <v>339876355.07999998</v>
      </c>
      <c r="N128" s="641"/>
      <c r="O128" s="641"/>
      <c r="P128" s="641"/>
      <c r="Q128" s="641"/>
      <c r="T128" s="3055">
        <v>6505</v>
      </c>
      <c r="U128" s="3063">
        <v>0</v>
      </c>
    </row>
    <row r="129" spans="1:21"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6554133.3899999997</v>
      </c>
    </row>
    <row r="132" spans="1:21" ht="18">
      <c r="A132" s="1646" t="str">
        <f t="shared" si="26"/>
        <v>※</v>
      </c>
      <c r="B132" s="1645">
        <f t="shared" si="27"/>
        <v>0</v>
      </c>
      <c r="C132" s="1645">
        <f t="shared" si="28"/>
        <v>0</v>
      </c>
      <c r="D132" s="2184">
        <v>6598</v>
      </c>
      <c r="E132" s="2185" t="str">
        <f t="shared" si="29"/>
        <v>营业总成本</v>
      </c>
      <c r="F132" s="884">
        <f>SUM(F133:F145)</f>
        <v>226053010.99000001</v>
      </c>
      <c r="G132" s="885">
        <f>SUM(G133:G145)</f>
        <v>16395634.65</v>
      </c>
      <c r="H132" s="885">
        <f t="shared" ref="H132:M132" si="40">SUM(H133:H145)</f>
        <v>8620257.6199999992</v>
      </c>
      <c r="I132" s="913">
        <f t="shared" si="40"/>
        <v>233828388.02000001</v>
      </c>
      <c r="J132" s="914">
        <f t="shared" si="40"/>
        <v>300293949.13999999</v>
      </c>
      <c r="K132" s="885">
        <f t="shared" si="40"/>
        <v>0</v>
      </c>
      <c r="L132" s="885">
        <f t="shared" si="40"/>
        <v>0</v>
      </c>
      <c r="M132" s="891">
        <f t="shared" si="40"/>
        <v>300293949.13999999</v>
      </c>
      <c r="N132" s="641"/>
      <c r="O132" s="641"/>
      <c r="P132" s="641"/>
      <c r="Q132" s="641"/>
      <c r="T132" s="3055">
        <v>6601</v>
      </c>
      <c r="U132" s="3063">
        <v>22551947.460000001</v>
      </c>
    </row>
    <row r="133" spans="1:21" ht="18">
      <c r="A133" s="1646">
        <f t="shared" si="26"/>
        <v>0</v>
      </c>
      <c r="B133" s="1645">
        <f t="shared" si="27"/>
        <v>1</v>
      </c>
      <c r="C133" s="1645" t="str">
        <f t="shared" si="28"/>
        <v>J</v>
      </c>
      <c r="D133" s="1657">
        <v>6401</v>
      </c>
      <c r="E133" s="888" t="str">
        <f t="shared" si="29"/>
        <v>营业成本</v>
      </c>
      <c r="F133" s="884">
        <f t="shared" ref="F133:F157" si="41">VLOOKUP($D133,Sheet_Preis,4,0)</f>
        <v>182901443.08000001</v>
      </c>
      <c r="G133" s="885">
        <f>SUMIF(AJE!$B:$B,$C133&amp;$D133&amp;"*",AJE!$O:$O)</f>
        <v>14161014.01</v>
      </c>
      <c r="H133" s="885">
        <f>SUMIF(AJE!$B:$B,$C133&amp;$D133&amp;"*",AJE!$P:$P)</f>
        <v>0</v>
      </c>
      <c r="I133" s="913">
        <f t="shared" si="38"/>
        <v>197062457.09</v>
      </c>
      <c r="J133" s="914">
        <f t="shared" ref="J133:J157" si="42">VLOOKUP($D133,Sheet_Preis,5,0)</f>
        <v>239939923.65000001</v>
      </c>
      <c r="K133" s="885">
        <f>SUMIF('AJE1'!$B:$B,$C133&amp;$D133&amp;"*",'AJE1'!$O:$O)</f>
        <v>0</v>
      </c>
      <c r="L133" s="885">
        <f>SUMIF('AJE1'!$B:$B,$C133&amp;$D133&amp;"*",'AJE1'!$P:$P)</f>
        <v>0</v>
      </c>
      <c r="M133" s="891">
        <f t="shared" si="39"/>
        <v>239939923.65000001</v>
      </c>
      <c r="N133" s="641"/>
      <c r="O133" s="641"/>
      <c r="P133" s="641"/>
      <c r="Q133" s="641"/>
      <c r="T133" s="3055">
        <v>6602</v>
      </c>
      <c r="U133" s="3063">
        <v>28739665.809999999</v>
      </c>
    </row>
    <row r="134" spans="1:21"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0</v>
      </c>
    </row>
    <row r="135" spans="1:21"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2508278.83</v>
      </c>
    </row>
    <row r="136" spans="1:21"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0</v>
      </c>
    </row>
    <row r="137" spans="1:21"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0</v>
      </c>
    </row>
    <row r="138" spans="1:21"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9046997.6899999995</v>
      </c>
    </row>
    <row r="139" spans="1:21"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15000</v>
      </c>
    </row>
    <row r="140" spans="1:21"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300300</v>
      </c>
    </row>
    <row r="141" spans="1:21" ht="18">
      <c r="A141" s="1646">
        <f t="shared" si="26"/>
        <v>0</v>
      </c>
      <c r="B141" s="1645">
        <f t="shared" si="27"/>
        <v>1</v>
      </c>
      <c r="C141" s="1645" t="str">
        <f t="shared" si="28"/>
        <v>J</v>
      </c>
      <c r="D141" s="1657">
        <v>6600</v>
      </c>
      <c r="E141" s="888" t="str">
        <f t="shared" si="29"/>
        <v>税金及附加</v>
      </c>
      <c r="F141" s="884">
        <f t="shared" si="41"/>
        <v>3698966.08</v>
      </c>
      <c r="G141" s="885">
        <f>SUMIF(AJE!$B:$B,$C141&amp;$D141&amp;"*",AJE!$O:$O)</f>
        <v>78437.37</v>
      </c>
      <c r="H141" s="885">
        <f>SUMIF(AJE!$B:$B,$C141&amp;$D141&amp;"*",AJE!$P:$P)</f>
        <v>0</v>
      </c>
      <c r="I141" s="913">
        <f t="shared" si="38"/>
        <v>3777403.45</v>
      </c>
      <c r="J141" s="914">
        <f t="shared" si="42"/>
        <v>6554133.3899999997</v>
      </c>
      <c r="K141" s="885">
        <f>SUMIF('AJE1'!$B:$B,$C141&amp;$D141&amp;"*",'AJE1'!$O:$O)</f>
        <v>0</v>
      </c>
      <c r="L141" s="885">
        <f>SUMIF('AJE1'!$B:$B,$C141&amp;$D141&amp;"*",'AJE1'!$P:$P)</f>
        <v>0</v>
      </c>
      <c r="M141" s="891">
        <f t="shared" si="39"/>
        <v>6554133.3899999997</v>
      </c>
      <c r="N141" s="641"/>
      <c r="O141" s="641"/>
      <c r="P141" s="641"/>
      <c r="Q141" s="641"/>
      <c r="T141" s="3056">
        <v>6111.01</v>
      </c>
      <c r="U141" s="3063">
        <v>0</v>
      </c>
    </row>
    <row r="142" spans="1:21" ht="18">
      <c r="A142" s="1646">
        <f t="shared" si="26"/>
        <v>0</v>
      </c>
      <c r="B142" s="1645">
        <f t="shared" si="27"/>
        <v>1</v>
      </c>
      <c r="C142" s="1645" t="str">
        <f t="shared" si="28"/>
        <v>J</v>
      </c>
      <c r="D142" s="1657">
        <v>6601</v>
      </c>
      <c r="E142" s="888" t="str">
        <f t="shared" si="29"/>
        <v>销售费用</v>
      </c>
      <c r="F142" s="884">
        <f t="shared" si="41"/>
        <v>13546525.32</v>
      </c>
      <c r="G142" s="885">
        <f>SUMIF(AJE!$B:$B,$C142&amp;$D142&amp;"*",AJE!$O:$O)</f>
        <v>300201.21000000002</v>
      </c>
      <c r="H142" s="885">
        <f>SUMIF(AJE!$B:$B,$C142&amp;$D142&amp;"*",AJE!$P:$P)</f>
        <v>0</v>
      </c>
      <c r="I142" s="913">
        <f t="shared" si="38"/>
        <v>13846726.529999999</v>
      </c>
      <c r="J142" s="914">
        <f t="shared" si="42"/>
        <v>22551947.460000001</v>
      </c>
      <c r="K142" s="885">
        <f>SUMIF('AJE1'!$B:$B,$C142&amp;$D142&amp;"*",'AJE1'!$O:$O)</f>
        <v>0</v>
      </c>
      <c r="L142" s="885">
        <f>SUMIF('AJE1'!$B:$B,$C142&amp;$D142&amp;"*",'AJE1'!$P:$P)</f>
        <v>0</v>
      </c>
      <c r="M142" s="891">
        <f t="shared" si="39"/>
        <v>22551947.460000001</v>
      </c>
      <c r="N142" s="641"/>
      <c r="O142" s="641"/>
      <c r="P142" s="641"/>
      <c r="Q142" s="641"/>
      <c r="T142" s="3055">
        <v>6161</v>
      </c>
      <c r="U142" s="3063">
        <v>0</v>
      </c>
    </row>
    <row r="143" spans="1:21" ht="18">
      <c r="A143" s="1646">
        <f t="shared" si="26"/>
        <v>0</v>
      </c>
      <c r="B143" s="1645">
        <f t="shared" si="27"/>
        <v>1</v>
      </c>
      <c r="C143" s="1645" t="str">
        <f t="shared" si="28"/>
        <v>J</v>
      </c>
      <c r="D143" s="1657">
        <v>6602</v>
      </c>
      <c r="E143" s="888" t="str">
        <f t="shared" si="29"/>
        <v>管理费用</v>
      </c>
      <c r="F143" s="884">
        <f t="shared" si="41"/>
        <v>25555922.829999998</v>
      </c>
      <c r="G143" s="885">
        <f>SUMIF(AJE!$B:$B,$C143&amp;$D143&amp;"*",AJE!$O:$O)</f>
        <v>1858464.23</v>
      </c>
      <c r="H143" s="885">
        <f>SUMIF(AJE!$B:$B,$C143&amp;$D143&amp;"*",AJE!$P:$P)</f>
        <v>8620257.6199999992</v>
      </c>
      <c r="I143" s="913">
        <f t="shared" si="38"/>
        <v>18794129.440000001</v>
      </c>
      <c r="J143" s="914">
        <f t="shared" si="42"/>
        <v>28739665.809999999</v>
      </c>
      <c r="K143" s="885">
        <f>SUMIF('AJE1'!$B:$B,$C143&amp;$D143&amp;"*",'AJE1'!$O:$O)</f>
        <v>0</v>
      </c>
      <c r="L143" s="885">
        <f>SUMIF('AJE1'!$B:$B,$C143&amp;$D143&amp;"*",'AJE1'!$P:$P)</f>
        <v>0</v>
      </c>
      <c r="M143" s="891">
        <f t="shared" si="39"/>
        <v>28739665.809999999</v>
      </c>
      <c r="N143" s="641"/>
      <c r="O143" s="641"/>
      <c r="P143" s="641"/>
      <c r="Q143" s="641"/>
      <c r="T143" s="3055">
        <v>6101</v>
      </c>
      <c r="U143" s="3063">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5">
        <v>6171</v>
      </c>
      <c r="U144" s="3063">
        <v>-1081801.72</v>
      </c>
    </row>
    <row r="145" spans="1:21" ht="18">
      <c r="A145" s="1646">
        <f t="shared" si="26"/>
        <v>0</v>
      </c>
      <c r="B145" s="1645">
        <f t="shared" si="27"/>
        <v>1</v>
      </c>
      <c r="C145" s="1645" t="str">
        <f t="shared" si="28"/>
        <v>J</v>
      </c>
      <c r="D145" s="1657">
        <v>6603</v>
      </c>
      <c r="E145" s="888" t="str">
        <f t="shared" si="29"/>
        <v>财务费用</v>
      </c>
      <c r="F145" s="884">
        <f t="shared" si="41"/>
        <v>350153.68</v>
      </c>
      <c r="G145" s="885">
        <f>SUMIF(AJE!$B:$B,$C145&amp;$D145&amp;"*",AJE!$O:$O)</f>
        <v>-2482.17</v>
      </c>
      <c r="H145" s="885">
        <f>SUMIF(AJE!$B:$B,$C145&amp;$D145&amp;"*",AJE!$P:$P)</f>
        <v>0</v>
      </c>
      <c r="I145" s="913">
        <f t="shared" si="38"/>
        <v>347671.51</v>
      </c>
      <c r="J145" s="914">
        <f t="shared" si="42"/>
        <v>2508278.83</v>
      </c>
      <c r="K145" s="885">
        <f>SUMIF('AJE1'!$B:$B,$C145&amp;$D145&amp;"*",'AJE1'!$O:$O)</f>
        <v>0</v>
      </c>
      <c r="L145" s="885">
        <f>SUMIF('AJE1'!$B:$B,$C145&amp;$D145&amp;"*",'AJE1'!$P:$P)</f>
        <v>0</v>
      </c>
      <c r="M145" s="891">
        <f t="shared" si="39"/>
        <v>2508278.83</v>
      </c>
      <c r="N145" s="641"/>
      <c r="O145" s="641"/>
      <c r="P145" s="641"/>
      <c r="Q145" s="641"/>
      <c r="T145" s="3055">
        <v>6689</v>
      </c>
      <c r="U145" s="3063">
        <v>29768906.530000001</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2094341.69</v>
      </c>
      <c r="G146" s="885">
        <f>SUMIF(AJE!$B:$B,$C146&amp;$D146&amp;"*",AJE!$O:$O)</f>
        <v>0</v>
      </c>
      <c r="H146" s="885">
        <f>SUMIF(AJE!$B:$B,$C146&amp;$D146&amp;"*",AJE!$P:$P)</f>
        <v>0</v>
      </c>
      <c r="I146" s="913">
        <f t="shared" si="38"/>
        <v>2094341.69</v>
      </c>
      <c r="J146" s="914">
        <f>VLOOKUP($D146,Sheet_Preis,5,0)</f>
        <v>0</v>
      </c>
      <c r="K146" s="885">
        <f>SUMIF('AJE1'!$B:$B,$C146&amp;$D146&amp;"*",'AJE1'!$O:$O)</f>
        <v>0</v>
      </c>
      <c r="L146" s="885">
        <f>SUMIF('AJE1'!$B:$B,$C146&amp;$D146&amp;"*",'AJE1'!$P:$P)</f>
        <v>0</v>
      </c>
      <c r="M146" s="891">
        <f t="shared" si="39"/>
        <v>0</v>
      </c>
      <c r="N146" s="641"/>
      <c r="O146" s="641"/>
      <c r="P146" s="641"/>
      <c r="Q146" s="641"/>
      <c r="T146" s="3055">
        <v>6710</v>
      </c>
      <c r="U146" s="3063">
        <v>52566.02</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-1330385.21</v>
      </c>
      <c r="G147" s="885">
        <f>SUMIF(AJE!$B:$B,$C147&amp;$D147&amp;"*",AJE!$O:$O)</f>
        <v>0</v>
      </c>
      <c r="H147" s="885">
        <f>SUMIF(AJE!$B:$B,$C147&amp;$D147&amp;"*",AJE!$P:$P)</f>
        <v>0</v>
      </c>
      <c r="I147" s="913">
        <f t="shared" si="38"/>
        <v>-1330385.21</v>
      </c>
      <c r="J147" s="914">
        <f>VLOOKUP($D147,Sheet_Preis,5,0)</f>
        <v>0</v>
      </c>
      <c r="K147" s="885">
        <f>SUMIF('AJE1'!$B:$B,$C147&amp;$D147&amp;"*",'AJE1'!$O:$O)</f>
        <v>0</v>
      </c>
      <c r="L147" s="885">
        <f>SUMIF('AJE1'!$B:$B,$C147&amp;$D147&amp;"*",'AJE1'!$P:$P)</f>
        <v>0</v>
      </c>
      <c r="M147" s="891">
        <f t="shared" si="39"/>
        <v>0</v>
      </c>
      <c r="N147" s="641"/>
      <c r="O147" s="641"/>
      <c r="P147" s="641"/>
      <c r="Q147" s="641"/>
      <c r="T147" s="3055">
        <v>6711</v>
      </c>
      <c r="U147" s="3063">
        <v>910205.83</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143120</v>
      </c>
      <c r="G148" s="885">
        <f>SUMIF(AJE!$B:$B,$C148&amp;$D148&amp;"*",AJE!$O:$O)</f>
        <v>0</v>
      </c>
      <c r="H148" s="885">
        <f>SUMIF(AJE!$B:$B,$C148&amp;$D148&amp;"*",AJE!$P:$P)</f>
        <v>0</v>
      </c>
      <c r="I148" s="913">
        <f t="shared" si="38"/>
        <v>143120</v>
      </c>
      <c r="J148" s="914">
        <f>VLOOKUP($D148,Sheet_Preis,5,0)</f>
        <v>15000</v>
      </c>
      <c r="K148" s="885">
        <f>SUMIF('AJE1'!$B:$B,$C148&amp;$D148&amp;"*",'AJE1'!$O:$O)</f>
        <v>0</v>
      </c>
      <c r="L148" s="885">
        <f>SUMIF('AJE1'!$B:$B,$C148&amp;$D148&amp;"*",'AJE1'!$P:$P)</f>
        <v>0</v>
      </c>
      <c r="M148" s="891">
        <f t="shared" si="39"/>
        <v>15000</v>
      </c>
      <c r="N148" s="641"/>
      <c r="O148" s="641"/>
      <c r="P148" s="641"/>
      <c r="Q148" s="641"/>
      <c r="T148" s="3055">
        <v>6788</v>
      </c>
      <c r="U148" s="3063">
        <v>28911266.719999999</v>
      </c>
    </row>
    <row r="149" spans="1:21" ht="18">
      <c r="A149" s="1646">
        <f t="shared" si="26"/>
        <v>0</v>
      </c>
      <c r="B149" s="1645">
        <f t="shared" si="27"/>
        <v>-1</v>
      </c>
      <c r="C149" s="1645" t="str">
        <f t="shared" si="28"/>
        <v>J</v>
      </c>
      <c r="D149" s="1657">
        <v>6111</v>
      </c>
      <c r="E149" s="888" t="str">
        <f t="shared" si="29"/>
        <v>投资收益</v>
      </c>
      <c r="F149" s="884">
        <f t="shared" si="41"/>
        <v>0</v>
      </c>
      <c r="G149" s="885">
        <f>SUMIF(AJE!$B:$B,$C149&amp;$D149&amp;"*",AJE!$O:$O)</f>
        <v>0</v>
      </c>
      <c r="H149" s="885">
        <f>SUMIF(AJE!$B:$B,$C149&amp;$D149&amp;"*",AJE!$P:$P)</f>
        <v>0</v>
      </c>
      <c r="I149" s="913">
        <f t="shared" si="38"/>
        <v>0</v>
      </c>
      <c r="J149" s="914">
        <f t="shared" si="42"/>
        <v>300300</v>
      </c>
      <c r="K149" s="885">
        <f>SUMIF('AJE1'!$B:$B,$C149&amp;$D149&amp;"*",'AJE1'!$O:$O)</f>
        <v>0</v>
      </c>
      <c r="L149" s="885">
        <f>SUMIF('AJE1'!$B:$B,$C149&amp;$D149&amp;"*",'AJE1'!$P:$P)</f>
        <v>0</v>
      </c>
      <c r="M149" s="891">
        <f t="shared" si="39"/>
        <v>300300</v>
      </c>
      <c r="N149" s="641"/>
      <c r="O149" s="641"/>
      <c r="P149" s="641"/>
      <c r="Q149" s="641"/>
      <c r="T149" s="3055">
        <v>6791</v>
      </c>
      <c r="U149" s="3063">
        <v>1544915.31</v>
      </c>
    </row>
    <row r="150" spans="1:21"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27366351.41</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909636.12</v>
      </c>
      <c r="H155" s="885">
        <f>SUMIF(AJE!$B:$B,$C155&amp;$D155&amp;"*",AJE!$P:$P)</f>
        <v>0</v>
      </c>
      <c r="I155" s="913">
        <f t="shared" ref="I155:I157" si="47">(B155*F155+G155-H155)*B155</f>
        <v>-909636.12</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563291.46</v>
      </c>
      <c r="G156" s="885">
        <f>SUMIF(AJE!$B:$B,$C156&amp;$D156&amp;"*",AJE!$O:$O)</f>
        <v>13357245.939999999</v>
      </c>
      <c r="H156" s="885">
        <f>SUMIF(AJE!$B:$B,$C156&amp;$D156&amp;"*",AJE!$P:$P)</f>
        <v>-563291.46</v>
      </c>
      <c r="I156" s="913">
        <f t="shared" si="47"/>
        <v>-13357245.939999999</v>
      </c>
      <c r="J156" s="914">
        <f>VLOOKUP($D156,Sheet_Preis,5,0)</f>
        <v>-9046997.6899999995</v>
      </c>
      <c r="K156" s="885">
        <f>SUMIF('AJE1'!$B:$B,$C156&amp;$D156&amp;"*",'AJE1'!$O:$O)</f>
        <v>0</v>
      </c>
      <c r="L156" s="885">
        <f>SUMIF('AJE1'!$B:$B,$C156&amp;$D156&amp;"*",'AJE1'!$P:$P)</f>
        <v>0</v>
      </c>
      <c r="M156" s="891">
        <f t="shared" si="48"/>
        <v>-9046997.6899999995</v>
      </c>
      <c r="N156" s="641"/>
      <c r="O156" s="641"/>
      <c r="P156" s="641"/>
      <c r="Q156" s="641"/>
      <c r="T156" s="3055">
        <v>6811</v>
      </c>
      <c r="U156" s="3063">
        <v>27366351.41</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41"/>
        <v>-202484.15</v>
      </c>
      <c r="G157" s="885">
        <f>SUMIF(AJE!$B:$B,$C157&amp;$D157&amp;"*",AJE!$O:$O)</f>
        <v>0</v>
      </c>
      <c r="H157" s="885">
        <f>SUMIF(AJE!$B:$B,$C157&amp;$D157&amp;"*",AJE!$P:$P)</f>
        <v>4573265.7</v>
      </c>
      <c r="I157" s="913">
        <f t="shared" si="47"/>
        <v>4370781.55</v>
      </c>
      <c r="J157" s="914">
        <f t="shared" si="42"/>
        <v>-1081801.72</v>
      </c>
      <c r="K157" s="885">
        <f>SUMIF('AJE1'!$B:$B,$C157&amp;$D157&amp;"*",'AJE1'!$O:$O)</f>
        <v>0</v>
      </c>
      <c r="L157" s="885">
        <f>SUMIF('AJE1'!$B:$B,$C157&amp;$D157&amp;"*",'AJE1'!$P:$P)</f>
        <v>0</v>
      </c>
      <c r="M157" s="891">
        <f t="shared" si="48"/>
        <v>-1081801.72</v>
      </c>
      <c r="N157" s="641"/>
      <c r="O157" s="641"/>
      <c r="P157" s="641"/>
      <c r="Q157" s="641"/>
      <c r="T157" s="3055">
        <v>6829</v>
      </c>
      <c r="U157" s="3063">
        <v>0</v>
      </c>
    </row>
    <row r="158" spans="1:21" ht="18">
      <c r="A158" s="1646" t="str">
        <f t="shared" si="26"/>
        <v>＝</v>
      </c>
      <c r="B158" s="1645">
        <f t="shared" si="27"/>
        <v>0</v>
      </c>
      <c r="C158" s="1645">
        <f t="shared" si="28"/>
        <v>0</v>
      </c>
      <c r="D158" s="2184">
        <v>6689</v>
      </c>
      <c r="E158" s="2185" t="str">
        <f t="shared" si="29"/>
        <v>营业利润</v>
      </c>
      <c r="F158" s="884">
        <f>SUM(F128:F131)-SUM(F133:F145)+SUM(F148:F157)-SUM(F150,F151)</f>
        <v>1957460.78</v>
      </c>
      <c r="G158" s="919">
        <f>SUM(G128:G131)+SUM(G133:G145)+SUM(G148:G157)-SUM(G150,G151)</f>
        <v>30662516.710000001</v>
      </c>
      <c r="H158" s="919">
        <f>SUM(H128:H131)+SUM(H133:H145)+SUM(H148:H157)-SUM(H150,H151)</f>
        <v>16442999.310000001</v>
      </c>
      <c r="I158" s="913">
        <f>SUM(I128:I131)-SUM(I133:I145)+SUM(I148:I157)-SUM(I150,I151)</f>
        <v>-12262056.619999999</v>
      </c>
      <c r="J158" s="914">
        <f>SUM(J128:J131)-SUM(J133:J145)+SUM(J148:J157)-SUM(J150,J151)</f>
        <v>29768906.530000001</v>
      </c>
      <c r="K158" s="919">
        <f>SUM(K128:K131)+SUM(K133:K145)+SUM(K148:K157)-SUM(K150,K151)</f>
        <v>0</v>
      </c>
      <c r="L158" s="919">
        <f>SUM(L128:L131)+SUM(L133:L145)+SUM(L148:L157)-SUM(L150,L151)</f>
        <v>0</v>
      </c>
      <c r="M158" s="891">
        <f>SUM(M128:M131)-SUM(M133:M145)+SUM(M148:M157)-SUM(M150,M151)</f>
        <v>29768906.530000001</v>
      </c>
      <c r="N158" s="641"/>
      <c r="O158" s="641"/>
      <c r="P158" s="641"/>
      <c r="Q158" s="641"/>
      <c r="T158" s="3058">
        <v>6829.2</v>
      </c>
      <c r="U158" s="3063">
        <v>0</v>
      </c>
    </row>
    <row r="159" spans="1:21" ht="18">
      <c r="A159" s="1646">
        <f t="shared" si="26"/>
        <v>0</v>
      </c>
      <c r="B159" s="1645">
        <f t="shared" si="27"/>
        <v>-1</v>
      </c>
      <c r="C159" s="1645" t="str">
        <f t="shared" si="28"/>
        <v>J</v>
      </c>
      <c r="D159" s="1657">
        <v>6710</v>
      </c>
      <c r="E159" s="888" t="str">
        <f t="shared" si="29"/>
        <v>营业外收入</v>
      </c>
      <c r="F159" s="884">
        <f>VLOOKUP($D159,Sheet_Preis,4,0)</f>
        <v>68824.56</v>
      </c>
      <c r="G159" s="885">
        <f>SUMIF(AJE!$B:$B,$C159&amp;$D159&amp;"*",AJE!$O:$O)</f>
        <v>0</v>
      </c>
      <c r="H159" s="885">
        <f>SUMIF(AJE!$B:$B,$C159&amp;$D159&amp;"*",AJE!$P:$P)</f>
        <v>0</v>
      </c>
      <c r="I159" s="913">
        <f t="shared" si="38"/>
        <v>68824.56</v>
      </c>
      <c r="J159" s="914">
        <f>VLOOKUP($D159,Sheet_Preis,5,0)</f>
        <v>52566.02</v>
      </c>
      <c r="K159" s="885">
        <f>SUMIF('AJE1'!$B:$B,$C159&amp;$D159&amp;"*",'AJE1'!$O:$O)</f>
        <v>0</v>
      </c>
      <c r="L159" s="885">
        <f>SUMIF('AJE1'!$B:$B,$C159&amp;$D159&amp;"*",'AJE1'!$P:$P)</f>
        <v>0</v>
      </c>
      <c r="M159" s="891">
        <f t="shared" si="39"/>
        <v>52566.02</v>
      </c>
      <c r="N159" s="641"/>
      <c r="O159" s="641"/>
      <c r="P159" s="641"/>
      <c r="Q159" s="641"/>
      <c r="T159" s="3056">
        <v>6829.21</v>
      </c>
      <c r="U159" s="3063">
        <v>0</v>
      </c>
    </row>
    <row r="160" spans="1:21" ht="18">
      <c r="A160" s="1646">
        <f t="shared" si="26"/>
        <v>0</v>
      </c>
      <c r="B160" s="1645">
        <f t="shared" si="27"/>
        <v>1</v>
      </c>
      <c r="C160" s="1645" t="str">
        <f t="shared" si="28"/>
        <v>J</v>
      </c>
      <c r="D160" s="1657">
        <v>6711</v>
      </c>
      <c r="E160" s="888" t="str">
        <f t="shared" si="29"/>
        <v>营业外支出</v>
      </c>
      <c r="F160" s="884">
        <f>VLOOKUP($D160,Sheet_Preis,4,0)</f>
        <v>239577.31</v>
      </c>
      <c r="G160" s="885">
        <f>SUMIF(AJE!$B:$B,$C160&amp;$D160&amp;"*",AJE!$O:$O)</f>
        <v>1573265.7</v>
      </c>
      <c r="H160" s="885">
        <f>SUMIF(AJE!$B:$B,$C160&amp;$D160&amp;"*",AJE!$P:$P)</f>
        <v>0</v>
      </c>
      <c r="I160" s="913">
        <f t="shared" si="38"/>
        <v>1812843.01</v>
      </c>
      <c r="J160" s="914">
        <f>VLOOKUP($D160,Sheet_Preis,5,0)</f>
        <v>910205.83</v>
      </c>
      <c r="K160" s="885">
        <f>SUMIF('AJE1'!$B:$B,$C160&amp;$D160&amp;"*",'AJE1'!$O:$O)</f>
        <v>0</v>
      </c>
      <c r="L160" s="885">
        <f>SUMIF('AJE1'!$B:$B,$C160&amp;$D160&amp;"*",'AJE1'!$P:$P)</f>
        <v>0</v>
      </c>
      <c r="M160" s="891">
        <f t="shared" si="39"/>
        <v>910205.83</v>
      </c>
      <c r="N160" s="641"/>
      <c r="O160" s="641"/>
      <c r="P160" s="641"/>
      <c r="Q160" s="641"/>
      <c r="T160" s="3059">
        <v>6829.2110000000002</v>
      </c>
      <c r="U160" s="3063">
        <v>0</v>
      </c>
    </row>
    <row r="161" spans="1:21" ht="18">
      <c r="A161" s="1646" t="str">
        <f t="shared" si="26"/>
        <v>＝</v>
      </c>
      <c r="B161" s="1645">
        <f t="shared" si="27"/>
        <v>0</v>
      </c>
      <c r="C161" s="1645">
        <f t="shared" si="28"/>
        <v>0</v>
      </c>
      <c r="D161" s="1657">
        <v>6788</v>
      </c>
      <c r="E161" s="888" t="str">
        <f t="shared" si="29"/>
        <v>利润总额</v>
      </c>
      <c r="F161" s="884">
        <f>SUM(F158,F159,-F160)</f>
        <v>1786708.03</v>
      </c>
      <c r="G161" s="919">
        <f>SUM(G158,G159,G160)</f>
        <v>32235782.41</v>
      </c>
      <c r="H161" s="919">
        <f>SUM(H158,H159,H160)</f>
        <v>16442999.310000001</v>
      </c>
      <c r="I161" s="913">
        <f>SUM(I158,I159,-I160)</f>
        <v>-14006075.07</v>
      </c>
      <c r="J161" s="914">
        <f>SUM(J158,J159,-J160)</f>
        <v>28911266.719999999</v>
      </c>
      <c r="K161" s="919">
        <f>SUM(K158,K159,K160)</f>
        <v>0</v>
      </c>
      <c r="L161" s="919">
        <f>SUM(L158,L159,L160)</f>
        <v>0</v>
      </c>
      <c r="M161" s="891">
        <f>SUM(M158,M159,-M160)</f>
        <v>28911266.719999999</v>
      </c>
      <c r="N161" s="641"/>
      <c r="O161" s="641"/>
      <c r="P161" s="641"/>
      <c r="Q161" s="641"/>
      <c r="T161" s="3059">
        <v>6829.2120000000004</v>
      </c>
      <c r="U161" s="3063">
        <v>0</v>
      </c>
    </row>
    <row r="162" spans="1:21" ht="18">
      <c r="A162" s="1646">
        <f t="shared" si="26"/>
        <v>0</v>
      </c>
      <c r="B162" s="1645">
        <f t="shared" si="27"/>
        <v>1</v>
      </c>
      <c r="C162" s="1645" t="str">
        <f t="shared" si="28"/>
        <v>J</v>
      </c>
      <c r="D162" s="1657">
        <v>6791</v>
      </c>
      <c r="E162" s="888" t="str">
        <f t="shared" si="29"/>
        <v>所得税费用</v>
      </c>
      <c r="F162" s="884">
        <f>VLOOKUP($D162,Sheet_Preis,4,0)</f>
        <v>119472.71</v>
      </c>
      <c r="G162" s="885">
        <f>SUMIF(AJE!$B:$B,$C162&amp;$D162&amp;"*",AJE!$O:$O)</f>
        <v>551134.06000000006</v>
      </c>
      <c r="H162" s="885">
        <f>SUMIF(AJE!$B:$B,$C162&amp;$D162&amp;"*",AJE!$P:$P)</f>
        <v>1129081.3799999999</v>
      </c>
      <c r="I162" s="913">
        <f t="shared" si="38"/>
        <v>-458474.61</v>
      </c>
      <c r="J162" s="914">
        <f>VLOOKUP($D162,Sheet_Preis,5,0)</f>
        <v>1544915.31</v>
      </c>
      <c r="K162" s="885">
        <f>SUMIF('AJE1'!$B:$B,$C162&amp;$D162&amp;"*",'AJE1'!$O:$O)</f>
        <v>0</v>
      </c>
      <c r="L162" s="885">
        <f>SUMIF('AJE1'!$B:$B,$C162&amp;$D162&amp;"*",'AJE1'!$P:$P)</f>
        <v>0</v>
      </c>
      <c r="M162" s="891">
        <f t="shared" si="39"/>
        <v>1544915.31</v>
      </c>
      <c r="N162" s="641"/>
      <c r="O162" s="641"/>
      <c r="P162" s="641"/>
      <c r="Q162" s="641"/>
      <c r="T162" s="3059">
        <v>6829.2190000000001</v>
      </c>
      <c r="U162" s="3063">
        <v>0</v>
      </c>
    </row>
    <row r="163" spans="1:21" ht="18">
      <c r="A163" s="1646" t="str">
        <f t="shared" si="26"/>
        <v>＝</v>
      </c>
      <c r="B163" s="1645">
        <f t="shared" si="27"/>
        <v>0</v>
      </c>
      <c r="C163" s="1645">
        <f t="shared" si="28"/>
        <v>0</v>
      </c>
      <c r="D163" s="2184">
        <v>6799</v>
      </c>
      <c r="E163" s="2185" t="str">
        <f t="shared" si="29"/>
        <v>净利润</v>
      </c>
      <c r="F163" s="884">
        <f t="shared" ref="F163:M163" si="49">SUM(F161,-F162)</f>
        <v>1667235.32</v>
      </c>
      <c r="G163" s="919">
        <f>SUM(G161,G162)</f>
        <v>32786916.469999999</v>
      </c>
      <c r="H163" s="919">
        <f>SUM(H161,H162)</f>
        <v>17572080.690000001</v>
      </c>
      <c r="I163" s="913">
        <f t="shared" si="49"/>
        <v>-13547600.460000001</v>
      </c>
      <c r="J163" s="914">
        <f t="shared" si="49"/>
        <v>27366351.41</v>
      </c>
      <c r="K163" s="919">
        <f>SUM(K161,K162)</f>
        <v>0</v>
      </c>
      <c r="L163" s="919">
        <f>SUM(L161,L162)</f>
        <v>0</v>
      </c>
      <c r="M163" s="891">
        <f t="shared" si="49"/>
        <v>27366351.41</v>
      </c>
      <c r="N163" s="641"/>
      <c r="O163" s="641"/>
      <c r="P163" s="641"/>
      <c r="Q163" s="641"/>
      <c r="T163" s="3056">
        <v>6829.23</v>
      </c>
      <c r="U163" s="3063">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1667235.32</v>
      </c>
      <c r="G165" s="918"/>
      <c r="H165" s="918"/>
      <c r="I165" s="921"/>
      <c r="J165" s="922">
        <f>VLOOKUP($D165,Sheet_Preis,5,0)</f>
        <v>27366351.41</v>
      </c>
      <c r="K165" s="918"/>
      <c r="L165" s="918"/>
      <c r="M165" s="923"/>
      <c r="T165" s="3059">
        <v>6829.232</v>
      </c>
      <c r="U165" s="3063">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6" t="str">
        <f t="shared" si="26"/>
        <v>※</v>
      </c>
      <c r="B169" s="1645">
        <f t="shared" si="27"/>
        <v>-1</v>
      </c>
      <c r="C169" s="1645">
        <f t="shared" si="28"/>
        <v>0</v>
      </c>
      <c r="D169" s="2184">
        <v>6811</v>
      </c>
      <c r="E169" s="2185" t="str">
        <f t="shared" si="29"/>
        <v>归属于母公司所有者的净利润</v>
      </c>
      <c r="F169" s="884">
        <f>VLOOKUP($D169,Sheet_Preis,4,0)</f>
        <v>1667235.32</v>
      </c>
      <c r="G169" s="885">
        <f>SUM(VLOOKUP(6799,Sheet_Trialbal,4,0),VLOOKUP(6812,Sheet_Trialbal,4,0))</f>
        <v>32786916.469999999</v>
      </c>
      <c r="H169" s="885">
        <f>SUM(VLOOKUP(6799,Sheet_Trialbal,5,0),VLOOKUP(6812,Sheet_Trialbal,5,0))</f>
        <v>17572080.690000001</v>
      </c>
      <c r="I169" s="913">
        <f t="shared" si="38"/>
        <v>-13547600.460000001</v>
      </c>
      <c r="J169" s="914">
        <f>VLOOKUP($D169,Sheet_Preis,5,0)</f>
        <v>27366351.41</v>
      </c>
      <c r="K169" s="885">
        <f>SUM(VLOOKUP(6799,Sheet_Trialbal,8,0),VLOOKUP(6812,Sheet_Trialbal,8,0))</f>
        <v>0</v>
      </c>
      <c r="L169" s="885">
        <f>SUM(VLOOKUP(6799,Sheet_Trialbal,9,0),VLOOKUP(6812,Sheet_Trialbal,9,0))</f>
        <v>0</v>
      </c>
      <c r="M169" s="891">
        <f t="shared" si="39"/>
        <v>27366351.41</v>
      </c>
      <c r="N169" s="641"/>
      <c r="O169" s="641"/>
      <c r="P169" s="641"/>
      <c r="Q169" s="641"/>
      <c r="T169" s="3059">
        <v>6829.2359999999999</v>
      </c>
      <c r="U169" s="3063">
        <v>0</v>
      </c>
    </row>
    <row r="170" spans="1:21"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27366351.41</v>
      </c>
    </row>
    <row r="174" spans="1:21"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27366351.41</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162697115.83000001</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162697115.83000001</v>
      </c>
    </row>
    <row r="190" spans="1:21"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29114934.82</v>
      </c>
    </row>
    <row r="191" spans="1:21"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27366351.41</v>
      </c>
    </row>
    <row r="192" spans="1:21" ht="18">
      <c r="A192" s="1646" t="str">
        <f t="shared" si="26"/>
        <v>＝</v>
      </c>
      <c r="B192" s="1645">
        <f t="shared" si="27"/>
        <v>0</v>
      </c>
      <c r="C192" s="1645">
        <f t="shared" si="28"/>
        <v>0</v>
      </c>
      <c r="D192" s="2184">
        <v>6839</v>
      </c>
      <c r="E192" s="2185" t="str">
        <f t="shared" si="29"/>
        <v>综合收益总额</v>
      </c>
      <c r="F192" s="884">
        <f t="shared" ref="F192:M192" si="58">SUM(F163,F170)</f>
        <v>1667235.32</v>
      </c>
      <c r="G192" s="885">
        <f t="shared" si="58"/>
        <v>32786916.469999999</v>
      </c>
      <c r="H192" s="885">
        <f t="shared" si="58"/>
        <v>17572080.690000001</v>
      </c>
      <c r="I192" s="913">
        <f t="shared" si="58"/>
        <v>-13547600.460000001</v>
      </c>
      <c r="J192" s="914">
        <f t="shared" si="58"/>
        <v>27366351.41</v>
      </c>
      <c r="K192" s="885">
        <f t="shared" si="58"/>
        <v>0</v>
      </c>
      <c r="L192" s="885">
        <f t="shared" si="58"/>
        <v>0</v>
      </c>
      <c r="M192" s="891">
        <f t="shared" si="58"/>
        <v>27366351.41</v>
      </c>
      <c r="N192" s="641"/>
      <c r="O192" s="641"/>
      <c r="P192" s="641"/>
      <c r="Q192" s="641"/>
      <c r="T192" s="3055">
        <v>8030</v>
      </c>
      <c r="U192" s="3063">
        <v>0</v>
      </c>
    </row>
    <row r="193" spans="1:21" ht="18">
      <c r="A193" s="1646" t="str">
        <f t="shared" si="26"/>
        <v>※</v>
      </c>
      <c r="B193" s="1645">
        <f t="shared" si="27"/>
        <v>-1</v>
      </c>
      <c r="C193" s="1645">
        <f t="shared" si="28"/>
        <v>0</v>
      </c>
      <c r="D193" s="1657">
        <v>6841</v>
      </c>
      <c r="E193" s="888" t="str">
        <f t="shared" si="29"/>
        <v>归属于母公司所有者的综合收益总额</v>
      </c>
      <c r="F193" s="884">
        <f t="shared" ref="F193:M193" si="59">SUM(F169,F171)</f>
        <v>1667235.32</v>
      </c>
      <c r="G193" s="885">
        <f t="shared" si="59"/>
        <v>32786916.469999999</v>
      </c>
      <c r="H193" s="885">
        <f t="shared" si="59"/>
        <v>17572080.690000001</v>
      </c>
      <c r="I193" s="913">
        <f t="shared" si="59"/>
        <v>-13547600.460000001</v>
      </c>
      <c r="J193" s="914">
        <f t="shared" si="59"/>
        <v>27366351.41</v>
      </c>
      <c r="K193" s="885">
        <f t="shared" si="59"/>
        <v>0</v>
      </c>
      <c r="L193" s="885">
        <f t="shared" si="59"/>
        <v>0</v>
      </c>
      <c r="M193" s="891">
        <f t="shared" si="59"/>
        <v>27366351.41</v>
      </c>
      <c r="N193" s="641"/>
      <c r="O193" s="641"/>
      <c r="P193" s="641"/>
      <c r="Q193" s="641"/>
      <c r="T193" s="3055">
        <v>8040</v>
      </c>
      <c r="U193" s="3063">
        <v>27366351.41</v>
      </c>
    </row>
    <row r="194" spans="1:21"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191812050.65000001</v>
      </c>
      <c r="G203" s="885">
        <f t="shared" ref="G203:H209" si="66">SUM(G236,G362,G395,G459,G492,G525,G558,G591,G624,G269,G300,G331,G428)</f>
        <v>0</v>
      </c>
      <c r="H203" s="885">
        <f t="shared" si="66"/>
        <v>0</v>
      </c>
      <c r="I203" s="913">
        <f t="shared" ref="I203:J209" si="67">SUM(I236,I362,-I395,I459,I492,I525,I558,I591,I624,I269,I300,I331,I428)</f>
        <v>191812050.65000001</v>
      </c>
      <c r="J203" s="914">
        <f t="shared" ca="1" si="67"/>
        <v>162697115.83000001</v>
      </c>
      <c r="K203" s="885">
        <f t="shared" ref="K203:L209" si="68">SUM(K236,K362,K395,K459,K492,K525,K558,K591,K624,K269,K300,K331,K428)</f>
        <v>0</v>
      </c>
      <c r="L203" s="885">
        <f t="shared" si="68"/>
        <v>0</v>
      </c>
      <c r="M203" s="891">
        <f t="shared" ref="M203:M209" ca="1" si="69">SUM(M236,M362,-M395,M459,M492,M525,M558,M591,M624,M269,M300,M331,M428)</f>
        <v>162697115.83000001</v>
      </c>
      <c r="N203" s="641"/>
      <c r="O203" s="641"/>
      <c r="P203" s="641"/>
      <c r="Q203" s="641"/>
      <c r="T203" s="3055">
        <v>8066</v>
      </c>
      <c r="U203" s="3063">
        <v>0</v>
      </c>
    </row>
    <row r="204" spans="1:21"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54752.29</v>
      </c>
      <c r="H204" s="885">
        <f t="shared" si="66"/>
        <v>0</v>
      </c>
      <c r="I204" s="913">
        <f t="shared" si="67"/>
        <v>-54752.29</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6" t="str">
        <f t="shared" si="63"/>
        <v>＝</v>
      </c>
      <c r="B208" s="1645">
        <f t="shared" si="64"/>
        <v>0</v>
      </c>
      <c r="C208" s="1645">
        <f t="shared" si="61"/>
        <v>0</v>
      </c>
      <c r="D208" s="1657">
        <v>8010</v>
      </c>
      <c r="E208" s="888" t="str">
        <f t="shared" si="62"/>
        <v>所有者权益_本年年初余额</v>
      </c>
      <c r="F208" s="884">
        <f t="shared" si="65"/>
        <v>191812050.65000001</v>
      </c>
      <c r="G208" s="885">
        <f t="shared" si="66"/>
        <v>54752.29</v>
      </c>
      <c r="H208" s="885">
        <f t="shared" si="66"/>
        <v>0</v>
      </c>
      <c r="I208" s="913">
        <f t="shared" si="67"/>
        <v>191757298.36000001</v>
      </c>
      <c r="J208" s="914">
        <f t="shared" ca="1" si="67"/>
        <v>162697115.83000001</v>
      </c>
      <c r="K208" s="885">
        <f t="shared" si="68"/>
        <v>0</v>
      </c>
      <c r="L208" s="885">
        <f t="shared" si="68"/>
        <v>0</v>
      </c>
      <c r="M208" s="891">
        <f t="shared" ca="1" si="69"/>
        <v>162697115.83000001</v>
      </c>
      <c r="N208" s="641"/>
      <c r="O208" s="641"/>
      <c r="P208" s="641"/>
      <c r="Q208" s="641"/>
      <c r="T208" s="3055">
        <v>8075</v>
      </c>
      <c r="U208" s="3063">
        <v>0</v>
      </c>
    </row>
    <row r="209" spans="1:21" ht="18">
      <c r="A209" s="1646" t="str">
        <f t="shared" si="63"/>
        <v>＝</v>
      </c>
      <c r="B209" s="1645">
        <f t="shared" si="64"/>
        <v>0</v>
      </c>
      <c r="C209" s="1645">
        <f t="shared" si="61"/>
        <v>0</v>
      </c>
      <c r="D209" s="1657">
        <v>8090</v>
      </c>
      <c r="E209" s="888" t="str">
        <f t="shared" si="62"/>
        <v>所有者权益_本期增减变动金额</v>
      </c>
      <c r="F209" s="884">
        <f t="shared" si="65"/>
        <v>-2165802.11</v>
      </c>
      <c r="G209" s="885">
        <f t="shared" si="66"/>
        <v>32786916.469999999</v>
      </c>
      <c r="H209" s="885">
        <f t="shared" si="66"/>
        <v>17572080.690000001</v>
      </c>
      <c r="I209" s="913">
        <f t="shared" si="67"/>
        <v>-17380637.890000001</v>
      </c>
      <c r="J209" s="914">
        <f t="shared" ca="1" si="67"/>
        <v>29114934.82</v>
      </c>
      <c r="K209" s="885">
        <f t="shared" si="68"/>
        <v>0</v>
      </c>
      <c r="L209" s="885">
        <f t="shared" si="68"/>
        <v>0</v>
      </c>
      <c r="M209" s="891">
        <f t="shared" ca="1" si="69"/>
        <v>29114934.82</v>
      </c>
      <c r="N209" s="641"/>
      <c r="O209" s="641"/>
      <c r="P209" s="641"/>
      <c r="Q209" s="641"/>
      <c r="T209" s="3055">
        <v>8076</v>
      </c>
      <c r="U209" s="3063">
        <v>0</v>
      </c>
    </row>
    <row r="210" spans="1:21" ht="18">
      <c r="A210" s="1646" t="str">
        <f t="shared" si="63"/>
        <v>DEL</v>
      </c>
      <c r="B210" s="1645">
        <f t="shared" si="64"/>
        <v>-1</v>
      </c>
      <c r="C210" s="1645">
        <f t="shared" si="61"/>
        <v>0</v>
      </c>
      <c r="D210" s="1657">
        <v>8021</v>
      </c>
      <c r="E210" s="888" t="str">
        <f t="shared" si="62"/>
        <v>所有者权益_净利润增加权益</v>
      </c>
      <c r="F210" s="884">
        <f>SUM(F243,F369,-F402,F466,F499,F532,F565,F598,F631)</f>
        <v>1667235.32</v>
      </c>
      <c r="G210" s="885">
        <f>SUM(G243,G369,G402,G466,G499,G532,G565,G598,G631)</f>
        <v>32786916.469999999</v>
      </c>
      <c r="H210" s="885">
        <f>SUM(H243,H369,H402,H466,H499,H532,H565,H598,H631)</f>
        <v>17572080.690000001</v>
      </c>
      <c r="I210" s="913">
        <f>SUM(I243,I369,-I402,I466,I499,I532,I565,I598,I631)</f>
        <v>-13547600.460000001</v>
      </c>
      <c r="J210" s="914">
        <f>SUM(J243,J369,-J402,J466,J499,J532,J565,J598,J631)</f>
        <v>27366351.41</v>
      </c>
      <c r="K210" s="885">
        <f>SUM(K243,K369,K402,K466,K499,K532,K565,K598,K631)</f>
        <v>0</v>
      </c>
      <c r="L210" s="885">
        <f>SUM(L243,L369,L402,L466,L499,L532,L565,L598,L631)</f>
        <v>0</v>
      </c>
      <c r="M210" s="891">
        <f>SUM(M243,M369,-M402,M466,M499,M532,M565,M598,M631)</f>
        <v>27366351.41</v>
      </c>
      <c r="N210" s="641"/>
      <c r="O210" s="641"/>
      <c r="P210" s="641"/>
      <c r="Q210" s="641"/>
      <c r="T210" s="3055">
        <v>8080</v>
      </c>
      <c r="U210" s="3063">
        <v>1748583.41</v>
      </c>
    </row>
    <row r="211" spans="1:21"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2774044.47</v>
      </c>
    </row>
    <row r="212" spans="1:21"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1667235.32</v>
      </c>
      <c r="G212" s="885">
        <f t="shared" ref="G212:H234" si="71">SUM(G245,G371,G404,G468,G501,G534,G567,G600,G633,G276,G307,G338,G435)</f>
        <v>32786916.469999999</v>
      </c>
      <c r="H212" s="885">
        <f t="shared" si="71"/>
        <v>17572080.690000001</v>
      </c>
      <c r="I212" s="913">
        <f t="shared" ref="I212:J234" si="72">SUM(I245,I371,-I404,I468,I501,I534,I567,I600,I633,I276,I307,I338,I435)</f>
        <v>-13547600.460000001</v>
      </c>
      <c r="J212" s="914">
        <f t="shared" ca="1" si="72"/>
        <v>27366351.41</v>
      </c>
      <c r="K212" s="885">
        <f t="shared" ref="K212:L234" si="73">SUM(K245,K371,K404,K468,K501,K534,K567,K600,K633,K276,K307,K338,K435)</f>
        <v>0</v>
      </c>
      <c r="L212" s="885">
        <f t="shared" si="73"/>
        <v>0</v>
      </c>
      <c r="M212" s="891">
        <f t="shared" ref="M212:M234" ca="1" si="74">SUM(M245,M371,-M404,M468,M501,M534,M567,M600,M633,M276,M307,M338,M435)</f>
        <v>27366351.41</v>
      </c>
      <c r="N212" s="641"/>
      <c r="O212" s="641"/>
      <c r="P212" s="641"/>
      <c r="Q212" s="641"/>
      <c r="T212" s="3055">
        <v>8082</v>
      </c>
      <c r="U212" s="3063">
        <v>-1025461.06</v>
      </c>
    </row>
    <row r="213" spans="1:21"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191812050.65000001</v>
      </c>
    </row>
    <row r="215" spans="1:21"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85691911</v>
      </c>
    </row>
    <row r="217" spans="1:21"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85691911</v>
      </c>
    </row>
    <row r="222" spans="1:21"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6" t="str">
        <f t="shared" si="63"/>
        <v>＝</v>
      </c>
      <c r="B230" s="1645">
        <f t="shared" si="64"/>
        <v>0</v>
      </c>
      <c r="C230" s="1645">
        <f t="shared" si="61"/>
        <v>0</v>
      </c>
      <c r="D230" s="1657">
        <v>8080</v>
      </c>
      <c r="E230" s="888" t="str">
        <f t="shared" si="62"/>
        <v>所有者权益_专项储备影响权益</v>
      </c>
      <c r="F230" s="884">
        <f t="shared" si="70"/>
        <v>-3833037.43</v>
      </c>
      <c r="G230" s="885">
        <f t="shared" si="71"/>
        <v>0</v>
      </c>
      <c r="H230" s="885">
        <f t="shared" si="71"/>
        <v>0</v>
      </c>
      <c r="I230" s="913">
        <f t="shared" si="72"/>
        <v>-3833037.43</v>
      </c>
      <c r="J230" s="914">
        <f t="shared" ca="1" si="72"/>
        <v>1748583.41</v>
      </c>
      <c r="K230" s="885">
        <f t="shared" si="73"/>
        <v>0</v>
      </c>
      <c r="L230" s="885">
        <f t="shared" si="73"/>
        <v>0</v>
      </c>
      <c r="M230" s="891">
        <f t="shared" ca="1" si="74"/>
        <v>1748583.41</v>
      </c>
      <c r="N230" s="641"/>
      <c r="O230" s="641"/>
      <c r="P230" s="641"/>
      <c r="Q230" s="641"/>
      <c r="T230" s="3055">
        <v>8156</v>
      </c>
      <c r="U230" s="3063">
        <v>0</v>
      </c>
    </row>
    <row r="231" spans="1:21" ht="18">
      <c r="A231" s="1646" t="str">
        <f t="shared" si="63"/>
        <v>＝</v>
      </c>
      <c r="B231" s="1645">
        <f t="shared" si="64"/>
        <v>-1</v>
      </c>
      <c r="C231" s="1645">
        <f t="shared" si="61"/>
        <v>0</v>
      </c>
      <c r="D231" s="1657">
        <v>8081</v>
      </c>
      <c r="E231" s="888" t="str">
        <f t="shared" si="62"/>
        <v>所有者权益_专项储备本期提取</v>
      </c>
      <c r="F231" s="884">
        <f t="shared" si="70"/>
        <v>3399381.78</v>
      </c>
      <c r="G231" s="885">
        <f t="shared" si="71"/>
        <v>0</v>
      </c>
      <c r="H231" s="885">
        <f t="shared" si="71"/>
        <v>0</v>
      </c>
      <c r="I231" s="913">
        <f t="shared" si="72"/>
        <v>3399381.78</v>
      </c>
      <c r="J231" s="914">
        <f t="shared" ca="1" si="72"/>
        <v>2774044.47</v>
      </c>
      <c r="K231" s="885">
        <f t="shared" si="73"/>
        <v>0</v>
      </c>
      <c r="L231" s="885">
        <f t="shared" si="73"/>
        <v>0</v>
      </c>
      <c r="M231" s="891">
        <f t="shared" ca="1" si="74"/>
        <v>2774044.47</v>
      </c>
      <c r="N231" s="641"/>
      <c r="O231" s="641"/>
      <c r="P231" s="641"/>
      <c r="Q231" s="641"/>
      <c r="T231" s="3055">
        <v>8160</v>
      </c>
      <c r="U231" s="3063">
        <v>0</v>
      </c>
    </row>
    <row r="232" spans="1:21" ht="18">
      <c r="A232" s="1646" t="str">
        <f t="shared" si="63"/>
        <v>＝</v>
      </c>
      <c r="B232" s="1645">
        <f t="shared" si="64"/>
        <v>-1</v>
      </c>
      <c r="C232" s="1645">
        <f t="shared" si="61"/>
        <v>0</v>
      </c>
      <c r="D232" s="1657">
        <v>8082</v>
      </c>
      <c r="E232" s="888" t="str">
        <f t="shared" si="62"/>
        <v>所有者权益_专项储备本期使用</v>
      </c>
      <c r="F232" s="884">
        <f t="shared" si="70"/>
        <v>-7232419.21</v>
      </c>
      <c r="G232" s="885">
        <f t="shared" si="71"/>
        <v>0</v>
      </c>
      <c r="H232" s="885">
        <f t="shared" si="71"/>
        <v>0</v>
      </c>
      <c r="I232" s="913">
        <f t="shared" si="72"/>
        <v>-7232419.21</v>
      </c>
      <c r="J232" s="914">
        <f t="shared" ca="1" si="72"/>
        <v>-1025461.06</v>
      </c>
      <c r="K232" s="885">
        <f t="shared" si="73"/>
        <v>0</v>
      </c>
      <c r="L232" s="885">
        <f t="shared" si="73"/>
        <v>0</v>
      </c>
      <c r="M232" s="891">
        <f t="shared" ca="1" si="74"/>
        <v>-1025461.06</v>
      </c>
      <c r="N232" s="641"/>
      <c r="O232" s="641"/>
      <c r="P232" s="641"/>
      <c r="Q232" s="641"/>
      <c r="T232" s="3055">
        <v>8161</v>
      </c>
      <c r="U232" s="3063">
        <v>0</v>
      </c>
    </row>
    <row r="233" spans="1:21"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6" t="str">
        <f t="shared" si="63"/>
        <v>＝</v>
      </c>
      <c r="B234" s="1645">
        <f t="shared" si="64"/>
        <v>0</v>
      </c>
      <c r="C234" s="1645">
        <f t="shared" ref="C234:C266" si="75">VLOOKUP($D234,Sheet_Items,9,0)</f>
        <v>0</v>
      </c>
      <c r="D234" s="1657">
        <v>8099</v>
      </c>
      <c r="E234" s="888" t="str">
        <f t="shared" si="62"/>
        <v>所有者权益_本期期末余额</v>
      </c>
      <c r="F234" s="884">
        <f t="shared" si="70"/>
        <v>189646248.53999999</v>
      </c>
      <c r="G234" s="885">
        <f t="shared" si="71"/>
        <v>32841668.760000002</v>
      </c>
      <c r="H234" s="885">
        <f t="shared" si="71"/>
        <v>17572080.690000001</v>
      </c>
      <c r="I234" s="913">
        <f t="shared" si="72"/>
        <v>174376660.47</v>
      </c>
      <c r="J234" s="914">
        <f t="shared" ca="1" si="72"/>
        <v>191812050.65000001</v>
      </c>
      <c r="K234" s="885">
        <f t="shared" si="73"/>
        <v>0</v>
      </c>
      <c r="L234" s="885">
        <f t="shared" si="73"/>
        <v>0</v>
      </c>
      <c r="M234" s="891">
        <f t="shared" ca="1" si="74"/>
        <v>191812050.65000001</v>
      </c>
      <c r="N234" s="641"/>
      <c r="O234" s="641"/>
      <c r="P234" s="641"/>
      <c r="Q234" s="641"/>
      <c r="T234" s="3055">
        <v>8163</v>
      </c>
      <c r="U234" s="3063">
        <v>0</v>
      </c>
    </row>
    <row r="235" spans="1:21"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85691911</v>
      </c>
      <c r="G236" s="885">
        <f>SUMIF(AJE!$B:$B,$C236&amp;$D236&amp;"*",AJE!$O:$O)</f>
        <v>0</v>
      </c>
      <c r="H236" s="885">
        <f>SUMIF(AJE!$B:$B,$C236&amp;$D236&amp;"*",AJE!$P:$P)</f>
        <v>0</v>
      </c>
      <c r="I236" s="913">
        <f>(B236*F236+G236-H236)*B236</f>
        <v>85691911</v>
      </c>
      <c r="J236" s="914">
        <f>INDEX(Sheet_Presc,MATCH((RIGHT($D236,2)),Sheet_Prescrow,0),MATCH((VALUE(LEFT($D236,2))),Sheet_Presccol,0))</f>
        <v>85691911</v>
      </c>
      <c r="K236" s="885">
        <f>SUMIF('AJE1'!$B:$B,$C236&amp;$D236&amp;"*",'AJE1'!$O:$O)</f>
        <v>0</v>
      </c>
      <c r="L236" s="885">
        <f>SUMIF('AJE1'!$B:$B,$C236&amp;$D236&amp;"*",'AJE1'!$P:$P)</f>
        <v>0</v>
      </c>
      <c r="M236" s="891">
        <f>($B236*J236+K236-L236)*$B236</f>
        <v>85691911</v>
      </c>
      <c r="N236" s="641"/>
      <c r="O236" s="641"/>
      <c r="P236" s="641"/>
      <c r="Q236" s="641"/>
      <c r="T236" s="3055">
        <v>8170</v>
      </c>
      <c r="U236" s="3063">
        <v>0</v>
      </c>
    </row>
    <row r="237" spans="1:21"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6" t="str">
        <f t="shared" si="63"/>
        <v>＝</v>
      </c>
      <c r="B241" s="1645">
        <f t="shared" si="64"/>
        <v>0</v>
      </c>
      <c r="C241" s="1645">
        <f t="shared" si="75"/>
        <v>0</v>
      </c>
      <c r="D241" s="1657">
        <v>8110</v>
      </c>
      <c r="E241" s="888" t="str">
        <f t="shared" si="62"/>
        <v>实收资本_本年年初余额</v>
      </c>
      <c r="F241" s="884">
        <f t="shared" ref="F241:M241" si="76">SUM(F236:F240)</f>
        <v>85691911</v>
      </c>
      <c r="G241" s="885">
        <f t="shared" si="76"/>
        <v>0</v>
      </c>
      <c r="H241" s="885">
        <f t="shared" si="76"/>
        <v>0</v>
      </c>
      <c r="I241" s="913">
        <f t="shared" si="76"/>
        <v>85691911</v>
      </c>
      <c r="J241" s="914">
        <f t="shared" si="76"/>
        <v>85691911</v>
      </c>
      <c r="K241" s="885">
        <f t="shared" si="76"/>
        <v>0</v>
      </c>
      <c r="L241" s="885">
        <f t="shared" si="76"/>
        <v>0</v>
      </c>
      <c r="M241" s="891">
        <f t="shared" si="76"/>
        <v>85691911</v>
      </c>
      <c r="N241" s="641"/>
      <c r="O241" s="641"/>
      <c r="P241" s="641"/>
      <c r="Q241" s="641"/>
      <c r="T241" s="3055">
        <v>8176</v>
      </c>
      <c r="U241" s="3063">
        <v>0</v>
      </c>
    </row>
    <row r="242" spans="1:21"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85691911</v>
      </c>
    </row>
    <row r="247" spans="1:21"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85691911</v>
      </c>
      <c r="G267" s="885">
        <f t="shared" si="87"/>
        <v>0</v>
      </c>
      <c r="H267" s="885">
        <f t="shared" si="87"/>
        <v>0</v>
      </c>
      <c r="I267" s="913">
        <f t="shared" si="87"/>
        <v>85691911</v>
      </c>
      <c r="J267" s="914">
        <f t="shared" si="87"/>
        <v>85691911</v>
      </c>
      <c r="K267" s="885">
        <f t="shared" si="87"/>
        <v>0</v>
      </c>
      <c r="L267" s="885">
        <f t="shared" si="87"/>
        <v>0</v>
      </c>
      <c r="M267" s="891">
        <f t="shared" si="87"/>
        <v>85691911</v>
      </c>
      <c r="N267" s="641"/>
      <c r="O267" s="641"/>
      <c r="P267" s="641"/>
      <c r="Q267" s="641"/>
      <c r="T267" s="3055" t="s">
        <v>1318</v>
      </c>
      <c r="U267" s="3063">
        <v>0</v>
      </c>
    </row>
    <row r="268" spans="1:21"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238420255.88999999</v>
      </c>
    </row>
    <row r="339" spans="1:21"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238420255.88999999</v>
      </c>
    </row>
    <row r="344" spans="1:21"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238420255.88999999</v>
      </c>
      <c r="G362" s="885">
        <f>SUMIF(AJE!$B:$B,$C362&amp;$D362&amp;"*",AJE!$O:$O)</f>
        <v>0</v>
      </c>
      <c r="H362" s="885">
        <f>SUMIF(AJE!$B:$B,$C362&amp;$D362&amp;"*",AJE!$P:$P)</f>
        <v>0</v>
      </c>
      <c r="I362" s="913">
        <f t="shared" ref="I362:I366" si="128">(B362*F362+G362-H362)*B362</f>
        <v>238420255.88999999</v>
      </c>
      <c r="J362" s="914">
        <f t="shared" ref="J362:J366" si="129">INDEX(Sheet_Presc,MATCH((RIGHT($D362,2)),Sheet_Prescrow,0),MATCH((VALUE(LEFT($D362,2))),Sheet_Presccol,0))</f>
        <v>238420255.88999999</v>
      </c>
      <c r="K362" s="885">
        <f>SUMIF('AJE1'!$B:$B,$C362&amp;$D362&amp;"*",'AJE1'!$O:$O)</f>
        <v>0</v>
      </c>
      <c r="L362" s="885">
        <f>SUMIF('AJE1'!$B:$B,$C362&amp;$D362&amp;"*",'AJE1'!$P:$P)</f>
        <v>0</v>
      </c>
      <c r="M362" s="891">
        <f t="shared" ref="M362:M366" si="130">($B362*J362+K362-L362)*$B362</f>
        <v>238420255.88999999</v>
      </c>
      <c r="N362" s="641"/>
      <c r="O362" s="641"/>
      <c r="P362" s="641"/>
      <c r="Q362" s="641"/>
      <c r="T362" s="3055">
        <v>8275</v>
      </c>
      <c r="U362" s="3063">
        <v>0</v>
      </c>
    </row>
    <row r="363" spans="1:21"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6" t="str">
        <f t="shared" si="131"/>
        <v>＝</v>
      </c>
      <c r="B367" s="1645">
        <f t="shared" si="132"/>
        <v>0</v>
      </c>
      <c r="C367" s="1645">
        <f t="shared" si="133"/>
        <v>0</v>
      </c>
      <c r="D367" s="1657">
        <v>8210</v>
      </c>
      <c r="E367" s="888" t="str">
        <f t="shared" si="62"/>
        <v>资本公积_本年年初余额</v>
      </c>
      <c r="F367" s="884">
        <f t="shared" ref="F367:M367" si="134">SUM(F362:F366)</f>
        <v>238420255.88999999</v>
      </c>
      <c r="G367" s="885">
        <f t="shared" si="134"/>
        <v>0</v>
      </c>
      <c r="H367" s="885">
        <f t="shared" si="134"/>
        <v>0</v>
      </c>
      <c r="I367" s="913">
        <f t="shared" si="134"/>
        <v>238420255.88999999</v>
      </c>
      <c r="J367" s="914">
        <f t="shared" si="134"/>
        <v>238420255.88999999</v>
      </c>
      <c r="K367" s="885">
        <f t="shared" si="134"/>
        <v>0</v>
      </c>
      <c r="L367" s="885">
        <f t="shared" si="134"/>
        <v>0</v>
      </c>
      <c r="M367" s="891">
        <f t="shared" si="134"/>
        <v>238420255.88999999</v>
      </c>
      <c r="N367" s="641"/>
      <c r="O367" s="641"/>
      <c r="P367" s="641"/>
      <c r="Q367" s="641"/>
      <c r="T367" s="3055">
        <v>8296</v>
      </c>
      <c r="U367" s="3063">
        <v>0</v>
      </c>
    </row>
    <row r="368" spans="1:21"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238420255.88999999</v>
      </c>
    </row>
    <row r="369" spans="1:21"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238420255.88999999</v>
      </c>
      <c r="G393" s="885">
        <f t="shared" si="153"/>
        <v>0</v>
      </c>
      <c r="H393" s="885">
        <f t="shared" si="153"/>
        <v>0</v>
      </c>
      <c r="I393" s="913">
        <f t="shared" si="153"/>
        <v>238420255.88999999</v>
      </c>
      <c r="J393" s="914">
        <f t="shared" si="153"/>
        <v>238420255.88999999</v>
      </c>
      <c r="K393" s="885">
        <f t="shared" si="153"/>
        <v>0</v>
      </c>
      <c r="L393" s="885">
        <f t="shared" si="153"/>
        <v>0</v>
      </c>
      <c r="M393" s="891">
        <f t="shared" si="153"/>
        <v>238420255.88999999</v>
      </c>
      <c r="N393" s="641"/>
      <c r="O393" s="641"/>
      <c r="P393" s="641"/>
      <c r="Q393" s="641"/>
      <c r="T393" s="3055">
        <v>8373</v>
      </c>
      <c r="U393" s="3063">
        <v>0</v>
      </c>
    </row>
    <row r="394" spans="1:21"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6629663.4000000004</v>
      </c>
    </row>
    <row r="433" spans="1:21"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6629663.4000000004</v>
      </c>
    </row>
    <row r="438" spans="1:21"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1748583.41</v>
      </c>
    </row>
    <row r="439" spans="1:21"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55">
        <v>8480</v>
      </c>
      <c r="U458" s="3063">
        <v>1748583.41</v>
      </c>
    </row>
    <row r="459" spans="1:21"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8378246.8099999996</v>
      </c>
      <c r="G459" s="885">
        <f>SUMIF(AJE!$B:$B,$C459&amp;$D459&amp;"*",AJE!$O:$O)</f>
        <v>0</v>
      </c>
      <c r="H459" s="885">
        <f>SUMIF(AJE!$B:$B,$C459&amp;$D459&amp;"*",AJE!$P:$P)</f>
        <v>0</v>
      </c>
      <c r="I459" s="913">
        <f t="shared" ref="I459:I463" si="179">(B459*F459+G459-H459)*B459</f>
        <v>8378246.8099999996</v>
      </c>
      <c r="J459" s="914">
        <f t="shared" si="155"/>
        <v>6629663.4000000004</v>
      </c>
      <c r="K459" s="885">
        <f>SUMIF('AJE1'!$B:$B,$C459&amp;$D459&amp;"*",'AJE1'!$O:$O)</f>
        <v>0</v>
      </c>
      <c r="L459" s="885">
        <f>SUMIF('AJE1'!$B:$B,$C459&amp;$D459&amp;"*",'AJE1'!$P:$P)</f>
        <v>0</v>
      </c>
      <c r="M459" s="891">
        <f t="shared" ref="M459:M463" si="180">($B459*J459+K459-L459)*$B459</f>
        <v>6629663.4000000004</v>
      </c>
      <c r="N459" s="641"/>
      <c r="O459" s="641"/>
      <c r="P459" s="641"/>
      <c r="Q459" s="641"/>
      <c r="T459" s="3055">
        <v>8481</v>
      </c>
      <c r="U459" s="3063">
        <v>2774044.47</v>
      </c>
    </row>
    <row r="460" spans="1:21"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-1025461.06</v>
      </c>
    </row>
    <row r="461" spans="1:21"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8378246.8099999996</v>
      </c>
    </row>
    <row r="463" spans="1:21"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6" t="str">
        <f t="shared" si="150"/>
        <v>＝</v>
      </c>
      <c r="B464" s="1645">
        <f t="shared" si="151"/>
        <v>0</v>
      </c>
      <c r="C464" s="1645">
        <f t="shared" si="149"/>
        <v>0</v>
      </c>
      <c r="D464" s="1657">
        <v>8410</v>
      </c>
      <c r="E464" s="888" t="str">
        <f t="shared" si="152"/>
        <v>专项储备_本年年初余额</v>
      </c>
      <c r="F464" s="884">
        <f t="shared" ref="F464:M464" si="181">SUM(F459:F463)</f>
        <v>8378246.8099999996</v>
      </c>
      <c r="G464" s="885">
        <f t="shared" si="181"/>
        <v>0</v>
      </c>
      <c r="H464" s="885">
        <f t="shared" si="181"/>
        <v>0</v>
      </c>
      <c r="I464" s="913">
        <f t="shared" si="181"/>
        <v>8378246.8099999996</v>
      </c>
      <c r="J464" s="914">
        <f t="shared" si="181"/>
        <v>6629663.4000000004</v>
      </c>
      <c r="K464" s="885">
        <f t="shared" si="181"/>
        <v>0</v>
      </c>
      <c r="L464" s="885">
        <f t="shared" si="181"/>
        <v>0</v>
      </c>
      <c r="M464" s="891">
        <f t="shared" si="181"/>
        <v>6629663.4000000004</v>
      </c>
      <c r="N464" s="641"/>
      <c r="O464" s="641"/>
      <c r="P464" s="641"/>
      <c r="Q464" s="641"/>
      <c r="T464" s="3055">
        <v>8501</v>
      </c>
      <c r="U464" s="3063">
        <v>1901231.96</v>
      </c>
    </row>
    <row r="465" spans="1:21" ht="18">
      <c r="A465" s="1646" t="str">
        <f t="shared" si="150"/>
        <v>＝</v>
      </c>
      <c r="B465" s="1645">
        <f t="shared" si="151"/>
        <v>0</v>
      </c>
      <c r="C465" s="1645">
        <f t="shared" si="149"/>
        <v>0</v>
      </c>
      <c r="D465" s="1657">
        <v>8490</v>
      </c>
      <c r="E465" s="888" t="str">
        <f t="shared" si="152"/>
        <v>专项储备_本期增减变动金额</v>
      </c>
      <c r="F465" s="884">
        <f>SUM(F468,F469,F474,F479,F486,F489)</f>
        <v>-3833037.43</v>
      </c>
      <c r="G465" s="885">
        <f t="shared" ref="G465:M465" si="182">SUM(G468,G469,G474,G479,G486,G489)</f>
        <v>0</v>
      </c>
      <c r="H465" s="885">
        <f t="shared" si="182"/>
        <v>0</v>
      </c>
      <c r="I465" s="913">
        <f t="shared" si="182"/>
        <v>-3833037.43</v>
      </c>
      <c r="J465" s="914">
        <f t="shared" si="182"/>
        <v>1748583.41</v>
      </c>
      <c r="K465" s="885">
        <f t="shared" si="182"/>
        <v>0</v>
      </c>
      <c r="L465" s="885">
        <f t="shared" si="182"/>
        <v>0</v>
      </c>
      <c r="M465" s="891">
        <f t="shared" si="182"/>
        <v>1748583.41</v>
      </c>
      <c r="N465" s="641"/>
      <c r="O465" s="641"/>
      <c r="P465" s="641"/>
      <c r="Q465" s="641"/>
      <c r="T465" s="3055">
        <v>8502</v>
      </c>
      <c r="U465" s="3063">
        <v>0</v>
      </c>
    </row>
    <row r="466" spans="1:21"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1901231.96</v>
      </c>
    </row>
    <row r="470" spans="1:21"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2736635.14</v>
      </c>
    </row>
    <row r="471" spans="1:21"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2736635.14</v>
      </c>
    </row>
    <row r="480" spans="1:21"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2736635.14</v>
      </c>
    </row>
    <row r="481" spans="1:21"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6" t="str">
        <f t="shared" si="150"/>
        <v>＝</v>
      </c>
      <c r="B486" s="1645">
        <f t="shared" si="151"/>
        <v>0</v>
      </c>
      <c r="C486" s="1645">
        <f t="shared" si="149"/>
        <v>0</v>
      </c>
      <c r="D486" s="1657">
        <v>8480</v>
      </c>
      <c r="E486" s="888" t="str">
        <f t="shared" si="152"/>
        <v>专项储备_专项储备影响权益</v>
      </c>
      <c r="F486" s="884">
        <f t="shared" ref="F486:M486" si="189">SUM(F487:F488)</f>
        <v>-3833037.43</v>
      </c>
      <c r="G486" s="885">
        <f t="shared" si="189"/>
        <v>0</v>
      </c>
      <c r="H486" s="885">
        <f t="shared" si="189"/>
        <v>0</v>
      </c>
      <c r="I486" s="913">
        <f t="shared" si="189"/>
        <v>-3833037.43</v>
      </c>
      <c r="J486" s="914">
        <f t="shared" si="189"/>
        <v>1748583.41</v>
      </c>
      <c r="K486" s="885">
        <f t="shared" si="189"/>
        <v>0</v>
      </c>
      <c r="L486" s="885">
        <f t="shared" si="189"/>
        <v>0</v>
      </c>
      <c r="M486" s="891">
        <f t="shared" si="189"/>
        <v>1748583.41</v>
      </c>
      <c r="N486" s="641"/>
      <c r="O486" s="641"/>
      <c r="P486" s="641"/>
      <c r="Q486" s="641"/>
      <c r="T486" s="3055">
        <v>8572</v>
      </c>
      <c r="U486" s="3063">
        <v>0</v>
      </c>
    </row>
    <row r="487" spans="1:21" ht="18">
      <c r="A487" s="1646">
        <f t="shared" si="150"/>
        <v>0</v>
      </c>
      <c r="B487" s="1645">
        <f t="shared" si="151"/>
        <v>-1</v>
      </c>
      <c r="C487" s="1645" t="str">
        <f t="shared" si="149"/>
        <v>J</v>
      </c>
      <c r="D487" s="1657">
        <v>8481</v>
      </c>
      <c r="E487" s="888" t="str">
        <f t="shared" si="152"/>
        <v>专项储备_本期提取</v>
      </c>
      <c r="F487" s="884">
        <f t="shared" si="188"/>
        <v>3399381.78</v>
      </c>
      <c r="G487" s="885">
        <f>SUMIF(AJE!$B:$B,$C487&amp;$D487&amp;"*",AJE!$O:$O)</f>
        <v>0</v>
      </c>
      <c r="H487" s="885">
        <f>SUMIF(AJE!$B:$B,$C487&amp;$D487&amp;"*",AJE!$P:$P)</f>
        <v>0</v>
      </c>
      <c r="I487" s="913">
        <f>(B487*F487+G487-H487)*B487</f>
        <v>3399381.78</v>
      </c>
      <c r="J487" s="914">
        <f t="shared" si="155"/>
        <v>2774044.47</v>
      </c>
      <c r="K487" s="885">
        <f>SUMIF('AJE1'!$B:$B,$C487&amp;$D487&amp;"*",'AJE1'!$O:$O)</f>
        <v>0</v>
      </c>
      <c r="L487" s="885">
        <f>SUMIF('AJE1'!$B:$B,$C487&amp;$D487&amp;"*",'AJE1'!$P:$P)</f>
        <v>0</v>
      </c>
      <c r="M487" s="891">
        <f>($B487*J487+K487-L487)*$B487</f>
        <v>2774044.47</v>
      </c>
      <c r="N487" s="641"/>
      <c r="O487" s="641"/>
      <c r="P487" s="641"/>
      <c r="Q487" s="641"/>
      <c r="T487" s="3055">
        <v>8573</v>
      </c>
      <c r="U487" s="3063">
        <v>0</v>
      </c>
    </row>
    <row r="488" spans="1:21" ht="18">
      <c r="A488" s="1646">
        <f t="shared" si="150"/>
        <v>0</v>
      </c>
      <c r="B488" s="1645">
        <f t="shared" si="151"/>
        <v>-1</v>
      </c>
      <c r="C488" s="1645" t="str">
        <f t="shared" si="149"/>
        <v>J</v>
      </c>
      <c r="D488" s="1657">
        <v>8482</v>
      </c>
      <c r="E488" s="888" t="str">
        <f t="shared" si="152"/>
        <v>专项储备_本期使用</v>
      </c>
      <c r="F488" s="884">
        <f t="shared" si="188"/>
        <v>-7232419.21</v>
      </c>
      <c r="G488" s="885">
        <f>SUMIF(AJE!$B:$B,$C488&amp;$D488&amp;"*",AJE!$O:$O)</f>
        <v>0</v>
      </c>
      <c r="H488" s="885">
        <f>SUMIF(AJE!$B:$B,$C488&amp;$D488&amp;"*",AJE!$P:$P)</f>
        <v>0</v>
      </c>
      <c r="I488" s="913">
        <f>(B488*F488+G488-H488)*B488</f>
        <v>-7232419.21</v>
      </c>
      <c r="J488" s="914">
        <f t="shared" si="155"/>
        <v>-1025461.06</v>
      </c>
      <c r="K488" s="885">
        <f>SUMIF('AJE1'!$B:$B,$C488&amp;$D488&amp;"*",'AJE1'!$O:$O)</f>
        <v>0</v>
      </c>
      <c r="L488" s="885">
        <f>SUMIF('AJE1'!$B:$B,$C488&amp;$D488&amp;"*",'AJE1'!$P:$P)</f>
        <v>0</v>
      </c>
      <c r="M488" s="891">
        <f>($B488*J488+K488-L488)*$B488</f>
        <v>-1025461.06</v>
      </c>
      <c r="N488" s="641"/>
      <c r="O488" s="641"/>
      <c r="P488" s="641"/>
      <c r="Q488" s="641"/>
      <c r="T488" s="3055">
        <v>8575</v>
      </c>
      <c r="U488" s="3063">
        <v>0</v>
      </c>
    </row>
    <row r="489" spans="1:21"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6" t="str">
        <f t="shared" si="150"/>
        <v>＝</v>
      </c>
      <c r="B490" s="1645">
        <f t="shared" si="151"/>
        <v>0</v>
      </c>
      <c r="C490" s="1645">
        <f t="shared" si="149"/>
        <v>0</v>
      </c>
      <c r="D490" s="1657">
        <v>8499</v>
      </c>
      <c r="E490" s="888" t="str">
        <f t="shared" si="152"/>
        <v>专项储备_本期期末余额</v>
      </c>
      <c r="F490" s="884">
        <f t="shared" ref="F490:M490" si="190">SUM(F464,F465)</f>
        <v>4545209.38</v>
      </c>
      <c r="G490" s="885">
        <f t="shared" si="190"/>
        <v>0</v>
      </c>
      <c r="H490" s="885">
        <f t="shared" si="190"/>
        <v>0</v>
      </c>
      <c r="I490" s="913">
        <f t="shared" si="190"/>
        <v>4545209.38</v>
      </c>
      <c r="J490" s="914">
        <f t="shared" si="190"/>
        <v>8378246.8099999996</v>
      </c>
      <c r="K490" s="885">
        <f t="shared" si="190"/>
        <v>0</v>
      </c>
      <c r="L490" s="885">
        <f t="shared" si="190"/>
        <v>0</v>
      </c>
      <c r="M490" s="891">
        <f t="shared" si="190"/>
        <v>8378246.8099999996</v>
      </c>
      <c r="N490" s="641"/>
      <c r="O490" s="641"/>
      <c r="P490" s="641"/>
      <c r="Q490" s="641"/>
      <c r="T490" s="3055">
        <v>8580</v>
      </c>
      <c r="U490" s="3063">
        <v>0</v>
      </c>
    </row>
    <row r="491" spans="1:21"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6">
        <f t="shared" si="150"/>
        <v>0</v>
      </c>
      <c r="B492" s="1645">
        <f t="shared" si="151"/>
        <v>-1</v>
      </c>
      <c r="C492" s="1645" t="str">
        <f t="shared" si="149"/>
        <v>J</v>
      </c>
      <c r="D492" s="1657">
        <v>8501</v>
      </c>
      <c r="E492" s="888" t="str">
        <f t="shared" si="152"/>
        <v>盈余公积_上年年末余额</v>
      </c>
      <c r="F492" s="884">
        <f t="shared" si="188"/>
        <v>4637867.0999999996</v>
      </c>
      <c r="G492" s="885">
        <f>SUMIF(AJE!$B:$B,$C492&amp;$D492&amp;"*",AJE!$O:$O)</f>
        <v>0</v>
      </c>
      <c r="H492" s="885">
        <f>SUMIF(AJE!$B:$B,$C492&amp;$D492&amp;"*",AJE!$P:$P)</f>
        <v>0</v>
      </c>
      <c r="I492" s="913">
        <f t="shared" ref="I492:I496" si="191">(B492*F492+G492-H492)*B492</f>
        <v>4637867.0999999996</v>
      </c>
      <c r="J492" s="914">
        <f t="shared" si="155"/>
        <v>1901231.96</v>
      </c>
      <c r="K492" s="885">
        <f>SUMIF('AJE1'!$B:$B,$C492&amp;$D492&amp;"*",'AJE1'!$O:$O)</f>
        <v>0</v>
      </c>
      <c r="L492" s="885">
        <f>SUMIF('AJE1'!$B:$B,$C492&amp;$D492&amp;"*",'AJE1'!$P:$P)</f>
        <v>0</v>
      </c>
      <c r="M492" s="891">
        <f t="shared" ref="M492:M496" si="192">($B492*J492+K492-L492)*$B492</f>
        <v>1901231.96</v>
      </c>
      <c r="N492" s="641"/>
      <c r="O492" s="641"/>
      <c r="P492" s="641"/>
      <c r="Q492" s="641"/>
      <c r="T492" s="3055">
        <v>8582</v>
      </c>
      <c r="U492" s="3063">
        <v>0</v>
      </c>
    </row>
    <row r="493" spans="1:21"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4637867.0999999996</v>
      </c>
    </row>
    <row r="495" spans="1:21"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6" t="str">
        <f t="shared" si="150"/>
        <v>＝</v>
      </c>
      <c r="B497" s="1645">
        <f t="shared" si="151"/>
        <v>0</v>
      </c>
      <c r="C497" s="1645">
        <f t="shared" si="149"/>
        <v>0</v>
      </c>
      <c r="D497" s="1657">
        <v>8510</v>
      </c>
      <c r="E497" s="888" t="str">
        <f t="shared" si="152"/>
        <v>盈余公积_本年年初余额</v>
      </c>
      <c r="F497" s="884">
        <f t="shared" ref="F497:M497" si="193">SUM(F492:F496)</f>
        <v>4637867.0999999996</v>
      </c>
      <c r="G497" s="885">
        <f t="shared" si="193"/>
        <v>0</v>
      </c>
      <c r="H497" s="885">
        <f t="shared" si="193"/>
        <v>0</v>
      </c>
      <c r="I497" s="913">
        <f t="shared" si="193"/>
        <v>4637867.0999999996</v>
      </c>
      <c r="J497" s="914">
        <f t="shared" si="193"/>
        <v>1901231.96</v>
      </c>
      <c r="K497" s="885">
        <f t="shared" si="193"/>
        <v>0</v>
      </c>
      <c r="L497" s="885">
        <f t="shared" si="193"/>
        <v>0</v>
      </c>
      <c r="M497" s="891">
        <f t="shared" si="193"/>
        <v>1901231.96</v>
      </c>
      <c r="N497" s="641"/>
      <c r="O497" s="641"/>
      <c r="P497" s="641"/>
      <c r="Q497" s="641"/>
      <c r="T497" s="3055">
        <v>8602</v>
      </c>
      <c r="U497" s="3063">
        <v>0</v>
      </c>
    </row>
    <row r="498" spans="1:21"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2736635.14</v>
      </c>
      <c r="K498" s="885">
        <f t="shared" si="194"/>
        <v>0</v>
      </c>
      <c r="L498" s="885">
        <f t="shared" si="194"/>
        <v>0</v>
      </c>
      <c r="M498" s="891">
        <f t="shared" si="194"/>
        <v>2736635.14</v>
      </c>
      <c r="N498" s="641"/>
      <c r="O498" s="641"/>
      <c r="P498" s="641"/>
      <c r="Q498" s="641"/>
      <c r="T498" s="3055">
        <v>8603</v>
      </c>
      <c r="U498" s="3063">
        <v>0</v>
      </c>
    </row>
    <row r="499" spans="1:21"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2736635.14</v>
      </c>
      <c r="K507" s="885">
        <f t="shared" si="197"/>
        <v>0</v>
      </c>
      <c r="L507" s="885">
        <f t="shared" si="197"/>
        <v>0</v>
      </c>
      <c r="M507" s="891">
        <f t="shared" si="197"/>
        <v>2736635.14</v>
      </c>
      <c r="N507" s="641"/>
      <c r="O507" s="641"/>
      <c r="P507" s="641"/>
      <c r="Q507" s="641"/>
      <c r="T507" s="3055">
        <v>8651</v>
      </c>
      <c r="U507" s="3063">
        <v>0</v>
      </c>
    </row>
    <row r="508" spans="1:21"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2736635.14</v>
      </c>
      <c r="K508" s="885">
        <f>SUMIF('AJE1'!$B:$B,$C508&amp;$D508&amp;"*",'AJE1'!$O:$O)</f>
        <v>0</v>
      </c>
      <c r="L508" s="885">
        <f>SUMIF('AJE1'!$B:$B,$C508&amp;$D508&amp;"*",'AJE1'!$P:$P)</f>
        <v>0</v>
      </c>
      <c r="M508" s="891">
        <f>($B508*J508+K508-L508)*$B508</f>
        <v>2736635.14</v>
      </c>
      <c r="N508" s="641"/>
      <c r="O508" s="641"/>
      <c r="P508" s="641"/>
      <c r="Q508" s="641"/>
      <c r="T508" s="3055">
        <v>8653</v>
      </c>
      <c r="U508" s="3063">
        <v>0</v>
      </c>
    </row>
    <row r="509" spans="1:21"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6" t="str">
        <f t="shared" si="150"/>
        <v>＝</v>
      </c>
      <c r="B523" s="1645">
        <f t="shared" si="151"/>
        <v>0</v>
      </c>
      <c r="C523" s="1645">
        <f t="shared" si="149"/>
        <v>0</v>
      </c>
      <c r="D523" s="1657">
        <v>8599</v>
      </c>
      <c r="E523" s="888" t="str">
        <f t="shared" si="152"/>
        <v>盈余公积_本期期末余额</v>
      </c>
      <c r="F523" s="884">
        <f t="shared" ref="F523:M523" si="202">SUM(F497,F498)</f>
        <v>4637867.0999999996</v>
      </c>
      <c r="G523" s="885">
        <f t="shared" si="202"/>
        <v>0</v>
      </c>
      <c r="H523" s="885">
        <f t="shared" si="202"/>
        <v>0</v>
      </c>
      <c r="I523" s="913">
        <f t="shared" si="202"/>
        <v>4637867.0999999996</v>
      </c>
      <c r="J523" s="914">
        <f t="shared" si="202"/>
        <v>4637867.0999999996</v>
      </c>
      <c r="K523" s="885">
        <f t="shared" si="202"/>
        <v>0</v>
      </c>
      <c r="L523" s="885">
        <f t="shared" si="202"/>
        <v>0</v>
      </c>
      <c r="M523" s="891">
        <f t="shared" si="202"/>
        <v>4637867.0999999996</v>
      </c>
      <c r="N523" s="641"/>
      <c r="O523" s="641"/>
      <c r="P523" s="641"/>
      <c r="Q523" s="641"/>
      <c r="T523" s="3055">
        <v>8681</v>
      </c>
      <c r="U523" s="3063">
        <v>0</v>
      </c>
    </row>
    <row r="524" spans="1:21"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-169945946.41999999</v>
      </c>
    </row>
    <row r="529" spans="1:21"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-169945946.41999999</v>
      </c>
    </row>
    <row r="534" spans="1:21"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24629716.27</v>
      </c>
    </row>
    <row r="535" spans="1:21"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27366351.41</v>
      </c>
    </row>
    <row r="536" spans="1:21"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27366351.41</v>
      </c>
    </row>
    <row r="538" spans="1:21"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-2736635.14</v>
      </c>
    </row>
    <row r="544" spans="1:21"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-2736635.14</v>
      </c>
    </row>
    <row r="545" spans="1:21"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6">
        <f t="shared" si="211"/>
        <v>0</v>
      </c>
      <c r="B558" s="1645">
        <f t="shared" si="212"/>
        <v>-1</v>
      </c>
      <c r="C558" s="1645" t="str">
        <f t="shared" si="210"/>
        <v>J</v>
      </c>
      <c r="D558" s="1657">
        <v>8701</v>
      </c>
      <c r="E558" s="888" t="str">
        <f t="shared" si="213"/>
        <v>未分配利润_上年年末余额</v>
      </c>
      <c r="F558" s="884">
        <f t="shared" si="208"/>
        <v>-145316230.15000001</v>
      </c>
      <c r="G558" s="885">
        <f>SUMIF(AJE!$B:$B,$C558&amp;$D558&amp;"*",AJE!$O:$O)</f>
        <v>0</v>
      </c>
      <c r="H558" s="885">
        <f>SUMIF(AJE!$B:$B,$C558&amp;$D558&amp;"*",AJE!$P:$P)</f>
        <v>0</v>
      </c>
      <c r="I558" s="913">
        <f t="shared" si="215"/>
        <v>-145316230.15000001</v>
      </c>
      <c r="J558" s="914">
        <f t="shared" si="216"/>
        <v>-169945946.41999999</v>
      </c>
      <c r="K558" s="885">
        <f>SUMIF('AJE1'!$B:$B,$C558&amp;$D558&amp;"*",'AJE1'!$O:$O)</f>
        <v>0</v>
      </c>
      <c r="L558" s="885">
        <f>SUMIF('AJE1'!$B:$B,$C558&amp;$D558&amp;"*",'AJE1'!$P:$P)</f>
        <v>0</v>
      </c>
      <c r="M558" s="891">
        <f t="shared" si="217"/>
        <v>-169945946.41999999</v>
      </c>
      <c r="N558" s="641"/>
      <c r="O558" s="641"/>
      <c r="P558" s="641"/>
      <c r="Q558" s="641"/>
      <c r="T558" s="3055">
        <v>8799</v>
      </c>
      <c r="U558" s="3063">
        <v>-145316230.15000001</v>
      </c>
    </row>
    <row r="559" spans="1:21"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54752.29</v>
      </c>
      <c r="H559" s="885">
        <f>SUMIF(AJE!$B:$B,$C559&amp;$D559&amp;"*",AJE!$P:$P)</f>
        <v>0</v>
      </c>
      <c r="I559" s="913">
        <f t="shared" si="215"/>
        <v>-54752.29</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6" t="str">
        <f t="shared" si="211"/>
        <v>＝</v>
      </c>
      <c r="B563" s="1645">
        <f t="shared" si="212"/>
        <v>0</v>
      </c>
      <c r="C563" s="1645">
        <f t="shared" si="210"/>
        <v>0</v>
      </c>
      <c r="D563" s="1657">
        <v>8710</v>
      </c>
      <c r="E563" s="888" t="str">
        <f t="shared" si="213"/>
        <v>未分配利润_本年年初余额</v>
      </c>
      <c r="F563" s="884">
        <f t="shared" ref="F563:M563" si="220">SUM(F558:F562)</f>
        <v>-145316230.15000001</v>
      </c>
      <c r="G563" s="885">
        <f t="shared" si="220"/>
        <v>54752.29</v>
      </c>
      <c r="H563" s="885">
        <f t="shared" si="220"/>
        <v>0</v>
      </c>
      <c r="I563" s="913">
        <f t="shared" si="220"/>
        <v>-145370982.44</v>
      </c>
      <c r="J563" s="914">
        <f t="shared" si="220"/>
        <v>-169945946.41999999</v>
      </c>
      <c r="K563" s="885">
        <f t="shared" si="220"/>
        <v>0</v>
      </c>
      <c r="L563" s="885">
        <f t="shared" si="220"/>
        <v>0</v>
      </c>
      <c r="M563" s="891">
        <f t="shared" si="220"/>
        <v>-169945946.41999999</v>
      </c>
      <c r="N563" s="641"/>
      <c r="O563" s="641"/>
      <c r="P563" s="641"/>
      <c r="Q563" s="641"/>
      <c r="T563" s="3055">
        <v>8804</v>
      </c>
      <c r="U563" s="3063">
        <v>0</v>
      </c>
    </row>
    <row r="564" spans="1:21" ht="18">
      <c r="A564" s="1646" t="str">
        <f t="shared" si="211"/>
        <v>＝</v>
      </c>
      <c r="B564" s="1645">
        <f t="shared" si="212"/>
        <v>0</v>
      </c>
      <c r="C564" s="1645">
        <f t="shared" si="210"/>
        <v>0</v>
      </c>
      <c r="D564" s="1657">
        <v>8790</v>
      </c>
      <c r="E564" s="888" t="str">
        <f t="shared" si="213"/>
        <v>未分配利润_本期增减变动金额</v>
      </c>
      <c r="F564" s="884">
        <f>SUM(F567,F568,F573,F578,F585,F588)</f>
        <v>1667235.32</v>
      </c>
      <c r="G564" s="885">
        <f t="shared" ref="G564:M564" si="221">SUM(G567,G568,G573,G578,G585,G588)</f>
        <v>32786916.469999999</v>
      </c>
      <c r="H564" s="885">
        <f t="shared" si="221"/>
        <v>17572080.690000001</v>
      </c>
      <c r="I564" s="913">
        <f t="shared" si="221"/>
        <v>-13547600.460000001</v>
      </c>
      <c r="J564" s="914">
        <f t="shared" si="221"/>
        <v>24629716.27</v>
      </c>
      <c r="K564" s="885">
        <f t="shared" si="221"/>
        <v>0</v>
      </c>
      <c r="L564" s="885">
        <f t="shared" si="221"/>
        <v>0</v>
      </c>
      <c r="M564" s="891">
        <f t="shared" si="221"/>
        <v>24629716.27</v>
      </c>
      <c r="N564" s="641"/>
      <c r="O564" s="641"/>
      <c r="P564" s="641"/>
      <c r="Q564" s="641"/>
      <c r="T564" s="3055">
        <v>8809</v>
      </c>
      <c r="U564" s="3063">
        <v>0</v>
      </c>
    </row>
    <row r="565" spans="1:21"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1667235.32</v>
      </c>
      <c r="G565" s="885">
        <f>SUM(VLOOKUP(6799,Sheet_Trialbal,4,0))</f>
        <v>32786916.469999999</v>
      </c>
      <c r="H565" s="885">
        <f>SUM(VLOOKUP(6799,Sheet_Trialbal,5,0))</f>
        <v>17572080.690000001</v>
      </c>
      <c r="I565" s="913">
        <f t="shared" si="215"/>
        <v>-13547600.460000001</v>
      </c>
      <c r="J565" s="914">
        <f t="shared" si="216"/>
        <v>27366351.41</v>
      </c>
      <c r="K565" s="885">
        <f>SUM(VLOOKUP(6799,Sheet_Trialbal,8,0))</f>
        <v>0</v>
      </c>
      <c r="L565" s="885">
        <f>SUM(VLOOKUP(6799,Sheet_Trialbal,9,0))</f>
        <v>0</v>
      </c>
      <c r="M565" s="891">
        <f t="shared" si="217"/>
        <v>27366351.41</v>
      </c>
      <c r="N565" s="641"/>
      <c r="O565" s="641"/>
      <c r="P565" s="641"/>
      <c r="Q565" s="641"/>
      <c r="T565" s="3055">
        <v>8810</v>
      </c>
      <c r="U565" s="3063">
        <v>0</v>
      </c>
    </row>
    <row r="566" spans="1:21"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1667235.32</v>
      </c>
      <c r="G567" s="885">
        <f>SUM(VLOOKUP(6799,Sheet_Trialbal,4,0))</f>
        <v>32786916.469999999</v>
      </c>
      <c r="H567" s="885">
        <f>SUM(VLOOKUP(6799,Sheet_Trialbal,5,0))</f>
        <v>17572080.690000001</v>
      </c>
      <c r="I567" s="913">
        <f>(B567*F567+G567-H567)*B567</f>
        <v>-13547600.460000001</v>
      </c>
      <c r="J567" s="914">
        <f>INDEX(Sheet_Presc,MATCH((RIGHT($D567,2)),Sheet_Prescrow,0),MATCH((VALUE(LEFT($D567,2))),Sheet_Presccol,0))</f>
        <v>27366351.41</v>
      </c>
      <c r="K567" s="885">
        <f>SUM(VLOOKUP(6799,Sheet_Trialbal,8,0))</f>
        <v>0</v>
      </c>
      <c r="L567" s="885">
        <f>SUM(VLOOKUP(6799,Sheet_Trialbal,9,0))</f>
        <v>0</v>
      </c>
      <c r="M567" s="891">
        <f>($B567*J567+K567-L567)*$B567</f>
        <v>27366351.41</v>
      </c>
      <c r="N567" s="641"/>
      <c r="O567" s="641"/>
      <c r="P567" s="641"/>
      <c r="Q567" s="641"/>
      <c r="T567" s="3055">
        <v>8821</v>
      </c>
      <c r="U567" s="3063">
        <v>0</v>
      </c>
    </row>
    <row r="568" spans="1:21"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-2736635.14</v>
      </c>
      <c r="K573" s="885">
        <f t="shared" si="224"/>
        <v>0</v>
      </c>
      <c r="L573" s="885">
        <f t="shared" si="224"/>
        <v>0</v>
      </c>
      <c r="M573" s="891">
        <f t="shared" si="224"/>
        <v>-2736635.14</v>
      </c>
      <c r="N573" s="641"/>
      <c r="O573" s="641"/>
      <c r="P573" s="641"/>
      <c r="Q573" s="641"/>
      <c r="T573" s="3055">
        <v>8852</v>
      </c>
      <c r="U573" s="3063">
        <v>0</v>
      </c>
    </row>
    <row r="574" spans="1:21"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-2736635.14</v>
      </c>
      <c r="K574" s="885">
        <f>SUMIF('AJE1'!$B:$B,$C574&amp;$D574&amp;"*",'AJE1'!$O:$O)</f>
        <v>0</v>
      </c>
      <c r="L574" s="885">
        <f>SUMIF('AJE1'!$B:$B,$C574&amp;$D574&amp;"*",'AJE1'!$P:$P)</f>
        <v>0</v>
      </c>
      <c r="M574" s="891">
        <f t="shared" si="217"/>
        <v>-2736635.14</v>
      </c>
      <c r="N574" s="641"/>
      <c r="O574" s="641"/>
      <c r="P574" s="641"/>
      <c r="Q574" s="641"/>
      <c r="T574" s="3055">
        <v>8856</v>
      </c>
      <c r="U574" s="3063">
        <v>0</v>
      </c>
    </row>
    <row r="575" spans="1:21"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6" t="str">
        <f t="shared" si="211"/>
        <v>＝</v>
      </c>
      <c r="B589" s="1645">
        <f t="shared" si="212"/>
        <v>0</v>
      </c>
      <c r="C589" s="1645">
        <f t="shared" si="210"/>
        <v>0</v>
      </c>
      <c r="D589" s="1657">
        <v>8799</v>
      </c>
      <c r="E589" s="888" t="str">
        <f t="shared" si="213"/>
        <v>未分配利润_本期期末余额</v>
      </c>
      <c r="F589" s="884">
        <f t="shared" ref="F589:M589" si="227">SUM(F563,F564)</f>
        <v>-143648994.83000001</v>
      </c>
      <c r="G589" s="885">
        <f t="shared" si="227"/>
        <v>32841668.760000002</v>
      </c>
      <c r="H589" s="885">
        <f t="shared" si="227"/>
        <v>17572080.690000001</v>
      </c>
      <c r="I589" s="913">
        <f t="shared" si="227"/>
        <v>-158918582.90000001</v>
      </c>
      <c r="J589" s="914">
        <f t="shared" si="227"/>
        <v>-145316230.15000001</v>
      </c>
      <c r="K589" s="885">
        <f t="shared" si="227"/>
        <v>0</v>
      </c>
      <c r="L589" s="885">
        <f t="shared" si="227"/>
        <v>0</v>
      </c>
      <c r="M589" s="891">
        <f t="shared" si="227"/>
        <v>-145316230.15000001</v>
      </c>
      <c r="N589" s="641"/>
      <c r="O589" s="641"/>
      <c r="P589" s="641"/>
      <c r="Q589" s="641"/>
      <c r="T589" s="3055">
        <v>8896</v>
      </c>
      <c r="U589" s="3063">
        <v>0</v>
      </c>
    </row>
    <row r="590" spans="1:21"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289012665.19</v>
      </c>
    </row>
    <row r="626" spans="1:21"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0</v>
      </c>
    </row>
    <row r="637" spans="1:21"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76489.33</v>
      </c>
    </row>
    <row r="638" spans="1:21"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289089154.51999998</v>
      </c>
    </row>
    <row r="639" spans="1:21"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36580289.390000001</v>
      </c>
    </row>
    <row r="640" spans="1:21"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28223185.809999999</v>
      </c>
    </row>
    <row r="646" spans="1:21"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23224814.02</v>
      </c>
    </row>
    <row r="647" spans="1:21"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121285508.67</v>
      </c>
    </row>
    <row r="648" spans="1:21"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209313797.88999999</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79775356.629999995</v>
      </c>
    </row>
    <row r="650" spans="1:21"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300300</v>
      </c>
    </row>
    <row r="653" spans="1:21"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206034.48</v>
      </c>
    </row>
    <row r="654" spans="1:21"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55">
        <v>7148</v>
      </c>
      <c r="U656" s="3063">
        <v>506334.48</v>
      </c>
    </row>
    <row r="657" spans="1:21"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55">
        <v>7151</v>
      </c>
      <c r="U657" s="3063">
        <v>5355857.1900000004</v>
      </c>
    </row>
    <row r="658" spans="1:21"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179675938.56999999</v>
      </c>
      <c r="G658" s="885">
        <f>SUMIF(CFJE!$B:$B,$C658&amp;$D658&amp;"*",CFJE!$S:$S)</f>
        <v>0</v>
      </c>
      <c r="H658" s="885">
        <f>SUMIF(CFJE!$B:$B,$C658&amp;$D658&amp;"*",CFJE!$T:$T)</f>
        <v>0</v>
      </c>
      <c r="I658" s="913">
        <f t="shared" ref="I658:I689" si="252">(B658*F658+G658-H658)*B658</f>
        <v>179675938.56999999</v>
      </c>
      <c r="J658" s="914">
        <f t="shared" ref="J658:J689" si="253">VLOOKUP($D658,Sheet_Precf,5,0)</f>
        <v>289012665.19</v>
      </c>
      <c r="K658" s="885"/>
      <c r="L658" s="885"/>
      <c r="M658" s="891">
        <f t="shared" ref="M658:M689" si="254">($B658*J658+K658-L658)*$B658</f>
        <v>289012665.19</v>
      </c>
      <c r="N658" s="641"/>
      <c r="O658" s="641"/>
      <c r="P658" s="641"/>
      <c r="Q658" s="641"/>
      <c r="T658" s="3055">
        <v>7161</v>
      </c>
      <c r="U658" s="3063">
        <v>0</v>
      </c>
    </row>
    <row r="659" spans="1:21"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5355857.1900000004</v>
      </c>
    </row>
    <row r="663" spans="1:21"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-4849522.71</v>
      </c>
    </row>
    <row r="664" spans="1:21"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0</v>
      </c>
    </row>
    <row r="668" spans="1:21"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6">
        <f t="shared" si="239"/>
        <v>0</v>
      </c>
      <c r="B669" s="1645">
        <f t="shared" si="240"/>
        <v>1</v>
      </c>
      <c r="C669" s="1645" t="str">
        <f t="shared" si="237"/>
        <v>J</v>
      </c>
      <c r="D669" s="1657">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5">
        <v>7246</v>
      </c>
      <c r="U669" s="3063">
        <v>0</v>
      </c>
    </row>
    <row r="670" spans="1:21" ht="18">
      <c r="A670" s="1646">
        <f t="shared" si="239"/>
        <v>0</v>
      </c>
      <c r="B670" s="1645">
        <f t="shared" si="240"/>
        <v>1</v>
      </c>
      <c r="C670" s="1645" t="str">
        <f t="shared" si="237"/>
        <v>J</v>
      </c>
      <c r="D670" s="1657">
        <v>7046</v>
      </c>
      <c r="E670" s="888" t="str">
        <f t="shared" si="241"/>
        <v>收到其他与经营活动有关的现金</v>
      </c>
      <c r="F670" s="884">
        <f t="shared" si="251"/>
        <v>1544811.94</v>
      </c>
      <c r="G670" s="885">
        <f>SUMIF(CFJE!$B:$B,$C670&amp;$D670&amp;"*",CFJE!$S:$S)</f>
        <v>0</v>
      </c>
      <c r="H670" s="885">
        <f>SUMIF(CFJE!$B:$B,$C670&amp;$D670&amp;"*",CFJE!$T:$T)</f>
        <v>0</v>
      </c>
      <c r="I670" s="913">
        <f t="shared" si="252"/>
        <v>1544811.94</v>
      </c>
      <c r="J670" s="914">
        <f t="shared" si="253"/>
        <v>76489.33</v>
      </c>
      <c r="K670" s="885"/>
      <c r="L670" s="885"/>
      <c r="M670" s="891">
        <f t="shared" si="254"/>
        <v>76489.33</v>
      </c>
      <c r="N670" s="641"/>
      <c r="O670" s="641"/>
      <c r="P670" s="641"/>
      <c r="Q670" s="641"/>
      <c r="T670" s="3055">
        <v>7248</v>
      </c>
      <c r="U670" s="3063">
        <v>0</v>
      </c>
    </row>
    <row r="671" spans="1:21" ht="18">
      <c r="A671" s="1646" t="str">
        <f t="shared" si="239"/>
        <v>＝</v>
      </c>
      <c r="B671" s="1645">
        <f t="shared" si="240"/>
        <v>0</v>
      </c>
      <c r="C671" s="1645">
        <f t="shared" si="237"/>
        <v>0</v>
      </c>
      <c r="D671" s="2184">
        <v>7048</v>
      </c>
      <c r="E671" s="2185" t="str">
        <f t="shared" si="241"/>
        <v>经营活动现金流入</v>
      </c>
      <c r="F671" s="884">
        <f t="shared" ref="F671:M671" si="257">SUM(F658:F670)</f>
        <v>181220750.50999999</v>
      </c>
      <c r="G671" s="885">
        <f t="shared" si="257"/>
        <v>0</v>
      </c>
      <c r="H671" s="885">
        <f t="shared" si="257"/>
        <v>0</v>
      </c>
      <c r="I671" s="913">
        <f t="shared" si="257"/>
        <v>181220750.50999999</v>
      </c>
      <c r="J671" s="914">
        <f t="shared" si="257"/>
        <v>289089154.51999998</v>
      </c>
      <c r="K671" s="885">
        <f t="shared" si="257"/>
        <v>0</v>
      </c>
      <c r="L671" s="885">
        <f t="shared" si="257"/>
        <v>0</v>
      </c>
      <c r="M671" s="891">
        <f t="shared" si="257"/>
        <v>289089154.51999998</v>
      </c>
      <c r="N671" s="641"/>
      <c r="O671" s="641"/>
      <c r="P671" s="641"/>
      <c r="Q671" s="641"/>
      <c r="T671" s="3055">
        <v>7251</v>
      </c>
      <c r="U671" s="3063">
        <v>0</v>
      </c>
    </row>
    <row r="672" spans="1:21"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80109210.730000004</v>
      </c>
      <c r="G672" s="885">
        <f>SUMIF(CFJE!$B:$B,$C672&amp;$D672&amp;"*",CFJE!$S:$S)</f>
        <v>0</v>
      </c>
      <c r="H672" s="885">
        <f>SUMIF(CFJE!$B:$B,$C672&amp;$D672&amp;"*",CFJE!$T:$T)</f>
        <v>0</v>
      </c>
      <c r="I672" s="913">
        <f t="shared" si="252"/>
        <v>80109210.730000004</v>
      </c>
      <c r="J672" s="914">
        <f t="shared" si="253"/>
        <v>36580289.390000001</v>
      </c>
      <c r="K672" s="885"/>
      <c r="L672" s="885"/>
      <c r="M672" s="891">
        <f t="shared" si="254"/>
        <v>36580289.390000001</v>
      </c>
      <c r="N672" s="641"/>
      <c r="O672" s="641"/>
      <c r="P672" s="641"/>
      <c r="Q672" s="641"/>
      <c r="T672" s="3055">
        <v>7261</v>
      </c>
      <c r="U672" s="3063">
        <v>3327146.8</v>
      </c>
    </row>
    <row r="673" spans="1:21"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43726400</v>
      </c>
    </row>
    <row r="675" spans="1:21"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47053546.799999997</v>
      </c>
    </row>
    <row r="677" spans="1:21"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-47053546.799999997</v>
      </c>
    </row>
    <row r="678" spans="1:21"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-241866.28</v>
      </c>
    </row>
    <row r="679" spans="1:21" ht="18">
      <c r="A679" s="1646">
        <f t="shared" si="239"/>
        <v>0</v>
      </c>
      <c r="B679" s="1645">
        <f t="shared" si="240"/>
        <v>-1</v>
      </c>
      <c r="C679" s="1645" t="str">
        <f t="shared" si="237"/>
        <v>J</v>
      </c>
      <c r="D679" s="1657">
        <v>7061</v>
      </c>
      <c r="E679" s="888" t="str">
        <f t="shared" si="241"/>
        <v>支付给职工以及为职工支付的现金</v>
      </c>
      <c r="F679" s="884">
        <f t="shared" si="258"/>
        <v>23778472.57</v>
      </c>
      <c r="G679" s="885">
        <f>SUMIF(CFJE!$B:$B,$C679&amp;$D679&amp;"*",CFJE!$S:$S)</f>
        <v>0</v>
      </c>
      <c r="H679" s="885">
        <f>SUMIF(CFJE!$B:$B,$C679&amp;$D679&amp;"*",CFJE!$T:$T)</f>
        <v>0</v>
      </c>
      <c r="I679" s="913">
        <f t="shared" si="252"/>
        <v>23778472.57</v>
      </c>
      <c r="J679" s="914">
        <f t="shared" si="253"/>
        <v>28223185.809999999</v>
      </c>
      <c r="K679" s="885"/>
      <c r="L679" s="885"/>
      <c r="M679" s="891">
        <f t="shared" si="254"/>
        <v>28223185.809999999</v>
      </c>
      <c r="N679" s="641"/>
      <c r="O679" s="641"/>
      <c r="P679" s="641"/>
      <c r="Q679" s="641"/>
      <c r="T679" s="3055">
        <v>7348</v>
      </c>
      <c r="U679" s="3063">
        <v>27630420.84</v>
      </c>
    </row>
    <row r="680" spans="1:21" ht="18">
      <c r="A680" s="1646">
        <f t="shared" si="239"/>
        <v>0</v>
      </c>
      <c r="B680" s="1645">
        <f t="shared" si="240"/>
        <v>-1</v>
      </c>
      <c r="C680" s="1645" t="str">
        <f t="shared" si="237"/>
        <v>J</v>
      </c>
      <c r="D680" s="1657">
        <v>7071</v>
      </c>
      <c r="E680" s="888" t="str">
        <f t="shared" si="241"/>
        <v>支付的各项税费</v>
      </c>
      <c r="F680" s="884">
        <f t="shared" si="258"/>
        <v>17409545.82</v>
      </c>
      <c r="G680" s="885">
        <f>SUMIF(CFJE!$B:$B,$C680&amp;$D680&amp;"*",CFJE!$S:$S)</f>
        <v>0</v>
      </c>
      <c r="H680" s="885">
        <f>SUMIF(CFJE!$B:$B,$C680&amp;$D680&amp;"*",CFJE!$T:$T)</f>
        <v>0</v>
      </c>
      <c r="I680" s="913">
        <f t="shared" si="252"/>
        <v>17409545.82</v>
      </c>
      <c r="J680" s="914">
        <f t="shared" si="253"/>
        <v>23224814.02</v>
      </c>
      <c r="K680" s="885"/>
      <c r="L680" s="885"/>
      <c r="M680" s="891">
        <f t="shared" si="254"/>
        <v>23224814.02</v>
      </c>
      <c r="N680" s="641"/>
      <c r="O680" s="641"/>
      <c r="P680" s="641"/>
      <c r="Q680" s="641"/>
      <c r="T680" s="3055">
        <v>7349</v>
      </c>
      <c r="U680" s="3063">
        <v>8096082.1600000001</v>
      </c>
    </row>
    <row r="681" spans="1:21" ht="18">
      <c r="A681" s="1646">
        <f t="shared" si="239"/>
        <v>0</v>
      </c>
      <c r="B681" s="1645">
        <f t="shared" si="240"/>
        <v>-1</v>
      </c>
      <c r="C681" s="1645" t="str">
        <f t="shared" si="237"/>
        <v>J</v>
      </c>
      <c r="D681" s="1657">
        <v>7096</v>
      </c>
      <c r="E681" s="888" t="str">
        <f t="shared" si="241"/>
        <v>支付其他与经营活动有关的现金</v>
      </c>
      <c r="F681" s="884">
        <f t="shared" si="258"/>
        <v>29188633.84</v>
      </c>
      <c r="G681" s="885">
        <f>SUMIF(CFJE!$B:$B,$C681&amp;$D681&amp;"*",CFJE!$S:$S)</f>
        <v>0</v>
      </c>
      <c r="H681" s="885">
        <f>SUMIF(CFJE!$B:$B,$C681&amp;$D681&amp;"*",CFJE!$T:$T)</f>
        <v>0</v>
      </c>
      <c r="I681" s="913">
        <f t="shared" si="252"/>
        <v>29188633.84</v>
      </c>
      <c r="J681" s="914">
        <f t="shared" si="253"/>
        <v>121285508.67</v>
      </c>
      <c r="K681" s="885"/>
      <c r="L681" s="885"/>
      <c r="M681" s="891">
        <f t="shared" si="254"/>
        <v>121285508.67</v>
      </c>
      <c r="N681" s="641"/>
      <c r="O681" s="641"/>
      <c r="P681" s="641"/>
      <c r="Q681" s="641"/>
      <c r="T681" s="3055">
        <v>7399</v>
      </c>
      <c r="U681" s="3063">
        <v>35726503</v>
      </c>
    </row>
    <row r="682" spans="1:21" ht="18">
      <c r="A682" s="1646" t="str">
        <f t="shared" si="239"/>
        <v>＝</v>
      </c>
      <c r="B682" s="1645">
        <f t="shared" si="240"/>
        <v>0</v>
      </c>
      <c r="C682" s="1645">
        <f t="shared" si="237"/>
        <v>0</v>
      </c>
      <c r="D682" s="2184">
        <v>7098</v>
      </c>
      <c r="E682" s="2185" t="str">
        <f t="shared" si="241"/>
        <v>经营活动现金流出</v>
      </c>
      <c r="F682" s="884">
        <f t="shared" ref="F682:M682" si="261">SUM(F672:F681)</f>
        <v>150485862.96000001</v>
      </c>
      <c r="G682" s="885">
        <f t="shared" si="261"/>
        <v>0</v>
      </c>
      <c r="H682" s="885">
        <f t="shared" si="261"/>
        <v>0</v>
      </c>
      <c r="I682" s="913">
        <f t="shared" si="261"/>
        <v>150485862.96000001</v>
      </c>
      <c r="J682" s="914">
        <f t="shared" si="261"/>
        <v>209313797.88999999</v>
      </c>
      <c r="K682" s="885">
        <f t="shared" si="261"/>
        <v>0</v>
      </c>
      <c r="L682" s="885">
        <f t="shared" si="261"/>
        <v>0</v>
      </c>
      <c r="M682" s="891">
        <f t="shared" si="261"/>
        <v>209313797.88999999</v>
      </c>
      <c r="N682" s="641"/>
      <c r="O682" s="641"/>
      <c r="P682" s="641"/>
      <c r="Q682" s="641"/>
      <c r="T682" s="3055">
        <v>19</v>
      </c>
      <c r="U682" s="3063"/>
    </row>
    <row r="683" spans="1:21" ht="18">
      <c r="A683" s="1646" t="str">
        <f t="shared" si="239"/>
        <v>＝</v>
      </c>
      <c r="B683" s="1645">
        <f t="shared" si="240"/>
        <v>0</v>
      </c>
      <c r="C683" s="1645">
        <f t="shared" si="237"/>
        <v>0</v>
      </c>
      <c r="D683" s="2184">
        <v>7099</v>
      </c>
      <c r="E683" s="2185" t="str">
        <f t="shared" si="241"/>
        <v>经营活动产生的现金流量净额</v>
      </c>
      <c r="F683" s="884">
        <f t="shared" ref="F683:M683" si="262">SUM(F671,-F682)</f>
        <v>30734887.550000001</v>
      </c>
      <c r="G683" s="919">
        <f>SUM(G671,G682)</f>
        <v>0</v>
      </c>
      <c r="H683" s="919">
        <f>SUM(H671,H682)</f>
        <v>0</v>
      </c>
      <c r="I683" s="913">
        <f t="shared" si="262"/>
        <v>30734887.550000001</v>
      </c>
      <c r="J683" s="914">
        <f t="shared" si="262"/>
        <v>79775356.629999995</v>
      </c>
      <c r="K683" s="919">
        <f>SUM(K671,K682)</f>
        <v>0</v>
      </c>
      <c r="L683" s="919">
        <f>SUM(L671,L682)</f>
        <v>0</v>
      </c>
      <c r="M683" s="891">
        <f t="shared" si="262"/>
        <v>79775356.629999995</v>
      </c>
      <c r="N683" s="641"/>
      <c r="O683" s="641"/>
      <c r="P683" s="641"/>
      <c r="Q683" s="641"/>
      <c r="T683" s="3060">
        <v>1122.1231</v>
      </c>
      <c r="U683" s="3063">
        <v>1187426.77</v>
      </c>
    </row>
    <row r="684" spans="1:21"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6">
        <f t="shared" si="239"/>
        <v>0</v>
      </c>
      <c r="B685" s="1645">
        <f t="shared" si="240"/>
        <v>1</v>
      </c>
      <c r="C685" s="1645" t="str">
        <f t="shared" si="237"/>
        <v>J</v>
      </c>
      <c r="D685" s="1657">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3">
        <v>1088727.3799999999</v>
      </c>
    </row>
    <row r="686" spans="1:21" ht="18">
      <c r="A686" s="1646">
        <f t="shared" si="239"/>
        <v>0</v>
      </c>
      <c r="B686" s="1645">
        <f t="shared" si="240"/>
        <v>1</v>
      </c>
      <c r="C686" s="1645" t="str">
        <f t="shared" si="237"/>
        <v>J</v>
      </c>
      <c r="D686" s="1657">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300300</v>
      </c>
      <c r="K686" s="885"/>
      <c r="L686" s="885"/>
      <c r="M686" s="891">
        <f t="shared" si="254"/>
        <v>300300</v>
      </c>
      <c r="N686" s="641"/>
      <c r="O686" s="641"/>
      <c r="P686" s="641"/>
      <c r="Q686" s="641"/>
      <c r="T686" s="3060">
        <v>1400.1470999999999</v>
      </c>
      <c r="U686" s="3063">
        <v>1786470.08</v>
      </c>
    </row>
    <row r="687" spans="1:21" ht="24">
      <c r="A687" s="1646">
        <f t="shared" si="239"/>
        <v>0</v>
      </c>
      <c r="B687" s="1645">
        <f t="shared" si="240"/>
        <v>1</v>
      </c>
      <c r="C687" s="1645" t="str">
        <f t="shared" si="237"/>
        <v>J</v>
      </c>
      <c r="D687" s="1657">
        <v>7111</v>
      </c>
      <c r="E687" s="888" t="str">
        <f t="shared" si="241"/>
        <v>处置固定资产无形资产长期资产收回的现金</v>
      </c>
      <c r="F687" s="884">
        <f t="shared" si="263"/>
        <v>4370781.55</v>
      </c>
      <c r="G687" s="885">
        <f>SUMIF(CFJE!$B:$B,$C687&amp;$D687&amp;"*",CFJE!$S:$S)</f>
        <v>0</v>
      </c>
      <c r="H687" s="885">
        <f>SUMIF(CFJE!$B:$B,$C687&amp;$D687&amp;"*",CFJE!$T:$T)</f>
        <v>0</v>
      </c>
      <c r="I687" s="913">
        <f t="shared" si="252"/>
        <v>4370781.55</v>
      </c>
      <c r="J687" s="914">
        <f t="shared" si="253"/>
        <v>206034.48</v>
      </c>
      <c r="K687" s="885"/>
      <c r="L687" s="885"/>
      <c r="M687" s="891">
        <f t="shared" si="254"/>
        <v>206034.48</v>
      </c>
      <c r="N687" s="641"/>
      <c r="O687" s="641"/>
      <c r="P687" s="641"/>
      <c r="Q687" s="641"/>
      <c r="T687" s="3060">
        <v>1503.1504</v>
      </c>
      <c r="U687" s="3063">
        <v>0</v>
      </c>
    </row>
    <row r="688" spans="1:21"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6" t="str">
        <f t="shared" si="239"/>
        <v>＝</v>
      </c>
      <c r="B690" s="1645">
        <f t="shared" si="240"/>
        <v>0</v>
      </c>
      <c r="C690" s="1645">
        <f t="shared" si="237"/>
        <v>0</v>
      </c>
      <c r="D690" s="2184">
        <v>7148</v>
      </c>
      <c r="E690" s="2185" t="str">
        <f t="shared" si="241"/>
        <v>投资活动现金流入</v>
      </c>
      <c r="F690" s="884">
        <f t="shared" ref="F690:M690" si="264">SUM(F685:F689)</f>
        <v>4370781.55</v>
      </c>
      <c r="G690" s="885">
        <f t="shared" si="264"/>
        <v>0</v>
      </c>
      <c r="H690" s="885">
        <f t="shared" si="264"/>
        <v>0</v>
      </c>
      <c r="I690" s="913">
        <f t="shared" si="264"/>
        <v>4370781.55</v>
      </c>
      <c r="J690" s="914">
        <f t="shared" si="264"/>
        <v>506334.48</v>
      </c>
      <c r="K690" s="885">
        <f t="shared" si="264"/>
        <v>0</v>
      </c>
      <c r="L690" s="885">
        <f t="shared" si="264"/>
        <v>0</v>
      </c>
      <c r="M690" s="891">
        <f t="shared" si="264"/>
        <v>506334.48</v>
      </c>
      <c r="N690" s="641"/>
      <c r="O690" s="641"/>
      <c r="P690" s="641"/>
      <c r="Q690" s="641"/>
      <c r="T690" s="3060">
        <v>1521.1522</v>
      </c>
      <c r="U690" s="3063">
        <v>0</v>
      </c>
    </row>
    <row r="691" spans="1:21" ht="24">
      <c r="A691" s="1646">
        <f t="shared" si="239"/>
        <v>0</v>
      </c>
      <c r="B691" s="1645">
        <f t="shared" si="240"/>
        <v>-1</v>
      </c>
      <c r="C691" s="1645" t="str">
        <f t="shared" si="237"/>
        <v>J</v>
      </c>
      <c r="D691" s="1657">
        <v>7151</v>
      </c>
      <c r="E691" s="888" t="str">
        <f t="shared" si="241"/>
        <v>购置固定资产无形资产长期资产支付的现金</v>
      </c>
      <c r="F691" s="884">
        <f>VLOOKUP($D691,Sheet_Precf,4,0)</f>
        <v>13529178</v>
      </c>
      <c r="G691" s="885">
        <f>SUMIF(CFJE!$B:$B,$C691&amp;$D691&amp;"*",CFJE!$S:$S)</f>
        <v>0</v>
      </c>
      <c r="H691" s="885">
        <f>SUMIF(CFJE!$B:$B,$C691&amp;$D691&amp;"*",CFJE!$T:$T)</f>
        <v>0</v>
      </c>
      <c r="I691" s="913">
        <f t="shared" ref="I691:I712" si="265">(B691*F691+G691-H691)*B691</f>
        <v>13529178</v>
      </c>
      <c r="J691" s="914">
        <f t="shared" ref="J691:J712" si="266">VLOOKUP($D691,Sheet_Precf,5,0)</f>
        <v>5355857.1900000004</v>
      </c>
      <c r="K691" s="885"/>
      <c r="L691" s="885"/>
      <c r="M691" s="891">
        <f t="shared" ref="M691:M712" si="267">($B691*J691+K691-L691)*$B691</f>
        <v>5355857.1900000004</v>
      </c>
      <c r="N691" s="641"/>
      <c r="O691" s="641"/>
      <c r="P691" s="641"/>
      <c r="Q691" s="641"/>
      <c r="T691" s="3060">
        <v>1601.1603</v>
      </c>
      <c r="U691" s="3063">
        <v>0</v>
      </c>
    </row>
    <row r="692" spans="1:21" ht="18">
      <c r="A692" s="1646">
        <f t="shared" si="239"/>
        <v>0</v>
      </c>
      <c r="B692" s="1645">
        <f t="shared" si="240"/>
        <v>-1</v>
      </c>
      <c r="C692" s="1645" t="str">
        <f t="shared" si="237"/>
        <v>J</v>
      </c>
      <c r="D692" s="1657">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0">
        <v>1605.1608000000001</v>
      </c>
      <c r="U692" s="3063">
        <v>210454.9</v>
      </c>
    </row>
    <row r="693" spans="1:21"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692383.98</v>
      </c>
    </row>
    <row r="694" spans="1:21"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6" t="str">
        <f t="shared" si="239"/>
        <v>＝</v>
      </c>
      <c r="B696" s="1645">
        <f t="shared" si="240"/>
        <v>0</v>
      </c>
      <c r="C696" s="1645">
        <f t="shared" si="237"/>
        <v>0</v>
      </c>
      <c r="D696" s="2184">
        <v>7198</v>
      </c>
      <c r="E696" s="2185" t="str">
        <f t="shared" si="241"/>
        <v>投资活动现金流出</v>
      </c>
      <c r="F696" s="884">
        <f t="shared" ref="F696:M696" si="268">SUM(F691:F695)</f>
        <v>13529178</v>
      </c>
      <c r="G696" s="885">
        <f t="shared" si="268"/>
        <v>0</v>
      </c>
      <c r="H696" s="885">
        <f t="shared" si="268"/>
        <v>0</v>
      </c>
      <c r="I696" s="913">
        <f t="shared" si="268"/>
        <v>13529178</v>
      </c>
      <c r="J696" s="914">
        <f t="shared" si="268"/>
        <v>5355857.1900000004</v>
      </c>
      <c r="K696" s="885">
        <f t="shared" si="268"/>
        <v>0</v>
      </c>
      <c r="L696" s="885">
        <f t="shared" si="268"/>
        <v>0</v>
      </c>
      <c r="M696" s="891">
        <f t="shared" si="268"/>
        <v>5355857.1900000004</v>
      </c>
      <c r="N696" s="641"/>
      <c r="O696" s="641"/>
      <c r="P696" s="641"/>
      <c r="Q696" s="641"/>
      <c r="T696" s="3060">
        <v>1701.1703</v>
      </c>
      <c r="U696" s="3063">
        <v>0</v>
      </c>
    </row>
    <row r="697" spans="1:21" ht="18">
      <c r="A697" s="1646" t="str">
        <f t="shared" si="239"/>
        <v>＝</v>
      </c>
      <c r="B697" s="1645">
        <f t="shared" si="240"/>
        <v>0</v>
      </c>
      <c r="C697" s="1645">
        <f t="shared" si="237"/>
        <v>0</v>
      </c>
      <c r="D697" s="2184">
        <v>7199</v>
      </c>
      <c r="E697" s="2185" t="str">
        <f t="shared" si="241"/>
        <v>投资活动产生的现金流量净额</v>
      </c>
      <c r="F697" s="884">
        <f t="shared" ref="F697:M697" si="269">SUM(F690,-F696)</f>
        <v>-9158396.4499999993</v>
      </c>
      <c r="G697" s="919">
        <f>SUM(G690,G696)</f>
        <v>0</v>
      </c>
      <c r="H697" s="919">
        <f>SUM(H690,H696)</f>
        <v>0</v>
      </c>
      <c r="I697" s="913">
        <f t="shared" si="269"/>
        <v>-9158396.4499999993</v>
      </c>
      <c r="J697" s="914">
        <f t="shared" si="269"/>
        <v>-4849522.71</v>
      </c>
      <c r="K697" s="919">
        <f>SUM(K690,K696)</f>
        <v>0</v>
      </c>
      <c r="L697" s="919">
        <f>SUM(L690,L696)</f>
        <v>0</v>
      </c>
      <c r="M697" s="891">
        <f t="shared" si="269"/>
        <v>-4849522.71</v>
      </c>
      <c r="N697" s="641"/>
      <c r="O697" s="641"/>
      <c r="P697" s="641"/>
      <c r="Q697" s="641"/>
      <c r="T697" s="3060">
        <v>1711.1712</v>
      </c>
      <c r="U697" s="3063">
        <v>0</v>
      </c>
    </row>
    <row r="698" spans="1:21"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4965463.1100000003</v>
      </c>
    </row>
    <row r="700" spans="1:21"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3"/>
    </row>
    <row r="702" spans="1:21" ht="18">
      <c r="A702" s="1646">
        <f t="shared" si="239"/>
        <v>0</v>
      </c>
      <c r="B702" s="1645">
        <f t="shared" si="240"/>
        <v>1</v>
      </c>
      <c r="C702" s="1645" t="str">
        <f t="shared" si="237"/>
        <v>J</v>
      </c>
      <c r="D702" s="1657">
        <v>7246</v>
      </c>
      <c r="E702" s="888" t="str">
        <f t="shared" si="241"/>
        <v>收到其他与筹资活动有关的现金</v>
      </c>
      <c r="F702" s="884">
        <f t="shared" si="270"/>
        <v>44850015</v>
      </c>
      <c r="G702" s="885">
        <f>SUMIF(CFJE!$B:$B,$C702&amp;$D702&amp;"*",CFJE!$S:$S)</f>
        <v>0</v>
      </c>
      <c r="H702" s="885">
        <f>SUMIF(CFJE!$B:$B,$C702&amp;$D702&amp;"*",CFJE!$T:$T)</f>
        <v>0</v>
      </c>
      <c r="I702" s="913">
        <f t="shared" si="265"/>
        <v>44850015</v>
      </c>
      <c r="J702" s="914">
        <f t="shared" si="266"/>
        <v>0</v>
      </c>
      <c r="K702" s="885"/>
      <c r="L702" s="885"/>
      <c r="M702" s="891">
        <f t="shared" si="267"/>
        <v>0</v>
      </c>
      <c r="N702" s="641"/>
      <c r="O702" s="641"/>
      <c r="P702" s="641"/>
      <c r="Q702" s="641"/>
      <c r="T702" s="3060">
        <v>7502</v>
      </c>
      <c r="U702" s="3064">
        <v>27366351.41</v>
      </c>
    </row>
    <row r="703" spans="1:21" ht="18">
      <c r="A703" s="1646" t="str">
        <f t="shared" si="239"/>
        <v>＝</v>
      </c>
      <c r="B703" s="1645">
        <f t="shared" si="240"/>
        <v>0</v>
      </c>
      <c r="C703" s="1645">
        <f t="shared" si="237"/>
        <v>0</v>
      </c>
      <c r="D703" s="2184">
        <v>7248</v>
      </c>
      <c r="E703" s="2185" t="str">
        <f t="shared" si="241"/>
        <v>筹资活动现金流入</v>
      </c>
      <c r="F703" s="884">
        <f t="shared" ref="F703:M703" si="271">SUM(F699,F701:F702)</f>
        <v>44850015</v>
      </c>
      <c r="G703" s="885">
        <f t="shared" si="271"/>
        <v>0</v>
      </c>
      <c r="H703" s="885">
        <f t="shared" si="271"/>
        <v>0</v>
      </c>
      <c r="I703" s="913">
        <f t="shared" si="271"/>
        <v>44850015</v>
      </c>
      <c r="J703" s="914">
        <f t="shared" si="271"/>
        <v>0</v>
      </c>
      <c r="K703" s="885">
        <f t="shared" si="271"/>
        <v>0</v>
      </c>
      <c r="L703" s="885">
        <f t="shared" si="271"/>
        <v>0</v>
      </c>
      <c r="M703" s="891">
        <f t="shared" si="271"/>
        <v>0</v>
      </c>
      <c r="N703" s="641"/>
      <c r="O703" s="641"/>
      <c r="P703" s="641"/>
      <c r="Q703" s="641"/>
      <c r="T703" s="3060">
        <v>7503</v>
      </c>
      <c r="U703" s="3064">
        <v>9046997.6899999995</v>
      </c>
    </row>
    <row r="704" spans="1:21"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0">
        <v>7505</v>
      </c>
      <c r="U704" s="3064">
        <v>20918935.469999999</v>
      </c>
    </row>
    <row r="705" spans="1:21"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2094341.69</v>
      </c>
      <c r="G705" s="885">
        <f>SUMIF(CFJE!$B:$B,$C705&amp;$D705&amp;"*",CFJE!$S:$S)</f>
        <v>0</v>
      </c>
      <c r="H705" s="885">
        <f>SUMIF(CFJE!$B:$B,$C705&amp;$D705&amp;"*",CFJE!$T:$T)</f>
        <v>0</v>
      </c>
      <c r="I705" s="913">
        <f t="shared" si="265"/>
        <v>2094341.69</v>
      </c>
      <c r="J705" s="914">
        <f t="shared" si="266"/>
        <v>3327146.8</v>
      </c>
      <c r="K705" s="885"/>
      <c r="L705" s="885"/>
      <c r="M705" s="891">
        <f t="shared" si="267"/>
        <v>3327146.8</v>
      </c>
      <c r="N705" s="641"/>
      <c r="O705" s="641"/>
      <c r="P705" s="641"/>
      <c r="Q705" s="641"/>
      <c r="T705" s="3060">
        <v>7506</v>
      </c>
      <c r="U705" s="3064">
        <v>518597.8</v>
      </c>
    </row>
    <row r="706" spans="1:21"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418055.56</v>
      </c>
    </row>
    <row r="707" spans="1:21" ht="18">
      <c r="A707" s="1646">
        <f t="shared" si="273"/>
        <v>0</v>
      </c>
      <c r="B707" s="1645">
        <f t="shared" si="274"/>
        <v>-1</v>
      </c>
      <c r="C707" s="1645" t="str">
        <f t="shared" si="272"/>
        <v>J</v>
      </c>
      <c r="D707" s="1657">
        <v>7296</v>
      </c>
      <c r="E707" s="888" t="str">
        <f t="shared" si="275"/>
        <v>支付其他与筹资活动有关的现金</v>
      </c>
      <c r="F707" s="884">
        <f>VLOOKUP($D707,Sheet_Precf,4,0)</f>
        <v>92712502.170000002</v>
      </c>
      <c r="G707" s="885">
        <f>SUMIF(CFJE!$B:$B,$C707&amp;$D707&amp;"*",CFJE!$S:$S)</f>
        <v>0</v>
      </c>
      <c r="H707" s="885">
        <f>SUMIF(CFJE!$B:$B,$C707&amp;$D707&amp;"*",CFJE!$T:$T)</f>
        <v>0</v>
      </c>
      <c r="I707" s="913">
        <f t="shared" si="265"/>
        <v>92712502.170000002</v>
      </c>
      <c r="J707" s="914">
        <f t="shared" si="266"/>
        <v>43726400</v>
      </c>
      <c r="K707" s="885"/>
      <c r="L707" s="885"/>
      <c r="M707" s="891">
        <f t="shared" si="267"/>
        <v>43726400</v>
      </c>
      <c r="N707" s="641"/>
      <c r="O707" s="641"/>
      <c r="P707" s="641"/>
      <c r="Q707" s="641"/>
      <c r="T707" s="3060">
        <v>7508</v>
      </c>
      <c r="U707" s="3064">
        <v>1081801.72</v>
      </c>
    </row>
    <row r="708" spans="1:21" ht="18">
      <c r="A708" s="1646" t="str">
        <f t="shared" si="273"/>
        <v>＝</v>
      </c>
      <c r="B708" s="1645">
        <f t="shared" si="274"/>
        <v>0</v>
      </c>
      <c r="C708" s="1645">
        <f t="shared" si="272"/>
        <v>0</v>
      </c>
      <c r="D708" s="2184">
        <v>7298</v>
      </c>
      <c r="E708" s="2185" t="str">
        <f t="shared" si="275"/>
        <v>筹资活动现金流出</v>
      </c>
      <c r="F708" s="884">
        <f t="shared" ref="F708:M708" si="276">SUM(F704:F705,F707)</f>
        <v>94806843.859999999</v>
      </c>
      <c r="G708" s="885">
        <f t="shared" si="276"/>
        <v>0</v>
      </c>
      <c r="H708" s="885">
        <f t="shared" si="276"/>
        <v>0</v>
      </c>
      <c r="I708" s="913">
        <f t="shared" si="276"/>
        <v>94806843.859999999</v>
      </c>
      <c r="J708" s="914">
        <f t="shared" si="276"/>
        <v>47053546.799999997</v>
      </c>
      <c r="K708" s="885">
        <f t="shared" si="276"/>
        <v>0</v>
      </c>
      <c r="L708" s="885">
        <f t="shared" si="276"/>
        <v>0</v>
      </c>
      <c r="M708" s="891">
        <f t="shared" si="276"/>
        <v>47053546.799999997</v>
      </c>
      <c r="N708" s="641"/>
      <c r="O708" s="641"/>
      <c r="P708" s="641"/>
      <c r="Q708" s="641"/>
      <c r="T708" s="3060">
        <v>7509</v>
      </c>
      <c r="U708" s="3064">
        <v>583996.41</v>
      </c>
    </row>
    <row r="709" spans="1:21" ht="18">
      <c r="A709" s="1646" t="str">
        <f t="shared" si="273"/>
        <v>＝</v>
      </c>
      <c r="B709" s="1645">
        <f t="shared" si="274"/>
        <v>0</v>
      </c>
      <c r="C709" s="1645">
        <f t="shared" si="272"/>
        <v>0</v>
      </c>
      <c r="D709" s="2184">
        <v>7299</v>
      </c>
      <c r="E709" s="2185" t="str">
        <f t="shared" si="275"/>
        <v>筹资活动产生的现金流量净额</v>
      </c>
      <c r="F709" s="884">
        <f>SUM(F703,-F708)</f>
        <v>-49956828.859999999</v>
      </c>
      <c r="G709" s="919">
        <f>SUM(G703,G708)</f>
        <v>0</v>
      </c>
      <c r="H709" s="919">
        <f>SUM(H703,H708)</f>
        <v>0</v>
      </c>
      <c r="I709" s="913">
        <f>SUM(I703,-I708)</f>
        <v>-49956828.859999999</v>
      </c>
      <c r="J709" s="914">
        <f>SUM(J703,-J708)</f>
        <v>-47053546.799999997</v>
      </c>
      <c r="K709" s="919">
        <f>SUM(K703,K708)</f>
        <v>0</v>
      </c>
      <c r="L709" s="919">
        <f>SUM(L703,L708)</f>
        <v>0</v>
      </c>
      <c r="M709" s="891">
        <f>SUM(M703,-M708)</f>
        <v>-47053546.799999997</v>
      </c>
      <c r="N709" s="641"/>
      <c r="O709" s="641"/>
      <c r="P709" s="641"/>
      <c r="Q709" s="641"/>
      <c r="T709" s="3060">
        <v>7510</v>
      </c>
      <c r="U709" s="3064">
        <v>0</v>
      </c>
    </row>
    <row r="710" spans="1:21" ht="18">
      <c r="A710" s="1646">
        <f t="shared" si="273"/>
        <v>0</v>
      </c>
      <c r="B710" s="1645">
        <f t="shared" si="274"/>
        <v>1</v>
      </c>
      <c r="C710" s="1645" t="str">
        <f t="shared" si="272"/>
        <v>J</v>
      </c>
      <c r="D710" s="1657">
        <v>7309</v>
      </c>
      <c r="E710" s="888" t="str">
        <f t="shared" si="275"/>
        <v>汇率变动对现金及现金等价物的影响</v>
      </c>
      <c r="F710" s="884">
        <f>VLOOKUP($D710,Sheet_Precf,4,0)</f>
        <v>-664330.32999999996</v>
      </c>
      <c r="G710" s="885">
        <f>SUMIF(CFJE!$B:$B,$C710&amp;$D710&amp;"*",CFJE!$S:$S)</f>
        <v>0</v>
      </c>
      <c r="H710" s="885">
        <f>SUMIF(CFJE!$B:$B,$C710&amp;$D710&amp;"*",CFJE!$T:$T)</f>
        <v>0</v>
      </c>
      <c r="I710" s="913">
        <f t="shared" si="265"/>
        <v>-664330.32999999996</v>
      </c>
      <c r="J710" s="914">
        <f t="shared" si="266"/>
        <v>-241866.28</v>
      </c>
      <c r="K710" s="885"/>
      <c r="L710" s="885"/>
      <c r="M710" s="891">
        <f t="shared" si="267"/>
        <v>-241866.28</v>
      </c>
      <c r="N710" s="641"/>
      <c r="O710" s="641"/>
      <c r="P710" s="641"/>
      <c r="Q710" s="641"/>
      <c r="T710" s="3060">
        <v>7511</v>
      </c>
      <c r="U710" s="3064">
        <v>3569013.08</v>
      </c>
    </row>
    <row r="711" spans="1:21" ht="18">
      <c r="A711" s="1646" t="str">
        <f t="shared" si="273"/>
        <v>＝</v>
      </c>
      <c r="B711" s="1645">
        <f t="shared" si="274"/>
        <v>0</v>
      </c>
      <c r="C711" s="1645">
        <f t="shared" si="272"/>
        <v>0</v>
      </c>
      <c r="D711" s="1657">
        <v>7348</v>
      </c>
      <c r="E711" s="888" t="str">
        <f t="shared" si="275"/>
        <v>现金及现金等价物净增加额</v>
      </c>
      <c r="F711" s="884">
        <f t="shared" ref="F711:M711" si="277">SUM(F683,F697,F709,F710)</f>
        <v>-29044668.09</v>
      </c>
      <c r="G711" s="885">
        <f t="shared" si="277"/>
        <v>0</v>
      </c>
      <c r="H711" s="885">
        <f t="shared" si="277"/>
        <v>0</v>
      </c>
      <c r="I711" s="913">
        <f t="shared" si="277"/>
        <v>-29044668.09</v>
      </c>
      <c r="J711" s="914">
        <f t="shared" si="277"/>
        <v>27630420.84</v>
      </c>
      <c r="K711" s="885">
        <f t="shared" si="277"/>
        <v>0</v>
      </c>
      <c r="L711" s="885">
        <f t="shared" si="277"/>
        <v>0</v>
      </c>
      <c r="M711" s="891">
        <f t="shared" si="277"/>
        <v>27630420.84</v>
      </c>
      <c r="N711" s="641"/>
      <c r="O711" s="641"/>
      <c r="P711" s="641"/>
      <c r="Q711" s="641"/>
      <c r="T711" s="3060">
        <v>7512</v>
      </c>
      <c r="U711" s="3064">
        <v>-300300</v>
      </c>
    </row>
    <row r="712" spans="1:21" ht="18">
      <c r="A712" s="1646">
        <f t="shared" si="273"/>
        <v>0</v>
      </c>
      <c r="B712" s="1645">
        <f t="shared" si="274"/>
        <v>1</v>
      </c>
      <c r="C712" s="1645" t="str">
        <f t="shared" si="272"/>
        <v>J</v>
      </c>
      <c r="D712" s="1657">
        <v>7349</v>
      </c>
      <c r="E712" s="888" t="str">
        <f t="shared" si="275"/>
        <v>期初现金及现金等价物余额</v>
      </c>
      <c r="F712" s="884">
        <f>VLOOKUP($D712,Sheet_Precf,4,0)</f>
        <v>35726503</v>
      </c>
      <c r="G712" s="918">
        <f>SUMIF(CFJE!$B:$B,$C712&amp;$D712&amp;"*",CFJE!$S:$S)</f>
        <v>0</v>
      </c>
      <c r="H712" s="918">
        <f>SUMIF(CFJE!$B:$B,$C712&amp;$D712&amp;"*",CFJE!$T:$T)</f>
        <v>0</v>
      </c>
      <c r="I712" s="913">
        <f t="shared" si="265"/>
        <v>35726503</v>
      </c>
      <c r="J712" s="914">
        <f t="shared" si="266"/>
        <v>8096082.1600000001</v>
      </c>
      <c r="K712" s="918"/>
      <c r="L712" s="918"/>
      <c r="M712" s="891">
        <f t="shared" si="267"/>
        <v>8096082.1600000001</v>
      </c>
      <c r="N712" s="641"/>
      <c r="O712" s="641"/>
      <c r="P712" s="641"/>
      <c r="Q712" s="641"/>
      <c r="T712" s="3060">
        <v>7515</v>
      </c>
      <c r="U712" s="3064">
        <v>-2030493.73</v>
      </c>
    </row>
    <row r="713" spans="1:21" ht="18">
      <c r="A713" s="1646" t="str">
        <f t="shared" si="273"/>
        <v>＝</v>
      </c>
      <c r="B713" s="1645">
        <f t="shared" si="274"/>
        <v>0</v>
      </c>
      <c r="C713" s="1645">
        <f t="shared" si="272"/>
        <v>0</v>
      </c>
      <c r="D713" s="1657">
        <v>7399</v>
      </c>
      <c r="E713" s="888" t="str">
        <f t="shared" si="275"/>
        <v>期末现金及现金等价物余额</v>
      </c>
      <c r="F713" s="884">
        <f t="shared" ref="F713:M713" si="278">SUM(F711,F712)</f>
        <v>6681834.9100000001</v>
      </c>
      <c r="G713" s="885">
        <f t="shared" si="278"/>
        <v>0</v>
      </c>
      <c r="H713" s="885">
        <f t="shared" si="278"/>
        <v>0</v>
      </c>
      <c r="I713" s="913">
        <f t="shared" si="278"/>
        <v>6681834.9100000001</v>
      </c>
      <c r="J713" s="914">
        <f t="shared" si="278"/>
        <v>35726503</v>
      </c>
      <c r="K713" s="885">
        <f t="shared" si="278"/>
        <v>0</v>
      </c>
      <c r="L713" s="885">
        <f t="shared" si="278"/>
        <v>0</v>
      </c>
      <c r="M713" s="891">
        <f t="shared" si="278"/>
        <v>35726503</v>
      </c>
      <c r="N713" s="641"/>
      <c r="O713" s="641"/>
      <c r="P713" s="641"/>
      <c r="Q713" s="641"/>
      <c r="T713" s="3060">
        <v>7516</v>
      </c>
      <c r="U713" s="3064">
        <v>0</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-18584625.84</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82970816.75</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-47532373.100000001</v>
      </c>
    </row>
    <row r="717" spans="1:21"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1748583.41</v>
      </c>
    </row>
    <row r="718" spans="1:21"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617987.83999999997</v>
      </c>
      <c r="I718" s="913">
        <f t="shared" ref="I718:I733" si="280">($B718*F718+G718-H718)*$B718</f>
        <v>617987.83999999997</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79775356.629999995</v>
      </c>
    </row>
    <row r="719" spans="1:21"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927942.8</v>
      </c>
      <c r="I720" s="913">
        <f t="shared" si="280"/>
        <v>927942.8</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-257713.75</v>
      </c>
      <c r="I721" s="913">
        <f t="shared" si="280"/>
        <v>-257713.75</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35726503</v>
      </c>
    </row>
    <row r="725" spans="1:21"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8096082.1600000001</v>
      </c>
    </row>
    <row r="726" spans="1:21"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5883475.4900000002</v>
      </c>
      <c r="I726" s="913">
        <f t="shared" si="280"/>
        <v>5883475.4900000002</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3">
        <v>27630420.84</v>
      </c>
    </row>
    <row r="729" spans="1:21"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3065">
        <v>0</v>
      </c>
    </row>
    <row r="730" spans="1:21"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3065">
        <v>0</v>
      </c>
    </row>
    <row r="731" spans="1:21"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3065">
        <v>0</v>
      </c>
    </row>
    <row r="732" spans="1:21"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3065">
        <v>0</v>
      </c>
    </row>
    <row r="733" spans="1:21"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3065">
        <v>0</v>
      </c>
    </row>
    <row r="734" spans="1:21"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7171692.3799999999</v>
      </c>
      <c r="I734" s="913">
        <f t="shared" si="283"/>
        <v>7171692.3799999999</v>
      </c>
      <c r="J734" s="914">
        <f t="shared" si="283"/>
        <v>0</v>
      </c>
      <c r="K734" s="885">
        <f t="shared" si="283"/>
        <v>0</v>
      </c>
      <c r="L734" s="885">
        <f t="shared" si="283"/>
        <v>0</v>
      </c>
      <c r="M734" s="891">
        <f t="shared" si="283"/>
        <v>0</v>
      </c>
      <c r="N734" s="641"/>
      <c r="O734" s="641"/>
      <c r="P734" s="641"/>
      <c r="Q734" s="641"/>
      <c r="T734" s="3060">
        <v>6829.5330000000004</v>
      </c>
      <c r="U734" s="3065">
        <v>0</v>
      </c>
    </row>
    <row r="735" spans="1:21"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3065">
        <v>0</v>
      </c>
    </row>
    <row r="736" spans="1:21"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3065">
        <v>0</v>
      </c>
    </row>
    <row r="737" spans="1:21" ht="18">
      <c r="A737" s="1646">
        <f t="shared" si="273"/>
        <v>0</v>
      </c>
      <c r="B737" s="1645">
        <f t="shared" si="274"/>
        <v>1</v>
      </c>
      <c r="C737" s="1645">
        <f t="shared" si="272"/>
        <v>0</v>
      </c>
      <c r="D737" s="1657">
        <v>7502</v>
      </c>
      <c r="E737" s="888" t="str">
        <f t="shared" si="275"/>
        <v>净利润金额</v>
      </c>
      <c r="F737" s="917">
        <f t="shared" ref="F737:F753" si="284">VLOOKUP($D737,Sheet_Precf7,4,0)</f>
        <v>1667235.32</v>
      </c>
      <c r="G737" s="2785">
        <v>0</v>
      </c>
      <c r="H737" s="2785">
        <v>0</v>
      </c>
      <c r="I737" s="921">
        <f t="shared" ref="I737:I753" si="285">(B737*F737+G737-H737)*B737</f>
        <v>1667235.32</v>
      </c>
      <c r="J737" s="922">
        <f t="shared" ref="J737:J753" si="286">VLOOKUP($D737,Sheet_Precf7,5,0)</f>
        <v>27366351.41</v>
      </c>
      <c r="K737" s="2785">
        <v>0</v>
      </c>
      <c r="L737" s="2785">
        <v>0</v>
      </c>
      <c r="M737" s="923">
        <f t="shared" ref="M737:M753" si="287">($B737*J737+K737-L737)*$B737</f>
        <v>27366351.41</v>
      </c>
      <c r="N737" s="641"/>
      <c r="O737" s="641"/>
      <c r="P737" s="641"/>
      <c r="Q737" s="641"/>
      <c r="T737" s="3060">
        <v>6829.5360000000001</v>
      </c>
      <c r="U737" s="3065">
        <v>0</v>
      </c>
    </row>
    <row r="738" spans="1:21" ht="18">
      <c r="A738" s="1646">
        <f t="shared" si="273"/>
        <v>0</v>
      </c>
      <c r="B738" s="1645">
        <f t="shared" si="274"/>
        <v>1</v>
      </c>
      <c r="C738" s="1645">
        <f t="shared" si="272"/>
        <v>0</v>
      </c>
      <c r="D738" s="1657">
        <v>7503</v>
      </c>
      <c r="E738" s="888" t="str">
        <f t="shared" si="275"/>
        <v>资产减值准备金额</v>
      </c>
      <c r="F738" s="917">
        <f t="shared" si="284"/>
        <v>13357245.939999999</v>
      </c>
      <c r="G738" s="918"/>
      <c r="H738" s="918"/>
      <c r="I738" s="921">
        <f t="shared" si="285"/>
        <v>13357245.939999999</v>
      </c>
      <c r="J738" s="922">
        <f t="shared" si="286"/>
        <v>9046997.6899999995</v>
      </c>
      <c r="K738" s="918"/>
      <c r="L738" s="918"/>
      <c r="M738" s="923">
        <f t="shared" si="287"/>
        <v>9046997.6899999995</v>
      </c>
      <c r="N738" s="641"/>
      <c r="O738" s="641"/>
      <c r="P738" s="641"/>
      <c r="Q738" s="641"/>
      <c r="T738" s="3060">
        <v>6829.5370000000003</v>
      </c>
      <c r="U738" s="3065">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909636.12</v>
      </c>
      <c r="G739" s="918"/>
      <c r="H739" s="918"/>
      <c r="I739" s="921">
        <f t="shared" ref="I739" si="288">(B739*F739+G739-H739)*B739</f>
        <v>909636.12</v>
      </c>
      <c r="J739" s="922">
        <f t="shared" si="286"/>
        <v>0</v>
      </c>
      <c r="K739" s="918"/>
      <c r="L739" s="918"/>
      <c r="M739" s="923">
        <f t="shared" ref="M739" si="289">($B739*J739+K739-L739)*$B739</f>
        <v>0</v>
      </c>
      <c r="N739" s="641"/>
      <c r="O739" s="641"/>
      <c r="P739" s="641"/>
      <c r="Q739" s="641"/>
      <c r="T739" s="3060">
        <v>6829.5389999999998</v>
      </c>
      <c r="U739" s="3065">
        <v>0</v>
      </c>
    </row>
    <row r="740" spans="1:21" ht="24">
      <c r="A740" s="1646">
        <f t="shared" si="273"/>
        <v>0</v>
      </c>
      <c r="B740" s="1645">
        <f t="shared" si="274"/>
        <v>1</v>
      </c>
      <c r="C740" s="1645">
        <f t="shared" si="272"/>
        <v>0</v>
      </c>
      <c r="D740" s="1657">
        <v>7505</v>
      </c>
      <c r="E740" s="888" t="str">
        <f t="shared" si="275"/>
        <v>固定资产折旧、油气资产折耗、生产性生物资产折旧</v>
      </c>
      <c r="F740" s="917">
        <f t="shared" si="284"/>
        <v>18205614.109999999</v>
      </c>
      <c r="G740" s="918"/>
      <c r="H740" s="918"/>
      <c r="I740" s="921">
        <f t="shared" si="285"/>
        <v>18205614.109999999</v>
      </c>
      <c r="J740" s="922">
        <f t="shared" si="286"/>
        <v>20918935.469999999</v>
      </c>
      <c r="K740" s="918"/>
      <c r="L740" s="918"/>
      <c r="M740" s="923">
        <f t="shared" si="287"/>
        <v>20918935.469999999</v>
      </c>
      <c r="N740" s="641"/>
      <c r="O740" s="641"/>
      <c r="P740" s="641"/>
      <c r="Q740" s="641"/>
    </row>
    <row r="741" spans="1:21" ht="18">
      <c r="A741" s="1646">
        <f t="shared" si="273"/>
        <v>0</v>
      </c>
      <c r="B741" s="1645">
        <f t="shared" si="274"/>
        <v>1</v>
      </c>
      <c r="C741" s="1645">
        <f t="shared" si="272"/>
        <v>0</v>
      </c>
      <c r="D741" s="1657">
        <v>7506</v>
      </c>
      <c r="E741" s="888" t="str">
        <f t="shared" si="275"/>
        <v>无形资产摊销</v>
      </c>
      <c r="F741" s="917">
        <f t="shared" si="284"/>
        <v>507056.61</v>
      </c>
      <c r="G741" s="918"/>
      <c r="H741" s="918"/>
      <c r="I741" s="921">
        <f t="shared" si="285"/>
        <v>507056.61</v>
      </c>
      <c r="J741" s="922">
        <f t="shared" si="286"/>
        <v>518597.8</v>
      </c>
      <c r="K741" s="918"/>
      <c r="L741" s="918"/>
      <c r="M741" s="923">
        <f t="shared" si="287"/>
        <v>518597.8</v>
      </c>
      <c r="N741" s="641"/>
      <c r="O741" s="641"/>
      <c r="P741" s="641"/>
      <c r="Q741" s="641"/>
    </row>
    <row r="742" spans="1:21" ht="18">
      <c r="A742" s="1646">
        <f t="shared" si="273"/>
        <v>0</v>
      </c>
      <c r="B742" s="1645">
        <f t="shared" si="274"/>
        <v>1</v>
      </c>
      <c r="C742" s="1645">
        <f t="shared" si="272"/>
        <v>0</v>
      </c>
      <c r="D742" s="1657">
        <v>7507</v>
      </c>
      <c r="E742" s="888" t="str">
        <f t="shared" si="275"/>
        <v>长期待摊费用摊销</v>
      </c>
      <c r="F742" s="917">
        <f t="shared" si="284"/>
        <v>991288.81</v>
      </c>
      <c r="G742" s="918"/>
      <c r="H742" s="918"/>
      <c r="I742" s="921">
        <f t="shared" si="285"/>
        <v>991288.81</v>
      </c>
      <c r="J742" s="922">
        <f t="shared" si="286"/>
        <v>418055.56</v>
      </c>
      <c r="K742" s="918"/>
      <c r="L742" s="918"/>
      <c r="M742" s="923">
        <f t="shared" si="287"/>
        <v>418055.56</v>
      </c>
      <c r="N742" s="641"/>
      <c r="O742" s="641"/>
      <c r="P742" s="641"/>
      <c r="Q742" s="641"/>
    </row>
    <row r="743" spans="1:21" ht="24">
      <c r="A743" s="1646">
        <f t="shared" si="273"/>
        <v>0</v>
      </c>
      <c r="B743" s="1645">
        <f t="shared" si="274"/>
        <v>1</v>
      </c>
      <c r="C743" s="1645">
        <f t="shared" si="272"/>
        <v>0</v>
      </c>
      <c r="D743" s="1657">
        <v>7508</v>
      </c>
      <c r="E743" s="888" t="str">
        <f t="shared" si="275"/>
        <v>处置固定资产、无形资产和其他长期资产的损失</v>
      </c>
      <c r="F743" s="917">
        <f t="shared" si="284"/>
        <v>-4370781.55</v>
      </c>
      <c r="G743" s="918"/>
      <c r="H743" s="918"/>
      <c r="I743" s="921">
        <f t="shared" si="285"/>
        <v>-4370781.55</v>
      </c>
      <c r="J743" s="922">
        <f t="shared" si="286"/>
        <v>1081801.72</v>
      </c>
      <c r="K743" s="918"/>
      <c r="L743" s="918"/>
      <c r="M743" s="923">
        <f t="shared" si="287"/>
        <v>1081801.72</v>
      </c>
      <c r="N743" s="641"/>
      <c r="O743" s="641"/>
      <c r="P743" s="641"/>
      <c r="Q743" s="641"/>
    </row>
    <row r="744" spans="1:21" ht="18">
      <c r="A744" s="1646">
        <f t="shared" si="273"/>
        <v>0</v>
      </c>
      <c r="B744" s="1645">
        <f t="shared" si="274"/>
        <v>1</v>
      </c>
      <c r="C744" s="1645">
        <f t="shared" si="272"/>
        <v>0</v>
      </c>
      <c r="D744" s="1657">
        <v>7509</v>
      </c>
      <c r="E744" s="888" t="str">
        <f t="shared" si="275"/>
        <v>固定资产报废损失</v>
      </c>
      <c r="F744" s="917">
        <f t="shared" si="284"/>
        <v>1573265.7</v>
      </c>
      <c r="G744" s="918"/>
      <c r="H744" s="918"/>
      <c r="I744" s="921">
        <f t="shared" si="285"/>
        <v>1573265.7</v>
      </c>
      <c r="J744" s="922">
        <f t="shared" si="286"/>
        <v>583996.41</v>
      </c>
      <c r="K744" s="918"/>
      <c r="L744" s="918"/>
      <c r="M744" s="923">
        <f t="shared" si="287"/>
        <v>583996.41</v>
      </c>
      <c r="N744" s="641"/>
      <c r="O744" s="641"/>
      <c r="P744" s="641"/>
      <c r="Q744" s="641"/>
    </row>
    <row r="745" spans="1:21"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6">
        <f t="shared" si="273"/>
        <v>0</v>
      </c>
      <c r="B746" s="1645">
        <f t="shared" si="274"/>
        <v>1</v>
      </c>
      <c r="C746" s="1645">
        <f t="shared" si="272"/>
        <v>0</v>
      </c>
      <c r="D746" s="1657">
        <v>7511</v>
      </c>
      <c r="E746" s="888" t="str">
        <f t="shared" si="275"/>
        <v>财务费用金额</v>
      </c>
      <c r="F746" s="917">
        <f t="shared" si="284"/>
        <v>2758672.02</v>
      </c>
      <c r="G746" s="918"/>
      <c r="H746" s="918"/>
      <c r="I746" s="921">
        <f t="shared" si="285"/>
        <v>2758672.02</v>
      </c>
      <c r="J746" s="922">
        <f t="shared" si="286"/>
        <v>3569013.08</v>
      </c>
      <c r="K746" s="918"/>
      <c r="L746" s="918"/>
      <c r="M746" s="923">
        <f t="shared" si="287"/>
        <v>3569013.08</v>
      </c>
      <c r="N746" s="641"/>
      <c r="O746" s="641"/>
      <c r="P746" s="641"/>
      <c r="Q746" s="641"/>
    </row>
    <row r="747" spans="1:21" ht="18">
      <c r="A747" s="1646">
        <f t="shared" si="273"/>
        <v>0</v>
      </c>
      <c r="B747" s="1645">
        <f t="shared" si="274"/>
        <v>1</v>
      </c>
      <c r="C747" s="1645">
        <f t="shared" si="272"/>
        <v>0</v>
      </c>
      <c r="D747" s="1657">
        <v>7512</v>
      </c>
      <c r="E747" s="888" t="str">
        <f t="shared" si="275"/>
        <v>投资损失</v>
      </c>
      <c r="F747" s="917">
        <f t="shared" si="284"/>
        <v>0</v>
      </c>
      <c r="G747" s="918"/>
      <c r="H747" s="918"/>
      <c r="I747" s="921">
        <f t="shared" si="285"/>
        <v>0</v>
      </c>
      <c r="J747" s="922">
        <f t="shared" si="286"/>
        <v>-300300</v>
      </c>
      <c r="K747" s="918"/>
      <c r="L747" s="918"/>
      <c r="M747" s="923">
        <f t="shared" si="287"/>
        <v>-300300</v>
      </c>
      <c r="N747" s="641"/>
      <c r="O747" s="641"/>
      <c r="P747" s="641"/>
      <c r="Q747" s="641"/>
    </row>
    <row r="748" spans="1:21" ht="18">
      <c r="A748" s="1646">
        <f t="shared" si="273"/>
        <v>0</v>
      </c>
      <c r="B748" s="1645">
        <f t="shared" si="274"/>
        <v>1</v>
      </c>
      <c r="C748" s="1645">
        <f t="shared" si="272"/>
        <v>0</v>
      </c>
      <c r="D748" s="1657">
        <v>7515</v>
      </c>
      <c r="E748" s="888" t="str">
        <f t="shared" si="275"/>
        <v>递延所得税资产减少</v>
      </c>
      <c r="F748" s="917">
        <f t="shared" si="284"/>
        <v>-1147332.1499999999</v>
      </c>
      <c r="G748" s="918"/>
      <c r="H748" s="918"/>
      <c r="I748" s="921">
        <f t="shared" si="285"/>
        <v>-1147332.1499999999</v>
      </c>
      <c r="J748" s="922">
        <f t="shared" si="286"/>
        <v>-2030493.73</v>
      </c>
      <c r="K748" s="918"/>
      <c r="L748" s="918"/>
      <c r="M748" s="923">
        <f t="shared" si="287"/>
        <v>-2030493.73</v>
      </c>
      <c r="N748" s="641"/>
      <c r="O748" s="641"/>
      <c r="P748" s="641"/>
      <c r="Q748" s="641"/>
    </row>
    <row r="749" spans="1:21" ht="18">
      <c r="A749" s="1646">
        <f t="shared" si="273"/>
        <v>0</v>
      </c>
      <c r="B749" s="1645">
        <f t="shared" si="274"/>
        <v>1</v>
      </c>
      <c r="C749" s="1645">
        <f t="shared" si="272"/>
        <v>0</v>
      </c>
      <c r="D749" s="1657">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6">
        <f t="shared" si="273"/>
        <v>0</v>
      </c>
      <c r="B750" s="1645">
        <f t="shared" si="274"/>
        <v>1</v>
      </c>
      <c r="C750" s="1645">
        <f t="shared" si="272"/>
        <v>0</v>
      </c>
      <c r="D750" s="1657">
        <v>7517</v>
      </c>
      <c r="E750" s="888" t="str">
        <f t="shared" si="275"/>
        <v>存货的减少</v>
      </c>
      <c r="F750" s="917">
        <f t="shared" si="284"/>
        <v>12779747.49</v>
      </c>
      <c r="G750" s="918"/>
      <c r="H750" s="918"/>
      <c r="I750" s="921">
        <f t="shared" si="285"/>
        <v>12779747.49</v>
      </c>
      <c r="J750" s="922">
        <f t="shared" si="286"/>
        <v>-18584625.84</v>
      </c>
      <c r="K750" s="918"/>
      <c r="L750" s="918"/>
      <c r="M750" s="923">
        <f t="shared" si="287"/>
        <v>-18584625.84</v>
      </c>
      <c r="N750" s="641"/>
      <c r="O750" s="641"/>
      <c r="P750" s="641"/>
      <c r="Q750" s="641"/>
    </row>
    <row r="751" spans="1:21" ht="18">
      <c r="A751" s="1646">
        <f t="shared" si="273"/>
        <v>0</v>
      </c>
      <c r="B751" s="1645">
        <f t="shared" si="274"/>
        <v>1</v>
      </c>
      <c r="C751" s="1645">
        <f t="shared" si="272"/>
        <v>0</v>
      </c>
      <c r="D751" s="1657">
        <v>7518</v>
      </c>
      <c r="E751" s="888" t="str">
        <f t="shared" si="275"/>
        <v>经营性应收项目的减少</v>
      </c>
      <c r="F751" s="917">
        <f t="shared" si="284"/>
        <v>-20087869.739999998</v>
      </c>
      <c r="G751" s="918"/>
      <c r="H751" s="918"/>
      <c r="I751" s="921">
        <f t="shared" si="285"/>
        <v>-20087869.739999998</v>
      </c>
      <c r="J751" s="922">
        <f t="shared" si="286"/>
        <v>82970816.75</v>
      </c>
      <c r="K751" s="918"/>
      <c r="L751" s="918"/>
      <c r="M751" s="923">
        <f t="shared" si="287"/>
        <v>82970816.75</v>
      </c>
      <c r="N751" s="641"/>
      <c r="O751" s="641"/>
      <c r="P751" s="641"/>
      <c r="Q751" s="641"/>
    </row>
    <row r="752" spans="1:21" ht="18">
      <c r="A752" s="1646">
        <f t="shared" si="273"/>
        <v>0</v>
      </c>
      <c r="B752" s="1645">
        <f t="shared" si="274"/>
        <v>1</v>
      </c>
      <c r="C752" s="1645">
        <f t="shared" si="272"/>
        <v>0</v>
      </c>
      <c r="D752" s="1657">
        <v>7519</v>
      </c>
      <c r="E752" s="888" t="str">
        <f t="shared" si="275"/>
        <v>经营性应付项目的增加</v>
      </c>
      <c r="F752" s="917">
        <f t="shared" si="284"/>
        <v>22638982.079999998</v>
      </c>
      <c r="G752" s="918"/>
      <c r="H752" s="918"/>
      <c r="I752" s="921">
        <f t="shared" si="285"/>
        <v>22638982.079999998</v>
      </c>
      <c r="J752" s="922">
        <f t="shared" si="286"/>
        <v>-47532373.100000001</v>
      </c>
      <c r="K752" s="918"/>
      <c r="L752" s="918"/>
      <c r="M752" s="923">
        <f t="shared" si="287"/>
        <v>-47532373.100000001</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-3833037.43</v>
      </c>
      <c r="G753" s="918"/>
      <c r="H753" s="918"/>
      <c r="I753" s="921">
        <f t="shared" si="285"/>
        <v>-3833037.43</v>
      </c>
      <c r="J753" s="922">
        <f t="shared" si="286"/>
        <v>1748583.41</v>
      </c>
      <c r="K753" s="918"/>
      <c r="L753" s="918"/>
      <c r="M753" s="923">
        <f t="shared" si="287"/>
        <v>1748583.41</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45949723.329999998</v>
      </c>
      <c r="G754" s="885">
        <f>SUM(G737:G753)</f>
        <v>0</v>
      </c>
      <c r="H754" s="885">
        <f t="shared" ref="H754:M754" si="290">SUM(H737:H753)</f>
        <v>0</v>
      </c>
      <c r="I754" s="913">
        <f t="shared" si="290"/>
        <v>45949723.329999998</v>
      </c>
      <c r="J754" s="914">
        <f t="shared" si="290"/>
        <v>79775356.629999995</v>
      </c>
      <c r="K754" s="885">
        <f>SUM(K737:K753)</f>
        <v>0</v>
      </c>
      <c r="L754" s="885">
        <f t="shared" si="290"/>
        <v>0</v>
      </c>
      <c r="M754" s="891">
        <f t="shared" si="290"/>
        <v>79775356.629999995</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6681834.9100000001</v>
      </c>
      <c r="G760" s="918"/>
      <c r="H760" s="918"/>
      <c r="I760" s="921">
        <f>(B760*F760+G760-H760)*B760</f>
        <v>6681834.9100000001</v>
      </c>
      <c r="J760" s="922">
        <f>VLOOKUP($D760,Sheet_Precf7,5,0)</f>
        <v>35726503</v>
      </c>
      <c r="K760" s="918"/>
      <c r="L760" s="918"/>
      <c r="M760" s="923">
        <f>($B760*J760+K760-L760)*$B760</f>
        <v>35726503</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35726503</v>
      </c>
      <c r="G761" s="918"/>
      <c r="H761" s="918"/>
      <c r="I761" s="921">
        <f>(B761*F761+G761-H761)*B761</f>
        <v>35726503</v>
      </c>
      <c r="J761" s="922">
        <f>VLOOKUP($D761,Sheet_Precf7,5,0)</f>
        <v>8096082.1600000001</v>
      </c>
      <c r="K761" s="918"/>
      <c r="L761" s="918"/>
      <c r="M761" s="923">
        <f>($B761*J761+K761-L761)*$B761</f>
        <v>8096082.1600000001</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-29044668.09</v>
      </c>
      <c r="G764" s="885">
        <f>SUM(G760:G763)</f>
        <v>0</v>
      </c>
      <c r="H764" s="885">
        <f>SUM(H760:H763)</f>
        <v>0</v>
      </c>
      <c r="I764" s="913">
        <f>SUM(I760,-I761,I762,-I763)</f>
        <v>-29044668.09</v>
      </c>
      <c r="J764" s="914">
        <f>SUM(J760,-J761,J762,-J763)</f>
        <v>27630420.84</v>
      </c>
      <c r="K764" s="885">
        <f>SUM(K760:K763)</f>
        <v>0</v>
      </c>
      <c r="L764" s="885">
        <f>SUM(L760:L763)</f>
        <v>0</v>
      </c>
      <c r="M764" s="891">
        <f>SUM(M760,-M761,M762,-M763)</f>
        <v>27630420.84</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267599628.46000001</v>
      </c>
      <c r="G786" s="737"/>
      <c r="H786" s="737"/>
      <c r="I786" s="2197">
        <f ca="1">HYPERLINK("#'"&amp;$G$1&amp;"'!"&amp;ADDRESS(ROW(TB!I64),COLUMN(TB!I64),4),I64)</f>
        <v>257874460.55000001</v>
      </c>
      <c r="J786" s="2196">
        <f ca="1">HYPERLINK("#'"&amp;$G$1&amp;"'!"&amp;ADDRESS(ROW(TB!J64),COLUMN(TB!J64),4),J64)</f>
        <v>349257402.50999999</v>
      </c>
      <c r="K786" s="734"/>
      <c r="L786" s="734"/>
      <c r="M786" s="2198">
        <f ca="1">HYPERLINK("#'"&amp;$G$1&amp;"'!"&amp;ADDRESS(ROW(TB!M64),COLUMN(TB!M64),4),M64)</f>
        <v>349257402.50999999</v>
      </c>
    </row>
    <row r="787" spans="1:13" ht="18">
      <c r="A787" s="1648" t="s">
        <v>2565</v>
      </c>
      <c r="D787" s="932" t="s">
        <v>428</v>
      </c>
      <c r="E787" s="941" t="str">
        <f>E125</f>
        <v>负债和所有者权益</v>
      </c>
      <c r="F787" s="2199">
        <f ca="1">HYPERLINK("#'"&amp;$G$1&amp;"'!"&amp;ADDRESS(ROW(TB!F125),COLUMN(TB!F125),4),F125)</f>
        <v>267599628.46000001</v>
      </c>
      <c r="G787" s="737"/>
      <c r="H787" s="737"/>
      <c r="I787" s="2200">
        <f ca="1">HYPERLINK("#'"&amp;$G$1&amp;"'!"&amp;ADDRESS(ROW(TB!I125),COLUMN(TB!I125),4),I125)</f>
        <v>257874460.55000001</v>
      </c>
      <c r="J787" s="2199">
        <f ca="1">HYPERLINK("#'"&amp;$G$1&amp;"'!"&amp;ADDRESS(ROW(TB!J125),COLUMN(TB!J125),4),J125)</f>
        <v>349257402.50999999</v>
      </c>
      <c r="K787" s="737"/>
      <c r="L787" s="737"/>
      <c r="M787" s="2201">
        <f ca="1">HYPERLINK("#'"&amp;$G$1&amp;"'!"&amp;ADDRESS(ROW(TB!M125),COLUMN(TB!M125),4),M125)</f>
        <v>349257402.50999999</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1667235.32</v>
      </c>
      <c r="G790" s="737"/>
      <c r="H790" s="737"/>
      <c r="I790" s="2197">
        <f ca="1">HYPERLINK("#'"&amp;$G$1&amp;"'!"&amp;ADDRESS(ROW(TB!I163),COLUMN(TB!I163),4),I163)</f>
        <v>-13547600.460000001</v>
      </c>
      <c r="J790" s="2202">
        <f ca="1">HYPERLINK("#'"&amp;$G$1&amp;"'!"&amp;ADDRESS(ROW(TB!J163),COLUMN(TB!J163),4),J163)</f>
        <v>27366351.41</v>
      </c>
      <c r="K790" s="737"/>
      <c r="L790" s="737"/>
      <c r="M790" s="2198">
        <f ca="1">HYPERLINK("#'"&amp;$G$1&amp;"'!"&amp;ADDRESS(ROW(TB!M163),COLUMN(TB!M163),4),M163)</f>
        <v>27366351.41</v>
      </c>
    </row>
    <row r="791" spans="1:13" ht="18">
      <c r="A791" s="1648" t="s">
        <v>2565</v>
      </c>
      <c r="D791" s="932" t="s">
        <v>441</v>
      </c>
      <c r="E791" s="941" t="str">
        <f>E169</f>
        <v>归属于母公司所有者的净利润</v>
      </c>
      <c r="F791" s="2202">
        <f ca="1">HYPERLINK("#'"&amp;$G$1&amp;"'!"&amp;ADDRESS(ROW(TB!F169),COLUMN(TB!F169),4),F169)</f>
        <v>1667235.32</v>
      </c>
      <c r="G791" s="737"/>
      <c r="H791" s="737"/>
      <c r="I791" s="2197">
        <f ca="1">HYPERLINK("#'"&amp;$G$1&amp;"'!"&amp;ADDRESS(ROW(TB!I169),COLUMN(TB!I169),4),I169)</f>
        <v>-13547600.460000001</v>
      </c>
      <c r="J791" s="2202">
        <f ca="1">HYPERLINK("#'"&amp;$G$1&amp;"'!"&amp;ADDRESS(ROW(TB!J169),COLUMN(TB!J169),4),J169)</f>
        <v>27366351.41</v>
      </c>
      <c r="K791" s="737"/>
      <c r="L791" s="737"/>
      <c r="M791" s="2198">
        <f ca="1">HYPERLINK("#'"&amp;$G$1&amp;"'!"&amp;ADDRESS(ROW(TB!M169),COLUMN(TB!M169),4),M169)</f>
        <v>27366351.41</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1667235.32</v>
      </c>
      <c r="G795" s="737"/>
      <c r="H795" s="737"/>
      <c r="I795" s="2197"/>
      <c r="J795" s="2202">
        <f ca="1">HYPERLINK("#'"&amp;$G$1&amp;"'!"&amp;ADDRESS(ROW(TB!J163),COLUMN(TB!J163),4),J163)</f>
        <v>27366351.41</v>
      </c>
      <c r="K795" s="737"/>
      <c r="L795" s="737"/>
      <c r="M795" s="2198"/>
    </row>
    <row r="796" spans="1:13" ht="18">
      <c r="A796" s="1648" t="s">
        <v>2565</v>
      </c>
      <c r="D796" s="932" t="s">
        <v>441</v>
      </c>
      <c r="E796" s="941" t="str">
        <f>E165</f>
        <v>持续经营净利润</v>
      </c>
      <c r="F796" s="2202">
        <f ca="1">HYPERLINK("#'"&amp;$G$1&amp;"'!"&amp;ADDRESS(ROW(TB!F165),COLUMN(TB!F165),4),F165)</f>
        <v>1667235.32</v>
      </c>
      <c r="G796" s="737"/>
      <c r="H796" s="737"/>
      <c r="I796" s="2197"/>
      <c r="J796" s="2202">
        <f ca="1">HYPERLINK("#'"&amp;$G$1&amp;"'!"&amp;ADDRESS(ROW(TB!J165),COLUMN(TB!J165),4),J165)</f>
        <v>27366351.41</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1667235.32</v>
      </c>
      <c r="G800" s="737"/>
      <c r="H800" s="737"/>
      <c r="I800" s="2197">
        <f ca="1">HYPERLINK("#'"&amp;$G$1&amp;"'!"&amp;ADDRESS(ROW(TB!I192),COLUMN(TB!I192),4),I192)</f>
        <v>-13547600.460000001</v>
      </c>
      <c r="J800" s="2202">
        <f ca="1">HYPERLINK("#'"&amp;$G$1&amp;"'!"&amp;ADDRESS(ROW(TB!J192),COLUMN(TB!J192),4),J192)</f>
        <v>27366351.41</v>
      </c>
      <c r="K800" s="737"/>
      <c r="L800" s="737"/>
      <c r="M800" s="2198">
        <f ca="1">HYPERLINK("#'"&amp;$G$1&amp;"'!"&amp;ADDRESS(ROW(TB!M192),COLUMN(TB!M192),4),M192)</f>
        <v>27366351.41</v>
      </c>
    </row>
    <row r="801" spans="1:13" ht="24">
      <c r="A801" s="1648" t="s">
        <v>2565</v>
      </c>
      <c r="D801" s="932" t="s">
        <v>441</v>
      </c>
      <c r="E801" s="941" t="str">
        <f t="shared" si="301"/>
        <v>归属于母公司所有者的综合收益总额</v>
      </c>
      <c r="F801" s="2202">
        <f ca="1">HYPERLINK("#'"&amp;$G$1&amp;"'!"&amp;ADDRESS(ROW(TB!F193),COLUMN(TB!F193),4),F193)</f>
        <v>1667235.32</v>
      </c>
      <c r="G801" s="737"/>
      <c r="H801" s="737"/>
      <c r="I801" s="2197">
        <f ca="1">HYPERLINK("#'"&amp;$G$1&amp;"'!"&amp;ADDRESS(ROW(TB!I193),COLUMN(TB!I193),4),I193)</f>
        <v>-13547600.460000001</v>
      </c>
      <c r="J801" s="2202">
        <f ca="1">HYPERLINK("#'"&amp;$G$1&amp;"'!"&amp;ADDRESS(ROW(TB!J193),COLUMN(TB!J193),4),J193)</f>
        <v>27366351.41</v>
      </c>
      <c r="K801" s="737"/>
      <c r="L801" s="737"/>
      <c r="M801" s="2198">
        <f ca="1">HYPERLINK("#'"&amp;$G$1&amp;"'!"&amp;ADDRESS(ROW(TB!M193),COLUMN(TB!M193),4),M193)</f>
        <v>27366351.41</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1667235.32</v>
      </c>
      <c r="G805" s="737"/>
      <c r="H805" s="737"/>
      <c r="I805" s="2197">
        <f ca="1">HYPERLINK("#'"&amp;$G$1&amp;"'!"&amp;ADDRESS(ROW(TB!I169),COLUMN(TB!I169),4),I169)</f>
        <v>-13547600.460000001</v>
      </c>
      <c r="J805" s="2202">
        <f ca="1">HYPERLINK("#'"&amp;$G$1&amp;"'!"&amp;ADDRESS(ROW(TB!J169),COLUMN(TB!J169),4),J169)</f>
        <v>27366351.41</v>
      </c>
      <c r="K805" s="737"/>
      <c r="L805" s="737"/>
      <c r="M805" s="2198">
        <f ca="1">HYPERLINK("#'"&amp;$G$1&amp;"'!"&amp;ADDRESS(ROW(TB!M169),COLUMN(TB!M169),4),M169)</f>
        <v>27366351.41</v>
      </c>
    </row>
    <row r="806" spans="1:13" ht="24">
      <c r="A806" s="1648" t="s">
        <v>2565</v>
      </c>
      <c r="D806" s="932" t="s">
        <v>442</v>
      </c>
      <c r="E806" s="941" t="str">
        <f>E567</f>
        <v>未分配利润_综合收益总额增加权益</v>
      </c>
      <c r="F806" s="2202">
        <f ca="1">HYPERLINK("#'"&amp;$G$1&amp;"'!"&amp;ADDRESS(ROW(TB!F567),COLUMN(TB!F567),4),F567)</f>
        <v>1667235.32</v>
      </c>
      <c r="G806" s="737"/>
      <c r="H806" s="737"/>
      <c r="I806" s="2200">
        <f ca="1">HYPERLINK("#'"&amp;$G$1&amp;"'!"&amp;ADDRESS(ROW(TB!I567),COLUMN(TB!I567),4),I567)</f>
        <v>-13547600.460000001</v>
      </c>
      <c r="J806" s="2202">
        <f ca="1">HYPERLINK("#'"&amp;$G$1&amp;"'!"&amp;ADDRESS(ROW(TB!J567),COLUMN(TB!J567),4),J567)</f>
        <v>27366351.41</v>
      </c>
      <c r="K806" s="737"/>
      <c r="L806" s="737"/>
      <c r="M806" s="2198">
        <f ca="1">HYPERLINK("#'"&amp;$G$1&amp;"'!"&amp;ADDRESS(ROW(TB!M567),COLUMN(TB!M567),4),M567)</f>
        <v>27366351.41</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1667235.32</v>
      </c>
      <c r="G813" s="737"/>
      <c r="H813" s="737"/>
      <c r="I813" s="2197">
        <f ca="1">HYPERLINK("#'"&amp;$G$1&amp;"'!"&amp;ADDRESS(ROW(TB!I192),COLUMN(TB!I192),4),I192)</f>
        <v>-13547600.460000001</v>
      </c>
      <c r="J813" s="2202">
        <f ca="1">HYPERLINK("#'"&amp;$G$1&amp;"'!"&amp;ADDRESS(ROW(TB!J192),COLUMN(TB!J192),4),J192)</f>
        <v>27366351.41</v>
      </c>
      <c r="K813" s="737"/>
      <c r="L813" s="737"/>
      <c r="M813" s="2198">
        <f ca="1">HYPERLINK("#'"&amp;$G$1&amp;"'!"&amp;ADDRESS(ROW(TB!M192),COLUMN(TB!M192),4),M192)</f>
        <v>27366351.41</v>
      </c>
    </row>
    <row r="814" spans="1:13" ht="24">
      <c r="A814" s="1648" t="s">
        <v>2565</v>
      </c>
      <c r="D814" s="932" t="s">
        <v>442</v>
      </c>
      <c r="E814" s="941" t="str">
        <f>E212</f>
        <v>所有者权益_综合收益总额增加权益</v>
      </c>
      <c r="F814" s="2202">
        <f ca="1">HYPERLINK("#'"&amp;$G$1&amp;"'!"&amp;ADDRESS(ROW(TB!F212),COLUMN(TB!F212),4),F212)</f>
        <v>1667235.32</v>
      </c>
      <c r="G814" s="737"/>
      <c r="H814" s="737"/>
      <c r="I814" s="2200">
        <f ca="1">HYPERLINK("#'"&amp;$G$1&amp;"'!"&amp;ADDRESS(ROW(TB!I212),COLUMN(TB!I212),4),I212)</f>
        <v>-13547600.460000001</v>
      </c>
      <c r="J814" s="2202">
        <f ca="1">HYPERLINK("#'"&amp;$G$1&amp;"'!"&amp;ADDRESS(ROW(TB!J212),COLUMN(TB!J212),4),J212)</f>
        <v>27366351.41</v>
      </c>
      <c r="K814" s="737"/>
      <c r="L814" s="737"/>
      <c r="M814" s="2198">
        <f ca="1">HYPERLINK("#'"&amp;$G$1&amp;"'!"&amp;ADDRESS(ROW(TB!M212),COLUMN(TB!M212),4),M212)</f>
        <v>27366351.41</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1667235.32</v>
      </c>
      <c r="G821" s="737"/>
      <c r="H821" s="737"/>
      <c r="I821" s="2197">
        <f ca="1">HYPERLINK("#'"&amp;$G$1&amp;"'!"&amp;ADDRESS(ROW(TB!I163),COLUMN(TB!I163),4),I163)</f>
        <v>-13547600.460000001</v>
      </c>
      <c r="J821" s="2202">
        <f ca="1">HYPERLINK("#'"&amp;$G$1&amp;"'!"&amp;ADDRESS(ROW(TB!J163),COLUMN(TB!J163),4),J163)</f>
        <v>27366351.41</v>
      </c>
      <c r="K821" s="737"/>
      <c r="L821" s="737"/>
      <c r="M821" s="2198">
        <f ca="1">HYPERLINK("#'"&amp;$G$1&amp;"'!"&amp;ADDRESS(ROW(TB!M163),COLUMN(TB!M163),4),M163)</f>
        <v>27366351.41</v>
      </c>
    </row>
    <row r="822" spans="1:13" ht="18">
      <c r="A822" s="1648" t="s">
        <v>2565</v>
      </c>
      <c r="D822" s="932" t="s">
        <v>578</v>
      </c>
      <c r="E822" s="941" t="str">
        <f>E737</f>
        <v>净利润金额</v>
      </c>
      <c r="F822" s="2202">
        <f ca="1">HYPERLINK("#'"&amp;$G$1&amp;"'!"&amp;ADDRESS(ROW(TB!F737),COLUMN(TB!F737),4),F737)</f>
        <v>1667235.32</v>
      </c>
      <c r="G822" s="737"/>
      <c r="H822" s="737"/>
      <c r="I822" s="2200">
        <f ca="1">HYPERLINK("#'"&amp;$G$1&amp;"'!"&amp;ADDRESS(ROW(TB!I737),COLUMN(TB!I737),4),I737)</f>
        <v>1667235.32</v>
      </c>
      <c r="J822" s="2202">
        <f ca="1">HYPERLINK("#'"&amp;$G$1&amp;"'!"&amp;ADDRESS(ROW(TB!J737),COLUMN(TB!J737),4),J737)</f>
        <v>27366351.41</v>
      </c>
      <c r="K822" s="737"/>
      <c r="L822" s="737"/>
      <c r="M822" s="2198">
        <f ca="1">HYPERLINK("#'"&amp;$G$1&amp;"'!"&amp;ADDRESS(ROW(TB!M737),COLUMN(TB!M737),4),M737)</f>
        <v>27366351.41</v>
      </c>
    </row>
    <row r="823" spans="1:13" ht="18">
      <c r="A823" s="1648" t="s">
        <v>2565</v>
      </c>
      <c r="D823" s="932"/>
      <c r="E823" s="942" t="s">
        <v>2580</v>
      </c>
      <c r="F823" s="943">
        <f ca="1">ROUND(F821-F822,2)</f>
        <v>0</v>
      </c>
      <c r="G823" s="737"/>
      <c r="H823" s="737"/>
      <c r="I823" s="952">
        <f ca="1">ROUND(I821-I822,2)</f>
        <v>-15214835.779999999</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30734887.550000001</v>
      </c>
      <c r="G825" s="737"/>
      <c r="H825" s="737"/>
      <c r="I825" s="2197">
        <f ca="1">HYPERLINK("#'"&amp;$G$1&amp;"'!"&amp;ADDRESS(ROW(TB!I683),COLUMN(TB!I683),4),I683)</f>
        <v>30734887.550000001</v>
      </c>
      <c r="J825" s="2202">
        <f ca="1">HYPERLINK("#'"&amp;$G$1&amp;"'!"&amp;ADDRESS(ROW(TB!J683),COLUMN(TB!J683),4),J683)</f>
        <v>79775356.629999995</v>
      </c>
      <c r="K825" s="737"/>
      <c r="L825" s="737"/>
      <c r="M825" s="2198">
        <f ca="1">HYPERLINK("#'"&amp;$G$1&amp;"'!"&amp;ADDRESS(ROW(TB!M683),COLUMN(TB!M683),4),M683)</f>
        <v>79775356.629999995</v>
      </c>
    </row>
    <row r="826" spans="1:13" ht="18">
      <c r="A826" s="1648" t="s">
        <v>2565</v>
      </c>
      <c r="D826" s="932" t="s">
        <v>578</v>
      </c>
      <c r="E826" s="941" t="str">
        <f>E754</f>
        <v>经营活动产生的现金流量净额</v>
      </c>
      <c r="F826" s="2202">
        <f ca="1">HYPERLINK("#'"&amp;$G$1&amp;"'!"&amp;ADDRESS(ROW(TB!F754),COLUMN(TB!F754),4),F754)</f>
        <v>45949723.329999998</v>
      </c>
      <c r="G826" s="737"/>
      <c r="H826" s="737"/>
      <c r="I826" s="2200">
        <f ca="1">HYPERLINK("#'"&amp;$G$1&amp;"'!"&amp;ADDRESS(ROW(TB!I754),COLUMN(TB!I754),4),I754)</f>
        <v>45949723.329999998</v>
      </c>
      <c r="J826" s="2202">
        <f ca="1">HYPERLINK("#'"&amp;$G$1&amp;"'!"&amp;ADDRESS(ROW(TB!J754),COLUMN(TB!J754),4),J754)</f>
        <v>79775356.629999995</v>
      </c>
      <c r="K826" s="737"/>
      <c r="L826" s="737"/>
      <c r="M826" s="2198">
        <f ca="1">HYPERLINK("#'"&amp;$G$1&amp;"'!"&amp;ADDRESS(ROW(TB!M754),COLUMN(TB!M754),4),M754)</f>
        <v>79775356.629999995</v>
      </c>
    </row>
    <row r="827" spans="1:13" ht="18">
      <c r="A827" s="1648" t="s">
        <v>2565</v>
      </c>
      <c r="D827" s="932"/>
      <c r="E827" s="942" t="s">
        <v>2580</v>
      </c>
      <c r="F827" s="943">
        <f ca="1">ROUND(F825-F826,2)</f>
        <v>-15214835.779999999</v>
      </c>
      <c r="G827" s="737"/>
      <c r="H827" s="737"/>
      <c r="I827" s="952">
        <f ca="1">ROUND(I825-I826,2)</f>
        <v>-15214835.779999999</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-29044668.09</v>
      </c>
      <c r="G829" s="737"/>
      <c r="H829" s="737"/>
      <c r="I829" s="2197">
        <f ca="1">HYPERLINK("#'"&amp;$G$1&amp;"'!"&amp;ADDRESS(ROW(TB!I711),COLUMN(TB!I711),4),I711)</f>
        <v>-29044668.09</v>
      </c>
      <c r="J829" s="2202">
        <f ca="1">HYPERLINK("#'"&amp;$G$1&amp;"'!"&amp;ADDRESS(ROW(TB!J711),COLUMN(TB!J711),4),J711)</f>
        <v>27630420.84</v>
      </c>
      <c r="K829" s="737"/>
      <c r="L829" s="737"/>
      <c r="M829" s="2198">
        <f ca="1">HYPERLINK("#'"&amp;$G$1&amp;"'!"&amp;ADDRESS(ROW(TB!M711),COLUMN(TB!M711),4),M711)</f>
        <v>27630420.84</v>
      </c>
    </row>
    <row r="830" spans="1:13" ht="18">
      <c r="A830" s="1648" t="s">
        <v>2565</v>
      </c>
      <c r="D830" s="932" t="s">
        <v>578</v>
      </c>
      <c r="E830" s="941" t="str">
        <f>E764</f>
        <v>现金及现金等价物净增加额</v>
      </c>
      <c r="F830" s="2202">
        <f ca="1">HYPERLINK("#'"&amp;$G$1&amp;"'!"&amp;ADDRESS(ROW(TB!F764),COLUMN(TB!F764),4),F764)</f>
        <v>-29044668.09</v>
      </c>
      <c r="G830" s="737"/>
      <c r="H830" s="737"/>
      <c r="I830" s="2200">
        <f ca="1">HYPERLINK("#'"&amp;$G$1&amp;"'!"&amp;ADDRESS(ROW(TB!I764),COLUMN(TB!I764),4),I764)</f>
        <v>-29044668.09</v>
      </c>
      <c r="J830" s="2202">
        <f ca="1">HYPERLINK("#'"&amp;$G$1&amp;"'!"&amp;ADDRESS(ROW(TB!J764),COLUMN(TB!J764),4),J764)</f>
        <v>27630420.84</v>
      </c>
      <c r="K830" s="737"/>
      <c r="L830" s="737"/>
      <c r="M830" s="2198">
        <f ca="1">HYPERLINK("#'"&amp;$G$1&amp;"'!"&amp;ADDRESS(ROW(TB!M764),COLUMN(TB!M764),4),M764)</f>
        <v>27630420.84</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85691911</v>
      </c>
      <c r="G833" s="737"/>
      <c r="H833" s="737"/>
      <c r="I833" s="2197">
        <f ca="1">HYPERLINK("#'"&amp;$G$1&amp;"'!"&amp;ADDRESS(ROW(TB!I111),COLUMN(TB!I111),4),I111)</f>
        <v>85691911</v>
      </c>
      <c r="J833" s="2202">
        <f ca="1">HYPERLINK("#'"&amp;$G$1&amp;"'!"&amp;ADDRESS(ROW(TB!J111),COLUMN(TB!J111),4),J111)</f>
        <v>85691911</v>
      </c>
      <c r="K833" s="737"/>
      <c r="L833" s="737"/>
      <c r="M833" s="2198">
        <f ca="1">HYPERLINK("#'"&amp;$G$1&amp;"'!"&amp;ADDRESS(ROW(TB!M111),COLUMN(TB!M111),4),M111)</f>
        <v>85691911</v>
      </c>
    </row>
    <row r="834" spans="1:13" ht="18">
      <c r="A834" s="1648" t="s">
        <v>2565</v>
      </c>
      <c r="D834" s="932" t="s">
        <v>442</v>
      </c>
      <c r="E834" s="941" t="str">
        <f>E267</f>
        <v>实收资本_本期期末余额</v>
      </c>
      <c r="F834" s="2202">
        <f ca="1">HYPERLINK("#'"&amp;$G$1&amp;"'!"&amp;ADDRESS(ROW(TB!F267),COLUMN(TB!F267),4),F267)</f>
        <v>85691911</v>
      </c>
      <c r="G834" s="737"/>
      <c r="H834" s="737"/>
      <c r="I834" s="2200">
        <f ca="1">HYPERLINK("#'"&amp;$G$1&amp;"'!"&amp;ADDRESS(ROW(TB!I267),COLUMN(TB!I267),4),I267)</f>
        <v>85691911</v>
      </c>
      <c r="J834" s="2202">
        <f ca="1">HYPERLINK("#'"&amp;$G$1&amp;"'!"&amp;ADDRESS(ROW(TB!J267),COLUMN(TB!J267),4),J267)</f>
        <v>85691911</v>
      </c>
      <c r="K834" s="737"/>
      <c r="L834" s="737"/>
      <c r="M834" s="2198">
        <f ca="1">HYPERLINK("#'"&amp;$G$1&amp;"'!"&amp;ADDRESS(ROW(TB!M267),COLUMN(TB!M267),4),M267)</f>
        <v>85691911</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238420255.88999999</v>
      </c>
      <c r="G845" s="737"/>
      <c r="H845" s="737"/>
      <c r="I845" s="2197">
        <f ca="1">HYPERLINK("#'"&amp;$G$1&amp;"'!"&amp;ADDRESS(ROW(TB!I115),COLUMN(TB!I115),4),I115)</f>
        <v>238420255.88999999</v>
      </c>
      <c r="J845" s="2202">
        <f ca="1">HYPERLINK("#'"&amp;$G$1&amp;"'!"&amp;ADDRESS(ROW(TB!J115),COLUMN(TB!J115),4),J115)</f>
        <v>238420255.88999999</v>
      </c>
      <c r="K845" s="737"/>
      <c r="L845" s="737"/>
      <c r="M845" s="2198">
        <f ca="1">HYPERLINK("#'"&amp;$G$1&amp;"'!"&amp;ADDRESS(ROW(TB!M115),COLUMN(TB!M115),4),M115)</f>
        <v>238420255.88999999</v>
      </c>
    </row>
    <row r="846" spans="1:13" ht="18">
      <c r="A846" s="1648" t="s">
        <v>2565</v>
      </c>
      <c r="D846" s="932" t="s">
        <v>442</v>
      </c>
      <c r="E846" s="941" t="str">
        <f>E393</f>
        <v>资本公积_本期期末余额</v>
      </c>
      <c r="F846" s="2202">
        <f ca="1">HYPERLINK("#'"&amp;$G$1&amp;"'!"&amp;ADDRESS(ROW(TB!F393),COLUMN(TB!F393),4),F393)</f>
        <v>238420255.88999999</v>
      </c>
      <c r="G846" s="737"/>
      <c r="H846" s="737"/>
      <c r="I846" s="2200">
        <f ca="1">HYPERLINK("#'"&amp;$G$1&amp;"'!"&amp;ADDRESS(ROW(TB!I393),COLUMN(TB!I393),4),I393)</f>
        <v>238420255.88999999</v>
      </c>
      <c r="J846" s="2202">
        <f ca="1">HYPERLINK("#'"&amp;$G$1&amp;"'!"&amp;ADDRESS(ROW(TB!J393),COLUMN(TB!J393),4),J393)</f>
        <v>238420255.88999999</v>
      </c>
      <c r="K846" s="737"/>
      <c r="L846" s="737"/>
      <c r="M846" s="2198">
        <f ca="1">HYPERLINK("#'"&amp;$G$1&amp;"'!"&amp;ADDRESS(ROW(TB!M393),COLUMN(TB!M393),4),M393)</f>
        <v>238420255.88999999</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4545209.38</v>
      </c>
      <c r="G857" s="737"/>
      <c r="H857" s="737"/>
      <c r="I857" s="2197">
        <f ca="1">HYPERLINK("#'"&amp;$G$1&amp;"'!"&amp;ADDRESS(ROW(TB!I118),COLUMN(TB!I118),4),I118)</f>
        <v>4545209.38</v>
      </c>
      <c r="J857" s="2202">
        <f ca="1">HYPERLINK("#'"&amp;$G$1&amp;"'!"&amp;ADDRESS(ROW(TB!J118),COLUMN(TB!J118),4),J118)</f>
        <v>8378246.8099999996</v>
      </c>
      <c r="K857" s="737"/>
      <c r="L857" s="737"/>
      <c r="M857" s="2198">
        <f ca="1">HYPERLINK("#'"&amp;$G$1&amp;"'!"&amp;ADDRESS(ROW(TB!M118),COLUMN(TB!M118),4),M118)</f>
        <v>8378246.8099999996</v>
      </c>
    </row>
    <row r="858" spans="1:13" ht="18">
      <c r="A858" s="1648" t="s">
        <v>2565</v>
      </c>
      <c r="D858" s="932" t="s">
        <v>442</v>
      </c>
      <c r="E858" s="941" t="str">
        <f>E490</f>
        <v>专项储备_本期期末余额</v>
      </c>
      <c r="F858" s="2202">
        <f ca="1">HYPERLINK("#'"&amp;$G$1&amp;"'!"&amp;ADDRESS(ROW(TB!F490),COLUMN(TB!F490),4),F490)</f>
        <v>4545209.38</v>
      </c>
      <c r="G858" s="737"/>
      <c r="H858" s="737"/>
      <c r="I858" s="2200">
        <f ca="1">HYPERLINK("#'"&amp;$G$1&amp;"'!"&amp;ADDRESS(ROW(TB!I490),COLUMN(TB!I490),4),I490)</f>
        <v>4545209.38</v>
      </c>
      <c r="J858" s="2202">
        <f ca="1">HYPERLINK("#'"&amp;$G$1&amp;"'!"&amp;ADDRESS(ROW(TB!J490),COLUMN(TB!J490),4),J490)</f>
        <v>8378246.8099999996</v>
      </c>
      <c r="K858" s="737"/>
      <c r="L858" s="737"/>
      <c r="M858" s="2198">
        <f ca="1">HYPERLINK("#'"&amp;$G$1&amp;"'!"&amp;ADDRESS(ROW(TB!M490),COLUMN(TB!M490),4),M490)</f>
        <v>8378246.8099999996</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4637867.0999999996</v>
      </c>
      <c r="G861" s="737"/>
      <c r="H861" s="737"/>
      <c r="I861" s="2197">
        <f ca="1">HYPERLINK("#'"&amp;$G$1&amp;"'!"&amp;ADDRESS(ROW(TB!I119),COLUMN(TB!I119),4),I119)</f>
        <v>4637867.0999999996</v>
      </c>
      <c r="J861" s="2202">
        <f ca="1">HYPERLINK("#'"&amp;$G$1&amp;"'!"&amp;ADDRESS(ROW(TB!J119),COLUMN(TB!J119),4),J119)</f>
        <v>4637867.0999999996</v>
      </c>
      <c r="K861" s="737"/>
      <c r="L861" s="737"/>
      <c r="M861" s="2198">
        <f ca="1">HYPERLINK("#'"&amp;$G$1&amp;"'!"&amp;ADDRESS(ROW(TB!M119),COLUMN(TB!M119),4),M119)</f>
        <v>4637867.0999999996</v>
      </c>
    </row>
    <row r="862" spans="1:13" ht="18">
      <c r="A862" s="1648" t="s">
        <v>2565</v>
      </c>
      <c r="D862" s="932" t="s">
        <v>442</v>
      </c>
      <c r="E862" s="941" t="str">
        <f>E523</f>
        <v>盈余公积_本期期末余额</v>
      </c>
      <c r="F862" s="2202">
        <f ca="1">HYPERLINK("#'"&amp;$G$1&amp;"'!"&amp;ADDRESS(ROW(TB!F523),COLUMN(TB!F523),4),F523)</f>
        <v>4637867.0999999996</v>
      </c>
      <c r="G862" s="737"/>
      <c r="H862" s="737"/>
      <c r="I862" s="2200">
        <f ca="1">HYPERLINK("#'"&amp;$G$1&amp;"'!"&amp;ADDRESS(ROW(TB!I523),COLUMN(TB!I523),4),I523)</f>
        <v>4637867.0999999996</v>
      </c>
      <c r="J862" s="2202">
        <f ca="1">HYPERLINK("#'"&amp;$G$1&amp;"'!"&amp;ADDRESS(ROW(TB!J523),COLUMN(TB!J523),4),J523)</f>
        <v>4637867.0999999996</v>
      </c>
      <c r="K862" s="737"/>
      <c r="L862" s="737"/>
      <c r="M862" s="2198">
        <f ca="1">HYPERLINK("#'"&amp;$G$1&amp;"'!"&amp;ADDRESS(ROW(TB!M523),COLUMN(TB!M523),4),M523)</f>
        <v>4637867.0999999996</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-143648994.83000001</v>
      </c>
      <c r="G869" s="737"/>
      <c r="H869" s="737"/>
      <c r="I869" s="2197">
        <f ca="1">HYPERLINK("#'"&amp;$G$1&amp;"'!"&amp;ADDRESS(ROW(TB!I121),COLUMN(TB!I121),4),I121)</f>
        <v>-158918582.90000001</v>
      </c>
      <c r="J869" s="2202">
        <f ca="1">HYPERLINK("#'"&amp;$G$1&amp;"'!"&amp;ADDRESS(ROW(TB!J121),COLUMN(TB!J121),4),J121)</f>
        <v>-145316230.15000001</v>
      </c>
      <c r="K869" s="737"/>
      <c r="L869" s="737"/>
      <c r="M869" s="2198">
        <f ca="1">HYPERLINK("#'"&amp;$G$1&amp;"'!"&amp;ADDRESS(ROW(TB!M121),COLUMN(TB!M121),4),M121)</f>
        <v>-145316230.15000001</v>
      </c>
    </row>
    <row r="870" spans="1:13" ht="18">
      <c r="A870" s="1648" t="s">
        <v>2565</v>
      </c>
      <c r="D870" s="932" t="s">
        <v>442</v>
      </c>
      <c r="E870" s="941" t="str">
        <f>E589</f>
        <v>未分配利润_本期期末余额</v>
      </c>
      <c r="F870" s="2202">
        <f ca="1">HYPERLINK("#'"&amp;$G$1&amp;"'!"&amp;ADDRESS(ROW(TB!F589),COLUMN(TB!F589),4),F589)</f>
        <v>-143648994.83000001</v>
      </c>
      <c r="G870" s="737"/>
      <c r="H870" s="737"/>
      <c r="I870" s="2200">
        <f ca="1">HYPERLINK("#'"&amp;$G$1&amp;"'!"&amp;ADDRESS(ROW(TB!I589),COLUMN(TB!I589),4),I589)</f>
        <v>-158918582.90000001</v>
      </c>
      <c r="J870" s="2202">
        <f ca="1">HYPERLINK("#'"&amp;$G$1&amp;"'!"&amp;ADDRESS(ROW(TB!J589),COLUMN(TB!J589),4),J589)</f>
        <v>-145316230.15000001</v>
      </c>
      <c r="K870" s="737"/>
      <c r="L870" s="737"/>
      <c r="M870" s="2198">
        <f ca="1">HYPERLINK("#'"&amp;$G$1&amp;"'!"&amp;ADDRESS(ROW(TB!M589),COLUMN(TB!M589),4),M589)</f>
        <v>-145316230.15000001</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-15214835.779999999</v>
      </c>
      <c r="G877" s="960"/>
      <c r="H877" s="960"/>
      <c r="I877" s="961">
        <f ca="1">SUMIF($E$786:$E$876,"差       异",I786:I876)</f>
        <v>-30429671.559999999</v>
      </c>
      <c r="J877" s="959">
        <f ca="1">SUMIF($E$786:$E$876,"差       异",J786:J876)</f>
        <v>0</v>
      </c>
      <c r="K877" s="960"/>
      <c r="L877" s="960"/>
      <c r="M877" s="962">
        <f ca="1">SUMIF($E$786:$E$876,"差       异",M786:M876)</f>
        <v>0</v>
      </c>
    </row>
  </sheetData>
  <sheetProtection formatCells="0" autoFilter="0"/>
  <phoneticPr fontId="163" type="noConversion"/>
  <conditionalFormatting sqref="E9:E10">
    <cfRule type="expression" dxfId="4086" priority="93" stopIfTrue="1">
      <formula>$A9="："</formula>
    </cfRule>
    <cfRule type="expression" dxfId="4085"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84"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83" priority="3" stopIfTrue="1" operator="notEqual">
      <formula>0</formula>
    </cfRule>
  </conditionalFormatting>
  <conditionalFormatting sqref="F798 M798 I798:J798">
    <cfRule type="cellIs" dxfId="4082" priority="2" stopIfTrue="1" operator="notEqual">
      <formula>0</formula>
    </cfRule>
  </conditionalFormatting>
  <conditionalFormatting sqref="F798 M798 I798:J798">
    <cfRule type="cellIs" dxfId="4081"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389"/>
  <sheetViews>
    <sheetView topLeftCell="H220" workbookViewId="0">
      <selection activeCell="P224" sqref="P224"/>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LARGE(I8:I237,1)</f>
        <v>43</v>
      </c>
      <c r="G4" s="2748"/>
      <c r="H4" s="645"/>
      <c r="I4" s="661" t="s">
        <v>2520</v>
      </c>
      <c r="J4" s="662" t="str">
        <f>Lead!$C$5</f>
        <v>山东天安化工股份有限公司</v>
      </c>
      <c r="K4" s="663"/>
      <c r="L4" s="664"/>
      <c r="M4" s="665" t="s">
        <v>2521</v>
      </c>
      <c r="N4" s="666"/>
      <c r="O4" s="667" t="s">
        <v>2501</v>
      </c>
      <c r="P4" s="668" t="str">
        <f>IF(AE237="借贷平衡!","",AE237)</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陈彦良</v>
      </c>
      <c r="N5" s="673"/>
      <c r="O5" s="674">
        <f>Lead!$F$9</f>
        <v>43859</v>
      </c>
      <c r="P5" s="675" t="s">
        <v>6587</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6597</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235" si="0">IF($K9="","","J"&amp;$C9)</f>
        <v/>
      </c>
      <c r="C9" s="2747" t="str">
        <f t="shared" ref="C9:C235" si="1">IF($K9="","",VLOOKUP($K9,Sheet_Items2,7,0))</f>
        <v/>
      </c>
      <c r="D9" s="2747" t="str">
        <f t="shared" ref="D9:D72" si="2">IF($O9&amp;$P9&lt;&gt;"",cellAbove,INDEX($J:$J,ROW()))&amp;""</f>
        <v/>
      </c>
      <c r="E9" s="2747" t="str">
        <f t="shared" ref="E9:E72" si="3">IF($O9&amp;$P9&lt;&gt;"",cellAbove,INDEX($I:$I,ROW()))&amp;""</f>
        <v>0</v>
      </c>
      <c r="F9" s="2747">
        <f t="shared" ref="F9:F75" si="4">VALUE(IF(E9="",E8&amp;"."&amp;TEXT((ROW()-8),"000"),E9&amp;"."&amp;TEXT((ROW()-8),"000")))</f>
        <v>1E-3</v>
      </c>
      <c r="G9" s="2757" t="str">
        <f t="shared" ref="G9:G235" si="5">IF(TRIM($J9&amp;$K9&amp;$O9&amp;$P9)="","","本期")</f>
        <v/>
      </c>
      <c r="H9" s="649"/>
      <c r="I9" s="687">
        <v>0</v>
      </c>
      <c r="J9" s="688"/>
      <c r="K9" s="689"/>
      <c r="L9" s="689"/>
      <c r="M9" s="689"/>
      <c r="N9" s="689"/>
      <c r="O9" s="211"/>
      <c r="P9" s="690"/>
      <c r="Q9" s="731" t="str">
        <f t="shared" ref="Q9:Q235" si="6">IF(ISERROR(VLOOKUP(VALUE(MID($C9,1,4)),Sheet_Items,5,0)),"",VLOOKUP(VALUE(MID($C9,1,4)),Sheet_Items,5,0))</f>
        <v/>
      </c>
      <c r="R9" s="732" t="str">
        <f t="shared" ref="R9:R235" si="7">LEFT(C9,1)</f>
        <v/>
      </c>
      <c r="S9" s="733"/>
      <c r="T9" s="732"/>
      <c r="U9" s="732"/>
      <c r="V9" s="732"/>
      <c r="W9" s="734"/>
      <c r="X9" s="732"/>
      <c r="Y9" s="732"/>
      <c r="Z9" s="732"/>
      <c r="AA9" s="2770"/>
      <c r="AB9" s="2770"/>
      <c r="AC9" s="2771">
        <f t="shared" ref="AC9:AC235" si="8">IF(O9&gt;0,O9,IF(P9&lt;0,-P9,0))</f>
        <v>0</v>
      </c>
      <c r="AD9" s="2771">
        <f t="shared" ref="AD9:AD235" si="9">IF(P9&gt;0,P9,IF(O9&lt;0,-O9,0))</f>
        <v>0</v>
      </c>
      <c r="AE9" s="847" t="str">
        <f t="shared" ref="AE9:AE235"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本期在建工程-蒸汽管道已达到可使用状态，现调整转固</v>
      </c>
      <c r="E10" s="2747" t="str">
        <f t="shared" si="3"/>
        <v>1</v>
      </c>
      <c r="F10" s="2747">
        <f t="shared" si="4"/>
        <v>1.002</v>
      </c>
      <c r="G10" s="2757" t="str">
        <f t="shared" si="5"/>
        <v>本期</v>
      </c>
      <c r="H10" s="650" t="s">
        <v>7362</v>
      </c>
      <c r="I10" s="691">
        <v>1</v>
      </c>
      <c r="J10" s="692" t="s">
        <v>7359</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
      </c>
      <c r="AF10" s="641"/>
    </row>
    <row r="11" spans="1:32" ht="18">
      <c r="A11" s="2750"/>
      <c r="B11" s="2777" t="str">
        <f t="shared" si="0"/>
        <v>J1601</v>
      </c>
      <c r="C11" s="2747">
        <f t="shared" si="1"/>
        <v>1601</v>
      </c>
      <c r="D11" s="2747" t="str">
        <f t="shared" si="2"/>
        <v/>
      </c>
      <c r="E11" s="2747" t="str">
        <f t="shared" si="3"/>
        <v/>
      </c>
      <c r="F11" s="2747">
        <f t="shared" si="4"/>
        <v>1.0029999999999999</v>
      </c>
      <c r="G11" s="2757" t="str">
        <f t="shared" si="5"/>
        <v>本期</v>
      </c>
      <c r="H11" s="650"/>
      <c r="I11" s="691"/>
      <c r="J11" s="692" t="str">
        <f t="shared" ref="J11:J97" si="11">IF($O11&lt;&gt;"","借",IF($P11&lt;&gt;"","贷",""))</f>
        <v/>
      </c>
      <c r="K11" s="689" t="s">
        <v>337</v>
      </c>
      <c r="L11" s="693" t="s">
        <v>7360</v>
      </c>
      <c r="M11" s="693"/>
      <c r="N11" s="693"/>
      <c r="O11" s="193"/>
      <c r="P11" s="215"/>
      <c r="Q11" s="735" t="str">
        <f t="shared" si="6"/>
        <v>5500A</v>
      </c>
      <c r="R11" s="732" t="str">
        <f t="shared" si="7"/>
        <v>1</v>
      </c>
      <c r="S11" s="3283" t="s">
        <v>7784</v>
      </c>
      <c r="T11" s="732"/>
      <c r="U11" s="732"/>
      <c r="V11" s="732"/>
      <c r="W11" s="734"/>
      <c r="X11" s="732"/>
      <c r="Y11" s="732"/>
      <c r="Z11" s="732"/>
      <c r="AA11" s="2770"/>
      <c r="AB11" s="2770"/>
      <c r="AC11" s="2771">
        <f t="shared" si="8"/>
        <v>0</v>
      </c>
      <c r="AD11" s="2771">
        <f t="shared" si="9"/>
        <v>0</v>
      </c>
      <c r="AE11" s="847" t="str">
        <f t="shared" si="10"/>
        <v>请选择分录类型！</v>
      </c>
      <c r="AF11" s="641"/>
    </row>
    <row r="12" spans="1:32" ht="18">
      <c r="A12" s="2750"/>
      <c r="B12" s="2777" t="str">
        <f t="shared" si="0"/>
        <v>J1604</v>
      </c>
      <c r="C12" s="2747">
        <f t="shared" si="1"/>
        <v>1604</v>
      </c>
      <c r="D12" s="2747" t="str">
        <f t="shared" si="2"/>
        <v/>
      </c>
      <c r="E12" s="2747" t="str">
        <f t="shared" si="3"/>
        <v/>
      </c>
      <c r="F12" s="2747">
        <f t="shared" si="4"/>
        <v>4.0000000000000001E-3</v>
      </c>
      <c r="G12" s="2757" t="str">
        <f t="shared" si="5"/>
        <v>本期</v>
      </c>
      <c r="H12" s="650"/>
      <c r="I12" s="691"/>
      <c r="J12" s="692" t="str">
        <f t="shared" si="11"/>
        <v/>
      </c>
      <c r="K12" s="689" t="s">
        <v>344</v>
      </c>
      <c r="L12" s="693" t="s">
        <v>7361</v>
      </c>
      <c r="M12" s="693"/>
      <c r="N12" s="693"/>
      <c r="O12" s="193"/>
      <c r="P12" s="215"/>
      <c r="Q12" s="735" t="str">
        <f t="shared" si="6"/>
        <v>5500C</v>
      </c>
      <c r="R12" s="732" t="str">
        <f t="shared" si="7"/>
        <v>1</v>
      </c>
      <c r="S12" s="3283" t="s">
        <v>7784</v>
      </c>
      <c r="T12" s="732"/>
      <c r="U12" s="732"/>
      <c r="V12" s="732"/>
      <c r="W12" s="734"/>
      <c r="X12" s="732"/>
      <c r="Y12" s="732"/>
      <c r="Z12" s="732"/>
      <c r="AA12" s="2770"/>
      <c r="AB12" s="2770"/>
      <c r="AC12" s="2771">
        <f t="shared" si="8"/>
        <v>0</v>
      </c>
      <c r="AD12" s="2771">
        <f t="shared" si="9"/>
        <v>0</v>
      </c>
      <c r="AE12" s="847" t="str">
        <f t="shared" si="10"/>
        <v>请选择分录类型！</v>
      </c>
      <c r="AF12" s="641"/>
    </row>
    <row r="13" spans="1:32" ht="18">
      <c r="A13" s="2750"/>
      <c r="B13" s="2777" t="str">
        <f t="shared" si="0"/>
        <v/>
      </c>
      <c r="C13" s="2747" t="str">
        <f t="shared" si="1"/>
        <v/>
      </c>
      <c r="D13" s="2747" t="str">
        <f t="shared" si="2"/>
        <v>汇兑损益差异0.12需调整，分录如下：</v>
      </c>
      <c r="E13" s="2747" t="str">
        <f t="shared" si="3"/>
        <v/>
      </c>
      <c r="F13" s="2747">
        <f t="shared" si="4"/>
        <v>5.0000000000000001E-3</v>
      </c>
      <c r="G13" s="2757" t="str">
        <f t="shared" si="5"/>
        <v>本期</v>
      </c>
      <c r="H13" s="650"/>
      <c r="I13" s="691"/>
      <c r="J13" s="692" t="s">
        <v>7372</v>
      </c>
      <c r="K13" s="689"/>
      <c r="L13" s="693"/>
      <c r="M13" s="693"/>
      <c r="N13" s="693"/>
      <c r="O13" s="193"/>
      <c r="P13" s="215"/>
      <c r="Q13" s="735" t="str">
        <f t="shared" si="6"/>
        <v/>
      </c>
      <c r="R13" s="732" t="str">
        <f t="shared" si="7"/>
        <v/>
      </c>
      <c r="S13" s="732"/>
      <c r="T13" s="732"/>
      <c r="U13" s="732"/>
      <c r="V13" s="732"/>
      <c r="W13" s="734"/>
      <c r="X13" s="732"/>
      <c r="Y13" s="732"/>
      <c r="Z13" s="732"/>
      <c r="AA13" s="2770"/>
      <c r="AB13" s="2770"/>
      <c r="AC13" s="2771">
        <f t="shared" si="8"/>
        <v>0</v>
      </c>
      <c r="AD13" s="2771">
        <f t="shared" si="9"/>
        <v>0</v>
      </c>
      <c r="AE13" s="847" t="str">
        <f t="shared" si="10"/>
        <v>请选择分录类型！</v>
      </c>
      <c r="AF13" s="641"/>
    </row>
    <row r="14" spans="1:32" ht="18">
      <c r="A14" s="2750"/>
      <c r="B14" s="2777" t="str">
        <f t="shared" si="0"/>
        <v>J1015.1002</v>
      </c>
      <c r="C14" s="2747">
        <f t="shared" si="1"/>
        <v>1015.1002</v>
      </c>
      <c r="D14" s="2747" t="str">
        <f t="shared" si="2"/>
        <v/>
      </c>
      <c r="E14" s="2747" t="str">
        <f t="shared" si="3"/>
        <v>2</v>
      </c>
      <c r="F14" s="2747">
        <f t="shared" si="4"/>
        <v>2.0059999999999998</v>
      </c>
      <c r="G14" s="2757" t="str">
        <f t="shared" si="5"/>
        <v>本期</v>
      </c>
      <c r="H14" s="650" t="s">
        <v>7362</v>
      </c>
      <c r="I14" s="691">
        <v>2</v>
      </c>
      <c r="J14" s="692" t="str">
        <f t="shared" si="11"/>
        <v/>
      </c>
      <c r="K14" s="689" t="s">
        <v>66</v>
      </c>
      <c r="L14" s="693" t="s">
        <v>3079</v>
      </c>
      <c r="M14" s="693"/>
      <c r="N14" s="693"/>
      <c r="O14" s="193"/>
      <c r="P14" s="215"/>
      <c r="Q14" s="735" t="str">
        <f t="shared" si="6"/>
        <v>5000A</v>
      </c>
      <c r="R14" s="732" t="str">
        <f t="shared" si="7"/>
        <v>1</v>
      </c>
      <c r="S14" s="3283" t="s">
        <v>7784</v>
      </c>
      <c r="T14" s="732"/>
      <c r="U14" s="732"/>
      <c r="V14" s="732"/>
      <c r="W14" s="734"/>
      <c r="X14" s="732"/>
      <c r="Y14" s="732"/>
      <c r="Z14" s="732"/>
      <c r="AA14" s="2770"/>
      <c r="AB14" s="2770"/>
      <c r="AC14" s="2771">
        <f t="shared" si="8"/>
        <v>0</v>
      </c>
      <c r="AD14" s="2771">
        <f t="shared" si="9"/>
        <v>0</v>
      </c>
      <c r="AE14" s="847" t="str">
        <f t="shared" si="10"/>
        <v>请输入金额！</v>
      </c>
      <c r="AF14" s="641"/>
    </row>
    <row r="15" spans="1:32" ht="18">
      <c r="A15" s="2750"/>
      <c r="B15" s="2777" t="str">
        <f t="shared" si="0"/>
        <v>J6603</v>
      </c>
      <c r="C15" s="2747">
        <f t="shared" si="1"/>
        <v>6603</v>
      </c>
      <c r="D15" s="2747" t="str">
        <f t="shared" si="2"/>
        <v/>
      </c>
      <c r="E15" s="2747" t="str">
        <f t="shared" si="3"/>
        <v/>
      </c>
      <c r="F15" s="2747">
        <f t="shared" si="4"/>
        <v>2.0070000000000001</v>
      </c>
      <c r="G15" s="2757" t="str">
        <f t="shared" si="5"/>
        <v>本期</v>
      </c>
      <c r="H15" s="650"/>
      <c r="I15" s="691"/>
      <c r="J15" s="692" t="str">
        <f t="shared" si="11"/>
        <v/>
      </c>
      <c r="K15" s="689" t="s">
        <v>689</v>
      </c>
      <c r="L15" s="693" t="s">
        <v>7371</v>
      </c>
      <c r="M15" s="693"/>
      <c r="N15" s="693"/>
      <c r="O15" s="193"/>
      <c r="P15" s="215"/>
      <c r="Q15" s="735" t="str">
        <f t="shared" si="6"/>
        <v>7420B</v>
      </c>
      <c r="R15" s="732" t="str">
        <f t="shared" si="7"/>
        <v>6</v>
      </c>
      <c r="S15" s="3283" t="s">
        <v>7784</v>
      </c>
      <c r="T15" s="732"/>
      <c r="U15" s="732"/>
      <c r="V15" s="732"/>
      <c r="W15" s="734"/>
      <c r="X15" s="732"/>
      <c r="Y15" s="732"/>
      <c r="Z15" s="732"/>
      <c r="AA15" s="2770"/>
      <c r="AB15" s="2770"/>
      <c r="AC15" s="2771">
        <f t="shared" si="8"/>
        <v>0</v>
      </c>
      <c r="AD15" s="2771">
        <f t="shared" si="9"/>
        <v>0</v>
      </c>
      <c r="AE15" s="847" t="str">
        <f t="shared" si="10"/>
        <v>请选择分录类型！</v>
      </c>
      <c r="AF15" s="641"/>
    </row>
    <row r="16" spans="1:32" ht="18">
      <c r="A16" s="2750"/>
      <c r="B16" s="2777" t="str">
        <f t="shared" si="0"/>
        <v/>
      </c>
      <c r="C16" s="2747" t="str">
        <f t="shared" si="1"/>
        <v/>
      </c>
      <c r="D16" s="2747" t="str">
        <f t="shared" si="2"/>
        <v/>
      </c>
      <c r="E16" s="2747" t="str">
        <f t="shared" si="3"/>
        <v/>
      </c>
      <c r="F16" s="2747">
        <f t="shared" si="4"/>
        <v>8.0000000000000002E-3</v>
      </c>
      <c r="G16" s="2757"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0"/>
      <c r="AB16" s="2770"/>
      <c r="AC16" s="2771">
        <f t="shared" si="8"/>
        <v>0</v>
      </c>
      <c r="AD16" s="2771">
        <f t="shared" si="9"/>
        <v>0</v>
      </c>
      <c r="AE16" s="847" t="str">
        <f t="shared" si="10"/>
        <v/>
      </c>
      <c r="AF16" s="641"/>
    </row>
    <row r="17" spans="1:32" ht="18">
      <c r="A17" s="2750"/>
      <c r="B17" s="2777" t="str">
        <f t="shared" si="0"/>
        <v/>
      </c>
      <c r="C17" s="2747" t="str">
        <f t="shared" si="1"/>
        <v/>
      </c>
      <c r="D17" s="2747" t="str">
        <f t="shared" si="2"/>
        <v>调整2018账面已冲销2017在建工程暂估但未继续暂估，2018在建工程无变动</v>
      </c>
      <c r="E17" s="2747" t="str">
        <f t="shared" si="3"/>
        <v>续调</v>
      </c>
      <c r="F17" s="2747" t="e">
        <f t="shared" si="4"/>
        <v>#VALUE!</v>
      </c>
      <c r="G17" s="2757" t="str">
        <f t="shared" si="5"/>
        <v>本期</v>
      </c>
      <c r="H17" s="650" t="s">
        <v>7362</v>
      </c>
      <c r="I17" s="3280" t="s">
        <v>7377</v>
      </c>
      <c r="J17" s="3279" t="s">
        <v>7378</v>
      </c>
      <c r="K17" s="689"/>
      <c r="L17" s="693"/>
      <c r="M17" s="693"/>
      <c r="N17" s="693"/>
      <c r="O17" s="193"/>
      <c r="P17" s="215"/>
      <c r="Q17" s="735" t="str">
        <f t="shared" si="6"/>
        <v/>
      </c>
      <c r="R17" s="732" t="str">
        <f t="shared" si="7"/>
        <v/>
      </c>
      <c r="S17" s="732"/>
      <c r="T17" s="732"/>
      <c r="U17" s="732"/>
      <c r="V17" s="732"/>
      <c r="W17" s="734"/>
      <c r="X17" s="732"/>
      <c r="Y17" s="732"/>
      <c r="Z17" s="732"/>
      <c r="AA17" s="2770"/>
      <c r="AB17" s="2770"/>
      <c r="AC17" s="2771">
        <f t="shared" si="8"/>
        <v>0</v>
      </c>
      <c r="AD17" s="2771">
        <f t="shared" si="9"/>
        <v>0</v>
      </c>
      <c r="AE17" s="847" t="str">
        <f t="shared" si="10"/>
        <v/>
      </c>
      <c r="AF17" s="641"/>
    </row>
    <row r="18" spans="1:32" ht="18">
      <c r="A18" s="2750"/>
      <c r="B18" s="2777" t="str">
        <f t="shared" si="0"/>
        <v>J1604</v>
      </c>
      <c r="C18" s="2747">
        <f t="shared" si="1"/>
        <v>1604</v>
      </c>
      <c r="D18" s="2747" t="str">
        <f t="shared" si="2"/>
        <v/>
      </c>
      <c r="E18" s="2747" t="str">
        <f t="shared" si="3"/>
        <v/>
      </c>
      <c r="F18" s="2747" t="e">
        <f t="shared" si="4"/>
        <v>#VALUE!</v>
      </c>
      <c r="G18" s="2757" t="str">
        <f t="shared" si="5"/>
        <v>本期</v>
      </c>
      <c r="H18" s="650"/>
      <c r="I18" s="691"/>
      <c r="J18" s="692" t="str">
        <f t="shared" si="11"/>
        <v/>
      </c>
      <c r="K18" s="3278" t="s">
        <v>344</v>
      </c>
      <c r="L18" s="693"/>
      <c r="M18" s="693"/>
      <c r="N18" s="693"/>
      <c r="O18" s="193"/>
      <c r="P18" s="215"/>
      <c r="Q18" s="735" t="str">
        <f t="shared" si="6"/>
        <v>5500C</v>
      </c>
      <c r="R18" s="732" t="str">
        <f t="shared" si="7"/>
        <v>1</v>
      </c>
      <c r="S18" s="732"/>
      <c r="T18" s="732"/>
      <c r="U18" s="732"/>
      <c r="V18" s="732"/>
      <c r="W18" s="734"/>
      <c r="X18" s="732"/>
      <c r="Y18" s="732"/>
      <c r="Z18" s="732"/>
      <c r="AA18" s="2770"/>
      <c r="AB18" s="2770"/>
      <c r="AC18" s="2771">
        <f t="shared" si="8"/>
        <v>0</v>
      </c>
      <c r="AD18" s="2771">
        <f t="shared" si="9"/>
        <v>0</v>
      </c>
      <c r="AE18" s="847" t="str">
        <f t="shared" si="10"/>
        <v>请选择分录类型！</v>
      </c>
      <c r="AF18" s="641"/>
    </row>
    <row r="19" spans="1:32" ht="18">
      <c r="A19" s="2750"/>
      <c r="B19" s="2777" t="str">
        <f t="shared" si="0"/>
        <v>J2202</v>
      </c>
      <c r="C19" s="2747">
        <f t="shared" si="1"/>
        <v>2202</v>
      </c>
      <c r="D19" s="2747" t="str">
        <f t="shared" si="2"/>
        <v/>
      </c>
      <c r="E19" s="2747" t="str">
        <f t="shared" si="3"/>
        <v/>
      </c>
      <c r="F19" s="2747">
        <f t="shared" si="4"/>
        <v>1.0999999999999999E-2</v>
      </c>
      <c r="G19" s="2757" t="str">
        <f t="shared" si="5"/>
        <v>本期</v>
      </c>
      <c r="H19" s="650"/>
      <c r="I19" s="691"/>
      <c r="J19" s="692" t="str">
        <f t="shared" si="11"/>
        <v/>
      </c>
      <c r="K19" s="689" t="s">
        <v>476</v>
      </c>
      <c r="L19" s="693"/>
      <c r="M19" s="693"/>
      <c r="N19" s="3296"/>
      <c r="O19" s="193"/>
      <c r="P19" s="215"/>
      <c r="Q19" s="735" t="str">
        <f t="shared" si="6"/>
        <v>6100A</v>
      </c>
      <c r="R19" s="732" t="str">
        <f t="shared" si="7"/>
        <v>2</v>
      </c>
      <c r="S19" s="732"/>
      <c r="T19" s="732"/>
      <c r="U19" s="732"/>
      <c r="V19" s="732"/>
      <c r="W19" s="734"/>
      <c r="X19" s="732"/>
      <c r="Y19" s="732"/>
      <c r="Z19" s="732"/>
      <c r="AA19" s="2770"/>
      <c r="AB19" s="2770"/>
      <c r="AC19" s="2771">
        <f t="shared" si="8"/>
        <v>0</v>
      </c>
      <c r="AD19" s="2771">
        <f t="shared" si="9"/>
        <v>0</v>
      </c>
      <c r="AE19" s="847" t="str">
        <f t="shared" si="10"/>
        <v>请选择分录类型！</v>
      </c>
      <c r="AF19" s="641"/>
    </row>
    <row r="20" spans="1:32" ht="18">
      <c r="A20" s="2750"/>
      <c r="B20" s="2777" t="str">
        <f t="shared" si="0"/>
        <v/>
      </c>
      <c r="C20" s="2747" t="str">
        <f t="shared" si="1"/>
        <v/>
      </c>
      <c r="D20" s="2747" t="str">
        <f t="shared" si="2"/>
        <v/>
      </c>
      <c r="E20" s="2747" t="str">
        <f t="shared" si="3"/>
        <v/>
      </c>
      <c r="F20" s="2747">
        <f t="shared" si="4"/>
        <v>1.2E-2</v>
      </c>
      <c r="G20" s="2757"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0"/>
      <c r="AB20" s="2770"/>
      <c r="AC20" s="2771">
        <f t="shared" si="8"/>
        <v>0</v>
      </c>
      <c r="AD20" s="2771">
        <f t="shared" si="9"/>
        <v>0</v>
      </c>
      <c r="AE20" s="847" t="str">
        <f t="shared" si="10"/>
        <v/>
      </c>
      <c r="AF20" s="641"/>
    </row>
    <row r="21" spans="1:32" ht="18">
      <c r="A21" s="2750"/>
      <c r="B21" s="2777" t="str">
        <f t="shared" si="0"/>
        <v/>
      </c>
      <c r="C21" s="2747" t="str">
        <f t="shared" si="1"/>
        <v/>
      </c>
      <c r="D21" s="2747" t="str">
        <f t="shared" si="2"/>
        <v>天然气已充值但尚未充气本期盘亏调整</v>
      </c>
      <c r="E21" s="2747" t="str">
        <f t="shared" si="3"/>
        <v>3</v>
      </c>
      <c r="F21" s="2747">
        <f t="shared" si="4"/>
        <v>3.0129999999999999</v>
      </c>
      <c r="G21" s="2757" t="str">
        <f t="shared" si="5"/>
        <v>本期</v>
      </c>
      <c r="H21" s="650" t="s">
        <v>7380</v>
      </c>
      <c r="I21" s="691">
        <v>3</v>
      </c>
      <c r="J21" s="692" t="s">
        <v>7379</v>
      </c>
      <c r="K21" s="689"/>
      <c r="L21" s="693"/>
      <c r="M21" s="693"/>
      <c r="N21" s="693"/>
      <c r="O21" s="193"/>
      <c r="P21" s="215"/>
      <c r="Q21" s="735" t="str">
        <f t="shared" si="6"/>
        <v/>
      </c>
      <c r="R21" s="732" t="str">
        <f t="shared" si="7"/>
        <v/>
      </c>
      <c r="S21" s="3283" t="s">
        <v>7385</v>
      </c>
      <c r="T21" s="732"/>
      <c r="U21" s="732"/>
      <c r="V21" s="732"/>
      <c r="W21" s="734"/>
      <c r="X21" s="732"/>
      <c r="Y21" s="732"/>
      <c r="Z21" s="732"/>
      <c r="AA21" s="2770"/>
      <c r="AB21" s="2770"/>
      <c r="AC21" s="2771">
        <f t="shared" si="8"/>
        <v>0</v>
      </c>
      <c r="AD21" s="2771">
        <f t="shared" si="9"/>
        <v>0</v>
      </c>
      <c r="AE21" s="847" t="str">
        <f t="shared" si="10"/>
        <v/>
      </c>
      <c r="AF21" s="641"/>
    </row>
    <row r="22" spans="1:32" ht="24">
      <c r="A22" s="2750"/>
      <c r="B22" s="2777" t="str">
        <f t="shared" si="0"/>
        <v>J1125</v>
      </c>
      <c r="C22" s="2747">
        <f t="shared" si="1"/>
        <v>1125</v>
      </c>
      <c r="D22" s="2747" t="str">
        <f t="shared" si="2"/>
        <v>天然气已充值但尚未充气本期盘亏调整</v>
      </c>
      <c r="E22" s="2747" t="str">
        <f t="shared" si="3"/>
        <v>3</v>
      </c>
      <c r="F22" s="2747">
        <f t="shared" si="4"/>
        <v>3.0139999999999998</v>
      </c>
      <c r="G22" s="2757" t="str">
        <f t="shared" si="5"/>
        <v>本期</v>
      </c>
      <c r="H22" s="650"/>
      <c r="I22" s="691"/>
      <c r="J22" s="692" t="str">
        <f t="shared" si="11"/>
        <v>借</v>
      </c>
      <c r="K22" s="689" t="s">
        <v>162</v>
      </c>
      <c r="L22" s="693" t="s">
        <v>7381</v>
      </c>
      <c r="M22" s="693"/>
      <c r="N22" s="693"/>
      <c r="O22" s="193">
        <v>275229.36</v>
      </c>
      <c r="P22" s="215"/>
      <c r="Q22" s="735" t="str">
        <f t="shared" si="6"/>
        <v>5400B</v>
      </c>
      <c r="R22" s="732" t="str">
        <f t="shared" si="7"/>
        <v>1</v>
      </c>
      <c r="S22" s="3283" t="s">
        <v>7385</v>
      </c>
      <c r="T22" s="732"/>
      <c r="U22" s="732"/>
      <c r="V22" s="732"/>
      <c r="W22" s="734"/>
      <c r="X22" s="732"/>
      <c r="Y22" s="732"/>
      <c r="Z22" s="732"/>
      <c r="AA22" s="2770"/>
      <c r="AB22" s="2770"/>
      <c r="AC22" s="2771">
        <f t="shared" si="8"/>
        <v>275229.36</v>
      </c>
      <c r="AD22" s="2771">
        <f t="shared" si="9"/>
        <v>0</v>
      </c>
      <c r="AE22" s="847" t="str">
        <f t="shared" si="10"/>
        <v>请选择分录类型！</v>
      </c>
      <c r="AF22" s="641"/>
    </row>
    <row r="23" spans="1:32" ht="18">
      <c r="A23" s="2750"/>
      <c r="B23" s="2777" t="str">
        <f t="shared" si="0"/>
        <v>J1400</v>
      </c>
      <c r="C23" s="2747">
        <f t="shared" si="1"/>
        <v>1400</v>
      </c>
      <c r="D23" s="2747" t="str">
        <f t="shared" si="2"/>
        <v>天然气已充值但尚未充气本期盘亏调整</v>
      </c>
      <c r="E23" s="2747" t="str">
        <f t="shared" si="3"/>
        <v>3</v>
      </c>
      <c r="F23" s="2747">
        <f t="shared" si="4"/>
        <v>3.0150000000000001</v>
      </c>
      <c r="G23" s="2757" t="str">
        <f t="shared" si="5"/>
        <v>本期</v>
      </c>
      <c r="H23" s="650"/>
      <c r="I23" s="691"/>
      <c r="J23" s="692" t="str">
        <f t="shared" si="11"/>
        <v>贷</v>
      </c>
      <c r="K23" s="689" t="s">
        <v>229</v>
      </c>
      <c r="L23" s="693" t="s">
        <v>299</v>
      </c>
      <c r="M23" s="693"/>
      <c r="N23" s="693"/>
      <c r="O23" s="193"/>
      <c r="P23" s="215">
        <v>275229.36</v>
      </c>
      <c r="Q23" s="735" t="str">
        <f t="shared" si="6"/>
        <v>5300A</v>
      </c>
      <c r="R23" s="732" t="str">
        <f t="shared" si="7"/>
        <v>1</v>
      </c>
      <c r="S23" s="3283" t="s">
        <v>7385</v>
      </c>
      <c r="T23" s="732"/>
      <c r="U23" s="732"/>
      <c r="V23" s="732"/>
      <c r="W23" s="734"/>
      <c r="X23" s="732"/>
      <c r="Y23" s="732"/>
      <c r="Z23" s="732"/>
      <c r="AA23" s="2770"/>
      <c r="AB23" s="2770"/>
      <c r="AC23" s="2771">
        <f t="shared" si="8"/>
        <v>0</v>
      </c>
      <c r="AD23" s="2771">
        <f t="shared" si="9"/>
        <v>275229.36</v>
      </c>
      <c r="AE23" s="847" t="str">
        <f t="shared" si="10"/>
        <v>请选择分录类型！</v>
      </c>
      <c r="AF23" s="641"/>
    </row>
    <row r="24" spans="1:32" ht="18">
      <c r="A24" s="2750"/>
      <c r="B24" s="2777" t="str">
        <f t="shared" si="0"/>
        <v/>
      </c>
      <c r="C24" s="2747" t="str">
        <f t="shared" si="1"/>
        <v/>
      </c>
      <c r="D24" s="2747" t="str">
        <f t="shared" si="2"/>
        <v/>
      </c>
      <c r="E24" s="2747" t="str">
        <f t="shared" si="3"/>
        <v/>
      </c>
      <c r="F24" s="2747">
        <f t="shared" si="4"/>
        <v>3.016</v>
      </c>
      <c r="G24" s="2757" t="str">
        <f t="shared" si="5"/>
        <v/>
      </c>
      <c r="H24" s="650"/>
      <c r="I24" s="691"/>
      <c r="J24" s="692" t="str">
        <f t="shared" si="11"/>
        <v/>
      </c>
      <c r="K24" s="689"/>
      <c r="L24" s="693"/>
      <c r="M24" s="693"/>
      <c r="N24" s="693"/>
      <c r="O24" s="193"/>
      <c r="P24" s="215"/>
      <c r="Q24" s="735" t="str">
        <f t="shared" si="6"/>
        <v/>
      </c>
      <c r="R24" s="732" t="str">
        <f t="shared" si="7"/>
        <v/>
      </c>
      <c r="S24" s="732"/>
      <c r="T24" s="732"/>
      <c r="U24" s="732"/>
      <c r="V24" s="732"/>
      <c r="W24" s="734"/>
      <c r="X24" s="732"/>
      <c r="Y24" s="732"/>
      <c r="Z24" s="732"/>
      <c r="AA24" s="2770"/>
      <c r="AB24" s="2770"/>
      <c r="AC24" s="2771">
        <f t="shared" si="8"/>
        <v>0</v>
      </c>
      <c r="AD24" s="2771">
        <f t="shared" si="9"/>
        <v>0</v>
      </c>
      <c r="AE24" s="847" t="str">
        <f t="shared" si="10"/>
        <v/>
      </c>
      <c r="AF24" s="641"/>
    </row>
    <row r="25" spans="1:32" ht="18">
      <c r="A25" s="2750"/>
      <c r="B25" s="2777" t="str">
        <f t="shared" si="0"/>
        <v/>
      </c>
      <c r="C25" s="2747" t="str">
        <f t="shared" si="1"/>
        <v/>
      </c>
      <c r="D25" s="2747" t="str">
        <f t="shared" si="2"/>
        <v>存货跌价准备调整</v>
      </c>
      <c r="E25" s="2747" t="str">
        <f t="shared" si="3"/>
        <v>4</v>
      </c>
      <c r="F25" s="2747">
        <f t="shared" si="4"/>
        <v>4.0170000000000003</v>
      </c>
      <c r="G25" s="2757" t="str">
        <f t="shared" si="5"/>
        <v>本期</v>
      </c>
      <c r="H25" s="650" t="s">
        <v>7380</v>
      </c>
      <c r="I25" s="691">
        <v>4</v>
      </c>
      <c r="J25" s="692" t="s">
        <v>7382</v>
      </c>
      <c r="K25" s="689"/>
      <c r="L25" s="693"/>
      <c r="M25" s="693"/>
      <c r="N25" s="693"/>
      <c r="O25" s="193"/>
      <c r="P25" s="215"/>
      <c r="Q25" s="735" t="str">
        <f t="shared" si="6"/>
        <v/>
      </c>
      <c r="R25" s="732" t="str">
        <f t="shared" si="7"/>
        <v/>
      </c>
      <c r="S25" s="3283" t="s">
        <v>7385</v>
      </c>
      <c r="T25" s="732"/>
      <c r="U25" s="732"/>
      <c r="V25" s="732"/>
      <c r="W25" s="734"/>
      <c r="X25" s="732"/>
      <c r="Y25" s="732"/>
      <c r="Z25" s="732"/>
      <c r="AA25" s="2770"/>
      <c r="AB25" s="2770"/>
      <c r="AC25" s="2771">
        <f t="shared" si="8"/>
        <v>0</v>
      </c>
      <c r="AD25" s="2771">
        <f t="shared" si="9"/>
        <v>0</v>
      </c>
      <c r="AE25" s="847" t="str">
        <f t="shared" si="10"/>
        <v/>
      </c>
      <c r="AF25" s="641"/>
    </row>
    <row r="26" spans="1:32" ht="18">
      <c r="A26" s="2750"/>
      <c r="B26" s="2777" t="str">
        <f t="shared" si="0"/>
        <v>J6671</v>
      </c>
      <c r="C26" s="2747">
        <f t="shared" si="1"/>
        <v>6671</v>
      </c>
      <c r="D26" s="2747" t="str">
        <f t="shared" si="2"/>
        <v>存货跌价准备调整</v>
      </c>
      <c r="E26" s="2747" t="str">
        <f t="shared" si="3"/>
        <v>4</v>
      </c>
      <c r="F26" s="2747">
        <f t="shared" si="4"/>
        <v>4.0179999999999998</v>
      </c>
      <c r="G26" s="2757" t="str">
        <f t="shared" si="5"/>
        <v>本期</v>
      </c>
      <c r="H26" s="650"/>
      <c r="I26" s="691"/>
      <c r="J26" s="692" t="str">
        <f t="shared" si="11"/>
        <v>借</v>
      </c>
      <c r="K26" s="689" t="s">
        <v>697</v>
      </c>
      <c r="L26" s="3282" t="s">
        <v>7384</v>
      </c>
      <c r="M26" s="693"/>
      <c r="N26" s="693"/>
      <c r="O26" s="193">
        <v>-257713.75</v>
      </c>
      <c r="P26" s="215"/>
      <c r="Q26" s="735" t="str">
        <f t="shared" si="6"/>
        <v>7410F</v>
      </c>
      <c r="R26" s="732" t="str">
        <f t="shared" si="7"/>
        <v>6</v>
      </c>
      <c r="S26" s="3283" t="s">
        <v>7385</v>
      </c>
      <c r="T26" s="732"/>
      <c r="U26" s="732"/>
      <c r="V26" s="732"/>
      <c r="W26" s="734"/>
      <c r="X26" s="732"/>
      <c r="Y26" s="732"/>
      <c r="Z26" s="732"/>
      <c r="AA26" s="2770"/>
      <c r="AB26" s="2770"/>
      <c r="AC26" s="2771">
        <f t="shared" si="8"/>
        <v>0</v>
      </c>
      <c r="AD26" s="2771">
        <f t="shared" si="9"/>
        <v>257713.75</v>
      </c>
      <c r="AE26" s="847" t="str">
        <f t="shared" si="10"/>
        <v>请选择分录类型！</v>
      </c>
      <c r="AF26" s="641"/>
    </row>
    <row r="27" spans="1:32" ht="18">
      <c r="A27" s="2750"/>
      <c r="B27" s="2777" t="str">
        <f t="shared" si="0"/>
        <v>J1400.1471</v>
      </c>
      <c r="C27" s="2747">
        <f t="shared" si="1"/>
        <v>1400.1470999999999</v>
      </c>
      <c r="D27" s="2747" t="str">
        <f t="shared" si="2"/>
        <v>存货跌价准备调整</v>
      </c>
      <c r="E27" s="2747" t="str">
        <f t="shared" si="3"/>
        <v>4</v>
      </c>
      <c r="F27" s="2747">
        <f t="shared" si="4"/>
        <v>4.0190000000000001</v>
      </c>
      <c r="G27" s="2757" t="str">
        <f t="shared" si="5"/>
        <v>本期</v>
      </c>
      <c r="H27" s="650"/>
      <c r="I27" s="691"/>
      <c r="J27" s="692" t="str">
        <f t="shared" si="11"/>
        <v>贷</v>
      </c>
      <c r="K27" s="689" t="s">
        <v>354</v>
      </c>
      <c r="L27" s="693" t="s">
        <v>313</v>
      </c>
      <c r="M27" s="693"/>
      <c r="N27" s="693"/>
      <c r="O27" s="193"/>
      <c r="P27" s="215">
        <v>-235426.75</v>
      </c>
      <c r="Q27" s="735" t="str">
        <f t="shared" si="6"/>
        <v>5300A</v>
      </c>
      <c r="R27" s="732" t="str">
        <f t="shared" si="7"/>
        <v>1</v>
      </c>
      <c r="S27" s="3283" t="s">
        <v>7385</v>
      </c>
      <c r="T27" s="732"/>
      <c r="U27" s="732"/>
      <c r="V27" s="732"/>
      <c r="W27" s="734"/>
      <c r="X27" s="732"/>
      <c r="Y27" s="732"/>
      <c r="Z27" s="732"/>
      <c r="AA27" s="2770"/>
      <c r="AB27" s="2770"/>
      <c r="AC27" s="2771">
        <f t="shared" si="8"/>
        <v>235426.75</v>
      </c>
      <c r="AD27" s="2771">
        <f t="shared" si="9"/>
        <v>0</v>
      </c>
      <c r="AE27" s="847" t="str">
        <f t="shared" si="10"/>
        <v>请选择分录类型！</v>
      </c>
      <c r="AF27" s="641"/>
    </row>
    <row r="28" spans="1:32" ht="18">
      <c r="A28" s="2750"/>
      <c r="B28" s="2777" t="str">
        <f t="shared" si="0"/>
        <v>J1400.1471</v>
      </c>
      <c r="C28" s="2747">
        <f t="shared" si="1"/>
        <v>1400.1470999999999</v>
      </c>
      <c r="D28" s="2747" t="str">
        <f t="shared" si="2"/>
        <v>存货跌价准备调整</v>
      </c>
      <c r="E28" s="2747" t="str">
        <f t="shared" si="3"/>
        <v>4</v>
      </c>
      <c r="F28" s="2747">
        <f t="shared" si="4"/>
        <v>4.0199999999999996</v>
      </c>
      <c r="G28" s="2757" t="str">
        <f t="shared" si="5"/>
        <v>本期</v>
      </c>
      <c r="H28" s="650"/>
      <c r="I28" s="691"/>
      <c r="J28" s="692" t="str">
        <f t="shared" si="11"/>
        <v>贷</v>
      </c>
      <c r="K28" s="689" t="s">
        <v>354</v>
      </c>
      <c r="L28" s="693" t="s">
        <v>7383</v>
      </c>
      <c r="M28" s="693"/>
      <c r="N28" s="693"/>
      <c r="O28" s="193"/>
      <c r="P28" s="215">
        <v>38701.93</v>
      </c>
      <c r="Q28" s="735" t="str">
        <f t="shared" si="6"/>
        <v>5300A</v>
      </c>
      <c r="R28" s="732" t="str">
        <f t="shared" si="7"/>
        <v>1</v>
      </c>
      <c r="S28" s="3283" t="s">
        <v>7385</v>
      </c>
      <c r="T28" s="732"/>
      <c r="U28" s="732"/>
      <c r="V28" s="732"/>
      <c r="W28" s="734"/>
      <c r="X28" s="732"/>
      <c r="Y28" s="732"/>
      <c r="Z28" s="732"/>
      <c r="AA28" s="2770"/>
      <c r="AB28" s="2770"/>
      <c r="AC28" s="2771">
        <f t="shared" si="8"/>
        <v>0</v>
      </c>
      <c r="AD28" s="2771">
        <f t="shared" si="9"/>
        <v>38701.93</v>
      </c>
      <c r="AE28" s="847" t="str">
        <f t="shared" si="10"/>
        <v>请选择分录类型！</v>
      </c>
      <c r="AF28" s="641"/>
    </row>
    <row r="29" spans="1:32" ht="18">
      <c r="A29" s="2750"/>
      <c r="B29" s="2777" t="str">
        <f t="shared" si="0"/>
        <v>J1400.1471</v>
      </c>
      <c r="C29" s="2747">
        <f t="shared" si="1"/>
        <v>1400.1470999999999</v>
      </c>
      <c r="D29" s="2747" t="str">
        <f t="shared" si="2"/>
        <v>存货跌价准备调整</v>
      </c>
      <c r="E29" s="2747" t="str">
        <f t="shared" si="3"/>
        <v>4</v>
      </c>
      <c r="F29" s="2747">
        <f t="shared" si="4"/>
        <v>4.0209999999999999</v>
      </c>
      <c r="G29" s="2757" t="str">
        <f t="shared" si="5"/>
        <v>本期</v>
      </c>
      <c r="H29" s="650"/>
      <c r="I29" s="691"/>
      <c r="J29" s="692" t="str">
        <f t="shared" si="11"/>
        <v>贷</v>
      </c>
      <c r="K29" s="689" t="s">
        <v>354</v>
      </c>
      <c r="L29" s="693" t="s">
        <v>299</v>
      </c>
      <c r="M29" s="693"/>
      <c r="N29" s="693"/>
      <c r="O29" s="193"/>
      <c r="P29" s="215">
        <v>-60988.93</v>
      </c>
      <c r="Q29" s="735" t="str">
        <f t="shared" si="6"/>
        <v>5300A</v>
      </c>
      <c r="R29" s="736" t="str">
        <f t="shared" si="7"/>
        <v>1</v>
      </c>
      <c r="S29" s="3283" t="s">
        <v>7385</v>
      </c>
      <c r="T29" s="736"/>
      <c r="U29" s="736"/>
      <c r="V29" s="736"/>
      <c r="W29" s="734"/>
      <c r="X29" s="736"/>
      <c r="Y29" s="732"/>
      <c r="Z29" s="732"/>
      <c r="AA29" s="2770"/>
      <c r="AB29" s="2770"/>
      <c r="AC29" s="2771">
        <f t="shared" si="8"/>
        <v>60988.93</v>
      </c>
      <c r="AD29" s="2771">
        <f t="shared" si="9"/>
        <v>0</v>
      </c>
      <c r="AE29" s="847" t="str">
        <f t="shared" si="10"/>
        <v>请选择分录类型！</v>
      </c>
      <c r="AF29" s="641"/>
    </row>
    <row r="30" spans="1:32" ht="18">
      <c r="A30" s="2750"/>
      <c r="B30" s="2777" t="str">
        <f t="shared" si="0"/>
        <v/>
      </c>
      <c r="C30" s="2747" t="str">
        <f t="shared" si="1"/>
        <v/>
      </c>
      <c r="D30" s="2747" t="str">
        <f t="shared" si="2"/>
        <v/>
      </c>
      <c r="E30" s="2747" t="str">
        <f t="shared" si="3"/>
        <v/>
      </c>
      <c r="F30" s="2747">
        <f t="shared" si="4"/>
        <v>4.0220000000000002</v>
      </c>
      <c r="G30" s="2757"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
      </c>
      <c r="AF30" s="641"/>
    </row>
    <row r="31" spans="1:32" ht="18">
      <c r="A31" s="2750"/>
      <c r="B31" s="2777" t="str">
        <f t="shared" si="0"/>
        <v/>
      </c>
      <c r="C31" s="2747" t="str">
        <f t="shared" si="1"/>
        <v/>
      </c>
      <c r="D31" s="2747" t="str">
        <f t="shared" si="2"/>
        <v>将工程设备款重分类至其他非流动资产核算：</v>
      </c>
      <c r="E31" s="2747" t="str">
        <f t="shared" si="3"/>
        <v>5</v>
      </c>
      <c r="F31" s="2747">
        <f t="shared" si="4"/>
        <v>5.0229999999999997</v>
      </c>
      <c r="G31" s="2757" t="str">
        <f t="shared" si="5"/>
        <v>本期</v>
      </c>
      <c r="H31" s="650" t="s">
        <v>7387</v>
      </c>
      <c r="I31" s="691">
        <v>5</v>
      </c>
      <c r="J31" s="692" t="s">
        <v>7386</v>
      </c>
      <c r="K31" s="689"/>
      <c r="L31" s="693"/>
      <c r="M31" s="693"/>
      <c r="N31" s="693"/>
      <c r="O31" s="193"/>
      <c r="P31" s="215"/>
      <c r="Q31" s="735" t="str">
        <f t="shared" si="6"/>
        <v/>
      </c>
      <c r="R31" s="732" t="str">
        <f t="shared" si="7"/>
        <v/>
      </c>
      <c r="S31" s="3283" t="s">
        <v>7385</v>
      </c>
      <c r="T31" s="732"/>
      <c r="U31" s="732"/>
      <c r="V31" s="732"/>
      <c r="W31" s="734"/>
      <c r="X31" s="732"/>
      <c r="Y31" s="732"/>
      <c r="Z31" s="732"/>
      <c r="AA31" s="2770"/>
      <c r="AB31" s="2770"/>
      <c r="AC31" s="2771">
        <f t="shared" si="8"/>
        <v>0</v>
      </c>
      <c r="AD31" s="2771">
        <f t="shared" si="9"/>
        <v>0</v>
      </c>
      <c r="AE31" s="847" t="str">
        <f t="shared" si="10"/>
        <v/>
      </c>
      <c r="AF31" s="641"/>
    </row>
    <row r="32" spans="1:32" ht="18">
      <c r="A32" s="2750"/>
      <c r="B32" s="2777" t="str">
        <f t="shared" si="0"/>
        <v>J1996</v>
      </c>
      <c r="C32" s="2747">
        <f t="shared" si="1"/>
        <v>1996</v>
      </c>
      <c r="D32" s="2747" t="str">
        <f t="shared" si="2"/>
        <v>将工程设备款重分类至其他非流动资产核算：</v>
      </c>
      <c r="E32" s="2747" t="str">
        <f t="shared" si="3"/>
        <v>5</v>
      </c>
      <c r="F32" s="2747">
        <f t="shared" si="4"/>
        <v>5.024</v>
      </c>
      <c r="G32" s="2757" t="str">
        <f t="shared" si="5"/>
        <v>本期</v>
      </c>
      <c r="H32" s="650"/>
      <c r="I32" s="691"/>
      <c r="J32" s="692" t="str">
        <f t="shared" si="11"/>
        <v>借</v>
      </c>
      <c r="K32" s="689" t="s">
        <v>429</v>
      </c>
      <c r="L32" s="693" t="s">
        <v>429</v>
      </c>
      <c r="M32" s="693"/>
      <c r="N32" s="693"/>
      <c r="O32" s="193">
        <v>443012.47</v>
      </c>
      <c r="P32" s="215"/>
      <c r="Q32" s="735" t="str">
        <f t="shared" si="6"/>
        <v>5950Z</v>
      </c>
      <c r="R32" s="732" t="str">
        <f t="shared" si="7"/>
        <v>1</v>
      </c>
      <c r="S32" s="3283" t="s">
        <v>7385</v>
      </c>
      <c r="T32" s="732"/>
      <c r="U32" s="732"/>
      <c r="V32" s="732"/>
      <c r="W32" s="734"/>
      <c r="X32" s="732"/>
      <c r="Y32" s="732"/>
      <c r="Z32" s="732"/>
      <c r="AA32" s="2770"/>
      <c r="AB32" s="2770"/>
      <c r="AC32" s="2771">
        <f t="shared" si="8"/>
        <v>443012.47</v>
      </c>
      <c r="AD32" s="2771">
        <f t="shared" si="9"/>
        <v>0</v>
      </c>
      <c r="AE32" s="847" t="str">
        <f t="shared" si="10"/>
        <v>请选择分录类型！</v>
      </c>
      <c r="AF32" s="641"/>
    </row>
    <row r="33" spans="1:32" ht="18">
      <c r="A33" s="2750"/>
      <c r="B33" s="2777" t="str">
        <f t="shared" si="0"/>
        <v>J1125</v>
      </c>
      <c r="C33" s="2747">
        <f t="shared" si="1"/>
        <v>1125</v>
      </c>
      <c r="D33" s="2747" t="str">
        <f t="shared" si="2"/>
        <v>将工程设备款重分类至其他非流动资产核算：</v>
      </c>
      <c r="E33" s="2747" t="str">
        <f t="shared" si="3"/>
        <v>5</v>
      </c>
      <c r="F33" s="2747">
        <f t="shared" si="4"/>
        <v>5.0250000000000004</v>
      </c>
      <c r="G33" s="2757" t="str">
        <f t="shared" si="5"/>
        <v>本期</v>
      </c>
      <c r="H33" s="3284"/>
      <c r="I33" s="3285"/>
      <c r="J33" s="3286" t="str">
        <f t="shared" si="11"/>
        <v>贷</v>
      </c>
      <c r="K33" s="689" t="s">
        <v>162</v>
      </c>
      <c r="L33" s="3287" t="s">
        <v>162</v>
      </c>
      <c r="M33" s="3287"/>
      <c r="N33" s="3287"/>
      <c r="O33" s="3288"/>
      <c r="P33" s="3289">
        <v>443012.47</v>
      </c>
      <c r="Q33" s="735" t="str">
        <f t="shared" si="6"/>
        <v>5400B</v>
      </c>
      <c r="R33" s="732" t="str">
        <f t="shared" si="7"/>
        <v>1</v>
      </c>
      <c r="S33" s="3283" t="s">
        <v>7385</v>
      </c>
      <c r="T33" s="732"/>
      <c r="U33" s="732"/>
      <c r="V33" s="732"/>
      <c r="W33" s="734"/>
      <c r="X33" s="732"/>
      <c r="Y33" s="732"/>
      <c r="Z33" s="732"/>
      <c r="AA33" s="2770"/>
      <c r="AB33" s="2770"/>
      <c r="AC33" s="2771">
        <f t="shared" si="8"/>
        <v>0</v>
      </c>
      <c r="AD33" s="2771">
        <f t="shared" si="9"/>
        <v>443012.47</v>
      </c>
      <c r="AE33" s="847" t="str">
        <f t="shared" si="10"/>
        <v>请选择分录类型！</v>
      </c>
      <c r="AF33" s="641"/>
    </row>
    <row r="34" spans="1:32" ht="18">
      <c r="A34" s="2750"/>
      <c r="B34" s="2777" t="str">
        <f t="shared" si="0"/>
        <v/>
      </c>
      <c r="C34" s="2747" t="str">
        <f t="shared" si="1"/>
        <v/>
      </c>
      <c r="D34" s="2747" t="str">
        <f t="shared" si="2"/>
        <v/>
      </c>
      <c r="E34" s="2747" t="str">
        <f t="shared" si="3"/>
        <v/>
      </c>
      <c r="F34" s="2747">
        <f t="shared" si="4"/>
        <v>5.0259999999999998</v>
      </c>
      <c r="G34" s="2757" t="str">
        <f t="shared" si="5"/>
        <v/>
      </c>
      <c r="H34" s="3284"/>
      <c r="I34" s="3285"/>
      <c r="J34" s="3286" t="str">
        <f t="shared" si="11"/>
        <v/>
      </c>
      <c r="K34" s="689"/>
      <c r="L34" s="3287"/>
      <c r="M34" s="3287"/>
      <c r="N34" s="3287"/>
      <c r="O34" s="3288"/>
      <c r="P34" s="3289"/>
      <c r="Q34" s="735" t="str">
        <f t="shared" si="6"/>
        <v/>
      </c>
      <c r="R34" s="732" t="str">
        <f t="shared" si="7"/>
        <v/>
      </c>
      <c r="S34" s="732"/>
      <c r="T34" s="732"/>
      <c r="U34" s="732"/>
      <c r="V34" s="732"/>
      <c r="W34" s="734"/>
      <c r="X34" s="732"/>
      <c r="Y34" s="732"/>
      <c r="Z34" s="732"/>
      <c r="AA34" s="2770"/>
      <c r="AB34" s="2770"/>
      <c r="AC34" s="2771">
        <f t="shared" si="8"/>
        <v>0</v>
      </c>
      <c r="AD34" s="2771">
        <f t="shared" si="9"/>
        <v>0</v>
      </c>
      <c r="AE34" s="847" t="str">
        <f t="shared" si="10"/>
        <v/>
      </c>
      <c r="AF34" s="641"/>
    </row>
    <row r="35" spans="1:32" ht="18">
      <c r="A35" s="2750"/>
      <c r="B35" s="2777" t="str">
        <f t="shared" si="0"/>
        <v/>
      </c>
      <c r="C35" s="2747" t="str">
        <f t="shared" si="1"/>
        <v/>
      </c>
      <c r="D35" s="2747" t="str">
        <f t="shared" si="2"/>
        <v>暂估工程款重分类至在建工程</v>
      </c>
      <c r="E35" s="2747" t="str">
        <f t="shared" si="3"/>
        <v>6</v>
      </c>
      <c r="F35" s="2747">
        <f t="shared" si="4"/>
        <v>6.0270000000000001</v>
      </c>
      <c r="G35" s="2757" t="str">
        <f t="shared" si="5"/>
        <v>本期</v>
      </c>
      <c r="H35" s="650" t="s">
        <v>7387</v>
      </c>
      <c r="I35" s="691">
        <v>6</v>
      </c>
      <c r="J35" s="692" t="s">
        <v>7388</v>
      </c>
      <c r="K35" s="689"/>
      <c r="L35" s="693"/>
      <c r="M35" s="693"/>
      <c r="N35" s="693"/>
      <c r="O35" s="193"/>
      <c r="P35" s="215"/>
      <c r="Q35" s="735" t="str">
        <f t="shared" si="6"/>
        <v/>
      </c>
      <c r="R35" s="732" t="str">
        <f t="shared" si="7"/>
        <v/>
      </c>
      <c r="S35" s="3283" t="s">
        <v>7385</v>
      </c>
      <c r="T35" s="732"/>
      <c r="U35" s="732"/>
      <c r="V35" s="732"/>
      <c r="W35" s="734"/>
      <c r="X35" s="732"/>
      <c r="Y35" s="732"/>
      <c r="Z35" s="732"/>
      <c r="AA35" s="2770"/>
      <c r="AB35" s="2770"/>
      <c r="AC35" s="2771">
        <f t="shared" si="8"/>
        <v>0</v>
      </c>
      <c r="AD35" s="2771">
        <f t="shared" si="9"/>
        <v>0</v>
      </c>
      <c r="AE35" s="847" t="str">
        <f t="shared" si="10"/>
        <v/>
      </c>
      <c r="AF35" s="641"/>
    </row>
    <row r="36" spans="1:32" ht="18">
      <c r="A36" s="2750"/>
      <c r="B36" s="2777" t="str">
        <f t="shared" si="0"/>
        <v>J1604</v>
      </c>
      <c r="C36" s="2747">
        <f t="shared" si="1"/>
        <v>1604</v>
      </c>
      <c r="D36" s="2747" t="str">
        <f t="shared" si="2"/>
        <v>暂估工程款重分类至在建工程</v>
      </c>
      <c r="E36" s="2747" t="str">
        <f t="shared" si="3"/>
        <v>6</v>
      </c>
      <c r="F36" s="2747">
        <f t="shared" si="4"/>
        <v>6.0279999999999996</v>
      </c>
      <c r="G36" s="2757" t="str">
        <f t="shared" si="5"/>
        <v>本期</v>
      </c>
      <c r="H36" s="3284"/>
      <c r="I36" s="3285"/>
      <c r="J36" s="3286" t="str">
        <f t="shared" si="11"/>
        <v>借</v>
      </c>
      <c r="K36" s="689" t="s">
        <v>344</v>
      </c>
      <c r="L36" s="3287"/>
      <c r="M36" s="3287"/>
      <c r="N36" s="3287"/>
      <c r="O36" s="3288">
        <v>5032213.99</v>
      </c>
      <c r="P36" s="3289"/>
      <c r="Q36" s="735" t="str">
        <f t="shared" si="6"/>
        <v>5500C</v>
      </c>
      <c r="R36" s="732" t="str">
        <f t="shared" si="7"/>
        <v>1</v>
      </c>
      <c r="S36" s="3283" t="s">
        <v>7385</v>
      </c>
      <c r="T36" s="732"/>
      <c r="U36" s="732"/>
      <c r="V36" s="732"/>
      <c r="W36" s="734"/>
      <c r="X36" s="732"/>
      <c r="Y36" s="732"/>
      <c r="Z36" s="732"/>
      <c r="AA36" s="2770"/>
      <c r="AB36" s="2770"/>
      <c r="AC36" s="2771">
        <f t="shared" si="8"/>
        <v>5032213.99</v>
      </c>
      <c r="AD36" s="2771">
        <f t="shared" si="9"/>
        <v>0</v>
      </c>
      <c r="AE36" s="847" t="str">
        <f t="shared" si="10"/>
        <v>请选择分录类型！</v>
      </c>
      <c r="AF36" s="641"/>
    </row>
    <row r="37" spans="1:32" ht="24">
      <c r="A37" s="2750"/>
      <c r="B37" s="2777" t="str">
        <f t="shared" si="0"/>
        <v>J1125</v>
      </c>
      <c r="C37" s="2747">
        <f t="shared" si="1"/>
        <v>1125</v>
      </c>
      <c r="D37" s="2747" t="str">
        <f t="shared" si="2"/>
        <v>暂估工程款重分类至在建工程</v>
      </c>
      <c r="E37" s="2747" t="str">
        <f t="shared" si="3"/>
        <v>6</v>
      </c>
      <c r="F37" s="2747">
        <f t="shared" si="4"/>
        <v>6.0289999999999999</v>
      </c>
      <c r="G37" s="2757" t="str">
        <f t="shared" si="5"/>
        <v>本期</v>
      </c>
      <c r="H37" s="3284"/>
      <c r="I37" s="3285"/>
      <c r="J37" s="3286" t="str">
        <f t="shared" si="11"/>
        <v>贷</v>
      </c>
      <c r="K37" s="689" t="s">
        <v>162</v>
      </c>
      <c r="L37" s="3287" t="s">
        <v>7389</v>
      </c>
      <c r="M37" s="3287"/>
      <c r="N37" s="3287"/>
      <c r="O37" s="3288"/>
      <c r="P37" s="3289">
        <v>160353.60000000001</v>
      </c>
      <c r="Q37" s="735" t="str">
        <f t="shared" si="6"/>
        <v>5400B</v>
      </c>
      <c r="R37" s="732" t="str">
        <f t="shared" si="7"/>
        <v>1</v>
      </c>
      <c r="S37" s="3283" t="s">
        <v>7385</v>
      </c>
      <c r="T37" s="732"/>
      <c r="U37" s="732"/>
      <c r="V37" s="732"/>
      <c r="W37" s="734"/>
      <c r="X37" s="732"/>
      <c r="Y37" s="732"/>
      <c r="Z37" s="732"/>
      <c r="AA37" s="2770"/>
      <c r="AB37" s="2770"/>
      <c r="AC37" s="2771">
        <f t="shared" si="8"/>
        <v>0</v>
      </c>
      <c r="AD37" s="2771">
        <f t="shared" si="9"/>
        <v>160353.60000000001</v>
      </c>
      <c r="AE37" s="847" t="str">
        <f t="shared" si="10"/>
        <v>请选择分录类型！</v>
      </c>
      <c r="AF37" s="641"/>
    </row>
    <row r="38" spans="1:32" ht="24">
      <c r="A38" s="2750"/>
      <c r="B38" s="2777" t="str">
        <f t="shared" si="0"/>
        <v>J1125</v>
      </c>
      <c r="C38" s="2747">
        <f t="shared" si="1"/>
        <v>1125</v>
      </c>
      <c r="D38" s="2747" t="str">
        <f t="shared" si="2"/>
        <v>暂估工程款重分类至在建工程</v>
      </c>
      <c r="E38" s="2747" t="str">
        <f t="shared" si="3"/>
        <v>6</v>
      </c>
      <c r="F38" s="2747">
        <f t="shared" si="4"/>
        <v>6.03</v>
      </c>
      <c r="G38" s="2757" t="str">
        <f t="shared" si="5"/>
        <v>本期</v>
      </c>
      <c r="H38" s="3284"/>
      <c r="I38" s="3285"/>
      <c r="J38" s="3286" t="str">
        <f t="shared" si="11"/>
        <v>贷</v>
      </c>
      <c r="K38" s="689" t="s">
        <v>162</v>
      </c>
      <c r="L38" s="3287" t="s">
        <v>7390</v>
      </c>
      <c r="M38" s="3287"/>
      <c r="N38" s="3287"/>
      <c r="O38" s="3288"/>
      <c r="P38" s="3289">
        <v>280000</v>
      </c>
      <c r="Q38" s="735" t="str">
        <f t="shared" si="6"/>
        <v>5400B</v>
      </c>
      <c r="R38" s="732" t="str">
        <f t="shared" si="7"/>
        <v>1</v>
      </c>
      <c r="S38" s="3283" t="s">
        <v>7385</v>
      </c>
      <c r="T38" s="732"/>
      <c r="U38" s="732"/>
      <c r="V38" s="732"/>
      <c r="W38" s="734"/>
      <c r="X38" s="732"/>
      <c r="Y38" s="732"/>
      <c r="Z38" s="732"/>
      <c r="AA38" s="2770"/>
      <c r="AB38" s="2770"/>
      <c r="AC38" s="2771">
        <f t="shared" si="8"/>
        <v>0</v>
      </c>
      <c r="AD38" s="2771">
        <f t="shared" si="9"/>
        <v>280000</v>
      </c>
      <c r="AE38" s="847" t="str">
        <f t="shared" si="10"/>
        <v>请选择分录类型！</v>
      </c>
      <c r="AF38" s="641"/>
    </row>
    <row r="39" spans="1:32" ht="24">
      <c r="A39" s="2750"/>
      <c r="B39" s="2777" t="str">
        <f t="shared" si="0"/>
        <v>J1125</v>
      </c>
      <c r="C39" s="2747">
        <f t="shared" si="1"/>
        <v>1125</v>
      </c>
      <c r="D39" s="2747" t="str">
        <f t="shared" si="2"/>
        <v>暂估工程款重分类至在建工程</v>
      </c>
      <c r="E39" s="2747" t="str">
        <f t="shared" si="3"/>
        <v>6</v>
      </c>
      <c r="F39" s="2747">
        <f t="shared" si="4"/>
        <v>6.0309999999999997</v>
      </c>
      <c r="G39" s="2757" t="str">
        <f t="shared" si="5"/>
        <v>本期</v>
      </c>
      <c r="H39" s="3284"/>
      <c r="I39" s="3285"/>
      <c r="J39" s="3286" t="str">
        <f t="shared" si="11"/>
        <v>贷</v>
      </c>
      <c r="K39" s="689" t="s">
        <v>162</v>
      </c>
      <c r="L39" s="3287" t="s">
        <v>7391</v>
      </c>
      <c r="M39" s="3287"/>
      <c r="N39" s="3287"/>
      <c r="O39" s="3288"/>
      <c r="P39" s="3289">
        <v>268380</v>
      </c>
      <c r="Q39" s="735" t="str">
        <f t="shared" si="6"/>
        <v>5400B</v>
      </c>
      <c r="R39" s="732" t="str">
        <f t="shared" si="7"/>
        <v>1</v>
      </c>
      <c r="S39" s="3283" t="s">
        <v>7385</v>
      </c>
      <c r="T39" s="732"/>
      <c r="U39" s="732"/>
      <c r="V39" s="732"/>
      <c r="W39" s="734"/>
      <c r="X39" s="732"/>
      <c r="Y39" s="732"/>
      <c r="Z39" s="732"/>
      <c r="AA39" s="2770"/>
      <c r="AB39" s="2770"/>
      <c r="AC39" s="2771">
        <f t="shared" si="8"/>
        <v>0</v>
      </c>
      <c r="AD39" s="2771">
        <f t="shared" si="9"/>
        <v>268380</v>
      </c>
      <c r="AE39" s="847" t="str">
        <f t="shared" si="10"/>
        <v>请选择分录类型！</v>
      </c>
      <c r="AF39" s="641"/>
    </row>
    <row r="40" spans="1:32" ht="24">
      <c r="A40" s="2750"/>
      <c r="B40" s="2777" t="str">
        <f t="shared" si="0"/>
        <v>J1125</v>
      </c>
      <c r="C40" s="2747">
        <f t="shared" si="1"/>
        <v>1125</v>
      </c>
      <c r="D40" s="2747" t="str">
        <f t="shared" si="2"/>
        <v>暂估工程款重分类至在建工程</v>
      </c>
      <c r="E40" s="2747" t="str">
        <f t="shared" si="3"/>
        <v>6</v>
      </c>
      <c r="F40" s="2747">
        <f t="shared" si="4"/>
        <v>6.032</v>
      </c>
      <c r="G40" s="2757" t="str">
        <f t="shared" si="5"/>
        <v>本期</v>
      </c>
      <c r="H40" s="3284"/>
      <c r="I40" s="3285"/>
      <c r="J40" s="3286" t="str">
        <f t="shared" si="11"/>
        <v>贷</v>
      </c>
      <c r="K40" s="689" t="s">
        <v>162</v>
      </c>
      <c r="L40" s="3287" t="s">
        <v>7392</v>
      </c>
      <c r="M40" s="3287"/>
      <c r="N40" s="3287"/>
      <c r="O40" s="3288"/>
      <c r="P40" s="3289">
        <v>25000</v>
      </c>
      <c r="Q40" s="735" t="str">
        <f t="shared" si="6"/>
        <v>5400B</v>
      </c>
      <c r="R40" s="732" t="str">
        <f t="shared" si="7"/>
        <v>1</v>
      </c>
      <c r="S40" s="3283" t="s">
        <v>7385</v>
      </c>
      <c r="T40" s="732"/>
      <c r="U40" s="732"/>
      <c r="V40" s="732"/>
      <c r="W40" s="734"/>
      <c r="X40" s="732"/>
      <c r="Y40" s="732"/>
      <c r="Z40" s="732"/>
      <c r="AA40" s="2770"/>
      <c r="AB40" s="2770"/>
      <c r="AC40" s="2771">
        <f t="shared" si="8"/>
        <v>0</v>
      </c>
      <c r="AD40" s="2771">
        <f t="shared" si="9"/>
        <v>25000</v>
      </c>
      <c r="AE40" s="847" t="str">
        <f t="shared" si="10"/>
        <v>请选择分录类型！</v>
      </c>
      <c r="AF40" s="641"/>
    </row>
    <row r="41" spans="1:32" ht="24">
      <c r="A41" s="2750"/>
      <c r="B41" s="2777" t="str">
        <f t="shared" si="0"/>
        <v>J1125</v>
      </c>
      <c r="C41" s="2747">
        <f t="shared" si="1"/>
        <v>1125</v>
      </c>
      <c r="D41" s="2747" t="str">
        <f t="shared" si="2"/>
        <v>暂估工程款重分类至在建工程</v>
      </c>
      <c r="E41" s="2747" t="str">
        <f t="shared" si="3"/>
        <v>6</v>
      </c>
      <c r="F41" s="2747">
        <f t="shared" si="4"/>
        <v>6.0330000000000004</v>
      </c>
      <c r="G41" s="2757" t="str">
        <f t="shared" si="5"/>
        <v>本期</v>
      </c>
      <c r="H41" s="3284"/>
      <c r="I41" s="3285"/>
      <c r="J41" s="3286" t="str">
        <f t="shared" si="11"/>
        <v>贷</v>
      </c>
      <c r="K41" s="689" t="s">
        <v>162</v>
      </c>
      <c r="L41" s="3287" t="s">
        <v>7393</v>
      </c>
      <c r="M41" s="3287"/>
      <c r="N41" s="3287"/>
      <c r="O41" s="3288"/>
      <c r="P41" s="3289">
        <v>860000</v>
      </c>
      <c r="Q41" s="735" t="str">
        <f t="shared" si="6"/>
        <v>5400B</v>
      </c>
      <c r="R41" s="732" t="str">
        <f t="shared" si="7"/>
        <v>1</v>
      </c>
      <c r="S41" s="3283" t="s">
        <v>7385</v>
      </c>
      <c r="T41" s="732"/>
      <c r="U41" s="732"/>
      <c r="V41" s="732"/>
      <c r="W41" s="734"/>
      <c r="X41" s="732"/>
      <c r="Y41" s="732"/>
      <c r="Z41" s="732"/>
      <c r="AA41" s="2770"/>
      <c r="AB41" s="2770"/>
      <c r="AC41" s="2771">
        <f t="shared" si="8"/>
        <v>0</v>
      </c>
      <c r="AD41" s="2771">
        <f t="shared" si="9"/>
        <v>860000</v>
      </c>
      <c r="AE41" s="847" t="str">
        <f t="shared" si="10"/>
        <v>请选择分录类型！</v>
      </c>
      <c r="AF41" s="641"/>
    </row>
    <row r="42" spans="1:32" ht="24">
      <c r="A42" s="2750"/>
      <c r="B42" s="2777" t="str">
        <f t="shared" si="0"/>
        <v>J1125</v>
      </c>
      <c r="C42" s="2747">
        <f t="shared" si="1"/>
        <v>1125</v>
      </c>
      <c r="D42" s="2747" t="str">
        <f t="shared" si="2"/>
        <v>暂估工程款重分类至在建工程</v>
      </c>
      <c r="E42" s="2747" t="str">
        <f t="shared" si="3"/>
        <v>6</v>
      </c>
      <c r="F42" s="2747">
        <f t="shared" si="4"/>
        <v>6.0339999999999998</v>
      </c>
      <c r="G42" s="2757" t="str">
        <f t="shared" si="5"/>
        <v>本期</v>
      </c>
      <c r="H42" s="3284"/>
      <c r="I42" s="3285"/>
      <c r="J42" s="3286" t="str">
        <f t="shared" si="11"/>
        <v>贷</v>
      </c>
      <c r="K42" s="689" t="s">
        <v>162</v>
      </c>
      <c r="L42" s="3287" t="s">
        <v>7394</v>
      </c>
      <c r="M42" s="3287"/>
      <c r="N42" s="3287"/>
      <c r="O42" s="3288"/>
      <c r="P42" s="3289">
        <v>122106.39</v>
      </c>
      <c r="Q42" s="735" t="str">
        <f t="shared" si="6"/>
        <v>5400B</v>
      </c>
      <c r="R42" s="732" t="str">
        <f t="shared" si="7"/>
        <v>1</v>
      </c>
      <c r="S42" s="3283" t="s">
        <v>7385</v>
      </c>
      <c r="T42" s="732"/>
      <c r="U42" s="732"/>
      <c r="V42" s="732"/>
      <c r="W42" s="734"/>
      <c r="X42" s="732"/>
      <c r="Y42" s="732"/>
      <c r="Z42" s="732"/>
      <c r="AA42" s="2770"/>
      <c r="AB42" s="2770"/>
      <c r="AC42" s="2771">
        <f t="shared" si="8"/>
        <v>0</v>
      </c>
      <c r="AD42" s="2771">
        <f t="shared" si="9"/>
        <v>122106.39</v>
      </c>
      <c r="AE42" s="847" t="str">
        <f t="shared" si="10"/>
        <v>请选择分录类型！</v>
      </c>
      <c r="AF42" s="641"/>
    </row>
    <row r="43" spans="1:32" ht="24">
      <c r="A43" s="2750"/>
      <c r="B43" s="2777" t="str">
        <f t="shared" si="0"/>
        <v>J1125</v>
      </c>
      <c r="C43" s="2747">
        <f t="shared" si="1"/>
        <v>1125</v>
      </c>
      <c r="D43" s="2747" t="str">
        <f t="shared" si="2"/>
        <v>暂估工程款重分类至在建工程</v>
      </c>
      <c r="E43" s="2747" t="str">
        <f t="shared" si="3"/>
        <v>6</v>
      </c>
      <c r="F43" s="2747">
        <f t="shared" si="4"/>
        <v>6.0350000000000001</v>
      </c>
      <c r="G43" s="2757" t="str">
        <f t="shared" si="5"/>
        <v>本期</v>
      </c>
      <c r="H43" s="3284"/>
      <c r="I43" s="3285"/>
      <c r="J43" s="3286" t="str">
        <f t="shared" si="11"/>
        <v>贷</v>
      </c>
      <c r="K43" s="689" t="s">
        <v>162</v>
      </c>
      <c r="L43" s="3287" t="s">
        <v>7395</v>
      </c>
      <c r="M43" s="3287"/>
      <c r="N43" s="3287"/>
      <c r="O43" s="3288"/>
      <c r="P43" s="3289">
        <v>150000</v>
      </c>
      <c r="Q43" s="735" t="str">
        <f t="shared" si="6"/>
        <v>5400B</v>
      </c>
      <c r="R43" s="732" t="str">
        <f t="shared" si="7"/>
        <v>1</v>
      </c>
      <c r="S43" s="3283" t="s">
        <v>7385</v>
      </c>
      <c r="T43" s="732"/>
      <c r="U43" s="732"/>
      <c r="V43" s="732"/>
      <c r="W43" s="734"/>
      <c r="X43" s="732"/>
      <c r="Y43" s="732"/>
      <c r="Z43" s="732"/>
      <c r="AA43" s="2770"/>
      <c r="AB43" s="2770"/>
      <c r="AC43" s="2771">
        <f t="shared" si="8"/>
        <v>0</v>
      </c>
      <c r="AD43" s="2771">
        <f t="shared" si="9"/>
        <v>150000</v>
      </c>
      <c r="AE43" s="847" t="str">
        <f t="shared" si="10"/>
        <v>请选择分录类型！</v>
      </c>
      <c r="AF43" s="641"/>
    </row>
    <row r="44" spans="1:32" ht="24">
      <c r="A44" s="2750"/>
      <c r="B44" s="2777" t="str">
        <f t="shared" si="0"/>
        <v>J1125</v>
      </c>
      <c r="C44" s="2747">
        <f t="shared" si="1"/>
        <v>1125</v>
      </c>
      <c r="D44" s="2747" t="str">
        <f t="shared" si="2"/>
        <v>暂估工程款重分类至在建工程</v>
      </c>
      <c r="E44" s="2747" t="str">
        <f t="shared" si="3"/>
        <v>6</v>
      </c>
      <c r="F44" s="2747">
        <f t="shared" si="4"/>
        <v>6.0359999999999996</v>
      </c>
      <c r="G44" s="2757" t="str">
        <f t="shared" si="5"/>
        <v>本期</v>
      </c>
      <c r="H44" s="3284"/>
      <c r="I44" s="3285"/>
      <c r="J44" s="3286" t="str">
        <f t="shared" si="11"/>
        <v>贷</v>
      </c>
      <c r="K44" s="689" t="s">
        <v>162</v>
      </c>
      <c r="L44" s="3287" t="s">
        <v>7396</v>
      </c>
      <c r="M44" s="3287"/>
      <c r="N44" s="3287"/>
      <c r="O44" s="3288"/>
      <c r="P44" s="3289">
        <v>98624</v>
      </c>
      <c r="Q44" s="735" t="str">
        <f t="shared" si="6"/>
        <v>5400B</v>
      </c>
      <c r="R44" s="732" t="str">
        <f t="shared" si="7"/>
        <v>1</v>
      </c>
      <c r="S44" s="3283" t="s">
        <v>7385</v>
      </c>
      <c r="T44" s="732"/>
      <c r="U44" s="732"/>
      <c r="V44" s="732"/>
      <c r="W44" s="734"/>
      <c r="X44" s="732"/>
      <c r="Y44" s="732"/>
      <c r="Z44" s="732"/>
      <c r="AA44" s="2770"/>
      <c r="AB44" s="2770"/>
      <c r="AC44" s="2771">
        <f t="shared" si="8"/>
        <v>0</v>
      </c>
      <c r="AD44" s="2771">
        <f t="shared" si="9"/>
        <v>98624</v>
      </c>
      <c r="AE44" s="847" t="str">
        <f t="shared" si="10"/>
        <v>请选择分录类型！</v>
      </c>
      <c r="AF44" s="641"/>
    </row>
    <row r="45" spans="1:32" ht="24">
      <c r="A45" s="2750"/>
      <c r="B45" s="2777" t="str">
        <f t="shared" si="0"/>
        <v>J1125</v>
      </c>
      <c r="C45" s="2747">
        <f t="shared" si="1"/>
        <v>1125</v>
      </c>
      <c r="D45" s="2747" t="str">
        <f t="shared" si="2"/>
        <v>暂估工程款重分类至在建工程</v>
      </c>
      <c r="E45" s="2747" t="str">
        <f t="shared" si="3"/>
        <v>6</v>
      </c>
      <c r="F45" s="2747">
        <f t="shared" si="4"/>
        <v>6.0369999999999999</v>
      </c>
      <c r="G45" s="2757" t="str">
        <f t="shared" si="5"/>
        <v>本期</v>
      </c>
      <c r="H45" s="3284"/>
      <c r="I45" s="3285"/>
      <c r="J45" s="3286" t="str">
        <f t="shared" si="11"/>
        <v>贷</v>
      </c>
      <c r="K45" s="689" t="s">
        <v>162</v>
      </c>
      <c r="L45" s="3287" t="s">
        <v>7397</v>
      </c>
      <c r="M45" s="3287"/>
      <c r="N45" s="3287"/>
      <c r="O45" s="3288"/>
      <c r="P45" s="3289">
        <v>341600</v>
      </c>
      <c r="Q45" s="735" t="str">
        <f t="shared" si="6"/>
        <v>5400B</v>
      </c>
      <c r="R45" s="732" t="str">
        <f t="shared" si="7"/>
        <v>1</v>
      </c>
      <c r="S45" s="3283" t="s">
        <v>7385</v>
      </c>
      <c r="T45" s="732"/>
      <c r="U45" s="732"/>
      <c r="V45" s="732"/>
      <c r="W45" s="734"/>
      <c r="X45" s="732"/>
      <c r="Y45" s="732"/>
      <c r="Z45" s="732"/>
      <c r="AA45" s="2770"/>
      <c r="AB45" s="2770"/>
      <c r="AC45" s="2771">
        <f t="shared" si="8"/>
        <v>0</v>
      </c>
      <c r="AD45" s="2771">
        <f t="shared" si="9"/>
        <v>341600</v>
      </c>
      <c r="AE45" s="847" t="str">
        <f t="shared" si="10"/>
        <v>请选择分录类型！</v>
      </c>
      <c r="AF45" s="641"/>
    </row>
    <row r="46" spans="1:32" ht="24">
      <c r="A46" s="2750"/>
      <c r="B46" s="2777" t="str">
        <f t="shared" si="0"/>
        <v>J1125</v>
      </c>
      <c r="C46" s="2747">
        <f t="shared" si="1"/>
        <v>1125</v>
      </c>
      <c r="D46" s="2747" t="str">
        <f t="shared" si="2"/>
        <v>暂估工程款重分类至在建工程</v>
      </c>
      <c r="E46" s="2747" t="str">
        <f t="shared" si="3"/>
        <v>6</v>
      </c>
      <c r="F46" s="2747">
        <f t="shared" si="4"/>
        <v>6.0380000000000003</v>
      </c>
      <c r="G46" s="2757" t="str">
        <f t="shared" si="5"/>
        <v>本期</v>
      </c>
      <c r="H46" s="3284"/>
      <c r="I46" s="3285"/>
      <c r="J46" s="3286" t="str">
        <f t="shared" si="11"/>
        <v>贷</v>
      </c>
      <c r="K46" s="689" t="s">
        <v>162</v>
      </c>
      <c r="L46" s="3287" t="s">
        <v>7398</v>
      </c>
      <c r="M46" s="3287"/>
      <c r="N46" s="3287"/>
      <c r="O46" s="3288"/>
      <c r="P46" s="3289">
        <v>286877</v>
      </c>
      <c r="Q46" s="735" t="str">
        <f t="shared" si="6"/>
        <v>5400B</v>
      </c>
      <c r="R46" s="732" t="str">
        <f t="shared" si="7"/>
        <v>1</v>
      </c>
      <c r="S46" s="3283" t="s">
        <v>7385</v>
      </c>
      <c r="T46" s="732"/>
      <c r="U46" s="732"/>
      <c r="V46" s="732"/>
      <c r="W46" s="734"/>
      <c r="X46" s="732"/>
      <c r="Y46" s="732"/>
      <c r="Z46" s="732"/>
      <c r="AA46" s="2770"/>
      <c r="AB46" s="2770"/>
      <c r="AC46" s="2771">
        <f t="shared" si="8"/>
        <v>0</v>
      </c>
      <c r="AD46" s="2771">
        <f t="shared" si="9"/>
        <v>286877</v>
      </c>
      <c r="AE46" s="847" t="str">
        <f t="shared" si="10"/>
        <v>请选择分录类型！</v>
      </c>
      <c r="AF46" s="641"/>
    </row>
    <row r="47" spans="1:32" ht="24">
      <c r="A47" s="2750"/>
      <c r="B47" s="2777" t="str">
        <f t="shared" si="0"/>
        <v>J1125</v>
      </c>
      <c r="C47" s="2747">
        <f t="shared" si="1"/>
        <v>1125</v>
      </c>
      <c r="D47" s="2747" t="str">
        <f t="shared" si="2"/>
        <v>暂估工程款重分类至在建工程</v>
      </c>
      <c r="E47" s="2747" t="str">
        <f t="shared" si="3"/>
        <v>6</v>
      </c>
      <c r="F47" s="2747">
        <f t="shared" si="4"/>
        <v>6.0389999999999997</v>
      </c>
      <c r="G47" s="2757" t="str">
        <f t="shared" si="5"/>
        <v>本期</v>
      </c>
      <c r="H47" s="3284"/>
      <c r="I47" s="3285"/>
      <c r="J47" s="3286" t="str">
        <f t="shared" si="11"/>
        <v>贷</v>
      </c>
      <c r="K47" s="689" t="s">
        <v>162</v>
      </c>
      <c r="L47" s="3287" t="s">
        <v>7399</v>
      </c>
      <c r="M47" s="3287"/>
      <c r="N47" s="3287"/>
      <c r="O47" s="3288"/>
      <c r="P47" s="3289">
        <v>257333</v>
      </c>
      <c r="Q47" s="735" t="str">
        <f t="shared" si="6"/>
        <v>5400B</v>
      </c>
      <c r="R47" s="732" t="str">
        <f t="shared" si="7"/>
        <v>1</v>
      </c>
      <c r="S47" s="3283" t="s">
        <v>7385</v>
      </c>
      <c r="T47" s="732"/>
      <c r="U47" s="732"/>
      <c r="V47" s="732"/>
      <c r="W47" s="734"/>
      <c r="X47" s="732"/>
      <c r="Y47" s="732"/>
      <c r="Z47" s="732"/>
      <c r="AA47" s="2770"/>
      <c r="AB47" s="2770"/>
      <c r="AC47" s="2771">
        <f t="shared" si="8"/>
        <v>0</v>
      </c>
      <c r="AD47" s="2771">
        <f t="shared" si="9"/>
        <v>257333</v>
      </c>
      <c r="AE47" s="847" t="str">
        <f t="shared" si="10"/>
        <v>请选择分录类型！</v>
      </c>
      <c r="AF47" s="641"/>
    </row>
    <row r="48" spans="1:32" ht="24">
      <c r="A48" s="2750"/>
      <c r="B48" s="2777" t="str">
        <f t="shared" si="0"/>
        <v>J1125</v>
      </c>
      <c r="C48" s="2747">
        <f t="shared" si="1"/>
        <v>1125</v>
      </c>
      <c r="D48" s="2747" t="str">
        <f t="shared" si="2"/>
        <v>暂估工程款重分类至在建工程</v>
      </c>
      <c r="E48" s="2747" t="str">
        <f t="shared" si="3"/>
        <v>6</v>
      </c>
      <c r="F48" s="2747">
        <f t="shared" si="4"/>
        <v>6.04</v>
      </c>
      <c r="G48" s="2757" t="str">
        <f t="shared" si="5"/>
        <v>本期</v>
      </c>
      <c r="H48" s="3284"/>
      <c r="I48" s="3285"/>
      <c r="J48" s="3286" t="str">
        <f t="shared" si="11"/>
        <v>贷</v>
      </c>
      <c r="K48" s="689" t="s">
        <v>162</v>
      </c>
      <c r="L48" s="3287" t="s">
        <v>7400</v>
      </c>
      <c r="M48" s="3287"/>
      <c r="N48" s="3287"/>
      <c r="O48" s="3288"/>
      <c r="P48" s="3289">
        <v>961940</v>
      </c>
      <c r="Q48" s="735" t="str">
        <f t="shared" si="6"/>
        <v>5400B</v>
      </c>
      <c r="R48" s="732" t="str">
        <f t="shared" si="7"/>
        <v>1</v>
      </c>
      <c r="S48" s="3283" t="s">
        <v>7385</v>
      </c>
      <c r="T48" s="732"/>
      <c r="U48" s="732"/>
      <c r="V48" s="732"/>
      <c r="W48" s="734"/>
      <c r="X48" s="732"/>
      <c r="Y48" s="732"/>
      <c r="Z48" s="732"/>
      <c r="AA48" s="2770"/>
      <c r="AB48" s="2770"/>
      <c r="AC48" s="2771">
        <f t="shared" si="8"/>
        <v>0</v>
      </c>
      <c r="AD48" s="2771">
        <f t="shared" si="9"/>
        <v>961940</v>
      </c>
      <c r="AE48" s="847" t="str">
        <f t="shared" si="10"/>
        <v>请选择分录类型！</v>
      </c>
      <c r="AF48" s="641"/>
    </row>
    <row r="49" spans="1:32" ht="24">
      <c r="A49" s="2750"/>
      <c r="B49" s="2777" t="str">
        <f t="shared" si="0"/>
        <v>J1125</v>
      </c>
      <c r="C49" s="2747">
        <f t="shared" si="1"/>
        <v>1125</v>
      </c>
      <c r="D49" s="2747" t="str">
        <f t="shared" si="2"/>
        <v>暂估工程款重分类至在建工程</v>
      </c>
      <c r="E49" s="2747" t="str">
        <f t="shared" si="3"/>
        <v>6</v>
      </c>
      <c r="F49" s="2747">
        <f t="shared" si="4"/>
        <v>6.0410000000000004</v>
      </c>
      <c r="G49" s="2757" t="str">
        <f t="shared" si="5"/>
        <v>本期</v>
      </c>
      <c r="H49" s="650"/>
      <c r="I49" s="691"/>
      <c r="J49" s="692" t="str">
        <f t="shared" si="11"/>
        <v>贷</v>
      </c>
      <c r="K49" s="689" t="s">
        <v>162</v>
      </c>
      <c r="L49" s="693" t="s">
        <v>7401</v>
      </c>
      <c r="M49" s="693"/>
      <c r="N49" s="693"/>
      <c r="O49" s="193"/>
      <c r="P49" s="215">
        <v>1220000</v>
      </c>
      <c r="Q49" s="735" t="str">
        <f t="shared" si="6"/>
        <v>5400B</v>
      </c>
      <c r="R49" s="732" t="str">
        <f t="shared" si="7"/>
        <v>1</v>
      </c>
      <c r="S49" s="3283" t="s">
        <v>7385</v>
      </c>
      <c r="T49" s="732"/>
      <c r="U49" s="732"/>
      <c r="V49" s="732"/>
      <c r="W49" s="734"/>
      <c r="X49" s="732"/>
      <c r="Y49" s="732"/>
      <c r="Z49" s="732"/>
      <c r="AA49" s="2770"/>
      <c r="AB49" s="2770"/>
      <c r="AC49" s="2771">
        <f t="shared" si="8"/>
        <v>0</v>
      </c>
      <c r="AD49" s="2771">
        <f t="shared" si="9"/>
        <v>1220000</v>
      </c>
      <c r="AE49" s="847" t="str">
        <f t="shared" si="10"/>
        <v>请选择分录类型！</v>
      </c>
      <c r="AF49" s="641"/>
    </row>
    <row r="50" spans="1:32" ht="18">
      <c r="A50" s="2750"/>
      <c r="B50" s="2777" t="str">
        <f t="shared" si="0"/>
        <v/>
      </c>
      <c r="C50" s="2747" t="str">
        <f t="shared" si="1"/>
        <v/>
      </c>
      <c r="D50" s="2747" t="str">
        <f t="shared" si="2"/>
        <v/>
      </c>
      <c r="E50" s="2747" t="str">
        <f t="shared" si="3"/>
        <v/>
      </c>
      <c r="F50" s="2747">
        <f t="shared" si="4"/>
        <v>6.0419999999999998</v>
      </c>
      <c r="G50" s="2757" t="str">
        <f t="shared" si="5"/>
        <v/>
      </c>
      <c r="H50" s="650"/>
      <c r="I50" s="691"/>
      <c r="J50" s="692" t="str">
        <f t="shared" si="11"/>
        <v/>
      </c>
      <c r="K50" s="689"/>
      <c r="L50" s="693"/>
      <c r="M50" s="693"/>
      <c r="N50" s="693"/>
      <c r="O50" s="193"/>
      <c r="P50" s="215"/>
      <c r="Q50" s="735" t="str">
        <f t="shared" si="6"/>
        <v/>
      </c>
      <c r="R50" s="732" t="str">
        <f t="shared" si="7"/>
        <v/>
      </c>
      <c r="S50" s="732"/>
      <c r="T50" s="732"/>
      <c r="U50" s="732"/>
      <c r="V50" s="732"/>
      <c r="W50" s="734"/>
      <c r="X50" s="732"/>
      <c r="Y50" s="732"/>
      <c r="Z50" s="732"/>
      <c r="AA50" s="2770"/>
      <c r="AB50" s="2770"/>
      <c r="AC50" s="2771">
        <f t="shared" si="8"/>
        <v>0</v>
      </c>
      <c r="AD50" s="2771">
        <f t="shared" si="9"/>
        <v>0</v>
      </c>
      <c r="AE50" s="847" t="str">
        <f t="shared" si="10"/>
        <v/>
      </c>
      <c r="AF50" s="641"/>
    </row>
    <row r="51" spans="1:32" ht="18">
      <c r="A51" s="2750"/>
      <c r="B51" s="2777" t="str">
        <f t="shared" si="0"/>
        <v/>
      </c>
      <c r="C51" s="2747" t="str">
        <f t="shared" si="1"/>
        <v/>
      </c>
      <c r="D51" s="2747" t="str">
        <f t="shared" si="2"/>
        <v>期末费用挂账调整</v>
      </c>
      <c r="E51" s="2747" t="str">
        <f t="shared" si="3"/>
        <v>7</v>
      </c>
      <c r="F51" s="2747">
        <f t="shared" si="4"/>
        <v>7.0430000000000001</v>
      </c>
      <c r="G51" s="2757" t="str">
        <f t="shared" si="5"/>
        <v>本期</v>
      </c>
      <c r="H51" s="650"/>
      <c r="I51" s="691">
        <v>7</v>
      </c>
      <c r="J51" s="692" t="s">
        <v>7402</v>
      </c>
      <c r="K51" s="689"/>
      <c r="L51" s="693"/>
      <c r="M51" s="693"/>
      <c r="N51" s="693"/>
      <c r="O51" s="193"/>
      <c r="P51" s="215"/>
      <c r="Q51" s="735" t="str">
        <f t="shared" si="6"/>
        <v/>
      </c>
      <c r="R51" s="732" t="str">
        <f t="shared" si="7"/>
        <v/>
      </c>
      <c r="S51" s="3283" t="s">
        <v>7385</v>
      </c>
      <c r="T51" s="732"/>
      <c r="U51" s="732"/>
      <c r="V51" s="732"/>
      <c r="W51" s="734"/>
      <c r="X51" s="732"/>
      <c r="Y51" s="732"/>
      <c r="Z51" s="732"/>
      <c r="AA51" s="2770"/>
      <c r="AB51" s="2770"/>
      <c r="AC51" s="2771">
        <f t="shared" si="8"/>
        <v>0</v>
      </c>
      <c r="AD51" s="2771">
        <f t="shared" si="9"/>
        <v>0</v>
      </c>
      <c r="AE51" s="847" t="str">
        <f t="shared" si="10"/>
        <v>请选择分录类型！</v>
      </c>
      <c r="AF51" s="641"/>
    </row>
    <row r="52" spans="1:32" ht="18">
      <c r="A52" s="2750"/>
      <c r="B52" s="2777" t="str">
        <f t="shared" si="0"/>
        <v>J6602</v>
      </c>
      <c r="C52" s="2747">
        <f t="shared" si="1"/>
        <v>6602</v>
      </c>
      <c r="D52" s="2747" t="str">
        <f t="shared" si="2"/>
        <v>期末费用挂账调整</v>
      </c>
      <c r="E52" s="2747" t="str">
        <f t="shared" si="3"/>
        <v>7</v>
      </c>
      <c r="F52" s="2747">
        <f t="shared" si="4"/>
        <v>7.0439999999999996</v>
      </c>
      <c r="G52" s="2757" t="str">
        <f t="shared" si="5"/>
        <v>本期</v>
      </c>
      <c r="H52" s="3284"/>
      <c r="I52" s="3285"/>
      <c r="J52" s="3286" t="str">
        <f t="shared" si="11"/>
        <v>借</v>
      </c>
      <c r="K52" s="689" t="s">
        <v>685</v>
      </c>
      <c r="L52" s="3287" t="s">
        <v>4379</v>
      </c>
      <c r="M52" s="3287"/>
      <c r="N52" s="3287"/>
      <c r="O52" s="3288">
        <v>47164.23</v>
      </c>
      <c r="P52" s="3289"/>
      <c r="Q52" s="735" t="str">
        <f t="shared" si="6"/>
        <v>7200D</v>
      </c>
      <c r="R52" s="732" t="str">
        <f t="shared" si="7"/>
        <v>6</v>
      </c>
      <c r="S52" s="3283" t="s">
        <v>7385</v>
      </c>
      <c r="T52" s="732"/>
      <c r="U52" s="732"/>
      <c r="V52" s="732"/>
      <c r="W52" s="734"/>
      <c r="X52" s="732"/>
      <c r="Y52" s="732"/>
      <c r="Z52" s="732"/>
      <c r="AA52" s="2770"/>
      <c r="AB52" s="2770"/>
      <c r="AC52" s="2771">
        <f t="shared" si="8"/>
        <v>47164.23</v>
      </c>
      <c r="AD52" s="2771">
        <f t="shared" si="9"/>
        <v>0</v>
      </c>
      <c r="AE52" s="847" t="str">
        <f t="shared" si="10"/>
        <v>请选择分录类型！</v>
      </c>
      <c r="AF52" s="641"/>
    </row>
    <row r="53" spans="1:32" ht="18">
      <c r="A53" s="2750"/>
      <c r="B53" s="2777" t="str">
        <f t="shared" si="0"/>
        <v>J6601</v>
      </c>
      <c r="C53" s="2747">
        <f t="shared" si="1"/>
        <v>6601</v>
      </c>
      <c r="D53" s="2747" t="str">
        <f t="shared" si="2"/>
        <v>期末费用挂账调整</v>
      </c>
      <c r="E53" s="2747" t="str">
        <f t="shared" si="3"/>
        <v>7</v>
      </c>
      <c r="F53" s="2747">
        <f t="shared" si="4"/>
        <v>7.0449999999999999</v>
      </c>
      <c r="G53" s="2757" t="str">
        <f t="shared" si="5"/>
        <v>本期</v>
      </c>
      <c r="H53" s="3284"/>
      <c r="I53" s="3285"/>
      <c r="J53" s="3286" t="str">
        <f t="shared" si="11"/>
        <v>借</v>
      </c>
      <c r="K53" s="689" t="s">
        <v>680</v>
      </c>
      <c r="L53" s="3287" t="s">
        <v>7403</v>
      </c>
      <c r="M53" s="3287"/>
      <c r="N53" s="3287"/>
      <c r="O53" s="3288">
        <v>12658.66</v>
      </c>
      <c r="P53" s="3289"/>
      <c r="Q53" s="735" t="str">
        <f t="shared" si="6"/>
        <v>7200C</v>
      </c>
      <c r="R53" s="732" t="str">
        <f t="shared" si="7"/>
        <v>6</v>
      </c>
      <c r="S53" s="3283" t="s">
        <v>7385</v>
      </c>
      <c r="T53" s="732"/>
      <c r="U53" s="732"/>
      <c r="V53" s="732"/>
      <c r="W53" s="734"/>
      <c r="X53" s="732"/>
      <c r="Y53" s="732"/>
      <c r="Z53" s="732"/>
      <c r="AA53" s="2770"/>
      <c r="AB53" s="2770"/>
      <c r="AC53" s="2771">
        <f t="shared" si="8"/>
        <v>12658.66</v>
      </c>
      <c r="AD53" s="2771">
        <f t="shared" si="9"/>
        <v>0</v>
      </c>
      <c r="AE53" s="847" t="str">
        <f t="shared" si="10"/>
        <v>请选择分录类型！</v>
      </c>
      <c r="AF53" s="641"/>
    </row>
    <row r="54" spans="1:32" ht="18">
      <c r="A54" s="2750"/>
      <c r="B54" s="2777" t="str">
        <f t="shared" si="0"/>
        <v>J6401</v>
      </c>
      <c r="C54" s="2747">
        <f t="shared" si="1"/>
        <v>6401</v>
      </c>
      <c r="D54" s="2747" t="str">
        <f t="shared" si="2"/>
        <v>期末费用挂账调整</v>
      </c>
      <c r="E54" s="2747" t="str">
        <f t="shared" si="3"/>
        <v>7</v>
      </c>
      <c r="F54" s="2747">
        <f t="shared" si="4"/>
        <v>7.0460000000000003</v>
      </c>
      <c r="G54" s="2757" t="str">
        <f t="shared" si="5"/>
        <v>本期</v>
      </c>
      <c r="H54" s="3284"/>
      <c r="I54" s="3285"/>
      <c r="J54" s="3286" t="str">
        <f t="shared" si="11"/>
        <v>借</v>
      </c>
      <c r="K54" s="689" t="s">
        <v>671</v>
      </c>
      <c r="L54" s="3287" t="s">
        <v>7404</v>
      </c>
      <c r="M54" s="3287"/>
      <c r="N54" s="3287"/>
      <c r="O54" s="3288">
        <v>169310</v>
      </c>
      <c r="P54" s="3289"/>
      <c r="Q54" s="735" t="str">
        <f t="shared" si="6"/>
        <v>7100A</v>
      </c>
      <c r="R54" s="732" t="str">
        <f t="shared" si="7"/>
        <v>6</v>
      </c>
      <c r="S54" s="3283" t="s">
        <v>7385</v>
      </c>
      <c r="T54" s="732"/>
      <c r="U54" s="732"/>
      <c r="V54" s="732"/>
      <c r="W54" s="734"/>
      <c r="X54" s="732"/>
      <c r="Y54" s="732"/>
      <c r="Z54" s="732"/>
      <c r="AA54" s="2770"/>
      <c r="AB54" s="2770"/>
      <c r="AC54" s="2771">
        <f t="shared" si="8"/>
        <v>169310</v>
      </c>
      <c r="AD54" s="2771">
        <f t="shared" si="9"/>
        <v>0</v>
      </c>
      <c r="AE54" s="847" t="str">
        <f t="shared" si="10"/>
        <v>请选择分录类型！</v>
      </c>
      <c r="AF54" s="641"/>
    </row>
    <row r="55" spans="1:32" ht="24">
      <c r="A55" s="2750"/>
      <c r="B55" s="2777" t="str">
        <f t="shared" si="0"/>
        <v>J1125</v>
      </c>
      <c r="C55" s="2747">
        <f t="shared" si="1"/>
        <v>1125</v>
      </c>
      <c r="D55" s="2747" t="str">
        <f t="shared" si="2"/>
        <v>期末费用挂账调整</v>
      </c>
      <c r="E55" s="2747" t="str">
        <f t="shared" si="3"/>
        <v>7</v>
      </c>
      <c r="F55" s="2747">
        <f t="shared" si="4"/>
        <v>7.0469999999999997</v>
      </c>
      <c r="G55" s="2757" t="str">
        <f t="shared" si="5"/>
        <v>本期</v>
      </c>
      <c r="H55" s="3284"/>
      <c r="I55" s="3285"/>
      <c r="J55" s="3286" t="str">
        <f t="shared" si="11"/>
        <v>贷</v>
      </c>
      <c r="K55" s="689" t="s">
        <v>162</v>
      </c>
      <c r="L55" s="3287" t="s">
        <v>7405</v>
      </c>
      <c r="M55" s="3287"/>
      <c r="N55" s="3287"/>
      <c r="O55" s="3288"/>
      <c r="P55" s="3289">
        <v>38310</v>
      </c>
      <c r="Q55" s="735" t="str">
        <f t="shared" si="6"/>
        <v>5400B</v>
      </c>
      <c r="R55" s="732" t="str">
        <f t="shared" si="7"/>
        <v>1</v>
      </c>
      <c r="S55" s="3283" t="s">
        <v>7385</v>
      </c>
      <c r="T55" s="732"/>
      <c r="U55" s="732"/>
      <c r="V55" s="732"/>
      <c r="W55" s="734"/>
      <c r="X55" s="732"/>
      <c r="Y55" s="732"/>
      <c r="Z55" s="732"/>
      <c r="AA55" s="2770"/>
      <c r="AB55" s="2770"/>
      <c r="AC55" s="2771">
        <f t="shared" si="8"/>
        <v>0</v>
      </c>
      <c r="AD55" s="2771">
        <f t="shared" si="9"/>
        <v>38310</v>
      </c>
      <c r="AE55" s="847" t="str">
        <f t="shared" si="10"/>
        <v>请选择分录类型！</v>
      </c>
      <c r="AF55" s="641"/>
    </row>
    <row r="56" spans="1:32" ht="18">
      <c r="A56" s="2750"/>
      <c r="B56" s="2777" t="str">
        <f t="shared" si="0"/>
        <v>J1125</v>
      </c>
      <c r="C56" s="2747">
        <f t="shared" si="1"/>
        <v>1125</v>
      </c>
      <c r="D56" s="2747" t="str">
        <f t="shared" si="2"/>
        <v>期末费用挂账调整</v>
      </c>
      <c r="E56" s="2747" t="str">
        <f t="shared" si="3"/>
        <v>7</v>
      </c>
      <c r="F56" s="2747">
        <f t="shared" si="4"/>
        <v>7.048</v>
      </c>
      <c r="G56" s="2757" t="str">
        <f t="shared" si="5"/>
        <v>本期</v>
      </c>
      <c r="H56" s="3284"/>
      <c r="I56" s="3285"/>
      <c r="J56" s="3286" t="str">
        <f t="shared" si="11"/>
        <v>贷</v>
      </c>
      <c r="K56" s="689" t="s">
        <v>162</v>
      </c>
      <c r="L56" s="3287" t="s">
        <v>7406</v>
      </c>
      <c r="M56" s="3287"/>
      <c r="N56" s="3287"/>
      <c r="O56" s="3288"/>
      <c r="P56" s="3289">
        <v>100</v>
      </c>
      <c r="Q56" s="735" t="str">
        <f t="shared" si="6"/>
        <v>5400B</v>
      </c>
      <c r="R56" s="732" t="str">
        <f t="shared" si="7"/>
        <v>1</v>
      </c>
      <c r="S56" s="3283" t="s">
        <v>7385</v>
      </c>
      <c r="T56" s="732"/>
      <c r="U56" s="732"/>
      <c r="V56" s="732"/>
      <c r="W56" s="734"/>
      <c r="X56" s="732"/>
      <c r="Y56" s="732"/>
      <c r="Z56" s="732"/>
      <c r="AA56" s="2770"/>
      <c r="AB56" s="2770"/>
      <c r="AC56" s="2771">
        <f t="shared" si="8"/>
        <v>0</v>
      </c>
      <c r="AD56" s="2771">
        <f t="shared" si="9"/>
        <v>100</v>
      </c>
      <c r="AE56" s="847" t="str">
        <f t="shared" si="10"/>
        <v>请选择分录类型！</v>
      </c>
      <c r="AF56" s="641"/>
    </row>
    <row r="57" spans="1:32" ht="36">
      <c r="A57" s="2750"/>
      <c r="B57" s="2777" t="str">
        <f t="shared" si="0"/>
        <v>J1125</v>
      </c>
      <c r="C57" s="2747">
        <f t="shared" si="1"/>
        <v>1125</v>
      </c>
      <c r="D57" s="2747" t="str">
        <f t="shared" si="2"/>
        <v>期末费用挂账调整</v>
      </c>
      <c r="E57" s="2747" t="str">
        <f t="shared" si="3"/>
        <v>7</v>
      </c>
      <c r="F57" s="2747">
        <f t="shared" si="4"/>
        <v>7.0490000000000004</v>
      </c>
      <c r="G57" s="2757" t="str">
        <f t="shared" si="5"/>
        <v>本期</v>
      </c>
      <c r="H57" s="3284"/>
      <c r="I57" s="3285"/>
      <c r="J57" s="3286" t="str">
        <f t="shared" si="11"/>
        <v>贷</v>
      </c>
      <c r="K57" s="689" t="s">
        <v>162</v>
      </c>
      <c r="L57" s="3287" t="s">
        <v>7407</v>
      </c>
      <c r="M57" s="3287"/>
      <c r="N57" s="3287"/>
      <c r="O57" s="3288"/>
      <c r="P57" s="3289">
        <v>10642.4</v>
      </c>
      <c r="Q57" s="735" t="str">
        <f t="shared" si="6"/>
        <v>5400B</v>
      </c>
      <c r="R57" s="732" t="str">
        <f t="shared" si="7"/>
        <v>1</v>
      </c>
      <c r="S57" s="3283" t="s">
        <v>7385</v>
      </c>
      <c r="T57" s="732"/>
      <c r="U57" s="732"/>
      <c r="V57" s="732"/>
      <c r="W57" s="734"/>
      <c r="X57" s="732"/>
      <c r="Y57" s="732"/>
      <c r="Z57" s="732"/>
      <c r="AA57" s="2770"/>
      <c r="AB57" s="2770"/>
      <c r="AC57" s="2771">
        <f t="shared" si="8"/>
        <v>0</v>
      </c>
      <c r="AD57" s="2771">
        <f t="shared" si="9"/>
        <v>10642.4</v>
      </c>
      <c r="AE57" s="847" t="str">
        <f t="shared" si="10"/>
        <v>请选择分录类型！</v>
      </c>
      <c r="AF57" s="641"/>
    </row>
    <row r="58" spans="1:32" ht="24">
      <c r="A58" s="2750"/>
      <c r="B58" s="2777" t="str">
        <f t="shared" si="0"/>
        <v>J1125</v>
      </c>
      <c r="C58" s="2747">
        <f t="shared" si="1"/>
        <v>1125</v>
      </c>
      <c r="D58" s="2747" t="str">
        <f t="shared" si="2"/>
        <v>期末费用挂账调整</v>
      </c>
      <c r="E58" s="2747" t="str">
        <f t="shared" si="3"/>
        <v>7</v>
      </c>
      <c r="F58" s="2747">
        <f t="shared" si="4"/>
        <v>7.05</v>
      </c>
      <c r="G58" s="2757" t="str">
        <f t="shared" si="5"/>
        <v>本期</v>
      </c>
      <c r="H58" s="3284"/>
      <c r="I58" s="3285"/>
      <c r="J58" s="3286" t="str">
        <f t="shared" si="11"/>
        <v>贷</v>
      </c>
      <c r="K58" s="689" t="s">
        <v>162</v>
      </c>
      <c r="L58" s="3287" t="s">
        <v>7408</v>
      </c>
      <c r="M58" s="3287"/>
      <c r="N58" s="3287"/>
      <c r="O58" s="3288"/>
      <c r="P58" s="3289">
        <v>47064.23</v>
      </c>
      <c r="Q58" s="735" t="str">
        <f t="shared" si="6"/>
        <v>5400B</v>
      </c>
      <c r="R58" s="732" t="str">
        <f t="shared" si="7"/>
        <v>1</v>
      </c>
      <c r="S58" s="3283" t="s">
        <v>7385</v>
      </c>
      <c r="T58" s="732"/>
      <c r="U58" s="732"/>
      <c r="V58" s="732"/>
      <c r="W58" s="734"/>
      <c r="X58" s="732"/>
      <c r="Y58" s="732"/>
      <c r="Z58" s="732"/>
      <c r="AA58" s="2770"/>
      <c r="AB58" s="2770"/>
      <c r="AC58" s="2771">
        <f t="shared" si="8"/>
        <v>0</v>
      </c>
      <c r="AD58" s="2771">
        <f t="shared" si="9"/>
        <v>47064.23</v>
      </c>
      <c r="AE58" s="847" t="str">
        <f t="shared" si="10"/>
        <v>请选择分录类型！</v>
      </c>
      <c r="AF58" s="641"/>
    </row>
    <row r="59" spans="1:32" ht="24">
      <c r="A59" s="2750"/>
      <c r="B59" s="2777" t="str">
        <f t="shared" si="0"/>
        <v>J1125</v>
      </c>
      <c r="C59" s="2747">
        <f t="shared" si="1"/>
        <v>1125</v>
      </c>
      <c r="D59" s="2747" t="str">
        <f t="shared" si="2"/>
        <v>期末费用挂账调整</v>
      </c>
      <c r="E59" s="2747" t="str">
        <f t="shared" si="3"/>
        <v>7</v>
      </c>
      <c r="F59" s="2747">
        <f t="shared" si="4"/>
        <v>7.0510000000000002</v>
      </c>
      <c r="G59" s="2757" t="str">
        <f t="shared" si="5"/>
        <v>本期</v>
      </c>
      <c r="H59" s="3284"/>
      <c r="I59" s="3285"/>
      <c r="J59" s="3286" t="str">
        <f t="shared" si="11"/>
        <v>贷</v>
      </c>
      <c r="K59" s="689" t="s">
        <v>162</v>
      </c>
      <c r="L59" s="3287" t="s">
        <v>7409</v>
      </c>
      <c r="M59" s="3287"/>
      <c r="N59" s="3287"/>
      <c r="O59" s="3288"/>
      <c r="P59" s="3289">
        <v>68000</v>
      </c>
      <c r="Q59" s="735" t="str">
        <f t="shared" si="6"/>
        <v>5400B</v>
      </c>
      <c r="R59" s="732" t="str">
        <f t="shared" si="7"/>
        <v>1</v>
      </c>
      <c r="S59" s="3283" t="s">
        <v>7385</v>
      </c>
      <c r="T59" s="732"/>
      <c r="U59" s="732"/>
      <c r="V59" s="732"/>
      <c r="W59" s="734"/>
      <c r="X59" s="732"/>
      <c r="Y59" s="732"/>
      <c r="Z59" s="732"/>
      <c r="AA59" s="2770"/>
      <c r="AB59" s="2770"/>
      <c r="AC59" s="2771">
        <f t="shared" si="8"/>
        <v>0</v>
      </c>
      <c r="AD59" s="2771">
        <f t="shared" si="9"/>
        <v>68000</v>
      </c>
      <c r="AE59" s="847" t="str">
        <f t="shared" si="10"/>
        <v>请选择分录类型！</v>
      </c>
      <c r="AF59" s="641"/>
    </row>
    <row r="60" spans="1:32" ht="24">
      <c r="A60" s="2750"/>
      <c r="B60" s="2777" t="str">
        <f t="shared" si="0"/>
        <v>J1125</v>
      </c>
      <c r="C60" s="2747">
        <f t="shared" si="1"/>
        <v>1125</v>
      </c>
      <c r="D60" s="2747" t="str">
        <f t="shared" si="2"/>
        <v>期末费用挂账调整</v>
      </c>
      <c r="E60" s="2747" t="str">
        <f t="shared" si="3"/>
        <v>7</v>
      </c>
      <c r="F60" s="2747">
        <f t="shared" si="4"/>
        <v>7.0519999999999996</v>
      </c>
      <c r="G60" s="2757" t="str">
        <f t="shared" si="5"/>
        <v>本期</v>
      </c>
      <c r="H60" s="3284"/>
      <c r="I60" s="3285"/>
      <c r="J60" s="3286" t="str">
        <f t="shared" si="11"/>
        <v>贷</v>
      </c>
      <c r="K60" s="689" t="s">
        <v>162</v>
      </c>
      <c r="L60" s="3287" t="s">
        <v>7410</v>
      </c>
      <c r="M60" s="3287"/>
      <c r="N60" s="3287"/>
      <c r="O60" s="3288"/>
      <c r="P60" s="3289">
        <v>63000</v>
      </c>
      <c r="Q60" s="735" t="str">
        <f t="shared" si="6"/>
        <v>5400B</v>
      </c>
      <c r="R60" s="732" t="str">
        <f t="shared" si="7"/>
        <v>1</v>
      </c>
      <c r="S60" s="3283" t="s">
        <v>7385</v>
      </c>
      <c r="T60" s="732"/>
      <c r="U60" s="732"/>
      <c r="V60" s="732"/>
      <c r="W60" s="734"/>
      <c r="X60" s="732"/>
      <c r="Y60" s="732"/>
      <c r="Z60" s="732"/>
      <c r="AA60" s="2770"/>
      <c r="AB60" s="2770"/>
      <c r="AC60" s="2771">
        <f t="shared" si="8"/>
        <v>0</v>
      </c>
      <c r="AD60" s="2771">
        <f t="shared" si="9"/>
        <v>63000</v>
      </c>
      <c r="AE60" s="847" t="str">
        <f t="shared" si="10"/>
        <v>请选择分录类型！</v>
      </c>
      <c r="AF60" s="641"/>
    </row>
    <row r="61" spans="1:32" ht="24">
      <c r="A61" s="2750"/>
      <c r="B61" s="2777" t="str">
        <f t="shared" si="0"/>
        <v>J1125</v>
      </c>
      <c r="C61" s="2747">
        <f t="shared" si="1"/>
        <v>1125</v>
      </c>
      <c r="D61" s="2747" t="str">
        <f t="shared" si="2"/>
        <v>期末费用挂账调整</v>
      </c>
      <c r="E61" s="2747" t="str">
        <f t="shared" si="3"/>
        <v>7</v>
      </c>
      <c r="F61" s="2747">
        <f t="shared" si="4"/>
        <v>7.0529999999999999</v>
      </c>
      <c r="G61" s="2757" t="str">
        <f t="shared" si="5"/>
        <v>本期</v>
      </c>
      <c r="H61" s="3284"/>
      <c r="I61" s="3285"/>
      <c r="J61" s="3286" t="str">
        <f t="shared" si="11"/>
        <v>贷</v>
      </c>
      <c r="K61" s="689" t="s">
        <v>162</v>
      </c>
      <c r="L61" s="3287" t="s">
        <v>7411</v>
      </c>
      <c r="M61" s="3287"/>
      <c r="N61" s="3287"/>
      <c r="O61" s="3288"/>
      <c r="P61" s="3289">
        <v>2016.26</v>
      </c>
      <c r="Q61" s="735" t="str">
        <f t="shared" si="6"/>
        <v>5400B</v>
      </c>
      <c r="R61" s="732" t="str">
        <f t="shared" si="7"/>
        <v>1</v>
      </c>
      <c r="S61" s="3283" t="s">
        <v>7385</v>
      </c>
      <c r="T61" s="732"/>
      <c r="U61" s="732"/>
      <c r="V61" s="732"/>
      <c r="W61" s="734"/>
      <c r="X61" s="732"/>
      <c r="Y61" s="732"/>
      <c r="Z61" s="732"/>
      <c r="AA61" s="2770"/>
      <c r="AB61" s="2770"/>
      <c r="AC61" s="2771">
        <f t="shared" si="8"/>
        <v>0</v>
      </c>
      <c r="AD61" s="2771">
        <f t="shared" si="9"/>
        <v>2016.26</v>
      </c>
      <c r="AE61" s="847" t="str">
        <f t="shared" si="10"/>
        <v>请选择分录类型！</v>
      </c>
      <c r="AF61" s="641"/>
    </row>
    <row r="62" spans="1:32" ht="18">
      <c r="A62" s="2750"/>
      <c r="B62" s="2777" t="str">
        <f t="shared" si="0"/>
        <v/>
      </c>
      <c r="C62" s="2747" t="str">
        <f t="shared" si="1"/>
        <v/>
      </c>
      <c r="D62" s="2747" t="str">
        <f t="shared" si="2"/>
        <v/>
      </c>
      <c r="E62" s="2747" t="str">
        <f t="shared" si="3"/>
        <v/>
      </c>
      <c r="F62" s="2747">
        <f t="shared" si="4"/>
        <v>7.0540000000000003</v>
      </c>
      <c r="G62" s="2757" t="str">
        <f t="shared" si="5"/>
        <v/>
      </c>
      <c r="H62" s="3284"/>
      <c r="I62" s="3285"/>
      <c r="J62" s="3286" t="str">
        <f t="shared" si="11"/>
        <v/>
      </c>
      <c r="K62" s="689"/>
      <c r="L62" s="3287"/>
      <c r="M62" s="3287"/>
      <c r="N62" s="3287"/>
      <c r="O62" s="3288"/>
      <c r="P62" s="3289"/>
      <c r="Q62" s="735" t="str">
        <f t="shared" si="6"/>
        <v/>
      </c>
      <c r="R62" s="732" t="str">
        <f t="shared" si="7"/>
        <v/>
      </c>
      <c r="S62" s="732"/>
      <c r="T62" s="732"/>
      <c r="U62" s="732"/>
      <c r="V62" s="732"/>
      <c r="W62" s="734"/>
      <c r="X62" s="732"/>
      <c r="Y62" s="732"/>
      <c r="Z62" s="732"/>
      <c r="AA62" s="2770"/>
      <c r="AB62" s="2770"/>
      <c r="AC62" s="2771">
        <f t="shared" si="8"/>
        <v>0</v>
      </c>
      <c r="AD62" s="2771">
        <f t="shared" si="9"/>
        <v>0</v>
      </c>
      <c r="AE62" s="847" t="str">
        <f t="shared" si="10"/>
        <v/>
      </c>
      <c r="AF62" s="641"/>
    </row>
    <row r="63" spans="1:32" ht="18">
      <c r="A63" s="2750"/>
      <c r="B63" s="2777" t="str">
        <f t="shared" si="0"/>
        <v/>
      </c>
      <c r="C63" s="2747" t="str">
        <f t="shared" si="1"/>
        <v/>
      </c>
      <c r="D63" s="2747" t="str">
        <f t="shared" si="2"/>
        <v>将账面做入预收的预提费用重分类至应付账款</v>
      </c>
      <c r="E63" s="2747" t="str">
        <f t="shared" si="3"/>
        <v>8</v>
      </c>
      <c r="F63" s="2747">
        <f t="shared" si="4"/>
        <v>8.0549999999999997</v>
      </c>
      <c r="G63" s="2757" t="str">
        <f t="shared" si="5"/>
        <v>本期</v>
      </c>
      <c r="H63" s="3284"/>
      <c r="I63" s="3285">
        <v>8</v>
      </c>
      <c r="J63" s="3286" t="s">
        <v>7412</v>
      </c>
      <c r="K63" s="689"/>
      <c r="L63" s="3287"/>
      <c r="M63" s="3287"/>
      <c r="N63" s="3287"/>
      <c r="O63" s="3288"/>
      <c r="P63" s="3289"/>
      <c r="Q63" s="735" t="str">
        <f t="shared" si="6"/>
        <v/>
      </c>
      <c r="R63" s="732" t="str">
        <f t="shared" si="7"/>
        <v/>
      </c>
      <c r="S63" s="732"/>
      <c r="T63" s="732"/>
      <c r="U63" s="732"/>
      <c r="V63" s="732"/>
      <c r="W63" s="734"/>
      <c r="X63" s="732"/>
      <c r="Y63" s="732"/>
      <c r="Z63" s="732"/>
      <c r="AA63" s="2770"/>
      <c r="AB63" s="2770"/>
      <c r="AC63" s="2771">
        <f t="shared" si="8"/>
        <v>0</v>
      </c>
      <c r="AD63" s="2771">
        <f t="shared" si="9"/>
        <v>0</v>
      </c>
      <c r="AE63" s="847" t="str">
        <f t="shared" si="10"/>
        <v>请选择分录类型！</v>
      </c>
      <c r="AF63" s="641"/>
    </row>
    <row r="64" spans="1:32" ht="18">
      <c r="A64" s="2750"/>
      <c r="B64" s="2777" t="str">
        <f t="shared" si="0"/>
        <v>J2205</v>
      </c>
      <c r="C64" s="2747">
        <f t="shared" si="1"/>
        <v>2205</v>
      </c>
      <c r="D64" s="2747" t="str">
        <f t="shared" si="2"/>
        <v>将账面做入预收的预提费用重分类至应付账款</v>
      </c>
      <c r="E64" s="2747" t="str">
        <f t="shared" si="3"/>
        <v>8</v>
      </c>
      <c r="F64" s="2747">
        <f t="shared" si="4"/>
        <v>8.0559999999999992</v>
      </c>
      <c r="G64" s="2757" t="str">
        <f t="shared" si="5"/>
        <v>本期</v>
      </c>
      <c r="H64" s="3284"/>
      <c r="I64" s="3285"/>
      <c r="J64" s="3286" t="str">
        <f t="shared" si="11"/>
        <v>借</v>
      </c>
      <c r="K64" s="689" t="s">
        <v>484</v>
      </c>
      <c r="L64" s="3287" t="s">
        <v>7413</v>
      </c>
      <c r="M64" s="3287"/>
      <c r="N64" s="3287"/>
      <c r="O64" s="3288">
        <v>860313.68</v>
      </c>
      <c r="P64" s="3289"/>
      <c r="Q64" s="735" t="str">
        <f t="shared" si="6"/>
        <v>6200C</v>
      </c>
      <c r="R64" s="732" t="str">
        <f t="shared" si="7"/>
        <v>2</v>
      </c>
      <c r="S64" s="3283" t="s">
        <v>7414</v>
      </c>
      <c r="T64" s="732"/>
      <c r="U64" s="732"/>
      <c r="V64" s="732"/>
      <c r="W64" s="734"/>
      <c r="X64" s="732"/>
      <c r="Y64" s="732"/>
      <c r="Z64" s="732"/>
      <c r="AA64" s="2770"/>
      <c r="AB64" s="2770"/>
      <c r="AC64" s="2771">
        <f t="shared" si="8"/>
        <v>860313.68</v>
      </c>
      <c r="AD64" s="2771">
        <f t="shared" si="9"/>
        <v>0</v>
      </c>
      <c r="AE64" s="847" t="str">
        <f t="shared" si="10"/>
        <v>请选择分录类型！</v>
      </c>
      <c r="AF64" s="641"/>
    </row>
    <row r="65" spans="1:32" ht="18">
      <c r="A65" s="2750"/>
      <c r="B65" s="2777" t="str">
        <f t="shared" si="0"/>
        <v>J2202</v>
      </c>
      <c r="C65" s="2747">
        <f t="shared" si="1"/>
        <v>2202</v>
      </c>
      <c r="D65" s="2747" t="str">
        <f t="shared" si="2"/>
        <v>将账面做入预收的预提费用重分类至应付账款</v>
      </c>
      <c r="E65" s="2747" t="str">
        <f t="shared" si="3"/>
        <v>8</v>
      </c>
      <c r="F65" s="2747">
        <f t="shared" si="4"/>
        <v>8.0570000000000004</v>
      </c>
      <c r="G65" s="2757" t="str">
        <f t="shared" si="5"/>
        <v>本期</v>
      </c>
      <c r="H65" s="3284"/>
      <c r="I65" s="3285"/>
      <c r="J65" s="3286" t="str">
        <f t="shared" si="11"/>
        <v>贷</v>
      </c>
      <c r="K65" s="689" t="s">
        <v>476</v>
      </c>
      <c r="L65" s="3287"/>
      <c r="M65" s="3287"/>
      <c r="N65" s="3287"/>
      <c r="O65" s="3288"/>
      <c r="P65" s="3289">
        <v>860313.68</v>
      </c>
      <c r="Q65" s="735" t="str">
        <f t="shared" si="6"/>
        <v>6100A</v>
      </c>
      <c r="R65" s="732" t="str">
        <f t="shared" si="7"/>
        <v>2</v>
      </c>
      <c r="S65" s="3283" t="s">
        <v>7414</v>
      </c>
      <c r="T65" s="732"/>
      <c r="U65" s="732"/>
      <c r="V65" s="732"/>
      <c r="W65" s="734"/>
      <c r="X65" s="732"/>
      <c r="Y65" s="732"/>
      <c r="Z65" s="732"/>
      <c r="AA65" s="2770"/>
      <c r="AB65" s="2770"/>
      <c r="AC65" s="2771">
        <f t="shared" si="8"/>
        <v>0</v>
      </c>
      <c r="AD65" s="2771">
        <f t="shared" si="9"/>
        <v>860313.68</v>
      </c>
      <c r="AE65" s="847" t="str">
        <f t="shared" si="10"/>
        <v>请选择分录类型！</v>
      </c>
      <c r="AF65" s="641"/>
    </row>
    <row r="66" spans="1:32" ht="18">
      <c r="A66" s="2750"/>
      <c r="B66" s="2777" t="str">
        <f t="shared" si="0"/>
        <v/>
      </c>
      <c r="C66" s="2747" t="str">
        <f t="shared" si="1"/>
        <v/>
      </c>
      <c r="D66" s="2747" t="str">
        <f t="shared" si="2"/>
        <v/>
      </c>
      <c r="E66" s="2747" t="str">
        <f t="shared" si="3"/>
        <v/>
      </c>
      <c r="F66" s="2747">
        <f t="shared" si="4"/>
        <v>8.0579999999999998</v>
      </c>
      <c r="G66" s="2757" t="str">
        <f t="shared" si="5"/>
        <v/>
      </c>
      <c r="H66" s="3284"/>
      <c r="I66" s="3285"/>
      <c r="J66" s="3286" t="str">
        <f t="shared" si="11"/>
        <v/>
      </c>
      <c r="K66" s="689"/>
      <c r="L66" s="3287"/>
      <c r="M66" s="3287"/>
      <c r="N66" s="3287"/>
      <c r="O66" s="3288"/>
      <c r="P66" s="3289"/>
      <c r="Q66" s="735" t="str">
        <f t="shared" si="6"/>
        <v/>
      </c>
      <c r="R66" s="732" t="str">
        <f t="shared" si="7"/>
        <v/>
      </c>
      <c r="S66" s="3283" t="s">
        <v>7414</v>
      </c>
      <c r="T66" s="732"/>
      <c r="U66" s="732"/>
      <c r="V66" s="732"/>
      <c r="W66" s="734"/>
      <c r="X66" s="732"/>
      <c r="Y66" s="732"/>
      <c r="Z66" s="732"/>
      <c r="AA66" s="2770"/>
      <c r="AB66" s="2770"/>
      <c r="AC66" s="2771">
        <f t="shared" si="8"/>
        <v>0</v>
      </c>
      <c r="AD66" s="2771">
        <f t="shared" si="9"/>
        <v>0</v>
      </c>
      <c r="AE66" s="847" t="str">
        <f t="shared" si="10"/>
        <v/>
      </c>
      <c r="AF66" s="641"/>
    </row>
    <row r="67" spans="1:32" ht="18">
      <c r="A67" s="2750"/>
      <c r="B67" s="2777" t="str">
        <f t="shared" si="0"/>
        <v/>
      </c>
      <c r="C67" s="2747" t="str">
        <f t="shared" si="1"/>
        <v/>
      </c>
      <c r="D67" s="2747" t="str">
        <f t="shared" si="2"/>
        <v>补提应收账款坏账准备</v>
      </c>
      <c r="E67" s="2747" t="str">
        <f t="shared" si="3"/>
        <v>9</v>
      </c>
      <c r="F67" s="2747">
        <f t="shared" si="4"/>
        <v>9.0589999999999993</v>
      </c>
      <c r="G67" s="2757" t="str">
        <f t="shared" si="5"/>
        <v>本期</v>
      </c>
      <c r="H67" s="3284"/>
      <c r="I67" s="3285">
        <v>9</v>
      </c>
      <c r="J67" s="3290" t="s">
        <v>7415</v>
      </c>
      <c r="K67" s="689"/>
      <c r="L67" s="3287"/>
      <c r="M67" s="3287"/>
      <c r="N67" s="3287"/>
      <c r="O67" s="3288"/>
      <c r="P67" s="3289"/>
      <c r="Q67" s="735" t="str">
        <f t="shared" si="6"/>
        <v/>
      </c>
      <c r="R67" s="732" t="str">
        <f t="shared" si="7"/>
        <v/>
      </c>
      <c r="S67" s="3283" t="s">
        <v>7414</v>
      </c>
      <c r="T67" s="732"/>
      <c r="U67" s="732"/>
      <c r="V67" s="732"/>
      <c r="W67" s="734"/>
      <c r="X67" s="732"/>
      <c r="Y67" s="732"/>
      <c r="Z67" s="732"/>
      <c r="AA67" s="2770"/>
      <c r="AB67" s="2770"/>
      <c r="AC67" s="2771">
        <f t="shared" si="8"/>
        <v>0</v>
      </c>
      <c r="AD67" s="2771">
        <f t="shared" si="9"/>
        <v>0</v>
      </c>
      <c r="AE67" s="847" t="str">
        <f t="shared" si="10"/>
        <v>请选择分录类型！</v>
      </c>
      <c r="AF67" s="641"/>
    </row>
    <row r="68" spans="1:32" ht="18">
      <c r="A68" s="2750"/>
      <c r="B68" s="2777" t="str">
        <f t="shared" si="0"/>
        <v>J6672</v>
      </c>
      <c r="C68" s="2747">
        <f t="shared" si="1"/>
        <v>6672</v>
      </c>
      <c r="D68" s="2747" t="str">
        <f t="shared" si="2"/>
        <v>补提应收账款坏账准备</v>
      </c>
      <c r="E68" s="2747" t="str">
        <f t="shared" si="3"/>
        <v>9</v>
      </c>
      <c r="F68" s="2747">
        <f t="shared" si="4"/>
        <v>9.06</v>
      </c>
      <c r="G68" s="2757" t="str">
        <f t="shared" si="5"/>
        <v>本期</v>
      </c>
      <c r="H68" s="3284"/>
      <c r="I68" s="3285"/>
      <c r="J68" s="3286" t="s">
        <v>6710</v>
      </c>
      <c r="K68" s="3278" t="s">
        <v>701</v>
      </c>
      <c r="L68" s="3291" t="s">
        <v>167</v>
      </c>
      <c r="M68" s="3287"/>
      <c r="N68" s="3287"/>
      <c r="O68" s="3288">
        <v>544984.78</v>
      </c>
      <c r="P68" s="3289"/>
      <c r="Q68" s="735" t="str">
        <f t="shared" si="6"/>
        <v>7410E</v>
      </c>
      <c r="R68" s="732" t="str">
        <f t="shared" si="7"/>
        <v>6</v>
      </c>
      <c r="S68" s="3283" t="s">
        <v>7414</v>
      </c>
      <c r="T68" s="732"/>
      <c r="U68" s="732"/>
      <c r="V68" s="732"/>
      <c r="W68" s="734"/>
      <c r="X68" s="732"/>
      <c r="Y68" s="732"/>
      <c r="Z68" s="732"/>
      <c r="AA68" s="2770"/>
      <c r="AB68" s="2770"/>
      <c r="AC68" s="2771">
        <f t="shared" si="8"/>
        <v>544984.78</v>
      </c>
      <c r="AD68" s="2771">
        <f t="shared" si="9"/>
        <v>0</v>
      </c>
      <c r="AE68" s="847" t="str">
        <f t="shared" si="10"/>
        <v>请选择分录类型！</v>
      </c>
      <c r="AF68" s="641"/>
    </row>
    <row r="69" spans="1:32" ht="18">
      <c r="A69" s="2750"/>
      <c r="B69" s="2777" t="str">
        <f t="shared" si="0"/>
        <v>J1122.1231</v>
      </c>
      <c r="C69" s="2747">
        <f t="shared" si="1"/>
        <v>1122.1231</v>
      </c>
      <c r="D69" s="2747" t="str">
        <f t="shared" si="2"/>
        <v>补提应收账款坏账准备</v>
      </c>
      <c r="E69" s="2747" t="str">
        <f t="shared" si="3"/>
        <v>9</v>
      </c>
      <c r="F69" s="2747">
        <f t="shared" si="4"/>
        <v>9.0609999999999999</v>
      </c>
      <c r="G69" s="2757" t="str">
        <f t="shared" si="5"/>
        <v>本期</v>
      </c>
      <c r="H69" s="3284"/>
      <c r="I69" s="3285"/>
      <c r="J69" s="3286" t="s">
        <v>6711</v>
      </c>
      <c r="K69" s="3278" t="s">
        <v>167</v>
      </c>
      <c r="L69" s="3291"/>
      <c r="M69" s="3287"/>
      <c r="N69" s="3287"/>
      <c r="O69" s="3288"/>
      <c r="P69" s="3289">
        <v>544984.78</v>
      </c>
      <c r="Q69" s="735" t="str">
        <f t="shared" si="6"/>
        <v>5200A</v>
      </c>
      <c r="R69" s="732" t="str">
        <f t="shared" si="7"/>
        <v>1</v>
      </c>
      <c r="S69" s="3283" t="s">
        <v>7414</v>
      </c>
      <c r="T69" s="732"/>
      <c r="U69" s="732"/>
      <c r="V69" s="732"/>
      <c r="W69" s="734"/>
      <c r="X69" s="732"/>
      <c r="Y69" s="732"/>
      <c r="Z69" s="732"/>
      <c r="AA69" s="2770"/>
      <c r="AB69" s="2770"/>
      <c r="AC69" s="2771">
        <f t="shared" si="8"/>
        <v>0</v>
      </c>
      <c r="AD69" s="2771">
        <f t="shared" si="9"/>
        <v>544984.78</v>
      </c>
      <c r="AE69" s="847" t="str">
        <f t="shared" si="10"/>
        <v>请选择分录类型！</v>
      </c>
      <c r="AF69" s="641"/>
    </row>
    <row r="70" spans="1:32" ht="18">
      <c r="A70" s="2750"/>
      <c r="B70" s="2777" t="str">
        <f t="shared" si="0"/>
        <v/>
      </c>
      <c r="C70" s="2747" t="str">
        <f t="shared" si="1"/>
        <v/>
      </c>
      <c r="D70" s="2747" t="str">
        <f t="shared" si="2"/>
        <v/>
      </c>
      <c r="E70" s="2747" t="str">
        <f t="shared" si="3"/>
        <v/>
      </c>
      <c r="F70" s="2747">
        <f t="shared" si="4"/>
        <v>9.0619999999999994</v>
      </c>
      <c r="G70" s="2757" t="str">
        <f t="shared" si="5"/>
        <v/>
      </c>
      <c r="H70" s="3284"/>
      <c r="I70" s="3285"/>
      <c r="J70" s="3286" t="str">
        <f t="shared" si="11"/>
        <v/>
      </c>
      <c r="K70" s="689"/>
      <c r="L70" s="3287"/>
      <c r="M70" s="3287"/>
      <c r="N70" s="3287"/>
      <c r="O70" s="3288"/>
      <c r="P70" s="3289"/>
      <c r="Q70" s="735" t="str">
        <f t="shared" si="6"/>
        <v/>
      </c>
      <c r="R70" s="732" t="str">
        <f t="shared" si="7"/>
        <v/>
      </c>
      <c r="S70" s="732"/>
      <c r="T70" s="732"/>
      <c r="U70" s="732"/>
      <c r="V70" s="732"/>
      <c r="W70" s="734"/>
      <c r="X70" s="732"/>
      <c r="Y70" s="732"/>
      <c r="Z70" s="732"/>
      <c r="AA70" s="2770"/>
      <c r="AB70" s="2770"/>
      <c r="AC70" s="2771">
        <f t="shared" si="8"/>
        <v>0</v>
      </c>
      <c r="AD70" s="2771">
        <f t="shared" si="9"/>
        <v>0</v>
      </c>
      <c r="AE70" s="847" t="str">
        <f t="shared" si="10"/>
        <v/>
      </c>
      <c r="AF70" s="641"/>
    </row>
    <row r="71" spans="1:32" ht="18">
      <c r="A71" s="2750"/>
      <c r="B71" s="2777" t="str">
        <f t="shared" si="0"/>
        <v/>
      </c>
      <c r="C71" s="2747" t="str">
        <f t="shared" si="1"/>
        <v/>
      </c>
      <c r="D71" s="2747" t="str">
        <f t="shared" si="2"/>
        <v>补提其他应收款坏账准备</v>
      </c>
      <c r="E71" s="2747" t="str">
        <f t="shared" si="3"/>
        <v>10</v>
      </c>
      <c r="F71" s="2747">
        <f t="shared" si="4"/>
        <v>10.063000000000001</v>
      </c>
      <c r="G71" s="2757" t="str">
        <f t="shared" si="5"/>
        <v>本期</v>
      </c>
      <c r="H71" s="3284"/>
      <c r="I71" s="3285">
        <v>10</v>
      </c>
      <c r="J71" s="3290" t="s">
        <v>7450</v>
      </c>
      <c r="K71" s="689"/>
      <c r="L71" s="3287"/>
      <c r="M71" s="3287"/>
      <c r="N71" s="3287"/>
      <c r="O71" s="3288"/>
      <c r="P71" s="3289"/>
      <c r="Q71" s="735" t="str">
        <f t="shared" si="6"/>
        <v/>
      </c>
      <c r="R71" s="732" t="str">
        <f t="shared" si="7"/>
        <v/>
      </c>
      <c r="S71" s="732"/>
      <c r="T71" s="732"/>
      <c r="U71" s="732"/>
      <c r="V71" s="732"/>
      <c r="W71" s="734"/>
      <c r="X71" s="732"/>
      <c r="Y71" s="732"/>
      <c r="Z71" s="732"/>
      <c r="AA71" s="2770"/>
      <c r="AB71" s="2770"/>
      <c r="AC71" s="2771">
        <f t="shared" si="8"/>
        <v>0</v>
      </c>
      <c r="AD71" s="2771">
        <f t="shared" si="9"/>
        <v>0</v>
      </c>
      <c r="AE71" s="847" t="str">
        <f t="shared" si="10"/>
        <v>请选择分录类型！</v>
      </c>
      <c r="AF71" s="641"/>
    </row>
    <row r="72" spans="1:32" ht="18">
      <c r="A72" s="2750"/>
      <c r="B72" s="2777" t="str">
        <f t="shared" si="0"/>
        <v>J6672</v>
      </c>
      <c r="C72" s="2747">
        <f t="shared" si="1"/>
        <v>6672</v>
      </c>
      <c r="D72" s="2747" t="str">
        <f t="shared" si="2"/>
        <v>补提其他应收款坏账准备</v>
      </c>
      <c r="E72" s="2747" t="str">
        <f t="shared" si="3"/>
        <v>10</v>
      </c>
      <c r="F72" s="2747">
        <f t="shared" si="4"/>
        <v>10.064</v>
      </c>
      <c r="G72" s="2757" t="str">
        <f t="shared" si="5"/>
        <v>本期</v>
      </c>
      <c r="H72" s="3284"/>
      <c r="I72" s="3285"/>
      <c r="J72" s="3286" t="str">
        <f t="shared" si="11"/>
        <v>借</v>
      </c>
      <c r="K72" s="3278" t="s">
        <v>701</v>
      </c>
      <c r="L72" s="3291" t="s">
        <v>7451</v>
      </c>
      <c r="M72" s="3287"/>
      <c r="N72" s="3287"/>
      <c r="O72" s="3288">
        <v>121544.74</v>
      </c>
      <c r="P72" s="3289"/>
      <c r="Q72" s="735" t="str">
        <f t="shared" si="6"/>
        <v>7410E</v>
      </c>
      <c r="R72" s="732" t="str">
        <f t="shared" si="7"/>
        <v>6</v>
      </c>
      <c r="S72" s="732"/>
      <c r="T72" s="732"/>
      <c r="U72" s="732"/>
      <c r="V72" s="732"/>
      <c r="W72" s="734"/>
      <c r="X72" s="732"/>
      <c r="Y72" s="732"/>
      <c r="Z72" s="732"/>
      <c r="AA72" s="2770"/>
      <c r="AB72" s="2770"/>
      <c r="AC72" s="2771">
        <f t="shared" si="8"/>
        <v>121544.74</v>
      </c>
      <c r="AD72" s="2771">
        <f t="shared" si="9"/>
        <v>0</v>
      </c>
      <c r="AE72" s="847" t="str">
        <f t="shared" si="10"/>
        <v>请选择分录类型！</v>
      </c>
      <c r="AF72" s="641"/>
    </row>
    <row r="73" spans="1:32" ht="18">
      <c r="A73" s="2750"/>
      <c r="B73" s="2777" t="str">
        <f t="shared" si="0"/>
        <v>J1221.1231</v>
      </c>
      <c r="C73" s="2747">
        <f t="shared" si="1"/>
        <v>1221.1231</v>
      </c>
      <c r="D73" s="2747" t="str">
        <f t="shared" ref="D73:D136" si="12">IF($O73&amp;$P73&lt;&gt;"",cellAbove,INDEX($J:$J,ROW()))&amp;""</f>
        <v>补提其他应收款坏账准备</v>
      </c>
      <c r="E73" s="2747" t="str">
        <f t="shared" ref="E73:E136" si="13">IF($O73&amp;$P73&lt;&gt;"",cellAbove,INDEX($I:$I,ROW()))&amp;""</f>
        <v>10</v>
      </c>
      <c r="F73" s="2747">
        <f t="shared" si="4"/>
        <v>10.065</v>
      </c>
      <c r="G73" s="2757" t="str">
        <f t="shared" si="5"/>
        <v>本期</v>
      </c>
      <c r="H73" s="3284"/>
      <c r="I73" s="3285"/>
      <c r="J73" s="3286" t="str">
        <f t="shared" si="11"/>
        <v>贷</v>
      </c>
      <c r="K73" s="3278" t="s">
        <v>7451</v>
      </c>
      <c r="L73" s="3291"/>
      <c r="M73" s="3287"/>
      <c r="N73" s="3287"/>
      <c r="O73" s="3288"/>
      <c r="P73" s="3289">
        <v>121544.74</v>
      </c>
      <c r="Q73" s="735" t="str">
        <f t="shared" si="6"/>
        <v>5200D</v>
      </c>
      <c r="R73" s="732" t="str">
        <f t="shared" si="7"/>
        <v>1</v>
      </c>
      <c r="S73" s="732"/>
      <c r="T73" s="732"/>
      <c r="U73" s="732"/>
      <c r="V73" s="732"/>
      <c r="W73" s="734"/>
      <c r="X73" s="732"/>
      <c r="Y73" s="732"/>
      <c r="Z73" s="732"/>
      <c r="AA73" s="2770"/>
      <c r="AB73" s="2770"/>
      <c r="AC73" s="2771">
        <f t="shared" si="8"/>
        <v>0</v>
      </c>
      <c r="AD73" s="2771">
        <f t="shared" si="9"/>
        <v>121544.74</v>
      </c>
      <c r="AE73" s="847" t="str">
        <f t="shared" si="10"/>
        <v>请选择分录类型！</v>
      </c>
      <c r="AF73" s="641"/>
    </row>
    <row r="74" spans="1:32" ht="18">
      <c r="A74" s="2750"/>
      <c r="B74" s="2777" t="str">
        <f t="shared" si="0"/>
        <v/>
      </c>
      <c r="C74" s="2747" t="str">
        <f t="shared" si="1"/>
        <v/>
      </c>
      <c r="D74" s="2747" t="str">
        <f t="shared" si="12"/>
        <v/>
      </c>
      <c r="E74" s="2747" t="str">
        <f t="shared" si="13"/>
        <v/>
      </c>
      <c r="F74" s="2747">
        <f t="shared" si="4"/>
        <v>10.066000000000001</v>
      </c>
      <c r="G74" s="2757" t="str">
        <f t="shared" si="5"/>
        <v/>
      </c>
      <c r="H74" s="3284"/>
      <c r="I74" s="3285"/>
      <c r="J74" s="3286" t="str">
        <f t="shared" si="11"/>
        <v/>
      </c>
      <c r="K74" s="689"/>
      <c r="L74" s="3287"/>
      <c r="M74" s="3287"/>
      <c r="N74" s="3287"/>
      <c r="O74" s="3288"/>
      <c r="P74" s="3289"/>
      <c r="Q74" s="735" t="str">
        <f t="shared" si="6"/>
        <v/>
      </c>
      <c r="R74" s="732" t="str">
        <f t="shared" si="7"/>
        <v/>
      </c>
      <c r="S74" s="732"/>
      <c r="T74" s="732"/>
      <c r="U74" s="732"/>
      <c r="V74" s="732"/>
      <c r="W74" s="734"/>
      <c r="X74" s="732"/>
      <c r="Y74" s="732"/>
      <c r="Z74" s="732"/>
      <c r="AA74" s="2770"/>
      <c r="AB74" s="2770"/>
      <c r="AC74" s="2771">
        <f t="shared" si="8"/>
        <v>0</v>
      </c>
      <c r="AD74" s="2771">
        <f t="shared" si="9"/>
        <v>0</v>
      </c>
      <c r="AE74" s="847" t="str">
        <f t="shared" si="10"/>
        <v/>
      </c>
      <c r="AF74" s="641"/>
    </row>
    <row r="75" spans="1:32" ht="18">
      <c r="A75" s="2750"/>
      <c r="B75" s="2777" t="str">
        <f t="shared" si="0"/>
        <v/>
      </c>
      <c r="C75" s="2747" t="str">
        <f t="shared" si="1"/>
        <v/>
      </c>
      <c r="D75" s="2747" t="str">
        <f t="shared" si="12"/>
        <v>补提所得税费用</v>
      </c>
      <c r="E75" s="2747" t="str">
        <f t="shared" si="13"/>
        <v>11</v>
      </c>
      <c r="F75" s="2747">
        <f t="shared" si="4"/>
        <v>11.067</v>
      </c>
      <c r="G75" s="2757" t="str">
        <f t="shared" si="5"/>
        <v>本期</v>
      </c>
      <c r="H75" s="650"/>
      <c r="I75" s="691">
        <v>11</v>
      </c>
      <c r="J75" s="692" t="s">
        <v>7452</v>
      </c>
      <c r="K75" s="689"/>
      <c r="L75" s="693"/>
      <c r="M75" s="693"/>
      <c r="N75" s="693"/>
      <c r="O75" s="193"/>
      <c r="P75" s="215"/>
      <c r="Q75" s="735" t="str">
        <f t="shared" si="6"/>
        <v/>
      </c>
      <c r="R75" s="732" t="str">
        <f t="shared" si="7"/>
        <v/>
      </c>
      <c r="S75" s="732"/>
      <c r="T75" s="732"/>
      <c r="U75" s="732"/>
      <c r="V75" s="732"/>
      <c r="W75" s="734"/>
      <c r="X75" s="732"/>
      <c r="Y75" s="732"/>
      <c r="Z75" s="732"/>
      <c r="AA75" s="2770"/>
      <c r="AB75" s="2770"/>
      <c r="AC75" s="2771">
        <f t="shared" si="8"/>
        <v>0</v>
      </c>
      <c r="AD75" s="2771">
        <f t="shared" si="9"/>
        <v>0</v>
      </c>
      <c r="AE75" s="847" t="str">
        <f t="shared" si="10"/>
        <v>请选择分录类型！</v>
      </c>
      <c r="AF75" s="641"/>
    </row>
    <row r="76" spans="1:32" ht="18">
      <c r="A76" s="2750"/>
      <c r="B76" s="2777" t="str">
        <f t="shared" si="0"/>
        <v>J6791</v>
      </c>
      <c r="C76" s="2747">
        <f t="shared" si="1"/>
        <v>6791</v>
      </c>
      <c r="D76" s="2747" t="str">
        <f t="shared" si="12"/>
        <v>补提所得税费用</v>
      </c>
      <c r="E76" s="2747" t="str">
        <f t="shared" si="13"/>
        <v>11</v>
      </c>
      <c r="F76" s="2747">
        <f t="shared" ref="F76:F84" si="14">VALUE(IF(E76="",E75&amp;"."&amp;TEXT((ROW()-8),"000"),E76&amp;"."&amp;TEXT((ROW()-8),"000")))</f>
        <v>11.068</v>
      </c>
      <c r="G76" s="2757" t="str">
        <f t="shared" si="5"/>
        <v>本期</v>
      </c>
      <c r="H76" s="3297"/>
      <c r="I76" s="780"/>
      <c r="J76" s="3286" t="s">
        <v>6710</v>
      </c>
      <c r="K76" s="689" t="s">
        <v>717</v>
      </c>
      <c r="L76" s="695"/>
      <c r="M76" s="695"/>
      <c r="N76" s="695"/>
      <c r="O76" s="196">
        <f>所得税费用!C42</f>
        <v>551134.06000000006</v>
      </c>
      <c r="P76" s="216"/>
      <c r="Q76" s="3298" t="str">
        <f t="shared" si="6"/>
        <v>7500A</v>
      </c>
      <c r="R76" s="732" t="str">
        <f t="shared" si="7"/>
        <v>6</v>
      </c>
      <c r="S76" s="732"/>
      <c r="T76" s="732"/>
      <c r="U76" s="732"/>
      <c r="V76" s="732"/>
      <c r="W76" s="734"/>
      <c r="X76" s="732"/>
      <c r="Y76" s="732"/>
      <c r="Z76" s="732"/>
      <c r="AA76" s="2770"/>
      <c r="AB76" s="2770"/>
      <c r="AC76" s="2771">
        <f t="shared" si="8"/>
        <v>551134.06000000006</v>
      </c>
      <c r="AD76" s="2771">
        <f t="shared" si="9"/>
        <v>0</v>
      </c>
      <c r="AE76" s="847" t="str">
        <f t="shared" si="10"/>
        <v>请选择分录类型！</v>
      </c>
      <c r="AF76" s="641"/>
    </row>
    <row r="77" spans="1:32" ht="18">
      <c r="A77" s="2750"/>
      <c r="B77" s="2777" t="str">
        <f t="shared" si="0"/>
        <v>J2221</v>
      </c>
      <c r="C77" s="2747">
        <f t="shared" si="1"/>
        <v>2221</v>
      </c>
      <c r="D77" s="2747" t="str">
        <f t="shared" si="12"/>
        <v>补提所得税费用</v>
      </c>
      <c r="E77" s="2747" t="str">
        <f t="shared" si="13"/>
        <v>11</v>
      </c>
      <c r="F77" s="2747">
        <f t="shared" si="14"/>
        <v>11.069000000000001</v>
      </c>
      <c r="G77" s="2757" t="str">
        <f t="shared" si="5"/>
        <v>本期</v>
      </c>
      <c r="H77" s="3297"/>
      <c r="I77" s="780"/>
      <c r="J77" s="3286" t="s">
        <v>6711</v>
      </c>
      <c r="K77" s="689" t="s">
        <v>494</v>
      </c>
      <c r="L77" s="695" t="s">
        <v>7453</v>
      </c>
      <c r="M77" s="695"/>
      <c r="N77" s="695"/>
      <c r="O77" s="196"/>
      <c r="P77" s="216">
        <f>O76</f>
        <v>551134.06000000006</v>
      </c>
      <c r="Q77" s="3298" t="str">
        <f t="shared" si="6"/>
        <v>6150B</v>
      </c>
      <c r="R77" s="732" t="str">
        <f t="shared" si="7"/>
        <v>2</v>
      </c>
      <c r="S77" s="732"/>
      <c r="T77" s="732"/>
      <c r="U77" s="732"/>
      <c r="V77" s="732"/>
      <c r="W77" s="734"/>
      <c r="X77" s="732"/>
      <c r="Y77" s="732"/>
      <c r="Z77" s="732"/>
      <c r="AA77" s="2770"/>
      <c r="AB77" s="2770"/>
      <c r="AC77" s="2771">
        <f t="shared" si="8"/>
        <v>0</v>
      </c>
      <c r="AD77" s="2771">
        <f t="shared" si="9"/>
        <v>551134.06000000006</v>
      </c>
      <c r="AE77" s="847" t="str">
        <f t="shared" si="10"/>
        <v>请选择分录类型！</v>
      </c>
      <c r="AF77" s="641"/>
    </row>
    <row r="78" spans="1:32" ht="18">
      <c r="A78" s="2750"/>
      <c r="B78" s="2777" t="str">
        <f t="shared" si="0"/>
        <v/>
      </c>
      <c r="C78" s="2747" t="str">
        <f t="shared" si="1"/>
        <v/>
      </c>
      <c r="D78" s="2747" t="str">
        <f t="shared" si="12"/>
        <v/>
      </c>
      <c r="E78" s="2747" t="str">
        <f t="shared" si="13"/>
        <v/>
      </c>
      <c r="F78" s="2747">
        <f t="shared" si="14"/>
        <v>11.07</v>
      </c>
      <c r="G78" s="2757" t="str">
        <f t="shared" si="5"/>
        <v/>
      </c>
      <c r="H78" s="3297"/>
      <c r="I78" s="780"/>
      <c r="J78" s="3286" t="s">
        <v>19</v>
      </c>
      <c r="K78" s="689"/>
      <c r="L78" s="695"/>
      <c r="M78" s="695"/>
      <c r="N78" s="695"/>
      <c r="O78" s="196"/>
      <c r="P78" s="216"/>
      <c r="Q78" s="3298" t="str">
        <f t="shared" si="6"/>
        <v/>
      </c>
      <c r="R78" s="732" t="str">
        <f t="shared" si="7"/>
        <v/>
      </c>
      <c r="S78" s="732"/>
      <c r="T78" s="732"/>
      <c r="U78" s="732"/>
      <c r="V78" s="732"/>
      <c r="W78" s="734"/>
      <c r="X78" s="732"/>
      <c r="Y78" s="732"/>
      <c r="Z78" s="732"/>
      <c r="AA78" s="2770"/>
      <c r="AB78" s="2770"/>
      <c r="AC78" s="2771">
        <f t="shared" si="8"/>
        <v>0</v>
      </c>
      <c r="AD78" s="2771">
        <f t="shared" si="9"/>
        <v>0</v>
      </c>
      <c r="AE78" s="847" t="str">
        <f t="shared" si="10"/>
        <v/>
      </c>
      <c r="AF78" s="641"/>
    </row>
    <row r="79" spans="1:32" ht="18">
      <c r="A79" s="2750"/>
      <c r="B79" s="2777" t="str">
        <f t="shared" si="0"/>
        <v>J1811</v>
      </c>
      <c r="C79" s="2747">
        <f t="shared" si="1"/>
        <v>1811</v>
      </c>
      <c r="D79" s="2747" t="str">
        <f t="shared" si="12"/>
        <v/>
      </c>
      <c r="E79" s="2747" t="str">
        <f t="shared" si="13"/>
        <v/>
      </c>
      <c r="F79" s="2747">
        <f t="shared" si="14"/>
        <v>7.0999999999999994E-2</v>
      </c>
      <c r="G79" s="2757" t="str">
        <f t="shared" si="5"/>
        <v>本期</v>
      </c>
      <c r="H79" s="3297"/>
      <c r="I79" s="780"/>
      <c r="J79" s="3286" t="s">
        <v>6710</v>
      </c>
      <c r="K79" s="689" t="s">
        <v>422</v>
      </c>
      <c r="L79" s="695"/>
      <c r="M79" s="695"/>
      <c r="N79" s="695"/>
      <c r="O79" s="196">
        <f>递延所得税!H16</f>
        <v>1129081.3799999999</v>
      </c>
      <c r="P79" s="216"/>
      <c r="Q79" s="3298" t="str">
        <f t="shared" si="6"/>
        <v>5850A</v>
      </c>
      <c r="R79" s="732" t="str">
        <f t="shared" si="7"/>
        <v>1</v>
      </c>
      <c r="S79" s="732"/>
      <c r="T79" s="732"/>
      <c r="U79" s="732"/>
      <c r="V79" s="732"/>
      <c r="W79" s="734"/>
      <c r="X79" s="732"/>
      <c r="Y79" s="732"/>
      <c r="Z79" s="732"/>
      <c r="AA79" s="2770"/>
      <c r="AB79" s="2770"/>
      <c r="AC79" s="2771">
        <f t="shared" si="8"/>
        <v>1129081.3799999999</v>
      </c>
      <c r="AD79" s="2771">
        <f t="shared" si="9"/>
        <v>0</v>
      </c>
      <c r="AE79" s="847" t="str">
        <f t="shared" si="10"/>
        <v>请选择分录类型！</v>
      </c>
      <c r="AF79" s="641"/>
    </row>
    <row r="80" spans="1:32" ht="18">
      <c r="A80" s="2750"/>
      <c r="B80" s="2777" t="str">
        <f t="shared" si="0"/>
        <v>J6791</v>
      </c>
      <c r="C80" s="2747">
        <f t="shared" si="1"/>
        <v>6791</v>
      </c>
      <c r="D80" s="2747" t="str">
        <f t="shared" si="12"/>
        <v/>
      </c>
      <c r="E80" s="2747" t="str">
        <f t="shared" si="13"/>
        <v/>
      </c>
      <c r="F80" s="2747">
        <f t="shared" si="14"/>
        <v>7.1999999999999995E-2</v>
      </c>
      <c r="G80" s="2757" t="str">
        <f t="shared" si="5"/>
        <v>本期</v>
      </c>
      <c r="H80" s="3297"/>
      <c r="I80" s="780"/>
      <c r="J80" s="3286" t="s">
        <v>6711</v>
      </c>
      <c r="K80" s="689" t="s">
        <v>717</v>
      </c>
      <c r="L80" s="695"/>
      <c r="M80" s="695"/>
      <c r="N80" s="695"/>
      <c r="O80" s="196"/>
      <c r="P80" s="216">
        <f>O79</f>
        <v>1129081.3799999999</v>
      </c>
      <c r="Q80" s="3298" t="str">
        <f t="shared" si="6"/>
        <v>7500A</v>
      </c>
      <c r="R80" s="732" t="str">
        <f t="shared" si="7"/>
        <v>6</v>
      </c>
      <c r="S80" s="732"/>
      <c r="T80" s="732"/>
      <c r="U80" s="732"/>
      <c r="V80" s="732"/>
      <c r="W80" s="734"/>
      <c r="X80" s="732"/>
      <c r="Y80" s="732"/>
      <c r="Z80" s="732"/>
      <c r="AA80" s="2770"/>
      <c r="AB80" s="2770"/>
      <c r="AC80" s="2771">
        <f t="shared" si="8"/>
        <v>0</v>
      </c>
      <c r="AD80" s="2771">
        <f t="shared" si="9"/>
        <v>1129081.3799999999</v>
      </c>
      <c r="AE80" s="847" t="str">
        <f t="shared" si="10"/>
        <v>请选择分录类型！</v>
      </c>
      <c r="AF80" s="641"/>
    </row>
    <row r="81" spans="1:32" ht="18">
      <c r="A81" s="2750"/>
      <c r="B81" s="2777" t="str">
        <f t="shared" si="0"/>
        <v/>
      </c>
      <c r="C81" s="2747" t="str">
        <f t="shared" si="1"/>
        <v/>
      </c>
      <c r="D81" s="2747" t="str">
        <f t="shared" si="12"/>
        <v/>
      </c>
      <c r="E81" s="2747" t="str">
        <f t="shared" si="13"/>
        <v/>
      </c>
      <c r="F81" s="2747">
        <f t="shared" si="14"/>
        <v>7.2999999999999995E-2</v>
      </c>
      <c r="G81" s="2757" t="str">
        <f t="shared" si="5"/>
        <v/>
      </c>
      <c r="H81" s="3297"/>
      <c r="I81" s="780"/>
      <c r="J81" s="3286" t="str">
        <f t="shared" si="11"/>
        <v/>
      </c>
      <c r="K81" s="689"/>
      <c r="L81" s="695"/>
      <c r="M81" s="695"/>
      <c r="N81" s="695"/>
      <c r="O81" s="196"/>
      <c r="P81" s="216"/>
      <c r="Q81" s="3298" t="str">
        <f t="shared" si="6"/>
        <v/>
      </c>
      <c r="R81" s="732" t="str">
        <f t="shared" si="7"/>
        <v/>
      </c>
      <c r="S81" s="732"/>
      <c r="T81" s="732"/>
      <c r="U81" s="732"/>
      <c r="V81" s="732"/>
      <c r="W81" s="734"/>
      <c r="X81" s="732"/>
      <c r="Y81" s="732"/>
      <c r="Z81" s="732"/>
      <c r="AA81" s="2770"/>
      <c r="AB81" s="2770"/>
      <c r="AC81" s="2771">
        <f t="shared" si="8"/>
        <v>0</v>
      </c>
      <c r="AD81" s="2771">
        <f t="shared" si="9"/>
        <v>0</v>
      </c>
      <c r="AE81" s="847" t="str">
        <f t="shared" si="10"/>
        <v/>
      </c>
      <c r="AF81" s="641"/>
    </row>
    <row r="82" spans="1:32" ht="18">
      <c r="A82" s="2750"/>
      <c r="B82" s="2777" t="str">
        <f t="shared" si="0"/>
        <v/>
      </c>
      <c r="C82" s="2747" t="str">
        <f t="shared" si="1"/>
        <v/>
      </c>
      <c r="D82" s="2747" t="str">
        <f t="shared" si="12"/>
        <v>补提盈余公积</v>
      </c>
      <c r="E82" s="2747" t="str">
        <f t="shared" si="13"/>
        <v/>
      </c>
      <c r="F82" s="2747">
        <f t="shared" si="14"/>
        <v>7.3999999999999996E-2</v>
      </c>
      <c r="G82" s="2757" t="str">
        <f t="shared" si="5"/>
        <v>本期</v>
      </c>
      <c r="H82" s="3297"/>
      <c r="I82" s="780"/>
      <c r="J82" s="3286" t="s">
        <v>7454</v>
      </c>
      <c r="K82" s="689"/>
      <c r="L82" s="695"/>
      <c r="M82" s="695"/>
      <c r="N82" s="695"/>
      <c r="O82" s="196"/>
      <c r="P82" s="216"/>
      <c r="Q82" s="3298" t="str">
        <f t="shared" si="6"/>
        <v/>
      </c>
      <c r="R82" s="732" t="str">
        <f t="shared" si="7"/>
        <v/>
      </c>
      <c r="S82" s="732"/>
      <c r="T82" s="732"/>
      <c r="U82" s="732"/>
      <c r="V82" s="732"/>
      <c r="W82" s="734"/>
      <c r="X82" s="732"/>
      <c r="Y82" s="732"/>
      <c r="Z82" s="732"/>
      <c r="AA82" s="2770"/>
      <c r="AB82" s="2770"/>
      <c r="AC82" s="2771">
        <f t="shared" si="8"/>
        <v>0</v>
      </c>
      <c r="AD82" s="2771">
        <f t="shared" si="9"/>
        <v>0</v>
      </c>
      <c r="AE82" s="847" t="str">
        <f t="shared" si="10"/>
        <v>请选择分录类型！</v>
      </c>
      <c r="AF82" s="641"/>
    </row>
    <row r="83" spans="1:32" ht="18">
      <c r="A83" s="2750"/>
      <c r="B83" s="2777" t="str">
        <f t="shared" si="0"/>
        <v>J8761</v>
      </c>
      <c r="C83" s="2747">
        <f t="shared" si="1"/>
        <v>8761</v>
      </c>
      <c r="D83" s="2747" t="str">
        <f t="shared" si="12"/>
        <v>借</v>
      </c>
      <c r="E83" s="2747" t="str">
        <f t="shared" si="13"/>
        <v/>
      </c>
      <c r="F83" s="2747">
        <f t="shared" si="14"/>
        <v>7.4999999999999997E-2</v>
      </c>
      <c r="G83" s="2757" t="str">
        <f t="shared" si="5"/>
        <v>本期</v>
      </c>
      <c r="H83" s="3297"/>
      <c r="I83" s="780"/>
      <c r="J83" s="3286" t="s">
        <v>6710</v>
      </c>
      <c r="K83" s="689" t="s">
        <v>1770</v>
      </c>
      <c r="L83" s="695"/>
      <c r="M83" s="695"/>
      <c r="N83" s="695"/>
      <c r="O83" s="196"/>
      <c r="P83" s="216"/>
      <c r="Q83" s="3298" t="str">
        <f t="shared" si="6"/>
        <v>6900N</v>
      </c>
      <c r="R83" s="732" t="str">
        <f t="shared" si="7"/>
        <v>8</v>
      </c>
      <c r="S83" s="732"/>
      <c r="T83" s="732"/>
      <c r="U83" s="732"/>
      <c r="V83" s="732"/>
      <c r="W83" s="734"/>
      <c r="X83" s="732"/>
      <c r="Y83" s="732"/>
      <c r="Z83" s="732"/>
      <c r="AA83" s="2770"/>
      <c r="AB83" s="2770"/>
      <c r="AC83" s="2771">
        <f t="shared" si="8"/>
        <v>0</v>
      </c>
      <c r="AD83" s="2771">
        <f t="shared" si="9"/>
        <v>0</v>
      </c>
      <c r="AE83" s="847" t="str">
        <f t="shared" si="10"/>
        <v>请选择分录类型！</v>
      </c>
      <c r="AF83" s="641"/>
    </row>
    <row r="84" spans="1:32" ht="18">
      <c r="A84" s="2750"/>
      <c r="B84" s="2777" t="str">
        <f t="shared" si="0"/>
        <v>J8561</v>
      </c>
      <c r="C84" s="2747">
        <f t="shared" si="1"/>
        <v>8561</v>
      </c>
      <c r="D84" s="2747" t="str">
        <f t="shared" si="12"/>
        <v>贷</v>
      </c>
      <c r="E84" s="2747" t="str">
        <f t="shared" si="13"/>
        <v/>
      </c>
      <c r="F84" s="2747">
        <f t="shared" si="14"/>
        <v>7.5999999999999998E-2</v>
      </c>
      <c r="G84" s="2757" t="str">
        <f t="shared" si="5"/>
        <v>本期</v>
      </c>
      <c r="H84" s="3297"/>
      <c r="I84" s="780"/>
      <c r="J84" s="3286" t="s">
        <v>6711</v>
      </c>
      <c r="K84" s="689" t="s">
        <v>1537</v>
      </c>
      <c r="L84" s="695"/>
      <c r="M84" s="695"/>
      <c r="N84" s="695"/>
      <c r="O84" s="196"/>
      <c r="P84" s="216"/>
      <c r="Q84" s="3298" t="str">
        <f t="shared" si="6"/>
        <v>6900H</v>
      </c>
      <c r="R84" s="732" t="str">
        <f t="shared" si="7"/>
        <v>8</v>
      </c>
      <c r="S84" s="732"/>
      <c r="T84" s="732"/>
      <c r="U84" s="732"/>
      <c r="V84" s="732"/>
      <c r="W84" s="734"/>
      <c r="X84" s="732"/>
      <c r="Y84" s="732"/>
      <c r="Z84" s="732"/>
      <c r="AA84" s="2770"/>
      <c r="AB84" s="2770"/>
      <c r="AC84" s="2771">
        <f t="shared" si="8"/>
        <v>0</v>
      </c>
      <c r="AD84" s="2771">
        <f t="shared" si="9"/>
        <v>0</v>
      </c>
      <c r="AE84" s="847" t="str">
        <f t="shared" si="10"/>
        <v>请选择分录类型！</v>
      </c>
      <c r="AF84" s="641"/>
    </row>
    <row r="85" spans="1:32" ht="18">
      <c r="A85" s="2750"/>
      <c r="B85" s="2777" t="str">
        <f t="shared" si="0"/>
        <v/>
      </c>
      <c r="C85" s="2747" t="str">
        <f t="shared" si="1"/>
        <v/>
      </c>
      <c r="D85" s="2747" t="str">
        <f t="shared" si="12"/>
        <v/>
      </c>
      <c r="E85" s="2747" t="str">
        <f t="shared" si="13"/>
        <v/>
      </c>
      <c r="F85" s="2747">
        <f t="shared" ref="F85:F166" si="15">VALUE(IF(E85="",E84&amp;"."&amp;TEXT((ROW()-8),"000"),E85&amp;"."&amp;TEXT((ROW()-8),"000")))</f>
        <v>7.6999999999999999E-2</v>
      </c>
      <c r="G85" s="2757" t="str">
        <f t="shared" si="5"/>
        <v/>
      </c>
      <c r="H85" s="3297"/>
      <c r="I85" s="780"/>
      <c r="J85" s="3286" t="str">
        <f t="shared" si="11"/>
        <v/>
      </c>
      <c r="K85" s="689"/>
      <c r="L85" s="695"/>
      <c r="M85" s="695"/>
      <c r="N85" s="695"/>
      <c r="O85" s="196"/>
      <c r="P85" s="216"/>
      <c r="Q85" s="3298" t="str">
        <f t="shared" si="6"/>
        <v/>
      </c>
      <c r="R85" s="732" t="str">
        <f t="shared" si="7"/>
        <v/>
      </c>
      <c r="S85" s="732"/>
      <c r="T85" s="732"/>
      <c r="U85" s="732"/>
      <c r="V85" s="732"/>
      <c r="W85" s="734"/>
      <c r="X85" s="732"/>
      <c r="Y85" s="732"/>
      <c r="Z85" s="732"/>
      <c r="AA85" s="2770"/>
      <c r="AB85" s="2770"/>
      <c r="AC85" s="2771">
        <f t="shared" si="8"/>
        <v>0</v>
      </c>
      <c r="AD85" s="2771">
        <f t="shared" si="9"/>
        <v>0</v>
      </c>
      <c r="AE85" s="847" t="str">
        <f t="shared" si="10"/>
        <v/>
      </c>
      <c r="AF85" s="641"/>
    </row>
    <row r="86" spans="1:32" ht="18">
      <c r="A86" s="2750"/>
      <c r="B86" s="2777" t="str">
        <f t="shared" si="0"/>
        <v/>
      </c>
      <c r="C86" s="2747" t="str">
        <f t="shared" si="1"/>
        <v/>
      </c>
      <c r="D86" s="2747" t="str">
        <f t="shared" si="12"/>
        <v>同时挂账调整</v>
      </c>
      <c r="E86" s="2747" t="str">
        <f t="shared" si="13"/>
        <v>12</v>
      </c>
      <c r="F86" s="2747">
        <f t="shared" si="15"/>
        <v>12.077999999999999</v>
      </c>
      <c r="G86" s="2757" t="str">
        <f t="shared" si="5"/>
        <v>本期</v>
      </c>
      <c r="H86" s="3297"/>
      <c r="I86" s="780">
        <v>12</v>
      </c>
      <c r="J86" s="3290" t="s">
        <v>7455</v>
      </c>
      <c r="K86" s="689"/>
      <c r="L86" s="695"/>
      <c r="M86" s="695"/>
      <c r="N86" s="695"/>
      <c r="O86" s="196"/>
      <c r="P86" s="216"/>
      <c r="Q86" s="3298" t="str">
        <f t="shared" si="6"/>
        <v/>
      </c>
      <c r="R86" s="732" t="str">
        <f t="shared" si="7"/>
        <v/>
      </c>
      <c r="S86" s="732"/>
      <c r="T86" s="732"/>
      <c r="U86" s="732"/>
      <c r="V86" s="732"/>
      <c r="W86" s="734"/>
      <c r="X86" s="732"/>
      <c r="Y86" s="732"/>
      <c r="Z86" s="732"/>
      <c r="AA86" s="2770"/>
      <c r="AB86" s="2770"/>
      <c r="AC86" s="2771">
        <f t="shared" si="8"/>
        <v>0</v>
      </c>
      <c r="AD86" s="2771">
        <f t="shared" si="9"/>
        <v>0</v>
      </c>
      <c r="AE86" s="847" t="str">
        <f t="shared" si="10"/>
        <v>请选择分录类型！</v>
      </c>
      <c r="AF86" s="641"/>
    </row>
    <row r="87" spans="1:32" ht="18">
      <c r="A87" s="2750"/>
      <c r="B87" s="2777" t="str">
        <f t="shared" si="0"/>
        <v>J1221</v>
      </c>
      <c r="C87" s="2747">
        <f t="shared" si="1"/>
        <v>1221</v>
      </c>
      <c r="D87" s="2747" t="str">
        <f t="shared" si="12"/>
        <v>同时挂账调整</v>
      </c>
      <c r="E87" s="2747" t="str">
        <f t="shared" si="13"/>
        <v>12</v>
      </c>
      <c r="F87" s="2747">
        <f t="shared" si="15"/>
        <v>12.079000000000001</v>
      </c>
      <c r="G87" s="2757" t="str">
        <f t="shared" si="5"/>
        <v>本期</v>
      </c>
      <c r="H87" s="3297"/>
      <c r="I87" s="780"/>
      <c r="J87" s="3286" t="str">
        <f t="shared" si="11"/>
        <v>贷</v>
      </c>
      <c r="K87" s="3278" t="s">
        <v>7456</v>
      </c>
      <c r="L87" s="695"/>
      <c r="M87" s="695"/>
      <c r="N87" s="695"/>
      <c r="O87" s="196"/>
      <c r="P87" s="216">
        <v>9314</v>
      </c>
      <c r="Q87" s="3298" t="str">
        <f t="shared" si="6"/>
        <v>5200D</v>
      </c>
      <c r="R87" s="732" t="str">
        <f t="shared" si="7"/>
        <v>1</v>
      </c>
      <c r="S87" s="732"/>
      <c r="T87" s="732"/>
      <c r="U87" s="732"/>
      <c r="V87" s="732"/>
      <c r="W87" s="734"/>
      <c r="X87" s="732"/>
      <c r="Y87" s="732"/>
      <c r="Z87" s="732"/>
      <c r="AA87" s="2770"/>
      <c r="AB87" s="2770"/>
      <c r="AC87" s="2771">
        <f t="shared" si="8"/>
        <v>0</v>
      </c>
      <c r="AD87" s="2771">
        <f t="shared" si="9"/>
        <v>9314</v>
      </c>
      <c r="AE87" s="847" t="str">
        <f t="shared" si="10"/>
        <v>请选择分录类型！</v>
      </c>
      <c r="AF87" s="641"/>
    </row>
    <row r="88" spans="1:32" ht="18">
      <c r="A88" s="2750"/>
      <c r="B88" s="2777" t="str">
        <f t="shared" si="0"/>
        <v>J2241</v>
      </c>
      <c r="C88" s="2747">
        <f t="shared" si="1"/>
        <v>2241</v>
      </c>
      <c r="D88" s="2747" t="str">
        <f t="shared" si="12"/>
        <v>同时挂账调整</v>
      </c>
      <c r="E88" s="2747" t="str">
        <f t="shared" si="13"/>
        <v>12</v>
      </c>
      <c r="F88" s="2747">
        <f t="shared" si="15"/>
        <v>12.08</v>
      </c>
      <c r="G88" s="2757" t="str">
        <f t="shared" si="5"/>
        <v>本期</v>
      </c>
      <c r="H88" s="3297"/>
      <c r="I88" s="780"/>
      <c r="J88" s="3286" t="str">
        <f t="shared" si="11"/>
        <v>借</v>
      </c>
      <c r="K88" s="3278" t="s">
        <v>7457</v>
      </c>
      <c r="L88" s="695"/>
      <c r="M88" s="695"/>
      <c r="N88" s="695"/>
      <c r="O88" s="196">
        <v>9314</v>
      </c>
      <c r="P88" s="216"/>
      <c r="Q88" s="3298" t="str">
        <f t="shared" si="6"/>
        <v>6200H</v>
      </c>
      <c r="R88" s="732" t="str">
        <f t="shared" si="7"/>
        <v>2</v>
      </c>
      <c r="S88" s="732"/>
      <c r="T88" s="732"/>
      <c r="U88" s="732"/>
      <c r="V88" s="732"/>
      <c r="W88" s="734"/>
      <c r="X88" s="732"/>
      <c r="Y88" s="732"/>
      <c r="Z88" s="732"/>
      <c r="AA88" s="2770"/>
      <c r="AB88" s="2770"/>
      <c r="AC88" s="2771">
        <f t="shared" si="8"/>
        <v>9314</v>
      </c>
      <c r="AD88" s="2771">
        <f t="shared" si="9"/>
        <v>0</v>
      </c>
      <c r="AE88" s="847" t="str">
        <f t="shared" si="10"/>
        <v>请选择分录类型！</v>
      </c>
      <c r="AF88" s="641"/>
    </row>
    <row r="89" spans="1:32" ht="18">
      <c r="A89" s="2750"/>
      <c r="B89" s="2777" t="str">
        <f t="shared" si="0"/>
        <v/>
      </c>
      <c r="C89" s="2747" t="str">
        <f t="shared" si="1"/>
        <v/>
      </c>
      <c r="D89" s="2747" t="str">
        <f t="shared" si="12"/>
        <v/>
      </c>
      <c r="E89" s="2747" t="str">
        <f t="shared" si="13"/>
        <v/>
      </c>
      <c r="F89" s="2747">
        <f t="shared" si="15"/>
        <v>12.081</v>
      </c>
      <c r="G89" s="2757" t="str">
        <f t="shared" si="5"/>
        <v/>
      </c>
      <c r="H89" s="3297"/>
      <c r="I89" s="780"/>
      <c r="J89" s="3286" t="str">
        <f t="shared" si="11"/>
        <v/>
      </c>
      <c r="K89" s="689"/>
      <c r="L89" s="695"/>
      <c r="M89" s="695"/>
      <c r="N89" s="695"/>
      <c r="O89" s="196"/>
      <c r="P89" s="216"/>
      <c r="Q89" s="3298" t="str">
        <f t="shared" si="6"/>
        <v/>
      </c>
      <c r="R89" s="732" t="str">
        <f t="shared" si="7"/>
        <v/>
      </c>
      <c r="S89" s="732"/>
      <c r="T89" s="732"/>
      <c r="U89" s="732"/>
      <c r="V89" s="732"/>
      <c r="W89" s="734"/>
      <c r="X89" s="732"/>
      <c r="Y89" s="732"/>
      <c r="Z89" s="732"/>
      <c r="AA89" s="2770"/>
      <c r="AB89" s="2770"/>
      <c r="AC89" s="2771">
        <f t="shared" si="8"/>
        <v>0</v>
      </c>
      <c r="AD89" s="2771">
        <f t="shared" si="9"/>
        <v>0</v>
      </c>
      <c r="AE89" s="847" t="str">
        <f t="shared" si="10"/>
        <v/>
      </c>
      <c r="AF89" s="641"/>
    </row>
    <row r="90" spans="1:32" ht="18">
      <c r="A90" s="2750"/>
      <c r="B90" s="2777" t="str">
        <f t="shared" si="0"/>
        <v/>
      </c>
      <c r="C90" s="2747" t="str">
        <f t="shared" si="1"/>
        <v/>
      </c>
      <c r="D90" s="2747" t="str">
        <f t="shared" si="12"/>
        <v>补提2-3季度资源税、环保税</v>
      </c>
      <c r="E90" s="2747" t="str">
        <f t="shared" si="13"/>
        <v>13</v>
      </c>
      <c r="F90" s="2747">
        <f t="shared" si="15"/>
        <v>13.082000000000001</v>
      </c>
      <c r="G90" s="2757" t="str">
        <f t="shared" si="5"/>
        <v>本期</v>
      </c>
      <c r="H90" s="3297"/>
      <c r="I90" s="780">
        <v>13</v>
      </c>
      <c r="J90" s="3290" t="s">
        <v>7470</v>
      </c>
      <c r="K90" s="689"/>
      <c r="L90" s="695"/>
      <c r="M90" s="695"/>
      <c r="N90" s="695"/>
      <c r="O90" s="196"/>
      <c r="P90" s="216"/>
      <c r="Q90" s="3298" t="str">
        <f t="shared" si="6"/>
        <v/>
      </c>
      <c r="R90" s="732" t="str">
        <f t="shared" si="7"/>
        <v/>
      </c>
      <c r="S90" s="732"/>
      <c r="T90" s="732"/>
      <c r="U90" s="732"/>
      <c r="V90" s="732"/>
      <c r="W90" s="734"/>
      <c r="X90" s="732"/>
      <c r="Y90" s="732"/>
      <c r="Z90" s="732"/>
      <c r="AA90" s="2770"/>
      <c r="AB90" s="2770"/>
      <c r="AC90" s="2771">
        <f t="shared" si="8"/>
        <v>0</v>
      </c>
      <c r="AD90" s="2771">
        <f t="shared" si="9"/>
        <v>0</v>
      </c>
      <c r="AE90" s="847" t="str">
        <f t="shared" si="10"/>
        <v>请选择分录类型！</v>
      </c>
      <c r="AF90" s="641"/>
    </row>
    <row r="91" spans="1:32" ht="18">
      <c r="A91" s="2750"/>
      <c r="B91" s="2777" t="str">
        <f t="shared" si="0"/>
        <v>J6600</v>
      </c>
      <c r="C91" s="2747">
        <f t="shared" si="1"/>
        <v>6600</v>
      </c>
      <c r="D91" s="2747" t="str">
        <f t="shared" si="12"/>
        <v>补提2-3季度资源税、环保税</v>
      </c>
      <c r="E91" s="2747" t="str">
        <f t="shared" si="13"/>
        <v>13</v>
      </c>
      <c r="F91" s="2747">
        <f t="shared" si="15"/>
        <v>13.083</v>
      </c>
      <c r="G91" s="2757" t="str">
        <f t="shared" si="5"/>
        <v>本期</v>
      </c>
      <c r="H91" s="3297"/>
      <c r="I91" s="780"/>
      <c r="J91" s="3286" t="str">
        <f t="shared" si="11"/>
        <v>借</v>
      </c>
      <c r="K91" s="3278" t="s">
        <v>7471</v>
      </c>
      <c r="L91" s="695"/>
      <c r="M91" s="695"/>
      <c r="N91" s="695"/>
      <c r="O91" s="196">
        <f>SUM(P92:P93)</f>
        <v>78437.37</v>
      </c>
      <c r="P91" s="216"/>
      <c r="Q91" s="3298" t="str">
        <f t="shared" si="6"/>
        <v>7200B</v>
      </c>
      <c r="R91" s="732" t="str">
        <f t="shared" si="7"/>
        <v>6</v>
      </c>
      <c r="S91" s="732"/>
      <c r="T91" s="732"/>
      <c r="U91" s="732"/>
      <c r="V91" s="732"/>
      <c r="W91" s="734"/>
      <c r="X91" s="732"/>
      <c r="Y91" s="732"/>
      <c r="Z91" s="732"/>
      <c r="AA91" s="2770"/>
      <c r="AB91" s="2770"/>
      <c r="AC91" s="2771">
        <f t="shared" si="8"/>
        <v>78437.37</v>
      </c>
      <c r="AD91" s="2771">
        <f t="shared" si="9"/>
        <v>0</v>
      </c>
      <c r="AE91" s="847" t="str">
        <f t="shared" si="10"/>
        <v>请选择分录类型！</v>
      </c>
      <c r="AF91" s="641"/>
    </row>
    <row r="92" spans="1:32" ht="18">
      <c r="A92" s="2750"/>
      <c r="B92" s="2777" t="str">
        <f t="shared" si="0"/>
        <v>J2221</v>
      </c>
      <c r="C92" s="2747">
        <f t="shared" si="1"/>
        <v>2221</v>
      </c>
      <c r="D92" s="2747" t="str">
        <f t="shared" si="12"/>
        <v>补提2-3季度资源税、环保税</v>
      </c>
      <c r="E92" s="2747" t="str">
        <f t="shared" si="13"/>
        <v>13</v>
      </c>
      <c r="F92" s="2747">
        <f t="shared" si="15"/>
        <v>13.084</v>
      </c>
      <c r="G92" s="2757" t="str">
        <f t="shared" si="5"/>
        <v>本期</v>
      </c>
      <c r="H92" s="3297"/>
      <c r="I92" s="780"/>
      <c r="J92" s="3286" t="str">
        <f t="shared" si="11"/>
        <v>贷</v>
      </c>
      <c r="K92" s="3278" t="s">
        <v>7472</v>
      </c>
      <c r="L92" s="3302" t="s">
        <v>7473</v>
      </c>
      <c r="M92" s="695"/>
      <c r="N92" s="695"/>
      <c r="O92" s="196"/>
      <c r="P92" s="216">
        <v>55924</v>
      </c>
      <c r="Q92" s="3298" t="str">
        <f t="shared" si="6"/>
        <v>6150B</v>
      </c>
      <c r="R92" s="732" t="str">
        <f t="shared" si="7"/>
        <v>2</v>
      </c>
      <c r="S92" s="732"/>
      <c r="T92" s="732"/>
      <c r="U92" s="732"/>
      <c r="V92" s="732"/>
      <c r="W92" s="734"/>
      <c r="X92" s="732"/>
      <c r="Y92" s="732"/>
      <c r="Z92" s="732"/>
      <c r="AA92" s="2770"/>
      <c r="AB92" s="2770"/>
      <c r="AC92" s="2771">
        <f t="shared" si="8"/>
        <v>0</v>
      </c>
      <c r="AD92" s="2771">
        <f t="shared" si="9"/>
        <v>55924</v>
      </c>
      <c r="AE92" s="847" t="str">
        <f t="shared" si="10"/>
        <v>请选择分录类型！</v>
      </c>
      <c r="AF92" s="641"/>
    </row>
    <row r="93" spans="1:32" ht="18">
      <c r="A93" s="2750"/>
      <c r="B93" s="2777" t="str">
        <f t="shared" si="0"/>
        <v>J2221</v>
      </c>
      <c r="C93" s="2747">
        <f t="shared" si="1"/>
        <v>2221</v>
      </c>
      <c r="D93" s="2747" t="str">
        <f t="shared" si="12"/>
        <v>补提2-3季度资源税、环保税</v>
      </c>
      <c r="E93" s="2747" t="str">
        <f t="shared" si="13"/>
        <v>13</v>
      </c>
      <c r="F93" s="2747">
        <f t="shared" si="15"/>
        <v>13.085000000000001</v>
      </c>
      <c r="G93" s="2757" t="str">
        <f t="shared" si="5"/>
        <v>本期</v>
      </c>
      <c r="H93" s="3297"/>
      <c r="I93" s="780"/>
      <c r="J93" s="3286" t="str">
        <f t="shared" si="11"/>
        <v>贷</v>
      </c>
      <c r="K93" s="3278" t="s">
        <v>7472</v>
      </c>
      <c r="L93" s="3302" t="s">
        <v>7474</v>
      </c>
      <c r="M93" s="695"/>
      <c r="N93" s="695"/>
      <c r="O93" s="196"/>
      <c r="P93" s="216">
        <v>22513.37</v>
      </c>
      <c r="Q93" s="3298" t="str">
        <f t="shared" si="6"/>
        <v>6150B</v>
      </c>
      <c r="R93" s="732" t="str">
        <f t="shared" si="7"/>
        <v>2</v>
      </c>
      <c r="S93" s="732"/>
      <c r="T93" s="732"/>
      <c r="U93" s="732"/>
      <c r="V93" s="732"/>
      <c r="W93" s="734"/>
      <c r="X93" s="732"/>
      <c r="Y93" s="732"/>
      <c r="Z93" s="732"/>
      <c r="AA93" s="2770"/>
      <c r="AB93" s="2770"/>
      <c r="AC93" s="2771">
        <f t="shared" si="8"/>
        <v>0</v>
      </c>
      <c r="AD93" s="2771">
        <f t="shared" si="9"/>
        <v>22513.37</v>
      </c>
      <c r="AE93" s="847" t="str">
        <f t="shared" si="10"/>
        <v>请选择分录类型！</v>
      </c>
      <c r="AF93" s="641"/>
    </row>
    <row r="94" spans="1:32" ht="18">
      <c r="A94" s="2750"/>
      <c r="B94" s="2777" t="str">
        <f t="shared" si="0"/>
        <v/>
      </c>
      <c r="C94" s="2747" t="str">
        <f t="shared" si="1"/>
        <v/>
      </c>
      <c r="D94" s="2747" t="str">
        <f t="shared" si="12"/>
        <v/>
      </c>
      <c r="E94" s="2747" t="str">
        <f t="shared" si="13"/>
        <v/>
      </c>
      <c r="F94" s="2747">
        <f t="shared" si="15"/>
        <v>13.086</v>
      </c>
      <c r="G94" s="2757" t="str">
        <f t="shared" si="5"/>
        <v/>
      </c>
      <c r="H94" s="3297"/>
      <c r="I94" s="780"/>
      <c r="J94" s="3286" t="str">
        <f t="shared" si="11"/>
        <v/>
      </c>
      <c r="K94" s="689"/>
      <c r="L94" s="695"/>
      <c r="M94" s="695"/>
      <c r="N94" s="695"/>
      <c r="O94" s="196"/>
      <c r="P94" s="216"/>
      <c r="Q94" s="3298" t="str">
        <f t="shared" si="6"/>
        <v/>
      </c>
      <c r="R94" s="732" t="str">
        <f t="shared" si="7"/>
        <v/>
      </c>
      <c r="S94" s="732"/>
      <c r="T94" s="732"/>
      <c r="U94" s="732"/>
      <c r="V94" s="732"/>
      <c r="W94" s="734"/>
      <c r="X94" s="732"/>
      <c r="Y94" s="732"/>
      <c r="Z94" s="732"/>
      <c r="AA94" s="2770"/>
      <c r="AB94" s="2770"/>
      <c r="AC94" s="2771">
        <f t="shared" si="8"/>
        <v>0</v>
      </c>
      <c r="AD94" s="2771">
        <f t="shared" si="9"/>
        <v>0</v>
      </c>
      <c r="AE94" s="847" t="str">
        <f t="shared" si="10"/>
        <v/>
      </c>
      <c r="AF94" s="641"/>
    </row>
    <row r="95" spans="1:32" ht="18">
      <c r="A95" s="2750"/>
      <c r="B95" s="2777" t="str">
        <f t="shared" si="0"/>
        <v/>
      </c>
      <c r="C95" s="2747" t="str">
        <f t="shared" si="1"/>
        <v/>
      </c>
      <c r="D95" s="2747" t="str">
        <f t="shared" si="12"/>
        <v>冲回企业自行调整的工程物资及已经核销的减值准备</v>
      </c>
      <c r="E95" s="2747" t="str">
        <f t="shared" si="13"/>
        <v>14</v>
      </c>
      <c r="F95" s="2747">
        <f t="shared" si="15"/>
        <v>14.087</v>
      </c>
      <c r="G95" s="2757" t="str">
        <f t="shared" si="5"/>
        <v>本期</v>
      </c>
      <c r="H95" s="3297"/>
      <c r="I95" s="780">
        <v>14</v>
      </c>
      <c r="J95" s="3290" t="s">
        <v>7750</v>
      </c>
      <c r="K95" s="689"/>
      <c r="L95" s="695"/>
      <c r="M95" s="695"/>
      <c r="N95" s="695"/>
      <c r="O95" s="196"/>
      <c r="P95" s="216"/>
      <c r="Q95" s="3298" t="str">
        <f t="shared" si="6"/>
        <v/>
      </c>
      <c r="R95" s="732" t="str">
        <f t="shared" si="7"/>
        <v/>
      </c>
      <c r="S95" s="732"/>
      <c r="T95" s="732"/>
      <c r="U95" s="732"/>
      <c r="V95" s="732"/>
      <c r="W95" s="734"/>
      <c r="X95" s="732"/>
      <c r="Y95" s="732"/>
      <c r="Z95" s="732"/>
      <c r="AA95" s="2770"/>
      <c r="AB95" s="2770"/>
      <c r="AC95" s="2771">
        <f t="shared" si="8"/>
        <v>0</v>
      </c>
      <c r="AD95" s="2771">
        <f t="shared" si="9"/>
        <v>0</v>
      </c>
      <c r="AE95" s="847" t="str">
        <f t="shared" si="10"/>
        <v>请选择分录类型！</v>
      </c>
      <c r="AF95" s="641"/>
    </row>
    <row r="96" spans="1:32" ht="18">
      <c r="A96" s="2750"/>
      <c r="B96" s="2777" t="str">
        <f t="shared" si="0"/>
        <v>J1605</v>
      </c>
      <c r="C96" s="2747">
        <f t="shared" si="1"/>
        <v>1605</v>
      </c>
      <c r="D96" s="2747" t="str">
        <f t="shared" si="12"/>
        <v>冲回企业自行调整的工程物资及已经核销的减值准备</v>
      </c>
      <c r="E96" s="2747" t="str">
        <f t="shared" si="13"/>
        <v>14</v>
      </c>
      <c r="F96" s="2747">
        <f t="shared" si="15"/>
        <v>14.087999999999999</v>
      </c>
      <c r="G96" s="2757" t="str">
        <f t="shared" si="5"/>
        <v>本期</v>
      </c>
      <c r="H96" s="3297"/>
      <c r="I96" s="780"/>
      <c r="J96" s="3286" t="str">
        <f t="shared" si="11"/>
        <v>借</v>
      </c>
      <c r="K96" s="689" t="s">
        <v>351</v>
      </c>
      <c r="L96" s="695"/>
      <c r="M96" s="695"/>
      <c r="N96" s="695"/>
      <c r="O96" s="196">
        <v>6747539.5</v>
      </c>
      <c r="P96" s="216"/>
      <c r="Q96" s="3298" t="str">
        <f t="shared" si="6"/>
        <v>5500D</v>
      </c>
      <c r="R96" s="732" t="str">
        <f t="shared" si="7"/>
        <v>1</v>
      </c>
      <c r="S96" s="732"/>
      <c r="T96" s="732"/>
      <c r="U96" s="732"/>
      <c r="V96" s="732"/>
      <c r="W96" s="734"/>
      <c r="X96" s="732"/>
      <c r="Y96" s="732"/>
      <c r="Z96" s="732"/>
      <c r="AA96" s="2770"/>
      <c r="AB96" s="2770"/>
      <c r="AC96" s="2771">
        <f t="shared" si="8"/>
        <v>6747539.5</v>
      </c>
      <c r="AD96" s="2771">
        <f t="shared" si="9"/>
        <v>0</v>
      </c>
      <c r="AE96" s="847" t="str">
        <f t="shared" si="10"/>
        <v>请选择分录类型！</v>
      </c>
      <c r="AF96" s="641"/>
    </row>
    <row r="97" spans="1:32" ht="18">
      <c r="A97" s="2750"/>
      <c r="B97" s="2777" t="str">
        <f t="shared" si="0"/>
        <v>J1604</v>
      </c>
      <c r="C97" s="2747">
        <f t="shared" si="1"/>
        <v>1604</v>
      </c>
      <c r="D97" s="2747" t="str">
        <f t="shared" si="12"/>
        <v>冲回企业自行调整的工程物资及已经核销的减值准备</v>
      </c>
      <c r="E97" s="2747" t="str">
        <f t="shared" si="13"/>
        <v>14</v>
      </c>
      <c r="F97" s="2747">
        <f t="shared" si="15"/>
        <v>14.089</v>
      </c>
      <c r="G97" s="2757" t="str">
        <f t="shared" si="5"/>
        <v>本期</v>
      </c>
      <c r="H97" s="3297"/>
      <c r="I97" s="780"/>
      <c r="J97" s="3286" t="str">
        <f t="shared" si="11"/>
        <v>贷</v>
      </c>
      <c r="K97" s="3278" t="s">
        <v>7748</v>
      </c>
      <c r="L97" s="695"/>
      <c r="M97" s="695"/>
      <c r="N97" s="695"/>
      <c r="O97" s="196"/>
      <c r="P97" s="216">
        <v>6747539.5</v>
      </c>
      <c r="Q97" s="3298" t="str">
        <f t="shared" si="6"/>
        <v>5500C</v>
      </c>
      <c r="R97" s="732" t="str">
        <f t="shared" si="7"/>
        <v>1</v>
      </c>
      <c r="S97" s="732"/>
      <c r="T97" s="732"/>
      <c r="U97" s="732"/>
      <c r="V97" s="732"/>
      <c r="W97" s="734"/>
      <c r="X97" s="732"/>
      <c r="Y97" s="732"/>
      <c r="Z97" s="732"/>
      <c r="AA97" s="2770"/>
      <c r="AB97" s="2770"/>
      <c r="AC97" s="2771">
        <f t="shared" si="8"/>
        <v>0</v>
      </c>
      <c r="AD97" s="2771">
        <f t="shared" si="9"/>
        <v>6747539.5</v>
      </c>
      <c r="AE97" s="847" t="str">
        <f t="shared" si="10"/>
        <v>请选择分录类型！</v>
      </c>
      <c r="AF97" s="641"/>
    </row>
    <row r="98" spans="1:32" ht="18">
      <c r="A98" s="2750"/>
      <c r="B98" s="2777" t="str">
        <f t="shared" si="0"/>
        <v>J1605.1608</v>
      </c>
      <c r="C98" s="2747">
        <f t="shared" si="1"/>
        <v>1605.1608000000001</v>
      </c>
      <c r="D98" s="2747" t="str">
        <f t="shared" si="12"/>
        <v>借</v>
      </c>
      <c r="E98" s="2747" t="str">
        <f t="shared" si="13"/>
        <v/>
      </c>
      <c r="F98" s="2747">
        <f t="shared" si="15"/>
        <v>14.09</v>
      </c>
      <c r="G98" s="2757" t="str">
        <f t="shared" si="5"/>
        <v>本期</v>
      </c>
      <c r="H98" s="3297"/>
      <c r="I98" s="780"/>
      <c r="J98" s="3290" t="s">
        <v>7751</v>
      </c>
      <c r="K98" s="3278" t="s">
        <v>7753</v>
      </c>
      <c r="L98" s="695"/>
      <c r="M98" s="695"/>
      <c r="N98" s="695"/>
      <c r="O98" s="196"/>
      <c r="P98" s="216"/>
      <c r="Q98" s="3298" t="str">
        <f t="shared" si="6"/>
        <v>5500D</v>
      </c>
      <c r="R98" s="732" t="str">
        <f t="shared" si="7"/>
        <v>1</v>
      </c>
      <c r="S98" s="732"/>
      <c r="T98" s="732"/>
      <c r="U98" s="732"/>
      <c r="V98" s="732"/>
      <c r="W98" s="734"/>
      <c r="X98" s="732"/>
      <c r="Y98" s="732"/>
      <c r="Z98" s="732"/>
      <c r="AA98" s="2770"/>
      <c r="AB98" s="2770"/>
      <c r="AC98" s="2771">
        <f t="shared" si="8"/>
        <v>0</v>
      </c>
      <c r="AD98" s="2771">
        <f t="shared" si="9"/>
        <v>0</v>
      </c>
      <c r="AE98" s="847" t="str">
        <f t="shared" si="10"/>
        <v>请选择分录类型！</v>
      </c>
      <c r="AF98" s="641"/>
    </row>
    <row r="99" spans="1:32" ht="18">
      <c r="A99" s="2750"/>
      <c r="B99" s="2777" t="str">
        <f t="shared" si="0"/>
        <v>J1400.1471</v>
      </c>
      <c r="C99" s="2747">
        <f t="shared" si="1"/>
        <v>1400.1470999999999</v>
      </c>
      <c r="D99" s="2747" t="str">
        <f t="shared" si="12"/>
        <v>贷</v>
      </c>
      <c r="E99" s="2747" t="str">
        <f t="shared" si="13"/>
        <v/>
      </c>
      <c r="F99" s="2747">
        <f t="shared" si="15"/>
        <v>9.0999999999999998E-2</v>
      </c>
      <c r="G99" s="2757" t="str">
        <f t="shared" si="5"/>
        <v>本期</v>
      </c>
      <c r="H99" s="3297"/>
      <c r="I99" s="780"/>
      <c r="J99" s="3290" t="s">
        <v>7752</v>
      </c>
      <c r="K99" s="3278" t="s">
        <v>7749</v>
      </c>
      <c r="L99" s="695"/>
      <c r="M99" s="695"/>
      <c r="N99" s="695"/>
      <c r="O99" s="196"/>
      <c r="P99" s="216"/>
      <c r="Q99" s="3298" t="str">
        <f t="shared" si="6"/>
        <v>5300A</v>
      </c>
      <c r="R99" s="732" t="str">
        <f t="shared" si="7"/>
        <v>1</v>
      </c>
      <c r="S99" s="732"/>
      <c r="T99" s="732"/>
      <c r="U99" s="732"/>
      <c r="V99" s="732"/>
      <c r="W99" s="734"/>
      <c r="X99" s="732"/>
      <c r="Y99" s="732"/>
      <c r="Z99" s="732"/>
      <c r="AA99" s="2770"/>
      <c r="AB99" s="2770"/>
      <c r="AC99" s="2771">
        <f t="shared" si="8"/>
        <v>0</v>
      </c>
      <c r="AD99" s="2771">
        <f t="shared" si="9"/>
        <v>0</v>
      </c>
      <c r="AE99" s="847" t="str">
        <f t="shared" si="10"/>
        <v>请选择分录类型！</v>
      </c>
      <c r="AF99" s="641"/>
    </row>
    <row r="100" spans="1:32" ht="18">
      <c r="A100" s="2750"/>
      <c r="B100" s="2777" t="str">
        <f t="shared" si="0"/>
        <v/>
      </c>
      <c r="C100" s="2747" t="str">
        <f t="shared" si="1"/>
        <v/>
      </c>
      <c r="D100" s="2747" t="str">
        <f t="shared" si="12"/>
        <v/>
      </c>
      <c r="E100" s="2747" t="str">
        <f t="shared" si="13"/>
        <v/>
      </c>
      <c r="F100" s="2747">
        <f t="shared" si="15"/>
        <v>9.1999999999999998E-2</v>
      </c>
      <c r="G100" s="2757" t="str">
        <f t="shared" si="5"/>
        <v/>
      </c>
      <c r="H100" s="3297"/>
      <c r="I100" s="780"/>
      <c r="J100" s="3286" t="str">
        <f t="shared" ref="J100:J235" si="16">IF($O100&lt;&gt;"","借",IF($P100&lt;&gt;"","贷",""))</f>
        <v/>
      </c>
      <c r="K100" s="689"/>
      <c r="L100" s="695"/>
      <c r="M100" s="695"/>
      <c r="N100" s="695"/>
      <c r="O100" s="196"/>
      <c r="P100" s="216"/>
      <c r="Q100" s="3298" t="str">
        <f t="shared" si="6"/>
        <v/>
      </c>
      <c r="R100" s="732" t="str">
        <f t="shared" si="7"/>
        <v/>
      </c>
      <c r="S100" s="732"/>
      <c r="T100" s="732"/>
      <c r="U100" s="732"/>
      <c r="V100" s="732"/>
      <c r="W100" s="734"/>
      <c r="X100" s="732"/>
      <c r="Y100" s="732"/>
      <c r="Z100" s="732"/>
      <c r="AA100" s="2770"/>
      <c r="AB100" s="2770"/>
      <c r="AC100" s="2771">
        <f t="shared" si="8"/>
        <v>0</v>
      </c>
      <c r="AD100" s="2771">
        <f t="shared" si="9"/>
        <v>0</v>
      </c>
      <c r="AE100" s="847" t="str">
        <f t="shared" si="10"/>
        <v/>
      </c>
      <c r="AF100" s="641"/>
    </row>
    <row r="101" spans="1:32" ht="18">
      <c r="A101" s="2750"/>
      <c r="B101" s="2777" t="str">
        <f t="shared" si="0"/>
        <v/>
      </c>
      <c r="C101" s="2747" t="str">
        <f t="shared" si="1"/>
        <v/>
      </c>
      <c r="D101" s="2747" t="str">
        <f t="shared" si="12"/>
        <v>将账面资产减值损失重分类为信用减值损失</v>
      </c>
      <c r="E101" s="2747" t="str">
        <f t="shared" si="13"/>
        <v>15</v>
      </c>
      <c r="F101" s="2747">
        <f t="shared" si="15"/>
        <v>15.093</v>
      </c>
      <c r="G101" s="2757" t="str">
        <f t="shared" si="5"/>
        <v>本期</v>
      </c>
      <c r="H101" s="3297"/>
      <c r="I101" s="780">
        <v>15</v>
      </c>
      <c r="J101" s="3290" t="s">
        <v>7758</v>
      </c>
      <c r="K101" s="689"/>
      <c r="L101" s="695"/>
      <c r="M101" s="695"/>
      <c r="N101" s="695"/>
      <c r="O101" s="196"/>
      <c r="P101" s="216"/>
      <c r="Q101" s="3298" t="str">
        <f t="shared" si="6"/>
        <v/>
      </c>
      <c r="R101" s="732" t="str">
        <f t="shared" si="7"/>
        <v/>
      </c>
      <c r="S101" s="3283" t="s">
        <v>7789</v>
      </c>
      <c r="T101" s="732"/>
      <c r="U101" s="732"/>
      <c r="V101" s="732"/>
      <c r="W101" s="734"/>
      <c r="X101" s="732"/>
      <c r="Y101" s="732"/>
      <c r="Z101" s="732"/>
      <c r="AA101" s="2770"/>
      <c r="AB101" s="2770"/>
      <c r="AC101" s="2771">
        <f t="shared" si="8"/>
        <v>0</v>
      </c>
      <c r="AD101" s="2771">
        <f t="shared" si="9"/>
        <v>0</v>
      </c>
      <c r="AE101" s="847" t="str">
        <f t="shared" si="10"/>
        <v>请选择分录类型！</v>
      </c>
      <c r="AF101" s="641"/>
    </row>
    <row r="102" spans="1:32" ht="18">
      <c r="A102" s="2750"/>
      <c r="B102" s="2777" t="str">
        <f t="shared" si="0"/>
        <v>J6672</v>
      </c>
      <c r="C102" s="2747">
        <f t="shared" si="1"/>
        <v>6672</v>
      </c>
      <c r="D102" s="2747" t="str">
        <f t="shared" si="12"/>
        <v>将账面资产减值损失重分类为信用减值损失</v>
      </c>
      <c r="E102" s="2747" t="str">
        <f t="shared" si="13"/>
        <v>15</v>
      </c>
      <c r="F102" s="2747">
        <f t="shared" si="15"/>
        <v>15.093999999999999</v>
      </c>
      <c r="G102" s="2757" t="str">
        <f t="shared" si="5"/>
        <v>本期</v>
      </c>
      <c r="H102" s="3297"/>
      <c r="I102" s="780"/>
      <c r="J102" s="3286" t="str">
        <f t="shared" si="16"/>
        <v>借</v>
      </c>
      <c r="K102" s="3278" t="s">
        <v>7759</v>
      </c>
      <c r="L102" s="695"/>
      <c r="M102" s="695"/>
      <c r="N102" s="695"/>
      <c r="O102" s="196">
        <v>-563291.46</v>
      </c>
      <c r="P102" s="216"/>
      <c r="Q102" s="3298" t="str">
        <f t="shared" si="6"/>
        <v>7410E</v>
      </c>
      <c r="R102" s="732" t="str">
        <f t="shared" si="7"/>
        <v>6</v>
      </c>
      <c r="S102" s="3283" t="s">
        <v>7789</v>
      </c>
      <c r="T102" s="732"/>
      <c r="U102" s="732"/>
      <c r="V102" s="732"/>
      <c r="W102" s="734"/>
      <c r="X102" s="732"/>
      <c r="Y102" s="732"/>
      <c r="Z102" s="732"/>
      <c r="AA102" s="2770"/>
      <c r="AB102" s="2770"/>
      <c r="AC102" s="2771">
        <f t="shared" si="8"/>
        <v>0</v>
      </c>
      <c r="AD102" s="2771">
        <f t="shared" si="9"/>
        <v>563291.46</v>
      </c>
      <c r="AE102" s="847" t="str">
        <f t="shared" si="10"/>
        <v>请选择分录类型！</v>
      </c>
      <c r="AF102" s="641"/>
    </row>
    <row r="103" spans="1:32" ht="18">
      <c r="A103" s="2750"/>
      <c r="B103" s="2777" t="str">
        <f t="shared" si="0"/>
        <v>J6671</v>
      </c>
      <c r="C103" s="2747">
        <f t="shared" si="1"/>
        <v>6671</v>
      </c>
      <c r="D103" s="2747" t="str">
        <f t="shared" si="12"/>
        <v>将账面资产减值损失重分类为信用减值损失</v>
      </c>
      <c r="E103" s="2747" t="str">
        <f t="shared" si="13"/>
        <v>15</v>
      </c>
      <c r="F103" s="2747">
        <f t="shared" si="15"/>
        <v>15.095000000000001</v>
      </c>
      <c r="G103" s="2757" t="str">
        <f t="shared" si="5"/>
        <v>本期</v>
      </c>
      <c r="H103" s="3297"/>
      <c r="I103" s="780"/>
      <c r="J103" s="3286" t="str">
        <f t="shared" si="16"/>
        <v>贷</v>
      </c>
      <c r="K103" s="3278" t="s">
        <v>7760</v>
      </c>
      <c r="L103" s="695"/>
      <c r="M103" s="695"/>
      <c r="N103" s="695"/>
      <c r="O103" s="196"/>
      <c r="P103" s="216">
        <v>-563291.46</v>
      </c>
      <c r="Q103" s="3298" t="str">
        <f t="shared" si="6"/>
        <v>7410F</v>
      </c>
      <c r="R103" s="732" t="str">
        <f t="shared" si="7"/>
        <v>6</v>
      </c>
      <c r="S103" s="3283" t="s">
        <v>7789</v>
      </c>
      <c r="T103" s="732"/>
      <c r="U103" s="732"/>
      <c r="V103" s="732"/>
      <c r="W103" s="734"/>
      <c r="X103" s="732"/>
      <c r="Y103" s="732"/>
      <c r="Z103" s="732"/>
      <c r="AA103" s="2770"/>
      <c r="AB103" s="2770"/>
      <c r="AC103" s="2771">
        <f t="shared" si="8"/>
        <v>563291.46</v>
      </c>
      <c r="AD103" s="2771">
        <f t="shared" si="9"/>
        <v>0</v>
      </c>
      <c r="AE103" s="847" t="str">
        <f t="shared" si="10"/>
        <v>请选择分录类型！</v>
      </c>
      <c r="AF103" s="641"/>
    </row>
    <row r="104" spans="1:32" ht="18">
      <c r="A104" s="2750"/>
      <c r="B104" s="2777" t="str">
        <f t="shared" si="0"/>
        <v/>
      </c>
      <c r="C104" s="2747" t="str">
        <f t="shared" si="1"/>
        <v/>
      </c>
      <c r="D104" s="2747" t="str">
        <f t="shared" si="12"/>
        <v/>
      </c>
      <c r="E104" s="2747" t="str">
        <f t="shared" si="13"/>
        <v/>
      </c>
      <c r="F104" s="2747">
        <f t="shared" si="15"/>
        <v>15.096</v>
      </c>
      <c r="G104" s="2757" t="str">
        <f t="shared" si="5"/>
        <v/>
      </c>
      <c r="H104" s="3297"/>
      <c r="I104" s="780"/>
      <c r="J104" s="3286" t="str">
        <f t="shared" si="16"/>
        <v/>
      </c>
      <c r="K104" s="689"/>
      <c r="L104" s="695"/>
      <c r="M104" s="695"/>
      <c r="N104" s="695"/>
      <c r="O104" s="196"/>
      <c r="P104" s="216"/>
      <c r="Q104" s="3298" t="str">
        <f t="shared" si="6"/>
        <v/>
      </c>
      <c r="R104" s="732" t="str">
        <f t="shared" si="7"/>
        <v/>
      </c>
      <c r="S104" s="3283" t="s">
        <v>7789</v>
      </c>
      <c r="T104" s="732"/>
      <c r="U104" s="732"/>
      <c r="V104" s="732"/>
      <c r="W104" s="734"/>
      <c r="X104" s="732"/>
      <c r="Y104" s="732"/>
      <c r="Z104" s="732"/>
      <c r="AA104" s="2770"/>
      <c r="AB104" s="2770"/>
      <c r="AC104" s="2771">
        <f t="shared" si="8"/>
        <v>0</v>
      </c>
      <c r="AD104" s="2771">
        <f t="shared" si="9"/>
        <v>0</v>
      </c>
      <c r="AE104" s="847" t="str">
        <f t="shared" si="10"/>
        <v/>
      </c>
      <c r="AF104" s="641"/>
    </row>
    <row r="105" spans="1:32" ht="18">
      <c r="A105" s="2750"/>
      <c r="B105" s="2777" t="str">
        <f t="shared" si="0"/>
        <v/>
      </c>
      <c r="C105" s="2747" t="str">
        <f t="shared" si="1"/>
        <v/>
      </c>
      <c r="D105" s="2747" t="str">
        <f t="shared" si="12"/>
        <v>续调上期分录：调整应收账款坏账准备（坏账政策变更）</v>
      </c>
      <c r="E105" s="2747" t="str">
        <f t="shared" si="13"/>
        <v>16</v>
      </c>
      <c r="F105" s="2747">
        <f t="shared" si="15"/>
        <v>16.097000000000001</v>
      </c>
      <c r="G105" s="2757" t="str">
        <f t="shared" si="5"/>
        <v>本期</v>
      </c>
      <c r="H105" s="3297"/>
      <c r="I105" s="780">
        <v>16</v>
      </c>
      <c r="J105" s="3290" t="s">
        <v>7778</v>
      </c>
      <c r="K105" s="689"/>
      <c r="L105" s="695"/>
      <c r="M105" s="695"/>
      <c r="N105" s="695"/>
      <c r="O105" s="196"/>
      <c r="P105" s="216"/>
      <c r="Q105" s="3298" t="str">
        <f t="shared" si="6"/>
        <v/>
      </c>
      <c r="R105" s="732" t="str">
        <f t="shared" si="7"/>
        <v/>
      </c>
      <c r="S105" s="3283" t="s">
        <v>7789</v>
      </c>
      <c r="T105" s="732"/>
      <c r="U105" s="732"/>
      <c r="V105" s="732"/>
      <c r="W105" s="734"/>
      <c r="X105" s="732"/>
      <c r="Y105" s="732"/>
      <c r="Z105" s="732"/>
      <c r="AA105" s="2770"/>
      <c r="AB105" s="2770"/>
      <c r="AC105" s="2771">
        <f t="shared" si="8"/>
        <v>0</v>
      </c>
      <c r="AD105" s="2771">
        <f t="shared" si="9"/>
        <v>0</v>
      </c>
      <c r="AE105" s="847" t="str">
        <f t="shared" si="10"/>
        <v>请选择分录类型！</v>
      </c>
      <c r="AF105" s="641"/>
    </row>
    <row r="106" spans="1:32" ht="24">
      <c r="A106" s="2750"/>
      <c r="B106" s="2777" t="str">
        <f t="shared" si="0"/>
        <v>J8702</v>
      </c>
      <c r="C106" s="2747">
        <f t="shared" si="1"/>
        <v>8702</v>
      </c>
      <c r="D106" s="2747" t="str">
        <f t="shared" si="12"/>
        <v>续调上期分录：调整应收账款坏账准备（坏账政策变更）</v>
      </c>
      <c r="E106" s="2747" t="str">
        <f t="shared" si="13"/>
        <v>16</v>
      </c>
      <c r="F106" s="2747">
        <f t="shared" si="15"/>
        <v>16.097999999999999</v>
      </c>
      <c r="G106" s="2757" t="str">
        <f t="shared" si="5"/>
        <v>本期</v>
      </c>
      <c r="H106" s="3297"/>
      <c r="I106" s="780"/>
      <c r="J106" s="3286" t="str">
        <f t="shared" si="16"/>
        <v>借</v>
      </c>
      <c r="K106" s="3278" t="s">
        <v>1730</v>
      </c>
      <c r="L106" s="695"/>
      <c r="M106" s="695"/>
      <c r="N106" s="695"/>
      <c r="O106" s="196">
        <v>54752.29</v>
      </c>
      <c r="P106" s="216"/>
      <c r="Q106" s="3298" t="str">
        <f t="shared" si="6"/>
        <v>6900N</v>
      </c>
      <c r="R106" s="732" t="str">
        <f t="shared" si="7"/>
        <v>8</v>
      </c>
      <c r="S106" s="3283" t="s">
        <v>7789</v>
      </c>
      <c r="T106" s="732"/>
      <c r="U106" s="732"/>
      <c r="V106" s="732"/>
      <c r="W106" s="734"/>
      <c r="X106" s="732"/>
      <c r="Y106" s="732"/>
      <c r="Z106" s="732"/>
      <c r="AA106" s="2770"/>
      <c r="AB106" s="2770"/>
      <c r="AC106" s="2771">
        <f t="shared" si="8"/>
        <v>54752.29</v>
      </c>
      <c r="AD106" s="2771">
        <f t="shared" si="9"/>
        <v>0</v>
      </c>
      <c r="AE106" s="847" t="str">
        <f t="shared" si="10"/>
        <v>请选择分录类型！</v>
      </c>
      <c r="AF106" s="641"/>
    </row>
    <row r="107" spans="1:32" ht="18">
      <c r="A107" s="2750"/>
      <c r="B107" s="2777" t="str">
        <f t="shared" si="0"/>
        <v>J1811</v>
      </c>
      <c r="C107" s="2747">
        <f t="shared" si="1"/>
        <v>1811</v>
      </c>
      <c r="D107" s="2747" t="str">
        <f t="shared" si="12"/>
        <v>续调上期分录：调整应收账款坏账准备（坏账政策变更）</v>
      </c>
      <c r="E107" s="2747" t="str">
        <f t="shared" si="13"/>
        <v>16</v>
      </c>
      <c r="F107" s="2747">
        <f t="shared" si="15"/>
        <v>16.099</v>
      </c>
      <c r="G107" s="2757" t="str">
        <f t="shared" si="5"/>
        <v>本期</v>
      </c>
      <c r="H107" s="3297"/>
      <c r="I107" s="780"/>
      <c r="J107" s="3286" t="str">
        <f t="shared" si="16"/>
        <v>借</v>
      </c>
      <c r="K107" s="689" t="s">
        <v>422</v>
      </c>
      <c r="L107" s="695"/>
      <c r="M107" s="695"/>
      <c r="N107" s="695"/>
      <c r="O107" s="196">
        <v>18250.77</v>
      </c>
      <c r="P107" s="216"/>
      <c r="Q107" s="3298" t="str">
        <f t="shared" si="6"/>
        <v>5850A</v>
      </c>
      <c r="R107" s="732" t="str">
        <f t="shared" si="7"/>
        <v>1</v>
      </c>
      <c r="S107" s="3283" t="s">
        <v>7789</v>
      </c>
      <c r="T107" s="732"/>
      <c r="U107" s="732"/>
      <c r="V107" s="732"/>
      <c r="W107" s="734"/>
      <c r="X107" s="732"/>
      <c r="Y107" s="732"/>
      <c r="Z107" s="732"/>
      <c r="AA107" s="2770"/>
      <c r="AB107" s="2770"/>
      <c r="AC107" s="2771">
        <f t="shared" si="8"/>
        <v>18250.77</v>
      </c>
      <c r="AD107" s="2771">
        <f t="shared" si="9"/>
        <v>0</v>
      </c>
      <c r="AE107" s="847" t="str">
        <f t="shared" si="10"/>
        <v>请选择分录类型！</v>
      </c>
      <c r="AF107" s="641"/>
    </row>
    <row r="108" spans="1:32" ht="18">
      <c r="A108" s="2750"/>
      <c r="B108" s="2777" t="str">
        <f t="shared" si="0"/>
        <v>J1122.1231</v>
      </c>
      <c r="C108" s="2747">
        <f t="shared" si="1"/>
        <v>1122.1231</v>
      </c>
      <c r="D108" s="2747" t="str">
        <f t="shared" si="12"/>
        <v>续调上期分录：调整应收账款坏账准备（坏账政策变更）</v>
      </c>
      <c r="E108" s="2747" t="str">
        <f t="shared" si="13"/>
        <v>16</v>
      </c>
      <c r="F108" s="2747">
        <f t="shared" si="15"/>
        <v>16.100000000000001</v>
      </c>
      <c r="G108" s="2757" t="str">
        <f t="shared" si="5"/>
        <v>本期</v>
      </c>
      <c r="H108" s="3297"/>
      <c r="I108" s="780"/>
      <c r="J108" s="3286" t="str">
        <f t="shared" si="16"/>
        <v>贷</v>
      </c>
      <c r="K108" s="689" t="s">
        <v>167</v>
      </c>
      <c r="L108" s="695"/>
      <c r="M108" s="695"/>
      <c r="N108" s="695"/>
      <c r="O108" s="196"/>
      <c r="P108" s="216">
        <v>73003.06</v>
      </c>
      <c r="Q108" s="3298" t="str">
        <f t="shared" si="6"/>
        <v>5200A</v>
      </c>
      <c r="R108" s="732" t="str">
        <f t="shared" si="7"/>
        <v>1</v>
      </c>
      <c r="S108" s="3283" t="s">
        <v>7789</v>
      </c>
      <c r="T108" s="732"/>
      <c r="U108" s="732"/>
      <c r="V108" s="732"/>
      <c r="W108" s="734"/>
      <c r="X108" s="732"/>
      <c r="Y108" s="732"/>
      <c r="Z108" s="732"/>
      <c r="AA108" s="2770"/>
      <c r="AB108" s="2770"/>
      <c r="AC108" s="2771">
        <f t="shared" si="8"/>
        <v>0</v>
      </c>
      <c r="AD108" s="2771">
        <f t="shared" si="9"/>
        <v>73003.06</v>
      </c>
      <c r="AE108" s="847" t="str">
        <f t="shared" si="10"/>
        <v>请选择分录类型！</v>
      </c>
      <c r="AF108" s="641"/>
    </row>
    <row r="109" spans="1:32" ht="18">
      <c r="A109" s="2750"/>
      <c r="B109" s="2777" t="str">
        <f t="shared" si="0"/>
        <v/>
      </c>
      <c r="C109" s="2747" t="str">
        <f t="shared" si="1"/>
        <v/>
      </c>
      <c r="D109" s="2747" t="str">
        <f t="shared" si="12"/>
        <v/>
      </c>
      <c r="E109" s="2747" t="str">
        <f t="shared" si="13"/>
        <v/>
      </c>
      <c r="F109" s="2747">
        <f t="shared" si="15"/>
        <v>16.100999999999999</v>
      </c>
      <c r="G109" s="2757" t="str">
        <f t="shared" si="5"/>
        <v/>
      </c>
      <c r="H109" s="3297"/>
      <c r="I109" s="780"/>
      <c r="J109" s="3286" t="str">
        <f t="shared" si="16"/>
        <v/>
      </c>
      <c r="K109" s="689"/>
      <c r="L109" s="695"/>
      <c r="M109" s="695"/>
      <c r="N109" s="695"/>
      <c r="O109" s="196"/>
      <c r="P109" s="216"/>
      <c r="Q109" s="3298" t="str">
        <f t="shared" si="6"/>
        <v/>
      </c>
      <c r="R109" s="732" t="str">
        <f t="shared" si="7"/>
        <v/>
      </c>
      <c r="S109" s="732"/>
      <c r="T109" s="732"/>
      <c r="U109" s="732"/>
      <c r="V109" s="732"/>
      <c r="W109" s="734"/>
      <c r="X109" s="732"/>
      <c r="Y109" s="732"/>
      <c r="Z109" s="732"/>
      <c r="AA109" s="2770"/>
      <c r="AB109" s="2770"/>
      <c r="AC109" s="2771">
        <f t="shared" si="8"/>
        <v>0</v>
      </c>
      <c r="AD109" s="2771">
        <f t="shared" si="9"/>
        <v>0</v>
      </c>
      <c r="AE109" s="847" t="str">
        <f t="shared" si="10"/>
        <v/>
      </c>
      <c r="AF109" s="641"/>
    </row>
    <row r="110" spans="1:32" ht="18">
      <c r="A110" s="2750"/>
      <c r="B110" s="2777" t="str">
        <f t="shared" si="0"/>
        <v/>
      </c>
      <c r="C110" s="2747" t="str">
        <f t="shared" si="1"/>
        <v/>
      </c>
      <c r="D110" s="2747" t="str">
        <f t="shared" si="12"/>
        <v>补确认本期发出商品已签收未开票结转成本：</v>
      </c>
      <c r="E110" s="2747" t="str">
        <f t="shared" si="13"/>
        <v>17</v>
      </c>
      <c r="F110" s="2747">
        <f t="shared" si="15"/>
        <v>17.102</v>
      </c>
      <c r="G110" s="2757" t="str">
        <f t="shared" si="5"/>
        <v>本期</v>
      </c>
      <c r="H110" s="3297"/>
      <c r="I110" s="780">
        <v>17</v>
      </c>
      <c r="J110" s="3286" t="s">
        <v>7780</v>
      </c>
      <c r="K110" s="689"/>
      <c r="L110" s="695"/>
      <c r="M110" s="695"/>
      <c r="N110" s="695"/>
      <c r="O110" s="196"/>
      <c r="P110" s="216"/>
      <c r="Q110" s="3298" t="str">
        <f t="shared" si="6"/>
        <v/>
      </c>
      <c r="R110" s="732" t="str">
        <f t="shared" si="7"/>
        <v/>
      </c>
      <c r="S110" s="3283" t="s">
        <v>7783</v>
      </c>
      <c r="T110" s="732"/>
      <c r="U110" s="732"/>
      <c r="V110" s="732"/>
      <c r="W110" s="734"/>
      <c r="X110" s="732"/>
      <c r="Y110" s="732"/>
      <c r="Z110" s="732"/>
      <c r="AA110" s="2770"/>
      <c r="AB110" s="2770"/>
      <c r="AC110" s="2771">
        <f t="shared" si="8"/>
        <v>0</v>
      </c>
      <c r="AD110" s="2771">
        <f t="shared" si="9"/>
        <v>0</v>
      </c>
      <c r="AE110" s="847" t="str">
        <f t="shared" si="10"/>
        <v>请选择分录类型！</v>
      </c>
      <c r="AF110" s="641"/>
    </row>
    <row r="111" spans="1:32" ht="18">
      <c r="A111" s="2750"/>
      <c r="B111" s="2777" t="str">
        <f t="shared" si="0"/>
        <v>J6401</v>
      </c>
      <c r="C111" s="2747">
        <f t="shared" si="1"/>
        <v>6401</v>
      </c>
      <c r="D111" s="2747" t="str">
        <f t="shared" si="12"/>
        <v>补确认本期发出商品已签收未开票结转成本：</v>
      </c>
      <c r="E111" s="2747" t="str">
        <f t="shared" si="13"/>
        <v>17</v>
      </c>
      <c r="F111" s="2747">
        <f t="shared" si="15"/>
        <v>17.103000000000002</v>
      </c>
      <c r="G111" s="2757" t="str">
        <f t="shared" si="5"/>
        <v>本期</v>
      </c>
      <c r="H111" s="3297"/>
      <c r="I111" s="780"/>
      <c r="J111" s="3286" t="str">
        <f t="shared" si="16"/>
        <v>借</v>
      </c>
      <c r="K111" s="689" t="s">
        <v>671</v>
      </c>
      <c r="L111" s="695" t="s">
        <v>7781</v>
      </c>
      <c r="M111" s="695"/>
      <c r="N111" s="695"/>
      <c r="O111" s="196">
        <v>1281726.5900000001</v>
      </c>
      <c r="P111" s="216"/>
      <c r="Q111" s="3298" t="str">
        <f t="shared" si="6"/>
        <v>7100A</v>
      </c>
      <c r="R111" s="732" t="str">
        <f t="shared" si="7"/>
        <v>6</v>
      </c>
      <c r="S111" s="3283" t="s">
        <v>7783</v>
      </c>
      <c r="T111" s="732"/>
      <c r="U111" s="732"/>
      <c r="V111" s="732"/>
      <c r="W111" s="734"/>
      <c r="X111" s="732"/>
      <c r="Y111" s="732"/>
      <c r="Z111" s="732"/>
      <c r="AA111" s="2770"/>
      <c r="AB111" s="2770"/>
      <c r="AC111" s="2771">
        <f t="shared" si="8"/>
        <v>1281726.5900000001</v>
      </c>
      <c r="AD111" s="2771">
        <f t="shared" si="9"/>
        <v>0</v>
      </c>
      <c r="AE111" s="847" t="str">
        <f t="shared" si="10"/>
        <v>请选择分录类型！</v>
      </c>
      <c r="AF111" s="641"/>
    </row>
    <row r="112" spans="1:32" ht="18">
      <c r="A112" s="2750"/>
      <c r="B112" s="2777" t="str">
        <f t="shared" si="0"/>
        <v>J6401</v>
      </c>
      <c r="C112" s="2747">
        <f t="shared" si="1"/>
        <v>6401</v>
      </c>
      <c r="D112" s="2747" t="str">
        <f t="shared" si="12"/>
        <v>补确认本期发出商品已签收未开票结转成本：</v>
      </c>
      <c r="E112" s="2747" t="str">
        <f t="shared" si="13"/>
        <v>17</v>
      </c>
      <c r="F112" s="2747">
        <f t="shared" si="15"/>
        <v>17.103999999999999</v>
      </c>
      <c r="G112" s="2757" t="str">
        <f t="shared" si="5"/>
        <v>本期</v>
      </c>
      <c r="H112" s="3297"/>
      <c r="I112" s="780"/>
      <c r="J112" s="3286" t="str">
        <f t="shared" si="16"/>
        <v>借</v>
      </c>
      <c r="K112" s="689" t="s">
        <v>671</v>
      </c>
      <c r="L112" s="695" t="s">
        <v>7782</v>
      </c>
      <c r="M112" s="695"/>
      <c r="N112" s="695"/>
      <c r="O112" s="196">
        <v>2012260.88</v>
      </c>
      <c r="P112" s="216"/>
      <c r="Q112" s="3298" t="str">
        <f t="shared" si="6"/>
        <v>7100A</v>
      </c>
      <c r="R112" s="732" t="str">
        <f t="shared" si="7"/>
        <v>6</v>
      </c>
      <c r="S112" s="3283" t="s">
        <v>7783</v>
      </c>
      <c r="T112" s="732"/>
      <c r="U112" s="732"/>
      <c r="V112" s="732"/>
      <c r="W112" s="734"/>
      <c r="X112" s="732"/>
      <c r="Y112" s="732"/>
      <c r="Z112" s="732"/>
      <c r="AA112" s="2770"/>
      <c r="AB112" s="2770"/>
      <c r="AC112" s="2771">
        <f t="shared" si="8"/>
        <v>2012260.88</v>
      </c>
      <c r="AD112" s="2771">
        <f t="shared" si="9"/>
        <v>0</v>
      </c>
      <c r="AE112" s="847" t="str">
        <f t="shared" si="10"/>
        <v>请选择分录类型！</v>
      </c>
      <c r="AF112" s="641"/>
    </row>
    <row r="113" spans="1:32" ht="18">
      <c r="A113" s="2750"/>
      <c r="B113" s="2777" t="str">
        <f t="shared" si="0"/>
        <v>J1400</v>
      </c>
      <c r="C113" s="2747">
        <f t="shared" si="1"/>
        <v>1400</v>
      </c>
      <c r="D113" s="2747" t="str">
        <f t="shared" si="12"/>
        <v>补确认本期发出商品已签收未开票结转成本：</v>
      </c>
      <c r="E113" s="2747" t="str">
        <f t="shared" si="13"/>
        <v>17</v>
      </c>
      <c r="F113" s="2747">
        <f t="shared" si="15"/>
        <v>17.105</v>
      </c>
      <c r="G113" s="2757" t="str">
        <f t="shared" si="5"/>
        <v>本期</v>
      </c>
      <c r="H113" s="3297"/>
      <c r="I113" s="780"/>
      <c r="J113" s="3286" t="str">
        <f t="shared" si="16"/>
        <v>贷</v>
      </c>
      <c r="K113" s="689" t="s">
        <v>229</v>
      </c>
      <c r="L113" s="695" t="s">
        <v>319</v>
      </c>
      <c r="M113" s="695"/>
      <c r="N113" s="695"/>
      <c r="O113" s="196"/>
      <c r="P113" s="216">
        <v>3293987.47</v>
      </c>
      <c r="Q113" s="3298" t="str">
        <f t="shared" si="6"/>
        <v>5300A</v>
      </c>
      <c r="R113" s="732" t="str">
        <f t="shared" si="7"/>
        <v>1</v>
      </c>
      <c r="S113" s="3283" t="s">
        <v>7783</v>
      </c>
      <c r="T113" s="732"/>
      <c r="U113" s="732"/>
      <c r="V113" s="732"/>
      <c r="W113" s="734"/>
      <c r="X113" s="732"/>
      <c r="Y113" s="732"/>
      <c r="Z113" s="732"/>
      <c r="AA113" s="2770"/>
      <c r="AB113" s="2770"/>
      <c r="AC113" s="2771">
        <f t="shared" si="8"/>
        <v>0</v>
      </c>
      <c r="AD113" s="2771">
        <f t="shared" si="9"/>
        <v>3293987.47</v>
      </c>
      <c r="AE113" s="847" t="str">
        <f t="shared" si="10"/>
        <v>请选择分录类型！</v>
      </c>
      <c r="AF113" s="641"/>
    </row>
    <row r="114" spans="1:32" ht="18">
      <c r="A114" s="2750"/>
      <c r="B114" s="2777" t="str">
        <f t="shared" si="0"/>
        <v/>
      </c>
      <c r="C114" s="2747" t="str">
        <f t="shared" si="1"/>
        <v/>
      </c>
      <c r="D114" s="2747" t="str">
        <f t="shared" si="12"/>
        <v/>
      </c>
      <c r="E114" s="2747" t="str">
        <f t="shared" si="13"/>
        <v/>
      </c>
      <c r="F114" s="2747">
        <f t="shared" si="15"/>
        <v>17.106000000000002</v>
      </c>
      <c r="G114" s="2757" t="str">
        <f t="shared" si="5"/>
        <v/>
      </c>
      <c r="H114" s="3297"/>
      <c r="I114" s="780"/>
      <c r="J114" s="3286" t="str">
        <f t="shared" si="16"/>
        <v/>
      </c>
      <c r="K114" s="689"/>
      <c r="L114" s="695"/>
      <c r="M114" s="695"/>
      <c r="N114" s="695"/>
      <c r="O114" s="196"/>
      <c r="P114" s="216"/>
      <c r="Q114" s="3298" t="str">
        <f t="shared" si="6"/>
        <v/>
      </c>
      <c r="R114" s="732" t="str">
        <f t="shared" si="7"/>
        <v/>
      </c>
      <c r="S114" s="732"/>
      <c r="T114" s="732"/>
      <c r="U114" s="732"/>
      <c r="V114" s="732"/>
      <c r="W114" s="734"/>
      <c r="X114" s="732"/>
      <c r="Y114" s="732"/>
      <c r="Z114" s="732"/>
      <c r="AA114" s="2770"/>
      <c r="AB114" s="2770"/>
      <c r="AC114" s="2771">
        <f t="shared" si="8"/>
        <v>0</v>
      </c>
      <c r="AD114" s="2771">
        <f t="shared" si="9"/>
        <v>0</v>
      </c>
      <c r="AE114" s="847" t="str">
        <f t="shared" si="10"/>
        <v/>
      </c>
      <c r="AF114" s="641"/>
    </row>
    <row r="115" spans="1:32" ht="18">
      <c r="A115" s="2750"/>
      <c r="B115" s="2777" t="str">
        <f t="shared" si="0"/>
        <v/>
      </c>
      <c r="C115" s="2747" t="str">
        <f t="shared" si="1"/>
        <v/>
      </c>
      <c r="D115" s="2747" t="str">
        <f t="shared" si="12"/>
        <v>补确认潍坊琪睿和新加坡天禾成本</v>
      </c>
      <c r="E115" s="2747" t="str">
        <f t="shared" si="13"/>
        <v>18</v>
      </c>
      <c r="F115" s="2747">
        <f t="shared" si="15"/>
        <v>18.106999999999999</v>
      </c>
      <c r="G115" s="2757" t="str">
        <f t="shared" si="5"/>
        <v>本期</v>
      </c>
      <c r="H115" s="3297"/>
      <c r="I115" s="780">
        <v>18</v>
      </c>
      <c r="J115" s="3286" t="s">
        <v>7796</v>
      </c>
      <c r="K115" s="689"/>
      <c r="L115" s="695"/>
      <c r="M115" s="695"/>
      <c r="N115" s="695"/>
      <c r="O115" s="196"/>
      <c r="P115" s="216"/>
      <c r="Q115" s="3298" t="str">
        <f t="shared" si="6"/>
        <v/>
      </c>
      <c r="R115" s="732" t="str">
        <f t="shared" si="7"/>
        <v/>
      </c>
      <c r="S115" s="3283" t="s">
        <v>7783</v>
      </c>
      <c r="T115" s="732"/>
      <c r="U115" s="732"/>
      <c r="V115" s="732"/>
      <c r="W115" s="734"/>
      <c r="X115" s="732"/>
      <c r="Y115" s="732"/>
      <c r="Z115" s="732"/>
      <c r="AA115" s="2770"/>
      <c r="AB115" s="2770"/>
      <c r="AC115" s="2771">
        <f t="shared" si="8"/>
        <v>0</v>
      </c>
      <c r="AD115" s="2771">
        <f t="shared" si="9"/>
        <v>0</v>
      </c>
      <c r="AE115" s="847" t="str">
        <f t="shared" si="10"/>
        <v>请选择分录类型！</v>
      </c>
      <c r="AF115" s="641"/>
    </row>
    <row r="116" spans="1:32" ht="18">
      <c r="A116" s="2750"/>
      <c r="B116" s="2777" t="str">
        <f t="shared" si="0"/>
        <v>J6401</v>
      </c>
      <c r="C116" s="2747">
        <f t="shared" si="1"/>
        <v>6401</v>
      </c>
      <c r="D116" s="2747" t="str">
        <f t="shared" si="12"/>
        <v>补确认潍坊琪睿和新加坡天禾成本</v>
      </c>
      <c r="E116" s="2747" t="str">
        <f t="shared" si="13"/>
        <v>18</v>
      </c>
      <c r="F116" s="2747">
        <f t="shared" si="15"/>
        <v>18.108000000000001</v>
      </c>
      <c r="G116" s="2757" t="str">
        <f t="shared" si="5"/>
        <v>本期</v>
      </c>
      <c r="H116" s="3297"/>
      <c r="I116" s="780"/>
      <c r="J116" s="3286" t="str">
        <f t="shared" si="16"/>
        <v>借</v>
      </c>
      <c r="K116" s="689" t="s">
        <v>671</v>
      </c>
      <c r="L116" s="695" t="s">
        <v>7781</v>
      </c>
      <c r="M116" s="695"/>
      <c r="N116" s="695"/>
      <c r="O116" s="196">
        <v>8273.49</v>
      </c>
      <c r="P116" s="216"/>
      <c r="Q116" s="3298" t="str">
        <f t="shared" si="6"/>
        <v>7100A</v>
      </c>
      <c r="R116" s="732" t="str">
        <f t="shared" si="7"/>
        <v>6</v>
      </c>
      <c r="S116" s="3283" t="s">
        <v>7783</v>
      </c>
      <c r="T116" s="732"/>
      <c r="U116" s="732"/>
      <c r="V116" s="732"/>
      <c r="W116" s="734"/>
      <c r="X116" s="732"/>
      <c r="Y116" s="732"/>
      <c r="Z116" s="732"/>
      <c r="AA116" s="2770"/>
      <c r="AB116" s="2770"/>
      <c r="AC116" s="2771">
        <f t="shared" si="8"/>
        <v>8273.49</v>
      </c>
      <c r="AD116" s="2771">
        <f t="shared" si="9"/>
        <v>0</v>
      </c>
      <c r="AE116" s="847" t="str">
        <f t="shared" si="10"/>
        <v>请选择分录类型！</v>
      </c>
      <c r="AF116" s="641"/>
    </row>
    <row r="117" spans="1:32" ht="18">
      <c r="A117" s="2750"/>
      <c r="B117" s="2777" t="str">
        <f t="shared" si="0"/>
        <v>J6401</v>
      </c>
      <c r="C117" s="2747">
        <f t="shared" si="1"/>
        <v>6401</v>
      </c>
      <c r="D117" s="2747" t="str">
        <f t="shared" si="12"/>
        <v>补确认潍坊琪睿和新加坡天禾成本</v>
      </c>
      <c r="E117" s="2747" t="str">
        <f t="shared" si="13"/>
        <v>18</v>
      </c>
      <c r="F117" s="2747">
        <f t="shared" si="15"/>
        <v>18.109000000000002</v>
      </c>
      <c r="G117" s="2757" t="str">
        <f t="shared" si="5"/>
        <v>本期</v>
      </c>
      <c r="H117" s="3297"/>
      <c r="I117" s="780"/>
      <c r="J117" s="3286" t="str">
        <f t="shared" si="16"/>
        <v>借</v>
      </c>
      <c r="K117" s="689" t="s">
        <v>671</v>
      </c>
      <c r="L117" s="695" t="s">
        <v>7782</v>
      </c>
      <c r="M117" s="695"/>
      <c r="N117" s="695"/>
      <c r="O117" s="196">
        <v>44031.25</v>
      </c>
      <c r="P117" s="216"/>
      <c r="Q117" s="3298" t="str">
        <f t="shared" si="6"/>
        <v>7100A</v>
      </c>
      <c r="R117" s="732" t="str">
        <f t="shared" si="7"/>
        <v>6</v>
      </c>
      <c r="S117" s="3283" t="s">
        <v>7783</v>
      </c>
      <c r="T117" s="732"/>
      <c r="U117" s="732"/>
      <c r="V117" s="732"/>
      <c r="W117" s="734"/>
      <c r="X117" s="732"/>
      <c r="Y117" s="732"/>
      <c r="Z117" s="732"/>
      <c r="AA117" s="2770"/>
      <c r="AB117" s="2770"/>
      <c r="AC117" s="2771">
        <f t="shared" si="8"/>
        <v>44031.25</v>
      </c>
      <c r="AD117" s="2771">
        <f t="shared" si="9"/>
        <v>0</v>
      </c>
      <c r="AE117" s="847" t="str">
        <f t="shared" si="10"/>
        <v>请选择分录类型！</v>
      </c>
      <c r="AF117" s="641"/>
    </row>
    <row r="118" spans="1:32" ht="18">
      <c r="A118" s="2750"/>
      <c r="B118" s="2777" t="str">
        <f t="shared" si="0"/>
        <v>J1400</v>
      </c>
      <c r="C118" s="2747">
        <f t="shared" si="1"/>
        <v>1400</v>
      </c>
      <c r="D118" s="2747" t="str">
        <f t="shared" si="12"/>
        <v>补确认潍坊琪睿和新加坡天禾成本</v>
      </c>
      <c r="E118" s="2747" t="str">
        <f t="shared" si="13"/>
        <v>18</v>
      </c>
      <c r="F118" s="2747">
        <f t="shared" si="15"/>
        <v>18.11</v>
      </c>
      <c r="G118" s="2757" t="str">
        <f t="shared" si="5"/>
        <v>本期</v>
      </c>
      <c r="H118" s="3297"/>
      <c r="I118" s="780"/>
      <c r="J118" s="3286" t="str">
        <f t="shared" si="16"/>
        <v>贷</v>
      </c>
      <c r="K118" s="689" t="s">
        <v>229</v>
      </c>
      <c r="L118" s="695" t="s">
        <v>319</v>
      </c>
      <c r="M118" s="695"/>
      <c r="N118" s="695"/>
      <c r="O118" s="196"/>
      <c r="P118" s="216">
        <v>52304.74</v>
      </c>
      <c r="Q118" s="3298" t="str">
        <f t="shared" si="6"/>
        <v>5300A</v>
      </c>
      <c r="R118" s="732" t="str">
        <f t="shared" si="7"/>
        <v>1</v>
      </c>
      <c r="S118" s="3283" t="s">
        <v>7783</v>
      </c>
      <c r="T118" s="732"/>
      <c r="U118" s="732"/>
      <c r="V118" s="732"/>
      <c r="W118" s="734"/>
      <c r="X118" s="732"/>
      <c r="Y118" s="732"/>
      <c r="Z118" s="732"/>
      <c r="AA118" s="2770"/>
      <c r="AB118" s="2770"/>
      <c r="AC118" s="2771">
        <f t="shared" si="8"/>
        <v>0</v>
      </c>
      <c r="AD118" s="2771">
        <f t="shared" si="9"/>
        <v>52304.74</v>
      </c>
      <c r="AE118" s="847" t="str">
        <f t="shared" si="10"/>
        <v>请选择分录类型！</v>
      </c>
      <c r="AF118" s="641"/>
    </row>
    <row r="119" spans="1:32" ht="18">
      <c r="A119" s="2750"/>
      <c r="B119" s="2777" t="str">
        <f t="shared" si="0"/>
        <v/>
      </c>
      <c r="C119" s="2747" t="str">
        <f t="shared" si="1"/>
        <v/>
      </c>
      <c r="D119" s="2747" t="str">
        <f t="shared" si="12"/>
        <v/>
      </c>
      <c r="E119" s="2747" t="str">
        <f t="shared" si="13"/>
        <v/>
      </c>
      <c r="F119" s="2747">
        <f t="shared" si="15"/>
        <v>18.111000000000001</v>
      </c>
      <c r="G119" s="2757" t="str">
        <f t="shared" si="5"/>
        <v/>
      </c>
      <c r="H119" s="3297"/>
      <c r="I119" s="780"/>
      <c r="J119" s="3286" t="str">
        <f t="shared" si="16"/>
        <v/>
      </c>
      <c r="K119" s="689"/>
      <c r="L119" s="695"/>
      <c r="M119" s="695"/>
      <c r="N119" s="695"/>
      <c r="O119" s="196"/>
      <c r="P119" s="216"/>
      <c r="Q119" s="3298" t="str">
        <f t="shared" si="6"/>
        <v/>
      </c>
      <c r="R119" s="732" t="str">
        <f t="shared" si="7"/>
        <v/>
      </c>
      <c r="S119" s="732"/>
      <c r="T119" s="732"/>
      <c r="U119" s="732"/>
      <c r="V119" s="732"/>
      <c r="W119" s="734"/>
      <c r="X119" s="732"/>
      <c r="Y119" s="732"/>
      <c r="Z119" s="732"/>
      <c r="AA119" s="2770"/>
      <c r="AB119" s="2770"/>
      <c r="AC119" s="2771">
        <f t="shared" si="8"/>
        <v>0</v>
      </c>
      <c r="AD119" s="2771">
        <f t="shared" si="9"/>
        <v>0</v>
      </c>
      <c r="AE119" s="847" t="str">
        <f t="shared" si="10"/>
        <v/>
      </c>
      <c r="AF119" s="641"/>
    </row>
    <row r="120" spans="1:32" ht="18">
      <c r="A120" s="2750"/>
      <c r="B120" s="2777" t="str">
        <f t="shared" si="0"/>
        <v/>
      </c>
      <c r="C120" s="2747" t="str">
        <f t="shared" si="1"/>
        <v/>
      </c>
      <c r="D120" s="2747" t="str">
        <f t="shared" si="12"/>
        <v>将发出商品中赠送给客户的样品调整至销售费用</v>
      </c>
      <c r="E120" s="2747" t="str">
        <f t="shared" si="13"/>
        <v>19</v>
      </c>
      <c r="F120" s="2747">
        <f t="shared" si="15"/>
        <v>19.111999999999998</v>
      </c>
      <c r="G120" s="2757" t="str">
        <f t="shared" si="5"/>
        <v>本期</v>
      </c>
      <c r="H120" s="3297"/>
      <c r="I120" s="780">
        <v>19</v>
      </c>
      <c r="J120" s="3286" t="s">
        <v>7795</v>
      </c>
      <c r="K120" s="689"/>
      <c r="L120" s="695"/>
      <c r="M120" s="695"/>
      <c r="N120" s="695"/>
      <c r="O120" s="196"/>
      <c r="P120" s="216"/>
      <c r="Q120" s="3298" t="str">
        <f t="shared" si="6"/>
        <v/>
      </c>
      <c r="R120" s="732" t="str">
        <f t="shared" si="7"/>
        <v/>
      </c>
      <c r="S120" s="3283" t="s">
        <v>7783</v>
      </c>
      <c r="T120" s="732"/>
      <c r="U120" s="732"/>
      <c r="V120" s="732"/>
      <c r="W120" s="734"/>
      <c r="X120" s="732"/>
      <c r="Y120" s="732"/>
      <c r="Z120" s="732"/>
      <c r="AA120" s="2770"/>
      <c r="AB120" s="2770"/>
      <c r="AC120" s="2771">
        <f t="shared" si="8"/>
        <v>0</v>
      </c>
      <c r="AD120" s="2771">
        <f t="shared" si="9"/>
        <v>0</v>
      </c>
      <c r="AE120" s="847" t="str">
        <f t="shared" si="10"/>
        <v>请选择分录类型！</v>
      </c>
      <c r="AF120" s="641"/>
    </row>
    <row r="121" spans="1:32" ht="18">
      <c r="A121" s="2750"/>
      <c r="B121" s="2777" t="str">
        <f t="shared" si="0"/>
        <v>J6601</v>
      </c>
      <c r="C121" s="2747">
        <f t="shared" si="1"/>
        <v>6601</v>
      </c>
      <c r="D121" s="2747" t="str">
        <f t="shared" si="12"/>
        <v>将发出商品中赠送给客户的样品调整至销售费用</v>
      </c>
      <c r="E121" s="2747" t="str">
        <f t="shared" si="13"/>
        <v>19</v>
      </c>
      <c r="F121" s="2747">
        <f t="shared" si="15"/>
        <v>19.113</v>
      </c>
      <c r="G121" s="2757" t="str">
        <f t="shared" si="5"/>
        <v>本期</v>
      </c>
      <c r="H121" s="3297"/>
      <c r="I121" s="780"/>
      <c r="J121" s="3286" t="str">
        <f t="shared" si="16"/>
        <v>借</v>
      </c>
      <c r="K121" s="689" t="s">
        <v>680</v>
      </c>
      <c r="L121" s="695" t="s">
        <v>932</v>
      </c>
      <c r="M121" s="695"/>
      <c r="N121" s="695"/>
      <c r="O121" s="196">
        <v>992.55</v>
      </c>
      <c r="P121" s="216"/>
      <c r="Q121" s="3298" t="str">
        <f t="shared" si="6"/>
        <v>7200C</v>
      </c>
      <c r="R121" s="732" t="str">
        <f t="shared" si="7"/>
        <v>6</v>
      </c>
      <c r="S121" s="3283" t="s">
        <v>7783</v>
      </c>
      <c r="T121" s="732"/>
      <c r="U121" s="732"/>
      <c r="V121" s="732"/>
      <c r="W121" s="734"/>
      <c r="X121" s="732"/>
      <c r="Y121" s="732"/>
      <c r="Z121" s="732"/>
      <c r="AA121" s="2770"/>
      <c r="AB121" s="2770"/>
      <c r="AC121" s="2771">
        <f t="shared" si="8"/>
        <v>992.55</v>
      </c>
      <c r="AD121" s="2771">
        <f t="shared" si="9"/>
        <v>0</v>
      </c>
      <c r="AE121" s="847" t="str">
        <f t="shared" si="10"/>
        <v>请选择分录类型！</v>
      </c>
      <c r="AF121" s="641"/>
    </row>
    <row r="122" spans="1:32" ht="18">
      <c r="A122" s="2750"/>
      <c r="B122" s="2777" t="str">
        <f t="shared" si="0"/>
        <v>J1400</v>
      </c>
      <c r="C122" s="2747">
        <f t="shared" si="1"/>
        <v>1400</v>
      </c>
      <c r="D122" s="2747" t="str">
        <f t="shared" si="12"/>
        <v>将发出商品中赠送给客户的样品调整至销售费用</v>
      </c>
      <c r="E122" s="2747" t="str">
        <f t="shared" si="13"/>
        <v>19</v>
      </c>
      <c r="F122" s="2747">
        <f t="shared" si="15"/>
        <v>19.114000000000001</v>
      </c>
      <c r="G122" s="2757" t="str">
        <f t="shared" si="5"/>
        <v>本期</v>
      </c>
      <c r="H122" s="3297"/>
      <c r="I122" s="780"/>
      <c r="J122" s="3286" t="str">
        <f t="shared" si="16"/>
        <v>贷</v>
      </c>
      <c r="K122" s="689" t="s">
        <v>229</v>
      </c>
      <c r="L122" s="695" t="s">
        <v>319</v>
      </c>
      <c r="M122" s="695"/>
      <c r="N122" s="695"/>
      <c r="O122" s="196"/>
      <c r="P122" s="216">
        <v>992.55</v>
      </c>
      <c r="Q122" s="3298" t="str">
        <f t="shared" si="6"/>
        <v>5300A</v>
      </c>
      <c r="R122" s="732" t="str">
        <f t="shared" si="7"/>
        <v>1</v>
      </c>
      <c r="S122" s="3283" t="s">
        <v>7783</v>
      </c>
      <c r="T122" s="732"/>
      <c r="U122" s="732"/>
      <c r="V122" s="732"/>
      <c r="W122" s="734"/>
      <c r="X122" s="732"/>
      <c r="Y122" s="732"/>
      <c r="Z122" s="732"/>
      <c r="AA122" s="2770"/>
      <c r="AB122" s="2770"/>
      <c r="AC122" s="2771">
        <f t="shared" si="8"/>
        <v>0</v>
      </c>
      <c r="AD122" s="2771">
        <f t="shared" si="9"/>
        <v>992.55</v>
      </c>
      <c r="AE122" s="847" t="str">
        <f t="shared" si="10"/>
        <v>请选择分录类型！</v>
      </c>
      <c r="AF122" s="641"/>
    </row>
    <row r="123" spans="1:32" ht="18">
      <c r="A123" s="2750"/>
      <c r="B123" s="2777" t="str">
        <f t="shared" si="0"/>
        <v/>
      </c>
      <c r="C123" s="2747" t="str">
        <f t="shared" si="1"/>
        <v/>
      </c>
      <c r="D123" s="2747" t="str">
        <f t="shared" si="12"/>
        <v/>
      </c>
      <c r="E123" s="2747" t="str">
        <f t="shared" si="13"/>
        <v/>
      </c>
      <c r="F123" s="2747">
        <f t="shared" si="15"/>
        <v>19.114999999999998</v>
      </c>
      <c r="G123" s="2757" t="str">
        <f t="shared" si="5"/>
        <v/>
      </c>
      <c r="H123" s="3297"/>
      <c r="I123" s="780"/>
      <c r="J123" s="3286" t="str">
        <f t="shared" si="16"/>
        <v/>
      </c>
      <c r="K123" s="689"/>
      <c r="L123" s="695"/>
      <c r="M123" s="695"/>
      <c r="N123" s="695"/>
      <c r="O123" s="196"/>
      <c r="P123" s="216"/>
      <c r="Q123" s="3298" t="str">
        <f t="shared" si="6"/>
        <v/>
      </c>
      <c r="R123" s="732" t="str">
        <f t="shared" si="7"/>
        <v/>
      </c>
      <c r="S123" s="732"/>
      <c r="T123" s="732"/>
      <c r="U123" s="732"/>
      <c r="V123" s="732"/>
      <c r="W123" s="734"/>
      <c r="X123" s="732"/>
      <c r="Y123" s="732"/>
      <c r="Z123" s="732"/>
      <c r="AA123" s="2770"/>
      <c r="AB123" s="2770"/>
      <c r="AC123" s="2771">
        <f t="shared" si="8"/>
        <v>0</v>
      </c>
      <c r="AD123" s="2771">
        <f t="shared" si="9"/>
        <v>0</v>
      </c>
      <c r="AE123" s="847" t="str">
        <f t="shared" si="10"/>
        <v/>
      </c>
      <c r="AF123" s="641"/>
    </row>
    <row r="124" spans="1:32" ht="18">
      <c r="A124" s="2750"/>
      <c r="B124" s="2777" t="str">
        <f t="shared" si="0"/>
        <v/>
      </c>
      <c r="C124" s="2747" t="str">
        <f t="shared" si="1"/>
        <v/>
      </c>
      <c r="D124" s="2747" t="str">
        <f t="shared" si="12"/>
        <v>确认发出商品中质量补偿货物成本</v>
      </c>
      <c r="E124" s="2747" t="str">
        <f t="shared" si="13"/>
        <v>20</v>
      </c>
      <c r="F124" s="2747">
        <f t="shared" si="15"/>
        <v>20.116</v>
      </c>
      <c r="G124" s="2757" t="str">
        <f t="shared" si="5"/>
        <v>本期</v>
      </c>
      <c r="H124" s="3297"/>
      <c r="I124" s="780">
        <v>20</v>
      </c>
      <c r="J124" s="3290" t="s">
        <v>7797</v>
      </c>
      <c r="K124" s="689"/>
      <c r="L124" s="695"/>
      <c r="M124" s="695"/>
      <c r="N124" s="695"/>
      <c r="O124" s="196"/>
      <c r="P124" s="216"/>
      <c r="Q124" s="3298" t="str">
        <f t="shared" si="6"/>
        <v/>
      </c>
      <c r="R124" s="732" t="str">
        <f t="shared" si="7"/>
        <v/>
      </c>
      <c r="S124" s="3283" t="s">
        <v>7783</v>
      </c>
      <c r="T124" s="732"/>
      <c r="U124" s="732"/>
      <c r="V124" s="732"/>
      <c r="W124" s="734"/>
      <c r="X124" s="732"/>
      <c r="Y124" s="732"/>
      <c r="Z124" s="732"/>
      <c r="AA124" s="2770"/>
      <c r="AB124" s="2770"/>
      <c r="AC124" s="2771">
        <f t="shared" si="8"/>
        <v>0</v>
      </c>
      <c r="AD124" s="2771">
        <f t="shared" si="9"/>
        <v>0</v>
      </c>
      <c r="AE124" s="847" t="str">
        <f t="shared" si="10"/>
        <v>请选择分录类型！</v>
      </c>
      <c r="AF124" s="641"/>
    </row>
    <row r="125" spans="1:32" ht="18">
      <c r="A125" s="2750"/>
      <c r="B125" s="2777" t="str">
        <f t="shared" si="0"/>
        <v>J6401</v>
      </c>
      <c r="C125" s="2747">
        <f t="shared" si="1"/>
        <v>6401</v>
      </c>
      <c r="D125" s="2747" t="str">
        <f t="shared" si="12"/>
        <v>确认发出商品中质量补偿货物成本</v>
      </c>
      <c r="E125" s="2747" t="str">
        <f t="shared" si="13"/>
        <v>20</v>
      </c>
      <c r="F125" s="2747">
        <f t="shared" si="15"/>
        <v>20.117000000000001</v>
      </c>
      <c r="G125" s="2757" t="str">
        <f t="shared" si="5"/>
        <v>本期</v>
      </c>
      <c r="H125" s="3297"/>
      <c r="I125" s="780"/>
      <c r="J125" s="3286" t="str">
        <f t="shared" si="16"/>
        <v>借</v>
      </c>
      <c r="K125" s="689" t="s">
        <v>671</v>
      </c>
      <c r="L125" s="695" t="s">
        <v>7781</v>
      </c>
      <c r="M125" s="695"/>
      <c r="N125" s="695"/>
      <c r="O125" s="196">
        <v>28884.880000000001</v>
      </c>
      <c r="P125" s="216"/>
      <c r="Q125" s="3298" t="str">
        <f t="shared" si="6"/>
        <v>7100A</v>
      </c>
      <c r="R125" s="732" t="str">
        <f t="shared" si="7"/>
        <v>6</v>
      </c>
      <c r="S125" s="3283" t="s">
        <v>7783</v>
      </c>
      <c r="T125" s="732"/>
      <c r="U125" s="732"/>
      <c r="V125" s="732"/>
      <c r="W125" s="734"/>
      <c r="X125" s="732"/>
      <c r="Y125" s="732"/>
      <c r="Z125" s="732"/>
      <c r="AA125" s="2770"/>
      <c r="AB125" s="2770"/>
      <c r="AC125" s="2771">
        <f t="shared" si="8"/>
        <v>28884.880000000001</v>
      </c>
      <c r="AD125" s="2771">
        <f t="shared" si="9"/>
        <v>0</v>
      </c>
      <c r="AE125" s="847" t="str">
        <f t="shared" si="10"/>
        <v>请选择分录类型！</v>
      </c>
      <c r="AF125" s="641"/>
    </row>
    <row r="126" spans="1:32" ht="18">
      <c r="A126" s="2750"/>
      <c r="B126" s="2777" t="str">
        <f t="shared" si="0"/>
        <v>J1400</v>
      </c>
      <c r="C126" s="2747">
        <f t="shared" si="1"/>
        <v>1400</v>
      </c>
      <c r="D126" s="2747" t="str">
        <f t="shared" si="12"/>
        <v>确认发出商品中质量补偿货物成本</v>
      </c>
      <c r="E126" s="2747" t="str">
        <f t="shared" si="13"/>
        <v>20</v>
      </c>
      <c r="F126" s="2747">
        <f t="shared" si="15"/>
        <v>20.117999999999999</v>
      </c>
      <c r="G126" s="2757" t="str">
        <f t="shared" si="5"/>
        <v>本期</v>
      </c>
      <c r="H126" s="3297"/>
      <c r="I126" s="780"/>
      <c r="J126" s="3286" t="str">
        <f t="shared" si="16"/>
        <v>贷</v>
      </c>
      <c r="K126" s="689" t="s">
        <v>229</v>
      </c>
      <c r="L126" s="695" t="s">
        <v>319</v>
      </c>
      <c r="M126" s="695"/>
      <c r="N126" s="695"/>
      <c r="O126" s="196"/>
      <c r="P126" s="216">
        <v>28884.880000000001</v>
      </c>
      <c r="Q126" s="3298" t="str">
        <f t="shared" si="6"/>
        <v>5300A</v>
      </c>
      <c r="R126" s="732" t="str">
        <f t="shared" si="7"/>
        <v>1</v>
      </c>
      <c r="S126" s="3283" t="s">
        <v>7783</v>
      </c>
      <c r="T126" s="732"/>
      <c r="U126" s="732"/>
      <c r="V126" s="732"/>
      <c r="W126" s="734"/>
      <c r="X126" s="732"/>
      <c r="Y126" s="732"/>
      <c r="Z126" s="732"/>
      <c r="AA126" s="2770"/>
      <c r="AB126" s="2770"/>
      <c r="AC126" s="2771">
        <f t="shared" si="8"/>
        <v>0</v>
      </c>
      <c r="AD126" s="2771">
        <f t="shared" si="9"/>
        <v>28884.880000000001</v>
      </c>
      <c r="AE126" s="847" t="str">
        <f t="shared" si="10"/>
        <v>请选择分录类型！</v>
      </c>
      <c r="AF126" s="641"/>
    </row>
    <row r="127" spans="1:32" ht="18">
      <c r="A127" s="2750"/>
      <c r="B127" s="2777" t="str">
        <f t="shared" si="0"/>
        <v/>
      </c>
      <c r="C127" s="2747" t="str">
        <f t="shared" si="1"/>
        <v/>
      </c>
      <c r="D127" s="2747" t="str">
        <f t="shared" si="12"/>
        <v/>
      </c>
      <c r="E127" s="2747" t="str">
        <f t="shared" si="13"/>
        <v/>
      </c>
      <c r="F127" s="2747">
        <f t="shared" si="15"/>
        <v>20.119</v>
      </c>
      <c r="G127" s="2757" t="str">
        <f t="shared" si="5"/>
        <v/>
      </c>
      <c r="H127" s="3297"/>
      <c r="I127" s="780"/>
      <c r="J127" s="3286" t="str">
        <f t="shared" si="16"/>
        <v/>
      </c>
      <c r="K127" s="689"/>
      <c r="L127" s="695"/>
      <c r="M127" s="695"/>
      <c r="N127" s="695"/>
      <c r="O127" s="196"/>
      <c r="P127" s="216"/>
      <c r="Q127" s="3298" t="str">
        <f t="shared" si="6"/>
        <v/>
      </c>
      <c r="R127" s="732" t="str">
        <f t="shared" si="7"/>
        <v/>
      </c>
      <c r="S127" s="732"/>
      <c r="T127" s="732"/>
      <c r="U127" s="732"/>
      <c r="V127" s="732"/>
      <c r="W127" s="734"/>
      <c r="X127" s="732"/>
      <c r="Y127" s="732"/>
      <c r="Z127" s="732"/>
      <c r="AA127" s="2770"/>
      <c r="AB127" s="2770"/>
      <c r="AC127" s="2771">
        <f t="shared" si="8"/>
        <v>0</v>
      </c>
      <c r="AD127" s="2771">
        <f t="shared" si="9"/>
        <v>0</v>
      </c>
      <c r="AE127" s="847" t="str">
        <f t="shared" si="10"/>
        <v/>
      </c>
      <c r="AF127" s="641"/>
    </row>
    <row r="128" spans="1:32" ht="18">
      <c r="A128" s="2750"/>
      <c r="B128" s="2777" t="str">
        <f t="shared" si="0"/>
        <v/>
      </c>
      <c r="C128" s="2747" t="str">
        <f t="shared" si="1"/>
        <v/>
      </c>
      <c r="D128" s="2747" t="str">
        <f t="shared" si="12"/>
        <v>补确认本期已签收未开票收入并结转成本：</v>
      </c>
      <c r="E128" s="2747" t="str">
        <f t="shared" si="13"/>
        <v>21</v>
      </c>
      <c r="F128" s="2747">
        <f t="shared" si="15"/>
        <v>21.12</v>
      </c>
      <c r="G128" s="2757" t="str">
        <f t="shared" si="5"/>
        <v>本期</v>
      </c>
      <c r="H128" s="3297"/>
      <c r="I128" s="780">
        <v>21</v>
      </c>
      <c r="J128" s="3286" t="s">
        <v>7785</v>
      </c>
      <c r="K128" s="689"/>
      <c r="L128" s="695"/>
      <c r="M128" s="695"/>
      <c r="N128" s="695"/>
      <c r="O128" s="196"/>
      <c r="P128" s="216"/>
      <c r="Q128" s="3298" t="str">
        <f t="shared" si="6"/>
        <v/>
      </c>
      <c r="R128" s="732" t="str">
        <f t="shared" si="7"/>
        <v/>
      </c>
      <c r="S128" s="732"/>
      <c r="T128" s="732"/>
      <c r="U128" s="732"/>
      <c r="V128" s="732"/>
      <c r="W128" s="734"/>
      <c r="X128" s="732"/>
      <c r="Y128" s="732"/>
      <c r="Z128" s="732"/>
      <c r="AA128" s="2770"/>
      <c r="AB128" s="2770"/>
      <c r="AC128" s="2771">
        <f t="shared" si="8"/>
        <v>0</v>
      </c>
      <c r="AD128" s="2771">
        <f t="shared" si="9"/>
        <v>0</v>
      </c>
      <c r="AE128" s="847" t="str">
        <f t="shared" si="10"/>
        <v>请选择分录类型！</v>
      </c>
      <c r="AF128" s="641"/>
    </row>
    <row r="129" spans="1:32" ht="24">
      <c r="A129" s="2750"/>
      <c r="B129" s="2777" t="str">
        <f t="shared" si="0"/>
        <v>J1122</v>
      </c>
      <c r="C129" s="2747">
        <f t="shared" si="1"/>
        <v>1122</v>
      </c>
      <c r="D129" s="2747" t="str">
        <f t="shared" si="12"/>
        <v>补确认本期已签收未开票收入并结转成本：</v>
      </c>
      <c r="E129" s="2747" t="str">
        <f t="shared" si="13"/>
        <v>21</v>
      </c>
      <c r="F129" s="2747">
        <f t="shared" si="15"/>
        <v>21.120999999999999</v>
      </c>
      <c r="G129" s="2757" t="str">
        <f t="shared" si="5"/>
        <v>本期</v>
      </c>
      <c r="H129" s="3297"/>
      <c r="I129" s="780"/>
      <c r="J129" s="3286" t="str">
        <f t="shared" si="16"/>
        <v>借</v>
      </c>
      <c r="K129" s="689" t="s">
        <v>124</v>
      </c>
      <c r="L129" s="695" t="s">
        <v>7786</v>
      </c>
      <c r="M129" s="695"/>
      <c r="N129" s="695"/>
      <c r="O129" s="196">
        <v>10440</v>
      </c>
      <c r="P129" s="216"/>
      <c r="Q129" s="3298" t="str">
        <f t="shared" si="6"/>
        <v>5200A</v>
      </c>
      <c r="R129" s="732" t="str">
        <f t="shared" si="7"/>
        <v>1</v>
      </c>
      <c r="S129" s="3283" t="s">
        <v>7790</v>
      </c>
      <c r="T129" s="732"/>
      <c r="U129" s="732"/>
      <c r="V129" s="732"/>
      <c r="W129" s="734"/>
      <c r="X129" s="732"/>
      <c r="Y129" s="732"/>
      <c r="Z129" s="732"/>
      <c r="AA129" s="2770"/>
      <c r="AB129" s="2770"/>
      <c r="AC129" s="2771">
        <f t="shared" si="8"/>
        <v>10440</v>
      </c>
      <c r="AD129" s="2771">
        <f t="shared" si="9"/>
        <v>0</v>
      </c>
      <c r="AE129" s="847" t="str">
        <f t="shared" si="10"/>
        <v>请选择分录类型！</v>
      </c>
      <c r="AF129" s="641"/>
    </row>
    <row r="130" spans="1:32" ht="18">
      <c r="A130" s="2750"/>
      <c r="B130" s="2777" t="str">
        <f t="shared" si="0"/>
        <v>J6001</v>
      </c>
      <c r="C130" s="2747">
        <f t="shared" si="1"/>
        <v>6001</v>
      </c>
      <c r="D130" s="2747" t="str">
        <f t="shared" si="12"/>
        <v>补确认本期已签收未开票收入并结转成本：</v>
      </c>
      <c r="E130" s="2747" t="str">
        <f t="shared" si="13"/>
        <v>21</v>
      </c>
      <c r="F130" s="2747">
        <f t="shared" si="15"/>
        <v>21.122</v>
      </c>
      <c r="G130" s="2757" t="str">
        <f t="shared" si="5"/>
        <v>本期</v>
      </c>
      <c r="H130" s="3297"/>
      <c r="I130" s="780"/>
      <c r="J130" s="3286" t="str">
        <f t="shared" si="16"/>
        <v>贷</v>
      </c>
      <c r="K130" s="689" t="s">
        <v>631</v>
      </c>
      <c r="L130" s="695" t="s">
        <v>7787</v>
      </c>
      <c r="M130" s="695"/>
      <c r="N130" s="695"/>
      <c r="O130" s="196"/>
      <c r="P130" s="216">
        <v>9238.94</v>
      </c>
      <c r="Q130" s="3298" t="str">
        <f t="shared" si="6"/>
        <v>7000A</v>
      </c>
      <c r="R130" s="732" t="str">
        <f t="shared" si="7"/>
        <v>6</v>
      </c>
      <c r="S130" s="3283" t="s">
        <v>7790</v>
      </c>
      <c r="T130" s="732"/>
      <c r="U130" s="732"/>
      <c r="V130" s="732"/>
      <c r="W130" s="734"/>
      <c r="X130" s="732"/>
      <c r="Y130" s="732"/>
      <c r="Z130" s="732"/>
      <c r="AA130" s="2770"/>
      <c r="AB130" s="2770"/>
      <c r="AC130" s="2771">
        <f t="shared" si="8"/>
        <v>0</v>
      </c>
      <c r="AD130" s="2771">
        <f t="shared" si="9"/>
        <v>9238.94</v>
      </c>
      <c r="AE130" s="847" t="str">
        <f t="shared" si="10"/>
        <v>请选择分录类型！</v>
      </c>
      <c r="AF130" s="641"/>
    </row>
    <row r="131" spans="1:32" ht="18">
      <c r="A131" s="2750"/>
      <c r="B131" s="2777" t="str">
        <f t="shared" si="0"/>
        <v>J2221</v>
      </c>
      <c r="C131" s="2747">
        <f t="shared" si="1"/>
        <v>2221</v>
      </c>
      <c r="D131" s="2747" t="str">
        <f t="shared" si="12"/>
        <v>补确认本期已签收未开票收入并结转成本：</v>
      </c>
      <c r="E131" s="2747" t="str">
        <f t="shared" si="13"/>
        <v>21</v>
      </c>
      <c r="F131" s="2747">
        <f t="shared" si="15"/>
        <v>21.123000000000001</v>
      </c>
      <c r="G131" s="2757" t="str">
        <f t="shared" si="5"/>
        <v>本期</v>
      </c>
      <c r="H131" s="3297"/>
      <c r="I131" s="780"/>
      <c r="J131" s="3286" t="str">
        <f t="shared" si="16"/>
        <v>贷</v>
      </c>
      <c r="K131" s="689" t="s">
        <v>494</v>
      </c>
      <c r="L131" s="695" t="s">
        <v>7788</v>
      </c>
      <c r="M131" s="695"/>
      <c r="N131" s="695"/>
      <c r="O131" s="196"/>
      <c r="P131" s="216">
        <v>1201.06</v>
      </c>
      <c r="Q131" s="3298" t="str">
        <f t="shared" si="6"/>
        <v>6150B</v>
      </c>
      <c r="R131" s="732" t="str">
        <f t="shared" si="7"/>
        <v>2</v>
      </c>
      <c r="S131" s="3283" t="s">
        <v>7790</v>
      </c>
      <c r="T131" s="732"/>
      <c r="U131" s="732"/>
      <c r="V131" s="732"/>
      <c r="W131" s="734"/>
      <c r="X131" s="732"/>
      <c r="Y131" s="732"/>
      <c r="Z131" s="732"/>
      <c r="AA131" s="2770"/>
      <c r="AB131" s="2770"/>
      <c r="AC131" s="2771">
        <f t="shared" si="8"/>
        <v>0</v>
      </c>
      <c r="AD131" s="2771">
        <f t="shared" si="9"/>
        <v>1201.06</v>
      </c>
      <c r="AE131" s="847" t="str">
        <f t="shared" si="10"/>
        <v>请选择分录类型！</v>
      </c>
      <c r="AF131" s="641"/>
    </row>
    <row r="132" spans="1:32" ht="18">
      <c r="A132" s="2750"/>
      <c r="B132" s="2777" t="str">
        <f t="shared" si="0"/>
        <v/>
      </c>
      <c r="C132" s="2747" t="str">
        <f t="shared" si="1"/>
        <v/>
      </c>
      <c r="D132" s="2747" t="str">
        <f t="shared" si="12"/>
        <v/>
      </c>
      <c r="E132" s="2747" t="str">
        <f t="shared" si="13"/>
        <v/>
      </c>
      <c r="F132" s="2747">
        <f t="shared" si="15"/>
        <v>21.123999999999999</v>
      </c>
      <c r="G132" s="2757" t="str">
        <f t="shared" si="5"/>
        <v/>
      </c>
      <c r="H132" s="3297"/>
      <c r="I132" s="780"/>
      <c r="J132" s="3286" t="str">
        <f t="shared" si="16"/>
        <v/>
      </c>
      <c r="K132" s="689"/>
      <c r="L132" s="695"/>
      <c r="M132" s="695"/>
      <c r="N132" s="695"/>
      <c r="O132" s="196"/>
      <c r="P132" s="216"/>
      <c r="Q132" s="3298" t="str">
        <f t="shared" si="6"/>
        <v/>
      </c>
      <c r="R132" s="732" t="str">
        <f t="shared" si="7"/>
        <v/>
      </c>
      <c r="S132" s="3283" t="s">
        <v>7790</v>
      </c>
      <c r="T132" s="732"/>
      <c r="U132" s="732"/>
      <c r="V132" s="732"/>
      <c r="W132" s="734"/>
      <c r="X132" s="732"/>
      <c r="Y132" s="732"/>
      <c r="Z132" s="732"/>
      <c r="AA132" s="2770"/>
      <c r="AB132" s="2770"/>
      <c r="AC132" s="2771">
        <f t="shared" si="8"/>
        <v>0</v>
      </c>
      <c r="AD132" s="2771">
        <f t="shared" si="9"/>
        <v>0</v>
      </c>
      <c r="AE132" s="847" t="str">
        <f t="shared" si="10"/>
        <v/>
      </c>
      <c r="AF132" s="641"/>
    </row>
    <row r="133" spans="1:32" ht="18">
      <c r="A133" s="2750"/>
      <c r="B133" s="2777" t="str">
        <f t="shared" si="0"/>
        <v/>
      </c>
      <c r="C133" s="2747" t="str">
        <f t="shared" si="1"/>
        <v/>
      </c>
      <c r="D133" s="2747" t="str">
        <f t="shared" si="12"/>
        <v>补确认本期已签收未开票收入并结转成本：</v>
      </c>
      <c r="E133" s="2747" t="str">
        <f t="shared" si="13"/>
        <v>22</v>
      </c>
      <c r="F133" s="2747">
        <f t="shared" si="15"/>
        <v>22.125</v>
      </c>
      <c r="G133" s="2757" t="str">
        <f t="shared" si="5"/>
        <v>本期</v>
      </c>
      <c r="H133" s="3297"/>
      <c r="I133" s="780">
        <v>22</v>
      </c>
      <c r="J133" s="3286" t="s">
        <v>7785</v>
      </c>
      <c r="K133" s="689"/>
      <c r="L133" s="695"/>
      <c r="M133" s="695"/>
      <c r="N133" s="695"/>
      <c r="O133" s="196"/>
      <c r="P133" s="216"/>
      <c r="Q133" s="3298" t="str">
        <f t="shared" si="6"/>
        <v/>
      </c>
      <c r="R133" s="732" t="str">
        <f t="shared" si="7"/>
        <v/>
      </c>
      <c r="S133" s="3283" t="s">
        <v>7790</v>
      </c>
      <c r="T133" s="732"/>
      <c r="U133" s="732"/>
      <c r="V133" s="732"/>
      <c r="W133" s="734"/>
      <c r="X133" s="732"/>
      <c r="Y133" s="732"/>
      <c r="Z133" s="732"/>
      <c r="AA133" s="2770"/>
      <c r="AB133" s="2770"/>
      <c r="AC133" s="2771">
        <f t="shared" si="8"/>
        <v>0</v>
      </c>
      <c r="AD133" s="2771">
        <f t="shared" si="9"/>
        <v>0</v>
      </c>
      <c r="AE133" s="847" t="str">
        <f t="shared" si="10"/>
        <v>请选择分录类型！</v>
      </c>
      <c r="AF133" s="641"/>
    </row>
    <row r="134" spans="1:32" ht="24">
      <c r="A134" s="2750"/>
      <c r="B134" s="2777" t="str">
        <f t="shared" si="0"/>
        <v>J1122</v>
      </c>
      <c r="C134" s="2747">
        <f t="shared" si="1"/>
        <v>1122</v>
      </c>
      <c r="D134" s="2747" t="str">
        <f t="shared" si="12"/>
        <v>补确认本期已签收未开票收入并结转成本：</v>
      </c>
      <c r="E134" s="2747" t="str">
        <f t="shared" si="13"/>
        <v>22</v>
      </c>
      <c r="F134" s="2747">
        <f t="shared" si="15"/>
        <v>22.126000000000001</v>
      </c>
      <c r="G134" s="2757" t="str">
        <f t="shared" si="5"/>
        <v>本期</v>
      </c>
      <c r="H134" s="3297"/>
      <c r="I134" s="780"/>
      <c r="J134" s="3286" t="str">
        <f t="shared" si="16"/>
        <v>借</v>
      </c>
      <c r="K134" s="689" t="s">
        <v>124</v>
      </c>
      <c r="L134" s="695" t="s">
        <v>7425</v>
      </c>
      <c r="M134" s="695"/>
      <c r="N134" s="695"/>
      <c r="O134" s="196">
        <v>94943</v>
      </c>
      <c r="P134" s="216"/>
      <c r="Q134" s="3298" t="str">
        <f t="shared" si="6"/>
        <v>5200A</v>
      </c>
      <c r="R134" s="732" t="str">
        <f t="shared" si="7"/>
        <v>1</v>
      </c>
      <c r="S134" s="3283" t="s">
        <v>7790</v>
      </c>
      <c r="T134" s="732"/>
      <c r="U134" s="732"/>
      <c r="V134" s="732"/>
      <c r="W134" s="734"/>
      <c r="X134" s="732"/>
      <c r="Y134" s="732"/>
      <c r="Z134" s="732"/>
      <c r="AA134" s="2770"/>
      <c r="AB134" s="2770"/>
      <c r="AC134" s="2771">
        <f t="shared" si="8"/>
        <v>94943</v>
      </c>
      <c r="AD134" s="2771">
        <f t="shared" si="9"/>
        <v>0</v>
      </c>
      <c r="AE134" s="847" t="str">
        <f t="shared" si="10"/>
        <v>请选择分录类型！</v>
      </c>
      <c r="AF134" s="641"/>
    </row>
    <row r="135" spans="1:32" ht="18">
      <c r="A135" s="2750"/>
      <c r="B135" s="2777" t="str">
        <f t="shared" si="0"/>
        <v>J6001</v>
      </c>
      <c r="C135" s="2747">
        <f t="shared" si="1"/>
        <v>6001</v>
      </c>
      <c r="D135" s="2747" t="str">
        <f t="shared" si="12"/>
        <v>补确认本期已签收未开票收入并结转成本：</v>
      </c>
      <c r="E135" s="2747" t="str">
        <f t="shared" si="13"/>
        <v>22</v>
      </c>
      <c r="F135" s="2747">
        <f t="shared" si="15"/>
        <v>22.126999999999999</v>
      </c>
      <c r="G135" s="2757" t="str">
        <f t="shared" si="5"/>
        <v>本期</v>
      </c>
      <c r="H135" s="3297"/>
      <c r="I135" s="780"/>
      <c r="J135" s="3286" t="str">
        <f t="shared" si="16"/>
        <v>贷</v>
      </c>
      <c r="K135" s="689" t="s">
        <v>631</v>
      </c>
      <c r="L135" s="695" t="s">
        <v>7787</v>
      </c>
      <c r="M135" s="695"/>
      <c r="N135" s="695"/>
      <c r="O135" s="196"/>
      <c r="P135" s="216">
        <v>84020.35</v>
      </c>
      <c r="Q135" s="3298" t="str">
        <f t="shared" si="6"/>
        <v>7000A</v>
      </c>
      <c r="R135" s="732" t="str">
        <f t="shared" si="7"/>
        <v>6</v>
      </c>
      <c r="S135" s="3283" t="s">
        <v>7790</v>
      </c>
      <c r="T135" s="732"/>
      <c r="U135" s="732"/>
      <c r="V135" s="732"/>
      <c r="W135" s="734"/>
      <c r="X135" s="732"/>
      <c r="Y135" s="732"/>
      <c r="Z135" s="732"/>
      <c r="AA135" s="2770"/>
      <c r="AB135" s="2770"/>
      <c r="AC135" s="2771">
        <f t="shared" si="8"/>
        <v>0</v>
      </c>
      <c r="AD135" s="2771">
        <f t="shared" si="9"/>
        <v>84020.35</v>
      </c>
      <c r="AE135" s="847" t="str">
        <f t="shared" si="10"/>
        <v>请选择分录类型！</v>
      </c>
      <c r="AF135" s="641"/>
    </row>
    <row r="136" spans="1:32" ht="18">
      <c r="A136" s="2750"/>
      <c r="B136" s="2777" t="str">
        <f t="shared" si="0"/>
        <v>J2221</v>
      </c>
      <c r="C136" s="2747">
        <f t="shared" si="1"/>
        <v>2221</v>
      </c>
      <c r="D136" s="2747" t="str">
        <f t="shared" si="12"/>
        <v>补确认本期已签收未开票收入并结转成本：</v>
      </c>
      <c r="E136" s="2747" t="str">
        <f t="shared" si="13"/>
        <v>22</v>
      </c>
      <c r="F136" s="2747">
        <f t="shared" si="15"/>
        <v>22.128</v>
      </c>
      <c r="G136" s="2757" t="str">
        <f t="shared" si="5"/>
        <v>本期</v>
      </c>
      <c r="H136" s="3297"/>
      <c r="I136" s="780"/>
      <c r="J136" s="3286" t="str">
        <f t="shared" si="16"/>
        <v>贷</v>
      </c>
      <c r="K136" s="689" t="s">
        <v>494</v>
      </c>
      <c r="L136" s="695" t="s">
        <v>7788</v>
      </c>
      <c r="M136" s="695"/>
      <c r="N136" s="695"/>
      <c r="O136" s="196"/>
      <c r="P136" s="216">
        <v>10922.65</v>
      </c>
      <c r="Q136" s="3298" t="str">
        <f t="shared" si="6"/>
        <v>6150B</v>
      </c>
      <c r="R136" s="732" t="str">
        <f t="shared" si="7"/>
        <v>2</v>
      </c>
      <c r="S136" s="3283" t="s">
        <v>7790</v>
      </c>
      <c r="T136" s="732"/>
      <c r="U136" s="732"/>
      <c r="V136" s="732"/>
      <c r="W136" s="734"/>
      <c r="X136" s="732"/>
      <c r="Y136" s="732"/>
      <c r="Z136" s="732"/>
      <c r="AA136" s="2770"/>
      <c r="AB136" s="2770"/>
      <c r="AC136" s="2771">
        <f t="shared" si="8"/>
        <v>0</v>
      </c>
      <c r="AD136" s="2771">
        <f t="shared" si="9"/>
        <v>10922.65</v>
      </c>
      <c r="AE136" s="847" t="str">
        <f t="shared" si="10"/>
        <v>请选择分录类型！</v>
      </c>
      <c r="AF136" s="641"/>
    </row>
    <row r="137" spans="1:32" ht="18">
      <c r="A137" s="2750"/>
      <c r="B137" s="2777" t="str">
        <f t="shared" si="0"/>
        <v/>
      </c>
      <c r="C137" s="2747" t="str">
        <f t="shared" si="1"/>
        <v/>
      </c>
      <c r="D137" s="2747" t="str">
        <f t="shared" ref="D137:D200" si="17">IF($O137&amp;$P137&lt;&gt;"",cellAbove,INDEX($J:$J,ROW()))&amp;""</f>
        <v/>
      </c>
      <c r="E137" s="2747" t="str">
        <f t="shared" ref="E137:E200" si="18">IF($O137&amp;$P137&lt;&gt;"",cellAbove,INDEX($I:$I,ROW()))&amp;""</f>
        <v/>
      </c>
      <c r="F137" s="2747">
        <f t="shared" si="15"/>
        <v>22.129000000000001</v>
      </c>
      <c r="G137" s="2757" t="str">
        <f t="shared" si="5"/>
        <v/>
      </c>
      <c r="H137" s="3297"/>
      <c r="I137" s="780"/>
      <c r="J137" s="3286" t="str">
        <f t="shared" si="16"/>
        <v/>
      </c>
      <c r="K137" s="689"/>
      <c r="L137" s="695"/>
      <c r="M137" s="695"/>
      <c r="N137" s="695"/>
      <c r="O137" s="196"/>
      <c r="P137" s="216"/>
      <c r="Q137" s="3298" t="str">
        <f t="shared" si="6"/>
        <v/>
      </c>
      <c r="R137" s="732" t="str">
        <f t="shared" si="7"/>
        <v/>
      </c>
      <c r="S137" s="3283" t="s">
        <v>7790</v>
      </c>
      <c r="T137" s="732"/>
      <c r="U137" s="732"/>
      <c r="V137" s="732"/>
      <c r="W137" s="734"/>
      <c r="X137" s="732"/>
      <c r="Y137" s="732"/>
      <c r="Z137" s="732"/>
      <c r="AA137" s="2770"/>
      <c r="AB137" s="2770"/>
      <c r="AC137" s="2771">
        <f t="shared" si="8"/>
        <v>0</v>
      </c>
      <c r="AD137" s="2771">
        <f t="shared" si="9"/>
        <v>0</v>
      </c>
      <c r="AE137" s="847" t="str">
        <f t="shared" si="10"/>
        <v/>
      </c>
      <c r="AF137" s="641"/>
    </row>
    <row r="138" spans="1:32" ht="18">
      <c r="A138" s="2750"/>
      <c r="B138" s="2777" t="str">
        <f t="shared" si="0"/>
        <v/>
      </c>
      <c r="C138" s="2747" t="str">
        <f t="shared" si="1"/>
        <v/>
      </c>
      <c r="D138" s="2747" t="str">
        <f t="shared" si="17"/>
        <v>补确认本期已签收未开票收入并结转成本：</v>
      </c>
      <c r="E138" s="2747" t="str">
        <f t="shared" si="18"/>
        <v>23</v>
      </c>
      <c r="F138" s="2747">
        <f t="shared" si="15"/>
        <v>23.13</v>
      </c>
      <c r="G138" s="2757" t="str">
        <f t="shared" si="5"/>
        <v>本期</v>
      </c>
      <c r="H138" s="3297"/>
      <c r="I138" s="780">
        <v>23</v>
      </c>
      <c r="J138" s="3286" t="s">
        <v>7785</v>
      </c>
      <c r="K138" s="689"/>
      <c r="L138" s="695"/>
      <c r="M138" s="695"/>
      <c r="N138" s="695"/>
      <c r="O138" s="196"/>
      <c r="P138" s="216"/>
      <c r="Q138" s="3298" t="str">
        <f t="shared" si="6"/>
        <v/>
      </c>
      <c r="R138" s="732" t="str">
        <f t="shared" si="7"/>
        <v/>
      </c>
      <c r="S138" s="3283" t="s">
        <v>7790</v>
      </c>
      <c r="T138" s="732"/>
      <c r="U138" s="732"/>
      <c r="V138" s="732"/>
      <c r="W138" s="734"/>
      <c r="X138" s="732"/>
      <c r="Y138" s="732"/>
      <c r="Z138" s="732"/>
      <c r="AA138" s="2770"/>
      <c r="AB138" s="2770"/>
      <c r="AC138" s="2771">
        <f t="shared" si="8"/>
        <v>0</v>
      </c>
      <c r="AD138" s="2771">
        <f t="shared" si="9"/>
        <v>0</v>
      </c>
      <c r="AE138" s="847" t="str">
        <f t="shared" si="10"/>
        <v>请选择分录类型！</v>
      </c>
      <c r="AF138" s="641"/>
    </row>
    <row r="139" spans="1:32" ht="24">
      <c r="A139" s="2750"/>
      <c r="B139" s="2777" t="str">
        <f t="shared" si="0"/>
        <v>J1122</v>
      </c>
      <c r="C139" s="2747">
        <f t="shared" si="1"/>
        <v>1122</v>
      </c>
      <c r="D139" s="2747" t="str">
        <f t="shared" si="17"/>
        <v>补确认本期已签收未开票收入并结转成本：</v>
      </c>
      <c r="E139" s="2747" t="str">
        <f t="shared" si="18"/>
        <v>23</v>
      </c>
      <c r="F139" s="2747">
        <f t="shared" si="15"/>
        <v>23.131</v>
      </c>
      <c r="G139" s="2757" t="str">
        <f t="shared" si="5"/>
        <v>本期</v>
      </c>
      <c r="H139" s="3297"/>
      <c r="I139" s="780"/>
      <c r="J139" s="3286" t="str">
        <f t="shared" si="16"/>
        <v>借</v>
      </c>
      <c r="K139" s="689" t="s">
        <v>124</v>
      </c>
      <c r="L139" s="695" t="s">
        <v>7791</v>
      </c>
      <c r="M139" s="695"/>
      <c r="N139" s="695"/>
      <c r="O139" s="196">
        <v>45980</v>
      </c>
      <c r="P139" s="216"/>
      <c r="Q139" s="3298" t="str">
        <f t="shared" si="6"/>
        <v>5200A</v>
      </c>
      <c r="R139" s="732" t="str">
        <f t="shared" si="7"/>
        <v>1</v>
      </c>
      <c r="S139" s="3283" t="s">
        <v>7790</v>
      </c>
      <c r="T139" s="732"/>
      <c r="U139" s="732"/>
      <c r="V139" s="732"/>
      <c r="W139" s="734"/>
      <c r="X139" s="732"/>
      <c r="Y139" s="732"/>
      <c r="Z139" s="732"/>
      <c r="AA139" s="2770"/>
      <c r="AB139" s="2770"/>
      <c r="AC139" s="2771">
        <f t="shared" si="8"/>
        <v>45980</v>
      </c>
      <c r="AD139" s="2771">
        <f t="shared" si="9"/>
        <v>0</v>
      </c>
      <c r="AE139" s="847" t="str">
        <f t="shared" si="10"/>
        <v>请选择分录类型！</v>
      </c>
      <c r="AF139" s="641"/>
    </row>
    <row r="140" spans="1:32" ht="18">
      <c r="A140" s="2750"/>
      <c r="B140" s="2777" t="str">
        <f t="shared" si="0"/>
        <v>J6001</v>
      </c>
      <c r="C140" s="2747">
        <f t="shared" si="1"/>
        <v>6001</v>
      </c>
      <c r="D140" s="2747" t="str">
        <f t="shared" si="17"/>
        <v>补确认本期已签收未开票收入并结转成本：</v>
      </c>
      <c r="E140" s="2747" t="str">
        <f t="shared" si="18"/>
        <v>23</v>
      </c>
      <c r="F140" s="2747">
        <f t="shared" si="15"/>
        <v>23.132000000000001</v>
      </c>
      <c r="G140" s="2757" t="str">
        <f t="shared" si="5"/>
        <v>本期</v>
      </c>
      <c r="H140" s="3297"/>
      <c r="I140" s="780"/>
      <c r="J140" s="3286" t="str">
        <f t="shared" si="16"/>
        <v>贷</v>
      </c>
      <c r="K140" s="689" t="s">
        <v>631</v>
      </c>
      <c r="L140" s="695" t="s">
        <v>7787</v>
      </c>
      <c r="M140" s="695"/>
      <c r="N140" s="695"/>
      <c r="O140" s="196"/>
      <c r="P140" s="216">
        <v>40690.269999999997</v>
      </c>
      <c r="Q140" s="3298" t="str">
        <f t="shared" si="6"/>
        <v>7000A</v>
      </c>
      <c r="R140" s="732" t="str">
        <f t="shared" si="7"/>
        <v>6</v>
      </c>
      <c r="S140" s="3283" t="s">
        <v>7790</v>
      </c>
      <c r="T140" s="732"/>
      <c r="U140" s="732"/>
      <c r="V140" s="732"/>
      <c r="W140" s="734"/>
      <c r="X140" s="732"/>
      <c r="Y140" s="732"/>
      <c r="Z140" s="732"/>
      <c r="AA140" s="2770"/>
      <c r="AB140" s="2770"/>
      <c r="AC140" s="2771">
        <f t="shared" si="8"/>
        <v>0</v>
      </c>
      <c r="AD140" s="2771">
        <f t="shared" si="9"/>
        <v>40690.269999999997</v>
      </c>
      <c r="AE140" s="847" t="str">
        <f t="shared" si="10"/>
        <v>请选择分录类型！</v>
      </c>
      <c r="AF140" s="641"/>
    </row>
    <row r="141" spans="1:32" ht="18">
      <c r="A141" s="2750"/>
      <c r="B141" s="2777" t="str">
        <f t="shared" si="0"/>
        <v>J2221</v>
      </c>
      <c r="C141" s="2747">
        <f t="shared" si="1"/>
        <v>2221</v>
      </c>
      <c r="D141" s="2747" t="str">
        <f t="shared" si="17"/>
        <v>补确认本期已签收未开票收入并结转成本：</v>
      </c>
      <c r="E141" s="2747" t="str">
        <f t="shared" si="18"/>
        <v>23</v>
      </c>
      <c r="F141" s="2747">
        <f t="shared" si="15"/>
        <v>23.132999999999999</v>
      </c>
      <c r="G141" s="2757" t="str">
        <f t="shared" si="5"/>
        <v>本期</v>
      </c>
      <c r="H141" s="3297"/>
      <c r="I141" s="780"/>
      <c r="J141" s="3286" t="str">
        <f t="shared" si="16"/>
        <v>贷</v>
      </c>
      <c r="K141" s="689" t="s">
        <v>494</v>
      </c>
      <c r="L141" s="695" t="s">
        <v>7788</v>
      </c>
      <c r="M141" s="695"/>
      <c r="N141" s="695"/>
      <c r="O141" s="196"/>
      <c r="P141" s="216">
        <v>5289.73</v>
      </c>
      <c r="Q141" s="3298" t="str">
        <f t="shared" si="6"/>
        <v>6150B</v>
      </c>
      <c r="R141" s="732" t="str">
        <f t="shared" si="7"/>
        <v>2</v>
      </c>
      <c r="S141" s="3283" t="s">
        <v>7790</v>
      </c>
      <c r="T141" s="732"/>
      <c r="U141" s="732"/>
      <c r="V141" s="732"/>
      <c r="W141" s="734"/>
      <c r="X141" s="732"/>
      <c r="Y141" s="732"/>
      <c r="Z141" s="732"/>
      <c r="AA141" s="2770"/>
      <c r="AB141" s="2770"/>
      <c r="AC141" s="2771">
        <f t="shared" si="8"/>
        <v>0</v>
      </c>
      <c r="AD141" s="2771">
        <f t="shared" si="9"/>
        <v>5289.73</v>
      </c>
      <c r="AE141" s="847" t="str">
        <f t="shared" si="10"/>
        <v>请选择分录类型！</v>
      </c>
      <c r="AF141" s="641"/>
    </row>
    <row r="142" spans="1:32" ht="18">
      <c r="A142" s="2750"/>
      <c r="B142" s="2777" t="str">
        <f t="shared" si="0"/>
        <v/>
      </c>
      <c r="C142" s="2747" t="str">
        <f t="shared" si="1"/>
        <v/>
      </c>
      <c r="D142" s="2747" t="str">
        <f t="shared" si="17"/>
        <v/>
      </c>
      <c r="E142" s="2747" t="str">
        <f t="shared" si="18"/>
        <v/>
      </c>
      <c r="F142" s="2747">
        <f t="shared" si="15"/>
        <v>23.134</v>
      </c>
      <c r="G142" s="2757" t="str">
        <f t="shared" si="5"/>
        <v/>
      </c>
      <c r="H142" s="3297"/>
      <c r="I142" s="780"/>
      <c r="J142" s="3286" t="str">
        <f t="shared" si="16"/>
        <v/>
      </c>
      <c r="K142" s="689"/>
      <c r="L142" s="695"/>
      <c r="M142" s="695"/>
      <c r="N142" s="695"/>
      <c r="O142" s="196"/>
      <c r="P142" s="216"/>
      <c r="Q142" s="3298" t="str">
        <f t="shared" si="6"/>
        <v/>
      </c>
      <c r="R142" s="732" t="str">
        <f t="shared" si="7"/>
        <v/>
      </c>
      <c r="S142" s="3283" t="s">
        <v>7790</v>
      </c>
      <c r="T142" s="732"/>
      <c r="U142" s="732"/>
      <c r="V142" s="732"/>
      <c r="W142" s="734"/>
      <c r="X142" s="732"/>
      <c r="Y142" s="732"/>
      <c r="Z142" s="732"/>
      <c r="AA142" s="2770"/>
      <c r="AB142" s="2770"/>
      <c r="AC142" s="2771">
        <f t="shared" si="8"/>
        <v>0</v>
      </c>
      <c r="AD142" s="2771">
        <f t="shared" si="9"/>
        <v>0</v>
      </c>
      <c r="AE142" s="847" t="str">
        <f t="shared" si="10"/>
        <v/>
      </c>
      <c r="AF142" s="641"/>
    </row>
    <row r="143" spans="1:32" ht="18">
      <c r="A143" s="2750"/>
      <c r="B143" s="2777" t="str">
        <f t="shared" si="0"/>
        <v/>
      </c>
      <c r="C143" s="2747" t="str">
        <f t="shared" si="1"/>
        <v/>
      </c>
      <c r="D143" s="2747" t="str">
        <f t="shared" si="17"/>
        <v>补确认本期已签收未开票收入并结转成本：</v>
      </c>
      <c r="E143" s="2747" t="str">
        <f t="shared" si="18"/>
        <v>24</v>
      </c>
      <c r="F143" s="2747">
        <f t="shared" si="15"/>
        <v>24.135000000000002</v>
      </c>
      <c r="G143" s="2757" t="str">
        <f t="shared" si="5"/>
        <v>本期</v>
      </c>
      <c r="H143" s="3297"/>
      <c r="I143" s="780">
        <v>24</v>
      </c>
      <c r="J143" s="3286" t="s">
        <v>7785</v>
      </c>
      <c r="K143" s="689"/>
      <c r="L143" s="695"/>
      <c r="M143" s="695"/>
      <c r="N143" s="695"/>
      <c r="O143" s="196"/>
      <c r="P143" s="216"/>
      <c r="Q143" s="3298" t="str">
        <f t="shared" si="6"/>
        <v/>
      </c>
      <c r="R143" s="732" t="str">
        <f t="shared" si="7"/>
        <v/>
      </c>
      <c r="S143" s="3283" t="s">
        <v>7790</v>
      </c>
      <c r="T143" s="732"/>
      <c r="U143" s="732"/>
      <c r="V143" s="732"/>
      <c r="W143" s="734"/>
      <c r="X143" s="732"/>
      <c r="Y143" s="732"/>
      <c r="Z143" s="732"/>
      <c r="AA143" s="2770"/>
      <c r="AB143" s="2770"/>
      <c r="AC143" s="2771">
        <f t="shared" si="8"/>
        <v>0</v>
      </c>
      <c r="AD143" s="2771">
        <f t="shared" si="9"/>
        <v>0</v>
      </c>
      <c r="AE143" s="847" t="str">
        <f t="shared" si="10"/>
        <v>请选择分录类型！</v>
      </c>
      <c r="AF143" s="641"/>
    </row>
    <row r="144" spans="1:32" ht="24">
      <c r="A144" s="2750"/>
      <c r="B144" s="2777" t="str">
        <f t="shared" si="0"/>
        <v>J1122</v>
      </c>
      <c r="C144" s="2747">
        <f t="shared" si="1"/>
        <v>1122</v>
      </c>
      <c r="D144" s="2747" t="str">
        <f t="shared" si="17"/>
        <v>补确认本期已签收未开票收入并结转成本：</v>
      </c>
      <c r="E144" s="2747" t="str">
        <f t="shared" si="18"/>
        <v>24</v>
      </c>
      <c r="F144" s="2747">
        <f t="shared" si="15"/>
        <v>24.135999999999999</v>
      </c>
      <c r="G144" s="2757" t="str">
        <f t="shared" si="5"/>
        <v>本期</v>
      </c>
      <c r="H144" s="3297"/>
      <c r="I144" s="780"/>
      <c r="J144" s="3286" t="str">
        <f t="shared" si="16"/>
        <v>借</v>
      </c>
      <c r="K144" s="689" t="s">
        <v>124</v>
      </c>
      <c r="L144" s="695" t="s">
        <v>7431</v>
      </c>
      <c r="M144" s="695"/>
      <c r="N144" s="695"/>
      <c r="O144" s="196">
        <v>847743.71</v>
      </c>
      <c r="P144" s="216"/>
      <c r="Q144" s="3298" t="str">
        <f t="shared" si="6"/>
        <v>5200A</v>
      </c>
      <c r="R144" s="732" t="str">
        <f t="shared" si="7"/>
        <v>1</v>
      </c>
      <c r="S144" s="3283" t="s">
        <v>7790</v>
      </c>
      <c r="T144" s="732"/>
      <c r="U144" s="732"/>
      <c r="V144" s="732"/>
      <c r="W144" s="734"/>
      <c r="X144" s="732"/>
      <c r="Y144" s="732"/>
      <c r="Z144" s="732"/>
      <c r="AA144" s="2770"/>
      <c r="AB144" s="2770"/>
      <c r="AC144" s="2771">
        <f t="shared" si="8"/>
        <v>847743.71</v>
      </c>
      <c r="AD144" s="2771">
        <f t="shared" si="9"/>
        <v>0</v>
      </c>
      <c r="AE144" s="847" t="str">
        <f t="shared" si="10"/>
        <v>请选择分录类型！</v>
      </c>
      <c r="AF144" s="641"/>
    </row>
    <row r="145" spans="1:32" ht="18">
      <c r="A145" s="2750"/>
      <c r="B145" s="2777" t="str">
        <f t="shared" si="0"/>
        <v>J6001</v>
      </c>
      <c r="C145" s="2747">
        <f t="shared" si="1"/>
        <v>6001</v>
      </c>
      <c r="D145" s="2747" t="str">
        <f t="shared" si="17"/>
        <v>补确认本期已签收未开票收入并结转成本：</v>
      </c>
      <c r="E145" s="2747" t="str">
        <f t="shared" si="18"/>
        <v>24</v>
      </c>
      <c r="F145" s="2747">
        <f t="shared" si="15"/>
        <v>24.137</v>
      </c>
      <c r="G145" s="2757" t="str">
        <f t="shared" si="5"/>
        <v>本期</v>
      </c>
      <c r="H145" s="3297"/>
      <c r="I145" s="780"/>
      <c r="J145" s="3286" t="str">
        <f t="shared" si="16"/>
        <v>贷</v>
      </c>
      <c r="K145" s="689" t="s">
        <v>631</v>
      </c>
      <c r="L145" s="695" t="s">
        <v>7787</v>
      </c>
      <c r="M145" s="695"/>
      <c r="N145" s="695"/>
      <c r="O145" s="196"/>
      <c r="P145" s="216">
        <v>750215.68000000005</v>
      </c>
      <c r="Q145" s="3298" t="str">
        <f t="shared" si="6"/>
        <v>7000A</v>
      </c>
      <c r="R145" s="732" t="str">
        <f t="shared" si="7"/>
        <v>6</v>
      </c>
      <c r="S145" s="3283" t="s">
        <v>7790</v>
      </c>
      <c r="T145" s="732"/>
      <c r="U145" s="732"/>
      <c r="V145" s="732"/>
      <c r="W145" s="734"/>
      <c r="X145" s="732"/>
      <c r="Y145" s="732"/>
      <c r="Z145" s="732"/>
      <c r="AA145" s="2770"/>
      <c r="AB145" s="2770"/>
      <c r="AC145" s="2771">
        <f t="shared" si="8"/>
        <v>0</v>
      </c>
      <c r="AD145" s="2771">
        <f t="shared" si="9"/>
        <v>750215.68000000005</v>
      </c>
      <c r="AE145" s="847" t="str">
        <f t="shared" si="10"/>
        <v>请选择分录类型！</v>
      </c>
      <c r="AF145" s="641"/>
    </row>
    <row r="146" spans="1:32" ht="18">
      <c r="A146" s="2750"/>
      <c r="B146" s="2777" t="str">
        <f t="shared" si="0"/>
        <v>J2221</v>
      </c>
      <c r="C146" s="2747">
        <f t="shared" si="1"/>
        <v>2221</v>
      </c>
      <c r="D146" s="2747" t="str">
        <f t="shared" si="17"/>
        <v>补确认本期已签收未开票收入并结转成本：</v>
      </c>
      <c r="E146" s="2747" t="str">
        <f t="shared" si="18"/>
        <v>24</v>
      </c>
      <c r="F146" s="2747">
        <f t="shared" si="15"/>
        <v>24.138000000000002</v>
      </c>
      <c r="G146" s="2757" t="str">
        <f t="shared" si="5"/>
        <v>本期</v>
      </c>
      <c r="H146" s="3297"/>
      <c r="I146" s="780"/>
      <c r="J146" s="3286" t="str">
        <f t="shared" si="16"/>
        <v>贷</v>
      </c>
      <c r="K146" s="689" t="s">
        <v>494</v>
      </c>
      <c r="L146" s="695" t="s">
        <v>7788</v>
      </c>
      <c r="M146" s="695"/>
      <c r="N146" s="695"/>
      <c r="O146" s="196"/>
      <c r="P146" s="216">
        <v>97528.03</v>
      </c>
      <c r="Q146" s="3298" t="str">
        <f t="shared" si="6"/>
        <v>6150B</v>
      </c>
      <c r="R146" s="732" t="str">
        <f t="shared" si="7"/>
        <v>2</v>
      </c>
      <c r="S146" s="3283" t="s">
        <v>7790</v>
      </c>
      <c r="T146" s="732"/>
      <c r="U146" s="732"/>
      <c r="V146" s="732"/>
      <c r="W146" s="734"/>
      <c r="X146" s="732"/>
      <c r="Y146" s="732"/>
      <c r="Z146" s="732"/>
      <c r="AA146" s="2770"/>
      <c r="AB146" s="2770"/>
      <c r="AC146" s="2771">
        <f t="shared" si="8"/>
        <v>0</v>
      </c>
      <c r="AD146" s="2771">
        <f t="shared" si="9"/>
        <v>97528.03</v>
      </c>
      <c r="AE146" s="847" t="str">
        <f t="shared" si="10"/>
        <v>请选择分录类型！</v>
      </c>
      <c r="AF146" s="641"/>
    </row>
    <row r="147" spans="1:32" ht="18">
      <c r="A147" s="2750"/>
      <c r="B147" s="2777" t="str">
        <f t="shared" si="0"/>
        <v/>
      </c>
      <c r="C147" s="2747" t="str">
        <f t="shared" si="1"/>
        <v/>
      </c>
      <c r="D147" s="2747" t="str">
        <f t="shared" si="17"/>
        <v/>
      </c>
      <c r="E147" s="2747" t="str">
        <f t="shared" si="18"/>
        <v/>
      </c>
      <c r="F147" s="2747">
        <f t="shared" si="15"/>
        <v>24.138999999999999</v>
      </c>
      <c r="G147" s="2757" t="str">
        <f t="shared" si="5"/>
        <v/>
      </c>
      <c r="H147" s="3297"/>
      <c r="I147" s="780"/>
      <c r="J147" s="3286" t="str">
        <f t="shared" si="16"/>
        <v/>
      </c>
      <c r="K147" s="689"/>
      <c r="L147" s="695"/>
      <c r="M147" s="695"/>
      <c r="N147" s="695"/>
      <c r="O147" s="196"/>
      <c r="P147" s="216"/>
      <c r="Q147" s="3298" t="str">
        <f t="shared" si="6"/>
        <v/>
      </c>
      <c r="R147" s="732" t="str">
        <f t="shared" si="7"/>
        <v/>
      </c>
      <c r="S147" s="3283" t="s">
        <v>7790</v>
      </c>
      <c r="T147" s="732"/>
      <c r="U147" s="732"/>
      <c r="V147" s="732"/>
      <c r="W147" s="734"/>
      <c r="X147" s="732"/>
      <c r="Y147" s="732"/>
      <c r="Z147" s="732"/>
      <c r="AA147" s="2770"/>
      <c r="AB147" s="2770"/>
      <c r="AC147" s="2771">
        <f t="shared" si="8"/>
        <v>0</v>
      </c>
      <c r="AD147" s="2771">
        <f t="shared" si="9"/>
        <v>0</v>
      </c>
      <c r="AE147" s="847" t="str">
        <f t="shared" si="10"/>
        <v/>
      </c>
      <c r="AF147" s="641"/>
    </row>
    <row r="148" spans="1:32" ht="18">
      <c r="A148" s="2750"/>
      <c r="B148" s="2777" t="str">
        <f t="shared" si="0"/>
        <v/>
      </c>
      <c r="C148" s="2747" t="str">
        <f t="shared" si="1"/>
        <v/>
      </c>
      <c r="D148" s="2747" t="str">
        <f t="shared" si="17"/>
        <v>补确认本期已签收未开票收入并结转成本：</v>
      </c>
      <c r="E148" s="2747" t="str">
        <f t="shared" si="18"/>
        <v>25</v>
      </c>
      <c r="F148" s="2747">
        <f t="shared" si="15"/>
        <v>25.14</v>
      </c>
      <c r="G148" s="2757" t="str">
        <f t="shared" si="5"/>
        <v>本期</v>
      </c>
      <c r="H148" s="3297"/>
      <c r="I148" s="780">
        <v>25</v>
      </c>
      <c r="J148" s="3286" t="s">
        <v>7785</v>
      </c>
      <c r="K148" s="689"/>
      <c r="L148" s="695"/>
      <c r="M148" s="695"/>
      <c r="N148" s="695"/>
      <c r="O148" s="196"/>
      <c r="P148" s="216"/>
      <c r="Q148" s="3298" t="str">
        <f t="shared" si="6"/>
        <v/>
      </c>
      <c r="R148" s="732" t="str">
        <f t="shared" si="7"/>
        <v/>
      </c>
      <c r="S148" s="3283" t="s">
        <v>7790</v>
      </c>
      <c r="T148" s="732"/>
      <c r="U148" s="732"/>
      <c r="V148" s="732"/>
      <c r="W148" s="734"/>
      <c r="X148" s="732"/>
      <c r="Y148" s="732"/>
      <c r="Z148" s="732"/>
      <c r="AA148" s="2770"/>
      <c r="AB148" s="2770"/>
      <c r="AC148" s="2771">
        <f t="shared" si="8"/>
        <v>0</v>
      </c>
      <c r="AD148" s="2771">
        <f t="shared" si="9"/>
        <v>0</v>
      </c>
      <c r="AE148" s="847" t="str">
        <f t="shared" si="10"/>
        <v>请选择分录类型！</v>
      </c>
      <c r="AF148" s="641"/>
    </row>
    <row r="149" spans="1:32" ht="24">
      <c r="A149" s="2750"/>
      <c r="B149" s="2777" t="str">
        <f t="shared" si="0"/>
        <v>J1122</v>
      </c>
      <c r="C149" s="2747">
        <f t="shared" si="1"/>
        <v>1122</v>
      </c>
      <c r="D149" s="2747" t="str">
        <f t="shared" si="17"/>
        <v>补确认本期已签收未开票收入并结转成本：</v>
      </c>
      <c r="E149" s="2747" t="str">
        <f t="shared" si="18"/>
        <v>25</v>
      </c>
      <c r="F149" s="2747">
        <f t="shared" si="15"/>
        <v>25.140999999999998</v>
      </c>
      <c r="G149" s="2757" t="str">
        <f t="shared" si="5"/>
        <v>本期</v>
      </c>
      <c r="H149" s="3297"/>
      <c r="I149" s="780"/>
      <c r="J149" s="3286" t="str">
        <f t="shared" si="16"/>
        <v>借</v>
      </c>
      <c r="K149" s="689" t="s">
        <v>124</v>
      </c>
      <c r="L149" s="695" t="s">
        <v>7792</v>
      </c>
      <c r="M149" s="695"/>
      <c r="N149" s="695"/>
      <c r="O149" s="196">
        <v>1800000</v>
      </c>
      <c r="P149" s="216"/>
      <c r="Q149" s="3298" t="str">
        <f t="shared" si="6"/>
        <v>5200A</v>
      </c>
      <c r="R149" s="732" t="str">
        <f t="shared" si="7"/>
        <v>1</v>
      </c>
      <c r="S149" s="3283" t="s">
        <v>7790</v>
      </c>
      <c r="T149" s="732"/>
      <c r="U149" s="732"/>
      <c r="V149" s="732"/>
      <c r="W149" s="734"/>
      <c r="X149" s="732"/>
      <c r="Y149" s="732"/>
      <c r="Z149" s="732"/>
      <c r="AA149" s="2770"/>
      <c r="AB149" s="2770"/>
      <c r="AC149" s="2771">
        <f t="shared" si="8"/>
        <v>1800000</v>
      </c>
      <c r="AD149" s="2771">
        <f t="shared" si="9"/>
        <v>0</v>
      </c>
      <c r="AE149" s="847" t="str">
        <f t="shared" si="10"/>
        <v>请选择分录类型！</v>
      </c>
      <c r="AF149" s="641"/>
    </row>
    <row r="150" spans="1:32" ht="18">
      <c r="A150" s="2750"/>
      <c r="B150" s="2777" t="str">
        <f t="shared" si="0"/>
        <v>J6001</v>
      </c>
      <c r="C150" s="2747">
        <f t="shared" si="1"/>
        <v>6001</v>
      </c>
      <c r="D150" s="2747" t="str">
        <f t="shared" si="17"/>
        <v>补确认本期已签收未开票收入并结转成本：</v>
      </c>
      <c r="E150" s="2747" t="str">
        <f t="shared" si="18"/>
        <v>25</v>
      </c>
      <c r="F150" s="2747">
        <f t="shared" si="15"/>
        <v>25.141999999999999</v>
      </c>
      <c r="G150" s="2757" t="str">
        <f t="shared" si="5"/>
        <v>本期</v>
      </c>
      <c r="H150" s="3297"/>
      <c r="I150" s="780"/>
      <c r="J150" s="3286" t="str">
        <f t="shared" si="16"/>
        <v>贷</v>
      </c>
      <c r="K150" s="689" t="s">
        <v>631</v>
      </c>
      <c r="L150" s="695" t="s">
        <v>7787</v>
      </c>
      <c r="M150" s="695"/>
      <c r="N150" s="695"/>
      <c r="O150" s="196"/>
      <c r="P150" s="216">
        <v>1592920.38</v>
      </c>
      <c r="Q150" s="3298" t="str">
        <f t="shared" si="6"/>
        <v>7000A</v>
      </c>
      <c r="R150" s="732" t="str">
        <f t="shared" si="7"/>
        <v>6</v>
      </c>
      <c r="S150" s="3283" t="s">
        <v>7790</v>
      </c>
      <c r="T150" s="732"/>
      <c r="U150" s="732"/>
      <c r="V150" s="732"/>
      <c r="W150" s="734"/>
      <c r="X150" s="732"/>
      <c r="Y150" s="732"/>
      <c r="Z150" s="732"/>
      <c r="AA150" s="2770"/>
      <c r="AB150" s="2770"/>
      <c r="AC150" s="2771">
        <f t="shared" si="8"/>
        <v>0</v>
      </c>
      <c r="AD150" s="2771">
        <f t="shared" si="9"/>
        <v>1592920.38</v>
      </c>
      <c r="AE150" s="847" t="str">
        <f t="shared" si="10"/>
        <v>请选择分录类型！</v>
      </c>
      <c r="AF150" s="641"/>
    </row>
    <row r="151" spans="1:32" ht="18">
      <c r="A151" s="2750"/>
      <c r="B151" s="2777" t="str">
        <f t="shared" si="0"/>
        <v>J2221</v>
      </c>
      <c r="C151" s="2747">
        <f t="shared" si="1"/>
        <v>2221</v>
      </c>
      <c r="D151" s="2747" t="str">
        <f t="shared" si="17"/>
        <v>补确认本期已签收未开票收入并结转成本：</v>
      </c>
      <c r="E151" s="2747" t="str">
        <f t="shared" si="18"/>
        <v>25</v>
      </c>
      <c r="F151" s="2747">
        <f t="shared" si="15"/>
        <v>25.143000000000001</v>
      </c>
      <c r="G151" s="2757" t="str">
        <f t="shared" si="5"/>
        <v>本期</v>
      </c>
      <c r="H151" s="3297"/>
      <c r="I151" s="780"/>
      <c r="J151" s="3286" t="str">
        <f t="shared" si="16"/>
        <v>贷</v>
      </c>
      <c r="K151" s="689" t="s">
        <v>494</v>
      </c>
      <c r="L151" s="695" t="s">
        <v>7788</v>
      </c>
      <c r="M151" s="695"/>
      <c r="N151" s="695"/>
      <c r="O151" s="196"/>
      <c r="P151" s="216">
        <v>207079.62</v>
      </c>
      <c r="Q151" s="3298" t="str">
        <f t="shared" si="6"/>
        <v>6150B</v>
      </c>
      <c r="R151" s="732" t="str">
        <f t="shared" si="7"/>
        <v>2</v>
      </c>
      <c r="S151" s="3283" t="s">
        <v>7790</v>
      </c>
      <c r="T151" s="732"/>
      <c r="U151" s="732"/>
      <c r="V151" s="732"/>
      <c r="W151" s="734"/>
      <c r="X151" s="732"/>
      <c r="Y151" s="732"/>
      <c r="Z151" s="732"/>
      <c r="AA151" s="2770"/>
      <c r="AB151" s="2770"/>
      <c r="AC151" s="2771">
        <f t="shared" si="8"/>
        <v>0</v>
      </c>
      <c r="AD151" s="2771">
        <f t="shared" si="9"/>
        <v>207079.62</v>
      </c>
      <c r="AE151" s="847" t="str">
        <f t="shared" si="10"/>
        <v>请选择分录类型！</v>
      </c>
      <c r="AF151" s="641"/>
    </row>
    <row r="152" spans="1:32" ht="18">
      <c r="A152" s="2750"/>
      <c r="B152" s="2777" t="str">
        <f t="shared" si="0"/>
        <v/>
      </c>
      <c r="C152" s="2747" t="str">
        <f t="shared" si="1"/>
        <v/>
      </c>
      <c r="D152" s="2747" t="str">
        <f t="shared" si="17"/>
        <v/>
      </c>
      <c r="E152" s="2747" t="str">
        <f t="shared" si="18"/>
        <v/>
      </c>
      <c r="F152" s="2747">
        <f t="shared" si="15"/>
        <v>25.143999999999998</v>
      </c>
      <c r="G152" s="2757" t="str">
        <f t="shared" si="5"/>
        <v/>
      </c>
      <c r="H152" s="3297"/>
      <c r="I152" s="780"/>
      <c r="J152" s="3286" t="str">
        <f t="shared" si="16"/>
        <v/>
      </c>
      <c r="K152" s="689"/>
      <c r="L152" s="695"/>
      <c r="M152" s="695"/>
      <c r="N152" s="695"/>
      <c r="O152" s="196"/>
      <c r="P152" s="216"/>
      <c r="Q152" s="3298" t="str">
        <f t="shared" si="6"/>
        <v/>
      </c>
      <c r="R152" s="732" t="str">
        <f t="shared" si="7"/>
        <v/>
      </c>
      <c r="S152" s="3283" t="s">
        <v>7790</v>
      </c>
      <c r="T152" s="732"/>
      <c r="U152" s="732"/>
      <c r="V152" s="732"/>
      <c r="W152" s="734"/>
      <c r="X152" s="732"/>
      <c r="Y152" s="732"/>
      <c r="Z152" s="732"/>
      <c r="AA152" s="2770"/>
      <c r="AB152" s="2770"/>
      <c r="AC152" s="2771">
        <f t="shared" si="8"/>
        <v>0</v>
      </c>
      <c r="AD152" s="2771">
        <f t="shared" si="9"/>
        <v>0</v>
      </c>
      <c r="AE152" s="847" t="str">
        <f t="shared" si="10"/>
        <v/>
      </c>
      <c r="AF152" s="641"/>
    </row>
    <row r="153" spans="1:32" ht="18">
      <c r="A153" s="2750"/>
      <c r="B153" s="2777" t="str">
        <f t="shared" si="0"/>
        <v/>
      </c>
      <c r="C153" s="2747" t="str">
        <f t="shared" si="1"/>
        <v/>
      </c>
      <c r="D153" s="2747" t="str">
        <f t="shared" si="17"/>
        <v>补确认本期已签收未开票收入并结转成本：</v>
      </c>
      <c r="E153" s="2747" t="str">
        <f t="shared" si="18"/>
        <v>26</v>
      </c>
      <c r="F153" s="2747">
        <f t="shared" si="15"/>
        <v>26.145</v>
      </c>
      <c r="G153" s="2757" t="str">
        <f t="shared" si="5"/>
        <v>本期</v>
      </c>
      <c r="H153" s="3297"/>
      <c r="I153" s="780">
        <v>26</v>
      </c>
      <c r="J153" s="3286" t="s">
        <v>7785</v>
      </c>
      <c r="K153" s="689"/>
      <c r="L153" s="695"/>
      <c r="M153" s="695"/>
      <c r="N153" s="695"/>
      <c r="O153" s="196"/>
      <c r="P153" s="216"/>
      <c r="Q153" s="3298" t="str">
        <f t="shared" si="6"/>
        <v/>
      </c>
      <c r="R153" s="732" t="str">
        <f t="shared" si="7"/>
        <v/>
      </c>
      <c r="S153" s="3283" t="s">
        <v>7790</v>
      </c>
      <c r="T153" s="732"/>
      <c r="U153" s="732"/>
      <c r="V153" s="732"/>
      <c r="W153" s="734"/>
      <c r="X153" s="732"/>
      <c r="Y153" s="732"/>
      <c r="Z153" s="732"/>
      <c r="AA153" s="2770"/>
      <c r="AB153" s="2770"/>
      <c r="AC153" s="2771">
        <f t="shared" si="8"/>
        <v>0</v>
      </c>
      <c r="AD153" s="2771">
        <f t="shared" si="9"/>
        <v>0</v>
      </c>
      <c r="AE153" s="847" t="str">
        <f t="shared" si="10"/>
        <v>请选择分录类型！</v>
      </c>
      <c r="AF153" s="641"/>
    </row>
    <row r="154" spans="1:32" ht="18">
      <c r="A154" s="2750"/>
      <c r="B154" s="2777" t="str">
        <f t="shared" si="0"/>
        <v>J1122</v>
      </c>
      <c r="C154" s="2747">
        <f t="shared" si="1"/>
        <v>1122</v>
      </c>
      <c r="D154" s="2747" t="str">
        <f t="shared" si="17"/>
        <v>补确认本期已签收未开票收入并结转成本：</v>
      </c>
      <c r="E154" s="2747" t="str">
        <f t="shared" si="18"/>
        <v>26</v>
      </c>
      <c r="F154" s="2747">
        <f t="shared" si="15"/>
        <v>26.146000000000001</v>
      </c>
      <c r="G154" s="2757" t="str">
        <f t="shared" si="5"/>
        <v>本期</v>
      </c>
      <c r="H154" s="3297"/>
      <c r="I154" s="780"/>
      <c r="J154" s="3286" t="str">
        <f t="shared" si="16"/>
        <v>借</v>
      </c>
      <c r="K154" s="689" t="s">
        <v>124</v>
      </c>
      <c r="L154" s="695" t="s">
        <v>7793</v>
      </c>
      <c r="M154" s="695"/>
      <c r="N154" s="695"/>
      <c r="O154" s="196">
        <v>1300970.3999999999</v>
      </c>
      <c r="P154" s="216"/>
      <c r="Q154" s="3298" t="str">
        <f t="shared" si="6"/>
        <v>5200A</v>
      </c>
      <c r="R154" s="732" t="str">
        <f t="shared" si="7"/>
        <v>1</v>
      </c>
      <c r="S154" s="3283" t="s">
        <v>7790</v>
      </c>
      <c r="T154" s="732"/>
      <c r="U154" s="732"/>
      <c r="V154" s="732"/>
      <c r="W154" s="734"/>
      <c r="X154" s="732"/>
      <c r="Y154" s="732"/>
      <c r="Z154" s="732"/>
      <c r="AA154" s="2770"/>
      <c r="AB154" s="2770"/>
      <c r="AC154" s="2771">
        <f t="shared" si="8"/>
        <v>1300970.3999999999</v>
      </c>
      <c r="AD154" s="2771">
        <f t="shared" si="9"/>
        <v>0</v>
      </c>
      <c r="AE154" s="847" t="str">
        <f t="shared" si="10"/>
        <v>请选择分录类型！</v>
      </c>
      <c r="AF154" s="641"/>
    </row>
    <row r="155" spans="1:32" ht="18">
      <c r="A155" s="2750"/>
      <c r="B155" s="2777" t="str">
        <f t="shared" si="0"/>
        <v>J2221</v>
      </c>
      <c r="C155" s="2747">
        <f t="shared" si="1"/>
        <v>2221</v>
      </c>
      <c r="D155" s="2747" t="str">
        <f t="shared" si="17"/>
        <v>补确认本期已签收未开票收入并结转成本：</v>
      </c>
      <c r="E155" s="2747" t="str">
        <f t="shared" si="18"/>
        <v>26</v>
      </c>
      <c r="F155" s="2747">
        <f t="shared" si="15"/>
        <v>26.146999999999998</v>
      </c>
      <c r="G155" s="2757" t="str">
        <f t="shared" si="5"/>
        <v>本期</v>
      </c>
      <c r="H155" s="3297"/>
      <c r="I155" s="780"/>
      <c r="J155" s="3286" t="str">
        <f t="shared" si="16"/>
        <v>贷</v>
      </c>
      <c r="K155" s="689" t="s">
        <v>494</v>
      </c>
      <c r="L155" s="695" t="s">
        <v>7788</v>
      </c>
      <c r="M155" s="695"/>
      <c r="N155" s="695"/>
      <c r="O155" s="196"/>
      <c r="P155" s="216">
        <v>87200.16</v>
      </c>
      <c r="Q155" s="3298" t="str">
        <f t="shared" si="6"/>
        <v>6150B</v>
      </c>
      <c r="R155" s="732" t="str">
        <f t="shared" si="7"/>
        <v>2</v>
      </c>
      <c r="S155" s="3283" t="s">
        <v>7790</v>
      </c>
      <c r="T155" s="732"/>
      <c r="U155" s="732"/>
      <c r="V155" s="732"/>
      <c r="W155" s="734"/>
      <c r="X155" s="732"/>
      <c r="Y155" s="732"/>
      <c r="Z155" s="732"/>
      <c r="AA155" s="2770"/>
      <c r="AB155" s="2770"/>
      <c r="AC155" s="2771">
        <f t="shared" si="8"/>
        <v>0</v>
      </c>
      <c r="AD155" s="2771">
        <f t="shared" si="9"/>
        <v>87200.16</v>
      </c>
      <c r="AE155" s="847" t="str">
        <f t="shared" si="10"/>
        <v>请选择分录类型！</v>
      </c>
      <c r="AF155" s="641"/>
    </row>
    <row r="156" spans="1:32" ht="18">
      <c r="A156" s="2750"/>
      <c r="B156" s="2777" t="str">
        <f t="shared" si="0"/>
        <v>J6001</v>
      </c>
      <c r="C156" s="2747">
        <f t="shared" si="1"/>
        <v>6001</v>
      </c>
      <c r="D156" s="2747" t="str">
        <f t="shared" si="17"/>
        <v>补确认本期已签收未开票收入并结转成本：</v>
      </c>
      <c r="E156" s="2747" t="str">
        <f t="shared" si="18"/>
        <v>26</v>
      </c>
      <c r="F156" s="2747">
        <f t="shared" si="15"/>
        <v>26.148</v>
      </c>
      <c r="G156" s="2757" t="str">
        <f t="shared" si="5"/>
        <v>本期</v>
      </c>
      <c r="H156" s="3297"/>
      <c r="I156" s="780"/>
      <c r="J156" s="3286" t="str">
        <f t="shared" si="16"/>
        <v>贷</v>
      </c>
      <c r="K156" s="689" t="s">
        <v>631</v>
      </c>
      <c r="L156" s="695" t="s">
        <v>7787</v>
      </c>
      <c r="M156" s="695"/>
      <c r="N156" s="695"/>
      <c r="O156" s="196"/>
      <c r="P156" s="216">
        <v>1213770.24</v>
      </c>
      <c r="Q156" s="3298" t="str">
        <f t="shared" si="6"/>
        <v>7000A</v>
      </c>
      <c r="R156" s="732" t="str">
        <f t="shared" si="7"/>
        <v>6</v>
      </c>
      <c r="S156" s="3283" t="s">
        <v>7790</v>
      </c>
      <c r="T156" s="732"/>
      <c r="U156" s="732"/>
      <c r="V156" s="732"/>
      <c r="W156" s="734"/>
      <c r="X156" s="732"/>
      <c r="Y156" s="732"/>
      <c r="Z156" s="732"/>
      <c r="AA156" s="2770"/>
      <c r="AB156" s="2770"/>
      <c r="AC156" s="2771">
        <f t="shared" si="8"/>
        <v>0</v>
      </c>
      <c r="AD156" s="2771">
        <f t="shared" si="9"/>
        <v>1213770.24</v>
      </c>
      <c r="AE156" s="847" t="str">
        <f t="shared" si="10"/>
        <v>请选择分录类型！</v>
      </c>
      <c r="AF156" s="641"/>
    </row>
    <row r="157" spans="1:32" ht="18">
      <c r="A157" s="2750"/>
      <c r="B157" s="2777" t="str">
        <f t="shared" si="0"/>
        <v/>
      </c>
      <c r="C157" s="2747" t="str">
        <f t="shared" si="1"/>
        <v/>
      </c>
      <c r="D157" s="2747" t="str">
        <f t="shared" si="17"/>
        <v/>
      </c>
      <c r="E157" s="2747" t="str">
        <f t="shared" si="18"/>
        <v/>
      </c>
      <c r="F157" s="2747">
        <f t="shared" si="15"/>
        <v>26.149000000000001</v>
      </c>
      <c r="G157" s="2757" t="str">
        <f t="shared" si="5"/>
        <v/>
      </c>
      <c r="H157" s="3297"/>
      <c r="I157" s="780"/>
      <c r="J157" s="3286" t="str">
        <f t="shared" si="16"/>
        <v/>
      </c>
      <c r="K157" s="689"/>
      <c r="L157" s="695"/>
      <c r="M157" s="695"/>
      <c r="N157" s="695"/>
      <c r="O157" s="196"/>
      <c r="P157" s="216"/>
      <c r="Q157" s="3298" t="str">
        <f t="shared" si="6"/>
        <v/>
      </c>
      <c r="R157" s="732" t="str">
        <f t="shared" si="7"/>
        <v/>
      </c>
      <c r="S157" s="3283"/>
      <c r="T157" s="732"/>
      <c r="U157" s="732"/>
      <c r="V157" s="732"/>
      <c r="W157" s="734"/>
      <c r="X157" s="732"/>
      <c r="Y157" s="732"/>
      <c r="Z157" s="732"/>
      <c r="AA157" s="2770"/>
      <c r="AB157" s="2770"/>
      <c r="AC157" s="2771">
        <f t="shared" si="8"/>
        <v>0</v>
      </c>
      <c r="AD157" s="2771">
        <f t="shared" si="9"/>
        <v>0</v>
      </c>
      <c r="AE157" s="847" t="str">
        <f t="shared" si="10"/>
        <v/>
      </c>
      <c r="AF157" s="641"/>
    </row>
    <row r="158" spans="1:32" ht="18">
      <c r="A158" s="2750"/>
      <c r="B158" s="2777" t="str">
        <f t="shared" si="0"/>
        <v/>
      </c>
      <c r="C158" s="2747" t="str">
        <f t="shared" si="1"/>
        <v/>
      </c>
      <c r="D158" s="2747" t="str">
        <f t="shared" si="17"/>
        <v>补确认本期已签收未开票收入并结转成本：</v>
      </c>
      <c r="E158" s="2747" t="str">
        <f t="shared" si="18"/>
        <v>27</v>
      </c>
      <c r="F158" s="2747">
        <f t="shared" si="15"/>
        <v>27.15</v>
      </c>
      <c r="G158" s="2757" t="str">
        <f t="shared" si="5"/>
        <v>本期</v>
      </c>
      <c r="H158" s="3297"/>
      <c r="I158" s="780">
        <v>27</v>
      </c>
      <c r="J158" s="3286" t="s">
        <v>7785</v>
      </c>
      <c r="K158" s="689"/>
      <c r="L158" s="695"/>
      <c r="M158" s="695"/>
      <c r="N158" s="695"/>
      <c r="O158" s="196"/>
      <c r="P158" s="216"/>
      <c r="Q158" s="3298" t="str">
        <f t="shared" si="6"/>
        <v/>
      </c>
      <c r="R158" s="732" t="str">
        <f t="shared" si="7"/>
        <v/>
      </c>
      <c r="S158" s="3283" t="s">
        <v>7790</v>
      </c>
      <c r="T158" s="732"/>
      <c r="U158" s="732"/>
      <c r="V158" s="732"/>
      <c r="W158" s="734"/>
      <c r="X158" s="732"/>
      <c r="Y158" s="732"/>
      <c r="Z158" s="732"/>
      <c r="AA158" s="2770"/>
      <c r="AB158" s="2770"/>
      <c r="AC158" s="2771">
        <f t="shared" si="8"/>
        <v>0</v>
      </c>
      <c r="AD158" s="2771">
        <f t="shared" si="9"/>
        <v>0</v>
      </c>
      <c r="AE158" s="847" t="str">
        <f t="shared" si="10"/>
        <v>请选择分录类型！</v>
      </c>
      <c r="AF158" s="641"/>
    </row>
    <row r="159" spans="1:32" ht="36">
      <c r="A159" s="2750"/>
      <c r="B159" s="2777" t="str">
        <f t="shared" si="0"/>
        <v>J1122</v>
      </c>
      <c r="C159" s="2747">
        <f t="shared" si="1"/>
        <v>1122</v>
      </c>
      <c r="D159" s="2747" t="str">
        <f t="shared" si="17"/>
        <v>补确认本期已签收未开票收入并结转成本：</v>
      </c>
      <c r="E159" s="2747" t="str">
        <f t="shared" si="18"/>
        <v>27</v>
      </c>
      <c r="F159" s="2747">
        <f t="shared" si="15"/>
        <v>27.151</v>
      </c>
      <c r="G159" s="2757" t="str">
        <f t="shared" si="5"/>
        <v>本期</v>
      </c>
      <c r="H159" s="3297"/>
      <c r="I159" s="780"/>
      <c r="J159" s="3286" t="str">
        <f t="shared" si="16"/>
        <v>借</v>
      </c>
      <c r="K159" s="689" t="s">
        <v>124</v>
      </c>
      <c r="L159" s="695" t="s">
        <v>7794</v>
      </c>
      <c r="M159" s="695"/>
      <c r="N159" s="695"/>
      <c r="O159" s="196">
        <v>344285</v>
      </c>
      <c r="P159" s="216"/>
      <c r="Q159" s="3298" t="str">
        <f t="shared" si="6"/>
        <v>5200A</v>
      </c>
      <c r="R159" s="732" t="str">
        <f t="shared" si="7"/>
        <v>1</v>
      </c>
      <c r="S159" s="3283" t="s">
        <v>7790</v>
      </c>
      <c r="T159" s="732"/>
      <c r="U159" s="732"/>
      <c r="V159" s="732"/>
      <c r="W159" s="734"/>
      <c r="X159" s="732"/>
      <c r="Y159" s="732"/>
      <c r="Z159" s="732"/>
      <c r="AA159" s="2770"/>
      <c r="AB159" s="2770"/>
      <c r="AC159" s="2771">
        <f t="shared" si="8"/>
        <v>344285</v>
      </c>
      <c r="AD159" s="2771">
        <f t="shared" si="9"/>
        <v>0</v>
      </c>
      <c r="AE159" s="847" t="str">
        <f t="shared" si="10"/>
        <v>请选择分录类型！</v>
      </c>
      <c r="AF159" s="641"/>
    </row>
    <row r="160" spans="1:32" ht="18">
      <c r="A160" s="2750"/>
      <c r="B160" s="2777" t="str">
        <f t="shared" si="0"/>
        <v>J2221</v>
      </c>
      <c r="C160" s="2747">
        <f t="shared" si="1"/>
        <v>2221</v>
      </c>
      <c r="D160" s="2747" t="str">
        <f t="shared" si="17"/>
        <v>补确认本期已签收未开票收入并结转成本：</v>
      </c>
      <c r="E160" s="2747" t="str">
        <f t="shared" si="18"/>
        <v>27</v>
      </c>
      <c r="F160" s="2747">
        <f t="shared" si="15"/>
        <v>27.152000000000001</v>
      </c>
      <c r="G160" s="2757" t="str">
        <f t="shared" si="5"/>
        <v>本期</v>
      </c>
      <c r="H160" s="3297"/>
      <c r="I160" s="780"/>
      <c r="J160" s="3286" t="str">
        <f t="shared" si="16"/>
        <v>贷</v>
      </c>
      <c r="K160" s="689" t="s">
        <v>494</v>
      </c>
      <c r="L160" s="695" t="s">
        <v>7788</v>
      </c>
      <c r="M160" s="695"/>
      <c r="N160" s="695"/>
      <c r="O160" s="196"/>
      <c r="P160" s="216">
        <v>21649.27</v>
      </c>
      <c r="Q160" s="3298" t="str">
        <f t="shared" si="6"/>
        <v>6150B</v>
      </c>
      <c r="R160" s="732" t="str">
        <f t="shared" si="7"/>
        <v>2</v>
      </c>
      <c r="S160" s="3283" t="s">
        <v>7790</v>
      </c>
      <c r="T160" s="732"/>
      <c r="U160" s="732"/>
      <c r="V160" s="732"/>
      <c r="W160" s="734"/>
      <c r="X160" s="732"/>
      <c r="Y160" s="732"/>
      <c r="Z160" s="732"/>
      <c r="AA160" s="2770"/>
      <c r="AB160" s="2770"/>
      <c r="AC160" s="2771">
        <f t="shared" si="8"/>
        <v>0</v>
      </c>
      <c r="AD160" s="2771">
        <f t="shared" si="9"/>
        <v>21649.27</v>
      </c>
      <c r="AE160" s="847" t="str">
        <f t="shared" si="10"/>
        <v>请选择分录类型！</v>
      </c>
      <c r="AF160" s="641"/>
    </row>
    <row r="161" spans="1:32" ht="18">
      <c r="A161" s="2750"/>
      <c r="B161" s="2777" t="str">
        <f t="shared" si="0"/>
        <v>J6001</v>
      </c>
      <c r="C161" s="2747">
        <f t="shared" si="1"/>
        <v>6001</v>
      </c>
      <c r="D161" s="2747" t="str">
        <f t="shared" si="17"/>
        <v>补确认本期已签收未开票收入并结转成本：</v>
      </c>
      <c r="E161" s="2747" t="str">
        <f t="shared" si="18"/>
        <v>27</v>
      </c>
      <c r="F161" s="2747">
        <f t="shared" si="15"/>
        <v>27.152999999999999</v>
      </c>
      <c r="G161" s="2757" t="str">
        <f t="shared" si="5"/>
        <v>本期</v>
      </c>
      <c r="H161" s="3297"/>
      <c r="I161" s="780"/>
      <c r="J161" s="3286" t="str">
        <f t="shared" si="16"/>
        <v>贷</v>
      </c>
      <c r="K161" s="689" t="s">
        <v>631</v>
      </c>
      <c r="L161" s="695" t="s">
        <v>7787</v>
      </c>
      <c r="M161" s="695"/>
      <c r="N161" s="695"/>
      <c r="O161" s="196"/>
      <c r="P161" s="216">
        <v>322635.73</v>
      </c>
      <c r="Q161" s="3298" t="str">
        <f t="shared" si="6"/>
        <v>7000A</v>
      </c>
      <c r="R161" s="732" t="str">
        <f t="shared" si="7"/>
        <v>6</v>
      </c>
      <c r="S161" s="3283" t="s">
        <v>7414</v>
      </c>
      <c r="T161" s="732"/>
      <c r="U161" s="732"/>
      <c r="V161" s="732"/>
      <c r="W161" s="734"/>
      <c r="X161" s="732"/>
      <c r="Y161" s="732"/>
      <c r="Z161" s="732"/>
      <c r="AA161" s="2770"/>
      <c r="AB161" s="2770"/>
      <c r="AC161" s="2771">
        <f t="shared" si="8"/>
        <v>0</v>
      </c>
      <c r="AD161" s="2771">
        <f t="shared" si="9"/>
        <v>322635.73</v>
      </c>
      <c r="AE161" s="847" t="str">
        <f t="shared" si="10"/>
        <v>请选择分录类型！</v>
      </c>
      <c r="AF161" s="641"/>
    </row>
    <row r="162" spans="1:32" ht="18">
      <c r="A162" s="2750"/>
      <c r="B162" s="2777" t="str">
        <f t="shared" si="0"/>
        <v/>
      </c>
      <c r="C162" s="2747" t="str">
        <f t="shared" si="1"/>
        <v/>
      </c>
      <c r="D162" s="2747" t="str">
        <f t="shared" si="17"/>
        <v/>
      </c>
      <c r="E162" s="2747" t="str">
        <f t="shared" si="18"/>
        <v/>
      </c>
      <c r="F162" s="2747">
        <f t="shared" si="15"/>
        <v>27.154</v>
      </c>
      <c r="G162" s="2757" t="str">
        <f t="shared" si="5"/>
        <v/>
      </c>
      <c r="H162" s="3297"/>
      <c r="I162" s="780"/>
      <c r="J162" s="3286" t="str">
        <f t="shared" si="16"/>
        <v/>
      </c>
      <c r="K162" s="689"/>
      <c r="L162" s="695"/>
      <c r="M162" s="695"/>
      <c r="N162" s="695"/>
      <c r="O162" s="196"/>
      <c r="P162" s="216"/>
      <c r="Q162" s="3298" t="str">
        <f t="shared" si="6"/>
        <v/>
      </c>
      <c r="R162" s="732" t="str">
        <f t="shared" si="7"/>
        <v/>
      </c>
      <c r="S162" s="3283" t="s">
        <v>7414</v>
      </c>
      <c r="T162" s="732"/>
      <c r="U162" s="732"/>
      <c r="V162" s="732"/>
      <c r="W162" s="734"/>
      <c r="X162" s="732"/>
      <c r="Y162" s="732"/>
      <c r="Z162" s="732"/>
      <c r="AA162" s="2770"/>
      <c r="AB162" s="2770"/>
      <c r="AC162" s="2771">
        <f t="shared" si="8"/>
        <v>0</v>
      </c>
      <c r="AD162" s="2771">
        <f t="shared" si="9"/>
        <v>0</v>
      </c>
      <c r="AE162" s="847" t="str">
        <f t="shared" si="10"/>
        <v/>
      </c>
      <c r="AF162" s="641"/>
    </row>
    <row r="163" spans="1:32" ht="18">
      <c r="A163" s="2750"/>
      <c r="B163" s="2777" t="str">
        <f t="shared" si="0"/>
        <v/>
      </c>
      <c r="C163" s="2747" t="str">
        <f t="shared" si="1"/>
        <v/>
      </c>
      <c r="D163" s="2747" t="str">
        <f t="shared" si="17"/>
        <v>补提本期akd产品出口销项税</v>
      </c>
      <c r="E163" s="2747" t="str">
        <f t="shared" si="18"/>
        <v>28</v>
      </c>
      <c r="F163" s="2747">
        <f t="shared" si="15"/>
        <v>28.155000000000001</v>
      </c>
      <c r="G163" s="2757" t="str">
        <f t="shared" si="5"/>
        <v>本期</v>
      </c>
      <c r="H163" s="3297"/>
      <c r="I163" s="780">
        <v>28</v>
      </c>
      <c r="J163" s="3290" t="s">
        <v>7801</v>
      </c>
      <c r="K163" s="689"/>
      <c r="L163" s="695"/>
      <c r="M163" s="695"/>
      <c r="N163" s="695"/>
      <c r="O163" s="196"/>
      <c r="P163" s="216"/>
      <c r="Q163" s="3298" t="str">
        <f t="shared" si="6"/>
        <v/>
      </c>
      <c r="R163" s="732" t="str">
        <f t="shared" si="7"/>
        <v/>
      </c>
      <c r="S163" s="3283" t="s">
        <v>7414</v>
      </c>
      <c r="T163" s="732"/>
      <c r="U163" s="732"/>
      <c r="V163" s="732"/>
      <c r="W163" s="734"/>
      <c r="X163" s="732"/>
      <c r="Y163" s="732"/>
      <c r="Z163" s="732"/>
      <c r="AA163" s="2770"/>
      <c r="AB163" s="2770"/>
      <c r="AC163" s="2771">
        <f t="shared" si="8"/>
        <v>0</v>
      </c>
      <c r="AD163" s="2771">
        <f t="shared" si="9"/>
        <v>0</v>
      </c>
      <c r="AE163" s="847" t="str">
        <f t="shared" si="10"/>
        <v>请选择分录类型！</v>
      </c>
      <c r="AF163" s="641"/>
    </row>
    <row r="164" spans="1:32" ht="18">
      <c r="A164" s="2750"/>
      <c r="B164" s="2777" t="str">
        <f t="shared" si="0"/>
        <v>J6001</v>
      </c>
      <c r="C164" s="2747">
        <f t="shared" si="1"/>
        <v>6001</v>
      </c>
      <c r="D164" s="2747" t="str">
        <f t="shared" si="17"/>
        <v>补提本期akd产品出口销项税</v>
      </c>
      <c r="E164" s="2747" t="str">
        <f t="shared" si="18"/>
        <v>28</v>
      </c>
      <c r="F164" s="2747">
        <f t="shared" si="15"/>
        <v>28.155999999999999</v>
      </c>
      <c r="G164" s="2757" t="str">
        <f t="shared" si="5"/>
        <v>本期</v>
      </c>
      <c r="H164" s="3297"/>
      <c r="I164" s="780"/>
      <c r="J164" s="3286" t="str">
        <f t="shared" si="16"/>
        <v>贷</v>
      </c>
      <c r="K164" s="689" t="s">
        <v>631</v>
      </c>
      <c r="L164" s="695" t="s">
        <v>7800</v>
      </c>
      <c r="M164" s="695"/>
      <c r="N164" s="695"/>
      <c r="O164" s="196"/>
      <c r="P164" s="216">
        <v>-200724.14</v>
      </c>
      <c r="Q164" s="3298" t="str">
        <f t="shared" si="6"/>
        <v>7000A</v>
      </c>
      <c r="R164" s="732" t="str">
        <f t="shared" si="7"/>
        <v>6</v>
      </c>
      <c r="S164" s="3283" t="s">
        <v>7414</v>
      </c>
      <c r="T164" s="732"/>
      <c r="U164" s="732"/>
      <c r="V164" s="732"/>
      <c r="W164" s="734"/>
      <c r="X164" s="732"/>
      <c r="Y164" s="732"/>
      <c r="Z164" s="732"/>
      <c r="AA164" s="2770"/>
      <c r="AB164" s="2770"/>
      <c r="AC164" s="2771">
        <f t="shared" si="8"/>
        <v>200724.14</v>
      </c>
      <c r="AD164" s="2771">
        <f t="shared" si="9"/>
        <v>0</v>
      </c>
      <c r="AE164" s="847" t="str">
        <f t="shared" si="10"/>
        <v>请选择分录类型！</v>
      </c>
      <c r="AF164" s="641"/>
    </row>
    <row r="165" spans="1:32" ht="18">
      <c r="A165" s="2750"/>
      <c r="B165" s="2777" t="str">
        <f t="shared" si="0"/>
        <v>J2221</v>
      </c>
      <c r="C165" s="2747">
        <f t="shared" si="1"/>
        <v>2221</v>
      </c>
      <c r="D165" s="2747" t="str">
        <f t="shared" si="17"/>
        <v>补提本期akd产品出口销项税</v>
      </c>
      <c r="E165" s="2747" t="str">
        <f t="shared" si="18"/>
        <v>28</v>
      </c>
      <c r="F165" s="2747">
        <f t="shared" si="15"/>
        <v>28.157</v>
      </c>
      <c r="G165" s="2757" t="str">
        <f t="shared" si="5"/>
        <v>本期</v>
      </c>
      <c r="H165" s="3297"/>
      <c r="I165" s="780"/>
      <c r="J165" s="3286" t="str">
        <f t="shared" si="16"/>
        <v>贷</v>
      </c>
      <c r="K165" s="689" t="s">
        <v>494</v>
      </c>
      <c r="L165" s="695" t="s">
        <v>7788</v>
      </c>
      <c r="M165" s="695"/>
      <c r="N165" s="695"/>
      <c r="O165" s="196"/>
      <c r="P165" s="216">
        <v>200724.14</v>
      </c>
      <c r="Q165" s="3298" t="str">
        <f t="shared" si="6"/>
        <v>6150B</v>
      </c>
      <c r="R165" s="732" t="str">
        <f t="shared" si="7"/>
        <v>2</v>
      </c>
      <c r="S165" s="3283" t="s">
        <v>7414</v>
      </c>
      <c r="T165" s="732"/>
      <c r="U165" s="732"/>
      <c r="V165" s="732"/>
      <c r="W165" s="734"/>
      <c r="X165" s="732"/>
      <c r="Y165" s="732"/>
      <c r="Z165" s="732"/>
      <c r="AA165" s="2770"/>
      <c r="AB165" s="2770"/>
      <c r="AC165" s="2771">
        <f t="shared" si="8"/>
        <v>0</v>
      </c>
      <c r="AD165" s="2771">
        <f t="shared" si="9"/>
        <v>200724.14</v>
      </c>
      <c r="AE165" s="847" t="str">
        <f t="shared" si="10"/>
        <v>请选择分录类型！</v>
      </c>
      <c r="AF165" s="641"/>
    </row>
    <row r="166" spans="1:32" ht="18">
      <c r="A166" s="2750"/>
      <c r="B166" s="2777" t="str">
        <f t="shared" si="0"/>
        <v/>
      </c>
      <c r="C166" s="2747" t="str">
        <f t="shared" si="1"/>
        <v/>
      </c>
      <c r="D166" s="2747" t="str">
        <f t="shared" si="17"/>
        <v/>
      </c>
      <c r="E166" s="2747" t="str">
        <f t="shared" si="18"/>
        <v/>
      </c>
      <c r="F166" s="2747">
        <f t="shared" si="15"/>
        <v>28.158000000000001</v>
      </c>
      <c r="G166" s="2757" t="str">
        <f t="shared" si="5"/>
        <v/>
      </c>
      <c r="H166" s="3297"/>
      <c r="I166" s="780"/>
      <c r="J166" s="3286" t="str">
        <f t="shared" si="16"/>
        <v/>
      </c>
      <c r="K166" s="689"/>
      <c r="L166" s="695"/>
      <c r="M166" s="695"/>
      <c r="N166" s="695"/>
      <c r="O166" s="196"/>
      <c r="P166" s="216"/>
      <c r="Q166" s="3298" t="str">
        <f t="shared" si="6"/>
        <v/>
      </c>
      <c r="R166" s="732" t="str">
        <f t="shared" si="7"/>
        <v/>
      </c>
      <c r="S166" s="732"/>
      <c r="T166" s="732"/>
      <c r="U166" s="732"/>
      <c r="V166" s="732"/>
      <c r="W166" s="734"/>
      <c r="X166" s="732"/>
      <c r="Y166" s="732"/>
      <c r="Z166" s="732"/>
      <c r="AA166" s="2770"/>
      <c r="AB166" s="2770"/>
      <c r="AC166" s="2771">
        <f t="shared" si="8"/>
        <v>0</v>
      </c>
      <c r="AD166" s="2771">
        <f t="shared" si="9"/>
        <v>0</v>
      </c>
      <c r="AE166" s="847" t="str">
        <f t="shared" si="10"/>
        <v/>
      </c>
      <c r="AF166" s="641"/>
    </row>
    <row r="167" spans="1:32" ht="18">
      <c r="A167" s="2750"/>
      <c r="B167" s="2777" t="str">
        <f t="shared" si="0"/>
        <v/>
      </c>
      <c r="C167" s="2747" t="str">
        <f t="shared" si="1"/>
        <v/>
      </c>
      <c r="D167" s="2747" t="str">
        <f t="shared" si="17"/>
        <v>根据新金融工具准则，将期末持有目的为背书转让的应收票据重分类为应收款项融资</v>
      </c>
      <c r="E167" s="2747" t="str">
        <f t="shared" si="18"/>
        <v>29</v>
      </c>
      <c r="F167" s="2747">
        <f t="shared" ref="F167:F230" si="19">VALUE(IF(E167="",E166&amp;"."&amp;TEXT((ROW()-8),"000"),E167&amp;"."&amp;TEXT((ROW()-8),"000")))</f>
        <v>29.158999999999999</v>
      </c>
      <c r="G167" s="2757" t="str">
        <f t="shared" si="5"/>
        <v>本期</v>
      </c>
      <c r="H167" s="3297"/>
      <c r="I167" s="780">
        <v>29</v>
      </c>
      <c r="J167" s="3290" t="s">
        <v>7804</v>
      </c>
      <c r="K167" s="689"/>
      <c r="L167" s="695"/>
      <c r="M167" s="695"/>
      <c r="N167" s="695"/>
      <c r="O167" s="196"/>
      <c r="P167" s="216"/>
      <c r="Q167" s="3298" t="str">
        <f t="shared" si="6"/>
        <v/>
      </c>
      <c r="R167" s="732" t="str">
        <f t="shared" si="7"/>
        <v/>
      </c>
      <c r="S167" s="732"/>
      <c r="T167" s="732"/>
      <c r="U167" s="732"/>
      <c r="V167" s="732"/>
      <c r="W167" s="734"/>
      <c r="X167" s="732"/>
      <c r="Y167" s="732"/>
      <c r="Z167" s="732"/>
      <c r="AA167" s="2770"/>
      <c r="AB167" s="2770"/>
      <c r="AC167" s="2771">
        <f t="shared" si="8"/>
        <v>0</v>
      </c>
      <c r="AD167" s="2771">
        <f t="shared" si="9"/>
        <v>0</v>
      </c>
      <c r="AE167" s="847" t="str">
        <f t="shared" si="10"/>
        <v>请选择分录类型！</v>
      </c>
      <c r="AF167" s="641"/>
    </row>
    <row r="168" spans="1:32" ht="18">
      <c r="A168" s="2750"/>
      <c r="B168" s="2777" t="str">
        <f t="shared" si="0"/>
        <v>J1124</v>
      </c>
      <c r="C168" s="2747">
        <f t="shared" si="1"/>
        <v>1124</v>
      </c>
      <c r="D168" s="2747" t="str">
        <f t="shared" si="17"/>
        <v>根据新金融工具准则，将期末持有目的为背书转让的应收票据重分类为应收款项融资</v>
      </c>
      <c r="E168" s="2747" t="str">
        <f t="shared" si="18"/>
        <v>29</v>
      </c>
      <c r="F168" s="2747">
        <f t="shared" si="19"/>
        <v>29.16</v>
      </c>
      <c r="G168" s="2757" t="str">
        <f t="shared" si="5"/>
        <v>本期</v>
      </c>
      <c r="H168" s="3297"/>
      <c r="I168" s="780"/>
      <c r="J168" s="3286" t="str">
        <f t="shared" si="16"/>
        <v>借</v>
      </c>
      <c r="K168" s="3278" t="s">
        <v>7802</v>
      </c>
      <c r="L168" s="695"/>
      <c r="M168" s="695"/>
      <c r="N168" s="695"/>
      <c r="O168" s="196">
        <v>3532481.3</v>
      </c>
      <c r="P168" s="216"/>
      <c r="Q168" s="3298" t="str">
        <f t="shared" si="6"/>
        <v>5200C</v>
      </c>
      <c r="R168" s="732" t="str">
        <f t="shared" si="7"/>
        <v>1</v>
      </c>
      <c r="S168" s="732"/>
      <c r="T168" s="732"/>
      <c r="U168" s="732"/>
      <c r="V168" s="732"/>
      <c r="W168" s="734"/>
      <c r="X168" s="732"/>
      <c r="Y168" s="732"/>
      <c r="Z168" s="732"/>
      <c r="AA168" s="2770"/>
      <c r="AB168" s="2770"/>
      <c r="AC168" s="2771">
        <f t="shared" si="8"/>
        <v>3532481.3</v>
      </c>
      <c r="AD168" s="2771">
        <f t="shared" si="9"/>
        <v>0</v>
      </c>
      <c r="AE168" s="847" t="str">
        <f t="shared" si="10"/>
        <v>请选择分录类型！</v>
      </c>
      <c r="AF168" s="641"/>
    </row>
    <row r="169" spans="1:32" ht="18">
      <c r="A169" s="2750"/>
      <c r="B169" s="2777" t="str">
        <f t="shared" si="0"/>
        <v>J1121</v>
      </c>
      <c r="C169" s="2747">
        <f t="shared" si="1"/>
        <v>1121</v>
      </c>
      <c r="D169" s="2747" t="str">
        <f t="shared" si="17"/>
        <v>根据新金融工具准则，将期末持有目的为背书转让的应收票据重分类为应收款项融资</v>
      </c>
      <c r="E169" s="2747" t="str">
        <f t="shared" si="18"/>
        <v>29</v>
      </c>
      <c r="F169" s="2747">
        <f t="shared" si="19"/>
        <v>29.161000000000001</v>
      </c>
      <c r="G169" s="2757" t="str">
        <f t="shared" si="5"/>
        <v>本期</v>
      </c>
      <c r="H169" s="3297"/>
      <c r="I169" s="780"/>
      <c r="J169" s="3286" t="str">
        <f t="shared" si="16"/>
        <v>贷</v>
      </c>
      <c r="K169" s="3278" t="s">
        <v>7803</v>
      </c>
      <c r="L169" s="695"/>
      <c r="M169" s="695"/>
      <c r="N169" s="695"/>
      <c r="O169" s="196"/>
      <c r="P169" s="216">
        <v>3532481.3</v>
      </c>
      <c r="Q169" s="3298" t="str">
        <f t="shared" si="6"/>
        <v>5200B</v>
      </c>
      <c r="R169" s="732" t="str">
        <f t="shared" si="7"/>
        <v>1</v>
      </c>
      <c r="S169" s="732"/>
      <c r="T169" s="732"/>
      <c r="U169" s="732"/>
      <c r="V169" s="732"/>
      <c r="W169" s="734"/>
      <c r="X169" s="732"/>
      <c r="Y169" s="732"/>
      <c r="Z169" s="732"/>
      <c r="AA169" s="2770"/>
      <c r="AB169" s="2770"/>
      <c r="AC169" s="2771">
        <f t="shared" si="8"/>
        <v>0</v>
      </c>
      <c r="AD169" s="2771">
        <f t="shared" si="9"/>
        <v>3532481.3</v>
      </c>
      <c r="AE169" s="847" t="str">
        <f t="shared" si="10"/>
        <v>请选择分录类型！</v>
      </c>
      <c r="AF169" s="641"/>
    </row>
    <row r="170" spans="1:32" ht="18">
      <c r="A170" s="2750"/>
      <c r="B170" s="2777" t="str">
        <f t="shared" si="0"/>
        <v/>
      </c>
      <c r="C170" s="2747" t="str">
        <f t="shared" si="1"/>
        <v/>
      </c>
      <c r="D170" s="2747" t="str">
        <f t="shared" si="17"/>
        <v/>
      </c>
      <c r="E170" s="2747" t="str">
        <f t="shared" si="18"/>
        <v/>
      </c>
      <c r="F170" s="2747">
        <f t="shared" si="19"/>
        <v>29.161999999999999</v>
      </c>
      <c r="G170" s="2757" t="str">
        <f t="shared" si="5"/>
        <v/>
      </c>
      <c r="H170" s="3297"/>
      <c r="I170" s="780"/>
      <c r="J170" s="3286" t="str">
        <f t="shared" si="16"/>
        <v/>
      </c>
      <c r="K170" s="689"/>
      <c r="L170" s="695"/>
      <c r="M170" s="695"/>
      <c r="N170" s="695"/>
      <c r="O170" s="196"/>
      <c r="P170" s="216"/>
      <c r="Q170" s="3298" t="str">
        <f t="shared" si="6"/>
        <v/>
      </c>
      <c r="R170" s="732" t="str">
        <f t="shared" si="7"/>
        <v/>
      </c>
      <c r="S170" s="732"/>
      <c r="T170" s="732"/>
      <c r="U170" s="732"/>
      <c r="V170" s="732"/>
      <c r="W170" s="734"/>
      <c r="X170" s="732"/>
      <c r="Y170" s="732"/>
      <c r="Z170" s="732"/>
      <c r="AA170" s="2770"/>
      <c r="AB170" s="2770"/>
      <c r="AC170" s="2771">
        <f t="shared" si="8"/>
        <v>0</v>
      </c>
      <c r="AD170" s="2771">
        <f t="shared" si="9"/>
        <v>0</v>
      </c>
      <c r="AE170" s="847" t="str">
        <f t="shared" si="10"/>
        <v/>
      </c>
      <c r="AF170" s="641"/>
    </row>
    <row r="171" spans="1:32" ht="18">
      <c r="A171" s="2750"/>
      <c r="B171" s="2777" t="str">
        <f t="shared" si="0"/>
        <v/>
      </c>
      <c r="C171" s="2747" t="str">
        <f t="shared" si="1"/>
        <v/>
      </c>
      <c r="D171" s="2747" t="str">
        <f t="shared" si="17"/>
        <v>根据新金融工具准则，将期末可供出售金融资产重分类为其他非流动金融资产</v>
      </c>
      <c r="E171" s="2747" t="str">
        <f t="shared" si="18"/>
        <v>30</v>
      </c>
      <c r="F171" s="2747">
        <f t="shared" si="19"/>
        <v>30.163</v>
      </c>
      <c r="G171" s="2757" t="str">
        <f t="shared" si="5"/>
        <v>本期</v>
      </c>
      <c r="H171" s="3297"/>
      <c r="I171" s="780">
        <v>30</v>
      </c>
      <c r="J171" s="3290" t="s">
        <v>7805</v>
      </c>
      <c r="K171" s="689"/>
      <c r="L171" s="695"/>
      <c r="M171" s="695"/>
      <c r="N171" s="695"/>
      <c r="O171" s="196"/>
      <c r="P171" s="216"/>
      <c r="Q171" s="3298" t="str">
        <f t="shared" si="6"/>
        <v/>
      </c>
      <c r="R171" s="732" t="str">
        <f t="shared" si="7"/>
        <v/>
      </c>
      <c r="S171" s="732"/>
      <c r="T171" s="732"/>
      <c r="U171" s="732"/>
      <c r="V171" s="732"/>
      <c r="W171" s="734"/>
      <c r="X171" s="732"/>
      <c r="Y171" s="732"/>
      <c r="Z171" s="732"/>
      <c r="AA171" s="2770"/>
      <c r="AB171" s="2770"/>
      <c r="AC171" s="2771">
        <f t="shared" si="8"/>
        <v>0</v>
      </c>
      <c r="AD171" s="2771">
        <f t="shared" si="9"/>
        <v>0</v>
      </c>
      <c r="AE171" s="847" t="str">
        <f t="shared" si="10"/>
        <v>请选择分录类型！</v>
      </c>
      <c r="AF171" s="641"/>
    </row>
    <row r="172" spans="1:32" ht="18">
      <c r="A172" s="2750"/>
      <c r="B172" s="2777" t="str">
        <f t="shared" si="0"/>
        <v>J1539</v>
      </c>
      <c r="C172" s="2747">
        <f t="shared" si="1"/>
        <v>1539</v>
      </c>
      <c r="D172" s="2747" t="str">
        <f t="shared" si="17"/>
        <v>根据新金融工具准则，将期末可供出售金融资产重分类为其他非流动金融资产</v>
      </c>
      <c r="E172" s="2747" t="str">
        <f t="shared" si="18"/>
        <v>30</v>
      </c>
      <c r="F172" s="2747">
        <f t="shared" si="19"/>
        <v>30.164000000000001</v>
      </c>
      <c r="G172" s="2757" t="str">
        <f t="shared" si="5"/>
        <v>本期</v>
      </c>
      <c r="H172" s="3297"/>
      <c r="I172" s="780"/>
      <c r="J172" s="3286" t="str">
        <f t="shared" si="16"/>
        <v>借</v>
      </c>
      <c r="K172" s="3278" t="s">
        <v>329</v>
      </c>
      <c r="L172" s="695"/>
      <c r="M172" s="695"/>
      <c r="N172" s="695"/>
      <c r="O172" s="196">
        <v>3003000</v>
      </c>
      <c r="P172" s="216"/>
      <c r="Q172" s="3298" t="str">
        <f t="shared" si="6"/>
        <v>5100T</v>
      </c>
      <c r="R172" s="732" t="str">
        <f t="shared" si="7"/>
        <v>1</v>
      </c>
      <c r="S172" s="732"/>
      <c r="T172" s="732"/>
      <c r="U172" s="732"/>
      <c r="V172" s="732"/>
      <c r="W172" s="734"/>
      <c r="X172" s="732"/>
      <c r="Y172" s="732"/>
      <c r="Z172" s="732"/>
      <c r="AA172" s="2770"/>
      <c r="AB172" s="2770"/>
      <c r="AC172" s="2771">
        <f t="shared" si="8"/>
        <v>3003000</v>
      </c>
      <c r="AD172" s="2771">
        <f t="shared" si="9"/>
        <v>0</v>
      </c>
      <c r="AE172" s="847" t="str">
        <f t="shared" si="10"/>
        <v>请选择分录类型！</v>
      </c>
      <c r="AF172" s="641"/>
    </row>
    <row r="173" spans="1:32" ht="18">
      <c r="A173" s="2750"/>
      <c r="B173" s="2777" t="str">
        <f t="shared" si="0"/>
        <v>J1503</v>
      </c>
      <c r="C173" s="2747">
        <f t="shared" si="1"/>
        <v>1503</v>
      </c>
      <c r="D173" s="2747" t="str">
        <f t="shared" si="17"/>
        <v>根据新金融工具准则，将期末可供出售金融资产重分类为其他非流动金融资产</v>
      </c>
      <c r="E173" s="2747" t="str">
        <f t="shared" si="18"/>
        <v>30</v>
      </c>
      <c r="F173" s="2747">
        <f t="shared" si="19"/>
        <v>30.164999999999999</v>
      </c>
      <c r="G173" s="2757" t="str">
        <f t="shared" si="5"/>
        <v>本期</v>
      </c>
      <c r="H173" s="3297"/>
      <c r="I173" s="780"/>
      <c r="J173" s="3286" t="str">
        <f t="shared" si="16"/>
        <v>贷</v>
      </c>
      <c r="K173" s="3278" t="s">
        <v>7806</v>
      </c>
      <c r="L173" s="695"/>
      <c r="M173" s="695"/>
      <c r="N173" s="695"/>
      <c r="O173" s="196"/>
      <c r="P173" s="216">
        <v>3003000</v>
      </c>
      <c r="Q173" s="3298" t="str">
        <f t="shared" si="6"/>
        <v>5100Y</v>
      </c>
      <c r="R173" s="732" t="str">
        <f t="shared" si="7"/>
        <v>1</v>
      </c>
      <c r="S173" s="732"/>
      <c r="T173" s="732"/>
      <c r="U173" s="732"/>
      <c r="V173" s="732"/>
      <c r="W173" s="734"/>
      <c r="X173" s="732"/>
      <c r="Y173" s="732"/>
      <c r="Z173" s="732"/>
      <c r="AA173" s="2770"/>
      <c r="AB173" s="2770"/>
      <c r="AC173" s="2771">
        <f t="shared" si="8"/>
        <v>0</v>
      </c>
      <c r="AD173" s="2771">
        <f t="shared" si="9"/>
        <v>3003000</v>
      </c>
      <c r="AE173" s="847" t="str">
        <f t="shared" si="10"/>
        <v>请选择分录类型！</v>
      </c>
      <c r="AF173" s="641"/>
    </row>
    <row r="174" spans="1:32" ht="18">
      <c r="A174" s="2750"/>
      <c r="B174" s="2777" t="str">
        <f t="shared" si="0"/>
        <v/>
      </c>
      <c r="C174" s="2747" t="str">
        <f t="shared" si="1"/>
        <v/>
      </c>
      <c r="D174" s="2747" t="str">
        <f t="shared" si="17"/>
        <v/>
      </c>
      <c r="E174" s="2747" t="str">
        <f t="shared" si="18"/>
        <v/>
      </c>
      <c r="F174" s="2747">
        <f t="shared" si="19"/>
        <v>30.166</v>
      </c>
      <c r="G174" s="2757" t="str">
        <f t="shared" si="5"/>
        <v/>
      </c>
      <c r="H174" s="3297"/>
      <c r="I174" s="780"/>
      <c r="J174" s="3286" t="str">
        <f t="shared" si="16"/>
        <v/>
      </c>
      <c r="K174" s="689"/>
      <c r="L174" s="695"/>
      <c r="M174" s="695"/>
      <c r="N174" s="695"/>
      <c r="O174" s="196"/>
      <c r="P174" s="216"/>
      <c r="Q174" s="3298" t="str">
        <f t="shared" si="6"/>
        <v/>
      </c>
      <c r="R174" s="732" t="str">
        <f t="shared" si="7"/>
        <v/>
      </c>
      <c r="S174" s="732"/>
      <c r="T174" s="732"/>
      <c r="U174" s="732"/>
      <c r="V174" s="732"/>
      <c r="W174" s="734"/>
      <c r="X174" s="732"/>
      <c r="Y174" s="732"/>
      <c r="Z174" s="732"/>
      <c r="AA174" s="2770"/>
      <c r="AB174" s="2770"/>
      <c r="AC174" s="2771">
        <f t="shared" si="8"/>
        <v>0</v>
      </c>
      <c r="AD174" s="2771">
        <f t="shared" si="9"/>
        <v>0</v>
      </c>
      <c r="AE174" s="847" t="str">
        <f t="shared" si="10"/>
        <v/>
      </c>
      <c r="AF174" s="641"/>
    </row>
    <row r="175" spans="1:32" ht="18">
      <c r="A175" s="2750"/>
      <c r="B175" s="2777" t="str">
        <f t="shared" si="0"/>
        <v/>
      </c>
      <c r="C175" s="2747" t="str">
        <f t="shared" si="1"/>
        <v/>
      </c>
      <c r="D175" s="2747" t="str">
        <f t="shared" si="17"/>
        <v>将原计入管理费用的固废处置费调整到营业成本</v>
      </c>
      <c r="E175" s="2747" t="str">
        <f t="shared" si="18"/>
        <v>31</v>
      </c>
      <c r="F175" s="2747">
        <f t="shared" si="19"/>
        <v>31.167000000000002</v>
      </c>
      <c r="G175" s="2757" t="str">
        <f t="shared" si="5"/>
        <v>本期</v>
      </c>
      <c r="H175" s="3297"/>
      <c r="I175" s="780">
        <v>31</v>
      </c>
      <c r="J175" s="3290" t="s">
        <v>7851</v>
      </c>
      <c r="K175" s="689"/>
      <c r="L175" s="695"/>
      <c r="M175" s="695"/>
      <c r="N175" s="695"/>
      <c r="O175" s="196"/>
      <c r="P175" s="216"/>
      <c r="Q175" s="3298" t="str">
        <f t="shared" si="6"/>
        <v/>
      </c>
      <c r="R175" s="732" t="str">
        <f t="shared" si="7"/>
        <v/>
      </c>
      <c r="S175" s="732"/>
      <c r="T175" s="732"/>
      <c r="U175" s="732"/>
      <c r="V175" s="732"/>
      <c r="W175" s="734"/>
      <c r="X175" s="732"/>
      <c r="Y175" s="732"/>
      <c r="Z175" s="732"/>
      <c r="AA175" s="2770"/>
      <c r="AB175" s="2770"/>
      <c r="AC175" s="2771">
        <f t="shared" si="8"/>
        <v>0</v>
      </c>
      <c r="AD175" s="2771">
        <f t="shared" si="9"/>
        <v>0</v>
      </c>
      <c r="AE175" s="847" t="str">
        <f t="shared" si="10"/>
        <v>请选择分录类型！</v>
      </c>
      <c r="AF175" s="641"/>
    </row>
    <row r="176" spans="1:32" ht="18">
      <c r="A176" s="2750"/>
      <c r="B176" s="2777" t="str">
        <f t="shared" si="0"/>
        <v>J6401</v>
      </c>
      <c r="C176" s="2747">
        <f t="shared" si="1"/>
        <v>6401</v>
      </c>
      <c r="D176" s="2747" t="str">
        <f t="shared" si="17"/>
        <v>将原计入管理费用的固废处置费调整到营业成本</v>
      </c>
      <c r="E176" s="2747" t="str">
        <f t="shared" si="18"/>
        <v>31</v>
      </c>
      <c r="F176" s="2747">
        <f t="shared" si="19"/>
        <v>31.167999999999999</v>
      </c>
      <c r="G176" s="2757" t="str">
        <f t="shared" si="5"/>
        <v>本期</v>
      </c>
      <c r="H176" s="3297"/>
      <c r="I176" s="780"/>
      <c r="J176" s="3286" t="str">
        <f t="shared" si="16"/>
        <v>借</v>
      </c>
      <c r="K176" s="3278" t="s">
        <v>7807</v>
      </c>
      <c r="L176" s="695"/>
      <c r="M176" s="695"/>
      <c r="N176" s="695"/>
      <c r="O176" s="196">
        <f>P177</f>
        <v>8620257.6199999992</v>
      </c>
      <c r="P176" s="216"/>
      <c r="Q176" s="3298" t="str">
        <f t="shared" si="6"/>
        <v>7100A</v>
      </c>
      <c r="R176" s="732" t="str">
        <f t="shared" si="7"/>
        <v>6</v>
      </c>
      <c r="S176" s="732"/>
      <c r="T176" s="732"/>
      <c r="U176" s="732"/>
      <c r="V176" s="732"/>
      <c r="W176" s="734"/>
      <c r="X176" s="732"/>
      <c r="Y176" s="732"/>
      <c r="Z176" s="732"/>
      <c r="AA176" s="2770"/>
      <c r="AB176" s="2770"/>
      <c r="AC176" s="2771">
        <f t="shared" si="8"/>
        <v>8620257.6199999992</v>
      </c>
      <c r="AD176" s="2771">
        <f t="shared" si="9"/>
        <v>0</v>
      </c>
      <c r="AE176" s="847" t="str">
        <f t="shared" si="10"/>
        <v>请选择分录类型！</v>
      </c>
      <c r="AF176" s="641"/>
    </row>
    <row r="177" spans="1:32" ht="18">
      <c r="A177" s="2750"/>
      <c r="B177" s="2777" t="str">
        <f t="shared" si="0"/>
        <v>J6602</v>
      </c>
      <c r="C177" s="2747">
        <f t="shared" si="1"/>
        <v>6602</v>
      </c>
      <c r="D177" s="2747" t="str">
        <f t="shared" si="17"/>
        <v>将原计入管理费用的固废处置费调整到营业成本</v>
      </c>
      <c r="E177" s="2747" t="str">
        <f t="shared" si="18"/>
        <v>31</v>
      </c>
      <c r="F177" s="2747">
        <f t="shared" si="19"/>
        <v>31.169</v>
      </c>
      <c r="G177" s="2757" t="str">
        <f t="shared" si="5"/>
        <v>本期</v>
      </c>
      <c r="H177" s="3297"/>
      <c r="I177" s="780"/>
      <c r="J177" s="3286" t="str">
        <f t="shared" si="16"/>
        <v>贷</v>
      </c>
      <c r="K177" s="3278" t="s">
        <v>7808</v>
      </c>
      <c r="L177" s="695" t="s">
        <v>4177</v>
      </c>
      <c r="M177" s="695"/>
      <c r="N177" s="695"/>
      <c r="O177" s="196"/>
      <c r="P177" s="216">
        <f>8620257.62+AJE!O178</f>
        <v>8620257.6199999992</v>
      </c>
      <c r="Q177" s="3298" t="str">
        <f t="shared" si="6"/>
        <v>7200D</v>
      </c>
      <c r="R177" s="732" t="str">
        <f t="shared" si="7"/>
        <v>6</v>
      </c>
      <c r="S177" s="732"/>
      <c r="T177" s="732"/>
      <c r="U177" s="732"/>
      <c r="V177" s="732"/>
      <c r="W177" s="734"/>
      <c r="X177" s="732"/>
      <c r="Y177" s="732"/>
      <c r="Z177" s="732"/>
      <c r="AA177" s="2770"/>
      <c r="AB177" s="2770"/>
      <c r="AC177" s="2771">
        <f t="shared" si="8"/>
        <v>0</v>
      </c>
      <c r="AD177" s="2771">
        <f t="shared" si="9"/>
        <v>8620257.6199999992</v>
      </c>
      <c r="AE177" s="847" t="str">
        <f t="shared" si="10"/>
        <v>请选择分录类型！</v>
      </c>
      <c r="AF177" s="641"/>
    </row>
    <row r="178" spans="1:32" ht="18">
      <c r="A178" s="2750"/>
      <c r="B178" s="2777" t="str">
        <f t="shared" si="0"/>
        <v>J6602</v>
      </c>
      <c r="C178" s="2747">
        <f t="shared" si="1"/>
        <v>6602</v>
      </c>
      <c r="D178" s="2747" t="str">
        <f t="shared" si="17"/>
        <v/>
      </c>
      <c r="E178" s="2747" t="str">
        <f t="shared" si="18"/>
        <v/>
      </c>
      <c r="F178" s="2747">
        <f t="shared" si="19"/>
        <v>31.17</v>
      </c>
      <c r="G178" s="2757" t="str">
        <f t="shared" si="5"/>
        <v>本期</v>
      </c>
      <c r="H178" s="3297"/>
      <c r="I178" s="780"/>
      <c r="J178" s="3286" t="str">
        <f t="shared" si="16"/>
        <v/>
      </c>
      <c r="K178" s="3278" t="s">
        <v>7808</v>
      </c>
      <c r="L178" s="695" t="s">
        <v>4177</v>
      </c>
      <c r="M178" s="695"/>
      <c r="N178" s="695"/>
      <c r="O178" s="196"/>
      <c r="P178" s="216"/>
      <c r="Q178" s="3298" t="str">
        <f t="shared" si="6"/>
        <v>7200D</v>
      </c>
      <c r="R178" s="732" t="str">
        <f t="shared" si="7"/>
        <v>6</v>
      </c>
      <c r="S178" s="732"/>
      <c r="T178" s="732"/>
      <c r="U178" s="732"/>
      <c r="V178" s="732"/>
      <c r="W178" s="734"/>
      <c r="X178" s="732"/>
      <c r="Y178" s="732"/>
      <c r="Z178" s="732"/>
      <c r="AA178" s="2770"/>
      <c r="AB178" s="2770"/>
      <c r="AC178" s="2771">
        <f t="shared" si="8"/>
        <v>0</v>
      </c>
      <c r="AD178" s="2771">
        <f t="shared" si="9"/>
        <v>0</v>
      </c>
      <c r="AE178" s="847" t="str">
        <f t="shared" si="10"/>
        <v>请选择分录类型！</v>
      </c>
      <c r="AF178" s="641"/>
    </row>
    <row r="179" spans="1:32" ht="18">
      <c r="A179" s="2750"/>
      <c r="B179" s="2777" t="str">
        <f t="shared" si="0"/>
        <v>J2202</v>
      </c>
      <c r="C179" s="2747">
        <f t="shared" si="1"/>
        <v>2202</v>
      </c>
      <c r="D179" s="2747" t="str">
        <f t="shared" si="17"/>
        <v/>
      </c>
      <c r="E179" s="2747" t="str">
        <f t="shared" si="18"/>
        <v/>
      </c>
      <c r="F179" s="2747">
        <f t="shared" si="19"/>
        <v>0.17100000000000001</v>
      </c>
      <c r="G179" s="2757" t="str">
        <f t="shared" si="5"/>
        <v>本期</v>
      </c>
      <c r="H179" s="3297"/>
      <c r="I179" s="780"/>
      <c r="J179" s="3286" t="str">
        <f t="shared" si="16"/>
        <v/>
      </c>
      <c r="K179" s="3278" t="s">
        <v>7809</v>
      </c>
      <c r="L179" s="695" t="s">
        <v>7810</v>
      </c>
      <c r="M179" s="695"/>
      <c r="N179" s="695"/>
      <c r="O179" s="196"/>
      <c r="P179" s="216"/>
      <c r="Q179" s="3298" t="str">
        <f t="shared" si="6"/>
        <v>6100A</v>
      </c>
      <c r="R179" s="732" t="str">
        <f t="shared" si="7"/>
        <v>2</v>
      </c>
      <c r="S179" s="732"/>
      <c r="T179" s="732"/>
      <c r="U179" s="732"/>
      <c r="V179" s="732"/>
      <c r="W179" s="734"/>
      <c r="X179" s="732"/>
      <c r="Y179" s="732"/>
      <c r="Z179" s="732"/>
      <c r="AA179" s="2770"/>
      <c r="AB179" s="2770"/>
      <c r="AC179" s="2771">
        <f t="shared" si="8"/>
        <v>0</v>
      </c>
      <c r="AD179" s="2771">
        <f t="shared" si="9"/>
        <v>0</v>
      </c>
      <c r="AE179" s="847" t="str">
        <f t="shared" si="10"/>
        <v>请选择分录类型！</v>
      </c>
      <c r="AF179" s="641"/>
    </row>
    <row r="180" spans="1:32" ht="18">
      <c r="A180" s="2750"/>
      <c r="B180" s="2777" t="str">
        <f t="shared" si="0"/>
        <v/>
      </c>
      <c r="C180" s="2747" t="str">
        <f t="shared" si="1"/>
        <v/>
      </c>
      <c r="D180" s="2747" t="str">
        <f t="shared" si="17"/>
        <v/>
      </c>
      <c r="E180" s="2747" t="str">
        <f t="shared" si="18"/>
        <v/>
      </c>
      <c r="F180" s="2747">
        <f t="shared" si="19"/>
        <v>0.17199999999999999</v>
      </c>
      <c r="G180" s="2757" t="str">
        <f t="shared" si="5"/>
        <v/>
      </c>
      <c r="H180" s="3297"/>
      <c r="I180" s="780"/>
      <c r="J180" s="3286" t="str">
        <f t="shared" si="16"/>
        <v/>
      </c>
      <c r="K180" s="689"/>
      <c r="L180" s="695"/>
      <c r="M180" s="695"/>
      <c r="N180" s="695"/>
      <c r="O180" s="196"/>
      <c r="P180" s="216"/>
      <c r="Q180" s="3298" t="str">
        <f t="shared" si="6"/>
        <v/>
      </c>
      <c r="R180" s="732" t="str">
        <f t="shared" si="7"/>
        <v/>
      </c>
      <c r="S180" s="732"/>
      <c r="T180" s="732"/>
      <c r="U180" s="732"/>
      <c r="V180" s="732"/>
      <c r="W180" s="734"/>
      <c r="X180" s="732"/>
      <c r="Y180" s="732"/>
      <c r="Z180" s="732"/>
      <c r="AA180" s="2770"/>
      <c r="AB180" s="2770"/>
      <c r="AC180" s="2771">
        <f t="shared" si="8"/>
        <v>0</v>
      </c>
      <c r="AD180" s="2771">
        <f t="shared" si="9"/>
        <v>0</v>
      </c>
      <c r="AE180" s="847" t="str">
        <f t="shared" si="10"/>
        <v/>
      </c>
      <c r="AF180" s="641"/>
    </row>
    <row r="181" spans="1:32" ht="18">
      <c r="A181" s="2750"/>
      <c r="B181" s="2777" t="str">
        <f t="shared" si="0"/>
        <v/>
      </c>
      <c r="C181" s="2747" t="str">
        <f t="shared" si="1"/>
        <v/>
      </c>
      <c r="D181" s="2747" t="str">
        <f t="shared" si="17"/>
        <v>将无法收回预付款项调整至其他应收款并全额计提坏账</v>
      </c>
      <c r="E181" s="2747" t="str">
        <f t="shared" si="18"/>
        <v>32</v>
      </c>
      <c r="F181" s="2747">
        <f t="shared" si="19"/>
        <v>32.173000000000002</v>
      </c>
      <c r="G181" s="2757" t="str">
        <f t="shared" si="5"/>
        <v>本期</v>
      </c>
      <c r="H181" s="3297"/>
      <c r="I181" s="780">
        <v>32</v>
      </c>
      <c r="J181" s="3286" t="s">
        <v>7815</v>
      </c>
      <c r="K181" s="689"/>
      <c r="L181" s="695"/>
      <c r="M181" s="695"/>
      <c r="N181" s="695"/>
      <c r="O181" s="196"/>
      <c r="P181" s="216"/>
      <c r="Q181" s="3298" t="str">
        <f t="shared" si="6"/>
        <v/>
      </c>
      <c r="R181" s="732" t="str">
        <f t="shared" si="7"/>
        <v/>
      </c>
      <c r="S181" s="732"/>
      <c r="T181" s="732"/>
      <c r="U181" s="732"/>
      <c r="V181" s="732"/>
      <c r="W181" s="734"/>
      <c r="X181" s="732"/>
      <c r="Y181" s="732"/>
      <c r="Z181" s="732"/>
      <c r="AA181" s="2770"/>
      <c r="AB181" s="2770"/>
      <c r="AC181" s="2771">
        <f t="shared" si="8"/>
        <v>0</v>
      </c>
      <c r="AD181" s="2771">
        <f t="shared" si="9"/>
        <v>0</v>
      </c>
      <c r="AE181" s="847" t="str">
        <f t="shared" si="10"/>
        <v>请选择分录类型！</v>
      </c>
      <c r="AF181" s="641"/>
    </row>
    <row r="182" spans="1:32" ht="18">
      <c r="A182" s="2750"/>
      <c r="B182" s="2777" t="str">
        <f t="shared" si="0"/>
        <v>J1221</v>
      </c>
      <c r="C182" s="2747">
        <f t="shared" si="1"/>
        <v>1221</v>
      </c>
      <c r="D182" s="2747" t="str">
        <f t="shared" si="17"/>
        <v>将无法收回预付款项调整至其他应收款并全额计提坏账</v>
      </c>
      <c r="E182" s="2747" t="str">
        <f t="shared" si="18"/>
        <v>32</v>
      </c>
      <c r="F182" s="2747">
        <f t="shared" si="19"/>
        <v>32.173999999999999</v>
      </c>
      <c r="G182" s="2757" t="str">
        <f t="shared" si="5"/>
        <v>本期</v>
      </c>
      <c r="H182" s="3297"/>
      <c r="I182" s="780"/>
      <c r="J182" s="3286" t="str">
        <f t="shared" si="16"/>
        <v>借</v>
      </c>
      <c r="K182" s="689" t="s">
        <v>201</v>
      </c>
      <c r="L182" s="695"/>
      <c r="M182" s="695"/>
      <c r="N182" s="695"/>
      <c r="O182" s="196">
        <v>806398.06</v>
      </c>
      <c r="P182" s="216"/>
      <c r="Q182" s="3298" t="str">
        <f t="shared" si="6"/>
        <v>5200D</v>
      </c>
      <c r="R182" s="732" t="str">
        <f t="shared" si="7"/>
        <v>1</v>
      </c>
      <c r="S182" s="732"/>
      <c r="T182" s="732"/>
      <c r="U182" s="732"/>
      <c r="V182" s="732"/>
      <c r="W182" s="734"/>
      <c r="X182" s="732"/>
      <c r="Y182" s="732"/>
      <c r="Z182" s="732"/>
      <c r="AA182" s="2770"/>
      <c r="AB182" s="2770"/>
      <c r="AC182" s="2771">
        <f t="shared" si="8"/>
        <v>806398.06</v>
      </c>
      <c r="AD182" s="2771">
        <f t="shared" si="9"/>
        <v>0</v>
      </c>
      <c r="AE182" s="847" t="str">
        <f t="shared" si="10"/>
        <v>请选择分录类型！</v>
      </c>
      <c r="AF182" s="641"/>
    </row>
    <row r="183" spans="1:32" ht="18">
      <c r="A183" s="2750"/>
      <c r="B183" s="2777" t="str">
        <f t="shared" si="0"/>
        <v>J1125</v>
      </c>
      <c r="C183" s="2747">
        <f t="shared" si="1"/>
        <v>1125</v>
      </c>
      <c r="D183" s="2747" t="str">
        <f t="shared" si="17"/>
        <v>将无法收回预付款项调整至其他应收款并全额计提坏账</v>
      </c>
      <c r="E183" s="2747" t="str">
        <f t="shared" si="18"/>
        <v>32</v>
      </c>
      <c r="F183" s="2747">
        <f t="shared" si="19"/>
        <v>32.174999999999997</v>
      </c>
      <c r="G183" s="2757" t="str">
        <f t="shared" si="5"/>
        <v>本期</v>
      </c>
      <c r="H183" s="3297"/>
      <c r="I183" s="780"/>
      <c r="J183" s="3286" t="str">
        <f t="shared" si="16"/>
        <v>贷</v>
      </c>
      <c r="K183" s="689" t="s">
        <v>162</v>
      </c>
      <c r="L183" s="695" t="s">
        <v>162</v>
      </c>
      <c r="M183" s="695"/>
      <c r="N183" s="695"/>
      <c r="O183" s="196"/>
      <c r="P183" s="216">
        <v>806398.06</v>
      </c>
      <c r="Q183" s="3298" t="str">
        <f t="shared" si="6"/>
        <v>5400B</v>
      </c>
      <c r="R183" s="732" t="str">
        <f t="shared" si="7"/>
        <v>1</v>
      </c>
      <c r="S183" s="732"/>
      <c r="T183" s="732"/>
      <c r="U183" s="732"/>
      <c r="V183" s="732"/>
      <c r="W183" s="734"/>
      <c r="X183" s="732"/>
      <c r="Y183" s="732"/>
      <c r="Z183" s="732"/>
      <c r="AA183" s="2770"/>
      <c r="AB183" s="2770"/>
      <c r="AC183" s="2771">
        <f t="shared" si="8"/>
        <v>0</v>
      </c>
      <c r="AD183" s="2771">
        <f t="shared" si="9"/>
        <v>806398.06</v>
      </c>
      <c r="AE183" s="847" t="str">
        <f t="shared" si="10"/>
        <v>请选择分录类型！</v>
      </c>
      <c r="AF183" s="641"/>
    </row>
    <row r="184" spans="1:32" ht="18">
      <c r="A184" s="2750"/>
      <c r="B184" s="2777" t="str">
        <f t="shared" si="0"/>
        <v>J6672</v>
      </c>
      <c r="C184" s="2747">
        <f t="shared" si="1"/>
        <v>6672</v>
      </c>
      <c r="D184" s="2747" t="str">
        <f t="shared" si="17"/>
        <v>将无法收回预付款项调整至其他应收款并全额计提坏账</v>
      </c>
      <c r="E184" s="2747" t="str">
        <f t="shared" si="18"/>
        <v>32</v>
      </c>
      <c r="F184" s="2747">
        <f t="shared" si="19"/>
        <v>32.176000000000002</v>
      </c>
      <c r="G184" s="2757" t="str">
        <f t="shared" si="5"/>
        <v>本期</v>
      </c>
      <c r="H184" s="3297"/>
      <c r="I184" s="780"/>
      <c r="J184" s="3286" t="str">
        <f t="shared" si="16"/>
        <v>借</v>
      </c>
      <c r="K184" s="689" t="s">
        <v>701</v>
      </c>
      <c r="L184" s="695" t="s">
        <v>242</v>
      </c>
      <c r="M184" s="695"/>
      <c r="N184" s="695"/>
      <c r="O184" s="196">
        <v>806398.06</v>
      </c>
      <c r="P184" s="216"/>
      <c r="Q184" s="3298" t="str">
        <f t="shared" si="6"/>
        <v>7410E</v>
      </c>
      <c r="R184" s="732" t="str">
        <f t="shared" si="7"/>
        <v>6</v>
      </c>
      <c r="S184" s="732"/>
      <c r="T184" s="732"/>
      <c r="U184" s="732"/>
      <c r="V184" s="732"/>
      <c r="W184" s="734"/>
      <c r="X184" s="732"/>
      <c r="Y184" s="732"/>
      <c r="Z184" s="732"/>
      <c r="AA184" s="2770"/>
      <c r="AB184" s="2770"/>
      <c r="AC184" s="2771">
        <f t="shared" si="8"/>
        <v>806398.06</v>
      </c>
      <c r="AD184" s="2771">
        <f t="shared" si="9"/>
        <v>0</v>
      </c>
      <c r="AE184" s="847" t="str">
        <f t="shared" si="10"/>
        <v>请选择分录类型！</v>
      </c>
      <c r="AF184" s="641"/>
    </row>
    <row r="185" spans="1:32" ht="18">
      <c r="A185" s="2750"/>
      <c r="B185" s="2777" t="str">
        <f t="shared" si="0"/>
        <v>J1221.1231</v>
      </c>
      <c r="C185" s="2747">
        <f t="shared" si="1"/>
        <v>1221.1231</v>
      </c>
      <c r="D185" s="2747" t="str">
        <f t="shared" si="17"/>
        <v>将无法收回预付款项调整至其他应收款并全额计提坏账</v>
      </c>
      <c r="E185" s="2747" t="str">
        <f t="shared" si="18"/>
        <v>32</v>
      </c>
      <c r="F185" s="2747">
        <f t="shared" si="19"/>
        <v>32.177</v>
      </c>
      <c r="G185" s="2757" t="str">
        <f t="shared" si="5"/>
        <v>本期</v>
      </c>
      <c r="H185" s="3297"/>
      <c r="I185" s="780"/>
      <c r="J185" s="3286" t="str">
        <f t="shared" si="16"/>
        <v>贷</v>
      </c>
      <c r="K185" s="689" t="s">
        <v>242</v>
      </c>
      <c r="L185" s="695"/>
      <c r="M185" s="695"/>
      <c r="N185" s="695"/>
      <c r="O185" s="196"/>
      <c r="P185" s="216">
        <v>806398.06</v>
      </c>
      <c r="Q185" s="3298" t="str">
        <f t="shared" si="6"/>
        <v>5200D</v>
      </c>
      <c r="R185" s="732" t="str">
        <f t="shared" si="7"/>
        <v>1</v>
      </c>
      <c r="S185" s="732"/>
      <c r="T185" s="732"/>
      <c r="U185" s="732"/>
      <c r="V185" s="732"/>
      <c r="W185" s="734"/>
      <c r="X185" s="732"/>
      <c r="Y185" s="732"/>
      <c r="Z185" s="732"/>
      <c r="AA185" s="2770"/>
      <c r="AB185" s="2770"/>
      <c r="AC185" s="2771">
        <f t="shared" si="8"/>
        <v>0</v>
      </c>
      <c r="AD185" s="2771">
        <f t="shared" si="9"/>
        <v>806398.06</v>
      </c>
      <c r="AE185" s="847" t="str">
        <f t="shared" si="10"/>
        <v>请选择分录类型！</v>
      </c>
      <c r="AF185" s="641"/>
    </row>
    <row r="186" spans="1:32" ht="18">
      <c r="A186" s="2750"/>
      <c r="B186" s="2777" t="str">
        <f t="shared" si="0"/>
        <v/>
      </c>
      <c r="C186" s="2747" t="str">
        <f t="shared" si="1"/>
        <v/>
      </c>
      <c r="D186" s="2747" t="str">
        <f t="shared" si="17"/>
        <v/>
      </c>
      <c r="E186" s="2747" t="str">
        <f t="shared" si="18"/>
        <v/>
      </c>
      <c r="F186" s="2747">
        <f t="shared" si="19"/>
        <v>32.177999999999997</v>
      </c>
      <c r="G186" s="2757" t="str">
        <f t="shared" si="5"/>
        <v/>
      </c>
      <c r="H186" s="3297"/>
      <c r="I186" s="780"/>
      <c r="J186" s="3286" t="str">
        <f t="shared" si="16"/>
        <v/>
      </c>
      <c r="K186" s="689"/>
      <c r="L186" s="695"/>
      <c r="M186" s="695"/>
      <c r="N186" s="695"/>
      <c r="O186" s="196"/>
      <c r="P186" s="216"/>
      <c r="Q186" s="3298" t="str">
        <f t="shared" si="6"/>
        <v/>
      </c>
      <c r="R186" s="732" t="str">
        <f t="shared" si="7"/>
        <v/>
      </c>
      <c r="S186" s="732"/>
      <c r="T186" s="732"/>
      <c r="U186" s="732"/>
      <c r="V186" s="732"/>
      <c r="W186" s="734"/>
      <c r="X186" s="732"/>
      <c r="Y186" s="732"/>
      <c r="Z186" s="732"/>
      <c r="AA186" s="2770"/>
      <c r="AB186" s="2770"/>
      <c r="AC186" s="2771">
        <f t="shared" si="8"/>
        <v>0</v>
      </c>
      <c r="AD186" s="2771">
        <f t="shared" si="9"/>
        <v>0</v>
      </c>
      <c r="AE186" s="847" t="str">
        <f t="shared" si="10"/>
        <v/>
      </c>
      <c r="AF186" s="641"/>
    </row>
    <row r="187" spans="1:32" ht="18">
      <c r="A187" s="2750"/>
      <c r="B187" s="2777" t="str">
        <f t="shared" si="0"/>
        <v/>
      </c>
      <c r="C187" s="2747" t="str">
        <f t="shared" si="1"/>
        <v/>
      </c>
      <c r="D187" s="2747" t="str">
        <f t="shared" si="17"/>
        <v>制造费用跨期调整</v>
      </c>
      <c r="E187" s="2747" t="str">
        <f t="shared" si="18"/>
        <v>33</v>
      </c>
      <c r="F187" s="2747">
        <f t="shared" si="19"/>
        <v>33.179000000000002</v>
      </c>
      <c r="G187" s="2757" t="str">
        <f t="shared" si="5"/>
        <v>本期</v>
      </c>
      <c r="H187" s="3297"/>
      <c r="I187" s="780">
        <v>33</v>
      </c>
      <c r="J187" s="3286" t="s">
        <v>7816</v>
      </c>
      <c r="K187" s="689"/>
      <c r="L187" s="695"/>
      <c r="M187" s="695"/>
      <c r="N187" s="695"/>
      <c r="O187" s="196"/>
      <c r="P187" s="216"/>
      <c r="Q187" s="3298" t="str">
        <f t="shared" si="6"/>
        <v/>
      </c>
      <c r="R187" s="732" t="str">
        <f t="shared" si="7"/>
        <v/>
      </c>
      <c r="S187" s="732"/>
      <c r="T187" s="732"/>
      <c r="U187" s="732"/>
      <c r="V187" s="732"/>
      <c r="W187" s="734"/>
      <c r="X187" s="732"/>
      <c r="Y187" s="732"/>
      <c r="Z187" s="732"/>
      <c r="AA187" s="2770"/>
      <c r="AB187" s="2770"/>
      <c r="AC187" s="2771">
        <f t="shared" si="8"/>
        <v>0</v>
      </c>
      <c r="AD187" s="2771">
        <f t="shared" si="9"/>
        <v>0</v>
      </c>
      <c r="AE187" s="847" t="str">
        <f t="shared" si="10"/>
        <v>请选择分录类型！</v>
      </c>
      <c r="AF187" s="641"/>
    </row>
    <row r="188" spans="1:32" ht="18">
      <c r="A188" s="2750"/>
      <c r="B188" s="2777" t="str">
        <f t="shared" si="0"/>
        <v>J6401</v>
      </c>
      <c r="C188" s="2747">
        <f t="shared" si="1"/>
        <v>6401</v>
      </c>
      <c r="D188" s="2747" t="str">
        <f t="shared" si="17"/>
        <v>制造费用跨期调整</v>
      </c>
      <c r="E188" s="2747" t="str">
        <f t="shared" si="18"/>
        <v>33</v>
      </c>
      <c r="F188" s="2747">
        <f t="shared" si="19"/>
        <v>33.18</v>
      </c>
      <c r="G188" s="2757" t="str">
        <f t="shared" si="5"/>
        <v>本期</v>
      </c>
      <c r="H188" s="3297"/>
      <c r="I188" s="780"/>
      <c r="J188" s="3286" t="str">
        <f t="shared" si="16"/>
        <v>借</v>
      </c>
      <c r="K188" s="689" t="s">
        <v>671</v>
      </c>
      <c r="L188" s="695" t="s">
        <v>369</v>
      </c>
      <c r="M188" s="695"/>
      <c r="N188" s="695"/>
      <c r="O188" s="196">
        <v>140669.29999999999</v>
      </c>
      <c r="P188" s="216"/>
      <c r="Q188" s="3298" t="str">
        <f t="shared" si="6"/>
        <v>7100A</v>
      </c>
      <c r="R188" s="732" t="str">
        <f t="shared" si="7"/>
        <v>6</v>
      </c>
      <c r="S188" s="732"/>
      <c r="T188" s="732"/>
      <c r="U188" s="732"/>
      <c r="V188" s="732"/>
      <c r="W188" s="734"/>
      <c r="X188" s="732"/>
      <c r="Y188" s="732"/>
      <c r="Z188" s="732"/>
      <c r="AA188" s="2770"/>
      <c r="AB188" s="2770"/>
      <c r="AC188" s="2771">
        <f t="shared" si="8"/>
        <v>140669.29999999999</v>
      </c>
      <c r="AD188" s="2771">
        <f t="shared" si="9"/>
        <v>0</v>
      </c>
      <c r="AE188" s="847" t="str">
        <f t="shared" si="10"/>
        <v>请选择分录类型！</v>
      </c>
      <c r="AF188" s="641"/>
    </row>
    <row r="189" spans="1:32" ht="18">
      <c r="A189" s="2750"/>
      <c r="B189" s="2777" t="str">
        <f t="shared" si="0"/>
        <v>J2202</v>
      </c>
      <c r="C189" s="2747">
        <f t="shared" si="1"/>
        <v>2202</v>
      </c>
      <c r="D189" s="2747" t="str">
        <f t="shared" si="17"/>
        <v>制造费用跨期调整</v>
      </c>
      <c r="E189" s="2747" t="str">
        <f t="shared" si="18"/>
        <v>33</v>
      </c>
      <c r="F189" s="2747">
        <f t="shared" si="19"/>
        <v>33.180999999999997</v>
      </c>
      <c r="G189" s="2757" t="str">
        <f t="shared" si="5"/>
        <v>本期</v>
      </c>
      <c r="H189" s="3297"/>
      <c r="I189" s="780"/>
      <c r="J189" s="3286" t="str">
        <f t="shared" si="16"/>
        <v>贷</v>
      </c>
      <c r="K189" s="689" t="s">
        <v>476</v>
      </c>
      <c r="L189" s="695"/>
      <c r="M189" s="695"/>
      <c r="N189" s="695"/>
      <c r="O189" s="196"/>
      <c r="P189" s="216">
        <v>140669.29999999999</v>
      </c>
      <c r="Q189" s="3298" t="str">
        <f t="shared" si="6"/>
        <v>6100A</v>
      </c>
      <c r="R189" s="732" t="str">
        <f t="shared" si="7"/>
        <v>2</v>
      </c>
      <c r="S189" s="732"/>
      <c r="T189" s="732"/>
      <c r="U189" s="732"/>
      <c r="V189" s="732"/>
      <c r="W189" s="734"/>
      <c r="X189" s="732"/>
      <c r="Y189" s="732"/>
      <c r="Z189" s="732"/>
      <c r="AA189" s="2770"/>
      <c r="AB189" s="2770"/>
      <c r="AC189" s="2771">
        <f t="shared" si="8"/>
        <v>0</v>
      </c>
      <c r="AD189" s="2771">
        <f t="shared" si="9"/>
        <v>140669.29999999999</v>
      </c>
      <c r="AE189" s="847" t="str">
        <f t="shared" si="10"/>
        <v>请选择分录类型！</v>
      </c>
      <c r="AF189" s="641"/>
    </row>
    <row r="190" spans="1:32" ht="18">
      <c r="A190" s="2750"/>
      <c r="B190" s="2777" t="str">
        <f t="shared" si="0"/>
        <v/>
      </c>
      <c r="C190" s="2747" t="str">
        <f t="shared" si="1"/>
        <v/>
      </c>
      <c r="D190" s="2747" t="str">
        <f t="shared" si="17"/>
        <v/>
      </c>
      <c r="E190" s="2747" t="str">
        <f t="shared" si="18"/>
        <v/>
      </c>
      <c r="F190" s="2747">
        <f t="shared" si="19"/>
        <v>33.182000000000002</v>
      </c>
      <c r="G190" s="2757" t="str">
        <f t="shared" si="5"/>
        <v/>
      </c>
      <c r="H190" s="3297"/>
      <c r="I190" s="780"/>
      <c r="J190" s="3286" t="str">
        <f t="shared" si="16"/>
        <v/>
      </c>
      <c r="K190" s="689"/>
      <c r="L190" s="695"/>
      <c r="M190" s="695"/>
      <c r="N190" s="695"/>
      <c r="O190" s="196"/>
      <c r="P190" s="216"/>
      <c r="Q190" s="3298" t="str">
        <f t="shared" si="6"/>
        <v/>
      </c>
      <c r="R190" s="732" t="str">
        <f t="shared" si="7"/>
        <v/>
      </c>
      <c r="S190" s="732"/>
      <c r="T190" s="732"/>
      <c r="U190" s="732"/>
      <c r="V190" s="732"/>
      <c r="W190" s="734"/>
      <c r="X190" s="732"/>
      <c r="Y190" s="732"/>
      <c r="Z190" s="732"/>
      <c r="AA190" s="2770"/>
      <c r="AB190" s="2770"/>
      <c r="AC190" s="2771">
        <f t="shared" si="8"/>
        <v>0</v>
      </c>
      <c r="AD190" s="2771">
        <f t="shared" si="9"/>
        <v>0</v>
      </c>
      <c r="AE190" s="847" t="str">
        <f t="shared" si="10"/>
        <v/>
      </c>
      <c r="AF190" s="641"/>
    </row>
    <row r="191" spans="1:32" ht="18">
      <c r="A191" s="2750"/>
      <c r="B191" s="2777" t="str">
        <f t="shared" si="0"/>
        <v/>
      </c>
      <c r="C191" s="2747" t="str">
        <f t="shared" si="1"/>
        <v/>
      </c>
      <c r="D191" s="2747" t="str">
        <f t="shared" si="17"/>
        <v>光大银行保证金结息未入账，导致对账单和账面余额不一致，现调整，分录如下：</v>
      </c>
      <c r="E191" s="2747" t="str">
        <f t="shared" si="18"/>
        <v>34</v>
      </c>
      <c r="F191" s="2747">
        <f t="shared" si="19"/>
        <v>34.183</v>
      </c>
      <c r="G191" s="2757" t="str">
        <f t="shared" si="5"/>
        <v>本期</v>
      </c>
      <c r="H191" s="3297"/>
      <c r="I191" s="780">
        <v>34</v>
      </c>
      <c r="J191" s="3290" t="s">
        <v>7818</v>
      </c>
      <c r="K191" s="689"/>
      <c r="L191" s="695"/>
      <c r="M191" s="695"/>
      <c r="N191" s="695"/>
      <c r="O191" s="196"/>
      <c r="P191" s="216"/>
      <c r="Q191" s="3298" t="str">
        <f t="shared" si="6"/>
        <v/>
      </c>
      <c r="R191" s="732" t="str">
        <f t="shared" si="7"/>
        <v/>
      </c>
      <c r="S191" s="732"/>
      <c r="T191" s="732"/>
      <c r="U191" s="732"/>
      <c r="V191" s="732"/>
      <c r="W191" s="734"/>
      <c r="X191" s="732"/>
      <c r="Y191" s="732"/>
      <c r="Z191" s="732"/>
      <c r="AA191" s="2770"/>
      <c r="AB191" s="2770"/>
      <c r="AC191" s="2771">
        <f t="shared" si="8"/>
        <v>0</v>
      </c>
      <c r="AD191" s="2771">
        <f t="shared" si="9"/>
        <v>0</v>
      </c>
      <c r="AE191" s="847" t="str">
        <f t="shared" si="10"/>
        <v>请选择分录类型！</v>
      </c>
      <c r="AF191" s="641"/>
    </row>
    <row r="192" spans="1:32" ht="18">
      <c r="A192" s="2750"/>
      <c r="B192" s="2777" t="str">
        <f t="shared" si="0"/>
        <v>J1015.1012</v>
      </c>
      <c r="C192" s="2747">
        <f t="shared" si="1"/>
        <v>1015.1011999999999</v>
      </c>
      <c r="D192" s="2747" t="str">
        <f t="shared" si="17"/>
        <v>光大银行保证金结息未入账，导致对账单和账面余额不一致，现调整，分录如下：</v>
      </c>
      <c r="E192" s="2747" t="str">
        <f t="shared" si="18"/>
        <v>34</v>
      </c>
      <c r="F192" s="2747">
        <f t="shared" si="19"/>
        <v>34.183999999999997</v>
      </c>
      <c r="G192" s="2757" t="str">
        <f t="shared" si="5"/>
        <v>本期</v>
      </c>
      <c r="H192" s="3297"/>
      <c r="I192" s="780"/>
      <c r="J192" s="3286" t="str">
        <f t="shared" si="16"/>
        <v>借</v>
      </c>
      <c r="K192" s="689" t="s">
        <v>85</v>
      </c>
      <c r="L192" s="695" t="s">
        <v>7817</v>
      </c>
      <c r="M192" s="695"/>
      <c r="N192" s="695"/>
      <c r="O192" s="196">
        <v>2482.17</v>
      </c>
      <c r="P192" s="216"/>
      <c r="Q192" s="3298" t="str">
        <f t="shared" si="6"/>
        <v>5000A</v>
      </c>
      <c r="R192" s="732" t="str">
        <f t="shared" si="7"/>
        <v>1</v>
      </c>
      <c r="S192" s="732"/>
      <c r="T192" s="732"/>
      <c r="U192" s="732"/>
      <c r="V192" s="732"/>
      <c r="W192" s="734"/>
      <c r="X192" s="732"/>
      <c r="Y192" s="732"/>
      <c r="Z192" s="732"/>
      <c r="AA192" s="2770"/>
      <c r="AB192" s="2770"/>
      <c r="AC192" s="2771">
        <f t="shared" si="8"/>
        <v>2482.17</v>
      </c>
      <c r="AD192" s="2771">
        <f t="shared" si="9"/>
        <v>0</v>
      </c>
      <c r="AE192" s="847" t="str">
        <f t="shared" si="10"/>
        <v>请选择分录类型！</v>
      </c>
      <c r="AF192" s="641"/>
    </row>
    <row r="193" spans="1:32" ht="18">
      <c r="A193" s="2750"/>
      <c r="B193" s="2777" t="str">
        <f t="shared" si="0"/>
        <v>J6603</v>
      </c>
      <c r="C193" s="2747">
        <f t="shared" si="1"/>
        <v>6603</v>
      </c>
      <c r="D193" s="2747" t="str">
        <f t="shared" si="17"/>
        <v>光大银行保证金结息未入账，导致对账单和账面余额不一致，现调整，分录如下：</v>
      </c>
      <c r="E193" s="2747" t="str">
        <f t="shared" si="18"/>
        <v>34</v>
      </c>
      <c r="F193" s="2747">
        <f t="shared" si="19"/>
        <v>34.185000000000002</v>
      </c>
      <c r="G193" s="2757" t="str">
        <f t="shared" si="5"/>
        <v>本期</v>
      </c>
      <c r="H193" s="3297"/>
      <c r="I193" s="780"/>
      <c r="J193" s="3286" t="str">
        <f t="shared" si="16"/>
        <v>借</v>
      </c>
      <c r="K193" s="689" t="s">
        <v>689</v>
      </c>
      <c r="L193" s="695" t="s">
        <v>746</v>
      </c>
      <c r="M193" s="695"/>
      <c r="N193" s="695"/>
      <c r="O193" s="196">
        <v>-2482.17</v>
      </c>
      <c r="P193" s="216"/>
      <c r="Q193" s="3298" t="str">
        <f t="shared" si="6"/>
        <v>7420B</v>
      </c>
      <c r="R193" s="732" t="str">
        <f t="shared" si="7"/>
        <v>6</v>
      </c>
      <c r="S193" s="732"/>
      <c r="T193" s="732"/>
      <c r="U193" s="732"/>
      <c r="V193" s="732"/>
      <c r="W193" s="734"/>
      <c r="X193" s="732"/>
      <c r="Y193" s="732"/>
      <c r="Z193" s="732"/>
      <c r="AA193" s="2770"/>
      <c r="AB193" s="2770"/>
      <c r="AC193" s="2771">
        <f t="shared" si="8"/>
        <v>0</v>
      </c>
      <c r="AD193" s="2771">
        <f t="shared" si="9"/>
        <v>2482.17</v>
      </c>
      <c r="AE193" s="847" t="str">
        <f t="shared" si="10"/>
        <v>请选择分录类型！</v>
      </c>
      <c r="AF193" s="641"/>
    </row>
    <row r="194" spans="1:32" ht="18">
      <c r="A194" s="2750"/>
      <c r="B194" s="2777" t="str">
        <f t="shared" si="0"/>
        <v/>
      </c>
      <c r="C194" s="2747" t="str">
        <f t="shared" si="1"/>
        <v/>
      </c>
      <c r="D194" s="2747" t="str">
        <f t="shared" si="17"/>
        <v/>
      </c>
      <c r="E194" s="2747" t="str">
        <f t="shared" si="18"/>
        <v/>
      </c>
      <c r="F194" s="2747">
        <f t="shared" si="19"/>
        <v>34.186</v>
      </c>
      <c r="G194" s="2757" t="str">
        <f t="shared" si="5"/>
        <v/>
      </c>
      <c r="H194" s="3297"/>
      <c r="I194" s="780"/>
      <c r="J194" s="3286" t="str">
        <f t="shared" si="16"/>
        <v/>
      </c>
      <c r="K194" s="689"/>
      <c r="L194" s="695"/>
      <c r="M194" s="695"/>
      <c r="N194" s="695"/>
      <c r="O194" s="196"/>
      <c r="P194" s="216"/>
      <c r="Q194" s="3298" t="str">
        <f t="shared" si="6"/>
        <v/>
      </c>
      <c r="R194" s="732" t="str">
        <f t="shared" si="7"/>
        <v/>
      </c>
      <c r="S194" s="732"/>
      <c r="T194" s="732"/>
      <c r="U194" s="732"/>
      <c r="V194" s="732"/>
      <c r="W194" s="734"/>
      <c r="X194" s="732"/>
      <c r="Y194" s="732"/>
      <c r="Z194" s="732"/>
      <c r="AA194" s="2770"/>
      <c r="AB194" s="2770"/>
      <c r="AC194" s="2771">
        <f t="shared" si="8"/>
        <v>0</v>
      </c>
      <c r="AD194" s="2771">
        <f t="shared" si="9"/>
        <v>0</v>
      </c>
      <c r="AE194" s="847" t="str">
        <f t="shared" si="10"/>
        <v/>
      </c>
      <c r="AF194" s="641"/>
    </row>
    <row r="195" spans="1:32" ht="18">
      <c r="A195" s="2750"/>
      <c r="B195" s="2777" t="str">
        <f t="shared" si="0"/>
        <v/>
      </c>
      <c r="C195" s="2747" t="str">
        <f t="shared" si="1"/>
        <v/>
      </c>
      <c r="D195" s="2747" t="str">
        <f t="shared" si="17"/>
        <v>收到的临盘街道办退还的土地拆迁补偿款，不应冲减在建工程。应调整至资产处置收益，调整分录如下：</v>
      </c>
      <c r="E195" s="2747" t="str">
        <f t="shared" si="18"/>
        <v>35</v>
      </c>
      <c r="F195" s="2747">
        <f t="shared" si="19"/>
        <v>35.186999999999998</v>
      </c>
      <c r="G195" s="2757" t="str">
        <f t="shared" si="5"/>
        <v>本期</v>
      </c>
      <c r="H195" s="3297"/>
      <c r="I195" s="780">
        <v>35</v>
      </c>
      <c r="J195" s="3286" t="s">
        <v>7819</v>
      </c>
      <c r="K195" s="689"/>
      <c r="L195" s="695"/>
      <c r="M195" s="695"/>
      <c r="N195" s="695"/>
      <c r="O195" s="196"/>
      <c r="P195" s="216"/>
      <c r="Q195" s="3298" t="str">
        <f t="shared" si="6"/>
        <v/>
      </c>
      <c r="R195" s="732" t="str">
        <f t="shared" si="7"/>
        <v/>
      </c>
      <c r="S195" s="732"/>
      <c r="T195" s="732"/>
      <c r="U195" s="732"/>
      <c r="V195" s="732"/>
      <c r="W195" s="734"/>
      <c r="X195" s="732"/>
      <c r="Y195" s="732"/>
      <c r="Z195" s="732"/>
      <c r="AA195" s="2770"/>
      <c r="AB195" s="2770"/>
      <c r="AC195" s="2771">
        <f t="shared" si="8"/>
        <v>0</v>
      </c>
      <c r="AD195" s="2771">
        <f t="shared" si="9"/>
        <v>0</v>
      </c>
      <c r="AE195" s="847" t="str">
        <f t="shared" si="10"/>
        <v>请选择分录类型！</v>
      </c>
      <c r="AF195" s="641"/>
    </row>
    <row r="196" spans="1:32" ht="18">
      <c r="A196" s="2750"/>
      <c r="B196" s="2777" t="str">
        <f t="shared" si="0"/>
        <v>J6171</v>
      </c>
      <c r="C196" s="2747">
        <f t="shared" si="1"/>
        <v>6171</v>
      </c>
      <c r="D196" s="2747" t="str">
        <f t="shared" si="17"/>
        <v>收到的临盘街道办退还的土地拆迁补偿款，不应冲减在建工程。应调整至资产处置收益，调整分录如下：</v>
      </c>
      <c r="E196" s="2747" t="str">
        <f t="shared" si="18"/>
        <v>35</v>
      </c>
      <c r="F196" s="2747">
        <f t="shared" si="19"/>
        <v>35.188000000000002</v>
      </c>
      <c r="G196" s="2757" t="str">
        <f t="shared" si="5"/>
        <v>本期</v>
      </c>
      <c r="H196" s="3297"/>
      <c r="I196" s="780"/>
      <c r="J196" s="3286" t="str">
        <f t="shared" si="16"/>
        <v>贷</v>
      </c>
      <c r="K196" s="689" t="s">
        <v>660</v>
      </c>
      <c r="L196" s="695"/>
      <c r="M196" s="695"/>
      <c r="N196" s="695"/>
      <c r="O196" s="196"/>
      <c r="P196" s="216">
        <v>3000000</v>
      </c>
      <c r="Q196" s="3298" t="str">
        <f t="shared" si="6"/>
        <v>7410G</v>
      </c>
      <c r="R196" s="732" t="str">
        <f t="shared" si="7"/>
        <v>6</v>
      </c>
      <c r="S196" s="732"/>
      <c r="T196" s="732"/>
      <c r="U196" s="732"/>
      <c r="V196" s="732"/>
      <c r="W196" s="734"/>
      <c r="X196" s="732"/>
      <c r="Y196" s="732"/>
      <c r="Z196" s="732"/>
      <c r="AA196" s="2770"/>
      <c r="AB196" s="2770"/>
      <c r="AC196" s="2771">
        <f t="shared" si="8"/>
        <v>0</v>
      </c>
      <c r="AD196" s="2771">
        <f t="shared" si="9"/>
        <v>3000000</v>
      </c>
      <c r="AE196" s="847" t="str">
        <f t="shared" si="10"/>
        <v>请选择分录类型！</v>
      </c>
      <c r="AF196" s="641"/>
    </row>
    <row r="197" spans="1:32" ht="18">
      <c r="A197" s="2750"/>
      <c r="B197" s="2777" t="str">
        <f t="shared" si="0"/>
        <v>J1604</v>
      </c>
      <c r="C197" s="2747">
        <f t="shared" si="1"/>
        <v>1604</v>
      </c>
      <c r="D197" s="2747" t="str">
        <f t="shared" si="17"/>
        <v>收到的临盘街道办退还的土地拆迁补偿款，不应冲减在建工程。应调整至资产处置收益，调整分录如下：</v>
      </c>
      <c r="E197" s="2747" t="str">
        <f t="shared" si="18"/>
        <v>35</v>
      </c>
      <c r="F197" s="2747">
        <f t="shared" si="19"/>
        <v>35.189</v>
      </c>
      <c r="G197" s="2757" t="str">
        <f t="shared" si="5"/>
        <v>本期</v>
      </c>
      <c r="H197" s="3297"/>
      <c r="I197" s="780"/>
      <c r="J197" s="3286" t="str">
        <f t="shared" si="16"/>
        <v>贷</v>
      </c>
      <c r="K197" s="689" t="s">
        <v>344</v>
      </c>
      <c r="L197" s="695"/>
      <c r="M197" s="695"/>
      <c r="N197" s="695"/>
      <c r="O197" s="196"/>
      <c r="P197" s="216">
        <v>-3000000</v>
      </c>
      <c r="Q197" s="3298" t="str">
        <f t="shared" si="6"/>
        <v>5500C</v>
      </c>
      <c r="R197" s="732" t="str">
        <f t="shared" si="7"/>
        <v>1</v>
      </c>
      <c r="S197" s="732"/>
      <c r="T197" s="732"/>
      <c r="U197" s="732"/>
      <c r="V197" s="732"/>
      <c r="W197" s="734"/>
      <c r="X197" s="732"/>
      <c r="Y197" s="732"/>
      <c r="Z197" s="732"/>
      <c r="AA197" s="2770"/>
      <c r="AB197" s="2770"/>
      <c r="AC197" s="2771">
        <f t="shared" si="8"/>
        <v>3000000</v>
      </c>
      <c r="AD197" s="2771">
        <f t="shared" si="9"/>
        <v>0</v>
      </c>
      <c r="AE197" s="847" t="str">
        <f t="shared" si="10"/>
        <v>请选择分录类型！</v>
      </c>
      <c r="AF197" s="641"/>
    </row>
    <row r="198" spans="1:32" ht="18">
      <c r="A198" s="2750"/>
      <c r="B198" s="2777" t="str">
        <f t="shared" si="0"/>
        <v/>
      </c>
      <c r="C198" s="2747" t="str">
        <f t="shared" si="1"/>
        <v/>
      </c>
      <c r="D198" s="2747" t="str">
        <f t="shared" si="17"/>
        <v/>
      </c>
      <c r="E198" s="2747" t="str">
        <f t="shared" si="18"/>
        <v/>
      </c>
      <c r="F198" s="2747">
        <f t="shared" si="19"/>
        <v>35.19</v>
      </c>
      <c r="G198" s="2757" t="str">
        <f t="shared" si="5"/>
        <v/>
      </c>
      <c r="H198" s="3297"/>
      <c r="I198" s="780"/>
      <c r="J198" s="3286" t="str">
        <f t="shared" si="16"/>
        <v/>
      </c>
      <c r="K198" s="689"/>
      <c r="L198" s="695"/>
      <c r="M198" s="695"/>
      <c r="N198" s="695"/>
      <c r="O198" s="196"/>
      <c r="P198" s="216"/>
      <c r="Q198" s="3298" t="str">
        <f t="shared" si="6"/>
        <v/>
      </c>
      <c r="R198" s="732" t="str">
        <f t="shared" si="7"/>
        <v/>
      </c>
      <c r="S198" s="732"/>
      <c r="T198" s="732"/>
      <c r="U198" s="732"/>
      <c r="V198" s="732"/>
      <c r="W198" s="734"/>
      <c r="X198" s="732"/>
      <c r="Y198" s="732"/>
      <c r="Z198" s="732"/>
      <c r="AA198" s="2770"/>
      <c r="AB198" s="2770"/>
      <c r="AC198" s="2771">
        <f t="shared" si="8"/>
        <v>0</v>
      </c>
      <c r="AD198" s="2771">
        <f t="shared" si="9"/>
        <v>0</v>
      </c>
      <c r="AE198" s="847" t="str">
        <f t="shared" si="10"/>
        <v/>
      </c>
      <c r="AF198" s="641"/>
    </row>
    <row r="199" spans="1:32" ht="18">
      <c r="A199" s="2750"/>
      <c r="B199" s="2777" t="str">
        <f t="shared" si="0"/>
        <v/>
      </c>
      <c r="C199" s="2747" t="str">
        <f t="shared" si="1"/>
        <v/>
      </c>
      <c r="D199" s="2747" t="str">
        <f t="shared" si="17"/>
        <v>2020年1月企业发放销售人员绩效奖261,550.00，但2019年12月并未计提。现补提绩效奖。</v>
      </c>
      <c r="E199" s="2747" t="str">
        <f t="shared" si="18"/>
        <v>36</v>
      </c>
      <c r="F199" s="2747">
        <f t="shared" si="19"/>
        <v>36.191000000000003</v>
      </c>
      <c r="G199" s="2757" t="str">
        <f t="shared" si="5"/>
        <v>本期</v>
      </c>
      <c r="H199" s="3297"/>
      <c r="I199" s="780">
        <v>36</v>
      </c>
      <c r="J199" s="3286" t="s">
        <v>7820</v>
      </c>
      <c r="K199" s="689"/>
      <c r="L199" s="695"/>
      <c r="M199" s="695"/>
      <c r="N199" s="695"/>
      <c r="O199" s="196"/>
      <c r="P199" s="216"/>
      <c r="Q199" s="3298" t="str">
        <f t="shared" si="6"/>
        <v/>
      </c>
      <c r="R199" s="732" t="str">
        <f t="shared" si="7"/>
        <v/>
      </c>
      <c r="S199" s="732"/>
      <c r="T199" s="732"/>
      <c r="U199" s="732"/>
      <c r="V199" s="732"/>
      <c r="W199" s="734"/>
      <c r="X199" s="732"/>
      <c r="Y199" s="732"/>
      <c r="Z199" s="732"/>
      <c r="AA199" s="2770"/>
      <c r="AB199" s="2770"/>
      <c r="AC199" s="2771">
        <f t="shared" si="8"/>
        <v>0</v>
      </c>
      <c r="AD199" s="2771">
        <f t="shared" si="9"/>
        <v>0</v>
      </c>
      <c r="AE199" s="847" t="str">
        <f t="shared" si="10"/>
        <v>请选择分录类型！</v>
      </c>
      <c r="AF199" s="641"/>
    </row>
    <row r="200" spans="1:32" ht="18">
      <c r="A200" s="2750"/>
      <c r="B200" s="2777" t="str">
        <f t="shared" si="0"/>
        <v>J6601</v>
      </c>
      <c r="C200" s="2747">
        <f t="shared" si="1"/>
        <v>6601</v>
      </c>
      <c r="D200" s="2747" t="str">
        <f t="shared" si="17"/>
        <v>2020年1月企业发放销售人员绩效奖261,550.00，但2019年12月并未计提。现补提绩效奖。</v>
      </c>
      <c r="E200" s="2747" t="str">
        <f t="shared" si="18"/>
        <v>36</v>
      </c>
      <c r="F200" s="2747">
        <f t="shared" si="19"/>
        <v>36.192</v>
      </c>
      <c r="G200" s="2757" t="str">
        <f t="shared" si="5"/>
        <v>本期</v>
      </c>
      <c r="H200" s="3297"/>
      <c r="I200" s="780"/>
      <c r="J200" s="3286" t="str">
        <f t="shared" si="16"/>
        <v>借</v>
      </c>
      <c r="K200" s="689" t="s">
        <v>680</v>
      </c>
      <c r="L200" s="695"/>
      <c r="M200" s="695"/>
      <c r="N200" s="695"/>
      <c r="O200" s="196">
        <v>261550</v>
      </c>
      <c r="P200" s="216"/>
      <c r="Q200" s="3298" t="str">
        <f t="shared" si="6"/>
        <v>7200C</v>
      </c>
      <c r="R200" s="732" t="str">
        <f t="shared" si="7"/>
        <v>6</v>
      </c>
      <c r="S200" s="732"/>
      <c r="T200" s="732"/>
      <c r="U200" s="732"/>
      <c r="V200" s="732"/>
      <c r="W200" s="734"/>
      <c r="X200" s="732"/>
      <c r="Y200" s="732"/>
      <c r="Z200" s="732"/>
      <c r="AA200" s="2770"/>
      <c r="AB200" s="2770"/>
      <c r="AC200" s="2771">
        <f t="shared" si="8"/>
        <v>261550</v>
      </c>
      <c r="AD200" s="2771">
        <f t="shared" si="9"/>
        <v>0</v>
      </c>
      <c r="AE200" s="847" t="str">
        <f t="shared" si="10"/>
        <v>请选择分录类型！</v>
      </c>
      <c r="AF200" s="641"/>
    </row>
    <row r="201" spans="1:32" ht="18">
      <c r="A201" s="2750"/>
      <c r="B201" s="2777" t="str">
        <f t="shared" si="0"/>
        <v>J2211</v>
      </c>
      <c r="C201" s="2747">
        <f t="shared" si="1"/>
        <v>2211</v>
      </c>
      <c r="D201" s="2747" t="str">
        <f t="shared" ref="D201:D235" si="20">IF($O201&amp;$P201&lt;&gt;"",cellAbove,INDEX($J:$J,ROW()))&amp;""</f>
        <v>2020年1月企业发放销售人员绩效奖261,550.00，但2019年12月并未计提。现补提绩效奖。</v>
      </c>
      <c r="E201" s="2747" t="str">
        <f t="shared" ref="E201:E235" si="21">IF($O201&amp;$P201&lt;&gt;"",cellAbove,INDEX($I:$I,ROW()))&amp;""</f>
        <v>36</v>
      </c>
      <c r="F201" s="2747">
        <f t="shared" si="19"/>
        <v>36.192999999999998</v>
      </c>
      <c r="G201" s="2757" t="str">
        <f t="shared" si="5"/>
        <v>本期</v>
      </c>
      <c r="H201" s="3297"/>
      <c r="I201" s="780"/>
      <c r="J201" s="3286" t="str">
        <f t="shared" si="16"/>
        <v>贷</v>
      </c>
      <c r="K201" s="689" t="s">
        <v>489</v>
      </c>
      <c r="L201" s="695"/>
      <c r="M201" s="695"/>
      <c r="N201" s="695"/>
      <c r="O201" s="196"/>
      <c r="P201" s="216">
        <v>261550</v>
      </c>
      <c r="Q201" s="3298" t="str">
        <f t="shared" si="6"/>
        <v>6200B</v>
      </c>
      <c r="R201" s="732" t="str">
        <f t="shared" si="7"/>
        <v>2</v>
      </c>
      <c r="S201" s="732"/>
      <c r="T201" s="732"/>
      <c r="U201" s="732"/>
      <c r="V201" s="732"/>
      <c r="W201" s="734"/>
      <c r="X201" s="732"/>
      <c r="Y201" s="732"/>
      <c r="Z201" s="732"/>
      <c r="AA201" s="2770"/>
      <c r="AB201" s="2770"/>
      <c r="AC201" s="2771">
        <f t="shared" si="8"/>
        <v>0</v>
      </c>
      <c r="AD201" s="2771">
        <f t="shared" si="9"/>
        <v>261550</v>
      </c>
      <c r="AE201" s="847" t="str">
        <f t="shared" si="10"/>
        <v>请选择分录类型！</v>
      </c>
      <c r="AF201" s="641"/>
    </row>
    <row r="202" spans="1:32" ht="18">
      <c r="A202" s="2750"/>
      <c r="B202" s="2777" t="str">
        <f t="shared" si="0"/>
        <v/>
      </c>
      <c r="C202" s="2747" t="str">
        <f t="shared" si="1"/>
        <v/>
      </c>
      <c r="D202" s="2747" t="str">
        <f t="shared" si="20"/>
        <v/>
      </c>
      <c r="E202" s="2747" t="str">
        <f t="shared" si="21"/>
        <v/>
      </c>
      <c r="F202" s="2747">
        <f t="shared" si="19"/>
        <v>36.194000000000003</v>
      </c>
      <c r="G202" s="2757" t="str">
        <f t="shared" si="5"/>
        <v/>
      </c>
      <c r="H202" s="3297"/>
      <c r="I202" s="780"/>
      <c r="J202" s="3286" t="str">
        <f t="shared" si="16"/>
        <v/>
      </c>
      <c r="K202" s="689"/>
      <c r="L202" s="695"/>
      <c r="M202" s="695"/>
      <c r="N202" s="695"/>
      <c r="O202" s="196"/>
      <c r="P202" s="216"/>
      <c r="Q202" s="3298" t="str">
        <f t="shared" si="6"/>
        <v/>
      </c>
      <c r="R202" s="732" t="str">
        <f t="shared" si="7"/>
        <v/>
      </c>
      <c r="S202" s="732"/>
      <c r="T202" s="732"/>
      <c r="U202" s="732"/>
      <c r="V202" s="732"/>
      <c r="W202" s="734"/>
      <c r="X202" s="732"/>
      <c r="Y202" s="732"/>
      <c r="Z202" s="732"/>
      <c r="AA202" s="2770"/>
      <c r="AB202" s="2770"/>
      <c r="AC202" s="2771">
        <f t="shared" si="8"/>
        <v>0</v>
      </c>
      <c r="AD202" s="2771">
        <f t="shared" si="9"/>
        <v>0</v>
      </c>
      <c r="AE202" s="847" t="str">
        <f t="shared" si="10"/>
        <v/>
      </c>
      <c r="AF202" s="641"/>
    </row>
    <row r="203" spans="1:32" ht="18">
      <c r="A203" s="2750"/>
      <c r="B203" s="2777" t="str">
        <f t="shared" si="0"/>
        <v/>
      </c>
      <c r="C203" s="2747" t="str">
        <f t="shared" si="1"/>
        <v/>
      </c>
      <c r="D203" s="2747" t="str">
        <f t="shared" si="20"/>
        <v>预付款项负数重分类</v>
      </c>
      <c r="E203" s="2747" t="str">
        <f t="shared" si="21"/>
        <v>37</v>
      </c>
      <c r="F203" s="2747">
        <f t="shared" si="19"/>
        <v>37.195</v>
      </c>
      <c r="G203" s="2757" t="str">
        <f t="shared" si="5"/>
        <v>本期</v>
      </c>
      <c r="H203" s="3297"/>
      <c r="I203" s="780">
        <v>37</v>
      </c>
      <c r="J203" s="3290" t="s">
        <v>7830</v>
      </c>
      <c r="K203" s="689"/>
      <c r="L203" s="695"/>
      <c r="M203" s="695"/>
      <c r="N203" s="695"/>
      <c r="O203" s="196"/>
      <c r="P203" s="216"/>
      <c r="Q203" s="3298" t="str">
        <f t="shared" si="6"/>
        <v/>
      </c>
      <c r="R203" s="732" t="str">
        <f t="shared" si="7"/>
        <v/>
      </c>
      <c r="S203" s="732"/>
      <c r="T203" s="732"/>
      <c r="U203" s="732"/>
      <c r="V203" s="732"/>
      <c r="W203" s="734"/>
      <c r="X203" s="732"/>
      <c r="Y203" s="732"/>
      <c r="Z203" s="732"/>
      <c r="AA203" s="2770"/>
      <c r="AB203" s="2770"/>
      <c r="AC203" s="2771">
        <f t="shared" si="8"/>
        <v>0</v>
      </c>
      <c r="AD203" s="2771">
        <f t="shared" si="9"/>
        <v>0</v>
      </c>
      <c r="AE203" s="847" t="str">
        <f t="shared" si="10"/>
        <v>请选择分录类型！</v>
      </c>
      <c r="AF203" s="641"/>
    </row>
    <row r="204" spans="1:32" ht="18">
      <c r="A204" s="2750"/>
      <c r="B204" s="2777" t="str">
        <f t="shared" si="0"/>
        <v>J1125</v>
      </c>
      <c r="C204" s="2747">
        <f t="shared" si="1"/>
        <v>1125</v>
      </c>
      <c r="D204" s="2747" t="str">
        <f t="shared" si="20"/>
        <v>预付款项负数重分类</v>
      </c>
      <c r="E204" s="2747" t="str">
        <f t="shared" si="21"/>
        <v>37</v>
      </c>
      <c r="F204" s="2747">
        <f t="shared" si="19"/>
        <v>37.195999999999998</v>
      </c>
      <c r="G204" s="2757" t="str">
        <f t="shared" si="5"/>
        <v>本期</v>
      </c>
      <c r="H204" s="3297"/>
      <c r="I204" s="780"/>
      <c r="J204" s="3286" t="str">
        <f t="shared" si="16"/>
        <v>借</v>
      </c>
      <c r="K204" s="3278" t="s">
        <v>7831</v>
      </c>
      <c r="L204" s="695"/>
      <c r="M204" s="695"/>
      <c r="N204" s="695"/>
      <c r="O204" s="196">
        <v>198448.77</v>
      </c>
      <c r="P204" s="216"/>
      <c r="Q204" s="3298" t="str">
        <f t="shared" si="6"/>
        <v>5400B</v>
      </c>
      <c r="R204" s="732" t="str">
        <f t="shared" si="7"/>
        <v>1</v>
      </c>
      <c r="S204" s="732"/>
      <c r="T204" s="732"/>
      <c r="U204" s="732"/>
      <c r="V204" s="732"/>
      <c r="W204" s="734"/>
      <c r="X204" s="732"/>
      <c r="Y204" s="732"/>
      <c r="Z204" s="732"/>
      <c r="AA204" s="2770"/>
      <c r="AB204" s="2770"/>
      <c r="AC204" s="2771">
        <f t="shared" si="8"/>
        <v>198448.77</v>
      </c>
      <c r="AD204" s="2771">
        <f t="shared" si="9"/>
        <v>0</v>
      </c>
      <c r="AE204" s="847" t="str">
        <f t="shared" si="10"/>
        <v>请选择分录类型！</v>
      </c>
      <c r="AF204" s="641"/>
    </row>
    <row r="205" spans="1:32" ht="18">
      <c r="A205" s="2750"/>
      <c r="B205" s="2777" t="str">
        <f t="shared" si="0"/>
        <v>J2202</v>
      </c>
      <c r="C205" s="2747">
        <f t="shared" si="1"/>
        <v>2202</v>
      </c>
      <c r="D205" s="2747" t="str">
        <f t="shared" si="20"/>
        <v>预付款项负数重分类</v>
      </c>
      <c r="E205" s="2747" t="str">
        <f t="shared" si="21"/>
        <v>37</v>
      </c>
      <c r="F205" s="2747">
        <f t="shared" si="19"/>
        <v>37.197000000000003</v>
      </c>
      <c r="G205" s="2757" t="str">
        <f t="shared" si="5"/>
        <v>本期</v>
      </c>
      <c r="H205" s="3297"/>
      <c r="I205" s="780"/>
      <c r="J205" s="3286" t="str">
        <f t="shared" si="16"/>
        <v>贷</v>
      </c>
      <c r="K205" s="3278" t="s">
        <v>7832</v>
      </c>
      <c r="L205" s="695"/>
      <c r="M205" s="695"/>
      <c r="N205" s="695"/>
      <c r="O205" s="196"/>
      <c r="P205" s="216">
        <v>198448.77</v>
      </c>
      <c r="Q205" s="3298" t="str">
        <f t="shared" si="6"/>
        <v>6100A</v>
      </c>
      <c r="R205" s="732" t="str">
        <f t="shared" si="7"/>
        <v>2</v>
      </c>
      <c r="S205" s="732"/>
      <c r="T205" s="732"/>
      <c r="U205" s="732"/>
      <c r="V205" s="732"/>
      <c r="W205" s="734"/>
      <c r="X205" s="732"/>
      <c r="Y205" s="732"/>
      <c r="Z205" s="732"/>
      <c r="AA205" s="2770"/>
      <c r="AB205" s="2770"/>
      <c r="AC205" s="2771">
        <f t="shared" si="8"/>
        <v>0</v>
      </c>
      <c r="AD205" s="2771">
        <f t="shared" si="9"/>
        <v>198448.77</v>
      </c>
      <c r="AE205" s="847" t="str">
        <f t="shared" si="10"/>
        <v>请选择分录类型！</v>
      </c>
      <c r="AF205" s="641"/>
    </row>
    <row r="206" spans="1:32" ht="18">
      <c r="A206" s="2750"/>
      <c r="B206" s="2777" t="str">
        <f t="shared" si="0"/>
        <v/>
      </c>
      <c r="C206" s="2747" t="str">
        <f t="shared" si="1"/>
        <v/>
      </c>
      <c r="D206" s="2747" t="str">
        <f t="shared" si="20"/>
        <v/>
      </c>
      <c r="E206" s="2747" t="str">
        <f t="shared" si="21"/>
        <v/>
      </c>
      <c r="F206" s="2747">
        <f t="shared" si="19"/>
        <v>37.198</v>
      </c>
      <c r="G206" s="2757" t="str">
        <f t="shared" si="5"/>
        <v/>
      </c>
      <c r="H206" s="3297"/>
      <c r="I206" s="780"/>
      <c r="J206" s="3286" t="str">
        <f t="shared" si="16"/>
        <v/>
      </c>
      <c r="K206" s="689"/>
      <c r="L206" s="695"/>
      <c r="M206" s="695"/>
      <c r="N206" s="695"/>
      <c r="O206" s="196"/>
      <c r="P206" s="216"/>
      <c r="Q206" s="3298" t="str">
        <f t="shared" si="6"/>
        <v/>
      </c>
      <c r="R206" s="732" t="str">
        <f t="shared" si="7"/>
        <v/>
      </c>
      <c r="S206" s="732"/>
      <c r="T206" s="732"/>
      <c r="U206" s="732"/>
      <c r="V206" s="732"/>
      <c r="W206" s="734"/>
      <c r="X206" s="732"/>
      <c r="Y206" s="732"/>
      <c r="Z206" s="732"/>
      <c r="AA206" s="2770"/>
      <c r="AB206" s="2770"/>
      <c r="AC206" s="2771">
        <f t="shared" si="8"/>
        <v>0</v>
      </c>
      <c r="AD206" s="2771">
        <f t="shared" si="9"/>
        <v>0</v>
      </c>
      <c r="AE206" s="847" t="str">
        <f t="shared" si="10"/>
        <v/>
      </c>
      <c r="AF206" s="641"/>
    </row>
    <row r="207" spans="1:32" ht="18">
      <c r="A207" s="2750"/>
      <c r="B207" s="2777" t="str">
        <f t="shared" si="0"/>
        <v/>
      </c>
      <c r="C207" s="2747" t="str">
        <f t="shared" si="1"/>
        <v/>
      </c>
      <c r="D207" s="2747" t="str">
        <f t="shared" si="20"/>
        <v>对闲置的固定资产计提减值准备</v>
      </c>
      <c r="E207" s="2747" t="str">
        <f t="shared" si="21"/>
        <v>38</v>
      </c>
      <c r="F207" s="2747">
        <f t="shared" si="19"/>
        <v>38.198999999999998</v>
      </c>
      <c r="G207" s="2757" t="str">
        <f t="shared" si="5"/>
        <v>本期</v>
      </c>
      <c r="H207" s="3297"/>
      <c r="I207" s="780">
        <v>38</v>
      </c>
      <c r="J207" s="3290" t="s">
        <v>7834</v>
      </c>
      <c r="K207" s="689"/>
      <c r="L207" s="695"/>
      <c r="M207" s="695"/>
      <c r="N207" s="695"/>
      <c r="O207" s="196"/>
      <c r="P207" s="216"/>
      <c r="Q207" s="3298" t="str">
        <f t="shared" si="6"/>
        <v/>
      </c>
      <c r="R207" s="732" t="str">
        <f t="shared" si="7"/>
        <v/>
      </c>
      <c r="S207" s="732"/>
      <c r="T207" s="732"/>
      <c r="U207" s="732"/>
      <c r="V207" s="732"/>
      <c r="W207" s="734"/>
      <c r="X207" s="732"/>
      <c r="Y207" s="732"/>
      <c r="Z207" s="732"/>
      <c r="AA207" s="2770"/>
      <c r="AB207" s="2770"/>
      <c r="AC207" s="2771">
        <f t="shared" si="8"/>
        <v>0</v>
      </c>
      <c r="AD207" s="2771">
        <f t="shared" si="9"/>
        <v>0</v>
      </c>
      <c r="AE207" s="847" t="str">
        <f t="shared" si="10"/>
        <v>请选择分录类型！</v>
      </c>
      <c r="AF207" s="641"/>
    </row>
    <row r="208" spans="1:32" ht="18">
      <c r="A208" s="2750"/>
      <c r="B208" s="2777" t="str">
        <f t="shared" si="0"/>
        <v>J6671</v>
      </c>
      <c r="C208" s="2747">
        <f t="shared" si="1"/>
        <v>6671</v>
      </c>
      <c r="D208" s="2747" t="str">
        <f t="shared" si="20"/>
        <v>对闲置的固定资产计提减值准备</v>
      </c>
      <c r="E208" s="2747" t="str">
        <f t="shared" si="21"/>
        <v>38</v>
      </c>
      <c r="F208" s="2747">
        <f t="shared" si="19"/>
        <v>38.200000000000003</v>
      </c>
      <c r="G208" s="2757" t="str">
        <f t="shared" si="5"/>
        <v>本期</v>
      </c>
      <c r="H208" s="3297"/>
      <c r="I208" s="780"/>
      <c r="J208" s="3286" t="str">
        <f t="shared" si="16"/>
        <v>借</v>
      </c>
      <c r="K208" s="689" t="s">
        <v>697</v>
      </c>
      <c r="L208" s="695"/>
      <c r="M208" s="695"/>
      <c r="N208" s="695"/>
      <c r="O208" s="196">
        <v>5883475.4900000002</v>
      </c>
      <c r="P208" s="216"/>
      <c r="Q208" s="3298" t="str">
        <f t="shared" si="6"/>
        <v>7410F</v>
      </c>
      <c r="R208" s="732" t="str">
        <f t="shared" si="7"/>
        <v>6</v>
      </c>
      <c r="S208" s="732"/>
      <c r="T208" s="732"/>
      <c r="U208" s="732"/>
      <c r="V208" s="732"/>
      <c r="W208" s="734"/>
      <c r="X208" s="732"/>
      <c r="Y208" s="732"/>
      <c r="Z208" s="732"/>
      <c r="AA208" s="2770"/>
      <c r="AB208" s="2770"/>
      <c r="AC208" s="2771">
        <f t="shared" si="8"/>
        <v>5883475.4900000002</v>
      </c>
      <c r="AD208" s="2771">
        <f t="shared" si="9"/>
        <v>0</v>
      </c>
      <c r="AE208" s="847" t="str">
        <f t="shared" si="10"/>
        <v>请选择分录类型！</v>
      </c>
      <c r="AF208" s="641"/>
    </row>
    <row r="209" spans="1:32" ht="18">
      <c r="A209" s="2750"/>
      <c r="B209" s="2777" t="str">
        <f t="shared" si="0"/>
        <v>J1601.1603</v>
      </c>
      <c r="C209" s="2747">
        <f t="shared" si="1"/>
        <v>1601.1603</v>
      </c>
      <c r="D209" s="2747" t="str">
        <f t="shared" si="20"/>
        <v>对闲置的固定资产计提减值准备</v>
      </c>
      <c r="E209" s="2747" t="str">
        <f t="shared" si="21"/>
        <v>38</v>
      </c>
      <c r="F209" s="2747">
        <f t="shared" si="19"/>
        <v>38.201000000000001</v>
      </c>
      <c r="G209" s="2757" t="str">
        <f t="shared" si="5"/>
        <v>本期</v>
      </c>
      <c r="H209" s="3297"/>
      <c r="I209" s="780"/>
      <c r="J209" s="3286" t="str">
        <f t="shared" si="16"/>
        <v>贷</v>
      </c>
      <c r="K209" s="689" t="s">
        <v>491</v>
      </c>
      <c r="L209" s="695"/>
      <c r="M209" s="695"/>
      <c r="N209" s="695"/>
      <c r="O209" s="196"/>
      <c r="P209" s="216">
        <v>5883475.4900000002</v>
      </c>
      <c r="Q209" s="3298" t="str">
        <f t="shared" si="6"/>
        <v>5500A</v>
      </c>
      <c r="R209" s="732" t="str">
        <f t="shared" si="7"/>
        <v>1</v>
      </c>
      <c r="S209" s="732"/>
      <c r="T209" s="732"/>
      <c r="U209" s="732"/>
      <c r="V209" s="732"/>
      <c r="W209" s="734"/>
      <c r="X209" s="732"/>
      <c r="Y209" s="732"/>
      <c r="Z209" s="732"/>
      <c r="AA209" s="2770"/>
      <c r="AB209" s="2770"/>
      <c r="AC209" s="2771">
        <f t="shared" si="8"/>
        <v>0</v>
      </c>
      <c r="AD209" s="2771">
        <f t="shared" si="9"/>
        <v>5883475.4900000002</v>
      </c>
      <c r="AE209" s="847" t="str">
        <f t="shared" si="10"/>
        <v>请选择分录类型！</v>
      </c>
      <c r="AF209" s="641"/>
    </row>
    <row r="210" spans="1:32" ht="18">
      <c r="A210" s="2750"/>
      <c r="B210" s="2777" t="str">
        <f t="shared" si="0"/>
        <v/>
      </c>
      <c r="C210" s="2747" t="str">
        <f t="shared" si="1"/>
        <v/>
      </c>
      <c r="D210" s="2747" t="str">
        <f t="shared" si="20"/>
        <v/>
      </c>
      <c r="E210" s="2747" t="str">
        <f t="shared" si="21"/>
        <v/>
      </c>
      <c r="F210" s="2747">
        <f t="shared" si="19"/>
        <v>38.201999999999998</v>
      </c>
      <c r="G210" s="2757" t="str">
        <f t="shared" si="5"/>
        <v/>
      </c>
      <c r="H210" s="3297"/>
      <c r="I210" s="780"/>
      <c r="J210" s="3286" t="str">
        <f t="shared" si="16"/>
        <v/>
      </c>
      <c r="K210" s="689"/>
      <c r="L210" s="695"/>
      <c r="M210" s="695"/>
      <c r="N210" s="695"/>
      <c r="O210" s="196"/>
      <c r="P210" s="216"/>
      <c r="Q210" s="3298" t="str">
        <f t="shared" si="6"/>
        <v/>
      </c>
      <c r="R210" s="732" t="str">
        <f t="shared" si="7"/>
        <v/>
      </c>
      <c r="S210" s="732"/>
      <c r="T210" s="732"/>
      <c r="U210" s="732"/>
      <c r="V210" s="732"/>
      <c r="W210" s="734"/>
      <c r="X210" s="732"/>
      <c r="Y210" s="732"/>
      <c r="Z210" s="732"/>
      <c r="AA210" s="2770"/>
      <c r="AB210" s="2770"/>
      <c r="AC210" s="2771">
        <f t="shared" si="8"/>
        <v>0</v>
      </c>
      <c r="AD210" s="2771">
        <f t="shared" si="9"/>
        <v>0</v>
      </c>
      <c r="AE210" s="847" t="str">
        <f t="shared" si="10"/>
        <v/>
      </c>
      <c r="AF210" s="641"/>
    </row>
    <row r="211" spans="1:32" ht="18">
      <c r="A211" s="2750"/>
      <c r="B211" s="2777" t="str">
        <f t="shared" si="0"/>
        <v/>
      </c>
      <c r="C211" s="2747" t="str">
        <f t="shared" si="1"/>
        <v/>
      </c>
      <c r="D211" s="2747" t="str">
        <f t="shared" si="20"/>
        <v>冲销多计提的员工福利费</v>
      </c>
      <c r="E211" s="2747" t="str">
        <f t="shared" si="21"/>
        <v>39</v>
      </c>
      <c r="F211" s="2747">
        <f t="shared" si="19"/>
        <v>39.203000000000003</v>
      </c>
      <c r="G211" s="2757" t="str">
        <f t="shared" si="5"/>
        <v>本期</v>
      </c>
      <c r="H211" s="3297"/>
      <c r="I211" s="780">
        <v>39</v>
      </c>
      <c r="J211" s="3290" t="s">
        <v>7835</v>
      </c>
      <c r="K211" s="689"/>
      <c r="L211" s="695"/>
      <c r="M211" s="695"/>
      <c r="N211" s="695"/>
      <c r="O211" s="196"/>
      <c r="P211" s="216"/>
      <c r="Q211" s="3298" t="str">
        <f t="shared" si="6"/>
        <v/>
      </c>
      <c r="R211" s="732" t="str">
        <f t="shared" si="7"/>
        <v/>
      </c>
      <c r="S211" s="732"/>
      <c r="T211" s="732"/>
      <c r="U211" s="732"/>
      <c r="V211" s="732"/>
      <c r="W211" s="734"/>
      <c r="X211" s="732"/>
      <c r="Y211" s="732"/>
      <c r="Z211" s="732"/>
      <c r="AA211" s="2770"/>
      <c r="AB211" s="2770"/>
      <c r="AC211" s="2771">
        <f t="shared" si="8"/>
        <v>0</v>
      </c>
      <c r="AD211" s="2771">
        <f t="shared" si="9"/>
        <v>0</v>
      </c>
      <c r="AE211" s="847" t="str">
        <f t="shared" si="10"/>
        <v>请选择分录类型！</v>
      </c>
      <c r="AF211" s="641"/>
    </row>
    <row r="212" spans="1:32" ht="18">
      <c r="A212" s="2750"/>
      <c r="B212" s="2777" t="str">
        <f t="shared" si="0"/>
        <v>J6602</v>
      </c>
      <c r="C212" s="2747">
        <f t="shared" si="1"/>
        <v>6602</v>
      </c>
      <c r="D212" s="2747" t="str">
        <f t="shared" si="20"/>
        <v>冲销多计提的员工福利费</v>
      </c>
      <c r="E212" s="2747" t="str">
        <f t="shared" si="21"/>
        <v>39</v>
      </c>
      <c r="F212" s="2747">
        <f t="shared" si="19"/>
        <v>39.204000000000001</v>
      </c>
      <c r="G212" s="2757" t="str">
        <f t="shared" si="5"/>
        <v>本期</v>
      </c>
      <c r="H212" s="3297"/>
      <c r="I212" s="780"/>
      <c r="J212" s="3286" t="str">
        <f t="shared" si="16"/>
        <v>借</v>
      </c>
      <c r="K212" s="3278" t="s">
        <v>7836</v>
      </c>
      <c r="L212" s="695"/>
      <c r="M212" s="695"/>
      <c r="N212" s="695"/>
      <c r="O212" s="196">
        <v>-65000</v>
      </c>
      <c r="P212" s="216"/>
      <c r="Q212" s="3298" t="str">
        <f t="shared" si="6"/>
        <v>7200D</v>
      </c>
      <c r="R212" s="732" t="str">
        <f t="shared" si="7"/>
        <v>6</v>
      </c>
      <c r="S212" s="732"/>
      <c r="T212" s="732"/>
      <c r="U212" s="732"/>
      <c r="V212" s="732"/>
      <c r="W212" s="734"/>
      <c r="X212" s="732"/>
      <c r="Y212" s="732"/>
      <c r="Z212" s="732"/>
      <c r="AA212" s="2770"/>
      <c r="AB212" s="2770"/>
      <c r="AC212" s="2771">
        <f t="shared" si="8"/>
        <v>0</v>
      </c>
      <c r="AD212" s="2771">
        <f t="shared" si="9"/>
        <v>65000</v>
      </c>
      <c r="AE212" s="847" t="str">
        <f t="shared" si="10"/>
        <v>请选择分录类型！</v>
      </c>
      <c r="AF212" s="641"/>
    </row>
    <row r="213" spans="1:32" ht="18">
      <c r="A213" s="2750"/>
      <c r="B213" s="2777" t="str">
        <f t="shared" si="0"/>
        <v>J2211</v>
      </c>
      <c r="C213" s="2747">
        <f t="shared" si="1"/>
        <v>2211</v>
      </c>
      <c r="D213" s="2747" t="str">
        <f t="shared" si="20"/>
        <v>冲销多计提的员工福利费</v>
      </c>
      <c r="E213" s="2747" t="str">
        <f t="shared" si="21"/>
        <v>39</v>
      </c>
      <c r="F213" s="2747">
        <f t="shared" si="19"/>
        <v>39.204999999999998</v>
      </c>
      <c r="G213" s="2757" t="str">
        <f t="shared" si="5"/>
        <v>本期</v>
      </c>
      <c r="H213" s="3297"/>
      <c r="I213" s="780"/>
      <c r="J213" s="3286" t="str">
        <f t="shared" si="16"/>
        <v>贷</v>
      </c>
      <c r="K213" s="3278" t="s">
        <v>7837</v>
      </c>
      <c r="L213" s="695"/>
      <c r="M213" s="695"/>
      <c r="N213" s="695"/>
      <c r="O213" s="196"/>
      <c r="P213" s="216">
        <v>-65000</v>
      </c>
      <c r="Q213" s="3298" t="str">
        <f t="shared" si="6"/>
        <v>6200B</v>
      </c>
      <c r="R213" s="732" t="str">
        <f t="shared" si="7"/>
        <v>2</v>
      </c>
      <c r="S213" s="732"/>
      <c r="T213" s="732"/>
      <c r="U213" s="732"/>
      <c r="V213" s="732"/>
      <c r="W213" s="734"/>
      <c r="X213" s="732"/>
      <c r="Y213" s="732"/>
      <c r="Z213" s="732"/>
      <c r="AA213" s="2770"/>
      <c r="AB213" s="2770"/>
      <c r="AC213" s="2771">
        <f t="shared" si="8"/>
        <v>65000</v>
      </c>
      <c r="AD213" s="2771">
        <f t="shared" si="9"/>
        <v>0</v>
      </c>
      <c r="AE213" s="847" t="str">
        <f t="shared" si="10"/>
        <v>请选择分录类型！</v>
      </c>
      <c r="AF213" s="641"/>
    </row>
    <row r="214" spans="1:32" ht="18">
      <c r="A214" s="2750"/>
      <c r="B214" s="2777" t="str">
        <f t="shared" si="0"/>
        <v/>
      </c>
      <c r="C214" s="2747" t="str">
        <f t="shared" si="1"/>
        <v/>
      </c>
      <c r="D214" s="2747" t="str">
        <f t="shared" si="20"/>
        <v/>
      </c>
      <c r="E214" s="2747" t="str">
        <f t="shared" si="21"/>
        <v/>
      </c>
      <c r="F214" s="2747">
        <f t="shared" si="19"/>
        <v>39.206000000000003</v>
      </c>
      <c r="G214" s="2757" t="str">
        <f t="shared" si="5"/>
        <v/>
      </c>
      <c r="H214" s="3297"/>
      <c r="I214" s="780"/>
      <c r="J214" s="3286" t="str">
        <f t="shared" si="16"/>
        <v/>
      </c>
      <c r="K214" s="689"/>
      <c r="L214" s="695"/>
      <c r="M214" s="695"/>
      <c r="N214" s="695"/>
      <c r="O214" s="196"/>
      <c r="P214" s="216"/>
      <c r="Q214" s="3298" t="str">
        <f t="shared" si="6"/>
        <v/>
      </c>
      <c r="R214" s="732" t="str">
        <f t="shared" si="7"/>
        <v/>
      </c>
      <c r="S214" s="732"/>
      <c r="T214" s="732"/>
      <c r="U214" s="732"/>
      <c r="V214" s="732"/>
      <c r="W214" s="734"/>
      <c r="X214" s="732"/>
      <c r="Y214" s="732"/>
      <c r="Z214" s="732"/>
      <c r="AA214" s="2770"/>
      <c r="AB214" s="2770"/>
      <c r="AC214" s="2771">
        <f t="shared" si="8"/>
        <v>0</v>
      </c>
      <c r="AD214" s="2771">
        <f t="shared" si="9"/>
        <v>0</v>
      </c>
      <c r="AE214" s="847" t="str">
        <f t="shared" si="10"/>
        <v/>
      </c>
      <c r="AF214" s="641"/>
    </row>
    <row r="215" spans="1:32" ht="18">
      <c r="A215" s="2750"/>
      <c r="B215" s="2777" t="str">
        <f t="shared" si="0"/>
        <v/>
      </c>
      <c r="C215" s="2747" t="str">
        <f t="shared" si="1"/>
        <v/>
      </c>
      <c r="D215" s="2747" t="str">
        <f t="shared" si="20"/>
        <v>根据期后发放数补计提年终奖</v>
      </c>
      <c r="E215" s="2747" t="str">
        <f t="shared" si="21"/>
        <v>40</v>
      </c>
      <c r="F215" s="2747">
        <f t="shared" si="19"/>
        <v>40.207000000000001</v>
      </c>
      <c r="G215" s="2757" t="str">
        <f t="shared" si="5"/>
        <v>本期</v>
      </c>
      <c r="H215" s="3297"/>
      <c r="I215" s="780">
        <v>40</v>
      </c>
      <c r="J215" s="3290" t="s">
        <v>7849</v>
      </c>
      <c r="K215" s="689"/>
      <c r="L215" s="695"/>
      <c r="M215" s="695"/>
      <c r="N215" s="695"/>
      <c r="O215" s="196"/>
      <c r="P215" s="216"/>
      <c r="Q215" s="3298" t="str">
        <f t="shared" si="6"/>
        <v/>
      </c>
      <c r="R215" s="732" t="str">
        <f t="shared" si="7"/>
        <v/>
      </c>
      <c r="S215" s="732"/>
      <c r="T215" s="732"/>
      <c r="U215" s="732"/>
      <c r="V215" s="732"/>
      <c r="W215" s="734"/>
      <c r="X215" s="732"/>
      <c r="Y215" s="732"/>
      <c r="Z215" s="732"/>
      <c r="AA215" s="2770"/>
      <c r="AB215" s="2770"/>
      <c r="AC215" s="2771">
        <f t="shared" si="8"/>
        <v>0</v>
      </c>
      <c r="AD215" s="2771">
        <f t="shared" si="9"/>
        <v>0</v>
      </c>
      <c r="AE215" s="847" t="str">
        <f t="shared" si="10"/>
        <v>请选择分录类型！</v>
      </c>
      <c r="AF215" s="641"/>
    </row>
    <row r="216" spans="1:32" ht="18">
      <c r="A216" s="2750"/>
      <c r="B216" s="2777" t="str">
        <f t="shared" si="0"/>
        <v>J6602</v>
      </c>
      <c r="C216" s="2747">
        <f t="shared" si="1"/>
        <v>6602</v>
      </c>
      <c r="D216" s="2747" t="str">
        <f t="shared" si="20"/>
        <v>根据期后发放数补计提年终奖</v>
      </c>
      <c r="E216" s="2747" t="str">
        <f t="shared" si="21"/>
        <v>40</v>
      </c>
      <c r="F216" s="2747">
        <f t="shared" si="19"/>
        <v>40.207999999999998</v>
      </c>
      <c r="G216" s="2757" t="str">
        <f t="shared" si="5"/>
        <v>本期</v>
      </c>
      <c r="H216" s="3297"/>
      <c r="I216" s="780"/>
      <c r="J216" s="3286" t="str">
        <f t="shared" si="16"/>
        <v>借</v>
      </c>
      <c r="K216" s="3278" t="s">
        <v>7838</v>
      </c>
      <c r="L216" s="695"/>
      <c r="M216" s="695"/>
      <c r="N216" s="695"/>
      <c r="O216" s="196">
        <v>-773700</v>
      </c>
      <c r="P216" s="216"/>
      <c r="Q216" s="3298" t="str">
        <f t="shared" si="6"/>
        <v>7200D</v>
      </c>
      <c r="R216" s="732" t="str">
        <f t="shared" si="7"/>
        <v>6</v>
      </c>
      <c r="S216" s="732"/>
      <c r="T216" s="732"/>
      <c r="U216" s="732"/>
      <c r="V216" s="732"/>
      <c r="W216" s="734"/>
      <c r="X216" s="732"/>
      <c r="Y216" s="732"/>
      <c r="Z216" s="732"/>
      <c r="AA216" s="2770"/>
      <c r="AB216" s="2770"/>
      <c r="AC216" s="2771">
        <f t="shared" si="8"/>
        <v>0</v>
      </c>
      <c r="AD216" s="2771">
        <f t="shared" si="9"/>
        <v>773700</v>
      </c>
      <c r="AE216" s="847" t="str">
        <f t="shared" si="10"/>
        <v>请选择分录类型！</v>
      </c>
      <c r="AF216" s="641"/>
    </row>
    <row r="217" spans="1:32" ht="18">
      <c r="A217" s="2750"/>
      <c r="B217" s="2777" t="str">
        <f t="shared" si="0"/>
        <v>J6401</v>
      </c>
      <c r="C217" s="2747">
        <f t="shared" si="1"/>
        <v>6401</v>
      </c>
      <c r="D217" s="2747" t="str">
        <f t="shared" si="20"/>
        <v>根据期后发放数补计提年终奖</v>
      </c>
      <c r="E217" s="2747" t="str">
        <f t="shared" si="21"/>
        <v>40</v>
      </c>
      <c r="F217" s="2747">
        <f t="shared" si="19"/>
        <v>40.209000000000003</v>
      </c>
      <c r="G217" s="2757" t="str">
        <f t="shared" si="5"/>
        <v>本期</v>
      </c>
      <c r="H217" s="3297"/>
      <c r="I217" s="780"/>
      <c r="J217" s="3286" t="str">
        <f t="shared" si="16"/>
        <v>借</v>
      </c>
      <c r="K217" s="3278" t="s">
        <v>7839</v>
      </c>
      <c r="L217" s="3302" t="s">
        <v>7840</v>
      </c>
      <c r="M217" s="695"/>
      <c r="N217" s="695"/>
      <c r="O217" s="196">
        <v>480200</v>
      </c>
      <c r="P217" s="216"/>
      <c r="Q217" s="3298" t="str">
        <f t="shared" si="6"/>
        <v>7100A</v>
      </c>
      <c r="R217" s="732" t="str">
        <f t="shared" si="7"/>
        <v>6</v>
      </c>
      <c r="S217" s="732"/>
      <c r="T217" s="732"/>
      <c r="U217" s="732"/>
      <c r="V217" s="732"/>
      <c r="W217" s="734"/>
      <c r="X217" s="732"/>
      <c r="Y217" s="732"/>
      <c r="Z217" s="732"/>
      <c r="AA217" s="2770"/>
      <c r="AB217" s="2770"/>
      <c r="AC217" s="2771">
        <f t="shared" si="8"/>
        <v>480200</v>
      </c>
      <c r="AD217" s="2771">
        <f t="shared" si="9"/>
        <v>0</v>
      </c>
      <c r="AE217" s="847" t="str">
        <f t="shared" si="10"/>
        <v>请选择分录类型！</v>
      </c>
      <c r="AF217" s="641"/>
    </row>
    <row r="218" spans="1:32" ht="18">
      <c r="A218" s="2750"/>
      <c r="B218" s="2777" t="str">
        <f t="shared" si="0"/>
        <v>J6401</v>
      </c>
      <c r="C218" s="2747">
        <f t="shared" si="1"/>
        <v>6401</v>
      </c>
      <c r="D218" s="2747" t="str">
        <f t="shared" si="20"/>
        <v>根据期后发放数补计提年终奖</v>
      </c>
      <c r="E218" s="2747" t="str">
        <f t="shared" si="21"/>
        <v>40</v>
      </c>
      <c r="F218" s="2747">
        <f t="shared" si="19"/>
        <v>40.21</v>
      </c>
      <c r="G218" s="2757" t="str">
        <f t="shared" si="5"/>
        <v>本期</v>
      </c>
      <c r="H218" s="3297"/>
      <c r="I218" s="780"/>
      <c r="J218" s="3286" t="str">
        <f t="shared" si="16"/>
        <v>借</v>
      </c>
      <c r="K218" s="3278" t="s">
        <v>7839</v>
      </c>
      <c r="L218" s="3302" t="s">
        <v>7841</v>
      </c>
      <c r="M218" s="695"/>
      <c r="N218" s="695"/>
      <c r="O218" s="196">
        <v>525400</v>
      </c>
      <c r="P218" s="216"/>
      <c r="Q218" s="3298" t="str">
        <f t="shared" si="6"/>
        <v>7100A</v>
      </c>
      <c r="R218" s="732" t="str">
        <f t="shared" si="7"/>
        <v>6</v>
      </c>
      <c r="S218" s="732"/>
      <c r="T218" s="732"/>
      <c r="U218" s="732"/>
      <c r="V218" s="732"/>
      <c r="W218" s="734"/>
      <c r="X218" s="732"/>
      <c r="Y218" s="732"/>
      <c r="Z218" s="732"/>
      <c r="AA218" s="2770"/>
      <c r="AB218" s="2770"/>
      <c r="AC218" s="2771">
        <f t="shared" si="8"/>
        <v>525400</v>
      </c>
      <c r="AD218" s="2771">
        <f t="shared" si="9"/>
        <v>0</v>
      </c>
      <c r="AE218" s="847" t="str">
        <f t="shared" si="10"/>
        <v>请选择分录类型！</v>
      </c>
      <c r="AF218" s="641"/>
    </row>
    <row r="219" spans="1:32" ht="18">
      <c r="A219" s="2750"/>
      <c r="B219" s="2777" t="str">
        <f t="shared" si="0"/>
        <v>J6601</v>
      </c>
      <c r="C219" s="2747">
        <f t="shared" si="1"/>
        <v>6601</v>
      </c>
      <c r="D219" s="2747" t="str">
        <f t="shared" si="20"/>
        <v>根据期后发放数补计提年终奖</v>
      </c>
      <c r="E219" s="2747" t="str">
        <f t="shared" si="21"/>
        <v>40</v>
      </c>
      <c r="F219" s="2747">
        <f t="shared" si="19"/>
        <v>40.210999999999999</v>
      </c>
      <c r="G219" s="2757" t="str">
        <f t="shared" si="5"/>
        <v>本期</v>
      </c>
      <c r="H219" s="3297"/>
      <c r="I219" s="780"/>
      <c r="J219" s="3286" t="str">
        <f t="shared" si="16"/>
        <v>借</v>
      </c>
      <c r="K219" s="3278" t="s">
        <v>7842</v>
      </c>
      <c r="L219" s="695"/>
      <c r="M219" s="695"/>
      <c r="N219" s="695"/>
      <c r="O219" s="196">
        <v>25000</v>
      </c>
      <c r="P219" s="216"/>
      <c r="Q219" s="3298" t="str">
        <f t="shared" si="6"/>
        <v>7200C</v>
      </c>
      <c r="R219" s="732" t="str">
        <f t="shared" si="7"/>
        <v>6</v>
      </c>
      <c r="S219" s="732"/>
      <c r="T219" s="732"/>
      <c r="U219" s="732"/>
      <c r="V219" s="732"/>
      <c r="W219" s="734"/>
      <c r="X219" s="732"/>
      <c r="Y219" s="732"/>
      <c r="Z219" s="732"/>
      <c r="AA219" s="2770"/>
      <c r="AB219" s="2770"/>
      <c r="AC219" s="2771">
        <f t="shared" si="8"/>
        <v>25000</v>
      </c>
      <c r="AD219" s="2771">
        <f t="shared" si="9"/>
        <v>0</v>
      </c>
      <c r="AE219" s="847" t="str">
        <f t="shared" si="10"/>
        <v>请选择分录类型！</v>
      </c>
      <c r="AF219" s="641"/>
    </row>
    <row r="220" spans="1:32" ht="18">
      <c r="A220" s="2750"/>
      <c r="B220" s="2777" t="str">
        <f t="shared" si="0"/>
        <v>J2211</v>
      </c>
      <c r="C220" s="2747">
        <f t="shared" si="1"/>
        <v>2211</v>
      </c>
      <c r="D220" s="2747" t="str">
        <f t="shared" si="20"/>
        <v>根据期后发放数补计提年终奖</v>
      </c>
      <c r="E220" s="2747" t="str">
        <f t="shared" si="21"/>
        <v>40</v>
      </c>
      <c r="F220" s="2747">
        <f t="shared" si="19"/>
        <v>40.212000000000003</v>
      </c>
      <c r="G220" s="2757" t="str">
        <f t="shared" si="5"/>
        <v>本期</v>
      </c>
      <c r="H220" s="3297"/>
      <c r="I220" s="780"/>
      <c r="J220" s="3286" t="str">
        <f t="shared" si="16"/>
        <v>贷</v>
      </c>
      <c r="K220" s="3278" t="s">
        <v>7843</v>
      </c>
      <c r="L220" s="695"/>
      <c r="M220" s="695"/>
      <c r="N220" s="695"/>
      <c r="O220" s="196"/>
      <c r="P220" s="216">
        <f>SUM(O216:O219)</f>
        <v>256900</v>
      </c>
      <c r="Q220" s="3298" t="str">
        <f t="shared" si="6"/>
        <v>6200B</v>
      </c>
      <c r="R220" s="732" t="str">
        <f t="shared" si="7"/>
        <v>2</v>
      </c>
      <c r="S220" s="732"/>
      <c r="T220" s="732"/>
      <c r="U220" s="732"/>
      <c r="V220" s="732"/>
      <c r="W220" s="734"/>
      <c r="X220" s="732"/>
      <c r="Y220" s="732"/>
      <c r="Z220" s="732"/>
      <c r="AA220" s="2770"/>
      <c r="AB220" s="2770"/>
      <c r="AC220" s="2771">
        <f t="shared" si="8"/>
        <v>0</v>
      </c>
      <c r="AD220" s="2771">
        <f t="shared" si="9"/>
        <v>256900</v>
      </c>
      <c r="AE220" s="847" t="str">
        <f t="shared" si="10"/>
        <v>请选择分录类型！</v>
      </c>
      <c r="AF220" s="641"/>
    </row>
    <row r="221" spans="1:32" ht="18">
      <c r="A221" s="2750"/>
      <c r="B221" s="2777" t="str">
        <f t="shared" si="0"/>
        <v/>
      </c>
      <c r="C221" s="2747" t="str">
        <f t="shared" si="1"/>
        <v/>
      </c>
      <c r="D221" s="2747" t="str">
        <f t="shared" si="20"/>
        <v/>
      </c>
      <c r="E221" s="2747" t="str">
        <f t="shared" si="21"/>
        <v/>
      </c>
      <c r="F221" s="2747">
        <f t="shared" si="19"/>
        <v>40.213000000000001</v>
      </c>
      <c r="G221" s="2757" t="str">
        <f t="shared" si="5"/>
        <v/>
      </c>
      <c r="H221" s="3297"/>
      <c r="I221" s="780"/>
      <c r="J221" s="3286" t="str">
        <f t="shared" si="16"/>
        <v/>
      </c>
      <c r="K221" s="689"/>
      <c r="L221" s="695"/>
      <c r="M221" s="695"/>
      <c r="N221" s="695"/>
      <c r="O221" s="196"/>
      <c r="P221" s="216"/>
      <c r="Q221" s="3298" t="str">
        <f t="shared" si="6"/>
        <v/>
      </c>
      <c r="R221" s="732" t="str">
        <f t="shared" si="7"/>
        <v/>
      </c>
      <c r="S221" s="732"/>
      <c r="T221" s="732"/>
      <c r="U221" s="732"/>
      <c r="V221" s="732"/>
      <c r="W221" s="734"/>
      <c r="X221" s="732"/>
      <c r="Y221" s="732"/>
      <c r="Z221" s="732"/>
      <c r="AA221" s="2770"/>
      <c r="AB221" s="2770"/>
      <c r="AC221" s="2771">
        <f t="shared" si="8"/>
        <v>0</v>
      </c>
      <c r="AD221" s="2771">
        <f t="shared" si="9"/>
        <v>0</v>
      </c>
      <c r="AE221" s="847" t="str">
        <f t="shared" si="10"/>
        <v/>
      </c>
      <c r="AF221" s="641"/>
    </row>
    <row r="222" spans="1:32" ht="18">
      <c r="A222" s="2750"/>
      <c r="B222" s="2777" t="str">
        <f t="shared" si="0"/>
        <v/>
      </c>
      <c r="C222" s="2747" t="str">
        <f t="shared" si="1"/>
        <v/>
      </c>
      <c r="D222" s="2747" t="str">
        <f t="shared" si="20"/>
        <v>在建工程减值</v>
      </c>
      <c r="E222" s="2747" t="str">
        <f t="shared" si="21"/>
        <v>41</v>
      </c>
      <c r="F222" s="2747">
        <f t="shared" si="19"/>
        <v>41.213999999999999</v>
      </c>
      <c r="G222" s="2757" t="str">
        <f t="shared" si="5"/>
        <v>本期</v>
      </c>
      <c r="H222" s="3297"/>
      <c r="I222" s="780">
        <v>41</v>
      </c>
      <c r="J222" s="3290" t="s">
        <v>7844</v>
      </c>
      <c r="K222" s="689"/>
      <c r="L222" s="695"/>
      <c r="M222" s="695"/>
      <c r="N222" s="695"/>
      <c r="O222" s="196"/>
      <c r="P222" s="216"/>
      <c r="Q222" s="3298" t="str">
        <f t="shared" si="6"/>
        <v/>
      </c>
      <c r="R222" s="732" t="str">
        <f t="shared" si="7"/>
        <v/>
      </c>
      <c r="S222" s="732"/>
      <c r="T222" s="732"/>
      <c r="U222" s="732"/>
      <c r="V222" s="732"/>
      <c r="W222" s="734"/>
      <c r="X222" s="732"/>
      <c r="Y222" s="732"/>
      <c r="Z222" s="732"/>
      <c r="AA222" s="2770"/>
      <c r="AB222" s="2770"/>
      <c r="AC222" s="2771">
        <f t="shared" si="8"/>
        <v>0</v>
      </c>
      <c r="AD222" s="2771">
        <f t="shared" si="9"/>
        <v>0</v>
      </c>
      <c r="AE222" s="847" t="str">
        <f t="shared" si="10"/>
        <v>请选择分录类型！</v>
      </c>
      <c r="AF222" s="641"/>
    </row>
    <row r="223" spans="1:32" ht="18">
      <c r="A223" s="2750"/>
      <c r="B223" s="2777" t="str">
        <f t="shared" si="0"/>
        <v>J6671</v>
      </c>
      <c r="C223" s="2747">
        <f t="shared" si="1"/>
        <v>6671</v>
      </c>
      <c r="D223" s="2747" t="str">
        <f t="shared" si="20"/>
        <v>在建工程减值</v>
      </c>
      <c r="E223" s="2747" t="str">
        <f t="shared" si="21"/>
        <v>41</v>
      </c>
      <c r="F223" s="2747">
        <f t="shared" si="19"/>
        <v>41.215000000000003</v>
      </c>
      <c r="G223" s="2757" t="str">
        <f t="shared" si="5"/>
        <v>本期</v>
      </c>
      <c r="H223" s="3297"/>
      <c r="I223" s="780"/>
      <c r="J223" s="3286" t="str">
        <f t="shared" si="16"/>
        <v>借</v>
      </c>
      <c r="K223" s="3278" t="s">
        <v>7845</v>
      </c>
      <c r="L223" s="695"/>
      <c r="M223" s="695"/>
      <c r="N223" s="695"/>
      <c r="O223" s="196">
        <v>7731484.2000000002</v>
      </c>
      <c r="P223" s="216"/>
      <c r="Q223" s="3298" t="str">
        <f t="shared" si="6"/>
        <v>7410F</v>
      </c>
      <c r="R223" s="732" t="str">
        <f t="shared" si="7"/>
        <v>6</v>
      </c>
      <c r="S223" s="732"/>
      <c r="T223" s="732"/>
      <c r="U223" s="732"/>
      <c r="V223" s="732"/>
      <c r="W223" s="734"/>
      <c r="X223" s="732"/>
      <c r="Y223" s="732"/>
      <c r="Z223" s="732"/>
      <c r="AA223" s="2770"/>
      <c r="AB223" s="2770"/>
      <c r="AC223" s="2771">
        <f t="shared" si="8"/>
        <v>7731484.2000000002</v>
      </c>
      <c r="AD223" s="2771">
        <f t="shared" si="9"/>
        <v>0</v>
      </c>
      <c r="AE223" s="847" t="str">
        <f t="shared" si="10"/>
        <v>请选择分录类型！</v>
      </c>
      <c r="AF223" s="641"/>
    </row>
    <row r="224" spans="1:32" ht="18">
      <c r="A224" s="2750"/>
      <c r="B224" s="2777" t="str">
        <f t="shared" si="0"/>
        <v>J1604</v>
      </c>
      <c r="C224" s="2747">
        <f t="shared" si="1"/>
        <v>1604</v>
      </c>
      <c r="D224" s="2747" t="str">
        <f t="shared" si="20"/>
        <v>在建工程减值</v>
      </c>
      <c r="E224" s="2747" t="str">
        <f t="shared" si="21"/>
        <v>41</v>
      </c>
      <c r="F224" s="2747">
        <f t="shared" si="19"/>
        <v>41.216000000000001</v>
      </c>
      <c r="G224" s="2757" t="str">
        <f t="shared" si="5"/>
        <v>本期</v>
      </c>
      <c r="H224" s="3297"/>
      <c r="I224" s="780"/>
      <c r="J224" s="3286" t="str">
        <f t="shared" si="16"/>
        <v>贷</v>
      </c>
      <c r="K224" s="3278" t="s">
        <v>7846</v>
      </c>
      <c r="L224" s="695"/>
      <c r="M224" s="695"/>
      <c r="N224" s="695"/>
      <c r="O224" s="196"/>
      <c r="P224" s="216">
        <f>O223</f>
        <v>7731484.2000000002</v>
      </c>
      <c r="Q224" s="3298" t="str">
        <f t="shared" si="6"/>
        <v>5500C</v>
      </c>
      <c r="R224" s="732" t="str">
        <f t="shared" si="7"/>
        <v>1</v>
      </c>
      <c r="S224" s="732"/>
      <c r="T224" s="732"/>
      <c r="U224" s="732"/>
      <c r="V224" s="732"/>
      <c r="W224" s="734"/>
      <c r="X224" s="732"/>
      <c r="Y224" s="732"/>
      <c r="Z224" s="732"/>
      <c r="AA224" s="2770"/>
      <c r="AB224" s="2770"/>
      <c r="AC224" s="2771">
        <f t="shared" si="8"/>
        <v>0</v>
      </c>
      <c r="AD224" s="2771">
        <f t="shared" si="9"/>
        <v>7731484.2000000002</v>
      </c>
      <c r="AE224" s="847" t="str">
        <f t="shared" si="10"/>
        <v>请选择分录类型！</v>
      </c>
      <c r="AF224" s="641"/>
    </row>
    <row r="225" spans="1:34" ht="18">
      <c r="A225" s="2750"/>
      <c r="B225" s="2777" t="str">
        <f t="shared" si="0"/>
        <v/>
      </c>
      <c r="C225" s="2747" t="str">
        <f t="shared" si="1"/>
        <v/>
      </c>
      <c r="D225" s="2747" t="str">
        <f t="shared" si="20"/>
        <v/>
      </c>
      <c r="E225" s="2747" t="str">
        <f t="shared" si="21"/>
        <v/>
      </c>
      <c r="F225" s="2747">
        <f t="shared" si="19"/>
        <v>41.216999999999999</v>
      </c>
      <c r="G225" s="2757" t="str">
        <f t="shared" si="5"/>
        <v/>
      </c>
      <c r="H225" s="3297"/>
      <c r="I225" s="780"/>
      <c r="J225" s="3286" t="str">
        <f t="shared" si="16"/>
        <v/>
      </c>
      <c r="K225" s="689"/>
      <c r="L225" s="695"/>
      <c r="M225" s="695"/>
      <c r="N225" s="695"/>
      <c r="O225" s="196"/>
      <c r="P225" s="216"/>
      <c r="Q225" s="3298" t="str">
        <f t="shared" si="6"/>
        <v/>
      </c>
      <c r="R225" s="732" t="str">
        <f t="shared" si="7"/>
        <v/>
      </c>
      <c r="S225" s="732"/>
      <c r="T225" s="732"/>
      <c r="U225" s="732"/>
      <c r="V225" s="732"/>
      <c r="W225" s="734"/>
      <c r="X225" s="732"/>
      <c r="Y225" s="732"/>
      <c r="Z225" s="732"/>
      <c r="AA225" s="2770"/>
      <c r="AB225" s="2770"/>
      <c r="AC225" s="2771">
        <f t="shared" si="8"/>
        <v>0</v>
      </c>
      <c r="AD225" s="2771">
        <f t="shared" si="9"/>
        <v>0</v>
      </c>
      <c r="AE225" s="847" t="str">
        <f t="shared" si="10"/>
        <v/>
      </c>
      <c r="AF225" s="641"/>
    </row>
    <row r="226" spans="1:34" ht="18">
      <c r="A226" s="2750"/>
      <c r="B226" s="2777" t="str">
        <f t="shared" si="0"/>
        <v/>
      </c>
      <c r="C226" s="2747" t="str">
        <f t="shared" si="1"/>
        <v/>
      </c>
      <c r="D226" s="2747" t="str">
        <f t="shared" si="20"/>
        <v>补计提固废处置专项奖励</v>
      </c>
      <c r="E226" s="2747" t="str">
        <f t="shared" si="21"/>
        <v>42</v>
      </c>
      <c r="F226" s="2747">
        <f t="shared" si="19"/>
        <v>42.218000000000004</v>
      </c>
      <c r="G226" s="2757" t="str">
        <f t="shared" si="5"/>
        <v>本期</v>
      </c>
      <c r="H226" s="3297"/>
      <c r="I226" s="780">
        <v>42</v>
      </c>
      <c r="J226" s="3290" t="s">
        <v>7850</v>
      </c>
      <c r="K226" s="689"/>
      <c r="L226" s="695"/>
      <c r="M226" s="695"/>
      <c r="N226" s="695"/>
      <c r="O226" s="196"/>
      <c r="P226" s="216"/>
      <c r="Q226" s="3298" t="str">
        <f t="shared" si="6"/>
        <v/>
      </c>
      <c r="R226" s="732" t="str">
        <f t="shared" si="7"/>
        <v/>
      </c>
      <c r="S226" s="732"/>
      <c r="T226" s="732"/>
      <c r="U226" s="732"/>
      <c r="V226" s="732"/>
      <c r="W226" s="734"/>
      <c r="X226" s="732"/>
      <c r="Y226" s="732"/>
      <c r="Z226" s="732"/>
      <c r="AA226" s="2770"/>
      <c r="AB226" s="2770"/>
      <c r="AC226" s="2771">
        <f t="shared" si="8"/>
        <v>0</v>
      </c>
      <c r="AD226" s="2771">
        <f t="shared" si="9"/>
        <v>0</v>
      </c>
      <c r="AE226" s="847" t="str">
        <f t="shared" si="10"/>
        <v>请选择分录类型！</v>
      </c>
      <c r="AF226" s="641"/>
    </row>
    <row r="227" spans="1:34" ht="18">
      <c r="A227" s="2750"/>
      <c r="B227" s="2777" t="str">
        <f t="shared" si="0"/>
        <v>J6602</v>
      </c>
      <c r="C227" s="2747">
        <f t="shared" si="1"/>
        <v>6602</v>
      </c>
      <c r="D227" s="2747" t="str">
        <f t="shared" si="20"/>
        <v>补计提固废处置专项奖励</v>
      </c>
      <c r="E227" s="2747" t="str">
        <f t="shared" si="21"/>
        <v>42</v>
      </c>
      <c r="F227" s="2747">
        <f t="shared" si="19"/>
        <v>42.219000000000001</v>
      </c>
      <c r="G227" s="2757" t="str">
        <f t="shared" si="5"/>
        <v>本期</v>
      </c>
      <c r="H227" s="3297"/>
      <c r="I227" s="780"/>
      <c r="J227" s="3286" t="str">
        <f t="shared" si="16"/>
        <v>借</v>
      </c>
      <c r="K227" s="689" t="s">
        <v>685</v>
      </c>
      <c r="L227" s="695"/>
      <c r="M227" s="695"/>
      <c r="N227" s="695"/>
      <c r="O227" s="196">
        <v>2650000</v>
      </c>
      <c r="P227" s="216"/>
      <c r="Q227" s="3298" t="str">
        <f t="shared" si="6"/>
        <v>7200D</v>
      </c>
      <c r="R227" s="732" t="str">
        <f t="shared" si="7"/>
        <v>6</v>
      </c>
      <c r="S227" s="732"/>
      <c r="T227" s="732"/>
      <c r="U227" s="732"/>
      <c r="V227" s="732"/>
      <c r="W227" s="734"/>
      <c r="X227" s="732"/>
      <c r="Y227" s="732"/>
      <c r="Z227" s="732"/>
      <c r="AA227" s="2770"/>
      <c r="AB227" s="2770"/>
      <c r="AC227" s="2771">
        <f t="shared" si="8"/>
        <v>2650000</v>
      </c>
      <c r="AD227" s="2771">
        <f t="shared" si="9"/>
        <v>0</v>
      </c>
      <c r="AE227" s="847" t="str">
        <f t="shared" si="10"/>
        <v>请选择分录类型！</v>
      </c>
      <c r="AF227" s="641"/>
    </row>
    <row r="228" spans="1:34" ht="18">
      <c r="A228" s="2750"/>
      <c r="B228" s="2777" t="str">
        <f t="shared" si="0"/>
        <v>J6401</v>
      </c>
      <c r="C228" s="2747">
        <f t="shared" si="1"/>
        <v>6401</v>
      </c>
      <c r="D228" s="2747" t="str">
        <f t="shared" si="20"/>
        <v>补计提固废处置专项奖励</v>
      </c>
      <c r="E228" s="2747" t="str">
        <f t="shared" si="21"/>
        <v>42</v>
      </c>
      <c r="F228" s="2747">
        <f t="shared" si="19"/>
        <v>42.22</v>
      </c>
      <c r="G228" s="2757" t="str">
        <f t="shared" si="5"/>
        <v>本期</v>
      </c>
      <c r="H228" s="3297"/>
      <c r="I228" s="780"/>
      <c r="J228" s="3286" t="str">
        <f t="shared" si="16"/>
        <v>借</v>
      </c>
      <c r="K228" s="689" t="s">
        <v>671</v>
      </c>
      <c r="L228" s="695" t="s">
        <v>369</v>
      </c>
      <c r="M228" s="695"/>
      <c r="N228" s="695"/>
      <c r="O228" s="196">
        <v>850000</v>
      </c>
      <c r="P228" s="216"/>
      <c r="Q228" s="3298" t="str">
        <f t="shared" si="6"/>
        <v>7100A</v>
      </c>
      <c r="R228" s="732" t="str">
        <f t="shared" si="7"/>
        <v>6</v>
      </c>
      <c r="S228" s="732"/>
      <c r="T228" s="732"/>
      <c r="U228" s="732"/>
      <c r="V228" s="732"/>
      <c r="W228" s="734"/>
      <c r="X228" s="732"/>
      <c r="Y228" s="732"/>
      <c r="Z228" s="732"/>
      <c r="AA228" s="2770"/>
      <c r="AB228" s="2770"/>
      <c r="AC228" s="2771">
        <f t="shared" si="8"/>
        <v>850000</v>
      </c>
      <c r="AD228" s="2771">
        <f t="shared" si="9"/>
        <v>0</v>
      </c>
      <c r="AE228" s="847" t="str">
        <f t="shared" si="10"/>
        <v>请选择分录类型！</v>
      </c>
      <c r="AF228" s="641"/>
    </row>
    <row r="229" spans="1:34" ht="18">
      <c r="A229" s="2750"/>
      <c r="B229" s="2777" t="str">
        <f t="shared" si="0"/>
        <v>J2211</v>
      </c>
      <c r="C229" s="2747">
        <f t="shared" si="1"/>
        <v>2211</v>
      </c>
      <c r="D229" s="2747" t="str">
        <f t="shared" si="20"/>
        <v>补计提固废处置专项奖励</v>
      </c>
      <c r="E229" s="2747" t="str">
        <f t="shared" si="21"/>
        <v>42</v>
      </c>
      <c r="F229" s="2747">
        <f t="shared" si="19"/>
        <v>42.220999999999997</v>
      </c>
      <c r="G229" s="2757" t="str">
        <f t="shared" si="5"/>
        <v>本期</v>
      </c>
      <c r="H229" s="3297"/>
      <c r="I229" s="780"/>
      <c r="J229" s="3286" t="str">
        <f t="shared" si="16"/>
        <v>贷</v>
      </c>
      <c r="K229" s="689" t="s">
        <v>489</v>
      </c>
      <c r="L229" s="695"/>
      <c r="M229" s="695"/>
      <c r="N229" s="695"/>
      <c r="O229" s="196"/>
      <c r="P229" s="216">
        <f>SUM(O227:O228)</f>
        <v>3500000</v>
      </c>
      <c r="Q229" s="3298" t="str">
        <f t="shared" si="6"/>
        <v>6200B</v>
      </c>
      <c r="R229" s="732" t="str">
        <f t="shared" si="7"/>
        <v>2</v>
      </c>
      <c r="S229" s="732"/>
      <c r="T229" s="732"/>
      <c r="U229" s="732"/>
      <c r="V229" s="732"/>
      <c r="W229" s="734"/>
      <c r="X229" s="732"/>
      <c r="Y229" s="732"/>
      <c r="Z229" s="732"/>
      <c r="AA229" s="2770"/>
      <c r="AB229" s="2770"/>
      <c r="AC229" s="2771">
        <f t="shared" si="8"/>
        <v>0</v>
      </c>
      <c r="AD229" s="2771">
        <f t="shared" si="9"/>
        <v>3500000</v>
      </c>
      <c r="AE229" s="847" t="str">
        <f t="shared" si="10"/>
        <v>请选择分录类型！</v>
      </c>
      <c r="AF229" s="641"/>
    </row>
    <row r="230" spans="1:34" ht="18">
      <c r="A230" s="2750"/>
      <c r="B230" s="2777" t="str">
        <f t="shared" si="0"/>
        <v/>
      </c>
      <c r="C230" s="2747" t="str">
        <f t="shared" si="1"/>
        <v/>
      </c>
      <c r="D230" s="2747" t="str">
        <f t="shared" si="20"/>
        <v/>
      </c>
      <c r="E230" s="2747" t="str">
        <f t="shared" si="21"/>
        <v/>
      </c>
      <c r="F230" s="2747">
        <f t="shared" si="19"/>
        <v>42.222000000000001</v>
      </c>
      <c r="G230" s="2757" t="str">
        <f t="shared" si="5"/>
        <v/>
      </c>
      <c r="H230" s="3297"/>
      <c r="I230" s="780"/>
      <c r="J230" s="3286" t="str">
        <f t="shared" si="16"/>
        <v/>
      </c>
      <c r="K230" s="689"/>
      <c r="L230" s="695"/>
      <c r="M230" s="695"/>
      <c r="N230" s="695"/>
      <c r="O230" s="196"/>
      <c r="P230" s="216"/>
      <c r="Q230" s="3298" t="str">
        <f t="shared" si="6"/>
        <v/>
      </c>
      <c r="R230" s="732" t="str">
        <f t="shared" si="7"/>
        <v/>
      </c>
      <c r="S230" s="732"/>
      <c r="T230" s="732"/>
      <c r="U230" s="732"/>
      <c r="V230" s="732"/>
      <c r="W230" s="734"/>
      <c r="X230" s="732"/>
      <c r="Y230" s="732"/>
      <c r="Z230" s="732"/>
      <c r="AA230" s="2770"/>
      <c r="AB230" s="2770"/>
      <c r="AC230" s="2771">
        <f t="shared" si="8"/>
        <v>0</v>
      </c>
      <c r="AD230" s="2771">
        <f t="shared" si="9"/>
        <v>0</v>
      </c>
      <c r="AE230" s="847" t="str">
        <f t="shared" si="10"/>
        <v/>
      </c>
      <c r="AF230" s="641"/>
    </row>
    <row r="231" spans="1:34" ht="18">
      <c r="A231" s="2750"/>
      <c r="B231" s="2777" t="str">
        <f t="shared" si="0"/>
        <v/>
      </c>
      <c r="C231" s="2747" t="str">
        <f t="shared" si="1"/>
        <v/>
      </c>
      <c r="D231" s="2747" t="str">
        <f t="shared" si="20"/>
        <v>将固定资产报废损失重分类至营业外支出</v>
      </c>
      <c r="E231" s="2747" t="str">
        <f t="shared" si="21"/>
        <v>43</v>
      </c>
      <c r="F231" s="2747">
        <f t="shared" ref="F231:F235" si="22">VALUE(IF(E231="",E230&amp;"."&amp;TEXT((ROW()-8),"000"),E231&amp;"."&amp;TEXT((ROW()-8),"000")))</f>
        <v>43.222999999999999</v>
      </c>
      <c r="G231" s="2757" t="str">
        <f t="shared" si="5"/>
        <v>本期</v>
      </c>
      <c r="H231" s="3297"/>
      <c r="I231" s="780">
        <v>43</v>
      </c>
      <c r="J231" s="3290" t="s">
        <v>7852</v>
      </c>
      <c r="K231" s="689"/>
      <c r="L231" s="695"/>
      <c r="M231" s="695"/>
      <c r="N231" s="695"/>
      <c r="O231" s="196"/>
      <c r="P231" s="216"/>
      <c r="Q231" s="3298" t="str">
        <f t="shared" si="6"/>
        <v/>
      </c>
      <c r="R231" s="732" t="str">
        <f t="shared" si="7"/>
        <v/>
      </c>
      <c r="S231" s="732"/>
      <c r="T231" s="732"/>
      <c r="U231" s="732"/>
      <c r="V231" s="732"/>
      <c r="W231" s="734"/>
      <c r="X231" s="732"/>
      <c r="Y231" s="732"/>
      <c r="Z231" s="732"/>
      <c r="AA231" s="2770"/>
      <c r="AB231" s="2770"/>
      <c r="AC231" s="2771">
        <f t="shared" si="8"/>
        <v>0</v>
      </c>
      <c r="AD231" s="2771">
        <f t="shared" si="9"/>
        <v>0</v>
      </c>
      <c r="AE231" s="847" t="str">
        <f t="shared" si="10"/>
        <v>请选择分录类型！</v>
      </c>
      <c r="AF231" s="641"/>
    </row>
    <row r="232" spans="1:34" ht="18">
      <c r="A232" s="2750"/>
      <c r="B232" s="2777" t="str">
        <f t="shared" si="0"/>
        <v>J6711</v>
      </c>
      <c r="C232" s="2747">
        <f t="shared" si="1"/>
        <v>6711</v>
      </c>
      <c r="D232" s="2747" t="str">
        <f t="shared" si="20"/>
        <v>将固定资产报废损失重分类至营业外支出</v>
      </c>
      <c r="E232" s="2747" t="str">
        <f t="shared" si="21"/>
        <v>43</v>
      </c>
      <c r="F232" s="2747">
        <f t="shared" si="22"/>
        <v>43.223999999999997</v>
      </c>
      <c r="G232" s="2757" t="str">
        <f t="shared" si="5"/>
        <v>本期</v>
      </c>
      <c r="H232" s="3297"/>
      <c r="I232" s="780"/>
      <c r="J232" s="3286" t="str">
        <f t="shared" si="16"/>
        <v>借</v>
      </c>
      <c r="K232" s="3278" t="s">
        <v>7853</v>
      </c>
      <c r="L232" s="695"/>
      <c r="M232" s="695"/>
      <c r="N232" s="695"/>
      <c r="O232" s="196">
        <v>1573265.7</v>
      </c>
      <c r="P232" s="216"/>
      <c r="Q232" s="3298" t="str">
        <f t="shared" si="6"/>
        <v>7410M</v>
      </c>
      <c r="R232" s="732" t="str">
        <f t="shared" si="7"/>
        <v>6</v>
      </c>
      <c r="S232" s="732"/>
      <c r="T232" s="732"/>
      <c r="U232" s="732"/>
      <c r="V232" s="732"/>
      <c r="W232" s="734"/>
      <c r="X232" s="732"/>
      <c r="Y232" s="732"/>
      <c r="Z232" s="732"/>
      <c r="AA232" s="2770"/>
      <c r="AB232" s="2770"/>
      <c r="AC232" s="2771">
        <f t="shared" si="8"/>
        <v>1573265.7</v>
      </c>
      <c r="AD232" s="2771">
        <f t="shared" si="9"/>
        <v>0</v>
      </c>
      <c r="AE232" s="847" t="str">
        <f t="shared" si="10"/>
        <v>请选择分录类型！</v>
      </c>
      <c r="AF232" s="641"/>
    </row>
    <row r="233" spans="1:34" ht="18">
      <c r="A233" s="2750"/>
      <c r="B233" s="2777" t="str">
        <f t="shared" si="0"/>
        <v>J6171</v>
      </c>
      <c r="C233" s="2747">
        <f t="shared" si="1"/>
        <v>6171</v>
      </c>
      <c r="D233" s="2747" t="str">
        <f t="shared" si="20"/>
        <v>将固定资产报废损失重分类至营业外支出</v>
      </c>
      <c r="E233" s="2747" t="str">
        <f t="shared" si="21"/>
        <v>43</v>
      </c>
      <c r="F233" s="2747">
        <f t="shared" si="22"/>
        <v>43.225000000000001</v>
      </c>
      <c r="G233" s="2757" t="str">
        <f t="shared" si="5"/>
        <v>本期</v>
      </c>
      <c r="H233" s="3297"/>
      <c r="I233" s="780"/>
      <c r="J233" s="3286" t="str">
        <f t="shared" si="16"/>
        <v>贷</v>
      </c>
      <c r="K233" s="3278" t="s">
        <v>7854</v>
      </c>
      <c r="L233" s="695"/>
      <c r="M233" s="695"/>
      <c r="N233" s="695"/>
      <c r="O233" s="196"/>
      <c r="P233" s="216">
        <v>1573265.7</v>
      </c>
      <c r="Q233" s="3298" t="str">
        <f t="shared" si="6"/>
        <v>7410G</v>
      </c>
      <c r="R233" s="732" t="str">
        <f t="shared" si="7"/>
        <v>6</v>
      </c>
      <c r="S233" s="732"/>
      <c r="T233" s="732"/>
      <c r="U233" s="732"/>
      <c r="V233" s="732"/>
      <c r="W233" s="734"/>
      <c r="X233" s="732"/>
      <c r="Y233" s="732"/>
      <c r="Z233" s="732"/>
      <c r="AA233" s="2770"/>
      <c r="AB233" s="2770"/>
      <c r="AC233" s="2771">
        <f t="shared" si="8"/>
        <v>0</v>
      </c>
      <c r="AD233" s="2771">
        <f t="shared" si="9"/>
        <v>1573265.7</v>
      </c>
      <c r="AE233" s="847" t="str">
        <f t="shared" si="10"/>
        <v>请选择分录类型！</v>
      </c>
      <c r="AF233" s="641"/>
    </row>
    <row r="234" spans="1:34" ht="18">
      <c r="A234" s="2750"/>
      <c r="B234" s="2777" t="str">
        <f t="shared" si="0"/>
        <v/>
      </c>
      <c r="C234" s="2747" t="str">
        <f t="shared" si="1"/>
        <v/>
      </c>
      <c r="D234" s="2747" t="str">
        <f t="shared" si="20"/>
        <v/>
      </c>
      <c r="E234" s="2747" t="str">
        <f t="shared" si="21"/>
        <v/>
      </c>
      <c r="F234" s="2747">
        <f t="shared" si="22"/>
        <v>43.225999999999999</v>
      </c>
      <c r="G234" s="2757" t="str">
        <f t="shared" si="5"/>
        <v/>
      </c>
      <c r="H234" s="3297"/>
      <c r="I234" s="780"/>
      <c r="J234" s="3286" t="str">
        <f t="shared" si="16"/>
        <v/>
      </c>
      <c r="K234" s="689"/>
      <c r="L234" s="695"/>
      <c r="M234" s="695"/>
      <c r="N234" s="695"/>
      <c r="O234" s="196"/>
      <c r="P234" s="216"/>
      <c r="Q234" s="3298" t="str">
        <f t="shared" si="6"/>
        <v/>
      </c>
      <c r="R234" s="732" t="str">
        <f t="shared" si="7"/>
        <v/>
      </c>
      <c r="S234" s="732"/>
      <c r="T234" s="732"/>
      <c r="U234" s="732"/>
      <c r="V234" s="732"/>
      <c r="W234" s="734"/>
      <c r="X234" s="732"/>
      <c r="Y234" s="732"/>
      <c r="Z234" s="732"/>
      <c r="AA234" s="2770"/>
      <c r="AB234" s="2770"/>
      <c r="AC234" s="2771">
        <f t="shared" si="8"/>
        <v>0</v>
      </c>
      <c r="AD234" s="2771">
        <f t="shared" si="9"/>
        <v>0</v>
      </c>
      <c r="AE234" s="847" t="str">
        <f t="shared" si="10"/>
        <v/>
      </c>
      <c r="AF234" s="641"/>
    </row>
    <row r="235" spans="1:34" ht="18">
      <c r="A235" s="2750"/>
      <c r="B235" s="2777" t="str">
        <f t="shared" si="0"/>
        <v/>
      </c>
      <c r="C235" s="2747" t="str">
        <f t="shared" si="1"/>
        <v/>
      </c>
      <c r="D235" s="2747" t="str">
        <f t="shared" si="20"/>
        <v/>
      </c>
      <c r="E235" s="2747" t="str">
        <f t="shared" si="21"/>
        <v/>
      </c>
      <c r="F235" s="2747">
        <f t="shared" si="22"/>
        <v>0.22700000000000001</v>
      </c>
      <c r="G235" s="2757" t="str">
        <f t="shared" si="5"/>
        <v/>
      </c>
      <c r="H235" s="651"/>
      <c r="I235" s="694"/>
      <c r="J235" s="692" t="str">
        <f t="shared" si="16"/>
        <v/>
      </c>
      <c r="K235" s="689"/>
      <c r="L235" s="695"/>
      <c r="M235" s="695"/>
      <c r="N235" s="695"/>
      <c r="O235" s="196"/>
      <c r="P235" s="218"/>
      <c r="Q235" s="738" t="str">
        <f t="shared" si="6"/>
        <v/>
      </c>
      <c r="R235" s="732" t="str">
        <f t="shared" si="7"/>
        <v/>
      </c>
      <c r="S235" s="732"/>
      <c r="T235" s="732"/>
      <c r="U235" s="732"/>
      <c r="V235" s="732"/>
      <c r="W235" s="734"/>
      <c r="X235" s="732"/>
      <c r="Y235" s="732"/>
      <c r="Z235" s="732"/>
      <c r="AA235" s="2770"/>
      <c r="AB235" s="2770"/>
      <c r="AC235" s="2771">
        <f t="shared" si="8"/>
        <v>0</v>
      </c>
      <c r="AD235" s="2771">
        <f t="shared" si="9"/>
        <v>0</v>
      </c>
      <c r="AE235" s="847" t="str">
        <f t="shared" si="10"/>
        <v/>
      </c>
      <c r="AF235" s="641"/>
    </row>
    <row r="236" spans="1:34" ht="18" hidden="1">
      <c r="A236" s="2750"/>
      <c r="B236" s="2778"/>
      <c r="C236" s="2747"/>
      <c r="D236" s="2747"/>
      <c r="E236" s="2747"/>
      <c r="F236" s="2747"/>
      <c r="G236" s="2757"/>
      <c r="H236" s="652"/>
      <c r="I236" s="696"/>
      <c r="J236" s="697"/>
      <c r="K236" s="231"/>
      <c r="L236" s="231"/>
      <c r="M236" s="231"/>
      <c r="N236" s="231"/>
      <c r="O236" s="698"/>
      <c r="P236" s="698"/>
      <c r="Q236" s="739"/>
      <c r="R236" s="740"/>
      <c r="S236" s="732"/>
      <c r="T236" s="740"/>
      <c r="U236" s="740"/>
      <c r="V236" s="740"/>
      <c r="W236" s="741"/>
      <c r="X236" s="740"/>
      <c r="Y236" s="740"/>
      <c r="Z236" s="740"/>
      <c r="AA236" s="2770"/>
      <c r="AB236" s="2770"/>
      <c r="AC236" s="2772"/>
      <c r="AD236" s="2772"/>
      <c r="AE236" s="847"/>
      <c r="AF236" s="641"/>
    </row>
    <row r="237" spans="1:34" s="640" customFormat="1" ht="18" customHeight="1">
      <c r="A237" s="2751" t="s">
        <v>2688</v>
      </c>
      <c r="B237" s="2779"/>
      <c r="C237" s="2758"/>
      <c r="D237" s="2759"/>
      <c r="E237" s="2759"/>
      <c r="F237" s="2759"/>
      <c r="G237" s="2760"/>
      <c r="H237" s="842"/>
      <c r="I237" s="843"/>
      <c r="J237" s="844" t="s">
        <v>2689</v>
      </c>
      <c r="K237" s="842"/>
      <c r="L237" s="842"/>
      <c r="M237" s="845"/>
      <c r="N237" s="845"/>
      <c r="O237" s="830">
        <f>SUBTOTAL(109,(INDEX(O:O,ROW(O$8)+1):cellAbove))</f>
        <v>59343796.32</v>
      </c>
      <c r="P237" s="846">
        <f>SUBTOTAL(109,(INDEX(P:P,ROW(P$8)+1):cellAbove))</f>
        <v>59343796.32</v>
      </c>
      <c r="Q237" s="842"/>
      <c r="R237" s="740"/>
      <c r="S237" s="732"/>
      <c r="T237" s="740"/>
      <c r="U237" s="740"/>
      <c r="V237" s="740"/>
      <c r="W237" s="741"/>
      <c r="X237" s="740"/>
      <c r="Y237" s="742"/>
      <c r="Z237" s="742"/>
      <c r="AA237" s="2773"/>
      <c r="AB237" s="2773"/>
      <c r="AC237" s="2774"/>
      <c r="AD237" s="2774"/>
      <c r="AE237" s="840" t="str">
        <f>IF(AND(O237=0,P237=0),"",IF(ROUND(O237-P237,2)=0,"借贷平衡!","借贷相差："&amp;(TEXT(O237-P237,"#,0.00"))))</f>
        <v>借贷平衡!</v>
      </c>
      <c r="AF237" s="747"/>
      <c r="AG237" s="748"/>
      <c r="AH237" s="748"/>
    </row>
    <row r="238" spans="1:34" ht="12.75">
      <c r="A238" s="2747"/>
      <c r="B238" s="642"/>
      <c r="C238" s="2747"/>
      <c r="D238" s="2747"/>
      <c r="E238" s="2747"/>
      <c r="F238" s="2747"/>
      <c r="G238" s="2761"/>
      <c r="H238" s="641"/>
      <c r="I238" s="641"/>
      <c r="J238" s="641"/>
      <c r="K238" s="641"/>
      <c r="L238" s="641"/>
      <c r="M238" s="641"/>
      <c r="N238" s="641"/>
      <c r="O238" s="641"/>
      <c r="P238" s="641"/>
      <c r="Q238" s="641"/>
      <c r="R238" s="740"/>
      <c r="S238" s="732"/>
      <c r="T238" s="740"/>
      <c r="U238" s="740"/>
      <c r="V238" s="740"/>
      <c r="W238" s="740"/>
      <c r="X238" s="740"/>
      <c r="Y238" s="641"/>
      <c r="Z238" s="641"/>
      <c r="AA238" s="2763"/>
      <c r="AB238" s="2763"/>
      <c r="AE238" s="641"/>
    </row>
    <row r="239" spans="1:34" ht="18" customHeight="1">
      <c r="A239" s="2747"/>
      <c r="B239" s="642"/>
      <c r="C239" s="2747"/>
      <c r="D239" s="2747"/>
      <c r="E239" s="2747"/>
      <c r="F239" s="2747"/>
      <c r="G239" s="2747"/>
      <c r="H239" s="656"/>
      <c r="I239" s="704" t="s">
        <v>2690</v>
      </c>
      <c r="J239" s="705"/>
      <c r="K239" s="705"/>
      <c r="L239" s="706"/>
      <c r="M239" s="705"/>
      <c r="N239" s="705"/>
      <c r="O239" s="705"/>
      <c r="P239" s="707"/>
      <c r="Q239" s="709"/>
      <c r="R239" s="740"/>
      <c r="S239" s="732"/>
      <c r="T239" s="740"/>
      <c r="U239" s="740"/>
      <c r="V239" s="740"/>
      <c r="W239" s="740"/>
      <c r="X239" s="740"/>
      <c r="Y239" s="709"/>
      <c r="Z239" s="709"/>
      <c r="AA239" s="2775"/>
      <c r="AB239" s="2775"/>
      <c r="AE239" s="641"/>
    </row>
    <row r="240" spans="1:34" ht="18" customHeight="1">
      <c r="A240" s="2747"/>
      <c r="B240" s="642"/>
      <c r="C240" s="2747"/>
      <c r="D240" s="2747"/>
      <c r="E240" s="2747"/>
      <c r="F240" s="2747"/>
      <c r="G240" s="2762"/>
      <c r="H240" s="657"/>
      <c r="I240" s="708"/>
      <c r="J240" s="709"/>
      <c r="K240" s="186"/>
      <c r="L240" s="710"/>
      <c r="M240" s="186"/>
      <c r="N240" s="186"/>
      <c r="O240" s="186"/>
      <c r="P240" s="711"/>
      <c r="Q240" s="709"/>
      <c r="R240" s="740"/>
      <c r="S240" s="732"/>
      <c r="T240" s="740"/>
      <c r="U240" s="740"/>
      <c r="V240" s="740"/>
      <c r="W240" s="740"/>
      <c r="X240" s="740"/>
      <c r="Y240" s="709"/>
      <c r="Z240" s="709"/>
      <c r="AA240" s="2775"/>
      <c r="AB240" s="2775"/>
      <c r="AE240" s="641"/>
    </row>
    <row r="241" spans="1:31" ht="18" customHeight="1">
      <c r="A241" s="2747"/>
      <c r="B241" s="642"/>
      <c r="C241" s="2747"/>
      <c r="D241" s="2747"/>
      <c r="E241" s="2747"/>
      <c r="F241" s="2747"/>
      <c r="G241" s="2747"/>
      <c r="H241" s="656"/>
      <c r="I241" s="712" t="s">
        <v>2691</v>
      </c>
      <c r="J241" s="709"/>
      <c r="K241" s="709"/>
      <c r="L241" s="713" t="s">
        <v>2692</v>
      </c>
      <c r="M241" s="709"/>
      <c r="N241" s="709"/>
      <c r="O241" s="709"/>
      <c r="P241" s="657"/>
      <c r="Q241" s="709"/>
      <c r="R241" s="740"/>
      <c r="S241" s="732"/>
      <c r="T241" s="740"/>
      <c r="U241" s="740"/>
      <c r="V241" s="740"/>
      <c r="W241" s="740"/>
      <c r="X241" s="740"/>
      <c r="Y241" s="709"/>
      <c r="Z241" s="709"/>
      <c r="AA241" s="2775"/>
      <c r="AB241" s="2775"/>
      <c r="AE241" s="641"/>
    </row>
    <row r="242" spans="1:31" ht="18" customHeight="1">
      <c r="A242" s="2747"/>
      <c r="B242" s="642"/>
      <c r="C242" s="2747"/>
      <c r="D242" s="2747"/>
      <c r="E242" s="2747"/>
      <c r="F242" s="2747"/>
      <c r="G242" s="2747"/>
      <c r="H242" s="658"/>
      <c r="I242" s="714" t="s">
        <v>2693</v>
      </c>
      <c r="J242" s="709"/>
      <c r="K242" s="709"/>
      <c r="L242" s="715" t="s">
        <v>2694</v>
      </c>
      <c r="M242" s="709"/>
      <c r="N242" s="709"/>
      <c r="O242" s="715" t="s">
        <v>2695</v>
      </c>
      <c r="P242" s="657"/>
      <c r="Q242" s="709"/>
      <c r="R242" s="740"/>
      <c r="S242" s="732"/>
      <c r="T242" s="740"/>
      <c r="U242" s="740"/>
      <c r="V242" s="740"/>
      <c r="W242" s="740"/>
      <c r="X242" s="740"/>
      <c r="Y242" s="709"/>
      <c r="Z242" s="709"/>
      <c r="AA242" s="2775"/>
      <c r="AB242" s="2775"/>
      <c r="AE242" s="641"/>
    </row>
    <row r="243" spans="1:31" ht="18" customHeight="1">
      <c r="A243" s="2747"/>
      <c r="B243" s="642"/>
      <c r="C243" s="2747"/>
      <c r="D243" s="2747"/>
      <c r="E243" s="2747"/>
      <c r="F243" s="2747"/>
      <c r="G243" s="2761"/>
      <c r="H243" s="657"/>
      <c r="I243" s="716"/>
      <c r="J243" s="717"/>
      <c r="K243" s="717" t="s">
        <v>2696</v>
      </c>
      <c r="L243" s="718" t="s">
        <v>2697</v>
      </c>
      <c r="M243" s="717"/>
      <c r="N243" s="717"/>
      <c r="O243" s="718" t="s">
        <v>2697</v>
      </c>
      <c r="P243" s="719"/>
      <c r="Q243" s="709"/>
      <c r="R243" s="740"/>
      <c r="S243" s="732"/>
      <c r="T243" s="740"/>
      <c r="U243" s="740"/>
      <c r="V243" s="740"/>
      <c r="W243" s="740"/>
      <c r="X243" s="740"/>
      <c r="Y243" s="709"/>
      <c r="Z243" s="709"/>
      <c r="AA243" s="2775"/>
      <c r="AB243" s="2775"/>
      <c r="AE243" s="641"/>
    </row>
    <row r="244" spans="1:31" ht="12.75">
      <c r="A244" s="2747"/>
      <c r="B244" s="642"/>
      <c r="C244" s="2747"/>
      <c r="D244" s="2747"/>
      <c r="E244" s="2747"/>
      <c r="F244" s="2747"/>
      <c r="G244" s="2747"/>
      <c r="H244" s="659"/>
      <c r="I244" s="659" t="s">
        <v>2698</v>
      </c>
      <c r="J244" s="641"/>
      <c r="K244" s="641"/>
      <c r="L244" s="641"/>
      <c r="M244" s="641"/>
      <c r="N244" s="641"/>
      <c r="O244" s="641"/>
      <c r="P244" s="641"/>
      <c r="Q244" s="641"/>
      <c r="R244" s="740"/>
      <c r="S244" s="732"/>
      <c r="T244" s="740"/>
      <c r="U244" s="740"/>
      <c r="V244" s="740"/>
      <c r="W244" s="740"/>
      <c r="X244" s="740"/>
      <c r="Y244" s="641"/>
      <c r="Z244" s="641"/>
      <c r="AA244" s="2763"/>
      <c r="AB244" s="2763"/>
      <c r="AE244" s="641"/>
    </row>
    <row r="245" spans="1:31" ht="12.75">
      <c r="A245" s="2747"/>
      <c r="B245" s="642"/>
      <c r="C245" s="2747"/>
      <c r="D245" s="2747"/>
      <c r="E245" s="2747"/>
      <c r="F245" s="2747"/>
      <c r="G245" s="2747"/>
      <c r="H245" s="660"/>
      <c r="I245" s="660" t="s">
        <v>2699</v>
      </c>
      <c r="J245" s="641"/>
      <c r="K245" s="641"/>
      <c r="L245" s="641"/>
      <c r="M245" s="641"/>
      <c r="N245" s="641"/>
      <c r="O245" s="641"/>
      <c r="P245" s="641"/>
      <c r="Q245" s="641"/>
      <c r="R245" s="740"/>
      <c r="S245" s="732"/>
      <c r="T245" s="740"/>
      <c r="U245" s="740"/>
      <c r="V245" s="740"/>
      <c r="W245" s="740"/>
      <c r="X245" s="740"/>
      <c r="Y245" s="641"/>
      <c r="Z245" s="641"/>
      <c r="AA245" s="2763"/>
      <c r="AB245" s="2763"/>
      <c r="AE245" s="641"/>
    </row>
    <row r="246" spans="1:31" ht="12.75">
      <c r="A246" s="2747"/>
      <c r="B246" s="642"/>
      <c r="C246" s="2747"/>
      <c r="D246" s="2747"/>
      <c r="E246" s="2747"/>
      <c r="F246" s="2747"/>
      <c r="G246" s="2761"/>
      <c r="R246" s="740"/>
      <c r="S246" s="732"/>
      <c r="T246" s="740"/>
      <c r="U246" s="740"/>
      <c r="V246" s="740"/>
      <c r="W246" s="740"/>
      <c r="X246" s="740"/>
    </row>
    <row r="247" spans="1:31">
      <c r="R247" s="742"/>
      <c r="S247" s="736"/>
      <c r="T247" s="742"/>
      <c r="U247" s="742"/>
      <c r="V247" s="742"/>
      <c r="W247" s="742"/>
      <c r="X247" s="742"/>
    </row>
    <row r="248" spans="1:31">
      <c r="R248" s="641"/>
      <c r="T248" s="641"/>
      <c r="U248" s="641"/>
      <c r="V248" s="641"/>
      <c r="W248" s="641"/>
      <c r="X248" s="641"/>
    </row>
    <row r="249" spans="1:31" ht="12.75">
      <c r="R249" s="740"/>
      <c r="S249" s="732"/>
      <c r="T249" s="740"/>
      <c r="U249" s="740"/>
      <c r="V249" s="740"/>
      <c r="W249" s="740"/>
      <c r="X249" s="740"/>
    </row>
    <row r="250" spans="1:31" ht="12.75">
      <c r="R250" s="740"/>
      <c r="S250" s="732"/>
      <c r="T250" s="740"/>
      <c r="U250" s="740"/>
      <c r="V250" s="740"/>
      <c r="W250" s="740"/>
      <c r="X250" s="740"/>
    </row>
    <row r="251" spans="1:31" ht="12.75">
      <c r="R251" s="740"/>
      <c r="S251" s="732"/>
      <c r="T251" s="740"/>
      <c r="U251" s="740"/>
      <c r="V251" s="740"/>
      <c r="W251" s="740"/>
      <c r="X251" s="740"/>
    </row>
    <row r="252" spans="1:31" ht="12.75">
      <c r="R252" s="740"/>
      <c r="S252" s="732"/>
      <c r="T252" s="740"/>
      <c r="U252" s="740"/>
      <c r="V252" s="740"/>
      <c r="W252" s="740"/>
      <c r="X252" s="740"/>
    </row>
    <row r="253" spans="1:31" ht="12.75">
      <c r="R253" s="740"/>
      <c r="S253" s="732"/>
      <c r="T253" s="740"/>
      <c r="U253" s="740"/>
      <c r="V253" s="740"/>
      <c r="W253" s="740"/>
      <c r="X253" s="740"/>
    </row>
    <row r="254" spans="1:31" ht="12.75">
      <c r="R254" s="740"/>
      <c r="S254" s="732"/>
      <c r="T254" s="740"/>
      <c r="U254" s="740"/>
      <c r="V254" s="740"/>
      <c r="W254" s="740"/>
      <c r="X254" s="740"/>
    </row>
    <row r="255" spans="1:31" ht="12.75">
      <c r="R255" s="740"/>
      <c r="S255" s="732"/>
      <c r="T255" s="740"/>
      <c r="U255" s="740"/>
      <c r="V255" s="740"/>
      <c r="W255" s="740"/>
      <c r="X255" s="740"/>
    </row>
    <row r="256" spans="1:31" ht="12.75">
      <c r="R256" s="740"/>
      <c r="S256" s="732"/>
      <c r="T256" s="740"/>
      <c r="U256" s="740"/>
      <c r="V256" s="740"/>
      <c r="W256" s="740"/>
      <c r="X256" s="740"/>
    </row>
    <row r="257" spans="18:24" ht="12.75">
      <c r="R257" s="740"/>
      <c r="S257" s="732"/>
      <c r="T257" s="740"/>
      <c r="U257" s="740"/>
      <c r="V257" s="740"/>
      <c r="W257" s="740"/>
      <c r="X257" s="740"/>
    </row>
    <row r="258" spans="18:24" ht="12.75">
      <c r="R258" s="740"/>
      <c r="S258" s="732"/>
      <c r="T258" s="740"/>
      <c r="U258" s="740"/>
      <c r="V258" s="740"/>
      <c r="W258" s="740"/>
      <c r="X258" s="740"/>
    </row>
    <row r="259" spans="18:24" ht="12.75">
      <c r="R259" s="740"/>
      <c r="S259" s="732"/>
      <c r="T259" s="740"/>
      <c r="U259" s="740"/>
      <c r="V259" s="740"/>
      <c r="W259" s="740"/>
      <c r="X259" s="740"/>
    </row>
    <row r="260" spans="18:24" ht="12.75">
      <c r="R260" s="740"/>
      <c r="S260" s="732"/>
      <c r="T260" s="740"/>
      <c r="U260" s="740"/>
      <c r="V260" s="740"/>
      <c r="W260" s="740"/>
      <c r="X260" s="740"/>
    </row>
    <row r="261" spans="18:24" ht="12.75">
      <c r="R261" s="740"/>
      <c r="S261" s="732"/>
      <c r="T261" s="740"/>
      <c r="U261" s="740"/>
      <c r="V261" s="740"/>
      <c r="W261" s="740"/>
      <c r="X261" s="740"/>
    </row>
    <row r="262" spans="18:24" ht="12.75">
      <c r="R262" s="740"/>
      <c r="S262" s="732"/>
      <c r="T262" s="740"/>
      <c r="U262" s="740"/>
      <c r="V262" s="740"/>
      <c r="W262" s="740"/>
      <c r="X262" s="740"/>
    </row>
    <row r="263" spans="18:24" ht="12.75">
      <c r="R263" s="740"/>
      <c r="S263" s="732"/>
      <c r="T263" s="740"/>
      <c r="U263" s="740"/>
      <c r="V263" s="740"/>
      <c r="W263" s="740"/>
      <c r="X263" s="740"/>
    </row>
    <row r="264" spans="18:24" ht="12.75">
      <c r="R264" s="740"/>
      <c r="S264" s="732"/>
      <c r="T264" s="740"/>
      <c r="U264" s="740"/>
      <c r="V264" s="740"/>
      <c r="W264" s="740"/>
      <c r="X264" s="740"/>
    </row>
    <row r="265" spans="18:24" ht="12.75">
      <c r="R265" s="740"/>
      <c r="S265" s="732"/>
      <c r="T265" s="740"/>
      <c r="U265" s="740"/>
      <c r="V265" s="740"/>
      <c r="W265" s="740"/>
      <c r="X265" s="740"/>
    </row>
    <row r="266" spans="18:24" ht="12.75">
      <c r="R266" s="740"/>
      <c r="S266" s="732"/>
      <c r="T266" s="740"/>
      <c r="U266" s="740"/>
      <c r="V266" s="740"/>
      <c r="W266" s="740"/>
      <c r="X266" s="740"/>
    </row>
    <row r="267" spans="18:24" ht="12.75">
      <c r="R267" s="740"/>
      <c r="S267" s="732"/>
      <c r="T267" s="740"/>
      <c r="U267" s="740"/>
      <c r="V267" s="740"/>
      <c r="W267" s="740"/>
      <c r="X267" s="740"/>
    </row>
    <row r="268" spans="18:24" ht="12.75">
      <c r="R268" s="740"/>
      <c r="S268" s="732"/>
      <c r="T268" s="740"/>
      <c r="U268" s="740"/>
      <c r="V268" s="740"/>
      <c r="W268" s="740"/>
      <c r="X268" s="740"/>
    </row>
    <row r="269" spans="18:24">
      <c r="R269" s="742"/>
      <c r="S269" s="736"/>
      <c r="T269" s="742"/>
      <c r="U269" s="742"/>
      <c r="V269" s="742"/>
      <c r="W269" s="742"/>
      <c r="X269" s="742"/>
    </row>
    <row r="270" spans="18:24">
      <c r="R270" s="641"/>
      <c r="T270" s="641"/>
      <c r="U270" s="641"/>
      <c r="V270" s="641"/>
      <c r="W270" s="641"/>
      <c r="X270" s="641"/>
    </row>
    <row r="271" spans="18:24" ht="12.75">
      <c r="R271" s="740"/>
      <c r="S271" s="732"/>
      <c r="T271" s="740"/>
      <c r="U271" s="740"/>
      <c r="V271" s="740"/>
      <c r="W271" s="740"/>
      <c r="X271" s="740"/>
    </row>
    <row r="272" spans="18:24" ht="12.75">
      <c r="R272" s="740"/>
      <c r="S272" s="732"/>
      <c r="T272" s="740"/>
      <c r="U272" s="740"/>
      <c r="V272" s="740"/>
      <c r="W272" s="740"/>
      <c r="X272" s="740"/>
    </row>
    <row r="273" spans="18:24" ht="12.75">
      <c r="R273" s="740"/>
      <c r="S273" s="732"/>
      <c r="T273" s="740"/>
      <c r="U273" s="740"/>
      <c r="V273" s="740"/>
      <c r="W273" s="740"/>
      <c r="X273" s="740"/>
    </row>
    <row r="274" spans="18:24" ht="12.75">
      <c r="R274" s="740"/>
      <c r="S274" s="732"/>
      <c r="T274" s="740"/>
      <c r="U274" s="740"/>
      <c r="V274" s="740"/>
      <c r="W274" s="740"/>
      <c r="X274" s="740"/>
    </row>
    <row r="275" spans="18:24" ht="12.75">
      <c r="R275" s="740"/>
      <c r="S275" s="732"/>
      <c r="T275" s="740"/>
      <c r="U275" s="740"/>
      <c r="V275" s="740"/>
      <c r="W275" s="740"/>
      <c r="X275" s="740"/>
    </row>
    <row r="276" spans="18:24" ht="12.75">
      <c r="R276" s="740"/>
      <c r="S276" s="732"/>
      <c r="T276" s="740"/>
      <c r="U276" s="740"/>
      <c r="V276" s="740"/>
      <c r="W276" s="740"/>
      <c r="X276" s="740"/>
    </row>
    <row r="277" spans="18:24" ht="12.75">
      <c r="R277" s="740"/>
      <c r="S277" s="732"/>
      <c r="T277" s="740"/>
      <c r="U277" s="740"/>
      <c r="V277" s="740"/>
      <c r="W277" s="740"/>
      <c r="X277" s="740"/>
    </row>
    <row r="278" spans="18:24" ht="12.75">
      <c r="R278" s="740"/>
      <c r="S278" s="732"/>
      <c r="T278" s="740"/>
      <c r="U278" s="740"/>
      <c r="V278" s="740"/>
      <c r="W278" s="740"/>
      <c r="X278" s="740"/>
    </row>
    <row r="279" spans="18:24" ht="12.75">
      <c r="R279" s="740"/>
      <c r="S279" s="732"/>
      <c r="T279" s="740"/>
      <c r="U279" s="740"/>
      <c r="V279" s="740"/>
      <c r="W279" s="740"/>
      <c r="X279" s="740"/>
    </row>
    <row r="280" spans="18:24" ht="12.75">
      <c r="R280" s="740"/>
      <c r="S280" s="732"/>
      <c r="T280" s="740"/>
      <c r="U280" s="740"/>
      <c r="V280" s="740"/>
      <c r="W280" s="740"/>
      <c r="X280" s="740"/>
    </row>
    <row r="281" spans="18:24" ht="12.75">
      <c r="R281" s="740"/>
      <c r="S281" s="732"/>
      <c r="T281" s="740"/>
      <c r="U281" s="740"/>
      <c r="V281" s="740"/>
      <c r="W281" s="740"/>
      <c r="X281" s="740"/>
    </row>
    <row r="282" spans="18:24" ht="12.75">
      <c r="R282" s="740"/>
      <c r="S282" s="732"/>
      <c r="T282" s="740"/>
      <c r="U282" s="740"/>
      <c r="V282" s="740"/>
      <c r="W282" s="740"/>
      <c r="X282" s="740"/>
    </row>
    <row r="283" spans="18:24" ht="12.75">
      <c r="R283" s="740"/>
      <c r="S283" s="732"/>
      <c r="T283" s="740"/>
      <c r="U283" s="740"/>
      <c r="V283" s="740"/>
      <c r="W283" s="740"/>
      <c r="X283" s="740"/>
    </row>
    <row r="284" spans="18:24" ht="12.75">
      <c r="R284" s="740"/>
      <c r="S284" s="732"/>
      <c r="T284" s="740"/>
      <c r="U284" s="740"/>
      <c r="V284" s="740"/>
      <c r="W284" s="740"/>
      <c r="X284" s="740"/>
    </row>
    <row r="285" spans="18:24" ht="12.75">
      <c r="R285" s="740"/>
      <c r="S285" s="732"/>
      <c r="T285" s="740"/>
      <c r="U285" s="740"/>
      <c r="V285" s="740"/>
      <c r="W285" s="740"/>
      <c r="X285" s="740"/>
    </row>
    <row r="286" spans="18:24" ht="12.75">
      <c r="R286" s="740"/>
      <c r="S286" s="732"/>
      <c r="T286" s="740"/>
      <c r="U286" s="740"/>
      <c r="V286" s="740"/>
      <c r="W286" s="740"/>
      <c r="X286" s="740"/>
    </row>
    <row r="287" spans="18:24" ht="12.75">
      <c r="R287" s="740"/>
      <c r="S287" s="732"/>
      <c r="T287" s="740"/>
      <c r="U287" s="740"/>
      <c r="V287" s="740"/>
      <c r="W287" s="740"/>
      <c r="X287" s="740"/>
    </row>
    <row r="288" spans="18:24" ht="12.75">
      <c r="R288" s="740"/>
      <c r="S288" s="732"/>
      <c r="T288" s="740"/>
      <c r="U288" s="740"/>
      <c r="V288" s="740"/>
      <c r="W288" s="740"/>
      <c r="X288" s="740"/>
    </row>
    <row r="289" spans="18:24" ht="12.75">
      <c r="R289" s="740"/>
      <c r="S289" s="732"/>
      <c r="T289" s="740"/>
      <c r="U289" s="740"/>
      <c r="V289" s="740"/>
      <c r="W289" s="740"/>
      <c r="X289" s="740"/>
    </row>
    <row r="290" spans="18:24" ht="12.75">
      <c r="R290" s="740"/>
      <c r="S290" s="732"/>
      <c r="T290" s="740"/>
      <c r="U290" s="740"/>
      <c r="V290" s="740"/>
      <c r="W290" s="740"/>
      <c r="X290" s="740"/>
    </row>
    <row r="291" spans="18:24">
      <c r="R291" s="742"/>
      <c r="S291" s="736"/>
      <c r="T291" s="742"/>
      <c r="U291" s="742"/>
      <c r="V291" s="742"/>
      <c r="W291" s="742"/>
      <c r="X291" s="742"/>
    </row>
    <row r="292" spans="18:24">
      <c r="R292" s="641"/>
      <c r="T292" s="641"/>
      <c r="U292" s="641"/>
      <c r="V292" s="641"/>
      <c r="W292" s="641"/>
      <c r="X292" s="641"/>
    </row>
    <row r="293" spans="18:24" ht="12.75">
      <c r="R293" s="740"/>
      <c r="S293" s="732"/>
      <c r="T293" s="740"/>
      <c r="U293" s="740"/>
      <c r="V293" s="740"/>
      <c r="W293" s="740"/>
      <c r="X293" s="740"/>
    </row>
    <row r="294" spans="18:24" ht="12.75">
      <c r="R294" s="740"/>
      <c r="S294" s="732"/>
      <c r="T294" s="740"/>
      <c r="U294" s="740"/>
      <c r="V294" s="740"/>
      <c r="W294" s="740"/>
      <c r="X294" s="740"/>
    </row>
    <row r="295" spans="18:24" ht="12.75">
      <c r="R295" s="740"/>
      <c r="S295" s="732"/>
      <c r="T295" s="740"/>
      <c r="U295" s="740"/>
      <c r="V295" s="740"/>
      <c r="W295" s="740"/>
      <c r="X295" s="740"/>
    </row>
    <row r="296" spans="18:24" ht="12.75">
      <c r="R296" s="740"/>
      <c r="S296" s="732"/>
      <c r="T296" s="740"/>
      <c r="U296" s="740"/>
      <c r="V296" s="740"/>
      <c r="W296" s="740"/>
      <c r="X296" s="740"/>
    </row>
    <row r="297" spans="18:24" ht="12.75">
      <c r="R297" s="740"/>
      <c r="S297" s="732"/>
      <c r="T297" s="740"/>
      <c r="U297" s="740"/>
      <c r="V297" s="740"/>
      <c r="W297" s="740"/>
      <c r="X297" s="740"/>
    </row>
    <row r="298" spans="18:24" ht="12.75">
      <c r="R298" s="740"/>
      <c r="S298" s="732"/>
      <c r="T298" s="740"/>
      <c r="U298" s="740"/>
      <c r="V298" s="740"/>
      <c r="W298" s="740"/>
      <c r="X298" s="740"/>
    </row>
    <row r="299" spans="18:24" ht="12.75">
      <c r="R299" s="740"/>
      <c r="S299" s="732"/>
      <c r="T299" s="740"/>
      <c r="U299" s="740"/>
      <c r="V299" s="740"/>
      <c r="W299" s="740"/>
      <c r="X299" s="740"/>
    </row>
    <row r="300" spans="18:24" ht="12.75">
      <c r="R300" s="740"/>
      <c r="S300" s="732"/>
      <c r="T300" s="740"/>
      <c r="U300" s="740"/>
      <c r="V300" s="740"/>
      <c r="W300" s="740"/>
      <c r="X300" s="740"/>
    </row>
    <row r="301" spans="18:24" ht="12.75">
      <c r="R301" s="740"/>
      <c r="S301" s="732"/>
      <c r="T301" s="740"/>
      <c r="U301" s="740"/>
      <c r="V301" s="740"/>
      <c r="W301" s="740"/>
      <c r="X301" s="740"/>
    </row>
    <row r="302" spans="18:24" ht="12.75">
      <c r="R302" s="740"/>
      <c r="S302" s="732"/>
      <c r="T302" s="740"/>
      <c r="U302" s="740"/>
      <c r="V302" s="740"/>
      <c r="W302" s="740"/>
      <c r="X302" s="740"/>
    </row>
    <row r="303" spans="18:24" ht="12.75">
      <c r="R303" s="740"/>
      <c r="S303" s="732"/>
      <c r="T303" s="740"/>
      <c r="U303" s="740"/>
      <c r="V303" s="740"/>
      <c r="W303" s="740"/>
      <c r="X303" s="740"/>
    </row>
    <row r="304" spans="18:24" ht="12.75">
      <c r="R304" s="740"/>
      <c r="S304" s="732"/>
      <c r="T304" s="740"/>
      <c r="U304" s="740"/>
      <c r="V304" s="740"/>
      <c r="W304" s="740"/>
      <c r="X304" s="740"/>
    </row>
    <row r="305" spans="18:24" ht="12.75">
      <c r="R305" s="740"/>
      <c r="S305" s="732"/>
      <c r="T305" s="740"/>
      <c r="U305" s="740"/>
      <c r="V305" s="740"/>
      <c r="W305" s="740"/>
      <c r="X305" s="740"/>
    </row>
    <row r="306" spans="18:24" ht="12.75">
      <c r="R306" s="740"/>
      <c r="S306" s="732"/>
      <c r="T306" s="740"/>
      <c r="U306" s="740"/>
      <c r="V306" s="740"/>
      <c r="W306" s="740"/>
      <c r="X306" s="740"/>
    </row>
    <row r="307" spans="18:24" ht="12.75">
      <c r="R307" s="740"/>
      <c r="S307" s="732"/>
      <c r="T307" s="740"/>
      <c r="U307" s="740"/>
      <c r="V307" s="740"/>
      <c r="W307" s="740"/>
      <c r="X307" s="740"/>
    </row>
    <row r="308" spans="18:24" ht="12.75">
      <c r="R308" s="740"/>
      <c r="S308" s="732"/>
      <c r="T308" s="740"/>
      <c r="U308" s="740"/>
      <c r="V308" s="740"/>
      <c r="W308" s="740"/>
      <c r="X308" s="740"/>
    </row>
    <row r="309" spans="18:24" ht="12.75">
      <c r="R309" s="740"/>
      <c r="S309" s="732"/>
      <c r="T309" s="740"/>
      <c r="U309" s="740"/>
      <c r="V309" s="740"/>
      <c r="W309" s="740"/>
      <c r="X309" s="740"/>
    </row>
    <row r="310" spans="18:24" ht="12.75">
      <c r="R310" s="740"/>
      <c r="S310" s="732"/>
      <c r="T310" s="740"/>
      <c r="U310" s="740"/>
      <c r="V310" s="740"/>
      <c r="W310" s="740"/>
      <c r="X310" s="740"/>
    </row>
    <row r="311" spans="18:24" ht="12.75">
      <c r="R311" s="740"/>
      <c r="S311" s="732"/>
      <c r="T311" s="740"/>
      <c r="U311" s="740"/>
      <c r="V311" s="740"/>
      <c r="W311" s="740"/>
      <c r="X311" s="740"/>
    </row>
    <row r="312" spans="18:24" ht="12.75">
      <c r="R312" s="740"/>
      <c r="S312" s="732"/>
      <c r="T312" s="740"/>
      <c r="U312" s="740"/>
      <c r="V312" s="740"/>
      <c r="W312" s="740"/>
      <c r="X312" s="740"/>
    </row>
    <row r="313" spans="18:24">
      <c r="R313" s="742"/>
      <c r="S313" s="736"/>
      <c r="T313" s="742"/>
      <c r="U313" s="742"/>
      <c r="V313" s="742"/>
      <c r="W313" s="742"/>
      <c r="X313" s="742"/>
    </row>
    <row r="314" spans="18:24">
      <c r="R314" s="641"/>
      <c r="T314" s="641"/>
      <c r="U314" s="641"/>
      <c r="V314" s="641"/>
      <c r="W314" s="641"/>
      <c r="X314" s="641"/>
    </row>
    <row r="315" spans="18:24" ht="12.75">
      <c r="R315" s="740"/>
      <c r="S315" s="732"/>
      <c r="T315" s="740"/>
      <c r="U315" s="740"/>
      <c r="V315" s="740"/>
      <c r="W315" s="740"/>
      <c r="X315" s="740"/>
    </row>
    <row r="316" spans="18:24" ht="12.75">
      <c r="R316" s="740"/>
      <c r="S316" s="732"/>
      <c r="T316" s="740"/>
      <c r="U316" s="740"/>
      <c r="V316" s="740"/>
      <c r="W316" s="740"/>
      <c r="X316" s="740"/>
    </row>
    <row r="317" spans="18:24" ht="12.75">
      <c r="R317" s="740"/>
      <c r="S317" s="732"/>
      <c r="T317" s="740"/>
      <c r="U317" s="740"/>
      <c r="V317" s="740"/>
      <c r="W317" s="740"/>
      <c r="X317" s="740"/>
    </row>
    <row r="318" spans="18:24" ht="12.75">
      <c r="R318" s="740"/>
      <c r="S318" s="732"/>
      <c r="T318" s="740"/>
      <c r="U318" s="740"/>
      <c r="V318" s="740"/>
      <c r="W318" s="740"/>
      <c r="X318" s="740"/>
    </row>
    <row r="319" spans="18:24" ht="12.75">
      <c r="R319" s="740"/>
      <c r="S319" s="732"/>
      <c r="T319" s="740"/>
      <c r="U319" s="740"/>
      <c r="V319" s="740"/>
      <c r="W319" s="740"/>
      <c r="X319" s="740"/>
    </row>
    <row r="320" spans="18:24" ht="12.75">
      <c r="R320" s="740"/>
      <c r="S320" s="732"/>
      <c r="T320" s="740"/>
      <c r="U320" s="740"/>
      <c r="V320" s="740"/>
      <c r="W320" s="740"/>
      <c r="X320" s="740"/>
    </row>
    <row r="321" spans="18:24" ht="12.75">
      <c r="R321" s="740"/>
      <c r="S321" s="732"/>
      <c r="T321" s="740"/>
      <c r="U321" s="740"/>
      <c r="V321" s="740"/>
      <c r="W321" s="740"/>
      <c r="X321" s="740"/>
    </row>
    <row r="322" spans="18:24" ht="12.75">
      <c r="R322" s="740"/>
      <c r="S322" s="732"/>
      <c r="T322" s="740"/>
      <c r="U322" s="740"/>
      <c r="V322" s="740"/>
      <c r="W322" s="740"/>
      <c r="X322" s="740"/>
    </row>
    <row r="323" spans="18:24" ht="12.75">
      <c r="R323" s="740"/>
      <c r="S323" s="732"/>
      <c r="T323" s="740"/>
      <c r="U323" s="740"/>
      <c r="V323" s="740"/>
      <c r="W323" s="740"/>
      <c r="X323" s="740"/>
    </row>
    <row r="324" spans="18:24" ht="12.75">
      <c r="R324" s="740"/>
      <c r="S324" s="732"/>
      <c r="T324" s="740"/>
      <c r="U324" s="740"/>
      <c r="V324" s="740"/>
      <c r="W324" s="740"/>
      <c r="X324" s="740"/>
    </row>
    <row r="325" spans="18:24" ht="12.75">
      <c r="R325" s="740"/>
      <c r="S325" s="732"/>
      <c r="T325" s="740"/>
      <c r="U325" s="740"/>
      <c r="V325" s="740"/>
      <c r="W325" s="740"/>
      <c r="X325" s="740"/>
    </row>
    <row r="326" spans="18:24" ht="12.75">
      <c r="R326" s="740"/>
      <c r="S326" s="732"/>
      <c r="T326" s="740"/>
      <c r="U326" s="740"/>
      <c r="V326" s="740"/>
      <c r="W326" s="740"/>
      <c r="X326" s="740"/>
    </row>
    <row r="327" spans="18:24" ht="12.75">
      <c r="R327" s="740"/>
      <c r="S327" s="732"/>
      <c r="T327" s="740"/>
      <c r="U327" s="740"/>
      <c r="V327" s="740"/>
      <c r="W327" s="740"/>
      <c r="X327" s="740"/>
    </row>
    <row r="328" spans="18:24" ht="12.75">
      <c r="R328" s="740"/>
      <c r="S328" s="732"/>
      <c r="T328" s="740"/>
      <c r="U328" s="740"/>
      <c r="V328" s="740"/>
      <c r="W328" s="740"/>
      <c r="X328" s="740"/>
    </row>
    <row r="329" spans="18:24" ht="12.75">
      <c r="R329" s="740"/>
      <c r="S329" s="732"/>
      <c r="T329" s="740"/>
      <c r="U329" s="740"/>
      <c r="V329" s="740"/>
      <c r="W329" s="740"/>
      <c r="X329" s="740"/>
    </row>
    <row r="330" spans="18:24" ht="12.75">
      <c r="R330" s="740"/>
      <c r="S330" s="732"/>
      <c r="T330" s="740"/>
      <c r="U330" s="740"/>
      <c r="V330" s="740"/>
      <c r="W330" s="740"/>
      <c r="X330" s="740"/>
    </row>
    <row r="331" spans="18:24" ht="12.75">
      <c r="R331" s="740"/>
      <c r="S331" s="732"/>
      <c r="T331" s="740"/>
      <c r="U331" s="740"/>
      <c r="V331" s="740"/>
      <c r="W331" s="740"/>
      <c r="X331" s="740"/>
    </row>
    <row r="332" spans="18:24" ht="12.75">
      <c r="R332" s="740"/>
      <c r="S332" s="732"/>
      <c r="T332" s="740"/>
      <c r="U332" s="740"/>
      <c r="V332" s="740"/>
      <c r="W332" s="740"/>
      <c r="X332" s="740"/>
    </row>
    <row r="333" spans="18:24" ht="12.75">
      <c r="R333" s="740"/>
      <c r="S333" s="732"/>
      <c r="T333" s="740"/>
      <c r="U333" s="740"/>
      <c r="V333" s="740"/>
      <c r="W333" s="740"/>
      <c r="X333" s="740"/>
    </row>
    <row r="334" spans="18:24" ht="12.75">
      <c r="R334" s="740"/>
      <c r="S334" s="732"/>
      <c r="T334" s="740"/>
      <c r="U334" s="740"/>
      <c r="V334" s="740"/>
      <c r="W334" s="740"/>
      <c r="X334" s="740"/>
    </row>
    <row r="335" spans="18:24">
      <c r="R335" s="742"/>
      <c r="S335" s="736"/>
      <c r="T335" s="742"/>
      <c r="U335" s="742"/>
      <c r="V335" s="742"/>
      <c r="W335" s="742"/>
      <c r="X335" s="742"/>
    </row>
    <row r="336" spans="18:24">
      <c r="R336" s="641"/>
      <c r="T336" s="641"/>
      <c r="U336" s="641"/>
      <c r="V336" s="641"/>
      <c r="W336" s="641"/>
      <c r="X336" s="641"/>
    </row>
    <row r="337" spans="18:24" ht="12.75">
      <c r="R337" s="740"/>
      <c r="S337" s="732"/>
      <c r="T337" s="740"/>
      <c r="U337" s="740"/>
      <c r="V337" s="740"/>
      <c r="W337" s="740"/>
      <c r="X337" s="740"/>
    </row>
    <row r="338" spans="18:24" ht="12.75">
      <c r="R338" s="740"/>
      <c r="S338" s="732"/>
      <c r="T338" s="740"/>
      <c r="U338" s="740"/>
      <c r="V338" s="740"/>
      <c r="W338" s="740"/>
      <c r="X338" s="740"/>
    </row>
    <row r="339" spans="18:24" ht="12.75">
      <c r="R339" s="740"/>
      <c r="S339" s="732"/>
      <c r="T339" s="740"/>
      <c r="U339" s="740"/>
      <c r="V339" s="740"/>
      <c r="W339" s="740"/>
      <c r="X339" s="740"/>
    </row>
    <row r="340" spans="18:24" ht="12.75">
      <c r="R340" s="740"/>
      <c r="S340" s="732"/>
      <c r="T340" s="740"/>
      <c r="U340" s="740"/>
      <c r="V340" s="740"/>
      <c r="W340" s="740"/>
      <c r="X340" s="740"/>
    </row>
    <row r="341" spans="18:24" ht="12.75">
      <c r="R341" s="740"/>
      <c r="S341" s="732"/>
      <c r="T341" s="740"/>
      <c r="U341" s="740"/>
      <c r="V341" s="740"/>
      <c r="W341" s="740"/>
      <c r="X341" s="740"/>
    </row>
    <row r="342" spans="18:24" ht="12.75">
      <c r="R342" s="740"/>
      <c r="S342" s="732"/>
      <c r="T342" s="740"/>
      <c r="U342" s="740"/>
      <c r="V342" s="740"/>
      <c r="W342" s="740"/>
      <c r="X342" s="740"/>
    </row>
    <row r="343" spans="18:24" ht="12.75">
      <c r="R343" s="740"/>
      <c r="S343" s="732"/>
      <c r="T343" s="740"/>
      <c r="U343" s="740"/>
      <c r="V343" s="740"/>
      <c r="W343" s="740"/>
      <c r="X343" s="740"/>
    </row>
    <row r="344" spans="18:24" ht="12.75">
      <c r="R344" s="740"/>
      <c r="S344" s="732"/>
      <c r="T344" s="740"/>
      <c r="U344" s="740"/>
      <c r="V344" s="740"/>
      <c r="W344" s="740"/>
      <c r="X344" s="740"/>
    </row>
    <row r="345" spans="18:24" ht="12.75">
      <c r="R345" s="740"/>
      <c r="S345" s="732"/>
      <c r="T345" s="740"/>
      <c r="U345" s="740"/>
      <c r="V345" s="740"/>
      <c r="W345" s="740"/>
      <c r="X345" s="740"/>
    </row>
    <row r="346" spans="18:24" ht="12.75">
      <c r="R346" s="740"/>
      <c r="S346" s="732"/>
      <c r="T346" s="740"/>
      <c r="U346" s="740"/>
      <c r="V346" s="740"/>
      <c r="W346" s="740"/>
      <c r="X346" s="740"/>
    </row>
    <row r="347" spans="18:24" ht="12.75">
      <c r="R347" s="740"/>
      <c r="S347" s="732"/>
      <c r="T347" s="740"/>
      <c r="U347" s="740"/>
      <c r="V347" s="740"/>
      <c r="W347" s="740"/>
      <c r="X347" s="740"/>
    </row>
    <row r="348" spans="18:24" ht="12.75">
      <c r="R348" s="740"/>
      <c r="S348" s="732"/>
      <c r="T348" s="740"/>
      <c r="U348" s="740"/>
      <c r="V348" s="740"/>
      <c r="W348" s="740"/>
      <c r="X348" s="740"/>
    </row>
    <row r="349" spans="18:24" ht="12.75">
      <c r="R349" s="740"/>
      <c r="S349" s="732"/>
      <c r="T349" s="740"/>
      <c r="U349" s="740"/>
      <c r="V349" s="740"/>
      <c r="W349" s="740"/>
      <c r="X349" s="740"/>
    </row>
    <row r="350" spans="18:24" ht="12.75">
      <c r="R350" s="740"/>
      <c r="S350" s="732"/>
      <c r="T350" s="740"/>
      <c r="U350" s="740"/>
      <c r="V350" s="740"/>
      <c r="W350" s="740"/>
      <c r="X350" s="740"/>
    </row>
    <row r="351" spans="18:24" ht="12.75">
      <c r="R351" s="740"/>
      <c r="S351" s="732"/>
      <c r="T351" s="740"/>
      <c r="U351" s="740"/>
      <c r="V351" s="740"/>
      <c r="W351" s="740"/>
      <c r="X351" s="740"/>
    </row>
    <row r="352" spans="18:24" ht="12.75">
      <c r="R352" s="740"/>
      <c r="S352" s="732"/>
      <c r="T352" s="740"/>
      <c r="U352" s="740"/>
      <c r="V352" s="740"/>
      <c r="W352" s="740"/>
      <c r="X352" s="740"/>
    </row>
    <row r="353" spans="18:24" ht="12.75">
      <c r="R353" s="740"/>
      <c r="S353" s="732"/>
      <c r="T353" s="740"/>
      <c r="U353" s="740"/>
      <c r="V353" s="740"/>
      <c r="W353" s="740"/>
      <c r="X353" s="740"/>
    </row>
    <row r="354" spans="18:24" ht="12.75">
      <c r="R354" s="740"/>
      <c r="S354" s="732"/>
      <c r="T354" s="740"/>
      <c r="U354" s="740"/>
      <c r="V354" s="740"/>
      <c r="W354" s="740"/>
      <c r="X354" s="740"/>
    </row>
    <row r="355" spans="18:24" ht="12.75">
      <c r="R355" s="740"/>
      <c r="S355" s="732"/>
      <c r="T355" s="740"/>
      <c r="U355" s="740"/>
      <c r="V355" s="740"/>
      <c r="W355" s="740"/>
      <c r="X355" s="740"/>
    </row>
    <row r="356" spans="18:24" ht="12.75">
      <c r="R356" s="740"/>
      <c r="S356" s="732"/>
      <c r="T356" s="740"/>
      <c r="U356" s="740"/>
      <c r="V356" s="740"/>
      <c r="W356" s="740"/>
      <c r="X356" s="740"/>
    </row>
    <row r="357" spans="18:24">
      <c r="R357" s="742"/>
      <c r="S357" s="736"/>
      <c r="T357" s="742"/>
      <c r="U357" s="742"/>
      <c r="V357" s="742"/>
      <c r="W357" s="742"/>
      <c r="X357" s="742"/>
    </row>
    <row r="358" spans="18:24">
      <c r="R358" s="641"/>
      <c r="T358" s="641"/>
      <c r="U358" s="641"/>
      <c r="V358" s="641"/>
      <c r="W358" s="641"/>
      <c r="X358" s="641"/>
    </row>
    <row r="359" spans="18:24" ht="12.75">
      <c r="R359" s="740"/>
      <c r="S359" s="732"/>
      <c r="T359" s="740"/>
      <c r="U359" s="740"/>
      <c r="V359" s="740"/>
      <c r="W359" s="740"/>
      <c r="X359" s="740"/>
    </row>
    <row r="360" spans="18:24" ht="12.75">
      <c r="R360" s="740"/>
      <c r="S360" s="732"/>
      <c r="T360" s="740"/>
      <c r="U360" s="740"/>
      <c r="V360" s="740"/>
      <c r="W360" s="740"/>
      <c r="X360" s="740"/>
    </row>
    <row r="361" spans="18:24" ht="12.75">
      <c r="R361" s="740"/>
      <c r="S361" s="732"/>
      <c r="T361" s="740"/>
      <c r="U361" s="740"/>
      <c r="V361" s="740"/>
      <c r="W361" s="740"/>
      <c r="X361" s="740"/>
    </row>
    <row r="362" spans="18:24" ht="12.75">
      <c r="R362" s="740"/>
      <c r="S362" s="732"/>
      <c r="T362" s="740"/>
      <c r="U362" s="740"/>
      <c r="V362" s="740"/>
      <c r="W362" s="740"/>
      <c r="X362" s="740"/>
    </row>
    <row r="363" spans="18:24" ht="12.75">
      <c r="R363" s="740"/>
      <c r="S363" s="732"/>
      <c r="T363" s="740"/>
      <c r="U363" s="740"/>
      <c r="V363" s="740"/>
      <c r="W363" s="740"/>
      <c r="X363" s="740"/>
    </row>
    <row r="364" spans="18:24" ht="12.75">
      <c r="R364" s="740"/>
      <c r="S364" s="732"/>
      <c r="T364" s="740"/>
      <c r="U364" s="740"/>
      <c r="V364" s="740"/>
      <c r="W364" s="740"/>
      <c r="X364" s="740"/>
    </row>
    <row r="365" spans="18:24" ht="12.75">
      <c r="R365" s="740"/>
      <c r="S365" s="732"/>
      <c r="T365" s="740"/>
      <c r="U365" s="740"/>
      <c r="V365" s="740"/>
      <c r="W365" s="740"/>
      <c r="X365" s="740"/>
    </row>
    <row r="366" spans="18:24" ht="12.75">
      <c r="R366" s="740"/>
      <c r="S366" s="732"/>
      <c r="T366" s="740"/>
      <c r="U366" s="740"/>
      <c r="V366" s="740"/>
      <c r="W366" s="740"/>
      <c r="X366" s="740"/>
    </row>
    <row r="367" spans="18:24" ht="12.75">
      <c r="R367" s="740"/>
      <c r="S367" s="732"/>
      <c r="T367" s="740"/>
      <c r="U367" s="740"/>
      <c r="V367" s="740"/>
      <c r="W367" s="740"/>
      <c r="X367" s="740"/>
    </row>
    <row r="368" spans="18:24" ht="12.75">
      <c r="R368" s="740"/>
      <c r="S368" s="732"/>
      <c r="T368" s="740"/>
      <c r="U368" s="740"/>
      <c r="V368" s="740"/>
      <c r="W368" s="740"/>
      <c r="X368" s="740"/>
    </row>
    <row r="369" spans="18:24" ht="12.75">
      <c r="R369" s="740"/>
      <c r="S369" s="732"/>
      <c r="T369" s="740"/>
      <c r="U369" s="740"/>
      <c r="V369" s="740"/>
      <c r="W369" s="740"/>
      <c r="X369" s="740"/>
    </row>
    <row r="370" spans="18:24" ht="12.75">
      <c r="R370" s="740"/>
      <c r="S370" s="732"/>
      <c r="T370" s="740"/>
      <c r="U370" s="740"/>
      <c r="V370" s="740"/>
      <c r="W370" s="740"/>
      <c r="X370" s="740"/>
    </row>
    <row r="371" spans="18:24" ht="12.75">
      <c r="R371" s="740"/>
      <c r="S371" s="732"/>
      <c r="T371" s="740"/>
      <c r="U371" s="740"/>
      <c r="V371" s="740"/>
      <c r="W371" s="740"/>
      <c r="X371" s="740"/>
    </row>
    <row r="372" spans="18:24" ht="12.75">
      <c r="R372" s="740"/>
      <c r="S372" s="732"/>
      <c r="T372" s="740"/>
      <c r="U372" s="740"/>
      <c r="V372" s="740"/>
      <c r="W372" s="740"/>
      <c r="X372" s="740"/>
    </row>
    <row r="373" spans="18:24" ht="12.75">
      <c r="R373" s="740"/>
      <c r="S373" s="732"/>
      <c r="T373" s="740"/>
      <c r="U373" s="740"/>
      <c r="V373" s="740"/>
      <c r="W373" s="740"/>
      <c r="X373" s="740"/>
    </row>
    <row r="374" spans="18:24" ht="12.75">
      <c r="R374" s="740"/>
      <c r="S374" s="732"/>
      <c r="T374" s="740"/>
      <c r="U374" s="740"/>
      <c r="V374" s="740"/>
      <c r="W374" s="740"/>
      <c r="X374" s="740"/>
    </row>
    <row r="375" spans="18:24" ht="12.75">
      <c r="R375" s="740"/>
      <c r="S375" s="732"/>
      <c r="T375" s="740"/>
      <c r="U375" s="740"/>
      <c r="V375" s="740"/>
      <c r="W375" s="740"/>
      <c r="X375" s="740"/>
    </row>
    <row r="376" spans="18:24" ht="12.75">
      <c r="R376" s="740"/>
      <c r="S376" s="732"/>
      <c r="T376" s="740"/>
      <c r="U376" s="740"/>
      <c r="V376" s="740"/>
      <c r="W376" s="740"/>
      <c r="X376" s="740"/>
    </row>
    <row r="377" spans="18:24" ht="12.75">
      <c r="R377" s="740"/>
      <c r="S377" s="732"/>
      <c r="T377" s="740"/>
      <c r="U377" s="740"/>
      <c r="V377" s="740"/>
      <c r="W377" s="740"/>
      <c r="X377" s="740"/>
    </row>
    <row r="378" spans="18:24" ht="12.75">
      <c r="R378" s="740"/>
      <c r="S378" s="732"/>
      <c r="T378" s="740"/>
      <c r="U378" s="740"/>
      <c r="V378" s="740"/>
      <c r="W378" s="740"/>
      <c r="X378" s="740"/>
    </row>
    <row r="379" spans="18:24">
      <c r="R379" s="742"/>
      <c r="S379" s="736"/>
      <c r="T379" s="742"/>
      <c r="U379" s="742"/>
      <c r="V379" s="742"/>
      <c r="W379" s="742"/>
      <c r="X379" s="742"/>
    </row>
    <row r="380" spans="18:24">
      <c r="R380" s="641"/>
      <c r="T380" s="641"/>
      <c r="U380" s="641"/>
      <c r="V380" s="641"/>
      <c r="W380" s="641"/>
      <c r="X380" s="641"/>
    </row>
    <row r="381" spans="18:24">
      <c r="R381" s="709"/>
      <c r="S381" s="709"/>
      <c r="T381" s="709"/>
      <c r="U381" s="709"/>
      <c r="V381" s="709"/>
      <c r="W381" s="709"/>
      <c r="X381" s="709"/>
    </row>
    <row r="382" spans="18:24">
      <c r="R382" s="709"/>
      <c r="S382" s="709"/>
      <c r="T382" s="709"/>
      <c r="U382" s="709"/>
      <c r="V382" s="709"/>
      <c r="W382" s="709"/>
      <c r="X382" s="709"/>
    </row>
    <row r="383" spans="18:24">
      <c r="R383" s="709"/>
      <c r="S383" s="709"/>
      <c r="T383" s="709"/>
      <c r="U383" s="709"/>
      <c r="V383" s="709"/>
      <c r="W383" s="709"/>
      <c r="X383" s="709"/>
    </row>
    <row r="384" spans="18:24">
      <c r="R384" s="709"/>
      <c r="S384" s="709"/>
      <c r="T384" s="709"/>
      <c r="U384" s="709"/>
      <c r="V384" s="709"/>
      <c r="W384" s="709"/>
      <c r="X384" s="709"/>
    </row>
    <row r="385" spans="18:24">
      <c r="R385" s="709"/>
      <c r="S385" s="709"/>
      <c r="T385" s="709"/>
      <c r="U385" s="709"/>
      <c r="V385" s="709"/>
      <c r="W385" s="709"/>
      <c r="X385" s="709"/>
    </row>
    <row r="386" spans="18:24">
      <c r="R386" s="709"/>
      <c r="S386" s="709"/>
      <c r="T386" s="709"/>
      <c r="U386" s="709"/>
      <c r="V386" s="709"/>
      <c r="W386" s="709"/>
      <c r="X386" s="709"/>
    </row>
    <row r="387" spans="18:24">
      <c r="R387" s="709"/>
      <c r="S387" s="709"/>
      <c r="T387" s="709"/>
      <c r="U387" s="709"/>
      <c r="V387" s="709"/>
      <c r="W387" s="709"/>
      <c r="X387" s="709"/>
    </row>
    <row r="388" spans="18:24">
      <c r="R388" s="641"/>
      <c r="T388" s="641"/>
      <c r="U388" s="641"/>
      <c r="V388" s="641"/>
      <c r="W388" s="641"/>
      <c r="X388" s="641"/>
    </row>
    <row r="389" spans="18:24">
      <c r="R389" s="641"/>
      <c r="T389" s="641"/>
      <c r="U389" s="641"/>
      <c r="V389" s="641"/>
      <c r="W389" s="641"/>
      <c r="X389" s="641"/>
    </row>
  </sheetData>
  <sheetProtection algorithmName="SHA-512" hashValue="RZQKsljsvVfsNg1nu07+ll83/A9XgsF7do/T0HmLr5UtscrFUtV8dpJhx0g2P8S7LRZm3XMhKnIfqsBzMlUrVw==" saltValue="7yJ2Ge+PGV4BFnB0L4SyMQ==" spinCount="100000" sheet="1" scenarios="1" formatCells="0" autoFilter="0"/>
  <autoFilter ref="A8:AE235"/>
  <phoneticPr fontId="163" type="noConversion"/>
  <conditionalFormatting sqref="P4:Q4">
    <cfRule type="expression" dxfId="4080" priority="6" stopIfTrue="1">
      <formula>$P4&lt;&gt;""</formula>
    </cfRule>
  </conditionalFormatting>
  <conditionalFormatting sqref="AE9:AE236">
    <cfRule type="expression" dxfId="4079" priority="15" stopIfTrue="1">
      <formula>AE9&lt;&gt;""</formula>
    </cfRule>
  </conditionalFormatting>
  <conditionalFormatting sqref="B9:B235">
    <cfRule type="expression" dxfId="4078" priority="5">
      <formula>ISERROR($B9)</formula>
    </cfRule>
  </conditionalFormatting>
  <conditionalFormatting sqref="K8:K235">
    <cfRule type="expression" dxfId="4077" priority="11996" stopIfTrue="1">
      <formula>ISERROR($C9)</formula>
    </cfRule>
    <cfRule type="expression" dxfId="4076" priority="11997" stopIfTrue="1">
      <formula>AND(OR($L9&lt;&gt;"",$M9&lt;&gt;"",$N9&lt;&gt;"",$O9&lt;&gt;"",$P9&lt;&gt;""),$K9="")</formula>
    </cfRule>
  </conditionalFormatting>
  <conditionalFormatting sqref="L8:Q235">
    <cfRule type="expression" priority="11998" stopIfTrue="1">
      <formula>OR($J9&lt;&gt;"",$K9&lt;&gt;"",$J10&lt;&gt;"")</formula>
    </cfRule>
    <cfRule type="expression" dxfId="4075" priority="11999" stopIfTrue="1">
      <formula>AND($J9="",$K9="")</formula>
    </cfRule>
  </conditionalFormatting>
  <dataValidations xWindow="243" yWindow="559" count="12">
    <dataValidation type="list" allowBlank="1" showInputMessage="1" showErrorMessage="1" sqref="R9">
      <formula1>Sheet_AcctClass</formula1>
    </dataValidation>
    <dataValidation type="decimal" showInputMessage="1" showErrorMessage="1" errorTitle="WPE" error="请输入数值！" prompt="贷方金额" sqref="P9:P236">
      <formula1>-922337203685477</formula1>
      <formula2>922337203685477</formula2>
    </dataValidation>
    <dataValidation type="list" showDropDown="1" showInputMessage="1" showErrorMessage="1" error="分录表末行属性值FLend，不能更改!" prompt="A列请勿输入" sqref="A237">
      <formula1>"FLend"</formula1>
    </dataValidation>
    <dataValidation type="list" showInputMessage="1" showErrorMessage="1" errorTitle="WPE" error="请选择分录类型！" prompt="AJE 调整分录_x000a_RJE 重分类分录" sqref="H9:H236">
      <formula1>"AJE,RJE"</formula1>
    </dataValidation>
    <dataValidation type="list" allowBlank="1" showInputMessage="1" showErrorMessage="1" sqref="U9:U235">
      <formula1>Sheet_MisstaCause</formula1>
    </dataValidation>
    <dataValidation type="list" allowBlank="1" showInputMessage="1" prompt="输入金额后，WPE自动判断方向" sqref="J10:J236">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236">
      <formula1>OFFSET(ACCT_AJE1,0,0,COUNTA(ACCT_AJE1),1)</formula1>
    </dataValidation>
    <dataValidation type="decimal" showInputMessage="1" showErrorMessage="1" errorTitle="WPE" error="请输入数值！" prompt="借方金额" sqref="O9:O236">
      <formula1>-922337203685477</formula1>
      <formula2>922337203685477</formula2>
    </dataValidation>
    <dataValidation type="list" allowBlank="1" showInputMessage="1" showErrorMessage="1" sqref="T9:T235">
      <formula1>Sheet_MisstaType</formula1>
    </dataValidation>
    <dataValidation type="list" sqref="Y9:Y236">
      <formula1>OFFSET(Sheet_AjeSatus,0,0,COUNTA(Sheet_AjeSatus),1)</formula1>
    </dataValidation>
    <dataValidation type="list" sqref="Z9:Z236">
      <formula1>OFFSET(Sheet_AjeProof,0,0,COUNTA(Sheet_AjeProof),1)</formula1>
    </dataValidation>
    <dataValidation allowBlank="1" showInputMessage="1" showErrorMessage="1" prompt="请输入建议调整的会计科目名称" sqref="L9:N236"/>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山东天安化工股份有限公司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陈彦良</v>
      </c>
      <c r="N5" s="673"/>
      <c r="O5" s="674">
        <f>Lead!$F$9</f>
        <v>43859</v>
      </c>
      <c r="P5" s="675" t="s">
        <v>6589</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6597</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4074" priority="2" stopIfTrue="1">
      <formula>$P4&lt;&gt;""</formula>
    </cfRule>
  </conditionalFormatting>
  <conditionalFormatting sqref="R9:R38">
    <cfRule type="expression" dxfId="4073" priority="9" stopIfTrue="1">
      <formula>R9&lt;&gt;""</formula>
    </cfRule>
  </conditionalFormatting>
  <conditionalFormatting sqref="B9:B38">
    <cfRule type="expression" dxfId="4072"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山东天安化工股份有限公司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陈彦良</v>
      </c>
      <c r="N5" s="766"/>
      <c r="O5" s="674">
        <f>Lead!$F$9</f>
        <v>43859</v>
      </c>
      <c r="P5" s="767" t="s">
        <v>2708</v>
      </c>
      <c r="Q5" s="1451" t="s">
        <v>6590</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6597</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6801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431"/>
      <c r="N44" s="3432"/>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433"/>
      <c r="N45" s="3434"/>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433"/>
      <c r="N46" s="3434"/>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433"/>
      <c r="N47" s="3434"/>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433"/>
      <c r="N48" s="3434"/>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429"/>
      <c r="N49" s="3430"/>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pDFETDuYJvPO1mgYXZSwTh1ovbNkuJHPcGiQcD19XPX+ngyYv7ZS97+b4NwXjccC2fnAQxdx/N29T/UxTQ9A6w==" saltValue="vQU/WobF4turJQxh73sbIA=="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71" priority="2" stopIfTrue="1">
      <formula>$P4&lt;&gt;""</formula>
    </cfRule>
  </conditionalFormatting>
  <conditionalFormatting sqref="AE9:AE39">
    <cfRule type="expression" dxfId="4070" priority="5" stopIfTrue="1">
      <formula>AE9&lt;&gt;""</formula>
    </cfRule>
  </conditionalFormatting>
  <conditionalFormatting sqref="B9:B38">
    <cfRule type="expression" dxfId="4069"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topLeftCell="A7" workbookViewId="0">
      <selection activeCell="O10" sqref="O10:P12"/>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1</v>
      </c>
      <c r="G4" s="2748"/>
      <c r="H4" s="645"/>
      <c r="I4" s="661" t="s">
        <v>2520</v>
      </c>
      <c r="J4" s="662" t="str">
        <f>Lead!$C$5</f>
        <v>山东天安化工股份有限公司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陈彦良</v>
      </c>
      <c r="N5" s="673"/>
      <c r="O5" s="674">
        <f>Lead!$F$9</f>
        <v>43859</v>
      </c>
      <c r="P5" s="675" t="s">
        <v>6589</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6597</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调整应收账款坏账准备（坏账政策变更）</v>
      </c>
      <c r="E9" s="2747" t="str">
        <f t="shared" ref="E9:E38" si="2">IF($O9&amp;$P9&lt;&gt;"",cellAbove,INDEX($I:$I,ROW()))&amp;""</f>
        <v>1</v>
      </c>
      <c r="F9" s="2747">
        <f t="shared" ref="F9:F38" si="3">VALUE(IF(E9="",E8&amp;"."&amp;TEXT((ROW()-8),"000"),E9&amp;"."&amp;TEXT((ROW()-8),"000")))</f>
        <v>1.0009999999999999</v>
      </c>
      <c r="G9" s="2757" t="str">
        <f>IF(TRIM($J9&amp;$K9&amp;$O9&amp;$P9)="","","上期")</f>
        <v>上期</v>
      </c>
      <c r="H9" s="649" t="s">
        <v>7362</v>
      </c>
      <c r="I9" s="687">
        <v>1</v>
      </c>
      <c r="J9" s="3401" t="s">
        <v>7777</v>
      </c>
      <c r="K9" s="3290"/>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J6672</v>
      </c>
      <c r="C10" s="2747">
        <f t="shared" si="0"/>
        <v>6672</v>
      </c>
      <c r="D10" s="2747" t="str">
        <f t="shared" si="1"/>
        <v>借</v>
      </c>
      <c r="E10" s="2747" t="str">
        <f t="shared" si="2"/>
        <v/>
      </c>
      <c r="F10" s="2747">
        <f t="shared" si="3"/>
        <v>1.002</v>
      </c>
      <c r="G10" s="2757" t="str">
        <f t="shared" ref="G10:G38" si="9">IF(TRIM($J10&amp;$K10&amp;$O10&amp;$P10)="","","上期")</f>
        <v>上期</v>
      </c>
      <c r="H10" s="650"/>
      <c r="I10" s="691"/>
      <c r="J10" s="692" t="s">
        <v>6710</v>
      </c>
      <c r="K10" s="3278" t="s">
        <v>7776</v>
      </c>
      <c r="L10" s="693"/>
      <c r="M10" s="693"/>
      <c r="N10" s="693"/>
      <c r="O10" s="193"/>
      <c r="P10" s="215"/>
      <c r="Q10" s="735" t="str">
        <f t="shared" si="4"/>
        <v>7410E</v>
      </c>
      <c r="R10" s="732" t="str">
        <f t="shared" si="5"/>
        <v>6</v>
      </c>
      <c r="S10" s="732"/>
      <c r="T10" s="732"/>
      <c r="U10" s="732"/>
      <c r="V10" s="732"/>
      <c r="W10" s="734"/>
      <c r="X10" s="732"/>
      <c r="Y10" s="732"/>
      <c r="Z10" s="732"/>
      <c r="AA10" s="2770"/>
      <c r="AB10" s="2770"/>
      <c r="AC10" s="2783">
        <f t="shared" si="6"/>
        <v>0</v>
      </c>
      <c r="AD10" s="2783">
        <f t="shared" si="7"/>
        <v>0</v>
      </c>
      <c r="AE10" s="745" t="str">
        <f t="shared" si="8"/>
        <v>请输入金额！</v>
      </c>
      <c r="AF10" s="641"/>
    </row>
    <row r="11" spans="1:32" ht="18">
      <c r="A11" s="2750"/>
      <c r="B11" s="2777" t="str">
        <f t="shared" ref="B11:B38" si="10">IF($K11="","","J"&amp;$C11)</f>
        <v>J1811</v>
      </c>
      <c r="C11" s="2747">
        <f t="shared" si="0"/>
        <v>1811</v>
      </c>
      <c r="D11" s="2747" t="str">
        <f t="shared" si="1"/>
        <v>借</v>
      </c>
      <c r="E11" s="2747" t="str">
        <f t="shared" si="2"/>
        <v/>
      </c>
      <c r="F11" s="2747">
        <f t="shared" si="3"/>
        <v>3.0000000000000001E-3</v>
      </c>
      <c r="G11" s="2757" t="str">
        <f t="shared" si="9"/>
        <v>上期</v>
      </c>
      <c r="H11" s="650"/>
      <c r="I11" s="691"/>
      <c r="J11" s="692" t="s">
        <v>6710</v>
      </c>
      <c r="K11" s="3278" t="s">
        <v>422</v>
      </c>
      <c r="L11" s="693"/>
      <c r="M11" s="693"/>
      <c r="N11" s="693"/>
      <c r="O11" s="193"/>
      <c r="P11" s="215"/>
      <c r="Q11" s="735" t="str">
        <f t="shared" si="4"/>
        <v>5850A</v>
      </c>
      <c r="R11" s="732" t="str">
        <f t="shared" si="5"/>
        <v>1</v>
      </c>
      <c r="S11" s="732"/>
      <c r="T11" s="732"/>
      <c r="U11" s="732"/>
      <c r="V11" s="732"/>
      <c r="W11" s="734"/>
      <c r="X11" s="732"/>
      <c r="Y11" s="732"/>
      <c r="Z11" s="732"/>
      <c r="AA11" s="2770"/>
      <c r="AB11" s="2770"/>
      <c r="AC11" s="2783">
        <f t="shared" si="6"/>
        <v>0</v>
      </c>
      <c r="AD11" s="2783">
        <f t="shared" si="7"/>
        <v>0</v>
      </c>
      <c r="AE11" s="745" t="str">
        <f t="shared" si="8"/>
        <v>请输入金额！</v>
      </c>
      <c r="AF11" s="641"/>
    </row>
    <row r="12" spans="1:32" ht="18">
      <c r="A12" s="2750"/>
      <c r="B12" s="2777" t="str">
        <f t="shared" si="10"/>
        <v>J1122.1231</v>
      </c>
      <c r="C12" s="2747">
        <f t="shared" si="0"/>
        <v>1122.1231</v>
      </c>
      <c r="D12" s="2747" t="str">
        <f t="shared" si="1"/>
        <v/>
      </c>
      <c r="E12" s="2747" t="str">
        <f t="shared" si="2"/>
        <v/>
      </c>
      <c r="F12" s="2747">
        <f t="shared" si="3"/>
        <v>4.0000000000000001E-3</v>
      </c>
      <c r="G12" s="2757" t="str">
        <f t="shared" si="9"/>
        <v>上期</v>
      </c>
      <c r="H12" s="650"/>
      <c r="I12" s="691"/>
      <c r="J12" s="692" t="str">
        <f t="shared" ref="J12:J38" si="11">IF($O12&lt;&gt;"","借",IF($P12&lt;&gt;"","贷",""))</f>
        <v/>
      </c>
      <c r="K12" s="689" t="s">
        <v>167</v>
      </c>
      <c r="L12" s="693"/>
      <c r="M12" s="693"/>
      <c r="N12" s="693"/>
      <c r="O12" s="193"/>
      <c r="P12" s="215"/>
      <c r="Q12" s="735" t="str">
        <f t="shared" si="4"/>
        <v>5200A</v>
      </c>
      <c r="R12" s="732" t="str">
        <f t="shared" si="5"/>
        <v>1</v>
      </c>
      <c r="S12" s="732"/>
      <c r="T12" s="732"/>
      <c r="U12" s="732"/>
      <c r="V12" s="732"/>
      <c r="W12" s="734"/>
      <c r="X12" s="732"/>
      <c r="Y12" s="732"/>
      <c r="Z12" s="732"/>
      <c r="AA12" s="2770"/>
      <c r="AB12" s="2770"/>
      <c r="AC12" s="2783">
        <f t="shared" si="6"/>
        <v>0</v>
      </c>
      <c r="AD12" s="2783">
        <f t="shared" si="7"/>
        <v>0</v>
      </c>
      <c r="AE12" s="745" t="str">
        <f t="shared" si="8"/>
        <v>请输入金额！</v>
      </c>
      <c r="AF12" s="641"/>
    </row>
    <row r="13" spans="1:32" ht="18">
      <c r="A13" s="2750"/>
      <c r="B13" s="2777" t="str">
        <f t="shared" si="10"/>
        <v/>
      </c>
      <c r="C13" s="2747" t="str">
        <f t="shared" si="0"/>
        <v/>
      </c>
      <c r="D13" s="2747" t="str">
        <f t="shared" si="1"/>
        <v/>
      </c>
      <c r="E13" s="2747" t="str">
        <f t="shared" si="2"/>
        <v/>
      </c>
      <c r="F13" s="2747">
        <f t="shared" si="3"/>
        <v>5.0000000000000001E-3</v>
      </c>
      <c r="G13" s="2757" t="str">
        <f t="shared" si="9"/>
        <v/>
      </c>
      <c r="H13" s="650"/>
      <c r="I13" s="691"/>
      <c r="J13" s="692" t="str">
        <f t="shared" si="11"/>
        <v/>
      </c>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0"/>
        <v/>
      </c>
      <c r="C14" s="2747" t="str">
        <f t="shared" si="0"/>
        <v/>
      </c>
      <c r="D14" s="2747" t="str">
        <f t="shared" si="1"/>
        <v/>
      </c>
      <c r="E14" s="2747" t="str">
        <f t="shared" si="2"/>
        <v/>
      </c>
      <c r="F14" s="2747">
        <f t="shared" si="3"/>
        <v>6.0000000000000001E-3</v>
      </c>
      <c r="G14" s="2757" t="str">
        <f t="shared" si="9"/>
        <v/>
      </c>
      <c r="H14" s="650"/>
      <c r="I14" s="691"/>
      <c r="J14" s="3290"/>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0"/>
        <v/>
      </c>
      <c r="C15" s="2747" t="str">
        <f t="shared" si="0"/>
        <v/>
      </c>
      <c r="D15" s="2747" t="str">
        <f t="shared" si="1"/>
        <v/>
      </c>
      <c r="E15" s="2747" t="str">
        <f t="shared" si="2"/>
        <v/>
      </c>
      <c r="F15" s="2747">
        <f t="shared" si="3"/>
        <v>7.0000000000000001E-3</v>
      </c>
      <c r="G15" s="2757" t="str">
        <f t="shared" si="9"/>
        <v/>
      </c>
      <c r="H15" s="650"/>
      <c r="I15" s="691"/>
      <c r="J15" s="692"/>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0"/>
        <v/>
      </c>
      <c r="C16" s="2747" t="str">
        <f t="shared" si="0"/>
        <v/>
      </c>
      <c r="D16" s="2747" t="str">
        <f t="shared" si="1"/>
        <v/>
      </c>
      <c r="E16" s="2747" t="str">
        <f t="shared" si="2"/>
        <v/>
      </c>
      <c r="F16" s="2747">
        <f t="shared" si="3"/>
        <v>8.0000000000000002E-3</v>
      </c>
      <c r="G16" s="2757" t="str">
        <f t="shared" si="9"/>
        <v/>
      </c>
      <c r="H16" s="650"/>
      <c r="I16" s="691"/>
      <c r="J16" s="692"/>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0"/>
        <v/>
      </c>
      <c r="C17" s="2747" t="str">
        <f t="shared" si="0"/>
        <v/>
      </c>
      <c r="D17" s="2747" t="str">
        <f t="shared" si="1"/>
        <v/>
      </c>
      <c r="E17" s="2747" t="str">
        <f t="shared" si="2"/>
        <v/>
      </c>
      <c r="F17" s="2747">
        <f t="shared" si="3"/>
        <v>8.9999999999999993E-3</v>
      </c>
      <c r="G17" s="2757" t="str">
        <f t="shared" si="9"/>
        <v/>
      </c>
      <c r="H17" s="650"/>
      <c r="I17" s="691"/>
      <c r="J17" s="692" t="str">
        <f t="shared" si="11"/>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0"/>
        <v/>
      </c>
      <c r="C18" s="2747" t="str">
        <f t="shared" si="0"/>
        <v/>
      </c>
      <c r="D18" s="2747" t="str">
        <f t="shared" si="1"/>
        <v/>
      </c>
      <c r="E18" s="2747" t="str">
        <f t="shared" si="2"/>
        <v/>
      </c>
      <c r="F18" s="2747">
        <f t="shared" si="3"/>
        <v>0.01</v>
      </c>
      <c r="G18" s="2757" t="str">
        <f t="shared" si="9"/>
        <v/>
      </c>
      <c r="H18" s="650"/>
      <c r="I18" s="691"/>
      <c r="J18" s="692" t="str">
        <f t="shared" si="11"/>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0"/>
        <v/>
      </c>
      <c r="C19" s="2747" t="str">
        <f t="shared" si="0"/>
        <v/>
      </c>
      <c r="D19" s="2747" t="str">
        <f t="shared" si="1"/>
        <v/>
      </c>
      <c r="E19" s="2747" t="str">
        <f t="shared" si="2"/>
        <v/>
      </c>
      <c r="F19" s="2747">
        <f t="shared" si="3"/>
        <v>1.0999999999999999E-2</v>
      </c>
      <c r="G19" s="2757" t="str">
        <f t="shared" si="9"/>
        <v/>
      </c>
      <c r="H19" s="650"/>
      <c r="I19" s="691"/>
      <c r="J19" s="692" t="str">
        <f t="shared" si="11"/>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0"/>
        <v/>
      </c>
      <c r="C20" s="2747" t="str">
        <f t="shared" si="0"/>
        <v/>
      </c>
      <c r="D20" s="2747" t="str">
        <f t="shared" si="1"/>
        <v/>
      </c>
      <c r="E20" s="2747" t="str">
        <f t="shared" si="2"/>
        <v/>
      </c>
      <c r="F20" s="2747">
        <f t="shared" si="3"/>
        <v>1.2E-2</v>
      </c>
      <c r="G20" s="2757" t="str">
        <f t="shared" si="9"/>
        <v/>
      </c>
      <c r="H20" s="650"/>
      <c r="I20" s="691"/>
      <c r="J20" s="692" t="str">
        <f t="shared" si="11"/>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1"/>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0"/>
        <v/>
      </c>
      <c r="C22" s="2747" t="str">
        <f t="shared" si="0"/>
        <v/>
      </c>
      <c r="D22" s="2747" t="str">
        <f t="shared" si="1"/>
        <v/>
      </c>
      <c r="E22" s="2747" t="str">
        <f t="shared" si="2"/>
        <v/>
      </c>
      <c r="F22" s="2747">
        <f t="shared" si="3"/>
        <v>1.4E-2</v>
      </c>
      <c r="G22" s="2757" t="str">
        <f t="shared" si="9"/>
        <v/>
      </c>
      <c r="H22" s="650"/>
      <c r="I22" s="691"/>
      <c r="J22" s="692" t="str">
        <f t="shared" si="11"/>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0"/>
        <v/>
      </c>
      <c r="C23" s="2747" t="str">
        <f t="shared" si="0"/>
        <v/>
      </c>
      <c r="D23" s="2747" t="str">
        <f t="shared" si="1"/>
        <v/>
      </c>
      <c r="E23" s="2747" t="str">
        <f t="shared" si="2"/>
        <v/>
      </c>
      <c r="F23" s="2747">
        <f t="shared" si="3"/>
        <v>1.4999999999999999E-2</v>
      </c>
      <c r="G23" s="2757" t="str">
        <f t="shared" si="9"/>
        <v/>
      </c>
      <c r="H23" s="650"/>
      <c r="I23" s="691"/>
      <c r="J23" s="692" t="str">
        <f t="shared" si="11"/>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0"/>
        <v/>
      </c>
      <c r="C24" s="2747" t="str">
        <f t="shared" si="0"/>
        <v/>
      </c>
      <c r="D24" s="2747" t="str">
        <f t="shared" si="1"/>
        <v/>
      </c>
      <c r="E24" s="2747" t="str">
        <f t="shared" si="2"/>
        <v/>
      </c>
      <c r="F24" s="2747">
        <f t="shared" si="3"/>
        <v>1.6E-2</v>
      </c>
      <c r="G24" s="2757" t="str">
        <f t="shared" si="9"/>
        <v/>
      </c>
      <c r="H24" s="650"/>
      <c r="I24" s="691"/>
      <c r="J24" s="692" t="str">
        <f t="shared" si="11"/>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0"/>
        <v/>
      </c>
      <c r="C25" s="2747" t="str">
        <f t="shared" si="0"/>
        <v/>
      </c>
      <c r="D25" s="2747" t="str">
        <f t="shared" si="1"/>
        <v/>
      </c>
      <c r="E25" s="2747" t="str">
        <f t="shared" si="2"/>
        <v/>
      </c>
      <c r="F25" s="2747">
        <f t="shared" si="3"/>
        <v>1.7000000000000001E-2</v>
      </c>
      <c r="G25" s="2757" t="str">
        <f t="shared" si="9"/>
        <v/>
      </c>
      <c r="H25" s="650"/>
      <c r="I25" s="691"/>
      <c r="J25" s="692" t="str">
        <f t="shared" si="11"/>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0"/>
        <v/>
      </c>
      <c r="C26" s="2747" t="str">
        <f t="shared" si="0"/>
        <v/>
      </c>
      <c r="D26" s="2747" t="str">
        <f t="shared" si="1"/>
        <v/>
      </c>
      <c r="E26" s="2747" t="str">
        <f t="shared" si="2"/>
        <v/>
      </c>
      <c r="F26" s="2747">
        <f t="shared" si="3"/>
        <v>1.7999999999999999E-2</v>
      </c>
      <c r="G26" s="2757" t="str">
        <f t="shared" si="9"/>
        <v/>
      </c>
      <c r="H26" s="650"/>
      <c r="I26" s="691"/>
      <c r="J26" s="692" t="str">
        <f t="shared" si="11"/>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0"/>
        <v/>
      </c>
      <c r="C27" s="2747" t="str">
        <f t="shared" si="0"/>
        <v/>
      </c>
      <c r="D27" s="2747" t="str">
        <f t="shared" si="1"/>
        <v/>
      </c>
      <c r="E27" s="2747" t="str">
        <f t="shared" si="2"/>
        <v/>
      </c>
      <c r="F27" s="2747">
        <f t="shared" si="3"/>
        <v>1.9E-2</v>
      </c>
      <c r="G27" s="2757" t="str">
        <f t="shared" si="9"/>
        <v/>
      </c>
      <c r="H27" s="650"/>
      <c r="I27" s="691"/>
      <c r="J27" s="692" t="str">
        <f t="shared" si="11"/>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0"/>
        <v/>
      </c>
      <c r="C28" s="2747" t="str">
        <f t="shared" si="0"/>
        <v/>
      </c>
      <c r="D28" s="2747" t="str">
        <f t="shared" si="1"/>
        <v/>
      </c>
      <c r="E28" s="2747" t="str">
        <f t="shared" si="2"/>
        <v/>
      </c>
      <c r="F28" s="2747">
        <f t="shared" si="3"/>
        <v>0.02</v>
      </c>
      <c r="G28" s="2757" t="str">
        <f t="shared" si="9"/>
        <v/>
      </c>
      <c r="H28" s="650"/>
      <c r="I28" s="691"/>
      <c r="J28" s="692" t="str">
        <f t="shared" si="11"/>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0"/>
        <v/>
      </c>
      <c r="C29" s="2747" t="str">
        <f t="shared" si="0"/>
        <v/>
      </c>
      <c r="D29" s="2747" t="str">
        <f t="shared" si="1"/>
        <v/>
      </c>
      <c r="E29" s="2747" t="str">
        <f t="shared" si="2"/>
        <v/>
      </c>
      <c r="F29" s="2747">
        <f t="shared" si="3"/>
        <v>2.1000000000000001E-2</v>
      </c>
      <c r="G29" s="2757" t="str">
        <f t="shared" si="9"/>
        <v/>
      </c>
      <c r="H29" s="650"/>
      <c r="I29" s="691"/>
      <c r="J29" s="692" t="str">
        <f t="shared" si="11"/>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1"/>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0"/>
        <v/>
      </c>
      <c r="C31" s="2747" t="str">
        <f t="shared" si="0"/>
        <v/>
      </c>
      <c r="D31" s="2747" t="str">
        <f t="shared" si="1"/>
        <v/>
      </c>
      <c r="E31" s="2747" t="str">
        <f t="shared" si="2"/>
        <v/>
      </c>
      <c r="F31" s="2747">
        <f t="shared" si="3"/>
        <v>2.3E-2</v>
      </c>
      <c r="G31" s="2757" t="str">
        <f t="shared" si="9"/>
        <v/>
      </c>
      <c r="H31" s="650"/>
      <c r="I31" s="691"/>
      <c r="J31" s="692" t="str">
        <f t="shared" si="11"/>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0"/>
        <v/>
      </c>
      <c r="C32" s="2747" t="str">
        <f t="shared" si="0"/>
        <v/>
      </c>
      <c r="D32" s="2747" t="str">
        <f t="shared" si="1"/>
        <v/>
      </c>
      <c r="E32" s="2747" t="str">
        <f t="shared" si="2"/>
        <v/>
      </c>
      <c r="F32" s="2747">
        <f t="shared" si="3"/>
        <v>2.4E-2</v>
      </c>
      <c r="G32" s="2757" t="str">
        <f t="shared" si="9"/>
        <v/>
      </c>
      <c r="H32" s="650"/>
      <c r="I32" s="691"/>
      <c r="J32" s="692" t="str">
        <f t="shared" si="11"/>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0"/>
        <v/>
      </c>
      <c r="C33" s="2747" t="str">
        <f t="shared" si="0"/>
        <v/>
      </c>
      <c r="D33" s="2747" t="str">
        <f t="shared" si="1"/>
        <v/>
      </c>
      <c r="E33" s="2747" t="str">
        <f t="shared" si="2"/>
        <v/>
      </c>
      <c r="F33" s="2747">
        <f t="shared" si="3"/>
        <v>2.5000000000000001E-2</v>
      </c>
      <c r="G33" s="2757" t="str">
        <f t="shared" si="9"/>
        <v/>
      </c>
      <c r="H33" s="650"/>
      <c r="I33" s="691"/>
      <c r="J33" s="692" t="str">
        <f t="shared" si="11"/>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0"/>
        <v/>
      </c>
      <c r="C34" s="2747" t="str">
        <f t="shared" si="0"/>
        <v/>
      </c>
      <c r="D34" s="2747" t="str">
        <f t="shared" si="1"/>
        <v/>
      </c>
      <c r="E34" s="2747" t="str">
        <f t="shared" si="2"/>
        <v/>
      </c>
      <c r="F34" s="2747">
        <f t="shared" si="3"/>
        <v>2.5999999999999999E-2</v>
      </c>
      <c r="G34" s="2757" t="str">
        <f t="shared" si="9"/>
        <v/>
      </c>
      <c r="H34" s="650"/>
      <c r="I34" s="691"/>
      <c r="J34" s="692" t="str">
        <f t="shared" si="11"/>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0"/>
        <v/>
      </c>
      <c r="C35" s="2747" t="str">
        <f t="shared" si="0"/>
        <v/>
      </c>
      <c r="D35" s="2747" t="str">
        <f t="shared" si="1"/>
        <v/>
      </c>
      <c r="E35" s="2747" t="str">
        <f t="shared" si="2"/>
        <v/>
      </c>
      <c r="F35" s="2747">
        <f t="shared" si="3"/>
        <v>2.7E-2</v>
      </c>
      <c r="G35" s="2757" t="str">
        <f t="shared" si="9"/>
        <v/>
      </c>
      <c r="H35" s="650"/>
      <c r="I35" s="691"/>
      <c r="J35" s="692" t="str">
        <f t="shared" si="11"/>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0"/>
        <v/>
      </c>
      <c r="C36" s="2747" t="str">
        <f t="shared" si="0"/>
        <v/>
      </c>
      <c r="D36" s="2747" t="str">
        <f t="shared" si="1"/>
        <v/>
      </c>
      <c r="E36" s="2747" t="str">
        <f t="shared" si="2"/>
        <v/>
      </c>
      <c r="F36" s="2747">
        <f t="shared" si="3"/>
        <v>2.8000000000000001E-2</v>
      </c>
      <c r="G36" s="2757" t="str">
        <f t="shared" si="9"/>
        <v/>
      </c>
      <c r="H36" s="650"/>
      <c r="I36" s="691"/>
      <c r="J36" s="692" t="str">
        <f t="shared" si="11"/>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0"/>
        <v/>
      </c>
      <c r="C37" s="2747" t="str">
        <f t="shared" si="0"/>
        <v/>
      </c>
      <c r="D37" s="2747" t="str">
        <f t="shared" si="1"/>
        <v/>
      </c>
      <c r="E37" s="2747" t="str">
        <f t="shared" si="2"/>
        <v/>
      </c>
      <c r="F37" s="2747">
        <f t="shared" si="3"/>
        <v>2.9000000000000001E-2</v>
      </c>
      <c r="G37" s="2757" t="str">
        <f t="shared" si="9"/>
        <v/>
      </c>
      <c r="H37" s="650"/>
      <c r="I37" s="691"/>
      <c r="J37" s="692" t="str">
        <f t="shared" si="11"/>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0"/>
        <v/>
      </c>
      <c r="C38" s="2747" t="str">
        <f t="shared" si="0"/>
        <v/>
      </c>
      <c r="D38" s="2747" t="str">
        <f t="shared" si="1"/>
        <v/>
      </c>
      <c r="E38" s="2747" t="str">
        <f t="shared" si="2"/>
        <v/>
      </c>
      <c r="F38" s="2747">
        <f t="shared" si="3"/>
        <v>0.03</v>
      </c>
      <c r="G38" s="2757" t="str">
        <f t="shared" si="9"/>
        <v/>
      </c>
      <c r="H38" s="651"/>
      <c r="I38" s="694"/>
      <c r="J38" s="692" t="str">
        <f t="shared" si="11"/>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68" priority="2" stopIfTrue="1">
      <formula>$P4&lt;&gt;""</formula>
    </cfRule>
  </conditionalFormatting>
  <conditionalFormatting sqref="AE9:AE39">
    <cfRule type="expression" dxfId="4067" priority="11" stopIfTrue="1">
      <formula>AE9&lt;&gt;""</formula>
    </cfRule>
  </conditionalFormatting>
  <conditionalFormatting sqref="B9:B38">
    <cfRule type="expression" dxfId="4066"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9" workbookViewId="0">
      <selection activeCell="G8" sqref="G8"/>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435" t="s">
        <v>5805</v>
      </c>
      <c r="F2" s="3435"/>
      <c r="G2" s="3435"/>
      <c r="H2" s="3435"/>
      <c r="I2" s="3435"/>
      <c r="J2" s="3435"/>
      <c r="K2" s="3435"/>
      <c r="L2" s="3435"/>
      <c r="M2" s="1662"/>
      <c r="N2" s="1662"/>
      <c r="O2" s="1662"/>
      <c r="P2" s="1662"/>
    </row>
    <row r="3" spans="1:16" ht="27" customHeight="1">
      <c r="A3" s="2838"/>
      <c r="B3" s="2838"/>
      <c r="C3" s="2838"/>
      <c r="D3" s="2838"/>
      <c r="E3" s="3436" t="str">
        <f>TEXT(Lead!$F$5,"yyyy 年 m 月 d 日")</f>
        <v>2019 年 12 月 31 日</v>
      </c>
      <c r="F3" s="3436"/>
      <c r="G3" s="3436"/>
      <c r="H3" s="3436"/>
      <c r="I3" s="3436"/>
      <c r="J3" s="3436"/>
      <c r="K3" s="3436"/>
      <c r="L3" s="3436"/>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编制单位：山东天安化工股份有限公司</v>
      </c>
      <c r="F5" s="2011"/>
      <c r="G5" s="2011"/>
      <c r="H5" s="2011"/>
      <c r="I5" s="2011"/>
      <c r="J5" s="2011"/>
      <c r="K5" s="2011" t="s">
        <v>5748</v>
      </c>
      <c r="L5" s="2011" t="s">
        <v>5749</v>
      </c>
      <c r="M5" s="1662"/>
      <c r="N5" s="1662"/>
      <c r="O5" s="1662"/>
      <c r="P5" s="1662"/>
    </row>
    <row r="6" spans="1:16" ht="18" customHeight="1">
      <c r="A6" s="2883" t="s">
        <v>5808</v>
      </c>
      <c r="B6" s="2883" t="s">
        <v>2557</v>
      </c>
      <c r="C6" s="2883" t="s">
        <v>5809</v>
      </c>
      <c r="D6" s="2883" t="s">
        <v>2562</v>
      </c>
      <c r="E6" s="2024" t="s">
        <v>5132</v>
      </c>
      <c r="F6" s="2025" t="s">
        <v>2559</v>
      </c>
      <c r="G6" s="2042" t="str">
        <f>TEXT(Lead!$F$5,"yyyy年m月d日")</f>
        <v>2019年12月31日</v>
      </c>
      <c r="H6" s="2042" t="str">
        <f>TEXT(Lead!$F$6,"yyyy年m月d日")</f>
        <v>2018年12月31日</v>
      </c>
      <c r="I6" s="2025" t="s">
        <v>5132</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7894317.0800000001</v>
      </c>
      <c r="H8" s="2016">
        <f t="shared" si="4"/>
        <v>79452903</v>
      </c>
      <c r="I8" s="2017" t="str">
        <f t="shared" si="5"/>
        <v>短期借款</v>
      </c>
      <c r="J8" s="2014"/>
      <c r="K8" s="2015">
        <f t="shared" si="6"/>
        <v>0</v>
      </c>
      <c r="L8" s="2027">
        <f t="shared" si="7"/>
        <v>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2024958.1</v>
      </c>
      <c r="I12" s="2017" t="str">
        <f t="shared" si="5"/>
        <v>应付票据</v>
      </c>
      <c r="J12" s="2014"/>
      <c r="K12" s="2015">
        <f t="shared" si="6"/>
        <v>0</v>
      </c>
      <c r="L12" s="2027">
        <f t="shared" si="7"/>
        <v>42762500</v>
      </c>
      <c r="M12" s="3369">
        <v>43726400</v>
      </c>
      <c r="N12" s="3370">
        <v>1210000</v>
      </c>
      <c r="O12" s="1662"/>
      <c r="P12" s="1662"/>
    </row>
    <row r="13" spans="1:16" ht="18" customHeight="1">
      <c r="A13" s="2861">
        <f t="shared" si="0"/>
        <v>0</v>
      </c>
      <c r="B13" s="2861">
        <f t="shared" si="1"/>
        <v>0</v>
      </c>
      <c r="C13" s="2889">
        <v>1122</v>
      </c>
      <c r="D13" s="2890">
        <v>2202</v>
      </c>
      <c r="E13" s="2028" t="str">
        <f t="shared" si="2"/>
        <v>应收账款</v>
      </c>
      <c r="F13" s="2014"/>
      <c r="G13" s="2015">
        <f t="shared" si="3"/>
        <v>52079975.609999999</v>
      </c>
      <c r="H13" s="2016">
        <f t="shared" si="4"/>
        <v>43128210.229999997</v>
      </c>
      <c r="I13" s="2017" t="str">
        <f t="shared" si="5"/>
        <v>应付账款</v>
      </c>
      <c r="J13" s="2014"/>
      <c r="K13" s="2015">
        <f t="shared" si="6"/>
        <v>60014311.829999998</v>
      </c>
      <c r="L13" s="2027">
        <f t="shared" si="7"/>
        <v>35943625.149999999</v>
      </c>
      <c r="M13" s="3371">
        <f>M12-N12</f>
        <v>42516400</v>
      </c>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3532481.3</v>
      </c>
      <c r="H14" s="2016">
        <f t="shared" si="4"/>
        <v>0</v>
      </c>
      <c r="I14" s="2017" t="str">
        <f t="shared" si="5"/>
        <v>预收款项</v>
      </c>
      <c r="J14" s="2014"/>
      <c r="K14" s="2015">
        <f t="shared" si="6"/>
        <v>1190488.93</v>
      </c>
      <c r="L14" s="2027">
        <f t="shared" si="7"/>
        <v>2572903.23</v>
      </c>
      <c r="M14" s="3371">
        <f>L12-M13</f>
        <v>246100</v>
      </c>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1491719.74</v>
      </c>
      <c r="H15" s="2016">
        <f t="shared" si="4"/>
        <v>2419762.12</v>
      </c>
      <c r="I15" s="2017" t="str">
        <f t="shared" si="5"/>
        <v>应付职工薪酬</v>
      </c>
      <c r="J15" s="2014"/>
      <c r="K15" s="2015">
        <f t="shared" si="6"/>
        <v>6350911.7800000003</v>
      </c>
      <c r="L15" s="2027">
        <f t="shared" si="7"/>
        <v>6936778.7800000003</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8760929.7400000002</v>
      </c>
      <c r="H16" s="2016">
        <f t="shared" si="4"/>
        <v>1187767</v>
      </c>
      <c r="I16" s="2017" t="str">
        <f t="shared" si="5"/>
        <v>应交税费</v>
      </c>
      <c r="J16" s="2014"/>
      <c r="K16" s="2015">
        <f t="shared" si="6"/>
        <v>4883645.8</v>
      </c>
      <c r="L16" s="2027">
        <f t="shared" si="7"/>
        <v>7888725.9500000002</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76153.320000000007</v>
      </c>
      <c r="I17" s="2017" t="str">
        <f t="shared" si="5"/>
        <v>其他应付款</v>
      </c>
      <c r="J17" s="2014"/>
      <c r="K17" s="2015">
        <f t="shared" si="6"/>
        <v>11058441.74</v>
      </c>
      <c r="L17" s="2027">
        <f t="shared" si="7"/>
        <v>61340818.75</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22601423.91</v>
      </c>
      <c r="H19" s="2016">
        <f t="shared" si="4"/>
        <v>33104385.260000002</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0</v>
      </c>
      <c r="H22" s="2016">
        <f t="shared" si="4"/>
        <v>0</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96360847.379999995</v>
      </c>
      <c r="H23" s="2016">
        <f>SUM(H8:H22)-SUM(H17,H18)</f>
        <v>161317985.71000001</v>
      </c>
      <c r="I23" s="2019" t="str">
        <f t="shared" si="5"/>
        <v>流动负债合计</v>
      </c>
      <c r="J23" s="2014"/>
      <c r="K23" s="2015">
        <f>SUM(K8:K22)-SUM(K18,K19)</f>
        <v>83497800.079999998</v>
      </c>
      <c r="L23" s="2027">
        <f>SUM(L8:L22)-SUM(L18,L19)</f>
        <v>157445351.86000001</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3003000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3003000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80029486.859999999</v>
      </c>
      <c r="H34" s="2016">
        <f t="shared" si="9"/>
        <v>99146371.280000001</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36687949.960000001</v>
      </c>
      <c r="H35" s="2016">
        <f t="shared" si="9"/>
        <v>43951288.280000001</v>
      </c>
      <c r="I35" s="2019" t="str">
        <f t="shared" si="5"/>
        <v>非流动负债合计</v>
      </c>
      <c r="J35" s="2014"/>
      <c r="K35" s="2015">
        <f>SUM(K25:K34)-SUM(K27,K28)</f>
        <v>0</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83497800.079999998</v>
      </c>
      <c r="L36" s="2027">
        <f>SUM(L23,L35)</f>
        <v>157445351.86000001</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22921846.190000001</v>
      </c>
      <c r="H38" s="2016">
        <f t="shared" si="9"/>
        <v>20891148.170000002</v>
      </c>
      <c r="I38" s="2021" t="str">
        <f t="shared" si="5"/>
        <v>股本</v>
      </c>
      <c r="J38" s="2014"/>
      <c r="K38" s="2015">
        <f t="shared" si="12"/>
        <v>85691911</v>
      </c>
      <c r="L38" s="2027">
        <f t="shared" si="13"/>
        <v>85691911</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1548766.81</v>
      </c>
      <c r="H41" s="2016">
        <f t="shared" si="9"/>
        <v>1731944.44</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16879550.879999999</v>
      </c>
      <c r="H42" s="2016">
        <f t="shared" si="9"/>
        <v>15732218.73</v>
      </c>
      <c r="I42" s="2017" t="str">
        <f t="shared" si="5"/>
        <v>资本公积</v>
      </c>
      <c r="J42" s="2014"/>
      <c r="K42" s="2015">
        <f t="shared" si="12"/>
        <v>238420255.88999999</v>
      </c>
      <c r="L42" s="2027">
        <f t="shared" si="13"/>
        <v>238420255.88999999</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443012.47</v>
      </c>
      <c r="H43" s="2016">
        <f t="shared" si="9"/>
        <v>3483445.9</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4545209.38</v>
      </c>
      <c r="L45" s="2027">
        <f t="shared" si="13"/>
        <v>8378246.8099999996</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4637867.0999999996</v>
      </c>
      <c r="L46" s="2027">
        <f t="shared" si="13"/>
        <v>4637867.0999999996</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-158918582.90000001</v>
      </c>
      <c r="L48" s="2027">
        <f t="shared" si="13"/>
        <v>-145316230.15000001</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161513613.16999999</v>
      </c>
      <c r="H49" s="2016">
        <f>SUM(H25:H48)</f>
        <v>187939416.80000001</v>
      </c>
      <c r="I49" s="2023" t="str">
        <f t="shared" si="5"/>
        <v>所有者权益合计</v>
      </c>
      <c r="J49" s="2014"/>
      <c r="K49" s="2015">
        <f>SUM(K38:K39,K42,-K43,K44:K48)</f>
        <v>174376660.47</v>
      </c>
      <c r="L49" s="2027">
        <f>SUM(L38:L39,L42,-L43,L44:L48)</f>
        <v>191812050.65000001</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257874460.55000001</v>
      </c>
      <c r="H50" s="2033">
        <f>SUM(H23,H49)</f>
        <v>349257402.50999999</v>
      </c>
      <c r="I50" s="2034" t="str">
        <f t="shared" si="5"/>
        <v>负债和所有者权益总计</v>
      </c>
      <c r="J50" s="2031"/>
      <c r="K50" s="2032">
        <f>SUM(K36,K49)</f>
        <v>257874460.55000001</v>
      </c>
      <c r="L50" s="2035">
        <f>SUM(L36,L49)</f>
        <v>349257402.50999999</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5811</v>
      </c>
      <c r="F55" s="1852"/>
      <c r="G55" s="1853"/>
      <c r="H55" s="1853"/>
      <c r="I55" s="1853"/>
      <c r="J55" s="1853"/>
      <c r="K55" s="1853"/>
      <c r="L55" s="1854"/>
      <c r="M55" s="1855"/>
      <c r="N55" s="1848"/>
      <c r="O55" s="1848"/>
      <c r="P55" s="1848"/>
    </row>
    <row r="56" spans="1:16" s="1849" customFormat="1" ht="17.25">
      <c r="A56" s="2883" t="s">
        <v>2565</v>
      </c>
      <c r="B56" s="2883"/>
      <c r="C56" s="2883"/>
      <c r="D56" s="2883"/>
      <c r="E56" s="1856" t="s">
        <v>5812</v>
      </c>
      <c r="F56" s="1853"/>
      <c r="G56" s="1853"/>
      <c r="H56" s="1853" t="s">
        <v>5813</v>
      </c>
      <c r="I56" s="1853" t="s">
        <v>5753</v>
      </c>
      <c r="J56" s="1857"/>
      <c r="K56" s="1853" t="s">
        <v>5754</v>
      </c>
      <c r="L56" s="1858" t="s">
        <v>2550</v>
      </c>
      <c r="M56" s="1855"/>
      <c r="N56" s="1848"/>
      <c r="O56" s="1848"/>
      <c r="P56" s="1848"/>
    </row>
    <row r="57" spans="1:16" s="1849" customFormat="1" ht="18">
      <c r="A57" s="2887" t="s">
        <v>2565</v>
      </c>
      <c r="B57" s="2883"/>
      <c r="C57" s="2883"/>
      <c r="D57" s="2883"/>
      <c r="E57" s="1859" t="s">
        <v>5814</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257874460.55000001</v>
      </c>
      <c r="I59" s="1863" t="str">
        <f>I50</f>
        <v>负债和所有者权益总计</v>
      </c>
      <c r="J59" s="1861"/>
      <c r="K59" s="1871">
        <f>K50</f>
        <v>257874460.55000001</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349257402.50999999</v>
      </c>
      <c r="I61" s="1880" t="str">
        <f>I50</f>
        <v>负债和所有者权益总计</v>
      </c>
      <c r="J61" s="1878"/>
      <c r="K61" s="1881">
        <f>L50</f>
        <v>349257402.50999999</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65" priority="108" stopIfTrue="1">
      <formula>#REF!=TRUE</formula>
    </cfRule>
  </conditionalFormatting>
  <conditionalFormatting sqref="L60 L58 L62">
    <cfRule type="cellIs" dxfId="4064" priority="107" stopIfTrue="1" operator="notEqual">
      <formula>0</formula>
    </cfRule>
  </conditionalFormatting>
  <conditionalFormatting sqref="E55:F55">
    <cfRule type="expression" dxfId="4063" priority="106" stopIfTrue="1">
      <formula>#REF!=TRUE</formula>
    </cfRule>
  </conditionalFormatting>
  <conditionalFormatting sqref="L59 L57 L61">
    <cfRule type="cellIs" dxfId="4062" priority="105" stopIfTrue="1" operator="notEqual">
      <formula>0</formula>
    </cfRule>
  </conditionalFormatting>
  <conditionalFormatting sqref="E55:F55">
    <cfRule type="expression" dxfId="4061" priority="104" stopIfTrue="1">
      <formula>#REF!=TRUE</formula>
    </cfRule>
  </conditionalFormatting>
  <conditionalFormatting sqref="L59 L57 L61">
    <cfRule type="cellIs" dxfId="4060" priority="103" stopIfTrue="1" operator="notEqual">
      <formula>0</formula>
    </cfRule>
  </conditionalFormatting>
  <conditionalFormatting sqref="E56:F56">
    <cfRule type="expression" dxfId="4059" priority="102" stopIfTrue="1">
      <formula>#REF!=TRUE</formula>
    </cfRule>
  </conditionalFormatting>
  <conditionalFormatting sqref="L60 L58">
    <cfRule type="cellIs" dxfId="4058" priority="101" stopIfTrue="1" operator="notEqual">
      <formula>0</formula>
    </cfRule>
  </conditionalFormatting>
  <conditionalFormatting sqref="E55:F55">
    <cfRule type="expression" dxfId="4057" priority="100" stopIfTrue="1">
      <formula>#REF!=TRUE</formula>
    </cfRule>
  </conditionalFormatting>
  <conditionalFormatting sqref="L59 L57 L61">
    <cfRule type="cellIs" dxfId="4056" priority="99" stopIfTrue="1" operator="notEqual">
      <formula>0</formula>
    </cfRule>
  </conditionalFormatting>
  <conditionalFormatting sqref="E55:F55">
    <cfRule type="expression" dxfId="4055" priority="98" stopIfTrue="1">
      <formula>#REF!=TRUE</formula>
    </cfRule>
  </conditionalFormatting>
  <conditionalFormatting sqref="L59 L57 L61">
    <cfRule type="cellIs" dxfId="4054" priority="97" stopIfTrue="1" operator="notEqual">
      <formula>0</formula>
    </cfRule>
  </conditionalFormatting>
  <conditionalFormatting sqref="E56:F56">
    <cfRule type="expression" dxfId="4053" priority="96" stopIfTrue="1">
      <formula>#REF!=TRUE</formula>
    </cfRule>
  </conditionalFormatting>
  <conditionalFormatting sqref="L60 L58">
    <cfRule type="cellIs" dxfId="4052" priority="95" stopIfTrue="1" operator="notEqual">
      <formula>0</formula>
    </cfRule>
  </conditionalFormatting>
  <conditionalFormatting sqref="E55:F55">
    <cfRule type="expression" dxfId="4051" priority="94" stopIfTrue="1">
      <formula>#REF!=TRUE</formula>
    </cfRule>
  </conditionalFormatting>
  <conditionalFormatting sqref="L59 L57 L61">
    <cfRule type="cellIs" dxfId="4050" priority="93" stopIfTrue="1" operator="notEqual">
      <formula>0</formula>
    </cfRule>
  </conditionalFormatting>
  <conditionalFormatting sqref="E55:F55">
    <cfRule type="expression" dxfId="4049" priority="92" stopIfTrue="1">
      <formula>#REF!=TRUE</formula>
    </cfRule>
  </conditionalFormatting>
  <conditionalFormatting sqref="L59 L57 L61">
    <cfRule type="cellIs" dxfId="4048" priority="91" stopIfTrue="1" operator="notEqual">
      <formula>0</formula>
    </cfRule>
  </conditionalFormatting>
  <conditionalFormatting sqref="E56:F56">
    <cfRule type="expression" dxfId="4047" priority="90" stopIfTrue="1">
      <formula>#REF!=TRUE</formula>
    </cfRule>
  </conditionalFormatting>
  <conditionalFormatting sqref="L60 L58">
    <cfRule type="cellIs" dxfId="4046" priority="89" stopIfTrue="1" operator="notEqual">
      <formula>0</formula>
    </cfRule>
  </conditionalFormatting>
  <conditionalFormatting sqref="E55:F55">
    <cfRule type="expression" dxfId="4045" priority="88" stopIfTrue="1">
      <formula>#REF!=TRUE</formula>
    </cfRule>
  </conditionalFormatting>
  <conditionalFormatting sqref="L59 L57 L61">
    <cfRule type="cellIs" dxfId="4044" priority="87" stopIfTrue="1" operator="notEqual">
      <formula>0</formula>
    </cfRule>
  </conditionalFormatting>
  <conditionalFormatting sqref="E55:F55">
    <cfRule type="expression" dxfId="4043" priority="86" stopIfTrue="1">
      <formula>#REF!=TRUE</formula>
    </cfRule>
  </conditionalFormatting>
  <conditionalFormatting sqref="L59 L57 L61">
    <cfRule type="cellIs" dxfId="4042" priority="85" stopIfTrue="1" operator="notEqual">
      <formula>0</formula>
    </cfRule>
  </conditionalFormatting>
  <conditionalFormatting sqref="E56:F56">
    <cfRule type="expression" dxfId="4041" priority="84" stopIfTrue="1">
      <formula>#REF!=TRUE</formula>
    </cfRule>
  </conditionalFormatting>
  <conditionalFormatting sqref="L57:L61">
    <cfRule type="cellIs" dxfId="4040" priority="83" stopIfTrue="1" operator="notEqual">
      <formula>0</formula>
    </cfRule>
  </conditionalFormatting>
  <conditionalFormatting sqref="E55:F56">
    <cfRule type="expression" dxfId="4039" priority="82" stopIfTrue="1">
      <formula>#REF!=TRUE</formula>
    </cfRule>
  </conditionalFormatting>
  <conditionalFormatting sqref="E56:F56">
    <cfRule type="expression" dxfId="4038" priority="81" stopIfTrue="1">
      <formula>#REF!=TRUE</formula>
    </cfRule>
  </conditionalFormatting>
  <conditionalFormatting sqref="L60 L58">
    <cfRule type="cellIs" dxfId="4037" priority="80" stopIfTrue="1" operator="notEqual">
      <formula>0</formula>
    </cfRule>
  </conditionalFormatting>
  <conditionalFormatting sqref="E55:F55">
    <cfRule type="expression" dxfId="4036" priority="79" stopIfTrue="1">
      <formula>#REF!=TRUE</formula>
    </cfRule>
  </conditionalFormatting>
  <conditionalFormatting sqref="L59 L57 L61">
    <cfRule type="cellIs" dxfId="4035" priority="78" stopIfTrue="1" operator="notEqual">
      <formula>0</formula>
    </cfRule>
  </conditionalFormatting>
  <conditionalFormatting sqref="E55:F55">
    <cfRule type="expression" dxfId="4034" priority="77" stopIfTrue="1">
      <formula>#REF!=TRUE</formula>
    </cfRule>
  </conditionalFormatting>
  <conditionalFormatting sqref="L59 L57 L61">
    <cfRule type="cellIs" dxfId="4033" priority="76" stopIfTrue="1" operator="notEqual">
      <formula>0</formula>
    </cfRule>
  </conditionalFormatting>
  <conditionalFormatting sqref="E56:F56">
    <cfRule type="expression" dxfId="4032" priority="75" stopIfTrue="1">
      <formula>#REF!=TRUE</formula>
    </cfRule>
  </conditionalFormatting>
  <conditionalFormatting sqref="L60 L58">
    <cfRule type="cellIs" dxfId="4031" priority="74" stopIfTrue="1" operator="notEqual">
      <formula>0</formula>
    </cfRule>
  </conditionalFormatting>
  <conditionalFormatting sqref="E55:F55">
    <cfRule type="expression" dxfId="4030" priority="73" stopIfTrue="1">
      <formula>#REF!=TRUE</formula>
    </cfRule>
  </conditionalFormatting>
  <conditionalFormatting sqref="L59 L57 L61">
    <cfRule type="cellIs" dxfId="4029" priority="72" stopIfTrue="1" operator="notEqual">
      <formula>0</formula>
    </cfRule>
  </conditionalFormatting>
  <conditionalFormatting sqref="E55:F55">
    <cfRule type="expression" dxfId="4028" priority="71" stopIfTrue="1">
      <formula>#REF!=TRUE</formula>
    </cfRule>
  </conditionalFormatting>
  <conditionalFormatting sqref="L59 L57 L61">
    <cfRule type="cellIs" dxfId="4027" priority="70" stopIfTrue="1" operator="notEqual">
      <formula>0</formula>
    </cfRule>
  </conditionalFormatting>
  <conditionalFormatting sqref="E56:F56">
    <cfRule type="expression" dxfId="4026" priority="69" stopIfTrue="1">
      <formula>#REF!=TRUE</formula>
    </cfRule>
  </conditionalFormatting>
  <conditionalFormatting sqref="L60 L58">
    <cfRule type="cellIs" dxfId="4025" priority="68" stopIfTrue="1" operator="notEqual">
      <formula>0</formula>
    </cfRule>
  </conditionalFormatting>
  <conditionalFormatting sqref="E55:F55">
    <cfRule type="expression" dxfId="4024" priority="67" stopIfTrue="1">
      <formula>#REF!=TRUE</formula>
    </cfRule>
  </conditionalFormatting>
  <conditionalFormatting sqref="L59 L57 L61">
    <cfRule type="cellIs" dxfId="4023" priority="66" stopIfTrue="1" operator="notEqual">
      <formula>0</formula>
    </cfRule>
  </conditionalFormatting>
  <conditionalFormatting sqref="E55:F55">
    <cfRule type="expression" dxfId="4022" priority="65" stopIfTrue="1">
      <formula>#REF!=TRUE</formula>
    </cfRule>
  </conditionalFormatting>
  <conditionalFormatting sqref="L59 L57 L61">
    <cfRule type="cellIs" dxfId="4021" priority="64" stopIfTrue="1" operator="notEqual">
      <formula>0</formula>
    </cfRule>
  </conditionalFormatting>
  <conditionalFormatting sqref="E56:F56">
    <cfRule type="expression" dxfId="4020" priority="63" stopIfTrue="1">
      <formula>#REF!=TRUE</formula>
    </cfRule>
  </conditionalFormatting>
  <conditionalFormatting sqref="L60 L58">
    <cfRule type="cellIs" dxfId="4019" priority="62" stopIfTrue="1" operator="notEqual">
      <formula>0</formula>
    </cfRule>
  </conditionalFormatting>
  <conditionalFormatting sqref="E55:F55">
    <cfRule type="expression" dxfId="4018" priority="61" stopIfTrue="1">
      <formula>#REF!=TRUE</formula>
    </cfRule>
  </conditionalFormatting>
  <conditionalFormatting sqref="L59 L57 L61">
    <cfRule type="cellIs" dxfId="4017" priority="60" stopIfTrue="1" operator="notEqual">
      <formula>0</formula>
    </cfRule>
  </conditionalFormatting>
  <conditionalFormatting sqref="E55:F55">
    <cfRule type="expression" dxfId="4016" priority="59" stopIfTrue="1">
      <formula>#REF!=TRUE</formula>
    </cfRule>
  </conditionalFormatting>
  <conditionalFormatting sqref="L59 L57 L61">
    <cfRule type="cellIs" dxfId="4015" priority="58" stopIfTrue="1" operator="notEqual">
      <formula>0</formula>
    </cfRule>
  </conditionalFormatting>
  <conditionalFormatting sqref="E56:F56">
    <cfRule type="expression" dxfId="4014" priority="57" stopIfTrue="1">
      <formula>#REF!=TRUE</formula>
    </cfRule>
  </conditionalFormatting>
  <conditionalFormatting sqref="L57:L61">
    <cfRule type="cellIs" dxfId="4013" priority="56" stopIfTrue="1" operator="notEqual">
      <formula>0</formula>
    </cfRule>
  </conditionalFormatting>
  <conditionalFormatting sqref="E55:F56">
    <cfRule type="expression" dxfId="4012" priority="55" stopIfTrue="1">
      <formula>#REF!=TRUE</formula>
    </cfRule>
  </conditionalFormatting>
  <conditionalFormatting sqref="E56:F56">
    <cfRule type="expression" dxfId="4011" priority="54" stopIfTrue="1">
      <formula>#REF!=TRUE</formula>
    </cfRule>
  </conditionalFormatting>
  <conditionalFormatting sqref="L60 L58">
    <cfRule type="cellIs" dxfId="4010" priority="53" stopIfTrue="1" operator="notEqual">
      <formula>0</formula>
    </cfRule>
  </conditionalFormatting>
  <conditionalFormatting sqref="E55:F55">
    <cfRule type="expression" dxfId="4009" priority="52" stopIfTrue="1">
      <formula>#REF!=TRUE</formula>
    </cfRule>
  </conditionalFormatting>
  <conditionalFormatting sqref="L59 L57 L61">
    <cfRule type="cellIs" dxfId="4008" priority="51" stopIfTrue="1" operator="notEqual">
      <formula>0</formula>
    </cfRule>
  </conditionalFormatting>
  <conditionalFormatting sqref="E55:F55">
    <cfRule type="expression" dxfId="4007" priority="50" stopIfTrue="1">
      <formula>#REF!=TRUE</formula>
    </cfRule>
  </conditionalFormatting>
  <conditionalFormatting sqref="L59 L57 L61">
    <cfRule type="cellIs" dxfId="4006" priority="49" stopIfTrue="1" operator="notEqual">
      <formula>0</formula>
    </cfRule>
  </conditionalFormatting>
  <conditionalFormatting sqref="E56:F56">
    <cfRule type="expression" dxfId="4005" priority="48" stopIfTrue="1">
      <formula>#REF!=TRUE</formula>
    </cfRule>
  </conditionalFormatting>
  <conditionalFormatting sqref="L60 L58">
    <cfRule type="cellIs" dxfId="4004" priority="47" stopIfTrue="1" operator="notEqual">
      <formula>0</formula>
    </cfRule>
  </conditionalFormatting>
  <conditionalFormatting sqref="E55:F55">
    <cfRule type="expression" dxfId="4003" priority="46" stopIfTrue="1">
      <formula>#REF!=TRUE</formula>
    </cfRule>
  </conditionalFormatting>
  <conditionalFormatting sqref="L59 L57 L61">
    <cfRule type="cellIs" dxfId="4002" priority="45" stopIfTrue="1" operator="notEqual">
      <formula>0</formula>
    </cfRule>
  </conditionalFormatting>
  <conditionalFormatting sqref="E55:F55">
    <cfRule type="expression" dxfId="4001" priority="44" stopIfTrue="1">
      <formula>#REF!=TRUE</formula>
    </cfRule>
  </conditionalFormatting>
  <conditionalFormatting sqref="L59 L57 L61">
    <cfRule type="cellIs" dxfId="4000" priority="43" stopIfTrue="1" operator="notEqual">
      <formula>0</formula>
    </cfRule>
  </conditionalFormatting>
  <conditionalFormatting sqref="E56:F56">
    <cfRule type="expression" dxfId="3999" priority="42" stopIfTrue="1">
      <formula>#REF!=TRUE</formula>
    </cfRule>
  </conditionalFormatting>
  <conditionalFormatting sqref="L60 L58">
    <cfRule type="cellIs" dxfId="3998" priority="41" stopIfTrue="1" operator="notEqual">
      <formula>0</formula>
    </cfRule>
  </conditionalFormatting>
  <conditionalFormatting sqref="E55:F55">
    <cfRule type="expression" dxfId="3997" priority="40" stopIfTrue="1">
      <formula>#REF!=TRUE</formula>
    </cfRule>
  </conditionalFormatting>
  <conditionalFormatting sqref="L59 L57 L61">
    <cfRule type="cellIs" dxfId="3996" priority="39" stopIfTrue="1" operator="notEqual">
      <formula>0</formula>
    </cfRule>
  </conditionalFormatting>
  <conditionalFormatting sqref="E55:F55">
    <cfRule type="expression" dxfId="3995" priority="38" stopIfTrue="1">
      <formula>#REF!=TRUE</formula>
    </cfRule>
  </conditionalFormatting>
  <conditionalFormatting sqref="L59 L57 L61">
    <cfRule type="cellIs" dxfId="3994" priority="37" stopIfTrue="1" operator="notEqual">
      <formula>0</formula>
    </cfRule>
  </conditionalFormatting>
  <conditionalFormatting sqref="E56:F56">
    <cfRule type="expression" dxfId="3993" priority="36" stopIfTrue="1">
      <formula>#REF!=TRUE</formula>
    </cfRule>
  </conditionalFormatting>
  <conditionalFormatting sqref="L60 L58">
    <cfRule type="cellIs" dxfId="3992" priority="35" stopIfTrue="1" operator="notEqual">
      <formula>0</formula>
    </cfRule>
  </conditionalFormatting>
  <conditionalFormatting sqref="E55:F55">
    <cfRule type="expression" dxfId="3991" priority="34" stopIfTrue="1">
      <formula>#REF!=TRUE</formula>
    </cfRule>
  </conditionalFormatting>
  <conditionalFormatting sqref="L59 L57 L61">
    <cfRule type="cellIs" dxfId="3990" priority="33" stopIfTrue="1" operator="notEqual">
      <formula>0</formula>
    </cfRule>
  </conditionalFormatting>
  <conditionalFormatting sqref="E55:F55">
    <cfRule type="expression" dxfId="3989" priority="32" stopIfTrue="1">
      <formula>#REF!=TRUE</formula>
    </cfRule>
  </conditionalFormatting>
  <conditionalFormatting sqref="L59 L57 L61">
    <cfRule type="cellIs" dxfId="3988" priority="31" stopIfTrue="1" operator="notEqual">
      <formula>0</formula>
    </cfRule>
  </conditionalFormatting>
  <conditionalFormatting sqref="E56:F56">
    <cfRule type="expression" dxfId="3987" priority="30" stopIfTrue="1">
      <formula>#REF!=TRUE</formula>
    </cfRule>
  </conditionalFormatting>
  <conditionalFormatting sqref="L57:L61">
    <cfRule type="cellIs" dxfId="3986" priority="29" stopIfTrue="1" operator="notEqual">
      <formula>0</formula>
    </cfRule>
  </conditionalFormatting>
  <conditionalFormatting sqref="E55:F56">
    <cfRule type="expression" dxfId="3985" priority="28" stopIfTrue="1">
      <formula>#REF!=TRUE</formula>
    </cfRule>
  </conditionalFormatting>
  <conditionalFormatting sqref="E56:F56">
    <cfRule type="expression" dxfId="3984" priority="27" stopIfTrue="1">
      <formula>#REF!=TRUE</formula>
    </cfRule>
  </conditionalFormatting>
  <conditionalFormatting sqref="L60 L58">
    <cfRule type="cellIs" dxfId="3983" priority="26" stopIfTrue="1" operator="notEqual">
      <formula>0</formula>
    </cfRule>
  </conditionalFormatting>
  <conditionalFormatting sqref="E55:F55">
    <cfRule type="expression" dxfId="3982" priority="25" stopIfTrue="1">
      <formula>#REF!=TRUE</formula>
    </cfRule>
  </conditionalFormatting>
  <conditionalFormatting sqref="L59 L57 L61">
    <cfRule type="cellIs" dxfId="3981" priority="24" stopIfTrue="1" operator="notEqual">
      <formula>0</formula>
    </cfRule>
  </conditionalFormatting>
  <conditionalFormatting sqref="E55:F55">
    <cfRule type="expression" dxfId="3980" priority="23" stopIfTrue="1">
      <formula>#REF!=TRUE</formula>
    </cfRule>
  </conditionalFormatting>
  <conditionalFormatting sqref="L59 L57 L61">
    <cfRule type="cellIs" dxfId="3979" priority="22" stopIfTrue="1" operator="notEqual">
      <formula>0</formula>
    </cfRule>
  </conditionalFormatting>
  <conditionalFormatting sqref="E56:F56">
    <cfRule type="expression" dxfId="3978" priority="21" stopIfTrue="1">
      <formula>#REF!=TRUE</formula>
    </cfRule>
  </conditionalFormatting>
  <conditionalFormatting sqref="L60 L58">
    <cfRule type="cellIs" dxfId="3977" priority="20" stopIfTrue="1" operator="notEqual">
      <formula>0</formula>
    </cfRule>
  </conditionalFormatting>
  <conditionalFormatting sqref="E55:F55">
    <cfRule type="expression" dxfId="3976" priority="19" stopIfTrue="1">
      <formula>#REF!=TRUE</formula>
    </cfRule>
  </conditionalFormatting>
  <conditionalFormatting sqref="L59 L57 L61">
    <cfRule type="cellIs" dxfId="3975" priority="18" stopIfTrue="1" operator="notEqual">
      <formula>0</formula>
    </cfRule>
  </conditionalFormatting>
  <conditionalFormatting sqref="E55:F55">
    <cfRule type="expression" dxfId="3974" priority="17" stopIfTrue="1">
      <formula>#REF!=TRUE</formula>
    </cfRule>
  </conditionalFormatting>
  <conditionalFormatting sqref="L59 L57 L61">
    <cfRule type="cellIs" dxfId="3973" priority="16" stopIfTrue="1" operator="notEqual">
      <formula>0</formula>
    </cfRule>
  </conditionalFormatting>
  <conditionalFormatting sqref="E56:F56">
    <cfRule type="expression" dxfId="3972" priority="15" stopIfTrue="1">
      <formula>#REF!=TRUE</formula>
    </cfRule>
  </conditionalFormatting>
  <conditionalFormatting sqref="L60 L58">
    <cfRule type="cellIs" dxfId="3971" priority="14" stopIfTrue="1" operator="notEqual">
      <formula>0</formula>
    </cfRule>
  </conditionalFormatting>
  <conditionalFormatting sqref="E55:F55">
    <cfRule type="expression" dxfId="3970" priority="13" stopIfTrue="1">
      <formula>#REF!=TRUE</formula>
    </cfRule>
  </conditionalFormatting>
  <conditionalFormatting sqref="L59 L57 L61">
    <cfRule type="cellIs" dxfId="3969" priority="12" stopIfTrue="1" operator="notEqual">
      <formula>0</formula>
    </cfRule>
  </conditionalFormatting>
  <conditionalFormatting sqref="E55:F55">
    <cfRule type="expression" dxfId="3968" priority="11" stopIfTrue="1">
      <formula>#REF!=TRUE</formula>
    </cfRule>
  </conditionalFormatting>
  <conditionalFormatting sqref="L59 L57 L61">
    <cfRule type="cellIs" dxfId="3967" priority="10" stopIfTrue="1" operator="notEqual">
      <formula>0</formula>
    </cfRule>
  </conditionalFormatting>
  <conditionalFormatting sqref="E56:F56">
    <cfRule type="expression" dxfId="3966" priority="9" stopIfTrue="1">
      <formula>#REF!=TRUE</formula>
    </cfRule>
  </conditionalFormatting>
  <conditionalFormatting sqref="L60 L58">
    <cfRule type="cellIs" dxfId="3965" priority="8" stopIfTrue="1" operator="notEqual">
      <formula>0</formula>
    </cfRule>
  </conditionalFormatting>
  <conditionalFormatting sqref="E55:F55">
    <cfRule type="expression" dxfId="3964" priority="7" stopIfTrue="1">
      <formula>#REF!=TRUE</formula>
    </cfRule>
  </conditionalFormatting>
  <conditionalFormatting sqref="L59 L57 L61">
    <cfRule type="cellIs" dxfId="3963" priority="6" stopIfTrue="1" operator="notEqual">
      <formula>0</formula>
    </cfRule>
  </conditionalFormatting>
  <conditionalFormatting sqref="E55:F55">
    <cfRule type="expression" dxfId="3962" priority="5" stopIfTrue="1">
      <formula>#REF!=TRUE</formula>
    </cfRule>
  </conditionalFormatting>
  <conditionalFormatting sqref="L59 L57 L61">
    <cfRule type="cellIs" dxfId="3961" priority="4" stopIfTrue="1" operator="notEqual">
      <formula>0</formula>
    </cfRule>
  </conditionalFormatting>
  <conditionalFormatting sqref="E56:F56">
    <cfRule type="expression" dxfId="3960" priority="3" stopIfTrue="1">
      <formula>#REF!=TRUE</formula>
    </cfRule>
  </conditionalFormatting>
  <conditionalFormatting sqref="L57:L61">
    <cfRule type="cellIs" dxfId="3959" priority="2" stopIfTrue="1" operator="notEqual">
      <formula>0</formula>
    </cfRule>
  </conditionalFormatting>
  <conditionalFormatting sqref="E55:F56">
    <cfRule type="expression" dxfId="3958"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76" workbookViewId="0">
      <selection activeCell="E26" sqref="E26"/>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437" t="s">
        <v>5806</v>
      </c>
      <c r="D2" s="3437"/>
      <c r="E2" s="3437"/>
      <c r="F2" s="3437"/>
      <c r="G2" s="1662"/>
      <c r="H2" s="1662"/>
      <c r="I2" s="1662"/>
      <c r="J2" s="1662"/>
    </row>
    <row r="3" spans="1:10" ht="27" customHeight="1">
      <c r="A3" s="2838"/>
      <c r="B3" s="2839"/>
      <c r="C3" s="3436" t="str">
        <f>Lead!$F$7</f>
        <v>2019年度</v>
      </c>
      <c r="D3" s="3436"/>
      <c r="E3" s="3436"/>
      <c r="F3" s="3436"/>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编制单位：山东天安化工股份有限公司</v>
      </c>
      <c r="D5" s="2037"/>
      <c r="E5" s="2038" t="s">
        <v>2554</v>
      </c>
      <c r="F5" s="2039" t="s">
        <v>2555</v>
      </c>
      <c r="G5" s="1662"/>
      <c r="H5" s="1662"/>
      <c r="I5" s="1662"/>
      <c r="J5" s="1662"/>
    </row>
    <row r="6" spans="1:10" ht="20.100000000000001" customHeight="1">
      <c r="A6" s="2883" t="s">
        <v>2556</v>
      </c>
      <c r="B6" s="2881" t="s">
        <v>2558</v>
      </c>
      <c r="C6" s="2041" t="s">
        <v>5132</v>
      </c>
      <c r="D6" s="2042" t="s">
        <v>5845</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231319311.91</v>
      </c>
      <c r="F7" s="2048">
        <f t="shared" ref="F7:F24" si="3">IF($B7="","",VLOOKUP($B7,Sheet_Trialbal,10,0))</f>
        <v>339876355.07999998</v>
      </c>
      <c r="G7" s="1883"/>
      <c r="H7" s="1883"/>
      <c r="I7" s="1662"/>
      <c r="J7" s="1662"/>
    </row>
    <row r="8" spans="1:10" ht="20.100000000000001" customHeight="1">
      <c r="A8" s="2861">
        <f t="shared" si="0"/>
        <v>0</v>
      </c>
      <c r="B8" s="2854">
        <v>6401</v>
      </c>
      <c r="C8" s="2049" t="str">
        <f t="shared" si="1"/>
        <v>减：营业成本</v>
      </c>
      <c r="D8" s="2050"/>
      <c r="E8" s="2047">
        <f t="shared" si="2"/>
        <v>197062457.09</v>
      </c>
      <c r="F8" s="2048">
        <f t="shared" si="3"/>
        <v>239939923.65000001</v>
      </c>
      <c r="G8" s="1883"/>
      <c r="H8" s="1883"/>
      <c r="I8" s="1662"/>
      <c r="J8" s="1662"/>
    </row>
    <row r="9" spans="1:10" ht="20.100000000000001" customHeight="1">
      <c r="A9" s="2861">
        <f t="shared" si="0"/>
        <v>0</v>
      </c>
      <c r="B9" s="2854">
        <v>6600</v>
      </c>
      <c r="C9" s="2028" t="str">
        <f t="shared" si="1"/>
        <v>税金及附加</v>
      </c>
      <c r="D9" s="2050"/>
      <c r="E9" s="2047">
        <f t="shared" si="2"/>
        <v>3777403.45</v>
      </c>
      <c r="F9" s="2048">
        <f t="shared" si="3"/>
        <v>6554133.3899999997</v>
      </c>
      <c r="G9" s="1883"/>
      <c r="H9" s="1883"/>
      <c r="I9" s="1662"/>
      <c r="J9" s="1662"/>
    </row>
    <row r="10" spans="1:10" ht="20.100000000000001" customHeight="1">
      <c r="A10" s="2861">
        <f t="shared" si="0"/>
        <v>0</v>
      </c>
      <c r="B10" s="2854">
        <v>6601</v>
      </c>
      <c r="C10" s="2028" t="str">
        <f t="shared" si="1"/>
        <v>销售费用</v>
      </c>
      <c r="D10" s="2050"/>
      <c r="E10" s="2047">
        <f t="shared" si="2"/>
        <v>13846726.529999999</v>
      </c>
      <c r="F10" s="2048">
        <f t="shared" si="3"/>
        <v>22551947.460000001</v>
      </c>
      <c r="G10" s="1883"/>
      <c r="H10" s="1883"/>
      <c r="I10" s="1662"/>
      <c r="J10" s="1662"/>
    </row>
    <row r="11" spans="1:10" ht="20.100000000000001" customHeight="1">
      <c r="A11" s="2861">
        <f t="shared" si="0"/>
        <v>0</v>
      </c>
      <c r="B11" s="2854">
        <v>6602</v>
      </c>
      <c r="C11" s="2028" t="str">
        <f t="shared" si="1"/>
        <v>管理费用</v>
      </c>
      <c r="D11" s="2050"/>
      <c r="E11" s="2047">
        <f t="shared" si="2"/>
        <v>18794129.440000001</v>
      </c>
      <c r="F11" s="2048">
        <f t="shared" si="3"/>
        <v>28739665.809999999</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347671.51</v>
      </c>
      <c r="F13" s="2048">
        <f t="shared" si="3"/>
        <v>2508278.83</v>
      </c>
      <c r="G13" s="1883"/>
      <c r="H13" s="1883"/>
      <c r="I13" s="1662"/>
      <c r="J13" s="1662"/>
    </row>
    <row r="14" spans="1:10" ht="20.100000000000001" customHeight="1">
      <c r="A14" s="2861">
        <f t="shared" si="0"/>
        <v>0</v>
      </c>
      <c r="B14" s="2854" t="s">
        <v>803</v>
      </c>
      <c r="C14" s="2029" t="str">
        <f t="shared" si="1"/>
        <v>其中：利息费用</v>
      </c>
      <c r="D14" s="2050"/>
      <c r="E14" s="2047">
        <f t="shared" si="2"/>
        <v>2094341.69</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-1330385.21</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143120</v>
      </c>
      <c r="F16" s="2048">
        <f t="shared" si="3"/>
        <v>15000</v>
      </c>
      <c r="G16" s="1883"/>
      <c r="H16" s="1883"/>
      <c r="I16" s="1662"/>
      <c r="J16" s="1662"/>
    </row>
    <row r="17" spans="1:10" ht="20.100000000000001" customHeight="1">
      <c r="A17" s="2861">
        <f t="shared" si="0"/>
        <v>0</v>
      </c>
      <c r="B17" s="2854">
        <v>6111</v>
      </c>
      <c r="C17" s="2028" t="str">
        <f t="shared" si="1"/>
        <v>投资收益（损失以“-”号填列）</v>
      </c>
      <c r="D17" s="2050"/>
      <c r="E17" s="2047">
        <f t="shared" si="2"/>
        <v>0</v>
      </c>
      <c r="F17" s="2048">
        <f t="shared" si="3"/>
        <v>300300</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-909636.12</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-13357245.939999999</v>
      </c>
      <c r="F23" s="2048">
        <f t="shared" si="3"/>
        <v>-9046997.6899999995</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4370781.55</v>
      </c>
      <c r="F24" s="2048">
        <f t="shared" si="3"/>
        <v>-1081801.72</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-12262056.619999999</v>
      </c>
      <c r="F25" s="2048">
        <f>SUM(F7)-SUM(F8:F13)+SUM(F16:F24)-SUM(F18,F19)</f>
        <v>29768906.530000001</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68824.56</v>
      </c>
      <c r="F26" s="2048">
        <f>IF($B26="","",VLOOKUP($B26,Sheet_Trialbal,10,0))</f>
        <v>52566.02</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1812843.01</v>
      </c>
      <c r="F27" s="2048">
        <f>IF($B27="","",VLOOKUP($B27,Sheet_Trialbal,10,0))</f>
        <v>910205.83</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-14006075.07</v>
      </c>
      <c r="F28" s="2048">
        <f>SUM(F25,F26,-F27)</f>
        <v>28911266.719999999</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-458474.61</v>
      </c>
      <c r="F29" s="2048">
        <f>IF($B29="","",VLOOKUP($B29,Sheet_Trialbal,10,0))</f>
        <v>1544915.31</v>
      </c>
      <c r="G29" s="1883"/>
      <c r="H29" s="1883"/>
      <c r="I29" s="1662"/>
      <c r="J29" s="1662"/>
    </row>
    <row r="30" spans="1:10" ht="20.100000000000001" customHeight="1">
      <c r="A30" s="2861" t="str">
        <f t="shared" si="0"/>
        <v>＝</v>
      </c>
      <c r="B30" s="2854">
        <v>6799</v>
      </c>
      <c r="C30" s="2054" t="str">
        <f t="shared" si="1"/>
        <v>四、净利润（净亏损以“-”号填列）</v>
      </c>
      <c r="D30" s="2050"/>
      <c r="E30" s="2047">
        <f>SUM(E28,-E29)</f>
        <v>-13547600.460000001</v>
      </c>
      <c r="F30" s="2048">
        <f>SUM(F28,-F29)</f>
        <v>27366351.41</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f>E30</f>
        <v>-13547600.460000001</v>
      </c>
      <c r="F31" s="2048">
        <f>F30</f>
        <v>27366351.41</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-13547600.460000001</v>
      </c>
      <c r="F52" s="2048">
        <f>SUM(F30,F33)</f>
        <v>27366351.41</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438"/>
      <c r="D56" s="3438"/>
      <c r="E56" s="3438"/>
      <c r="F56" s="3438"/>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5750</v>
      </c>
      <c r="D61" s="1852"/>
      <c r="E61" s="1853"/>
      <c r="F61" s="1854"/>
      <c r="G61" s="1886"/>
      <c r="H61" s="1886"/>
      <c r="I61" s="1662"/>
      <c r="J61" s="1662"/>
    </row>
    <row r="62" spans="1:10" ht="18">
      <c r="A62" s="2885" t="s">
        <v>2565</v>
      </c>
      <c r="B62" s="2886"/>
      <c r="C62" s="1887" t="s">
        <v>5132</v>
      </c>
      <c r="D62" s="1888"/>
      <c r="E62" s="1889" t="s">
        <v>2577</v>
      </c>
      <c r="F62" s="1890" t="s">
        <v>2578</v>
      </c>
      <c r="G62" s="1886"/>
      <c r="H62" s="1886"/>
      <c r="I62" s="1662"/>
      <c r="J62" s="1662"/>
    </row>
    <row r="63" spans="1:10" ht="18">
      <c r="A63" s="2887" t="s">
        <v>2565</v>
      </c>
      <c r="B63" s="2888"/>
      <c r="C63" s="1859" t="s">
        <v>5755</v>
      </c>
      <c r="D63" s="1891"/>
      <c r="E63" s="1892"/>
      <c r="F63" s="1865"/>
      <c r="G63" s="1893"/>
      <c r="H63" s="1893"/>
      <c r="I63" s="1662"/>
      <c r="J63" s="1662"/>
    </row>
    <row r="64" spans="1:10" ht="18">
      <c r="A64" s="2887" t="s">
        <v>2565</v>
      </c>
      <c r="B64" s="2888"/>
      <c r="C64" s="1895" t="str">
        <f>C30</f>
        <v>四、净利润（净亏损以“-”号填列）</v>
      </c>
      <c r="D64" s="1891" t="s">
        <v>5761</v>
      </c>
      <c r="E64" s="1896">
        <f>E30</f>
        <v>-13547600.460000001</v>
      </c>
      <c r="F64" s="1897">
        <f>F30</f>
        <v>27366351.41</v>
      </c>
      <c r="G64" s="1893"/>
      <c r="H64" s="1893"/>
      <c r="I64" s="1662"/>
      <c r="J64" s="1662"/>
    </row>
    <row r="65" spans="1:10" ht="24">
      <c r="A65" s="2887" t="s">
        <v>2565</v>
      </c>
      <c r="B65" s="2888"/>
      <c r="C65" s="1894" t="str">
        <f>C31 &amp; "+" &amp;C32</f>
        <v>（一）持续经营净利润（净亏损以“-”号填列）+（二）终止经营净利润（净亏损以“-”号填列）</v>
      </c>
      <c r="D65" s="1891" t="s">
        <v>5761</v>
      </c>
      <c r="E65" s="1896">
        <f>E31+E32</f>
        <v>-13547600.460000001</v>
      </c>
      <c r="F65" s="1897">
        <f>F31+F32</f>
        <v>27366351.41</v>
      </c>
      <c r="G65" s="1893"/>
      <c r="H65" s="1893"/>
      <c r="I65" s="1662"/>
      <c r="J65" s="1662"/>
    </row>
    <row r="66" spans="1:10" ht="18.75" thickBot="1">
      <c r="A66" s="2887" t="s">
        <v>2565</v>
      </c>
      <c r="B66" s="2888"/>
      <c r="C66" s="1899" t="s">
        <v>5763</v>
      </c>
      <c r="D66" s="1891"/>
      <c r="E66" s="1900">
        <f>ROUND(E64-E65,2)</f>
        <v>0</v>
      </c>
      <c r="F66" s="1901">
        <f>ROUND(F64-F65,2)</f>
        <v>0</v>
      </c>
      <c r="G66" s="1893"/>
      <c r="H66" s="1893"/>
      <c r="I66" s="1662"/>
      <c r="J66" s="1662"/>
    </row>
    <row r="67" spans="1:10" ht="18.75" thickTop="1">
      <c r="A67" s="2887" t="s">
        <v>2565</v>
      </c>
      <c r="B67" s="2888"/>
      <c r="C67" s="1902" t="s">
        <v>5759</v>
      </c>
      <c r="D67" s="1891"/>
      <c r="E67" s="1903" t="str">
        <f>IF(E66=0,"√","×")</f>
        <v>√</v>
      </c>
      <c r="F67" s="1904" t="str">
        <f>IF(F66=0,"√","×")</f>
        <v>√</v>
      </c>
      <c r="G67" s="1893"/>
      <c r="H67" s="1893"/>
      <c r="I67" s="1662"/>
      <c r="J67" s="1662"/>
    </row>
    <row r="68" spans="1:10" ht="18">
      <c r="A68" s="2887" t="s">
        <v>2565</v>
      </c>
      <c r="B68" s="2888"/>
      <c r="C68" s="1859" t="s">
        <v>5760</v>
      </c>
      <c r="D68" s="1891"/>
      <c r="E68" s="1892"/>
      <c r="F68" s="1865"/>
      <c r="G68" s="1893"/>
      <c r="H68" s="1893"/>
      <c r="I68" s="1662"/>
      <c r="J68" s="1662"/>
    </row>
    <row r="69" spans="1:10" ht="18">
      <c r="A69" s="2887" t="s">
        <v>2565</v>
      </c>
      <c r="B69" s="2888"/>
      <c r="C69" s="1895" t="str">
        <f>C30</f>
        <v>四、净利润（净亏损以“-”号填列）</v>
      </c>
      <c r="D69" s="1891" t="s">
        <v>5761</v>
      </c>
      <c r="E69" s="1896">
        <f>E30</f>
        <v>-13547600.460000001</v>
      </c>
      <c r="F69" s="1897">
        <f>F30</f>
        <v>27366351.41</v>
      </c>
      <c r="G69" s="1893"/>
      <c r="H69" s="1893"/>
      <c r="I69" s="1662"/>
      <c r="J69" s="1662"/>
    </row>
    <row r="70" spans="1:10" ht="18">
      <c r="A70" s="2887" t="s">
        <v>2565</v>
      </c>
      <c r="B70" s="2888"/>
      <c r="C70" s="1898" t="str">
        <f>CE!$C$15&amp;" | "&amp;CE!$N$7</f>
        <v>（一）综合收益总额 | 未分配利润</v>
      </c>
      <c r="D70" s="1891" t="s">
        <v>5762</v>
      </c>
      <c r="E70" s="1896">
        <f>CE!N15</f>
        <v>-13547600.460000001</v>
      </c>
      <c r="F70" s="1897">
        <f>CE!AA15</f>
        <v>27366351.41</v>
      </c>
      <c r="G70" s="1893"/>
      <c r="H70" s="1893"/>
      <c r="I70" s="1662"/>
      <c r="J70" s="1662"/>
    </row>
    <row r="71" spans="1:10" ht="18.75" thickBot="1">
      <c r="A71" s="2887" t="s">
        <v>2565</v>
      </c>
      <c r="B71" s="2888"/>
      <c r="C71" s="1899" t="s">
        <v>5763</v>
      </c>
      <c r="D71" s="1891"/>
      <c r="E71" s="1900">
        <f>ROUND(E69-E70,2)</f>
        <v>0</v>
      </c>
      <c r="F71" s="1901">
        <f>ROUND(F69-F70,2)</f>
        <v>0</v>
      </c>
      <c r="G71" s="1893"/>
      <c r="H71" s="1893"/>
      <c r="I71" s="1662"/>
      <c r="J71" s="1662"/>
    </row>
    <row r="72" spans="1:10" ht="18.75" thickTop="1">
      <c r="A72" s="2887" t="s">
        <v>2565</v>
      </c>
      <c r="B72" s="2888"/>
      <c r="C72" s="1902" t="s">
        <v>5759</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5815</v>
      </c>
      <c r="E73" s="1896">
        <f>E33</f>
        <v>0</v>
      </c>
      <c r="F73" s="1897">
        <f>F33</f>
        <v>0</v>
      </c>
      <c r="G73" s="1893"/>
      <c r="H73" s="1893"/>
      <c r="I73" s="1662"/>
      <c r="J73" s="1662"/>
    </row>
    <row r="74" spans="1:10" ht="18">
      <c r="A74" s="2887" t="s">
        <v>2565</v>
      </c>
      <c r="B74" s="2888"/>
      <c r="C74" s="1898" t="str">
        <f>CE!$C$15&amp;" | "&amp;CE!$J$7</f>
        <v>（一）综合收益总额 | 其他综合收益</v>
      </c>
      <c r="D74" s="1891" t="s">
        <v>5816</v>
      </c>
      <c r="E74" s="1896">
        <f>CE!J15</f>
        <v>0</v>
      </c>
      <c r="F74" s="1897">
        <f ca="1">CE!W15</f>
        <v>0</v>
      </c>
      <c r="G74" s="1893"/>
      <c r="H74" s="1893"/>
      <c r="I74" s="1662"/>
      <c r="J74" s="1662"/>
    </row>
    <row r="75" spans="1:10" ht="18.75" thickBot="1">
      <c r="A75" s="2887" t="s">
        <v>2565</v>
      </c>
      <c r="B75" s="2888"/>
      <c r="C75" s="1899" t="s">
        <v>5817</v>
      </c>
      <c r="D75" s="1891"/>
      <c r="E75" s="1900">
        <f>ROUND(E73-E74,2)</f>
        <v>0</v>
      </c>
      <c r="F75" s="1901">
        <f ca="1">ROUND(F73-F74,2)</f>
        <v>0</v>
      </c>
      <c r="G75" s="1893"/>
      <c r="H75" s="1893"/>
      <c r="I75" s="1662"/>
      <c r="J75" s="1662"/>
    </row>
    <row r="76" spans="1:10" ht="18.75" thickTop="1">
      <c r="A76" s="2887" t="s">
        <v>2565</v>
      </c>
      <c r="B76" s="2888"/>
      <c r="C76" s="1902" t="s">
        <v>5818</v>
      </c>
      <c r="D76" s="1891"/>
      <c r="E76" s="1903" t="str">
        <f>IF(E75=0,"√","×")</f>
        <v>√</v>
      </c>
      <c r="F76" s="1904" t="str">
        <f ca="1">IF(F75=0,"√","×")</f>
        <v>√</v>
      </c>
      <c r="G76" s="1893"/>
      <c r="H76" s="1883"/>
      <c r="I76" s="1662"/>
      <c r="J76" s="1662"/>
    </row>
    <row r="77" spans="1:10" ht="18">
      <c r="A77" s="2887" t="s">
        <v>2565</v>
      </c>
      <c r="B77" s="2888"/>
      <c r="C77" s="1895" t="str">
        <f>C52</f>
        <v>六、综合收益总额</v>
      </c>
      <c r="D77" s="1891" t="s">
        <v>5819</v>
      </c>
      <c r="E77" s="1896">
        <f>E52</f>
        <v>-13547600.460000001</v>
      </c>
      <c r="F77" s="1897">
        <f>F52</f>
        <v>27366351.41</v>
      </c>
      <c r="G77" s="1893"/>
      <c r="H77" s="1883"/>
      <c r="I77" s="1662"/>
      <c r="J77" s="1662"/>
    </row>
    <row r="78" spans="1:10" ht="18">
      <c r="A78" s="2887" t="s">
        <v>2565</v>
      </c>
      <c r="B78" s="2888"/>
      <c r="C78" s="1898" t="str">
        <f>CE!$C$15&amp;" | "&amp;CE!$P$7</f>
        <v>（一）综合收益总额 | 所有者权益合计</v>
      </c>
      <c r="D78" s="1891" t="s">
        <v>5816</v>
      </c>
      <c r="E78" s="1896">
        <f>CE!P15</f>
        <v>-13547600.460000001</v>
      </c>
      <c r="F78" s="1897">
        <f ca="1">CE!AC15</f>
        <v>27366351.41</v>
      </c>
      <c r="G78" s="1893"/>
      <c r="H78" s="1883"/>
      <c r="I78" s="1662"/>
      <c r="J78" s="1662"/>
    </row>
    <row r="79" spans="1:10" ht="18.75" thickBot="1">
      <c r="A79" s="2887" t="s">
        <v>2565</v>
      </c>
      <c r="B79" s="2888"/>
      <c r="C79" s="1899" t="s">
        <v>5817</v>
      </c>
      <c r="D79" s="1891"/>
      <c r="E79" s="1900">
        <f>ROUND(E77-E78,2)</f>
        <v>0</v>
      </c>
      <c r="F79" s="1901">
        <f ca="1">ROUND(F77-F78,2)</f>
        <v>0</v>
      </c>
      <c r="G79" s="1893"/>
      <c r="H79" s="1883"/>
      <c r="I79" s="1662"/>
      <c r="J79" s="1662"/>
    </row>
    <row r="80" spans="1:10" ht="18.75" thickTop="1">
      <c r="A80" s="2887" t="s">
        <v>2565</v>
      </c>
      <c r="B80" s="2888"/>
      <c r="C80" s="1902" t="s">
        <v>5818</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0</v>
      </c>
      <c r="G81" s="1905"/>
      <c r="H81" s="1909" t="str">
        <f ca="1">IF(E81+F81=0,"Balanced","Diff "&amp;TEXT(ROUND(E81+F81,2),"#,###.00"))</f>
        <v>Balanced</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57" priority="84" stopIfTrue="1" operator="notEqual">
      <formula>0</formula>
    </cfRule>
  </conditionalFormatting>
  <conditionalFormatting sqref="D61:D62 C61">
    <cfRule type="expression" dxfId="3956" priority="83" stopIfTrue="1">
      <formula>#REF!=TRUE</formula>
    </cfRule>
  </conditionalFormatting>
  <conditionalFormatting sqref="E81:F81 E75:F75 E79:F79 E71:F71">
    <cfRule type="cellIs" dxfId="3955" priority="82" stopIfTrue="1" operator="notEqual">
      <formula>0</formula>
    </cfRule>
  </conditionalFormatting>
  <conditionalFormatting sqref="E81:F81 E75:F75 E79:F79 E71:F71">
    <cfRule type="cellIs" dxfId="3954" priority="80" stopIfTrue="1" operator="notEqual">
      <formula>0</formula>
    </cfRule>
  </conditionalFormatting>
  <conditionalFormatting sqref="E81:F81 E75:F75 E79:F79 E71:F71">
    <cfRule type="cellIs" dxfId="3953" priority="79" stopIfTrue="1" operator="notEqual">
      <formula>0</formula>
    </cfRule>
  </conditionalFormatting>
  <conditionalFormatting sqref="E81:F81 E75:F75 E79:F79 E71:F71">
    <cfRule type="cellIs" dxfId="3952" priority="78" stopIfTrue="1" operator="notEqual">
      <formula>0</formula>
    </cfRule>
  </conditionalFormatting>
  <conditionalFormatting sqref="E81:F81 E75:F75 E79:F79 E71:F71">
    <cfRule type="cellIs" dxfId="3951" priority="77" stopIfTrue="1" operator="notEqual">
      <formula>0</formula>
    </cfRule>
  </conditionalFormatting>
  <conditionalFormatting sqref="E81:F81 E75:F75 E79:F79 E71:F71">
    <cfRule type="cellIs" dxfId="3950" priority="76" stopIfTrue="1" operator="notEqual">
      <formula>0</formula>
    </cfRule>
  </conditionalFormatting>
  <conditionalFormatting sqref="E81:F81 E75:F75 E79:F79 E71:F71">
    <cfRule type="cellIs" dxfId="3949" priority="74" stopIfTrue="1" operator="notEqual">
      <formula>0</formula>
    </cfRule>
  </conditionalFormatting>
  <conditionalFormatting sqref="E81:F81 E75:F75 E79:F79 E71:F71">
    <cfRule type="cellIs" dxfId="3948" priority="72" stopIfTrue="1" operator="notEqual">
      <formula>0</formula>
    </cfRule>
  </conditionalFormatting>
  <conditionalFormatting sqref="E81:F81 E75:F75 E79:F79 E71:F71">
    <cfRule type="cellIs" dxfId="3947" priority="71" stopIfTrue="1" operator="notEqual">
      <formula>0</formula>
    </cfRule>
  </conditionalFormatting>
  <conditionalFormatting sqref="E81:F81 E75:F75 E79:F79 E71:F71">
    <cfRule type="cellIs" dxfId="3946" priority="70" stopIfTrue="1" operator="notEqual">
      <formula>0</formula>
    </cfRule>
  </conditionalFormatting>
  <conditionalFormatting sqref="E81:F81 E75:F75 E79:F79 E71:F71">
    <cfRule type="cellIs" dxfId="3945" priority="69" stopIfTrue="1" operator="notEqual">
      <formula>0</formula>
    </cfRule>
  </conditionalFormatting>
  <conditionalFormatting sqref="E81:F81 E75:F75 E79:F79 E71:F71">
    <cfRule type="cellIs" dxfId="3944" priority="68" stopIfTrue="1" operator="notEqual">
      <formula>0</formula>
    </cfRule>
  </conditionalFormatting>
  <conditionalFormatting sqref="E81:F81 E75:F75 E79:F79 E71:F71">
    <cfRule type="cellIs" dxfId="3943" priority="66" stopIfTrue="1" operator="notEqual">
      <formula>0</formula>
    </cfRule>
  </conditionalFormatting>
  <conditionalFormatting sqref="E81:F81 E75:F75 E79:F79 E71:F71">
    <cfRule type="cellIs" dxfId="3942" priority="64" stopIfTrue="1" operator="notEqual">
      <formula>0</formula>
    </cfRule>
  </conditionalFormatting>
  <conditionalFormatting sqref="E81:F81 E75:F75 E79:F79 E71:F71">
    <cfRule type="cellIs" dxfId="3941" priority="63" stopIfTrue="1" operator="notEqual">
      <formula>0</formula>
    </cfRule>
  </conditionalFormatting>
  <conditionalFormatting sqref="E81:F81 E75:F75 E79:F79 E71:F71">
    <cfRule type="cellIs" dxfId="3940" priority="62" stopIfTrue="1" operator="notEqual">
      <formula>0</formula>
    </cfRule>
  </conditionalFormatting>
  <conditionalFormatting sqref="E81:F81 E75:F75 E79:F79 E71:F71">
    <cfRule type="cellIs" dxfId="3939" priority="61" stopIfTrue="1" operator="notEqual">
      <formula>0</formula>
    </cfRule>
  </conditionalFormatting>
  <conditionalFormatting sqref="E81:F81 E75:F75 E79:F79 E71:F71">
    <cfRule type="cellIs" dxfId="3938" priority="60" stopIfTrue="1" operator="notEqual">
      <formula>0</formula>
    </cfRule>
  </conditionalFormatting>
  <conditionalFormatting sqref="E81:F81 E75:F75 E79:F79 E71:F71">
    <cfRule type="cellIs" dxfId="3937" priority="58" stopIfTrue="1" operator="notEqual">
      <formula>0</formula>
    </cfRule>
  </conditionalFormatting>
  <conditionalFormatting sqref="E81:F81 E75:F75 E79:F79 E71:F71">
    <cfRule type="cellIs" dxfId="3936" priority="56" stopIfTrue="1" operator="notEqual">
      <formula>0</formula>
    </cfRule>
  </conditionalFormatting>
  <conditionalFormatting sqref="E81:F81 E75:F75 E79:F79 E71:F71">
    <cfRule type="cellIs" dxfId="3935" priority="55" stopIfTrue="1" operator="notEqual">
      <formula>0</formula>
    </cfRule>
  </conditionalFormatting>
  <conditionalFormatting sqref="E81:F81 E75:F75 E79:F79 E71:F71">
    <cfRule type="cellIs" dxfId="3934" priority="54" stopIfTrue="1" operator="notEqual">
      <formula>0</formula>
    </cfRule>
  </conditionalFormatting>
  <conditionalFormatting sqref="E81:F81 E75:F75 E79:F79 E71:F71">
    <cfRule type="cellIs" dxfId="3933" priority="53" stopIfTrue="1" operator="notEqual">
      <formula>0</formula>
    </cfRule>
  </conditionalFormatting>
  <conditionalFormatting sqref="E81:F81 E75:F75 E79:F79 E71:F71">
    <cfRule type="cellIs" dxfId="3932" priority="52" stopIfTrue="1" operator="notEqual">
      <formula>0</formula>
    </cfRule>
  </conditionalFormatting>
  <conditionalFormatting sqref="E81:F81 E75:F75 E79:F79 E71:F71">
    <cfRule type="cellIs" dxfId="3931" priority="50" stopIfTrue="1" operator="notEqual">
      <formula>0</formula>
    </cfRule>
  </conditionalFormatting>
  <conditionalFormatting sqref="E81:F81 E75:F75 E79:F79 E71:F71">
    <cfRule type="cellIs" dxfId="3930" priority="48" stopIfTrue="1" operator="notEqual">
      <formula>0</formula>
    </cfRule>
  </conditionalFormatting>
  <conditionalFormatting sqref="E81:F81 E75:F75 E79:F79 E71:F71">
    <cfRule type="cellIs" dxfId="3929" priority="47" stopIfTrue="1" operator="notEqual">
      <formula>0</formula>
    </cfRule>
  </conditionalFormatting>
  <conditionalFormatting sqref="E81:F81 E75:F75 E79:F79 E71:F71">
    <cfRule type="cellIs" dxfId="3928" priority="46" stopIfTrue="1" operator="notEqual">
      <formula>0</formula>
    </cfRule>
  </conditionalFormatting>
  <conditionalFormatting sqref="E81:F81 E75:F75 E79:F79 E71:F71">
    <cfRule type="cellIs" dxfId="3927" priority="45" stopIfTrue="1" operator="notEqual">
      <formula>0</formula>
    </cfRule>
  </conditionalFormatting>
  <conditionalFormatting sqref="E81:F81 E75:F75 E79:F79 E71:F71">
    <cfRule type="cellIs" dxfId="3926" priority="44" stopIfTrue="1" operator="notEqual">
      <formula>0</formula>
    </cfRule>
  </conditionalFormatting>
  <conditionalFormatting sqref="E81:F81 E75:F75 E79:F79 E71:F71">
    <cfRule type="cellIs" dxfId="3925" priority="42" stopIfTrue="1" operator="notEqual">
      <formula>0</formula>
    </cfRule>
  </conditionalFormatting>
  <conditionalFormatting sqref="E81:F81 E75:F75 E79:F79 E71:F71">
    <cfRule type="cellIs" dxfId="3924" priority="40" stopIfTrue="1" operator="notEqual">
      <formula>0</formula>
    </cfRule>
  </conditionalFormatting>
  <conditionalFormatting sqref="E81:F81 E75:F75 E79:F79 E71:F71">
    <cfRule type="cellIs" dxfId="3923" priority="39" stopIfTrue="1" operator="notEqual">
      <formula>0</formula>
    </cfRule>
  </conditionalFormatting>
  <conditionalFormatting sqref="E81:F81 E75:F75 E79:F79 E71:F71">
    <cfRule type="cellIs" dxfId="3922" priority="38" stopIfTrue="1" operator="notEqual">
      <formula>0</formula>
    </cfRule>
  </conditionalFormatting>
  <conditionalFormatting sqref="E81:F81 E75:F75 E79:F79 E71:F71">
    <cfRule type="cellIs" dxfId="3921"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abSelected="1" workbookViewId="0">
      <selection activeCell="E57" sqref="E57"/>
    </sheetView>
  </sheetViews>
  <sheetFormatPr defaultRowHeight="12"/>
  <cols>
    <col min="1" max="2" width="0.140625" style="2795"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437" t="s">
        <v>5807</v>
      </c>
      <c r="D2" s="3437"/>
      <c r="E2" s="3437"/>
      <c r="F2" s="3437"/>
      <c r="G2" s="1662"/>
      <c r="H2" s="1662"/>
      <c r="I2" s="1662"/>
      <c r="J2" s="1662"/>
    </row>
    <row r="3" spans="1:10" ht="27" customHeight="1">
      <c r="A3" s="2838"/>
      <c r="B3" s="2839"/>
      <c r="C3" s="3436" t="str">
        <f>Lead!$F$7</f>
        <v>2019年度</v>
      </c>
      <c r="D3" s="3436"/>
      <c r="E3" s="3436"/>
      <c r="F3" s="3436"/>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编制单位：山东天安化工股份有限公司</v>
      </c>
      <c r="D5" s="2037"/>
      <c r="E5" s="2038" t="s">
        <v>2554</v>
      </c>
      <c r="F5" s="2039" t="s">
        <v>2555</v>
      </c>
      <c r="G5" s="1662"/>
      <c r="H5" s="1662"/>
      <c r="I5" s="1662"/>
      <c r="J5" s="1662"/>
    </row>
    <row r="6" spans="1:10" ht="19.5" customHeight="1">
      <c r="A6" s="2849" t="s">
        <v>2556</v>
      </c>
      <c r="B6" s="2850" t="s">
        <v>2558</v>
      </c>
      <c r="C6" s="2070" t="s">
        <v>5132</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179675938.56999999</v>
      </c>
      <c r="F8" s="2076">
        <f>VLOOKUP($B8,Sheet_Trialbal,10,0)</f>
        <v>289012665.19</v>
      </c>
      <c r="G8" s="852"/>
      <c r="H8" s="852"/>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1544811.94</v>
      </c>
      <c r="F10" s="2076">
        <f>VLOOKUP($B10,Sheet_Trialbal,10,0)</f>
        <v>76489.33</v>
      </c>
      <c r="G10" s="852"/>
      <c r="H10" s="852"/>
      <c r="I10" s="1662"/>
      <c r="J10" s="1662"/>
    </row>
    <row r="11" spans="1:10" ht="19.5" customHeight="1">
      <c r="A11" s="2840" t="str">
        <f t="shared" si="0"/>
        <v>＝</v>
      </c>
      <c r="B11" s="2879">
        <v>7048</v>
      </c>
      <c r="C11" s="2073" t="str">
        <f t="shared" si="1"/>
        <v>经营活动现金流入小计</v>
      </c>
      <c r="D11" s="2074"/>
      <c r="E11" s="2075">
        <f>SUM(E8:E10)</f>
        <v>181220750.50999999</v>
      </c>
      <c r="F11" s="2076">
        <f>SUM(F8:F10)</f>
        <v>289089154.51999998</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80109210.730000004</v>
      </c>
      <c r="F12" s="2076">
        <f>VLOOKUP($B12,Sheet_Trialbal,10,0)</f>
        <v>36580289.390000001</v>
      </c>
      <c r="G12" s="852"/>
      <c r="H12" s="852"/>
      <c r="I12" s="1662"/>
      <c r="J12" s="1662"/>
    </row>
    <row r="13" spans="1:10" ht="19.5" customHeight="1">
      <c r="A13" s="2840">
        <f t="shared" si="0"/>
        <v>0</v>
      </c>
      <c r="B13" s="2879">
        <v>7061</v>
      </c>
      <c r="C13" s="2077" t="str">
        <f t="shared" si="1"/>
        <v>支付给职工以及为职工支付的现金</v>
      </c>
      <c r="D13" s="2074"/>
      <c r="E13" s="2075">
        <f>VLOOKUP($B13,Sheet_Trialbal,6,0)</f>
        <v>23778472.57</v>
      </c>
      <c r="F13" s="2076">
        <f>VLOOKUP($B13,Sheet_Trialbal,10,0)</f>
        <v>28223185.809999999</v>
      </c>
      <c r="G13" s="852"/>
      <c r="H13" s="852"/>
      <c r="I13" s="1662"/>
      <c r="J13" s="1662"/>
    </row>
    <row r="14" spans="1:10" ht="19.5" customHeight="1">
      <c r="A14" s="2840">
        <f t="shared" si="0"/>
        <v>0</v>
      </c>
      <c r="B14" s="2879">
        <v>7071</v>
      </c>
      <c r="C14" s="2077" t="str">
        <f t="shared" si="1"/>
        <v>支付的各项税费</v>
      </c>
      <c r="D14" s="2074"/>
      <c r="E14" s="2075">
        <f>VLOOKUP($B14,Sheet_Trialbal,6,0)</f>
        <v>17409545.82</v>
      </c>
      <c r="F14" s="2076">
        <f>VLOOKUP($B14,Sheet_Trialbal,10,0)</f>
        <v>23224814.02</v>
      </c>
      <c r="G14" s="852"/>
      <c r="H14" s="852"/>
      <c r="I14" s="1662"/>
      <c r="J14" s="1662"/>
    </row>
    <row r="15" spans="1:10" ht="19.5" customHeight="1">
      <c r="A15" s="2840">
        <f t="shared" si="0"/>
        <v>0</v>
      </c>
      <c r="B15" s="2879">
        <v>7096</v>
      </c>
      <c r="C15" s="2077" t="str">
        <f t="shared" si="1"/>
        <v>支付其他与经营活动有关的现金</v>
      </c>
      <c r="D15" s="2074"/>
      <c r="E15" s="2075">
        <f>VLOOKUP($B15,Sheet_Trialbal,6,0)</f>
        <v>29188633.84</v>
      </c>
      <c r="F15" s="2076">
        <f>VLOOKUP($B15,Sheet_Trialbal,10,0)</f>
        <v>121285508.67</v>
      </c>
      <c r="G15" s="852"/>
      <c r="H15" s="852"/>
      <c r="I15" s="1662"/>
      <c r="J15" s="1662"/>
    </row>
    <row r="16" spans="1:10" ht="19.5" customHeight="1">
      <c r="A16" s="2840" t="str">
        <f t="shared" si="0"/>
        <v>＝</v>
      </c>
      <c r="B16" s="2879">
        <v>7098</v>
      </c>
      <c r="C16" s="2073" t="str">
        <f t="shared" si="1"/>
        <v>经营活动现金流出小计</v>
      </c>
      <c r="D16" s="2074"/>
      <c r="E16" s="2075">
        <f>SUM(E12:E15)</f>
        <v>150485862.96000001</v>
      </c>
      <c r="F16" s="2076">
        <f>SUM(F12:F15)</f>
        <v>209313797.88999999</v>
      </c>
      <c r="G16" s="852"/>
      <c r="H16" s="852"/>
      <c r="I16" s="1662"/>
      <c r="J16" s="1662"/>
    </row>
    <row r="17" spans="1:10" ht="19.5" customHeight="1">
      <c r="A17" s="2840" t="str">
        <f t="shared" si="0"/>
        <v>＝</v>
      </c>
      <c r="B17" s="2879">
        <v>7099</v>
      </c>
      <c r="C17" s="2073" t="str">
        <f t="shared" si="1"/>
        <v>经营活动产生的现金流量净额</v>
      </c>
      <c r="D17" s="2074"/>
      <c r="E17" s="2075">
        <f>SUM(E11,-E16)</f>
        <v>30734887.550000001</v>
      </c>
      <c r="F17" s="2076">
        <f>SUM(F11,-F16)</f>
        <v>79775356.629999995</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300300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4370781.55</v>
      </c>
      <c r="F21" s="2076">
        <f t="shared" si="3"/>
        <v>206034.48</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4370781.55</v>
      </c>
      <c r="F24" s="2076">
        <f>SUM(F19:F23)</f>
        <v>506334.48</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13529178</v>
      </c>
      <c r="F25" s="2076">
        <f>VLOOKUP($B25,Sheet_Trialbal,10,0)</f>
        <v>5355857.1900000004</v>
      </c>
      <c r="G25" s="852"/>
      <c r="H25" s="852"/>
      <c r="I25" s="1662"/>
      <c r="J25" s="1662"/>
    </row>
    <row r="26" spans="1:10" ht="19.5" customHeight="1">
      <c r="A26" s="2840">
        <f t="shared" si="0"/>
        <v>0</v>
      </c>
      <c r="B26" s="2879">
        <v>7161</v>
      </c>
      <c r="C26" s="2077" t="str">
        <f t="shared" si="1"/>
        <v>投资支付的现金</v>
      </c>
      <c r="D26" s="2074"/>
      <c r="E26" s="2075">
        <f>VLOOKUP($B26,Sheet_Trialbal,6,0)</f>
        <v>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13529178</v>
      </c>
      <c r="F29" s="2076">
        <f>SUM(F25:F28)</f>
        <v>5355857.1900000004</v>
      </c>
      <c r="G29" s="852"/>
      <c r="H29" s="852"/>
      <c r="I29" s="1662"/>
      <c r="J29" s="1662"/>
    </row>
    <row r="30" spans="1:10" ht="19.5" customHeight="1">
      <c r="A30" s="2840" t="str">
        <f t="shared" si="0"/>
        <v>＝</v>
      </c>
      <c r="B30" s="2879">
        <v>7199</v>
      </c>
      <c r="C30" s="2073" t="str">
        <f t="shared" si="1"/>
        <v>投资活动产生的现金流量净额</v>
      </c>
      <c r="D30" s="2074"/>
      <c r="E30" s="2075">
        <f>SUM(E24,-E29)</f>
        <v>-9158396.4499999993</v>
      </c>
      <c r="F30" s="2076">
        <f>SUM(F24,-F29)</f>
        <v>-4849522.71</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44850015</v>
      </c>
      <c r="F34" s="2076">
        <f>VLOOKUP($B34,Sheet_Trialbal,10,0)</f>
        <v>0</v>
      </c>
      <c r="G34" s="852"/>
      <c r="H34" s="852"/>
      <c r="I34" s="1662"/>
      <c r="J34" s="1662"/>
    </row>
    <row r="35" spans="1:16" ht="19.5" customHeight="1">
      <c r="A35" s="2840" t="str">
        <f t="shared" si="0"/>
        <v>＝</v>
      </c>
      <c r="B35" s="2879">
        <v>7248</v>
      </c>
      <c r="C35" s="2073" t="str">
        <f t="shared" si="1"/>
        <v>筹资活动现金流入小计</v>
      </c>
      <c r="D35" s="2074"/>
      <c r="E35" s="2075">
        <f>SUM(E32:E34)</f>
        <v>44850015</v>
      </c>
      <c r="F35" s="2076">
        <f>SUM(F32:F34)</f>
        <v>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2094341.69</v>
      </c>
      <c r="F37" s="2076">
        <f>VLOOKUP($B37,Sheet_Trialbal,10,0)</f>
        <v>3327146.8</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92712502.170000002</v>
      </c>
      <c r="F38" s="2076">
        <f>VLOOKUP($B38,Sheet_Trialbal,10,0)</f>
        <v>43726400</v>
      </c>
      <c r="G38" s="852"/>
      <c r="H38" s="852"/>
      <c r="I38" s="1662"/>
      <c r="J38" s="1662"/>
    </row>
    <row r="39" spans="1:16" ht="19.5" customHeight="1">
      <c r="A39" s="2840" t="str">
        <f t="shared" si="0"/>
        <v>＝</v>
      </c>
      <c r="B39" s="2879">
        <v>7298</v>
      </c>
      <c r="C39" s="2073" t="str">
        <f t="shared" si="1"/>
        <v>筹资活动现金流出小计</v>
      </c>
      <c r="D39" s="2074"/>
      <c r="E39" s="2075">
        <f>SUM(E36:E38)</f>
        <v>94806843.859999999</v>
      </c>
      <c r="F39" s="2076">
        <f>SUM(F36:F38)</f>
        <v>47053546.799999997</v>
      </c>
      <c r="G39" s="852"/>
      <c r="H39" s="852"/>
      <c r="I39" s="1662"/>
      <c r="J39" s="1662"/>
    </row>
    <row r="40" spans="1:16" ht="19.5" customHeight="1">
      <c r="A40" s="2840" t="str">
        <f t="shared" si="0"/>
        <v>＝</v>
      </c>
      <c r="B40" s="2879">
        <v>7299</v>
      </c>
      <c r="C40" s="2073" t="str">
        <f t="shared" si="1"/>
        <v>筹资活动产生的现金流量净额</v>
      </c>
      <c r="D40" s="2074"/>
      <c r="E40" s="2075">
        <f>SUM(E35,-E39)</f>
        <v>-49956828.859999999</v>
      </c>
      <c r="F40" s="2076">
        <f>SUM(F35,-F39)</f>
        <v>-47053546.799999997</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-664330.32999999996</v>
      </c>
      <c r="F41" s="2076">
        <f>VLOOKUP($B41,Sheet_Trialbal,10,0)</f>
        <v>-241866.28</v>
      </c>
      <c r="G41" s="852"/>
      <c r="H41" s="852"/>
      <c r="I41" s="1662"/>
      <c r="J41" s="1662"/>
    </row>
    <row r="42" spans="1:16" ht="19.5" customHeight="1">
      <c r="A42" s="2840" t="str">
        <f t="shared" si="0"/>
        <v>＝</v>
      </c>
      <c r="B42" s="2879">
        <v>7348</v>
      </c>
      <c r="C42" s="2073" t="str">
        <f t="shared" si="1"/>
        <v>五、现金及现金等价物净增加额</v>
      </c>
      <c r="D42" s="2074"/>
      <c r="E42" s="2075">
        <f>SUM(E17,E30,E40,E41)</f>
        <v>-29044668.09</v>
      </c>
      <c r="F42" s="2076">
        <f>SUM(F17,F30,F40,F41)</f>
        <v>27630420.84</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35726503</v>
      </c>
      <c r="F43" s="2076">
        <f>VLOOKUP($B43,Sheet_Trialbal,10,0)</f>
        <v>8096082.1600000001</v>
      </c>
      <c r="G43" s="852"/>
      <c r="H43" s="852"/>
      <c r="I43" s="1662"/>
      <c r="J43" s="1662"/>
    </row>
    <row r="44" spans="1:16" ht="19.5" customHeight="1" thickBot="1">
      <c r="A44" s="2840" t="str">
        <f t="shared" si="0"/>
        <v>＝</v>
      </c>
      <c r="B44" s="2879">
        <v>7399</v>
      </c>
      <c r="C44" s="2079" t="str">
        <f t="shared" si="1"/>
        <v>六、期末现金及现金等价物余额</v>
      </c>
      <c r="D44" s="2080"/>
      <c r="E44" s="2081">
        <f>SUM(E42,E43)</f>
        <v>6681834.9100000001</v>
      </c>
      <c r="F44" s="2082">
        <f>SUM(F42,F43)</f>
        <v>35726503</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f>BS!G8</f>
        <v>7894317.0800000001</v>
      </c>
      <c r="F46" s="852"/>
      <c r="G46" s="852"/>
      <c r="H46" s="852"/>
      <c r="I46" s="1662"/>
      <c r="J46" s="1662"/>
      <c r="K46" s="1911"/>
      <c r="L46" s="1911"/>
      <c r="M46" s="1662"/>
      <c r="N46" s="1662"/>
      <c r="O46" s="1662"/>
      <c r="P46" s="1662"/>
    </row>
    <row r="47" spans="1:16" ht="18">
      <c r="A47" s="2840"/>
      <c r="B47" s="2850"/>
      <c r="C47" s="1912"/>
      <c r="D47" s="1910"/>
      <c r="E47" s="3409">
        <f>E44-E46</f>
        <v>-1212482.17</v>
      </c>
      <c r="F47" s="852">
        <f>Notes!H15</f>
        <v>1212482.17</v>
      </c>
      <c r="G47" s="3409">
        <f>E47+F47</f>
        <v>0</v>
      </c>
      <c r="H47" s="852"/>
      <c r="I47" s="1662"/>
      <c r="J47" s="1662"/>
      <c r="K47" s="1662"/>
      <c r="L47" s="1662"/>
      <c r="M47" s="1662"/>
      <c r="N47" s="1662"/>
      <c r="O47" s="1662"/>
      <c r="P47" s="1662"/>
    </row>
    <row r="48" spans="1:16" ht="18.75" thickBot="1">
      <c r="A48" s="2861"/>
      <c r="B48" s="2881"/>
      <c r="C48" s="1913" t="s">
        <v>5820</v>
      </c>
      <c r="D48" s="1914"/>
      <c r="E48" s="1915"/>
      <c r="F48" s="1915"/>
      <c r="G48" s="1848"/>
      <c r="H48" s="1848"/>
      <c r="I48" s="1662"/>
      <c r="J48" s="1662"/>
      <c r="K48" s="1662"/>
      <c r="L48" s="1662"/>
      <c r="M48" s="1662"/>
      <c r="N48" s="1662"/>
      <c r="O48" s="1662"/>
      <c r="P48" s="1662"/>
    </row>
    <row r="49" spans="1:10" ht="18">
      <c r="A49" s="2861"/>
      <c r="B49" s="2881"/>
      <c r="C49" s="1916" t="s">
        <v>5821</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-13547600.460000001</v>
      </c>
      <c r="F51" s="1923">
        <f>VLOOKUP(6799,Sheet_Trialbal,10,0)</f>
        <v>27366351.41</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13357245.939999999</v>
      </c>
      <c r="F52" s="1923">
        <f t="shared" ref="F52:F67" si="6">VLOOKUP($B52,Sheet_Trialbal,10,0)</f>
        <v>9046997.6899999995</v>
      </c>
      <c r="G52" s="1855"/>
      <c r="H52" s="1855"/>
      <c r="I52" s="1749"/>
      <c r="J52" s="1662"/>
    </row>
    <row r="53" spans="1:10" ht="18">
      <c r="A53" s="2882" t="str">
        <f t="shared" si="4"/>
        <v>_JR</v>
      </c>
      <c r="B53" s="2862">
        <v>7504</v>
      </c>
      <c r="C53" s="1924" t="str">
        <f t="shared" ref="C53:C78" si="7">VLOOKUP($B53,Sheet_Items,6,0)</f>
        <v>信用减值损失</v>
      </c>
      <c r="D53" s="1921"/>
      <c r="E53" s="1922">
        <f t="shared" si="5"/>
        <v>909636.12</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18205614.109999999</v>
      </c>
      <c r="F54" s="1923">
        <f t="shared" si="6"/>
        <v>20918935.469999999</v>
      </c>
      <c r="G54" s="1855"/>
      <c r="H54" s="1855"/>
      <c r="I54" s="1749"/>
      <c r="J54" s="1662"/>
    </row>
    <row r="55" spans="1:10" ht="18">
      <c r="A55" s="2882">
        <f t="shared" si="4"/>
        <v>0</v>
      </c>
      <c r="B55" s="2862">
        <v>7506</v>
      </c>
      <c r="C55" s="1924" t="str">
        <f t="shared" si="7"/>
        <v>无形资产摊销</v>
      </c>
      <c r="D55" s="1921"/>
      <c r="E55" s="1922">
        <f t="shared" si="5"/>
        <v>507056.61</v>
      </c>
      <c r="F55" s="1923">
        <f t="shared" si="6"/>
        <v>518597.8</v>
      </c>
      <c r="G55" s="1855"/>
      <c r="H55" s="1855"/>
      <c r="I55" s="1749"/>
      <c r="J55" s="1662"/>
    </row>
    <row r="56" spans="1:10" ht="18">
      <c r="A56" s="2882">
        <f t="shared" si="4"/>
        <v>0</v>
      </c>
      <c r="B56" s="2862">
        <v>7507</v>
      </c>
      <c r="C56" s="1924" t="str">
        <f t="shared" si="7"/>
        <v>长期待摊费用摊销</v>
      </c>
      <c r="D56" s="1921"/>
      <c r="E56" s="1922">
        <f t="shared" si="5"/>
        <v>991288.81</v>
      </c>
      <c r="F56" s="1923">
        <f t="shared" si="6"/>
        <v>418055.56</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-4370781.55</v>
      </c>
      <c r="F57" s="1923">
        <f t="shared" si="6"/>
        <v>1081801.72</v>
      </c>
      <c r="G57" s="1855"/>
      <c r="H57" s="1855"/>
      <c r="I57" s="1749"/>
      <c r="J57" s="1662"/>
    </row>
    <row r="58" spans="1:10" ht="18">
      <c r="A58" s="2882">
        <f t="shared" si="4"/>
        <v>0</v>
      </c>
      <c r="B58" s="2862">
        <v>7509</v>
      </c>
      <c r="C58" s="1924" t="str">
        <f t="shared" si="7"/>
        <v>固定资产报废损失（收益以“－”号填列）</v>
      </c>
      <c r="D58" s="1921"/>
      <c r="E58" s="1922">
        <f t="shared" si="5"/>
        <v>1573265.7</v>
      </c>
      <c r="F58" s="1923">
        <f t="shared" si="6"/>
        <v>583996.41</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2758672.02</v>
      </c>
      <c r="F60" s="1923">
        <f t="shared" si="6"/>
        <v>3569013.08</v>
      </c>
      <c r="G60" s="1855"/>
      <c r="H60" s="1855"/>
      <c r="I60" s="1749"/>
      <c r="J60" s="1662"/>
    </row>
    <row r="61" spans="1:10" ht="18">
      <c r="A61" s="2882">
        <f t="shared" si="4"/>
        <v>0</v>
      </c>
      <c r="B61" s="2862">
        <v>7512</v>
      </c>
      <c r="C61" s="1924" t="str">
        <f t="shared" si="7"/>
        <v>投资损失（收益以“－”号填列）</v>
      </c>
      <c r="D61" s="1921"/>
      <c r="E61" s="1922">
        <f t="shared" si="5"/>
        <v>0</v>
      </c>
      <c r="F61" s="1923">
        <f t="shared" si="6"/>
        <v>-300300</v>
      </c>
      <c r="G61" s="1855"/>
      <c r="H61" s="1855"/>
      <c r="I61" s="1749"/>
      <c r="J61" s="1662"/>
    </row>
    <row r="62" spans="1:10" ht="18">
      <c r="A62" s="2882">
        <f t="shared" si="4"/>
        <v>0</v>
      </c>
      <c r="B62" s="2862">
        <v>7515</v>
      </c>
      <c r="C62" s="1924" t="str">
        <f t="shared" si="7"/>
        <v>递延所得税资产减少（增加以“－”号填列）</v>
      </c>
      <c r="D62" s="1921"/>
      <c r="E62" s="1922">
        <f t="shared" si="5"/>
        <v>-1147332.1499999999</v>
      </c>
      <c r="F62" s="1923">
        <f t="shared" si="6"/>
        <v>-2030493.73</v>
      </c>
      <c r="G62" s="1855"/>
      <c r="H62" s="1855"/>
      <c r="I62" s="1749"/>
      <c r="J62" s="1662"/>
    </row>
    <row r="63" spans="1:10" ht="18">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8">
      <c r="A64" s="2882">
        <f t="shared" si="4"/>
        <v>0</v>
      </c>
      <c r="B64" s="2862">
        <v>7517</v>
      </c>
      <c r="C64" s="1924" t="str">
        <f t="shared" si="7"/>
        <v>存货的减少（增加以“－”号填列）</v>
      </c>
      <c r="D64" s="1921"/>
      <c r="E64" s="1922">
        <f t="shared" si="5"/>
        <v>12779747.49</v>
      </c>
      <c r="F64" s="1923">
        <f t="shared" si="6"/>
        <v>-18584625.84</v>
      </c>
      <c r="G64" s="1855"/>
      <c r="H64" s="1855"/>
      <c r="I64" s="1749"/>
      <c r="J64" s="1662"/>
    </row>
    <row r="65" spans="1:10" ht="18">
      <c r="A65" s="2882">
        <f t="shared" si="4"/>
        <v>0</v>
      </c>
      <c r="B65" s="2862">
        <v>7518</v>
      </c>
      <c r="C65" s="1924" t="str">
        <f t="shared" si="7"/>
        <v>经营性应收项目的减少（增加以“－”号填列）</v>
      </c>
      <c r="D65" s="1921"/>
      <c r="E65" s="1922">
        <f t="shared" si="5"/>
        <v>-20087869.739999998</v>
      </c>
      <c r="F65" s="1923">
        <f t="shared" si="6"/>
        <v>82970816.75</v>
      </c>
      <c r="G65" s="1855"/>
      <c r="H65" s="1855"/>
      <c r="I65" s="1749"/>
      <c r="J65" s="1662"/>
    </row>
    <row r="66" spans="1:10" ht="18">
      <c r="A66" s="2882">
        <f t="shared" si="4"/>
        <v>0</v>
      </c>
      <c r="B66" s="2862">
        <v>7519</v>
      </c>
      <c r="C66" s="1924" t="str">
        <f t="shared" si="7"/>
        <v>经营性应付项目的增加（减少以“－”号填列）</v>
      </c>
      <c r="D66" s="1921"/>
      <c r="E66" s="1922">
        <f t="shared" si="5"/>
        <v>22638982.079999998</v>
      </c>
      <c r="F66" s="1923">
        <f t="shared" si="6"/>
        <v>-47532373.100000001</v>
      </c>
      <c r="G66" s="1855"/>
      <c r="H66" s="1855"/>
      <c r="I66" s="1749"/>
      <c r="J66" s="1662"/>
    </row>
    <row r="67" spans="1:10" ht="18">
      <c r="A67" s="2882">
        <f t="shared" si="4"/>
        <v>0</v>
      </c>
      <c r="B67" s="2862">
        <v>7523</v>
      </c>
      <c r="C67" s="1924" t="str">
        <f t="shared" si="7"/>
        <v>其他</v>
      </c>
      <c r="D67" s="1921"/>
      <c r="E67" s="1922">
        <f t="shared" si="5"/>
        <v>-3833037.43</v>
      </c>
      <c r="F67" s="1923">
        <f t="shared" si="6"/>
        <v>1748583.41</v>
      </c>
      <c r="G67" s="1855"/>
      <c r="H67" s="1855"/>
      <c r="I67" s="1749"/>
      <c r="J67" s="1662"/>
    </row>
    <row r="68" spans="1:10" ht="18">
      <c r="A68" s="2882" t="str">
        <f t="shared" si="4"/>
        <v>＝</v>
      </c>
      <c r="B68" s="2862">
        <v>7525</v>
      </c>
      <c r="C68" s="1925" t="str">
        <f t="shared" si="7"/>
        <v>经营活动产生的现金流量净额</v>
      </c>
      <c r="D68" s="1921"/>
      <c r="E68" s="1926">
        <f>SUM(E51:E67)</f>
        <v>30734887.550000001</v>
      </c>
      <c r="F68" s="1927">
        <f>SUM(F51:F67)</f>
        <v>79775356.629999995</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6681834.9100000001</v>
      </c>
      <c r="F74" s="1923">
        <f>VLOOKUP($B74,Sheet_Trialbal,10,0)</f>
        <v>35726503</v>
      </c>
      <c r="G74" s="1855"/>
      <c r="H74" s="1855"/>
      <c r="I74" s="1749"/>
      <c r="J74" s="1662"/>
    </row>
    <row r="75" spans="1:10" ht="18">
      <c r="A75" s="2882">
        <f t="shared" si="4"/>
        <v>0</v>
      </c>
      <c r="B75" s="2862">
        <v>7536</v>
      </c>
      <c r="C75" s="1924" t="str">
        <f t="shared" si="7"/>
        <v>减：现金的年初余额</v>
      </c>
      <c r="D75" s="1921"/>
      <c r="E75" s="1922">
        <f>VLOOKUP($B75,Sheet_Trialbal,6,0)</f>
        <v>35726503</v>
      </c>
      <c r="F75" s="1923">
        <f>VLOOKUP($B75,Sheet_Trialbal,10,0)</f>
        <v>8096082.1600000001</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-29044668.09</v>
      </c>
      <c r="F78" s="1931">
        <f>SUM(F74,-F75,F76,-F77)</f>
        <v>27630420.84</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5822</v>
      </c>
      <c r="D80" s="1936"/>
      <c r="E80" s="1937"/>
      <c r="F80" s="1938"/>
      <c r="G80" s="1886"/>
      <c r="H80" s="1886"/>
      <c r="I80" s="1749"/>
      <c r="J80" s="1662"/>
    </row>
    <row r="81" spans="1:10" ht="18">
      <c r="A81" s="2882"/>
      <c r="B81" s="2862"/>
      <c r="C81" s="1939" t="s">
        <v>5823</v>
      </c>
      <c r="D81" s="1940"/>
      <c r="E81" s="1941" t="s">
        <v>2577</v>
      </c>
      <c r="F81" s="1942" t="s">
        <v>2578</v>
      </c>
      <c r="G81" s="1886"/>
      <c r="H81" s="1886"/>
      <c r="I81" s="1749"/>
      <c r="J81" s="1662"/>
    </row>
    <row r="82" spans="1:10" ht="18">
      <c r="A82" s="2882"/>
      <c r="B82" s="2862"/>
      <c r="C82" s="1943" t="s">
        <v>5824</v>
      </c>
      <c r="D82" s="1944"/>
      <c r="E82" s="1945"/>
      <c r="F82" s="1946"/>
      <c r="G82" s="1855"/>
      <c r="H82" s="1855"/>
      <c r="I82" s="1749"/>
      <c r="J82" s="1662"/>
    </row>
    <row r="83" spans="1:10" ht="18">
      <c r="A83" s="2882"/>
      <c r="B83" s="2862"/>
      <c r="C83" s="1947" t="str">
        <f>C43&amp;" | "&amp;E81</f>
        <v>加：期初现金及现金等价物余额 | 本期金额</v>
      </c>
      <c r="D83" s="1944" t="s">
        <v>5825</v>
      </c>
      <c r="E83" s="1948">
        <f>E43</f>
        <v>35726503</v>
      </c>
      <c r="F83" s="1949"/>
      <c r="G83" s="1855"/>
      <c r="H83" s="1855"/>
      <c r="I83" s="1749"/>
      <c r="J83" s="1662"/>
    </row>
    <row r="84" spans="1:10" ht="18">
      <c r="A84" s="2882"/>
      <c r="B84" s="2862"/>
      <c r="C84" s="1947" t="str">
        <f>C44&amp;" | "&amp;F81</f>
        <v>六、期末现金及现金等价物余额 | 上期金额</v>
      </c>
      <c r="D84" s="1944" t="s">
        <v>5825</v>
      </c>
      <c r="E84" s="1948">
        <f>F44</f>
        <v>35726503</v>
      </c>
      <c r="F84" s="1949"/>
      <c r="G84" s="1855"/>
      <c r="H84" s="1855"/>
      <c r="I84" s="1749"/>
      <c r="J84" s="1662"/>
    </row>
    <row r="85" spans="1:10" ht="18.75" thickBot="1">
      <c r="A85" s="2882"/>
      <c r="B85" s="2862"/>
      <c r="C85" s="1950" t="s">
        <v>5826</v>
      </c>
      <c r="D85" s="1944"/>
      <c r="E85" s="1951">
        <f>ROUND(E83-E84,2)</f>
        <v>0</v>
      </c>
      <c r="F85" s="1952"/>
      <c r="G85" s="1855"/>
      <c r="H85" s="1855"/>
      <c r="I85" s="1749"/>
      <c r="J85" s="1662"/>
    </row>
    <row r="86" spans="1:10" ht="18.75" thickTop="1">
      <c r="A86" s="2882"/>
      <c r="B86" s="2862"/>
      <c r="C86" s="1953" t="s">
        <v>5827</v>
      </c>
      <c r="D86" s="1944"/>
      <c r="E86" s="1954" t="str">
        <f>IF(E85=0,"√","×")</f>
        <v>√</v>
      </c>
      <c r="F86" s="1955"/>
      <c r="G86" s="1855"/>
      <c r="H86" s="1855"/>
      <c r="I86" s="1749"/>
      <c r="J86" s="1662"/>
    </row>
    <row r="87" spans="1:10" ht="18">
      <c r="A87" s="2882"/>
      <c r="B87" s="2862"/>
      <c r="C87" s="1956" t="s">
        <v>5828</v>
      </c>
      <c r="D87" s="1944"/>
      <c r="E87" s="1945"/>
      <c r="F87" s="1946"/>
      <c r="G87" s="1855"/>
      <c r="H87" s="1855"/>
      <c r="I87" s="1749"/>
      <c r="J87" s="1662"/>
    </row>
    <row r="88" spans="1:10" ht="18">
      <c r="A88" s="2882"/>
      <c r="B88" s="2862"/>
      <c r="C88" s="1957" t="str">
        <f>C51</f>
        <v>净利润</v>
      </c>
      <c r="D88" s="1944" t="s">
        <v>5825</v>
      </c>
      <c r="E88" s="1948">
        <f>E51</f>
        <v>-13547600.460000001</v>
      </c>
      <c r="F88" s="1949">
        <f>F51</f>
        <v>27366351.41</v>
      </c>
      <c r="G88" s="1855"/>
      <c r="H88" s="1855"/>
      <c r="I88" s="1749"/>
      <c r="J88" s="1662"/>
    </row>
    <row r="89" spans="1:10" ht="18">
      <c r="A89" s="2882"/>
      <c r="B89" s="2862">
        <v>6799</v>
      </c>
      <c r="C89" s="1947" t="str">
        <f>VLOOKUP($B89,Sheet_Items,2,0)</f>
        <v>净利润</v>
      </c>
      <c r="D89" s="1944" t="s">
        <v>5829</v>
      </c>
      <c r="E89" s="1948">
        <f>IS!E30</f>
        <v>-13547600.460000001</v>
      </c>
      <c r="F89" s="1949">
        <f>IS!F30</f>
        <v>27366351.41</v>
      </c>
      <c r="G89" s="1855"/>
      <c r="H89" s="1855"/>
      <c r="I89" s="1749"/>
      <c r="J89" s="1662"/>
    </row>
    <row r="90" spans="1:10" ht="18.75" thickBot="1">
      <c r="A90" s="2882"/>
      <c r="B90" s="2862"/>
      <c r="C90" s="1950" t="s">
        <v>5826</v>
      </c>
      <c r="D90" s="1944"/>
      <c r="E90" s="1951">
        <f>ROUND(E88-E89,2)</f>
        <v>0</v>
      </c>
      <c r="F90" s="1952">
        <f>ROUND(F88-F89,2)</f>
        <v>0</v>
      </c>
      <c r="G90" s="1855"/>
      <c r="H90" s="1855"/>
      <c r="I90" s="1749"/>
      <c r="J90" s="1662"/>
    </row>
    <row r="91" spans="1:10" ht="18.75" thickTop="1">
      <c r="A91" s="2882"/>
      <c r="B91" s="2862"/>
      <c r="C91" s="1953" t="s">
        <v>5827</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5825</v>
      </c>
      <c r="E93" s="1948">
        <f>E68</f>
        <v>30734887.550000001</v>
      </c>
      <c r="F93" s="1949">
        <f>F68</f>
        <v>79775356.629999995</v>
      </c>
      <c r="G93" s="1855"/>
      <c r="H93" s="1855"/>
      <c r="I93" s="1749"/>
      <c r="J93" s="1662"/>
    </row>
    <row r="94" spans="1:10" ht="18">
      <c r="A94" s="2882"/>
      <c r="B94" s="2862">
        <v>7099</v>
      </c>
      <c r="C94" s="1947" t="str">
        <f>C17&amp;"（主表）"</f>
        <v>经营活动产生的现金流量净额（主表）</v>
      </c>
      <c r="D94" s="1944" t="s">
        <v>5825</v>
      </c>
      <c r="E94" s="1948">
        <f>E17</f>
        <v>30734887.550000001</v>
      </c>
      <c r="F94" s="1949">
        <f>F17</f>
        <v>79775356.629999995</v>
      </c>
      <c r="G94" s="1855"/>
      <c r="H94" s="1855"/>
      <c r="I94" s="1749"/>
      <c r="J94" s="1662"/>
    </row>
    <row r="95" spans="1:10" ht="18.75" thickBot="1">
      <c r="A95" s="2882"/>
      <c r="B95" s="2862"/>
      <c r="C95" s="1950" t="s">
        <v>5826</v>
      </c>
      <c r="D95" s="1944"/>
      <c r="E95" s="1951">
        <f>ROUND(E93-E94,2)</f>
        <v>0</v>
      </c>
      <c r="F95" s="1952">
        <f>ROUND(F93-F94,2)</f>
        <v>0</v>
      </c>
      <c r="G95" s="1855"/>
      <c r="H95" s="1855"/>
      <c r="I95" s="1749"/>
      <c r="J95" s="1662"/>
    </row>
    <row r="96" spans="1:10" ht="18.75" thickTop="1">
      <c r="A96" s="2882"/>
      <c r="B96" s="2862"/>
      <c r="C96" s="1953" t="s">
        <v>5827</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5825</v>
      </c>
      <c r="E97" s="1948">
        <f>SUM(E74,E76)</f>
        <v>6681834.9100000001</v>
      </c>
      <c r="F97" s="1949">
        <f>SUM(F74,F76)</f>
        <v>35726503</v>
      </c>
      <c r="G97" s="1855"/>
      <c r="H97" s="1855"/>
      <c r="I97" s="1749"/>
      <c r="J97" s="1662"/>
    </row>
    <row r="98" spans="1:10" ht="18">
      <c r="A98" s="2882"/>
      <c r="B98" s="2862">
        <v>7399</v>
      </c>
      <c r="C98" s="1947" t="str">
        <f>C44&amp;"（主表）"</f>
        <v>六、期末现金及现金等价物余额（主表）</v>
      </c>
      <c r="D98" s="1944" t="s">
        <v>5825</v>
      </c>
      <c r="E98" s="1948">
        <f>E44</f>
        <v>6681834.9100000001</v>
      </c>
      <c r="F98" s="1949">
        <f>F44</f>
        <v>35726503</v>
      </c>
      <c r="G98" s="1855"/>
      <c r="H98" s="1855"/>
      <c r="I98" s="1749"/>
      <c r="J98" s="1662"/>
    </row>
    <row r="99" spans="1:10" ht="18.75" thickBot="1">
      <c r="A99" s="2882"/>
      <c r="B99" s="2862"/>
      <c r="C99" s="1950" t="s">
        <v>5826</v>
      </c>
      <c r="D99" s="1944"/>
      <c r="E99" s="1951">
        <f>ROUND(E97-E98,2)</f>
        <v>0</v>
      </c>
      <c r="F99" s="1952">
        <f>ROUND(F97-F98,2)</f>
        <v>0</v>
      </c>
      <c r="G99" s="1855"/>
      <c r="H99" s="1855"/>
      <c r="I99" s="1749"/>
      <c r="J99" s="1662"/>
    </row>
    <row r="100" spans="1:10" ht="18.75" thickTop="1">
      <c r="A100" s="2882"/>
      <c r="B100" s="2862"/>
      <c r="C100" s="1953" t="s">
        <v>5827</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5825</v>
      </c>
      <c r="E101" s="1948">
        <f>SUM(E75,E77)</f>
        <v>35726503</v>
      </c>
      <c r="F101" s="1949">
        <f>SUM(F75,F77)</f>
        <v>8096082.1600000001</v>
      </c>
      <c r="G101" s="1855"/>
      <c r="H101" s="1855"/>
      <c r="I101" s="1749"/>
      <c r="J101" s="1662"/>
    </row>
    <row r="102" spans="1:10" ht="18">
      <c r="A102" s="2882"/>
      <c r="B102" s="2862">
        <v>7349</v>
      </c>
      <c r="C102" s="1947" t="str">
        <f>C43&amp;"（主表）"</f>
        <v>加：期初现金及现金等价物余额（主表）</v>
      </c>
      <c r="D102" s="1944" t="s">
        <v>5825</v>
      </c>
      <c r="E102" s="1948">
        <f>E43</f>
        <v>35726503</v>
      </c>
      <c r="F102" s="1949">
        <f>F43</f>
        <v>8096082.1600000001</v>
      </c>
      <c r="G102" s="1855"/>
      <c r="H102" s="1855"/>
      <c r="I102" s="1749"/>
      <c r="J102" s="1662"/>
    </row>
    <row r="103" spans="1:10" ht="18.75" thickBot="1">
      <c r="A103" s="2882"/>
      <c r="B103" s="2862"/>
      <c r="C103" s="1950" t="s">
        <v>5826</v>
      </c>
      <c r="D103" s="1944"/>
      <c r="E103" s="1951">
        <f>ROUND(E101-E102,2)</f>
        <v>0</v>
      </c>
      <c r="F103" s="1952">
        <f>ROUND(F101-F102,2)</f>
        <v>0</v>
      </c>
      <c r="G103" s="1855"/>
      <c r="H103" s="1855"/>
      <c r="I103" s="1749"/>
      <c r="J103" s="1662"/>
    </row>
    <row r="104" spans="1:10" ht="18.75" thickTop="1">
      <c r="A104" s="2882"/>
      <c r="B104" s="2862"/>
      <c r="C104" s="1953" t="s">
        <v>5827</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5825</v>
      </c>
      <c r="E105" s="1948">
        <f>E78</f>
        <v>-29044668.09</v>
      </c>
      <c r="F105" s="1949">
        <f>F78</f>
        <v>27630420.84</v>
      </c>
      <c r="G105" s="1855"/>
      <c r="H105" s="1855"/>
      <c r="I105" s="1749"/>
      <c r="J105" s="1662"/>
    </row>
    <row r="106" spans="1:10" ht="18">
      <c r="A106" s="2882"/>
      <c r="B106" s="2862">
        <v>7348</v>
      </c>
      <c r="C106" s="1947" t="str">
        <f>C42&amp;"（主表）"</f>
        <v>五、现金及现金等价物净增加额（主表）</v>
      </c>
      <c r="D106" s="1944" t="s">
        <v>5825</v>
      </c>
      <c r="E106" s="1948">
        <f>E42</f>
        <v>-29044668.09</v>
      </c>
      <c r="F106" s="1949">
        <f>F42</f>
        <v>27630420.84</v>
      </c>
      <c r="G106" s="1855"/>
      <c r="H106" s="1855"/>
      <c r="I106" s="1749"/>
      <c r="J106" s="1662"/>
    </row>
    <row r="107" spans="1:10" ht="18.75" thickBot="1">
      <c r="A107" s="2882"/>
      <c r="B107" s="2862"/>
      <c r="C107" s="1950" t="s">
        <v>5826</v>
      </c>
      <c r="D107" s="1944"/>
      <c r="E107" s="1951">
        <f>ROUND(E105-E106,2)</f>
        <v>0</v>
      </c>
      <c r="F107" s="1952">
        <f>ROUND(F105-F106,2)</f>
        <v>0</v>
      </c>
      <c r="G107" s="1855"/>
      <c r="H107" s="1855"/>
      <c r="I107" s="1749"/>
      <c r="J107" s="1662"/>
    </row>
    <row r="108" spans="1:10" ht="18.75" thickTop="1">
      <c r="A108" s="2882"/>
      <c r="B108" s="2862"/>
      <c r="C108" s="1953" t="s">
        <v>5827</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20" priority="16" stopIfTrue="1" operator="notEqual">
      <formula>0</formula>
    </cfRule>
  </conditionalFormatting>
  <conditionalFormatting sqref="C80:D80 D81">
    <cfRule type="expression" dxfId="3919" priority="15" stopIfTrue="1">
      <formula>#REF!=TRUE</formula>
    </cfRule>
  </conditionalFormatting>
  <conditionalFormatting sqref="E109:F109 E95:F95 E90:F90 E99:F99 E103:F103 E107:F107 E85:F85">
    <cfRule type="cellIs" dxfId="3918" priority="14" stopIfTrue="1" operator="notEqual">
      <formula>0</formula>
    </cfRule>
  </conditionalFormatting>
  <conditionalFormatting sqref="C80:D80 D81">
    <cfRule type="expression" dxfId="3917" priority="13" stopIfTrue="1">
      <formula>#REF!=TRUE</formula>
    </cfRule>
  </conditionalFormatting>
  <conditionalFormatting sqref="E109:F109 E95:F95 E90:F90 E99:F99 E103:F103 E107:F107 E85:F85">
    <cfRule type="cellIs" dxfId="3916" priority="12" stopIfTrue="1" operator="notEqual">
      <formula>0</formula>
    </cfRule>
  </conditionalFormatting>
  <conditionalFormatting sqref="C80:D80 D81">
    <cfRule type="expression" dxfId="3915" priority="11" stopIfTrue="1">
      <formula>#REF!=TRUE</formula>
    </cfRule>
  </conditionalFormatting>
  <conditionalFormatting sqref="E109:F109 E95:F95 E90:F90 E99:F99 E103:F103 E107:F107 E85:F85">
    <cfRule type="cellIs" dxfId="3914" priority="10" stopIfTrue="1" operator="notEqual">
      <formula>0</formula>
    </cfRule>
  </conditionalFormatting>
  <conditionalFormatting sqref="C80:D80 D81">
    <cfRule type="expression" dxfId="3913" priority="9" stopIfTrue="1">
      <formula>#REF!=TRUE</formula>
    </cfRule>
  </conditionalFormatting>
  <conditionalFormatting sqref="E109:F109 E95:F95 E90:F90 E99:F99 E103:F103 E107:F107 E85:F85">
    <cfRule type="cellIs" dxfId="3912" priority="8" stopIfTrue="1" operator="notEqual">
      <formula>0</formula>
    </cfRule>
  </conditionalFormatting>
  <conditionalFormatting sqref="C80:D80 D81">
    <cfRule type="expression" dxfId="3911" priority="7" stopIfTrue="1">
      <formula>#REF!=TRUE</formula>
    </cfRule>
  </conditionalFormatting>
  <conditionalFormatting sqref="E109:F109 E95:F95 E90:F90 E99:F99 E103:F103 E107:F107 E85:F85">
    <cfRule type="cellIs" dxfId="3910" priority="6" stopIfTrue="1" operator="notEqual">
      <formula>0</formula>
    </cfRule>
  </conditionalFormatting>
  <conditionalFormatting sqref="C80:D80 D81">
    <cfRule type="expression" dxfId="3909" priority="5" stopIfTrue="1">
      <formula>#REF!=TRUE</formula>
    </cfRule>
  </conditionalFormatting>
  <conditionalFormatting sqref="E109:F109 E95:F95 E90:F90 E99:F99 E103:F103 E107:F107 E85:F85">
    <cfRule type="cellIs" dxfId="3908" priority="4" stopIfTrue="1" operator="notEqual">
      <formula>0</formula>
    </cfRule>
  </conditionalFormatting>
  <conditionalFormatting sqref="C80:D80 D81">
    <cfRule type="expression" dxfId="3907" priority="3" stopIfTrue="1">
      <formula>#REF!=TRUE</formula>
    </cfRule>
  </conditionalFormatting>
  <conditionalFormatting sqref="E109:F109 E95:F95 E90:F90 E99:F99 E103:F103 E107:F107 E85:F85">
    <cfRule type="cellIs" dxfId="3906" priority="2" stopIfTrue="1" operator="notEqual">
      <formula>0</formula>
    </cfRule>
  </conditionalFormatting>
  <conditionalFormatting sqref="C80:D80 D81">
    <cfRule type="expression" dxfId="3905"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D40" workbookViewId="0">
      <selection activeCell="AD48" sqref="F48:AD49"/>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5830</v>
      </c>
      <c r="E2" s="1798" t="s">
        <v>2593</v>
      </c>
      <c r="F2" s="1798" t="s">
        <v>2594</v>
      </c>
      <c r="G2" s="1798" t="s">
        <v>2595</v>
      </c>
      <c r="H2" s="1798" t="s">
        <v>5831</v>
      </c>
      <c r="I2" s="1798" t="s">
        <v>5832</v>
      </c>
      <c r="J2" s="1798" t="s">
        <v>2598</v>
      </c>
      <c r="K2" s="1798" t="s">
        <v>5833</v>
      </c>
      <c r="L2" s="1798" t="s">
        <v>5834</v>
      </c>
      <c r="M2" s="1798" t="s">
        <v>5786</v>
      </c>
      <c r="N2" s="1798" t="s">
        <v>5835</v>
      </c>
      <c r="O2" s="1798" t="s">
        <v>5836</v>
      </c>
      <c r="P2" s="1798" t="s">
        <v>5837</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5790</v>
      </c>
      <c r="C3" s="2083" t="s">
        <v>5759</v>
      </c>
      <c r="D3" s="2083"/>
      <c r="E3" s="2083"/>
      <c r="F3" s="2083"/>
      <c r="G3" s="2083"/>
      <c r="H3" s="2083" t="s">
        <v>5846</v>
      </c>
      <c r="I3" s="2083"/>
      <c r="J3" s="2083"/>
      <c r="K3" s="2083"/>
      <c r="L3" s="2083"/>
      <c r="M3" s="2083"/>
      <c r="N3" s="2083"/>
      <c r="O3" s="2083"/>
      <c r="P3" s="2083"/>
      <c r="Q3" s="2084"/>
      <c r="R3" s="2083"/>
      <c r="S3" s="2083"/>
      <c r="T3" s="2114" t="s">
        <v>5847</v>
      </c>
      <c r="V3" s="2083"/>
      <c r="W3" s="2083"/>
      <c r="X3" s="2083"/>
      <c r="Y3" s="2083"/>
      <c r="Z3" s="2083"/>
      <c r="AA3" s="2083"/>
      <c r="AB3" s="2083"/>
      <c r="AC3" s="2083"/>
      <c r="AD3" s="1801"/>
      <c r="AE3" s="1801"/>
      <c r="AF3" s="1801"/>
      <c r="AG3" s="1801"/>
    </row>
    <row r="4" spans="1:33" ht="18.75" customHeight="1">
      <c r="A4" s="1794"/>
      <c r="B4" s="1794"/>
      <c r="C4" s="2085" t="s">
        <v>5759</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编制单位：山东天安化工股份有限公司</v>
      </c>
      <c r="D5" s="2089"/>
      <c r="E5" s="2090"/>
      <c r="F5" s="2090"/>
      <c r="G5" s="2090"/>
      <c r="H5" s="2090"/>
      <c r="I5" s="2090"/>
      <c r="J5" s="2090"/>
      <c r="K5" s="2090"/>
      <c r="L5" s="2091" t="s">
        <v>5791</v>
      </c>
      <c r="M5" s="2091"/>
      <c r="N5" s="2090"/>
      <c r="O5" s="2090"/>
      <c r="P5" s="2090"/>
      <c r="Q5" s="2089"/>
      <c r="R5" s="2090"/>
      <c r="S5" s="2090"/>
      <c r="T5" s="2090"/>
      <c r="U5" s="2090"/>
      <c r="V5" s="2090"/>
      <c r="W5" s="2090"/>
      <c r="X5" s="2090"/>
      <c r="Y5" s="2091" t="s">
        <v>5791</v>
      </c>
      <c r="Z5" s="2091"/>
      <c r="AA5" s="2090"/>
      <c r="AB5" s="2090"/>
      <c r="AC5" s="2090"/>
      <c r="AD5" s="849"/>
      <c r="AE5" s="849"/>
      <c r="AF5" s="849"/>
      <c r="AG5" s="849"/>
    </row>
    <row r="6" spans="1:33" ht="18.75" customHeight="1">
      <c r="A6" s="2833"/>
      <c r="B6" s="2833"/>
      <c r="C6" s="2894" t="s">
        <v>5759</v>
      </c>
      <c r="D6" s="3443" t="str">
        <f>Lead!$F$7</f>
        <v>2019年度</v>
      </c>
      <c r="E6" s="3443"/>
      <c r="F6" s="3443"/>
      <c r="G6" s="3443"/>
      <c r="H6" s="3443"/>
      <c r="I6" s="3443"/>
      <c r="J6" s="3443"/>
      <c r="K6" s="3443"/>
      <c r="L6" s="3443"/>
      <c r="M6" s="3443"/>
      <c r="N6" s="3443"/>
      <c r="O6" s="3443"/>
      <c r="P6" s="3444"/>
      <c r="Q6" s="3445" t="str">
        <f>Lead!$F$8</f>
        <v>2018年度</v>
      </c>
      <c r="R6" s="3443"/>
      <c r="S6" s="3443"/>
      <c r="T6" s="3443"/>
      <c r="U6" s="3443"/>
      <c r="V6" s="3443"/>
      <c r="W6" s="3443"/>
      <c r="X6" s="3443"/>
      <c r="Y6" s="3443"/>
      <c r="Z6" s="3443"/>
      <c r="AA6" s="3443"/>
      <c r="AB6" s="3443"/>
      <c r="AC6" s="3444"/>
      <c r="AD6" s="1801"/>
      <c r="AE6" s="1801"/>
      <c r="AF6" s="1801"/>
      <c r="AG6" s="1801"/>
    </row>
    <row r="7" spans="1:33" ht="18" customHeight="1">
      <c r="A7" s="2833" t="s">
        <v>2556</v>
      </c>
      <c r="B7" s="2833" t="s">
        <v>2558</v>
      </c>
      <c r="C7" s="2895" t="s">
        <v>5132</v>
      </c>
      <c r="D7" s="3446" t="s">
        <v>5849</v>
      </c>
      <c r="E7" s="3447" t="s">
        <v>5793</v>
      </c>
      <c r="F7" s="3447"/>
      <c r="G7" s="3447"/>
      <c r="H7" s="3439" t="s">
        <v>592</v>
      </c>
      <c r="I7" s="3439" t="s">
        <v>682</v>
      </c>
      <c r="J7" s="3439" t="s">
        <v>5794</v>
      </c>
      <c r="K7" s="3439" t="s">
        <v>627</v>
      </c>
      <c r="L7" s="3439" t="s">
        <v>602</v>
      </c>
      <c r="M7" s="3441" t="s">
        <v>5871</v>
      </c>
      <c r="N7" s="3439" t="s">
        <v>611</v>
      </c>
      <c r="O7" s="3439" t="s">
        <v>932</v>
      </c>
      <c r="P7" s="3440" t="s">
        <v>2614</v>
      </c>
      <c r="Q7" s="3448" t="s">
        <v>5849</v>
      </c>
      <c r="R7" s="3447" t="s">
        <v>5793</v>
      </c>
      <c r="S7" s="3447"/>
      <c r="T7" s="3447"/>
      <c r="U7" s="3439" t="s">
        <v>592</v>
      </c>
      <c r="V7" s="3439" t="s">
        <v>682</v>
      </c>
      <c r="W7" s="3439" t="s">
        <v>5794</v>
      </c>
      <c r="X7" s="3439" t="s">
        <v>627</v>
      </c>
      <c r="Y7" s="3439" t="s">
        <v>602</v>
      </c>
      <c r="Z7" s="3441" t="s">
        <v>5871</v>
      </c>
      <c r="AA7" s="3439" t="s">
        <v>611</v>
      </c>
      <c r="AB7" s="3439" t="s">
        <v>932</v>
      </c>
      <c r="AC7" s="3440" t="s">
        <v>5848</v>
      </c>
      <c r="AD7" s="1804"/>
      <c r="AE7" s="1801"/>
      <c r="AF7" s="1801"/>
      <c r="AG7" s="1801"/>
    </row>
    <row r="8" spans="1:33" ht="18" customHeight="1">
      <c r="A8" s="2833"/>
      <c r="B8" s="2833"/>
      <c r="C8" s="2109" t="s">
        <v>5759</v>
      </c>
      <c r="D8" s="3446"/>
      <c r="E8" s="2092" t="s">
        <v>2662</v>
      </c>
      <c r="F8" s="2092" t="s">
        <v>2663</v>
      </c>
      <c r="G8" s="2092" t="s">
        <v>932</v>
      </c>
      <c r="H8" s="3439"/>
      <c r="I8" s="3439"/>
      <c r="J8" s="3439"/>
      <c r="K8" s="3439"/>
      <c r="L8" s="3439"/>
      <c r="M8" s="3442"/>
      <c r="N8" s="3439"/>
      <c r="O8" s="3439"/>
      <c r="P8" s="3440"/>
      <c r="Q8" s="3448"/>
      <c r="R8" s="2092" t="s">
        <v>2662</v>
      </c>
      <c r="S8" s="2092" t="s">
        <v>2663</v>
      </c>
      <c r="T8" s="2092" t="s">
        <v>932</v>
      </c>
      <c r="U8" s="3439"/>
      <c r="V8" s="3439"/>
      <c r="W8" s="3439"/>
      <c r="X8" s="3439"/>
      <c r="Y8" s="3439"/>
      <c r="Z8" s="3442"/>
      <c r="AA8" s="3439"/>
      <c r="AB8" s="3439"/>
      <c r="AC8" s="3440"/>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85691911</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238420255.88999999</v>
      </c>
      <c r="I9" s="2094">
        <f t="shared" si="2"/>
        <v>0</v>
      </c>
      <c r="J9" s="2094">
        <f>IF(ISERROR(VLOOKUP(J$2&amp;$B9,Sheet_Trialbal,6,0)),0,VLOOKUP(J$2&amp;$B9,Sheet_Trialbal,6,0))</f>
        <v>0</v>
      </c>
      <c r="K9" s="2094">
        <f t="shared" ref="K9:O12" si="3">IF(ISERROR(VLOOKUP(VALUE(K$2&amp;$B9),Sheet_Trialbal,6,0)),0,VLOOKUP(VALUE(K$2&amp;$B9),Sheet_Trialbal,6,0))</f>
        <v>8378246.8099999996</v>
      </c>
      <c r="L9" s="2094">
        <f t="shared" si="3"/>
        <v>4637867.0999999996</v>
      </c>
      <c r="M9" s="2094">
        <f t="shared" si="3"/>
        <v>0</v>
      </c>
      <c r="N9" s="2094">
        <f t="shared" si="3"/>
        <v>-145316230.15000001</v>
      </c>
      <c r="O9" s="2094">
        <f t="shared" si="3"/>
        <v>0</v>
      </c>
      <c r="P9" s="2112">
        <f t="shared" ref="P9:P35" si="4">SUM(D9:H9,-I9,J9:O9)</f>
        <v>191812050.65000001</v>
      </c>
      <c r="Q9" s="2110">
        <f>IF(ISERROR(VLOOKUP(VALUE(Q$2&amp;$B9),Sheet_Trialbal,10,0)),0,VLOOKUP(VALUE(Q$2&amp;$B9),Sheet_Trialbal,10,0))</f>
        <v>85691911</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238420255.88999999</v>
      </c>
      <c r="V9" s="2095">
        <f t="shared" si="6"/>
        <v>0</v>
      </c>
      <c r="W9" s="2095">
        <f ca="1">IF(ISERROR(VLOOKUP(W$2&amp;$B9,Sheet_Trialbal,10,0)),0,VLOOKUP(W$2&amp;$B9,Sheet_Trialbal,10,0))</f>
        <v>0</v>
      </c>
      <c r="X9" s="2095">
        <f t="shared" ref="X9:AB12" si="7">IF(ISERROR(VLOOKUP(VALUE(X$2&amp;$B9),Sheet_Trialbal,10,0)),0,VLOOKUP(VALUE(X$2&amp;$B9),Sheet_Trialbal,10,0))</f>
        <v>6629663.4000000004</v>
      </c>
      <c r="Y9" s="2095">
        <f t="shared" si="7"/>
        <v>1901231.96</v>
      </c>
      <c r="Z9" s="2095"/>
      <c r="AA9" s="2095">
        <f t="shared" si="7"/>
        <v>-169945946.41999999</v>
      </c>
      <c r="AB9" s="2095">
        <f t="shared" si="7"/>
        <v>0</v>
      </c>
      <c r="AC9" s="2096">
        <f t="shared" ref="AC9:AC35" ca="1" si="8">SUM(Q9:U9,-V9,W9:AB9)</f>
        <v>162697115.83000001</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-54752.29</v>
      </c>
      <c r="O10" s="2094">
        <f t="shared" si="3"/>
        <v>0</v>
      </c>
      <c r="P10" s="2112">
        <f t="shared" si="4"/>
        <v>-54752.29</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85691911</v>
      </c>
      <c r="E13" s="2094">
        <f t="shared" si="9"/>
        <v>0</v>
      </c>
      <c r="F13" s="2094">
        <f t="shared" si="9"/>
        <v>0</v>
      </c>
      <c r="G13" s="2094">
        <f t="shared" si="9"/>
        <v>0</v>
      </c>
      <c r="H13" s="2094">
        <f t="shared" si="9"/>
        <v>238420255.88999999</v>
      </c>
      <c r="I13" s="2094">
        <f t="shared" si="9"/>
        <v>0</v>
      </c>
      <c r="J13" s="2094">
        <f t="shared" si="9"/>
        <v>0</v>
      </c>
      <c r="K13" s="2094">
        <f t="shared" si="9"/>
        <v>8378246.8099999996</v>
      </c>
      <c r="L13" s="2094">
        <f t="shared" si="9"/>
        <v>4637867.0999999996</v>
      </c>
      <c r="M13" s="2094">
        <f t="shared" ref="M13" si="10">SUM(M9:M12)</f>
        <v>0</v>
      </c>
      <c r="N13" s="2094">
        <f t="shared" si="9"/>
        <v>-145370982.44</v>
      </c>
      <c r="O13" s="2094">
        <f t="shared" si="9"/>
        <v>0</v>
      </c>
      <c r="P13" s="2112">
        <f t="shared" si="4"/>
        <v>191757298.36000001</v>
      </c>
      <c r="Q13" s="2110">
        <f t="shared" ref="Q13:AB13" si="11">SUM(Q9:Q12)</f>
        <v>85691911</v>
      </c>
      <c r="R13" s="2095">
        <f t="shared" ca="1" si="11"/>
        <v>0</v>
      </c>
      <c r="S13" s="2095">
        <f t="shared" ca="1" si="11"/>
        <v>0</v>
      </c>
      <c r="T13" s="2095">
        <f t="shared" ca="1" si="11"/>
        <v>0</v>
      </c>
      <c r="U13" s="2095">
        <f t="shared" si="11"/>
        <v>238420255.88999999</v>
      </c>
      <c r="V13" s="2095">
        <f t="shared" si="11"/>
        <v>0</v>
      </c>
      <c r="W13" s="2095">
        <f t="shared" ca="1" si="11"/>
        <v>0</v>
      </c>
      <c r="X13" s="2095">
        <f t="shared" si="11"/>
        <v>6629663.4000000004</v>
      </c>
      <c r="Y13" s="2095">
        <f t="shared" si="11"/>
        <v>1901231.96</v>
      </c>
      <c r="Z13" s="2095"/>
      <c r="AA13" s="2095">
        <f t="shared" si="11"/>
        <v>-169945946.41999999</v>
      </c>
      <c r="AB13" s="2095">
        <f t="shared" si="11"/>
        <v>0</v>
      </c>
      <c r="AC13" s="2096">
        <f t="shared" ca="1" si="8"/>
        <v>162697115.83000001</v>
      </c>
      <c r="AD13" s="1801"/>
      <c r="AE13" s="1801"/>
      <c r="AF13" s="1801"/>
      <c r="AG13" s="1801"/>
    </row>
    <row r="14" spans="1:33" ht="18">
      <c r="A14" s="2834" t="s">
        <v>287</v>
      </c>
      <c r="B14" s="2835" t="s">
        <v>2621</v>
      </c>
      <c r="C14" s="2093" t="str">
        <f t="shared" si="0"/>
        <v>三、本年增减变动金额（减少以“－”号填列）</v>
      </c>
      <c r="D14" s="2094">
        <f t="shared" ref="D14:O14" si="12">SUM(D15,D16,D21,D25,D32,D35)</f>
        <v>0</v>
      </c>
      <c r="E14" s="2094">
        <f t="shared" si="12"/>
        <v>0</v>
      </c>
      <c r="F14" s="2094">
        <f t="shared" si="12"/>
        <v>0</v>
      </c>
      <c r="G14" s="2094">
        <f t="shared" si="12"/>
        <v>0</v>
      </c>
      <c r="H14" s="2094">
        <f t="shared" si="12"/>
        <v>0</v>
      </c>
      <c r="I14" s="2094">
        <f t="shared" si="12"/>
        <v>0</v>
      </c>
      <c r="J14" s="2094">
        <f t="shared" si="12"/>
        <v>0</v>
      </c>
      <c r="K14" s="2094">
        <f t="shared" si="12"/>
        <v>-3833037.43</v>
      </c>
      <c r="L14" s="2094">
        <f t="shared" si="12"/>
        <v>0</v>
      </c>
      <c r="M14" s="2094">
        <f t="shared" ref="M14" si="13">SUM(M15,M16,M21,M25,M32,M35)</f>
        <v>0</v>
      </c>
      <c r="N14" s="2094">
        <f t="shared" si="12"/>
        <v>-13547600.460000001</v>
      </c>
      <c r="O14" s="2094">
        <f t="shared" si="12"/>
        <v>0</v>
      </c>
      <c r="P14" s="2112">
        <f t="shared" si="4"/>
        <v>-17380637.890000001</v>
      </c>
      <c r="Q14" s="2110">
        <f t="shared" ref="Q14:AB14" si="14">SUM(Q15,Q16,Q21,Q25,Q32,Q35)</f>
        <v>0</v>
      </c>
      <c r="R14" s="2095">
        <f t="shared" ca="1" si="14"/>
        <v>0</v>
      </c>
      <c r="S14" s="2095">
        <f t="shared" ca="1" si="14"/>
        <v>0</v>
      </c>
      <c r="T14" s="2095">
        <f t="shared" ca="1" si="14"/>
        <v>0</v>
      </c>
      <c r="U14" s="2095">
        <f t="shared" si="14"/>
        <v>0</v>
      </c>
      <c r="V14" s="2095">
        <f t="shared" si="14"/>
        <v>0</v>
      </c>
      <c r="W14" s="2095">
        <f t="shared" ca="1" si="14"/>
        <v>0</v>
      </c>
      <c r="X14" s="2095">
        <f t="shared" si="14"/>
        <v>1748583.41</v>
      </c>
      <c r="Y14" s="2095">
        <f t="shared" si="14"/>
        <v>2736635.14</v>
      </c>
      <c r="Z14" s="2095"/>
      <c r="AA14" s="2095">
        <f t="shared" si="14"/>
        <v>24629716.27</v>
      </c>
      <c r="AB14" s="2095">
        <f t="shared" si="14"/>
        <v>0</v>
      </c>
      <c r="AC14" s="2096">
        <f t="shared" ca="1" si="8"/>
        <v>29114934.82</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-13547600.460000001</v>
      </c>
      <c r="O15" s="2094">
        <f>IF(ISERROR(VLOOKUP(VALUE(O$2&amp;$B15),Sheet_Trialbal,6,0)),0,VLOOKUP(VALUE(O$2&amp;$B15),Sheet_Trialbal,6,0))</f>
        <v>0</v>
      </c>
      <c r="P15" s="2112">
        <f t="shared" si="4"/>
        <v>-13547600.460000001</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27366351.41</v>
      </c>
      <c r="AB15" s="2095">
        <f>IF(ISERROR(VLOOKUP(VALUE(AB$2&amp;$B15),Sheet_Trialbal,10,0)),0,VLOOKUP(VALUE(AB$2&amp;$B15),Sheet_Trialbal,10,0))</f>
        <v>0</v>
      </c>
      <c r="AC15" s="2096">
        <f t="shared" ca="1" si="8"/>
        <v>27366351.41</v>
      </c>
      <c r="AD15" s="1801"/>
      <c r="AE15" s="1801"/>
      <c r="AF15" s="1801"/>
      <c r="AG15" s="1801"/>
    </row>
    <row r="16" spans="1:33" ht="21.95" customHeight="1">
      <c r="A16" s="2834" t="s">
        <v>287</v>
      </c>
      <c r="B16" s="2835" t="s">
        <v>2625</v>
      </c>
      <c r="C16" s="2098" t="str">
        <f>VLOOKUP(VALUE($P$2&amp;$B16),Sheet_Items,6,0)</f>
        <v>（二）所有者投入和减少资本</v>
      </c>
      <c r="D16" s="2094">
        <f t="shared" ref="D16:O16" si="15">SUM(D17:D20)</f>
        <v>0</v>
      </c>
      <c r="E16" s="2094">
        <f t="shared" si="15"/>
        <v>0</v>
      </c>
      <c r="F16" s="2094">
        <f t="shared" si="15"/>
        <v>0</v>
      </c>
      <c r="G16" s="2094">
        <f t="shared" si="15"/>
        <v>0</v>
      </c>
      <c r="H16" s="2094">
        <f t="shared" si="15"/>
        <v>0</v>
      </c>
      <c r="I16" s="2094">
        <f t="shared" si="15"/>
        <v>0</v>
      </c>
      <c r="J16" s="2094">
        <f t="shared" si="15"/>
        <v>0</v>
      </c>
      <c r="K16" s="2094">
        <f t="shared" si="15"/>
        <v>0</v>
      </c>
      <c r="L16" s="2094">
        <f t="shared" si="15"/>
        <v>0</v>
      </c>
      <c r="M16" s="2094">
        <f t="shared" ref="M16" si="16">SUM(M17:M20)</f>
        <v>0</v>
      </c>
      <c r="N16" s="2094">
        <f t="shared" si="15"/>
        <v>0</v>
      </c>
      <c r="O16" s="2094">
        <f t="shared" si="15"/>
        <v>0</v>
      </c>
      <c r="P16" s="2112">
        <f t="shared" si="4"/>
        <v>0</v>
      </c>
      <c r="Q16" s="2110">
        <f t="shared" ref="Q16:AB16" si="17">SUM(Q17:Q20)</f>
        <v>0</v>
      </c>
      <c r="R16" s="2095">
        <f t="shared" ca="1" si="17"/>
        <v>0</v>
      </c>
      <c r="S16" s="2095">
        <f t="shared" ca="1" si="17"/>
        <v>0</v>
      </c>
      <c r="T16" s="2095">
        <f t="shared" ca="1" si="17"/>
        <v>0</v>
      </c>
      <c r="U16" s="2095">
        <f t="shared" si="17"/>
        <v>0</v>
      </c>
      <c r="V16" s="2095">
        <f t="shared" si="17"/>
        <v>0</v>
      </c>
      <c r="W16" s="2095">
        <f t="shared" ca="1" si="17"/>
        <v>0</v>
      </c>
      <c r="X16" s="2095">
        <f t="shared" si="17"/>
        <v>0</v>
      </c>
      <c r="Y16" s="2095">
        <f t="shared" si="17"/>
        <v>0</v>
      </c>
      <c r="Z16" s="2095"/>
      <c r="AA16" s="2095">
        <f t="shared" si="17"/>
        <v>0</v>
      </c>
      <c r="AB16" s="2095">
        <f t="shared" si="17"/>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18">IF(ISERROR(VLOOKUP(E$2&amp;$B17,Sheet_Trialbal,6,0)),0,VLOOKUP(E$2&amp;$B17,Sheet_Trialbal,6,0))</f>
        <v>0</v>
      </c>
      <c r="F17" s="2094">
        <f t="shared" si="18"/>
        <v>0</v>
      </c>
      <c r="G17" s="2094">
        <f t="shared" si="18"/>
        <v>0</v>
      </c>
      <c r="H17" s="2094">
        <f t="shared" ref="H17:I20" si="19">IF(ISERROR(VLOOKUP(VALUE(H$2&amp;$B17),Sheet_Trialbal,6,0)),0,VLOOKUP(VALUE(H$2&amp;$B17),Sheet_Trialbal,6,0))</f>
        <v>0</v>
      </c>
      <c r="I17" s="2094">
        <f t="shared" si="19"/>
        <v>0</v>
      </c>
      <c r="J17" s="2094">
        <f>IF(ISERROR(VLOOKUP(J$2&amp;$B17,Sheet_Trialbal,6,0)),0,VLOOKUP(J$2&amp;$B17,Sheet_Trialbal,6,0))</f>
        <v>0</v>
      </c>
      <c r="K17" s="2094">
        <f t="shared" ref="K17:O20" si="20">IF(ISERROR(VLOOKUP(VALUE(K$2&amp;$B17),Sheet_Trialbal,6,0)),0,VLOOKUP(VALUE(K$2&amp;$B17),Sheet_Trialbal,6,0))</f>
        <v>0</v>
      </c>
      <c r="L17" s="2094">
        <f t="shared" si="20"/>
        <v>0</v>
      </c>
      <c r="M17" s="2094">
        <f t="shared" si="20"/>
        <v>0</v>
      </c>
      <c r="N17" s="2094">
        <f t="shared" si="20"/>
        <v>0</v>
      </c>
      <c r="O17" s="2094">
        <f t="shared" si="20"/>
        <v>0</v>
      </c>
      <c r="P17" s="2112">
        <f t="shared" si="4"/>
        <v>0</v>
      </c>
      <c r="Q17" s="2110">
        <f>IF(ISERROR(VLOOKUP(VALUE(Q$2&amp;$B17),Sheet_Trialbal,10,0)),0,VLOOKUP(VALUE(Q$2&amp;$B17),Sheet_Trialbal,10,0))</f>
        <v>0</v>
      </c>
      <c r="R17" s="2095">
        <f t="shared" ref="R17:T20" ca="1" si="21">IF(ISERROR(VLOOKUP(R$2&amp;$B17,Sheet_Trialbal,10,0)),0,VLOOKUP(R$2&amp;$B17,Sheet_Trialbal,10,0))</f>
        <v>0</v>
      </c>
      <c r="S17" s="2095">
        <f t="shared" ca="1" si="21"/>
        <v>0</v>
      </c>
      <c r="T17" s="2095">
        <f t="shared" ca="1" si="21"/>
        <v>0</v>
      </c>
      <c r="U17" s="2095">
        <f t="shared" ref="U17:V20" si="22">IF(ISERROR(VLOOKUP(VALUE(U$2&amp;$B17),Sheet_Trialbal,10,0)),0,VLOOKUP(VALUE(U$2&amp;$B17),Sheet_Trialbal,10,0))</f>
        <v>0</v>
      </c>
      <c r="V17" s="2095">
        <f t="shared" si="22"/>
        <v>0</v>
      </c>
      <c r="W17" s="2095">
        <f ca="1">IF(ISERROR(VLOOKUP(W$2&amp;$B17,Sheet_Trialbal,10,0)),0,VLOOKUP(W$2&amp;$B17,Sheet_Trialbal,10,0))</f>
        <v>0</v>
      </c>
      <c r="X17" s="2095">
        <f t="shared" ref="X17:AB20" si="23">IF(ISERROR(VLOOKUP(VALUE(X$2&amp;$B17),Sheet_Trialbal,10,0)),0,VLOOKUP(VALUE(X$2&amp;$B17),Sheet_Trialbal,10,0))</f>
        <v>0</v>
      </c>
      <c r="Y17" s="2095">
        <f t="shared" si="23"/>
        <v>0</v>
      </c>
      <c r="Z17" s="2095"/>
      <c r="AA17" s="2095">
        <f t="shared" si="23"/>
        <v>0</v>
      </c>
      <c r="AB17" s="2095">
        <f t="shared" si="23"/>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18"/>
        <v>0</v>
      </c>
      <c r="F18" s="2094">
        <f t="shared" si="18"/>
        <v>0</v>
      </c>
      <c r="G18" s="2094">
        <f t="shared" si="18"/>
        <v>0</v>
      </c>
      <c r="H18" s="2094">
        <f t="shared" si="19"/>
        <v>0</v>
      </c>
      <c r="I18" s="2094">
        <f t="shared" si="19"/>
        <v>0</v>
      </c>
      <c r="J18" s="2094">
        <f>IF(ISERROR(VLOOKUP(J$2&amp;$B18,Sheet_Trialbal,6,0)),0,VLOOKUP(J$2&amp;$B18,Sheet_Trialbal,6,0))</f>
        <v>0</v>
      </c>
      <c r="K18" s="2094">
        <f t="shared" si="20"/>
        <v>0</v>
      </c>
      <c r="L18" s="2094">
        <f t="shared" si="20"/>
        <v>0</v>
      </c>
      <c r="M18" s="2094">
        <f t="shared" si="20"/>
        <v>0</v>
      </c>
      <c r="N18" s="2094">
        <f t="shared" si="20"/>
        <v>0</v>
      </c>
      <c r="O18" s="2094">
        <f t="shared" si="20"/>
        <v>0</v>
      </c>
      <c r="P18" s="2112">
        <f t="shared" si="4"/>
        <v>0</v>
      </c>
      <c r="Q18" s="2110">
        <f>IF(ISERROR(VLOOKUP(VALUE(Q$2&amp;$B18),Sheet_Trialbal,10,0)),0,VLOOKUP(VALUE(Q$2&amp;$B18),Sheet_Trialbal,10,0))</f>
        <v>0</v>
      </c>
      <c r="R18" s="2095">
        <f t="shared" ca="1" si="21"/>
        <v>0</v>
      </c>
      <c r="S18" s="2095">
        <f t="shared" ca="1" si="21"/>
        <v>0</v>
      </c>
      <c r="T18" s="2095">
        <f t="shared" ca="1" si="21"/>
        <v>0</v>
      </c>
      <c r="U18" s="2095">
        <f t="shared" si="22"/>
        <v>0</v>
      </c>
      <c r="V18" s="2095">
        <f t="shared" si="22"/>
        <v>0</v>
      </c>
      <c r="W18" s="2095">
        <f ca="1">IF(ISERROR(VLOOKUP(W$2&amp;$B18,Sheet_Trialbal,10,0)),0,VLOOKUP(W$2&amp;$B18,Sheet_Trialbal,10,0))</f>
        <v>0</v>
      </c>
      <c r="X18" s="2095">
        <f t="shared" si="23"/>
        <v>0</v>
      </c>
      <c r="Y18" s="2095">
        <f t="shared" si="23"/>
        <v>0</v>
      </c>
      <c r="Z18" s="2095"/>
      <c r="AA18" s="2095">
        <f t="shared" si="23"/>
        <v>0</v>
      </c>
      <c r="AB18" s="2095">
        <f t="shared" si="23"/>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18"/>
        <v>0</v>
      </c>
      <c r="F19" s="2094">
        <f t="shared" si="18"/>
        <v>0</v>
      </c>
      <c r="G19" s="2094">
        <f t="shared" si="18"/>
        <v>0</v>
      </c>
      <c r="H19" s="2094">
        <f t="shared" si="19"/>
        <v>0</v>
      </c>
      <c r="I19" s="2094">
        <f t="shared" si="19"/>
        <v>0</v>
      </c>
      <c r="J19" s="2094">
        <f>IF(ISERROR(VLOOKUP(J$2&amp;$B19,Sheet_Trialbal,6,0)),0,VLOOKUP(J$2&amp;$B19,Sheet_Trialbal,6,0))</f>
        <v>0</v>
      </c>
      <c r="K19" s="2094">
        <f t="shared" si="20"/>
        <v>0</v>
      </c>
      <c r="L19" s="2094">
        <f t="shared" si="20"/>
        <v>0</v>
      </c>
      <c r="M19" s="2094">
        <f t="shared" si="20"/>
        <v>0</v>
      </c>
      <c r="N19" s="2094">
        <f t="shared" si="20"/>
        <v>0</v>
      </c>
      <c r="O19" s="2094">
        <f t="shared" si="20"/>
        <v>0</v>
      </c>
      <c r="P19" s="2112">
        <f t="shared" si="4"/>
        <v>0</v>
      </c>
      <c r="Q19" s="2110">
        <f>IF(ISERROR(VLOOKUP(VALUE(Q$2&amp;$B19),Sheet_Trialbal,10,0)),0,VLOOKUP(VALUE(Q$2&amp;$B19),Sheet_Trialbal,10,0))</f>
        <v>0</v>
      </c>
      <c r="R19" s="2095">
        <f t="shared" ca="1" si="21"/>
        <v>0</v>
      </c>
      <c r="S19" s="2095">
        <f t="shared" ca="1" si="21"/>
        <v>0</v>
      </c>
      <c r="T19" s="2095">
        <f t="shared" ca="1" si="21"/>
        <v>0</v>
      </c>
      <c r="U19" s="2095">
        <f t="shared" si="22"/>
        <v>0</v>
      </c>
      <c r="V19" s="2095">
        <f t="shared" si="22"/>
        <v>0</v>
      </c>
      <c r="W19" s="2095">
        <f ca="1">IF(ISERROR(VLOOKUP(W$2&amp;$B19,Sheet_Trialbal,10,0)),0,VLOOKUP(W$2&amp;$B19,Sheet_Trialbal,10,0))</f>
        <v>0</v>
      </c>
      <c r="X19" s="2095">
        <f t="shared" si="23"/>
        <v>0</v>
      </c>
      <c r="Y19" s="2095">
        <f t="shared" si="23"/>
        <v>0</v>
      </c>
      <c r="Z19" s="2095"/>
      <c r="AA19" s="2095">
        <f t="shared" si="23"/>
        <v>0</v>
      </c>
      <c r="AB19" s="2095">
        <f t="shared" si="23"/>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18"/>
        <v>0</v>
      </c>
      <c r="F20" s="2094">
        <f t="shared" si="18"/>
        <v>0</v>
      </c>
      <c r="G20" s="2094">
        <f t="shared" si="18"/>
        <v>0</v>
      </c>
      <c r="H20" s="2094">
        <f t="shared" si="19"/>
        <v>0</v>
      </c>
      <c r="I20" s="2094">
        <f t="shared" si="19"/>
        <v>0</v>
      </c>
      <c r="J20" s="2094">
        <f>IF(ISERROR(VLOOKUP(J$2&amp;$B20,Sheet_Trialbal,6,0)),0,VLOOKUP(J$2&amp;$B20,Sheet_Trialbal,6,0))</f>
        <v>0</v>
      </c>
      <c r="K20" s="2094">
        <f t="shared" si="20"/>
        <v>0</v>
      </c>
      <c r="L20" s="2094">
        <f t="shared" si="20"/>
        <v>0</v>
      </c>
      <c r="M20" s="2094">
        <f t="shared" si="20"/>
        <v>0</v>
      </c>
      <c r="N20" s="2094">
        <f t="shared" si="20"/>
        <v>0</v>
      </c>
      <c r="O20" s="2094">
        <f t="shared" si="20"/>
        <v>0</v>
      </c>
      <c r="P20" s="2112">
        <f t="shared" si="4"/>
        <v>0</v>
      </c>
      <c r="Q20" s="2110">
        <f>IF(ISERROR(VLOOKUP(VALUE(Q$2&amp;$B20),Sheet_Trialbal,10,0)),0,VLOOKUP(VALUE(Q$2&amp;$B20),Sheet_Trialbal,10,0))</f>
        <v>0</v>
      </c>
      <c r="R20" s="2095">
        <f t="shared" ca="1" si="21"/>
        <v>0</v>
      </c>
      <c r="S20" s="2095">
        <f t="shared" ca="1" si="21"/>
        <v>0</v>
      </c>
      <c r="T20" s="2095">
        <f t="shared" ca="1" si="21"/>
        <v>0</v>
      </c>
      <c r="U20" s="2095">
        <f t="shared" si="22"/>
        <v>0</v>
      </c>
      <c r="V20" s="2095">
        <f t="shared" si="22"/>
        <v>0</v>
      </c>
      <c r="W20" s="2095">
        <f ca="1">IF(ISERROR(VLOOKUP(W$2&amp;$B20,Sheet_Trialbal,10,0)),0,VLOOKUP(W$2&amp;$B20,Sheet_Trialbal,10,0))</f>
        <v>0</v>
      </c>
      <c r="X20" s="2095">
        <f t="shared" si="23"/>
        <v>0</v>
      </c>
      <c r="Y20" s="2095">
        <f t="shared" si="23"/>
        <v>0</v>
      </c>
      <c r="Z20" s="2095"/>
      <c r="AA20" s="2095">
        <f t="shared" si="23"/>
        <v>0</v>
      </c>
      <c r="AB20" s="2095">
        <f t="shared" si="23"/>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4">SUM(D22:D24)</f>
        <v>0</v>
      </c>
      <c r="E21" s="2094">
        <f t="shared" si="24"/>
        <v>0</v>
      </c>
      <c r="F21" s="2094">
        <f t="shared" si="24"/>
        <v>0</v>
      </c>
      <c r="G21" s="2094">
        <f t="shared" si="24"/>
        <v>0</v>
      </c>
      <c r="H21" s="2094">
        <f t="shared" si="24"/>
        <v>0</v>
      </c>
      <c r="I21" s="2094">
        <f t="shared" si="24"/>
        <v>0</v>
      </c>
      <c r="J21" s="2094">
        <f t="shared" si="24"/>
        <v>0</v>
      </c>
      <c r="K21" s="2094">
        <f t="shared" si="24"/>
        <v>0</v>
      </c>
      <c r="L21" s="2094">
        <f t="shared" si="24"/>
        <v>0</v>
      </c>
      <c r="M21" s="2094">
        <f t="shared" ref="M21" si="25">SUM(M22:M24)</f>
        <v>0</v>
      </c>
      <c r="N21" s="2094">
        <f t="shared" si="24"/>
        <v>0</v>
      </c>
      <c r="O21" s="2094">
        <f t="shared" si="24"/>
        <v>0</v>
      </c>
      <c r="P21" s="2112">
        <f t="shared" si="4"/>
        <v>0</v>
      </c>
      <c r="Q21" s="2110">
        <f t="shared" ref="Q21:AB21" si="26">SUM(Q22:Q24)</f>
        <v>0</v>
      </c>
      <c r="R21" s="2095">
        <f t="shared" ca="1" si="26"/>
        <v>0</v>
      </c>
      <c r="S21" s="2095">
        <f t="shared" ca="1" si="26"/>
        <v>0</v>
      </c>
      <c r="T21" s="2095">
        <f t="shared" ca="1" si="26"/>
        <v>0</v>
      </c>
      <c r="U21" s="2095">
        <f t="shared" si="26"/>
        <v>0</v>
      </c>
      <c r="V21" s="2095">
        <f t="shared" si="26"/>
        <v>0</v>
      </c>
      <c r="W21" s="2095">
        <f t="shared" ca="1" si="26"/>
        <v>0</v>
      </c>
      <c r="X21" s="2095">
        <f t="shared" si="26"/>
        <v>0</v>
      </c>
      <c r="Y21" s="2095">
        <f t="shared" si="26"/>
        <v>2736635.14</v>
      </c>
      <c r="Z21" s="2095"/>
      <c r="AA21" s="2095">
        <f t="shared" si="26"/>
        <v>-2736635.14</v>
      </c>
      <c r="AB21" s="2095">
        <f t="shared" si="26"/>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27">IF(ISERROR(VLOOKUP(E$2&amp;$B22,Sheet_Trialbal,6,0)),0,VLOOKUP(E$2&amp;$B22,Sheet_Trialbal,6,0))</f>
        <v>0</v>
      </c>
      <c r="F22" s="2094">
        <f t="shared" si="27"/>
        <v>0</v>
      </c>
      <c r="G22" s="2094">
        <f t="shared" si="27"/>
        <v>0</v>
      </c>
      <c r="H22" s="2094">
        <f t="shared" ref="H22:I24" si="28">IF(ISERROR(VLOOKUP(VALUE(H$2&amp;$B22),Sheet_Trialbal,6,0)),0,VLOOKUP(VALUE(H$2&amp;$B22),Sheet_Trialbal,6,0))</f>
        <v>0</v>
      </c>
      <c r="I22" s="2094">
        <f t="shared" si="28"/>
        <v>0</v>
      </c>
      <c r="J22" s="2094">
        <f>IF(ISERROR(VLOOKUP(J$2&amp;$B22,Sheet_Trialbal,6,0)),0,VLOOKUP(J$2&amp;$B22,Sheet_Trialbal,6,0))</f>
        <v>0</v>
      </c>
      <c r="K22" s="2094">
        <f t="shared" ref="K22:O24" si="29">IF(ISERROR(VLOOKUP(VALUE(K$2&amp;$B22),Sheet_Trialbal,6,0)),0,VLOOKUP(VALUE(K$2&amp;$B22),Sheet_Trialbal,6,0))</f>
        <v>0</v>
      </c>
      <c r="L22" s="2094">
        <f t="shared" si="29"/>
        <v>0</v>
      </c>
      <c r="M22" s="2094">
        <f t="shared" si="29"/>
        <v>0</v>
      </c>
      <c r="N22" s="2094">
        <f t="shared" si="29"/>
        <v>0</v>
      </c>
      <c r="O22" s="2094">
        <f t="shared" si="29"/>
        <v>0</v>
      </c>
      <c r="P22" s="2112">
        <f t="shared" si="4"/>
        <v>0</v>
      </c>
      <c r="Q22" s="2110">
        <f>IF(ISERROR(VLOOKUP(VALUE(Q$2&amp;$B22),Sheet_Trialbal,10,0)),0,VLOOKUP(VALUE(Q$2&amp;$B22),Sheet_Trialbal,10,0))</f>
        <v>0</v>
      </c>
      <c r="R22" s="2095">
        <f t="shared" ref="R22:T24" ca="1" si="30">IF(ISERROR(VLOOKUP(R$2&amp;$B22,Sheet_Trialbal,10,0)),0,VLOOKUP(R$2&amp;$B22,Sheet_Trialbal,10,0))</f>
        <v>0</v>
      </c>
      <c r="S22" s="2095">
        <f t="shared" ca="1" si="30"/>
        <v>0</v>
      </c>
      <c r="T22" s="2095">
        <f t="shared" ca="1" si="30"/>
        <v>0</v>
      </c>
      <c r="U22" s="2095">
        <f t="shared" ref="U22:V24" si="31">IF(ISERROR(VLOOKUP(VALUE(U$2&amp;$B22),Sheet_Trialbal,10,0)),0,VLOOKUP(VALUE(U$2&amp;$B22),Sheet_Trialbal,10,0))</f>
        <v>0</v>
      </c>
      <c r="V22" s="2095">
        <f t="shared" si="31"/>
        <v>0</v>
      </c>
      <c r="W22" s="2095">
        <f ca="1">IF(ISERROR(VLOOKUP(W$2&amp;$B22,Sheet_Trialbal,10,0)),0,VLOOKUP(W$2&amp;$B22,Sheet_Trialbal,10,0))</f>
        <v>0</v>
      </c>
      <c r="X22" s="2095">
        <f t="shared" ref="X22:AB24" si="32">IF(ISERROR(VLOOKUP(VALUE(X$2&amp;$B22),Sheet_Trialbal,10,0)),0,VLOOKUP(VALUE(X$2&amp;$B22),Sheet_Trialbal,10,0))</f>
        <v>0</v>
      </c>
      <c r="Y22" s="2095">
        <f t="shared" si="32"/>
        <v>2736635.14</v>
      </c>
      <c r="Z22" s="2095"/>
      <c r="AA22" s="2095">
        <f t="shared" si="32"/>
        <v>-2736635.14</v>
      </c>
      <c r="AB22" s="2095">
        <f t="shared" si="32"/>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27"/>
        <v>0</v>
      </c>
      <c r="F23" s="2094">
        <f t="shared" si="27"/>
        <v>0</v>
      </c>
      <c r="G23" s="2094">
        <f t="shared" si="27"/>
        <v>0</v>
      </c>
      <c r="H23" s="2094">
        <f t="shared" si="28"/>
        <v>0</v>
      </c>
      <c r="I23" s="2094">
        <f t="shared" si="28"/>
        <v>0</v>
      </c>
      <c r="J23" s="2094">
        <f>IF(ISERROR(VLOOKUP(J$2&amp;$B23,Sheet_Trialbal,6,0)),0,VLOOKUP(J$2&amp;$B23,Sheet_Trialbal,6,0))</f>
        <v>0</v>
      </c>
      <c r="K23" s="2094">
        <f t="shared" si="29"/>
        <v>0</v>
      </c>
      <c r="L23" s="2094">
        <f t="shared" si="29"/>
        <v>0</v>
      </c>
      <c r="M23" s="2094">
        <f t="shared" si="29"/>
        <v>0</v>
      </c>
      <c r="N23" s="2094">
        <f t="shared" si="29"/>
        <v>0</v>
      </c>
      <c r="O23" s="2094">
        <f t="shared" si="29"/>
        <v>0</v>
      </c>
      <c r="P23" s="2112">
        <f t="shared" si="4"/>
        <v>0</v>
      </c>
      <c r="Q23" s="2110">
        <f>IF(ISERROR(VLOOKUP(VALUE(Q$2&amp;$B23),Sheet_Trialbal,10,0)),0,VLOOKUP(VALUE(Q$2&amp;$B23),Sheet_Trialbal,10,0))</f>
        <v>0</v>
      </c>
      <c r="R23" s="2095">
        <f t="shared" ca="1" si="30"/>
        <v>0</v>
      </c>
      <c r="S23" s="2095">
        <f t="shared" ca="1" si="30"/>
        <v>0</v>
      </c>
      <c r="T23" s="2095">
        <f t="shared" ca="1" si="30"/>
        <v>0</v>
      </c>
      <c r="U23" s="2095">
        <f t="shared" si="31"/>
        <v>0</v>
      </c>
      <c r="V23" s="2095">
        <f t="shared" si="31"/>
        <v>0</v>
      </c>
      <c r="W23" s="2095">
        <f ca="1">IF(ISERROR(VLOOKUP(W$2&amp;$B23,Sheet_Trialbal,10,0)),0,VLOOKUP(W$2&amp;$B23,Sheet_Trialbal,10,0))</f>
        <v>0</v>
      </c>
      <c r="X23" s="2095">
        <f t="shared" si="32"/>
        <v>0</v>
      </c>
      <c r="Y23" s="2095">
        <f t="shared" si="32"/>
        <v>0</v>
      </c>
      <c r="Z23" s="2095"/>
      <c r="AA23" s="2095">
        <f t="shared" si="32"/>
        <v>0</v>
      </c>
      <c r="AB23" s="2095">
        <f t="shared" si="32"/>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27"/>
        <v>0</v>
      </c>
      <c r="F24" s="2094">
        <f t="shared" si="27"/>
        <v>0</v>
      </c>
      <c r="G24" s="2094">
        <f t="shared" si="27"/>
        <v>0</v>
      </c>
      <c r="H24" s="2094">
        <f t="shared" si="28"/>
        <v>0</v>
      </c>
      <c r="I24" s="2094">
        <f t="shared" si="28"/>
        <v>0</v>
      </c>
      <c r="J24" s="2094">
        <f>IF(ISERROR(VLOOKUP(J$2&amp;$B24,Sheet_Trialbal,6,0)),0,VLOOKUP(J$2&amp;$B24,Sheet_Trialbal,6,0))</f>
        <v>0</v>
      </c>
      <c r="K24" s="2094">
        <f t="shared" si="29"/>
        <v>0</v>
      </c>
      <c r="L24" s="2094">
        <f t="shared" si="29"/>
        <v>0</v>
      </c>
      <c r="M24" s="2094">
        <f t="shared" si="29"/>
        <v>0</v>
      </c>
      <c r="N24" s="2094">
        <f t="shared" si="29"/>
        <v>0</v>
      </c>
      <c r="O24" s="2094">
        <f t="shared" si="29"/>
        <v>0</v>
      </c>
      <c r="P24" s="2112">
        <f t="shared" si="4"/>
        <v>0</v>
      </c>
      <c r="Q24" s="2110">
        <f>IF(ISERROR(VLOOKUP(VALUE(Q$2&amp;$B24),Sheet_Trialbal,10,0)),0,VLOOKUP(VALUE(Q$2&amp;$B24),Sheet_Trialbal,10,0))</f>
        <v>0</v>
      </c>
      <c r="R24" s="2095">
        <f t="shared" ca="1" si="30"/>
        <v>0</v>
      </c>
      <c r="S24" s="2095">
        <f t="shared" ca="1" si="30"/>
        <v>0</v>
      </c>
      <c r="T24" s="2095">
        <f t="shared" ca="1" si="30"/>
        <v>0</v>
      </c>
      <c r="U24" s="2095">
        <f t="shared" si="31"/>
        <v>0</v>
      </c>
      <c r="V24" s="2095">
        <f t="shared" si="31"/>
        <v>0</v>
      </c>
      <c r="W24" s="2095">
        <f ca="1">IF(ISERROR(VLOOKUP(W$2&amp;$B24,Sheet_Trialbal,10,0)),0,VLOOKUP(W$2&amp;$B24,Sheet_Trialbal,10,0))</f>
        <v>0</v>
      </c>
      <c r="X24" s="2095">
        <f t="shared" si="32"/>
        <v>0</v>
      </c>
      <c r="Y24" s="2095">
        <f t="shared" si="32"/>
        <v>0</v>
      </c>
      <c r="Z24" s="2095"/>
      <c r="AA24" s="2095">
        <f t="shared" si="32"/>
        <v>0</v>
      </c>
      <c r="AB24" s="2095">
        <f t="shared" si="32"/>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33">SUM(D26:D31)</f>
        <v>0</v>
      </c>
      <c r="E25" s="2094">
        <f t="shared" si="33"/>
        <v>0</v>
      </c>
      <c r="F25" s="2094">
        <f t="shared" si="33"/>
        <v>0</v>
      </c>
      <c r="G25" s="2094">
        <f t="shared" si="33"/>
        <v>0</v>
      </c>
      <c r="H25" s="2094">
        <f t="shared" si="33"/>
        <v>0</v>
      </c>
      <c r="I25" s="2094">
        <f t="shared" si="33"/>
        <v>0</v>
      </c>
      <c r="J25" s="2094">
        <f t="shared" si="33"/>
        <v>0</v>
      </c>
      <c r="K25" s="2094">
        <f t="shared" si="33"/>
        <v>0</v>
      </c>
      <c r="L25" s="2094">
        <f t="shared" si="33"/>
        <v>0</v>
      </c>
      <c r="M25" s="2094">
        <f t="shared" ref="M25" si="34">SUM(M26:M31)</f>
        <v>0</v>
      </c>
      <c r="N25" s="2094">
        <f t="shared" si="33"/>
        <v>0</v>
      </c>
      <c r="O25" s="2094">
        <f t="shared" si="33"/>
        <v>0</v>
      </c>
      <c r="P25" s="2112">
        <f t="shared" si="4"/>
        <v>0</v>
      </c>
      <c r="Q25" s="2110">
        <f t="shared" ref="Q25:AB25" si="35">SUM(Q26:Q31)</f>
        <v>0</v>
      </c>
      <c r="R25" s="2095">
        <f t="shared" ca="1" si="35"/>
        <v>0</v>
      </c>
      <c r="S25" s="2095">
        <f t="shared" ca="1" si="35"/>
        <v>0</v>
      </c>
      <c r="T25" s="2095">
        <f t="shared" ca="1" si="35"/>
        <v>0</v>
      </c>
      <c r="U25" s="2095">
        <f t="shared" si="35"/>
        <v>0</v>
      </c>
      <c r="V25" s="2095">
        <f t="shared" si="35"/>
        <v>0</v>
      </c>
      <c r="W25" s="2095">
        <f t="shared" ca="1" si="35"/>
        <v>0</v>
      </c>
      <c r="X25" s="2095">
        <f t="shared" si="35"/>
        <v>0</v>
      </c>
      <c r="Y25" s="2095">
        <f t="shared" si="35"/>
        <v>0</v>
      </c>
      <c r="Z25" s="2095">
        <f t="shared" ref="Z25" si="36">SUM(Z26:Z31)</f>
        <v>0</v>
      </c>
      <c r="AA25" s="2095">
        <f t="shared" si="35"/>
        <v>0</v>
      </c>
      <c r="AB25" s="2095">
        <f t="shared" si="35"/>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37">IF(ISERROR(VLOOKUP(VALUE(D$2&amp;$B26),Sheet_Trialbal,6,0)),0,VLOOKUP(VALUE(D$2&amp;$B26),Sheet_Trialbal,6,0))</f>
        <v>0</v>
      </c>
      <c r="E26" s="2094">
        <f t="shared" ref="E26:G31" si="38">IF(ISERROR(VLOOKUP(E$2&amp;$B26,Sheet_Trialbal,6,0)),0,VLOOKUP(E$2&amp;$B26,Sheet_Trialbal,6,0))</f>
        <v>0</v>
      </c>
      <c r="F26" s="2094">
        <f t="shared" si="38"/>
        <v>0</v>
      </c>
      <c r="G26" s="2094">
        <f t="shared" si="38"/>
        <v>0</v>
      </c>
      <c r="H26" s="2094">
        <f t="shared" ref="H26:I31" si="39">IF(ISERROR(VLOOKUP(VALUE(H$2&amp;$B26),Sheet_Trialbal,6,0)),0,VLOOKUP(VALUE(H$2&amp;$B26),Sheet_Trialbal,6,0))</f>
        <v>0</v>
      </c>
      <c r="I26" s="2094">
        <f t="shared" si="39"/>
        <v>0</v>
      </c>
      <c r="J26" s="2094">
        <f t="shared" ref="J26:J31" si="40">IF(ISERROR(VLOOKUP(J$2&amp;$B26,Sheet_Trialbal,6,0)),0,VLOOKUP(J$2&amp;$B26,Sheet_Trialbal,6,0))</f>
        <v>0</v>
      </c>
      <c r="K26" s="2094">
        <f t="shared" ref="K26:O31" si="41">IF(ISERROR(VLOOKUP(VALUE(K$2&amp;$B26),Sheet_Trialbal,6,0)),0,VLOOKUP(VALUE(K$2&amp;$B26),Sheet_Trialbal,6,0))</f>
        <v>0</v>
      </c>
      <c r="L26" s="2094">
        <f t="shared" si="41"/>
        <v>0</v>
      </c>
      <c r="M26" s="2094">
        <f t="shared" si="41"/>
        <v>0</v>
      </c>
      <c r="N26" s="2094">
        <f t="shared" si="41"/>
        <v>0</v>
      </c>
      <c r="O26" s="2094">
        <f t="shared" si="41"/>
        <v>0</v>
      </c>
      <c r="P26" s="2112">
        <f t="shared" si="4"/>
        <v>0</v>
      </c>
      <c r="Q26" s="2110">
        <f t="shared" ref="Q26:Q31" si="42">IF(ISERROR(VLOOKUP(VALUE(Q$2&amp;$B26),Sheet_Trialbal,10,0)),0,VLOOKUP(VALUE(Q$2&amp;$B26),Sheet_Trialbal,10,0))</f>
        <v>0</v>
      </c>
      <c r="R26" s="2095">
        <f t="shared" ref="R26:T31" ca="1" si="43">IF(ISERROR(VLOOKUP(R$2&amp;$B26,Sheet_Trialbal,10,0)),0,VLOOKUP(R$2&amp;$B26,Sheet_Trialbal,10,0))</f>
        <v>0</v>
      </c>
      <c r="S26" s="2095">
        <f t="shared" ca="1" si="43"/>
        <v>0</v>
      </c>
      <c r="T26" s="2095">
        <f t="shared" ca="1" si="43"/>
        <v>0</v>
      </c>
      <c r="U26" s="2095">
        <f t="shared" ref="U26:V31" si="44">IF(ISERROR(VLOOKUP(VALUE(U$2&amp;$B26),Sheet_Trialbal,10,0)),0,VLOOKUP(VALUE(U$2&amp;$B26),Sheet_Trialbal,10,0))</f>
        <v>0</v>
      </c>
      <c r="V26" s="2095">
        <f t="shared" si="44"/>
        <v>0</v>
      </c>
      <c r="W26" s="2095">
        <f t="shared" ref="W26:W31" ca="1" si="45">IF(ISERROR(VLOOKUP(W$2&amp;$B26,Sheet_Trialbal,10,0)),0,VLOOKUP(W$2&amp;$B26,Sheet_Trialbal,10,0))</f>
        <v>0</v>
      </c>
      <c r="X26" s="2095">
        <f t="shared" ref="X26:AB31" si="46">IF(ISERROR(VLOOKUP(VALUE(X$2&amp;$B26),Sheet_Trialbal,10,0)),0,VLOOKUP(VALUE(X$2&amp;$B26),Sheet_Trialbal,10,0))</f>
        <v>0</v>
      </c>
      <c r="Y26" s="2095">
        <f t="shared" si="46"/>
        <v>0</v>
      </c>
      <c r="Z26" s="2095">
        <f t="shared" si="46"/>
        <v>0</v>
      </c>
      <c r="AA26" s="2095">
        <f t="shared" si="46"/>
        <v>0</v>
      </c>
      <c r="AB26" s="2095">
        <f t="shared" si="46"/>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37"/>
        <v>0</v>
      </c>
      <c r="E27" s="2094">
        <f t="shared" si="38"/>
        <v>0</v>
      </c>
      <c r="F27" s="2094">
        <f t="shared" si="38"/>
        <v>0</v>
      </c>
      <c r="G27" s="2094">
        <f t="shared" si="38"/>
        <v>0</v>
      </c>
      <c r="H27" s="2094">
        <f t="shared" si="39"/>
        <v>0</v>
      </c>
      <c r="I27" s="2094">
        <f t="shared" si="39"/>
        <v>0</v>
      </c>
      <c r="J27" s="2094">
        <f t="shared" si="40"/>
        <v>0</v>
      </c>
      <c r="K27" s="2094">
        <f t="shared" si="41"/>
        <v>0</v>
      </c>
      <c r="L27" s="2094">
        <f t="shared" si="41"/>
        <v>0</v>
      </c>
      <c r="M27" s="2094">
        <f t="shared" si="41"/>
        <v>0</v>
      </c>
      <c r="N27" s="2094">
        <f t="shared" si="41"/>
        <v>0</v>
      </c>
      <c r="O27" s="2094">
        <f t="shared" si="41"/>
        <v>0</v>
      </c>
      <c r="P27" s="2112">
        <f t="shared" si="4"/>
        <v>0</v>
      </c>
      <c r="Q27" s="2110">
        <f t="shared" si="42"/>
        <v>0</v>
      </c>
      <c r="R27" s="2095">
        <f t="shared" ca="1" si="43"/>
        <v>0</v>
      </c>
      <c r="S27" s="2095">
        <f t="shared" ca="1" si="43"/>
        <v>0</v>
      </c>
      <c r="T27" s="2095">
        <f t="shared" ca="1" si="43"/>
        <v>0</v>
      </c>
      <c r="U27" s="2095">
        <f t="shared" si="44"/>
        <v>0</v>
      </c>
      <c r="V27" s="2095">
        <f t="shared" si="44"/>
        <v>0</v>
      </c>
      <c r="W27" s="2095">
        <f t="shared" ca="1" si="45"/>
        <v>0</v>
      </c>
      <c r="X27" s="2095">
        <f t="shared" si="46"/>
        <v>0</v>
      </c>
      <c r="Y27" s="2095">
        <f t="shared" si="46"/>
        <v>0</v>
      </c>
      <c r="Z27" s="2095">
        <f t="shared" si="46"/>
        <v>0</v>
      </c>
      <c r="AA27" s="2095">
        <f t="shared" si="46"/>
        <v>0</v>
      </c>
      <c r="AB27" s="2095">
        <f t="shared" si="46"/>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37"/>
        <v>0</v>
      </c>
      <c r="E28" s="2094">
        <f t="shared" si="38"/>
        <v>0</v>
      </c>
      <c r="F28" s="2094">
        <f t="shared" si="38"/>
        <v>0</v>
      </c>
      <c r="G28" s="2094">
        <f t="shared" si="38"/>
        <v>0</v>
      </c>
      <c r="H28" s="2094">
        <f t="shared" si="39"/>
        <v>0</v>
      </c>
      <c r="I28" s="2094">
        <f t="shared" si="39"/>
        <v>0</v>
      </c>
      <c r="J28" s="2094">
        <f t="shared" si="40"/>
        <v>0</v>
      </c>
      <c r="K28" s="2094">
        <f t="shared" si="41"/>
        <v>0</v>
      </c>
      <c r="L28" s="2094">
        <f t="shared" si="41"/>
        <v>0</v>
      </c>
      <c r="M28" s="2094">
        <f t="shared" si="41"/>
        <v>0</v>
      </c>
      <c r="N28" s="2094">
        <f t="shared" si="41"/>
        <v>0</v>
      </c>
      <c r="O28" s="2094">
        <f t="shared" si="41"/>
        <v>0</v>
      </c>
      <c r="P28" s="2112">
        <f t="shared" si="4"/>
        <v>0</v>
      </c>
      <c r="Q28" s="2110">
        <f t="shared" si="42"/>
        <v>0</v>
      </c>
      <c r="R28" s="2095">
        <f t="shared" ca="1" si="43"/>
        <v>0</v>
      </c>
      <c r="S28" s="2095">
        <f t="shared" ca="1" si="43"/>
        <v>0</v>
      </c>
      <c r="T28" s="2095">
        <f t="shared" ca="1" si="43"/>
        <v>0</v>
      </c>
      <c r="U28" s="2095">
        <f t="shared" si="44"/>
        <v>0</v>
      </c>
      <c r="V28" s="2095">
        <f t="shared" si="44"/>
        <v>0</v>
      </c>
      <c r="W28" s="2095">
        <f t="shared" ca="1" si="45"/>
        <v>0</v>
      </c>
      <c r="X28" s="2095">
        <f t="shared" si="46"/>
        <v>0</v>
      </c>
      <c r="Y28" s="2095">
        <f t="shared" si="46"/>
        <v>0</v>
      </c>
      <c r="Z28" s="2095">
        <f t="shared" si="46"/>
        <v>0</v>
      </c>
      <c r="AA28" s="2095">
        <f t="shared" si="46"/>
        <v>0</v>
      </c>
      <c r="AB28" s="2095">
        <f t="shared" si="46"/>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37"/>
        <v>0</v>
      </c>
      <c r="E29" s="2094">
        <f t="shared" si="38"/>
        <v>0</v>
      </c>
      <c r="F29" s="2094">
        <f t="shared" si="38"/>
        <v>0</v>
      </c>
      <c r="G29" s="2094">
        <f t="shared" si="38"/>
        <v>0</v>
      </c>
      <c r="H29" s="2094">
        <f t="shared" si="39"/>
        <v>0</v>
      </c>
      <c r="I29" s="2094">
        <f t="shared" si="39"/>
        <v>0</v>
      </c>
      <c r="J29" s="2094">
        <f t="shared" si="40"/>
        <v>0</v>
      </c>
      <c r="K29" s="2094">
        <f t="shared" si="41"/>
        <v>0</v>
      </c>
      <c r="L29" s="2094">
        <f t="shared" si="41"/>
        <v>0</v>
      </c>
      <c r="M29" s="2094">
        <f t="shared" si="41"/>
        <v>0</v>
      </c>
      <c r="N29" s="2094">
        <f t="shared" si="41"/>
        <v>0</v>
      </c>
      <c r="O29" s="2094">
        <f t="shared" si="41"/>
        <v>0</v>
      </c>
      <c r="P29" s="2112">
        <f t="shared" si="4"/>
        <v>0</v>
      </c>
      <c r="Q29" s="2110">
        <f t="shared" si="42"/>
        <v>0</v>
      </c>
      <c r="R29" s="2095">
        <f t="shared" ca="1" si="43"/>
        <v>0</v>
      </c>
      <c r="S29" s="2095">
        <f t="shared" ca="1" si="43"/>
        <v>0</v>
      </c>
      <c r="T29" s="2095">
        <f t="shared" ca="1" si="43"/>
        <v>0</v>
      </c>
      <c r="U29" s="2095">
        <f t="shared" si="44"/>
        <v>0</v>
      </c>
      <c r="V29" s="2095">
        <f t="shared" si="44"/>
        <v>0</v>
      </c>
      <c r="W29" s="2095">
        <f t="shared" ca="1" si="45"/>
        <v>0</v>
      </c>
      <c r="X29" s="2095">
        <f t="shared" si="46"/>
        <v>0</v>
      </c>
      <c r="Y29" s="2095">
        <f t="shared" si="46"/>
        <v>0</v>
      </c>
      <c r="Z29" s="2095">
        <f t="shared" si="46"/>
        <v>0</v>
      </c>
      <c r="AA29" s="2095">
        <f t="shared" si="46"/>
        <v>0</v>
      </c>
      <c r="AB29" s="2095">
        <f t="shared" si="46"/>
        <v>0</v>
      </c>
      <c r="AC29" s="2096">
        <f t="shared" ca="1" si="8"/>
        <v>0</v>
      </c>
      <c r="AD29" s="1801"/>
      <c r="AE29" s="1801"/>
      <c r="AF29" s="1801"/>
      <c r="AG29" s="1801"/>
    </row>
    <row r="30" spans="1:33" ht="21.95" customHeight="1">
      <c r="A30" s="2834"/>
      <c r="B30" s="2835" t="s">
        <v>5844</v>
      </c>
      <c r="C30" s="2103" t="str">
        <f>VLOOKUP(VALUE($P$2&amp;$B30),Sheet_Items,7,0)</f>
        <v>其他综合收益结转留存收益</v>
      </c>
      <c r="D30" s="2094">
        <f t="shared" si="37"/>
        <v>0</v>
      </c>
      <c r="E30" s="2094">
        <f t="shared" si="38"/>
        <v>0</v>
      </c>
      <c r="F30" s="2094">
        <f t="shared" si="38"/>
        <v>0</v>
      </c>
      <c r="G30" s="2094">
        <f t="shared" si="38"/>
        <v>0</v>
      </c>
      <c r="H30" s="2094">
        <f t="shared" si="39"/>
        <v>0</v>
      </c>
      <c r="I30" s="2094">
        <f t="shared" si="39"/>
        <v>0</v>
      </c>
      <c r="J30" s="2094">
        <f t="shared" si="40"/>
        <v>0</v>
      </c>
      <c r="K30" s="2094">
        <f t="shared" si="41"/>
        <v>0</v>
      </c>
      <c r="L30" s="2094">
        <f t="shared" si="41"/>
        <v>0</v>
      </c>
      <c r="M30" s="2094">
        <f t="shared" si="41"/>
        <v>0</v>
      </c>
      <c r="N30" s="2094">
        <f t="shared" si="41"/>
        <v>0</v>
      </c>
      <c r="O30" s="2094">
        <f t="shared" si="41"/>
        <v>0</v>
      </c>
      <c r="P30" s="2112">
        <f t="shared" si="4"/>
        <v>0</v>
      </c>
      <c r="Q30" s="2110">
        <f t="shared" si="42"/>
        <v>0</v>
      </c>
      <c r="R30" s="2095">
        <f t="shared" ca="1" si="43"/>
        <v>0</v>
      </c>
      <c r="S30" s="2095">
        <f t="shared" ca="1" si="43"/>
        <v>0</v>
      </c>
      <c r="T30" s="2095">
        <f t="shared" ca="1" si="43"/>
        <v>0</v>
      </c>
      <c r="U30" s="2095">
        <f t="shared" si="44"/>
        <v>0</v>
      </c>
      <c r="V30" s="2095">
        <f t="shared" si="44"/>
        <v>0</v>
      </c>
      <c r="W30" s="2095">
        <f t="shared" ca="1" si="45"/>
        <v>0</v>
      </c>
      <c r="X30" s="2095">
        <f t="shared" si="46"/>
        <v>0</v>
      </c>
      <c r="Y30" s="2095">
        <f t="shared" si="46"/>
        <v>0</v>
      </c>
      <c r="Z30" s="2095">
        <f t="shared" si="46"/>
        <v>0</v>
      </c>
      <c r="AA30" s="2095">
        <f t="shared" si="46"/>
        <v>0</v>
      </c>
      <c r="AB30" s="2095">
        <f t="shared" si="46"/>
        <v>0</v>
      </c>
      <c r="AC30" s="2096">
        <f t="shared" ca="1" si="8"/>
        <v>0</v>
      </c>
      <c r="AD30" s="1801"/>
      <c r="AE30" s="1801"/>
      <c r="AF30" s="1801"/>
      <c r="AG30" s="1801"/>
    </row>
    <row r="31" spans="1:33" ht="21.95" customHeight="1">
      <c r="A31" s="2834"/>
      <c r="B31" s="2835" t="s">
        <v>2641</v>
      </c>
      <c r="C31" s="2104" t="str">
        <f>VLOOKUP(VALUE($P$2&amp;$B31),Sheet_Items,7,0)</f>
        <v>其他</v>
      </c>
      <c r="D31" s="2094">
        <f t="shared" si="37"/>
        <v>0</v>
      </c>
      <c r="E31" s="2094">
        <f t="shared" si="38"/>
        <v>0</v>
      </c>
      <c r="F31" s="2094">
        <f t="shared" si="38"/>
        <v>0</v>
      </c>
      <c r="G31" s="2094">
        <f t="shared" si="38"/>
        <v>0</v>
      </c>
      <c r="H31" s="2094">
        <f t="shared" si="39"/>
        <v>0</v>
      </c>
      <c r="I31" s="2094">
        <f t="shared" si="39"/>
        <v>0</v>
      </c>
      <c r="J31" s="2094">
        <f t="shared" si="40"/>
        <v>0</v>
      </c>
      <c r="K31" s="2094">
        <f t="shared" si="41"/>
        <v>0</v>
      </c>
      <c r="L31" s="2094">
        <f t="shared" si="41"/>
        <v>0</v>
      </c>
      <c r="M31" s="2094">
        <f t="shared" si="41"/>
        <v>0</v>
      </c>
      <c r="N31" s="2094">
        <f t="shared" si="41"/>
        <v>0</v>
      </c>
      <c r="O31" s="2094">
        <f t="shared" si="41"/>
        <v>0</v>
      </c>
      <c r="P31" s="2112">
        <f t="shared" si="4"/>
        <v>0</v>
      </c>
      <c r="Q31" s="2110">
        <f t="shared" si="42"/>
        <v>0</v>
      </c>
      <c r="R31" s="2095">
        <f t="shared" ca="1" si="43"/>
        <v>0</v>
      </c>
      <c r="S31" s="2095">
        <f t="shared" ca="1" si="43"/>
        <v>0</v>
      </c>
      <c r="T31" s="2095">
        <f t="shared" ca="1" si="43"/>
        <v>0</v>
      </c>
      <c r="U31" s="2095">
        <f t="shared" si="44"/>
        <v>0</v>
      </c>
      <c r="V31" s="2095">
        <f t="shared" si="44"/>
        <v>0</v>
      </c>
      <c r="W31" s="2095">
        <f t="shared" ca="1" si="45"/>
        <v>0</v>
      </c>
      <c r="X31" s="2095">
        <f t="shared" si="46"/>
        <v>0</v>
      </c>
      <c r="Y31" s="2095">
        <f t="shared" si="46"/>
        <v>0</v>
      </c>
      <c r="Z31" s="2095">
        <f t="shared" si="46"/>
        <v>0</v>
      </c>
      <c r="AA31" s="2095">
        <f t="shared" si="46"/>
        <v>0</v>
      </c>
      <c r="AB31" s="2095">
        <f t="shared" si="46"/>
        <v>0</v>
      </c>
      <c r="AC31" s="2096">
        <f t="shared" ca="1" si="8"/>
        <v>0</v>
      </c>
      <c r="AD31" s="1801"/>
      <c r="AE31" s="1801"/>
      <c r="AF31" s="1801"/>
      <c r="AG31" s="1801"/>
    </row>
    <row r="32" spans="1:33" ht="21.95" customHeight="1">
      <c r="A32" s="2834" t="s">
        <v>287</v>
      </c>
      <c r="B32" s="2835" t="s">
        <v>5789</v>
      </c>
      <c r="C32" s="2097" t="str">
        <f>VLOOKUP(VALUE($P$2&amp;$B32),Sheet_Items,7,0)</f>
        <v>（五）专项储备</v>
      </c>
      <c r="D32" s="2094">
        <f t="shared" ref="D32:O32" si="47">SUM(D33:D34)</f>
        <v>0</v>
      </c>
      <c r="E32" s="2094">
        <f t="shared" si="47"/>
        <v>0</v>
      </c>
      <c r="F32" s="2094">
        <f t="shared" si="47"/>
        <v>0</v>
      </c>
      <c r="G32" s="2094">
        <f t="shared" si="47"/>
        <v>0</v>
      </c>
      <c r="H32" s="2094">
        <f t="shared" si="47"/>
        <v>0</v>
      </c>
      <c r="I32" s="2094">
        <f t="shared" si="47"/>
        <v>0</v>
      </c>
      <c r="J32" s="2094">
        <f t="shared" si="47"/>
        <v>0</v>
      </c>
      <c r="K32" s="2094">
        <f t="shared" si="47"/>
        <v>-3833037.43</v>
      </c>
      <c r="L32" s="2094">
        <f t="shared" si="47"/>
        <v>0</v>
      </c>
      <c r="M32" s="2094">
        <f t="shared" ref="M32" si="48">SUM(M33:M34)</f>
        <v>0</v>
      </c>
      <c r="N32" s="2094">
        <f t="shared" si="47"/>
        <v>0</v>
      </c>
      <c r="O32" s="2094">
        <f t="shared" si="47"/>
        <v>0</v>
      </c>
      <c r="P32" s="2112">
        <f t="shared" si="4"/>
        <v>-3833037.43</v>
      </c>
      <c r="Q32" s="2110">
        <f t="shared" ref="Q32:AB32" si="49">SUM(Q33:Q34)</f>
        <v>0</v>
      </c>
      <c r="R32" s="2095">
        <f t="shared" ca="1" si="49"/>
        <v>0</v>
      </c>
      <c r="S32" s="2095">
        <f t="shared" ca="1" si="49"/>
        <v>0</v>
      </c>
      <c r="T32" s="2095">
        <f t="shared" ca="1" si="49"/>
        <v>0</v>
      </c>
      <c r="U32" s="2095">
        <f t="shared" si="49"/>
        <v>0</v>
      </c>
      <c r="V32" s="2095">
        <f t="shared" si="49"/>
        <v>0</v>
      </c>
      <c r="W32" s="2095">
        <f t="shared" ca="1" si="49"/>
        <v>0</v>
      </c>
      <c r="X32" s="2095">
        <f t="shared" si="49"/>
        <v>1748583.41</v>
      </c>
      <c r="Y32" s="2095">
        <f t="shared" si="49"/>
        <v>0</v>
      </c>
      <c r="Z32" s="2095">
        <f t="shared" ref="Z32" si="50">SUM(Z33:Z34)</f>
        <v>0</v>
      </c>
      <c r="AA32" s="2095">
        <f t="shared" si="49"/>
        <v>0</v>
      </c>
      <c r="AB32" s="2095">
        <f t="shared" si="49"/>
        <v>0</v>
      </c>
      <c r="AC32" s="2096">
        <f t="shared" ca="1" si="8"/>
        <v>1748583.41</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51">IF(ISERROR(VLOOKUP(E$2&amp;$B33,Sheet_Trialbal,6,0)),0,VLOOKUP(E$2&amp;$B33,Sheet_Trialbal,6,0))</f>
        <v>0</v>
      </c>
      <c r="F33" s="2094">
        <f t="shared" si="51"/>
        <v>0</v>
      </c>
      <c r="G33" s="2094">
        <f t="shared" si="51"/>
        <v>0</v>
      </c>
      <c r="H33" s="2094">
        <f t="shared" ref="H33:I35" si="52">IF(ISERROR(VLOOKUP(VALUE(H$2&amp;$B33),Sheet_Trialbal,6,0)),0,VLOOKUP(VALUE(H$2&amp;$B33),Sheet_Trialbal,6,0))</f>
        <v>0</v>
      </c>
      <c r="I33" s="2094">
        <f t="shared" si="52"/>
        <v>0</v>
      </c>
      <c r="J33" s="2094">
        <f>IF(ISERROR(VLOOKUP(J$2&amp;$B33,Sheet_Trialbal,6,0)),0,VLOOKUP(J$2&amp;$B33,Sheet_Trialbal,6,0))</f>
        <v>0</v>
      </c>
      <c r="K33" s="2094">
        <f t="shared" ref="K33:O35" si="53">IF(ISERROR(VLOOKUP(VALUE(K$2&amp;$B33),Sheet_Trialbal,6,0)),0,VLOOKUP(VALUE(K$2&amp;$B33),Sheet_Trialbal,6,0))</f>
        <v>3399381.78</v>
      </c>
      <c r="L33" s="2094">
        <f t="shared" si="53"/>
        <v>0</v>
      </c>
      <c r="M33" s="2094">
        <f t="shared" si="53"/>
        <v>0</v>
      </c>
      <c r="N33" s="2094">
        <f t="shared" si="53"/>
        <v>0</v>
      </c>
      <c r="O33" s="2094">
        <f t="shared" si="53"/>
        <v>0</v>
      </c>
      <c r="P33" s="2112">
        <f t="shared" si="4"/>
        <v>3399381.78</v>
      </c>
      <c r="Q33" s="2110">
        <f>IF(ISERROR(VLOOKUP(VALUE(Q$2&amp;$B33),Sheet_Trialbal,10,0)),0,VLOOKUP(VALUE(Q$2&amp;$B33),Sheet_Trialbal,10,0))</f>
        <v>0</v>
      </c>
      <c r="R33" s="2095">
        <f t="shared" ref="R33:T35" ca="1" si="54">IF(ISERROR(VLOOKUP(R$2&amp;$B33,Sheet_Trialbal,10,0)),0,VLOOKUP(R$2&amp;$B33,Sheet_Trialbal,10,0))</f>
        <v>0</v>
      </c>
      <c r="S33" s="2095">
        <f t="shared" ca="1" si="54"/>
        <v>0</v>
      </c>
      <c r="T33" s="2095">
        <f t="shared" ca="1" si="54"/>
        <v>0</v>
      </c>
      <c r="U33" s="2095">
        <f t="shared" ref="U33:V35" si="55">IF(ISERROR(VLOOKUP(VALUE(U$2&amp;$B33),Sheet_Trialbal,10,0)),0,VLOOKUP(VALUE(U$2&amp;$B33),Sheet_Trialbal,10,0))</f>
        <v>0</v>
      </c>
      <c r="V33" s="2095">
        <f t="shared" si="55"/>
        <v>0</v>
      </c>
      <c r="W33" s="2095">
        <f ca="1">IF(ISERROR(VLOOKUP(W$2&amp;$B33,Sheet_Trialbal,10,0)),0,VLOOKUP(W$2&amp;$B33,Sheet_Trialbal,10,0))</f>
        <v>0</v>
      </c>
      <c r="X33" s="2095">
        <f t="shared" ref="X33:AB35" si="56">IF(ISERROR(VLOOKUP(VALUE(X$2&amp;$B33),Sheet_Trialbal,10,0)),0,VLOOKUP(VALUE(X$2&amp;$B33),Sheet_Trialbal,10,0))</f>
        <v>2774044.47</v>
      </c>
      <c r="Y33" s="2095">
        <f t="shared" si="56"/>
        <v>0</v>
      </c>
      <c r="Z33" s="2095">
        <f t="shared" si="56"/>
        <v>0</v>
      </c>
      <c r="AA33" s="2095">
        <f t="shared" si="56"/>
        <v>0</v>
      </c>
      <c r="AB33" s="2095">
        <f t="shared" si="56"/>
        <v>0</v>
      </c>
      <c r="AC33" s="2096">
        <f t="shared" ca="1" si="8"/>
        <v>2774044.47</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51"/>
        <v>0</v>
      </c>
      <c r="F34" s="2094">
        <f t="shared" si="51"/>
        <v>0</v>
      </c>
      <c r="G34" s="2094">
        <f t="shared" si="51"/>
        <v>0</v>
      </c>
      <c r="H34" s="2094">
        <f t="shared" si="52"/>
        <v>0</v>
      </c>
      <c r="I34" s="2094">
        <f t="shared" si="52"/>
        <v>0</v>
      </c>
      <c r="J34" s="2094">
        <f>IF(ISERROR(VLOOKUP(J$2&amp;$B34,Sheet_Trialbal,6,0)),0,VLOOKUP(J$2&amp;$B34,Sheet_Trialbal,6,0))</f>
        <v>0</v>
      </c>
      <c r="K34" s="2094">
        <f t="shared" si="53"/>
        <v>-7232419.21</v>
      </c>
      <c r="L34" s="2094">
        <f t="shared" si="53"/>
        <v>0</v>
      </c>
      <c r="M34" s="2094">
        <f t="shared" si="53"/>
        <v>0</v>
      </c>
      <c r="N34" s="2094">
        <f t="shared" si="53"/>
        <v>0</v>
      </c>
      <c r="O34" s="2094">
        <f t="shared" si="53"/>
        <v>0</v>
      </c>
      <c r="P34" s="2112">
        <f t="shared" si="4"/>
        <v>-7232419.21</v>
      </c>
      <c r="Q34" s="2110">
        <f>IF(ISERROR(VLOOKUP(VALUE(Q$2&amp;$B34),Sheet_Trialbal,10,0)),0,VLOOKUP(VALUE(Q$2&amp;$B34),Sheet_Trialbal,10,0))</f>
        <v>0</v>
      </c>
      <c r="R34" s="2095">
        <f t="shared" ca="1" si="54"/>
        <v>0</v>
      </c>
      <c r="S34" s="2095">
        <f t="shared" ca="1" si="54"/>
        <v>0</v>
      </c>
      <c r="T34" s="2095">
        <f t="shared" ca="1" si="54"/>
        <v>0</v>
      </c>
      <c r="U34" s="2095">
        <f t="shared" si="55"/>
        <v>0</v>
      </c>
      <c r="V34" s="2095">
        <f t="shared" si="55"/>
        <v>0</v>
      </c>
      <c r="W34" s="2095">
        <f ca="1">IF(ISERROR(VLOOKUP(W$2&amp;$B34,Sheet_Trialbal,10,0)),0,VLOOKUP(W$2&amp;$B34,Sheet_Trialbal,10,0))</f>
        <v>0</v>
      </c>
      <c r="X34" s="2095">
        <f t="shared" si="56"/>
        <v>-1025461.06</v>
      </c>
      <c r="Y34" s="2095">
        <f t="shared" si="56"/>
        <v>0</v>
      </c>
      <c r="Z34" s="2095">
        <f t="shared" si="56"/>
        <v>0</v>
      </c>
      <c r="AA34" s="2095">
        <f t="shared" si="56"/>
        <v>0</v>
      </c>
      <c r="AB34" s="2095">
        <f t="shared" si="56"/>
        <v>0</v>
      </c>
      <c r="AC34" s="2096">
        <f t="shared" ca="1" si="8"/>
        <v>-1025461.06</v>
      </c>
      <c r="AD34" s="1801"/>
      <c r="AE34" s="1801"/>
      <c r="AF34" s="1801"/>
      <c r="AG34" s="1801"/>
    </row>
    <row r="35" spans="1:33" ht="21.95" customHeight="1">
      <c r="A35" s="2834"/>
      <c r="B35" s="2836" t="s">
        <v>5796</v>
      </c>
      <c r="C35" s="2097" t="str">
        <f>VLOOKUP(VALUE($P$2&amp;$B35),Sheet_Items,7,0)</f>
        <v>（六）其他</v>
      </c>
      <c r="D35" s="2094">
        <f>IF(ISERROR(VLOOKUP(VALUE(D$2&amp;$B35),Sheet_Trialbal,6,0)),0,VLOOKUP(VALUE(D$2&amp;$B35),Sheet_Trialbal,6,0))</f>
        <v>0</v>
      </c>
      <c r="E35" s="2094">
        <f t="shared" si="51"/>
        <v>0</v>
      </c>
      <c r="F35" s="2094">
        <f t="shared" si="51"/>
        <v>0</v>
      </c>
      <c r="G35" s="2094">
        <f t="shared" si="51"/>
        <v>0</v>
      </c>
      <c r="H35" s="2094">
        <f t="shared" si="52"/>
        <v>0</v>
      </c>
      <c r="I35" s="2094">
        <f t="shared" si="52"/>
        <v>0</v>
      </c>
      <c r="J35" s="2094">
        <f>IF(ISERROR(VLOOKUP(J$2&amp;$B35,Sheet_Trialbal,6,0)),0,VLOOKUP(J$2&amp;$B35,Sheet_Trialbal,6,0))</f>
        <v>0</v>
      </c>
      <c r="K35" s="2094">
        <f t="shared" si="53"/>
        <v>0</v>
      </c>
      <c r="L35" s="2094">
        <f t="shared" si="53"/>
        <v>0</v>
      </c>
      <c r="M35" s="2094">
        <f t="shared" si="53"/>
        <v>0</v>
      </c>
      <c r="N35" s="2094">
        <f t="shared" si="53"/>
        <v>0</v>
      </c>
      <c r="O35" s="2094">
        <f t="shared" si="53"/>
        <v>0</v>
      </c>
      <c r="P35" s="2112">
        <f t="shared" si="4"/>
        <v>0</v>
      </c>
      <c r="Q35" s="2110">
        <f>IF(ISERROR(VLOOKUP(VALUE(Q$2&amp;$B35),Sheet_Trialbal,10,0)),0,VLOOKUP(VALUE(Q$2&amp;$B35),Sheet_Trialbal,10,0))</f>
        <v>0</v>
      </c>
      <c r="R35" s="2095">
        <f t="shared" ca="1" si="54"/>
        <v>0</v>
      </c>
      <c r="S35" s="2095">
        <f t="shared" ca="1" si="54"/>
        <v>0</v>
      </c>
      <c r="T35" s="2095">
        <f t="shared" ca="1" si="54"/>
        <v>0</v>
      </c>
      <c r="U35" s="2095">
        <f t="shared" si="55"/>
        <v>0</v>
      </c>
      <c r="V35" s="2095">
        <f t="shared" si="55"/>
        <v>0</v>
      </c>
      <c r="W35" s="2095">
        <f ca="1">IF(ISERROR(VLOOKUP(W$2&amp;$B35,Sheet_Trialbal,10,0)),0,VLOOKUP(W$2&amp;$B35,Sheet_Trialbal,10,0))</f>
        <v>0</v>
      </c>
      <c r="X35" s="2095">
        <f t="shared" si="56"/>
        <v>0</v>
      </c>
      <c r="Y35" s="2095">
        <f t="shared" si="56"/>
        <v>0</v>
      </c>
      <c r="Z35" s="2095">
        <f t="shared" si="56"/>
        <v>0</v>
      </c>
      <c r="AA35" s="2095">
        <f t="shared" si="56"/>
        <v>0</v>
      </c>
      <c r="AB35" s="2095">
        <f t="shared" si="56"/>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57">SUM(D13,D14)</f>
        <v>85691911</v>
      </c>
      <c r="E36" s="2106">
        <f t="shared" si="57"/>
        <v>0</v>
      </c>
      <c r="F36" s="2106">
        <f t="shared" si="57"/>
        <v>0</v>
      </c>
      <c r="G36" s="2106">
        <f t="shared" si="57"/>
        <v>0</v>
      </c>
      <c r="H36" s="2106">
        <f t="shared" si="57"/>
        <v>238420255.88999999</v>
      </c>
      <c r="I36" s="2106">
        <f t="shared" si="57"/>
        <v>0</v>
      </c>
      <c r="J36" s="2106">
        <f t="shared" si="57"/>
        <v>0</v>
      </c>
      <c r="K36" s="2106">
        <f t="shared" si="57"/>
        <v>4545209.38</v>
      </c>
      <c r="L36" s="2106">
        <f t="shared" si="57"/>
        <v>4637867.0999999996</v>
      </c>
      <c r="M36" s="2106">
        <f t="shared" ref="M36" si="58">SUM(M13,M14)</f>
        <v>0</v>
      </c>
      <c r="N36" s="2106">
        <f t="shared" si="57"/>
        <v>-158918582.90000001</v>
      </c>
      <c r="O36" s="2106">
        <f t="shared" si="57"/>
        <v>0</v>
      </c>
      <c r="P36" s="2113">
        <f t="shared" si="57"/>
        <v>174376660.47</v>
      </c>
      <c r="Q36" s="2111">
        <f t="shared" si="57"/>
        <v>85691911</v>
      </c>
      <c r="R36" s="2107">
        <f t="shared" ca="1" si="57"/>
        <v>0</v>
      </c>
      <c r="S36" s="2107">
        <f t="shared" ca="1" si="57"/>
        <v>0</v>
      </c>
      <c r="T36" s="2107">
        <f t="shared" ca="1" si="57"/>
        <v>0</v>
      </c>
      <c r="U36" s="2107">
        <f t="shared" si="57"/>
        <v>238420255.88999999</v>
      </c>
      <c r="V36" s="2107">
        <f t="shared" si="57"/>
        <v>0</v>
      </c>
      <c r="W36" s="2107">
        <f t="shared" ca="1" si="57"/>
        <v>0</v>
      </c>
      <c r="X36" s="2107">
        <f t="shared" si="57"/>
        <v>8378246.8099999996</v>
      </c>
      <c r="Y36" s="2107">
        <f t="shared" si="57"/>
        <v>4637867.0999999996</v>
      </c>
      <c r="Z36" s="2107">
        <f t="shared" ref="Z36" si="59">SUM(Z13,Z14)</f>
        <v>0</v>
      </c>
      <c r="AA36" s="2107">
        <f t="shared" si="57"/>
        <v>-145316230.15000001</v>
      </c>
      <c r="AB36" s="2107">
        <f t="shared" si="57"/>
        <v>0</v>
      </c>
      <c r="AC36" s="2108">
        <f t="shared" ca="1" si="57"/>
        <v>191812050.65000001</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5822</v>
      </c>
      <c r="D41" s="1965"/>
      <c r="E41" s="1965"/>
      <c r="F41" s="1965"/>
      <c r="G41" s="1965"/>
      <c r="H41" s="1966"/>
      <c r="I41" s="1966"/>
      <c r="J41" s="1966"/>
      <c r="K41" s="1966"/>
      <c r="L41" s="1966"/>
      <c r="M41" s="1966"/>
      <c r="N41" s="1966"/>
      <c r="O41" s="1967" t="s">
        <v>47</v>
      </c>
      <c r="P41" s="1966"/>
      <c r="Q41" s="1968" t="s">
        <v>5839</v>
      </c>
      <c r="R41" s="1968" t="s">
        <v>2610</v>
      </c>
      <c r="S41" s="1968" t="s">
        <v>2611</v>
      </c>
      <c r="T41" s="1968" t="s">
        <v>2612</v>
      </c>
      <c r="U41" s="1969" t="s">
        <v>592</v>
      </c>
      <c r="V41" s="1969" t="s">
        <v>682</v>
      </c>
      <c r="W41" s="1969" t="s">
        <v>621</v>
      </c>
      <c r="X41" s="1969" t="s">
        <v>627</v>
      </c>
      <c r="Y41" s="1969" t="s">
        <v>602</v>
      </c>
      <c r="Z41" s="1969" t="s">
        <v>5871</v>
      </c>
      <c r="AA41" s="1969" t="s">
        <v>611</v>
      </c>
      <c r="AB41" s="1969" t="s">
        <v>932</v>
      </c>
      <c r="AC41" s="1970" t="s">
        <v>2614</v>
      </c>
      <c r="AD41" s="1971"/>
      <c r="AE41" s="1971"/>
      <c r="AF41" s="1971"/>
      <c r="AG41" s="1971"/>
    </row>
    <row r="42" spans="1:33" s="1972" customFormat="1" ht="18">
      <c r="A42" s="2877" t="s">
        <v>2565</v>
      </c>
      <c r="B42" s="2878"/>
      <c r="C42" s="1973" t="s">
        <v>5840</v>
      </c>
      <c r="D42" s="1974"/>
      <c r="E42" s="1974"/>
      <c r="F42" s="1974"/>
      <c r="G42" s="1974"/>
      <c r="H42" s="1974"/>
      <c r="I42" s="1974"/>
      <c r="J42" s="1974"/>
      <c r="K42" s="1974"/>
      <c r="L42" s="1975" t="s">
        <v>5824</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-54752.29</v>
      </c>
      <c r="D43" s="1974"/>
      <c r="E43" s="1974"/>
      <c r="F43" s="1974"/>
      <c r="G43" s="1974"/>
      <c r="H43" s="1974"/>
      <c r="I43" s="1974"/>
      <c r="J43" s="1974"/>
      <c r="K43" s="1974"/>
      <c r="L43" s="1978" t="str">
        <f>$C$13&amp;":"&amp;$D$6</f>
        <v>二、本年年初余额:2019年度</v>
      </c>
      <c r="M43" s="1978"/>
      <c r="N43" s="1976"/>
      <c r="O43" s="1976"/>
      <c r="P43" s="1891"/>
      <c r="Q43" s="1896">
        <f t="shared" ref="Q43:Z43" si="60">D13</f>
        <v>85691911</v>
      </c>
      <c r="R43" s="1896">
        <f t="shared" si="60"/>
        <v>0</v>
      </c>
      <c r="S43" s="1896">
        <f t="shared" si="60"/>
        <v>0</v>
      </c>
      <c r="T43" s="1896">
        <f t="shared" si="60"/>
        <v>0</v>
      </c>
      <c r="U43" s="1896">
        <f t="shared" si="60"/>
        <v>238420255.88999999</v>
      </c>
      <c r="V43" s="1896">
        <f t="shared" si="60"/>
        <v>0</v>
      </c>
      <c r="W43" s="1896">
        <f t="shared" si="60"/>
        <v>0</v>
      </c>
      <c r="X43" s="1896">
        <f t="shared" si="60"/>
        <v>8378246.8099999996</v>
      </c>
      <c r="Y43" s="1896">
        <f t="shared" si="60"/>
        <v>4637867.0999999996</v>
      </c>
      <c r="Z43" s="1896">
        <f t="shared" si="60"/>
        <v>0</v>
      </c>
      <c r="AA43" s="1896">
        <f t="shared" ref="AA43:AC43" si="61">N13</f>
        <v>-145370982.44</v>
      </c>
      <c r="AB43" s="1896">
        <f t="shared" si="61"/>
        <v>0</v>
      </c>
      <c r="AC43" s="1865">
        <f t="shared" si="61"/>
        <v>191757298.36000001</v>
      </c>
      <c r="AD43" s="1971"/>
      <c r="AE43" s="1971"/>
      <c r="AF43" s="1971"/>
      <c r="AG43" s="1971"/>
    </row>
    <row r="44" spans="1:33" s="1972" customFormat="1" ht="18">
      <c r="A44" s="2877" t="s">
        <v>2565</v>
      </c>
      <c r="B44" s="2878"/>
      <c r="C44" s="1979" t="str">
        <f ca="1">IF(C43=0,"Balanced","Diff "&amp;TEXT(ROUND(C43,2),"#,###.00"))</f>
        <v>Diff -54,752.29</v>
      </c>
      <c r="D44" s="1974"/>
      <c r="E44" s="1974"/>
      <c r="F44" s="1974"/>
      <c r="G44" s="1974"/>
      <c r="H44" s="1974"/>
      <c r="I44" s="1974"/>
      <c r="J44" s="1974"/>
      <c r="K44" s="1974"/>
      <c r="L44" s="1978" t="str">
        <f>$Q$6&amp;":"&amp;$C$36</f>
        <v>2018年度:四、本年年末余额</v>
      </c>
      <c r="M44" s="1978"/>
      <c r="N44" s="1976"/>
      <c r="O44" s="1976"/>
      <c r="P44" s="1891"/>
      <c r="Q44" s="1980">
        <f t="shared" ref="Q44:AC44" si="62">Q36</f>
        <v>85691911</v>
      </c>
      <c r="R44" s="1980">
        <f t="shared" ca="1" si="62"/>
        <v>0</v>
      </c>
      <c r="S44" s="1980">
        <f t="shared" ca="1" si="62"/>
        <v>0</v>
      </c>
      <c r="T44" s="1980">
        <f t="shared" ca="1" si="62"/>
        <v>0</v>
      </c>
      <c r="U44" s="1981">
        <f t="shared" si="62"/>
        <v>238420255.88999999</v>
      </c>
      <c r="V44" s="1981">
        <f t="shared" si="62"/>
        <v>0</v>
      </c>
      <c r="W44" s="1981">
        <f t="shared" ca="1" si="62"/>
        <v>0</v>
      </c>
      <c r="X44" s="1981">
        <f t="shared" si="62"/>
        <v>8378246.8099999996</v>
      </c>
      <c r="Y44" s="1981">
        <f t="shared" si="62"/>
        <v>4637867.0999999996</v>
      </c>
      <c r="Z44" s="1981">
        <f t="shared" si="62"/>
        <v>0</v>
      </c>
      <c r="AA44" s="1981">
        <f t="shared" si="62"/>
        <v>-145316230.15000001</v>
      </c>
      <c r="AB44" s="1981">
        <f t="shared" si="62"/>
        <v>0</v>
      </c>
      <c r="AC44" s="1897">
        <f t="shared" ca="1" si="62"/>
        <v>191812050.65000001</v>
      </c>
      <c r="AD44" s="1971"/>
      <c r="AE44" s="1971"/>
      <c r="AF44" s="1971"/>
      <c r="AG44" s="1971"/>
    </row>
    <row r="45" spans="1:33" s="1972" customFormat="1" ht="18.75" thickBot="1">
      <c r="A45" s="2877" t="s">
        <v>2565</v>
      </c>
      <c r="B45" s="2878"/>
      <c r="C45" s="1982" t="s">
        <v>5827</v>
      </c>
      <c r="D45" s="1974"/>
      <c r="E45" s="1974"/>
      <c r="F45" s="1974"/>
      <c r="G45" s="1974"/>
      <c r="H45" s="1974"/>
      <c r="I45" s="1974"/>
      <c r="J45" s="1974"/>
      <c r="K45" s="1974"/>
      <c r="L45" s="1983" t="s">
        <v>2580</v>
      </c>
      <c r="M45" s="1983"/>
      <c r="N45" s="1976"/>
      <c r="O45" s="1976"/>
      <c r="P45" s="1974"/>
      <c r="Q45" s="1900">
        <f t="shared" ref="Q45:AC45" si="63">ROUND(Q43-Q44,2)</f>
        <v>0</v>
      </c>
      <c r="R45" s="1900">
        <f t="shared" ca="1" si="63"/>
        <v>0</v>
      </c>
      <c r="S45" s="1900">
        <f t="shared" ca="1" si="63"/>
        <v>0</v>
      </c>
      <c r="T45" s="1900">
        <f t="shared" ca="1" si="63"/>
        <v>0</v>
      </c>
      <c r="U45" s="1984">
        <f t="shared" si="63"/>
        <v>0</v>
      </c>
      <c r="V45" s="1984">
        <f t="shared" si="63"/>
        <v>0</v>
      </c>
      <c r="W45" s="1984">
        <f t="shared" ca="1" si="63"/>
        <v>0</v>
      </c>
      <c r="X45" s="1984">
        <f t="shared" si="63"/>
        <v>0</v>
      </c>
      <c r="Y45" s="1984">
        <f t="shared" si="63"/>
        <v>0</v>
      </c>
      <c r="Z45" s="1984">
        <f t="shared" ref="Z45" si="64">ROUND(Z43-Z44,2)</f>
        <v>0</v>
      </c>
      <c r="AA45" s="1984">
        <f t="shared" si="63"/>
        <v>-54752.29</v>
      </c>
      <c r="AB45" s="1984">
        <f t="shared" si="63"/>
        <v>0</v>
      </c>
      <c r="AC45" s="1901">
        <f t="shared" ca="1" si="63"/>
        <v>-54752.29</v>
      </c>
      <c r="AD45" s="1971"/>
      <c r="AE45" s="1971"/>
      <c r="AF45" s="1971"/>
      <c r="AG45" s="1971"/>
    </row>
    <row r="46" spans="1:33" s="1972" customFormat="1" ht="18.75" thickTop="1">
      <c r="A46" s="2877" t="s">
        <v>2565</v>
      </c>
      <c r="B46" s="2878"/>
      <c r="C46" s="1982" t="s">
        <v>5827</v>
      </c>
      <c r="D46" s="1974"/>
      <c r="E46" s="1974"/>
      <c r="F46" s="1974"/>
      <c r="G46" s="1974"/>
      <c r="H46" s="1974"/>
      <c r="I46" s="1974"/>
      <c r="J46" s="1974"/>
      <c r="K46" s="1974"/>
      <c r="L46" s="1974"/>
      <c r="M46" s="1974"/>
      <c r="N46" s="1974"/>
      <c r="O46" s="1974"/>
      <c r="P46" s="1974"/>
      <c r="Q46" s="1903" t="str">
        <f t="shared" ref="Q46:AC46" si="65">IF(Q45=0,"√","×")</f>
        <v>√</v>
      </c>
      <c r="R46" s="1903" t="str">
        <f t="shared" ca="1" si="65"/>
        <v>√</v>
      </c>
      <c r="S46" s="1903" t="str">
        <f t="shared" ca="1" si="65"/>
        <v>√</v>
      </c>
      <c r="T46" s="1903" t="str">
        <f t="shared" ca="1" si="65"/>
        <v>√</v>
      </c>
      <c r="U46" s="1985" t="str">
        <f t="shared" si="65"/>
        <v>√</v>
      </c>
      <c r="V46" s="1985" t="str">
        <f t="shared" si="65"/>
        <v>√</v>
      </c>
      <c r="W46" s="1985" t="str">
        <f t="shared" ca="1" si="65"/>
        <v>√</v>
      </c>
      <c r="X46" s="1985" t="str">
        <f t="shared" si="65"/>
        <v>√</v>
      </c>
      <c r="Y46" s="1985" t="str">
        <f t="shared" si="65"/>
        <v>√</v>
      </c>
      <c r="Z46" s="1985" t="str">
        <f t="shared" ref="Z46" si="66">IF(Z45=0,"√","×")</f>
        <v>√</v>
      </c>
      <c r="AA46" s="1985" t="str">
        <f t="shared" si="65"/>
        <v>×</v>
      </c>
      <c r="AB46" s="1985" t="str">
        <f t="shared" si="65"/>
        <v>√</v>
      </c>
      <c r="AC46" s="1904" t="str">
        <f t="shared" ca="1" si="65"/>
        <v>×</v>
      </c>
      <c r="AD46" s="1971"/>
      <c r="AE46" s="1971"/>
      <c r="AF46" s="1971"/>
      <c r="AG46" s="1971"/>
    </row>
    <row r="47" spans="1:33" s="1972" customFormat="1" ht="18">
      <c r="A47" s="2877" t="s">
        <v>2565</v>
      </c>
      <c r="B47" s="2878"/>
      <c r="C47" s="1986" t="s">
        <v>5822</v>
      </c>
      <c r="D47" s="1987" t="s">
        <v>5838</v>
      </c>
      <c r="E47" s="1988"/>
      <c r="F47" s="1988"/>
      <c r="G47" s="1988"/>
      <c r="H47" s="1989"/>
      <c r="I47" s="1989"/>
      <c r="J47" s="1989"/>
      <c r="K47" s="1989"/>
      <c r="L47" s="1989"/>
      <c r="M47" s="1989"/>
      <c r="N47" s="1989"/>
      <c r="O47" s="1989"/>
      <c r="P47" s="1990"/>
      <c r="Q47" s="1991" t="s">
        <v>5841</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5871</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5871</v>
      </c>
      <c r="AA48" s="1994" t="s">
        <v>611</v>
      </c>
      <c r="AB48" s="1994" t="s">
        <v>932</v>
      </c>
      <c r="AC48" s="1997" t="s">
        <v>2614</v>
      </c>
      <c r="AD48" s="1971"/>
      <c r="AE48" s="1971"/>
      <c r="AF48" s="1971"/>
      <c r="AG48" s="1971"/>
    </row>
    <row r="49" spans="1:33" s="1972" customFormat="1" ht="18">
      <c r="A49" s="2877" t="s">
        <v>2565</v>
      </c>
      <c r="B49" s="2878"/>
      <c r="C49" s="1998" t="s">
        <v>5842</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67">D36</f>
        <v>85691911</v>
      </c>
      <c r="E50" s="1871">
        <f t="shared" si="67"/>
        <v>0</v>
      </c>
      <c r="F50" s="1871">
        <f t="shared" si="67"/>
        <v>0</v>
      </c>
      <c r="G50" s="1871">
        <f t="shared" si="67"/>
        <v>0</v>
      </c>
      <c r="H50" s="1871">
        <f t="shared" si="67"/>
        <v>238420255.88999999</v>
      </c>
      <c r="I50" s="1871">
        <f t="shared" si="67"/>
        <v>0</v>
      </c>
      <c r="J50" s="1871">
        <f t="shared" si="67"/>
        <v>0</v>
      </c>
      <c r="K50" s="1871">
        <f t="shared" si="67"/>
        <v>4545209.38</v>
      </c>
      <c r="L50" s="1871">
        <f t="shared" si="67"/>
        <v>4637867.0999999996</v>
      </c>
      <c r="M50" s="1871">
        <f t="shared" si="67"/>
        <v>0</v>
      </c>
      <c r="N50" s="1871">
        <f t="shared" si="67"/>
        <v>-158918582.90000001</v>
      </c>
      <c r="O50" s="1871">
        <f t="shared" si="67"/>
        <v>0</v>
      </c>
      <c r="P50" s="2001">
        <f t="shared" si="67"/>
        <v>174376660.47</v>
      </c>
      <c r="Q50" s="1980">
        <f t="shared" si="67"/>
        <v>85691911</v>
      </c>
      <c r="R50" s="1980">
        <f t="shared" ca="1" si="67"/>
        <v>0</v>
      </c>
      <c r="S50" s="1980">
        <f t="shared" ca="1" si="67"/>
        <v>0</v>
      </c>
      <c r="T50" s="1980">
        <f t="shared" ca="1" si="67"/>
        <v>0</v>
      </c>
      <c r="U50" s="1981">
        <f t="shared" si="67"/>
        <v>238420255.88999999</v>
      </c>
      <c r="V50" s="1981">
        <f t="shared" si="67"/>
        <v>0</v>
      </c>
      <c r="W50" s="1981">
        <f t="shared" ca="1" si="67"/>
        <v>0</v>
      </c>
      <c r="X50" s="1981">
        <f t="shared" si="67"/>
        <v>8378246.8099999996</v>
      </c>
      <c r="Y50" s="1981">
        <f t="shared" si="67"/>
        <v>4637867.0999999996</v>
      </c>
      <c r="Z50" s="1981">
        <f t="shared" si="67"/>
        <v>0</v>
      </c>
      <c r="AA50" s="1981">
        <f t="shared" si="67"/>
        <v>-145316230.15000001</v>
      </c>
      <c r="AB50" s="1981">
        <f t="shared" si="67"/>
        <v>0</v>
      </c>
      <c r="AC50" s="1897">
        <f t="shared" ca="1" si="67"/>
        <v>191812050.65000001</v>
      </c>
      <c r="AD50" s="1971"/>
      <c r="AE50" s="1971"/>
      <c r="AF50" s="1971"/>
      <c r="AG50" s="1971"/>
    </row>
    <row r="51" spans="1:33" s="1972" customFormat="1" ht="18">
      <c r="A51" s="2877" t="s">
        <v>2565</v>
      </c>
      <c r="B51" s="2878"/>
      <c r="C51" s="2002" t="s">
        <v>5843</v>
      </c>
      <c r="D51" s="1871">
        <f>BS!K38</f>
        <v>85691911</v>
      </c>
      <c r="E51" s="1871">
        <f>BS!K40</f>
        <v>0</v>
      </c>
      <c r="F51" s="1871">
        <f>BS!K41</f>
        <v>0</v>
      </c>
      <c r="G51" s="1871">
        <f>BS!K39-BS!K40-BS!K41</f>
        <v>0</v>
      </c>
      <c r="H51" s="1871">
        <f>BS!K42</f>
        <v>238420255.88999999</v>
      </c>
      <c r="I51" s="1871">
        <f>BS!K43</f>
        <v>0</v>
      </c>
      <c r="J51" s="1871">
        <f>BS!K44</f>
        <v>0</v>
      </c>
      <c r="K51" s="1871">
        <f>BS!K45</f>
        <v>4545209.38</v>
      </c>
      <c r="L51" s="1871">
        <f>BS!K46</f>
        <v>4637867.0999999996</v>
      </c>
      <c r="M51" s="1871">
        <f>BS!K47</f>
        <v>0</v>
      </c>
      <c r="N51" s="1871">
        <f>BS!K48</f>
        <v>-158918582.90000001</v>
      </c>
      <c r="O51" s="1871"/>
      <c r="P51" s="2001">
        <f>BS!K49</f>
        <v>174376660.47</v>
      </c>
      <c r="Q51" s="1980">
        <f>BS!L38</f>
        <v>85691911</v>
      </c>
      <c r="R51" s="1980">
        <f>BS!L40</f>
        <v>0</v>
      </c>
      <c r="S51" s="1980">
        <f>BS!L41</f>
        <v>0</v>
      </c>
      <c r="T51" s="1980">
        <f>BS!L39-BS!L40-BS!L41</f>
        <v>0</v>
      </c>
      <c r="U51" s="1981">
        <f>BS!L42</f>
        <v>238420255.88999999</v>
      </c>
      <c r="V51" s="1981">
        <f>BS!L43</f>
        <v>0</v>
      </c>
      <c r="W51" s="1981">
        <f>BS!L44</f>
        <v>0</v>
      </c>
      <c r="X51" s="1981">
        <f>BS!L45</f>
        <v>8378246.8099999996</v>
      </c>
      <c r="Y51" s="1981">
        <f>BS!L46</f>
        <v>4637867.0999999996</v>
      </c>
      <c r="Z51" s="1981">
        <f>BS!L47</f>
        <v>0</v>
      </c>
      <c r="AA51" s="1981">
        <f>BS!L48</f>
        <v>-145316230.15000001</v>
      </c>
      <c r="AB51" s="1981"/>
      <c r="AC51" s="1897">
        <f>BS!L49</f>
        <v>191812050.65000001</v>
      </c>
      <c r="AD51" s="1971"/>
      <c r="AE51" s="1971"/>
      <c r="AF51" s="1971"/>
      <c r="AG51" s="1971"/>
    </row>
    <row r="52" spans="1:33" s="1972" customFormat="1" ht="18.75" thickBot="1">
      <c r="A52" s="2877" t="s">
        <v>2565</v>
      </c>
      <c r="B52" s="2878"/>
      <c r="C52" s="2003" t="s">
        <v>2580</v>
      </c>
      <c r="D52" s="1984">
        <f t="shared" ref="D52:AC52" si="68">ROUND(D50-D51,2)</f>
        <v>0</v>
      </c>
      <c r="E52" s="1984">
        <f t="shared" si="68"/>
        <v>0</v>
      </c>
      <c r="F52" s="1984">
        <f t="shared" si="68"/>
        <v>0</v>
      </c>
      <c r="G52" s="1984">
        <f t="shared" si="68"/>
        <v>0</v>
      </c>
      <c r="H52" s="1984">
        <f t="shared" si="68"/>
        <v>0</v>
      </c>
      <c r="I52" s="1984">
        <f t="shared" si="68"/>
        <v>0</v>
      </c>
      <c r="J52" s="1984">
        <f t="shared" si="68"/>
        <v>0</v>
      </c>
      <c r="K52" s="1984">
        <f t="shared" si="68"/>
        <v>0</v>
      </c>
      <c r="L52" s="1984">
        <f t="shared" si="68"/>
        <v>0</v>
      </c>
      <c r="M52" s="1984">
        <f t="shared" ref="M52" si="69">ROUND(M50-M51,2)</f>
        <v>0</v>
      </c>
      <c r="N52" s="1984">
        <f t="shared" si="68"/>
        <v>0</v>
      </c>
      <c r="O52" s="1984">
        <f t="shared" si="68"/>
        <v>0</v>
      </c>
      <c r="P52" s="2004">
        <f t="shared" si="68"/>
        <v>0</v>
      </c>
      <c r="Q52" s="1900">
        <f t="shared" si="68"/>
        <v>0</v>
      </c>
      <c r="R52" s="1900">
        <f t="shared" ca="1" si="68"/>
        <v>0</v>
      </c>
      <c r="S52" s="1900">
        <f t="shared" ca="1" si="68"/>
        <v>0</v>
      </c>
      <c r="T52" s="1900">
        <f t="shared" ca="1" si="68"/>
        <v>0</v>
      </c>
      <c r="U52" s="1984">
        <f t="shared" si="68"/>
        <v>0</v>
      </c>
      <c r="V52" s="1984">
        <f t="shared" si="68"/>
        <v>0</v>
      </c>
      <c r="W52" s="1984">
        <f t="shared" ca="1" si="68"/>
        <v>0</v>
      </c>
      <c r="X52" s="1984">
        <f t="shared" si="68"/>
        <v>0</v>
      </c>
      <c r="Y52" s="1984">
        <f t="shared" si="68"/>
        <v>0</v>
      </c>
      <c r="Z52" s="1984">
        <f t="shared" ref="Z52" si="70">ROUND(Z50-Z51,2)</f>
        <v>0</v>
      </c>
      <c r="AA52" s="1984">
        <f t="shared" si="68"/>
        <v>0</v>
      </c>
      <c r="AB52" s="1984">
        <f t="shared" si="68"/>
        <v>0</v>
      </c>
      <c r="AC52" s="1901">
        <f t="shared" ca="1" si="68"/>
        <v>0</v>
      </c>
      <c r="AD52" s="1971"/>
      <c r="AE52" s="1971"/>
      <c r="AF52" s="1971"/>
      <c r="AG52" s="1971"/>
    </row>
    <row r="53" spans="1:33" s="1972" customFormat="1" ht="19.5" thickTop="1" thickBot="1">
      <c r="A53" s="2877" t="s">
        <v>2565</v>
      </c>
      <c r="B53" s="2878"/>
      <c r="C53" s="2005" t="s">
        <v>5818</v>
      </c>
      <c r="D53" s="2006" t="str">
        <f t="shared" ref="D53:AC53" si="71">IF(D52=0,"√","×")</f>
        <v>√</v>
      </c>
      <c r="E53" s="2006" t="str">
        <f t="shared" si="71"/>
        <v>√</v>
      </c>
      <c r="F53" s="2006" t="str">
        <f t="shared" si="71"/>
        <v>√</v>
      </c>
      <c r="G53" s="2006" t="str">
        <f t="shared" si="71"/>
        <v>√</v>
      </c>
      <c r="H53" s="2006" t="str">
        <f t="shared" si="71"/>
        <v>√</v>
      </c>
      <c r="I53" s="2006" t="str">
        <f t="shared" si="71"/>
        <v>√</v>
      </c>
      <c r="J53" s="2006" t="str">
        <f t="shared" si="71"/>
        <v>√</v>
      </c>
      <c r="K53" s="2006" t="str">
        <f t="shared" si="71"/>
        <v>√</v>
      </c>
      <c r="L53" s="2006" t="str">
        <f t="shared" si="71"/>
        <v>√</v>
      </c>
      <c r="M53" s="2006" t="str">
        <f t="shared" ref="M53" si="72">IF(M52=0,"√","×")</f>
        <v>√</v>
      </c>
      <c r="N53" s="2006" t="str">
        <f t="shared" si="71"/>
        <v>√</v>
      </c>
      <c r="O53" s="2006" t="str">
        <f t="shared" si="71"/>
        <v>√</v>
      </c>
      <c r="P53" s="2007" t="str">
        <f t="shared" si="71"/>
        <v>√</v>
      </c>
      <c r="Q53" s="2008" t="str">
        <f t="shared" si="71"/>
        <v>√</v>
      </c>
      <c r="R53" s="2008" t="str">
        <f t="shared" ca="1" si="71"/>
        <v>√</v>
      </c>
      <c r="S53" s="2008" t="str">
        <f t="shared" ca="1" si="71"/>
        <v>√</v>
      </c>
      <c r="T53" s="2008" t="str">
        <f t="shared" ca="1" si="71"/>
        <v>√</v>
      </c>
      <c r="U53" s="2006" t="str">
        <f t="shared" si="71"/>
        <v>√</v>
      </c>
      <c r="V53" s="2006" t="str">
        <f t="shared" si="71"/>
        <v>√</v>
      </c>
      <c r="W53" s="2006" t="str">
        <f t="shared" ca="1" si="71"/>
        <v>√</v>
      </c>
      <c r="X53" s="2006" t="str">
        <f t="shared" si="71"/>
        <v>√</v>
      </c>
      <c r="Y53" s="2006" t="str">
        <f t="shared" si="71"/>
        <v>√</v>
      </c>
      <c r="Z53" s="2006" t="str">
        <f t="shared" ref="Z53" si="73">IF(Z52=0,"√","×")</f>
        <v>√</v>
      </c>
      <c r="AA53" s="2006" t="str">
        <f t="shared" si="71"/>
        <v>√</v>
      </c>
      <c r="AB53" s="2006" t="str">
        <f t="shared" si="71"/>
        <v>√</v>
      </c>
      <c r="AC53" s="2009" t="str">
        <f t="shared" ca="1" si="71"/>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904" priority="128" stopIfTrue="1" operator="notEqual">
      <formula>0</formula>
    </cfRule>
  </conditionalFormatting>
  <conditionalFormatting sqref="C47:C48 C41">
    <cfRule type="expression" dxfId="3903" priority="127" stopIfTrue="1">
      <formula>#REF!=TRUE</formula>
    </cfRule>
  </conditionalFormatting>
  <conditionalFormatting sqref="C47:C48 C41">
    <cfRule type="expression" dxfId="3902"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437" t="s">
        <v>5805</v>
      </c>
      <c r="F2" s="3437"/>
      <c r="G2" s="3437"/>
      <c r="H2" s="3437"/>
      <c r="I2" s="3437"/>
      <c r="J2" s="3437"/>
      <c r="K2" s="3437"/>
      <c r="L2" s="3437"/>
      <c r="M2" s="1662"/>
      <c r="N2" s="1662"/>
      <c r="O2" s="1662"/>
      <c r="P2" s="1662"/>
    </row>
    <row r="3" spans="1:16" ht="27" customHeight="1">
      <c r="A3" s="2838"/>
      <c r="B3" s="2838"/>
      <c r="C3" s="2838"/>
      <c r="D3" s="2838"/>
      <c r="E3" s="3436" t="str">
        <f>TEXT(Lead!$F$5,"yyyy 年 mm 月 dd 日")</f>
        <v>2019 年 12 月 31 日</v>
      </c>
      <c r="F3" s="3436"/>
      <c r="G3" s="3436"/>
      <c r="H3" s="3436"/>
      <c r="I3" s="3436"/>
      <c r="J3" s="3436"/>
      <c r="K3" s="3436"/>
      <c r="L3" s="3436"/>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编制单位：山东天安化工股份有限公司</v>
      </c>
      <c r="F5" s="2037"/>
      <c r="G5" s="2037"/>
      <c r="H5" s="2037"/>
      <c r="I5" s="2037"/>
      <c r="J5" s="2037"/>
      <c r="K5" s="2037" t="s">
        <v>5748</v>
      </c>
      <c r="L5" s="2037" t="s">
        <v>5749</v>
      </c>
      <c r="M5" s="1662"/>
      <c r="N5" s="1662"/>
      <c r="O5" s="1662"/>
      <c r="P5" s="1662"/>
    </row>
    <row r="6" spans="1:16" ht="21" customHeight="1">
      <c r="A6" s="2868" t="s">
        <v>6633</v>
      </c>
      <c r="B6" s="2868" t="s">
        <v>2557</v>
      </c>
      <c r="C6" s="2868" t="s">
        <v>6634</v>
      </c>
      <c r="D6" s="2868" t="s">
        <v>2562</v>
      </c>
      <c r="E6" s="2118" t="s">
        <v>5132</v>
      </c>
      <c r="F6" s="2119" t="s">
        <v>5845</v>
      </c>
      <c r="G6" s="2119" t="str">
        <f>TEXT(Lead!$F$5,"yyyy年m月d日")</f>
        <v>2019年12月31日</v>
      </c>
      <c r="H6" s="2119" t="str">
        <f>TEXT(Lead!$F$6,"yyyy年m月d日")</f>
        <v>2018年12月31日</v>
      </c>
      <c r="I6" s="2120" t="s">
        <v>5132</v>
      </c>
      <c r="J6" s="2119" t="s">
        <v>5845</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7894317.0800000001</v>
      </c>
      <c r="H8" s="2124">
        <f t="shared" ref="H8:H30" si="5">IF($C8="","",VLOOKUP($C8,Sheet_Trialbal,10,0))</f>
        <v>79452903</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2024958.1</v>
      </c>
      <c r="I14" s="2128" t="str">
        <f t="shared" si="3"/>
        <v>应付票据</v>
      </c>
      <c r="J14" s="2122"/>
      <c r="K14" s="2123">
        <f t="shared" si="6"/>
        <v>0</v>
      </c>
      <c r="L14" s="2126">
        <f t="shared" si="7"/>
        <v>42762500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52079975.609999999</v>
      </c>
      <c r="H15" s="2124">
        <f t="shared" si="5"/>
        <v>43128210.229999997</v>
      </c>
      <c r="I15" s="2128" t="str">
        <f t="shared" si="3"/>
        <v>应付账款</v>
      </c>
      <c r="J15" s="2122"/>
      <c r="K15" s="2123">
        <f t="shared" si="6"/>
        <v>60014311.829999998</v>
      </c>
      <c r="L15" s="2126">
        <f t="shared" si="7"/>
        <v>35943625.149999999</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3532481.3</v>
      </c>
      <c r="H16" s="2124">
        <f t="shared" si="5"/>
        <v>0</v>
      </c>
      <c r="I16" s="2128" t="str">
        <f t="shared" si="3"/>
        <v>预收款项</v>
      </c>
      <c r="J16" s="2122"/>
      <c r="K16" s="2123">
        <f t="shared" si="6"/>
        <v>1190488.93</v>
      </c>
      <c r="L16" s="2126">
        <f t="shared" si="7"/>
        <v>2572903.23</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1491719.74</v>
      </c>
      <c r="H17" s="2124">
        <f t="shared" si="5"/>
        <v>2419762.12</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8760929.7400000002</v>
      </c>
      <c r="H21" s="2124">
        <f t="shared" si="5"/>
        <v>1187767</v>
      </c>
      <c r="I21" s="2128" t="str">
        <f t="shared" si="3"/>
        <v>应付职工薪酬</v>
      </c>
      <c r="J21" s="2122"/>
      <c r="K21" s="2123">
        <f t="shared" si="6"/>
        <v>6350911.7800000003</v>
      </c>
      <c r="L21" s="2126">
        <f t="shared" si="7"/>
        <v>6936778.7800000003</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76153.320000000007</v>
      </c>
      <c r="I22" s="2128" t="str">
        <f t="shared" si="3"/>
        <v>应交税费</v>
      </c>
      <c r="J22" s="2122"/>
      <c r="K22" s="2123">
        <f t="shared" si="6"/>
        <v>4883645.8</v>
      </c>
      <c r="L22" s="2126">
        <f t="shared" si="7"/>
        <v>7888725.9500000002</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11058441.74</v>
      </c>
      <c r="L23" s="2126">
        <f t="shared" si="7"/>
        <v>61340818.75</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22601423.91</v>
      </c>
      <c r="H25" s="2124">
        <f t="shared" si="5"/>
        <v>33104385.260000002</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0</v>
      </c>
      <c r="H28" s="2124">
        <f t="shared" si="5"/>
        <v>0</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96360847.379999995</v>
      </c>
      <c r="H31" s="2124">
        <f>SUM(H8:H30)-SUM(H22,H23)</f>
        <v>161317985.71000001</v>
      </c>
      <c r="I31" s="2132" t="str">
        <f t="shared" si="3"/>
        <v>流动负债合计</v>
      </c>
      <c r="J31" s="2122"/>
      <c r="K31" s="2123">
        <f>SUM(K8:K30)-SUM(K24,K25)</f>
        <v>83497800.079999998</v>
      </c>
      <c r="L31" s="2126">
        <f>SUM(L8:L30)-SUM(L24,L25)</f>
        <v>157445351.86000001</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3003000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3003000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80029486.859999999</v>
      </c>
      <c r="H43" s="2124">
        <f t="shared" si="10"/>
        <v>99146371.280000001</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36687949.960000001</v>
      </c>
      <c r="H44" s="2124">
        <f t="shared" si="10"/>
        <v>43951288.280000001</v>
      </c>
      <c r="I44" s="2132" t="str">
        <f t="shared" si="3"/>
        <v>非流动负债合计</v>
      </c>
      <c r="J44" s="2122"/>
      <c r="K44" s="2123">
        <f>SUM(K33:K43)-SUM(K36,K37)</f>
        <v>0</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83497800.079999998</v>
      </c>
      <c r="L45" s="2126">
        <f>SUM(L31,L44)</f>
        <v>157445351.86000001</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22921846.190000001</v>
      </c>
      <c r="H47" s="2124">
        <f t="shared" si="10"/>
        <v>20891148.170000002</v>
      </c>
      <c r="I47" s="2134" t="str">
        <f>IF($D47="","",VLOOKUP($D47,Sheet_Items,6,0))</f>
        <v>股本</v>
      </c>
      <c r="J47" s="2122"/>
      <c r="K47" s="2123">
        <f t="shared" si="13"/>
        <v>85691911</v>
      </c>
      <c r="L47" s="2126">
        <f t="shared" si="14"/>
        <v>85691911</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1548766.81</v>
      </c>
      <c r="H50" s="2124">
        <f t="shared" si="10"/>
        <v>1731944.44</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16879550.879999999</v>
      </c>
      <c r="H51" s="2124">
        <f t="shared" si="10"/>
        <v>15732218.73</v>
      </c>
      <c r="I51" s="2128" t="str">
        <f t="shared" si="15"/>
        <v>资本公积</v>
      </c>
      <c r="J51" s="2122"/>
      <c r="K51" s="2123">
        <f t="shared" si="13"/>
        <v>238420255.88999999</v>
      </c>
      <c r="L51" s="2126">
        <f t="shared" si="14"/>
        <v>238420255.88999999</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443012.47</v>
      </c>
      <c r="H52" s="2124">
        <f t="shared" si="10"/>
        <v>3483445.9</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4545209.38</v>
      </c>
      <c r="L54" s="2126">
        <f t="shared" si="14"/>
        <v>8378246.8099999996</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4637867.0999999996</v>
      </c>
      <c r="L55" s="2126">
        <f t="shared" si="14"/>
        <v>4637867.0999999996</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-158918582.90000001</v>
      </c>
      <c r="L57" s="2126">
        <f t="shared" si="14"/>
        <v>-145316230.15000001</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161513613.16999999</v>
      </c>
      <c r="H58" s="2124">
        <f>SUM(H33:H57)</f>
        <v>187939416.80000001</v>
      </c>
      <c r="I58" s="2136" t="str">
        <f>IF($D58="","",VLOOKUP($D58,Sheet_Items,6,0))</f>
        <v>所有者权益合计</v>
      </c>
      <c r="J58" s="2122"/>
      <c r="K58" s="2123">
        <f>SUM(K47:K48,K51,-K52,K53:K57)</f>
        <v>174376660.47</v>
      </c>
      <c r="L58" s="2126">
        <f>SUM(L47:L48,L51,-L52,L53:L57)</f>
        <v>191812050.65000001</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257874460.55000001</v>
      </c>
      <c r="H59" s="2139">
        <f>SUM(H31,H58)</f>
        <v>349257402.50999999</v>
      </c>
      <c r="I59" s="2140" t="str">
        <f>IF($D59="","",VLOOKUP($D59,Sheet_Items,6,0))</f>
        <v>负债和所有者权益总计</v>
      </c>
      <c r="J59" s="2137"/>
      <c r="K59" s="2138">
        <f>SUM(K45,K58)</f>
        <v>257874460.55000001</v>
      </c>
      <c r="L59" s="2141">
        <f>SUM(L45,L58)</f>
        <v>349257402.50999999</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5750</v>
      </c>
      <c r="F64" s="1669"/>
      <c r="G64" s="1670"/>
      <c r="H64" s="1670"/>
      <c r="I64" s="1670"/>
      <c r="J64" s="1670"/>
      <c r="K64" s="1670"/>
      <c r="L64" s="1671"/>
      <c r="M64" s="1672"/>
      <c r="N64" s="1662"/>
      <c r="O64" s="1662"/>
      <c r="P64" s="1662"/>
    </row>
    <row r="65" spans="1:16" ht="17.25">
      <c r="A65" s="2868" t="s">
        <v>2565</v>
      </c>
      <c r="B65" s="2868"/>
      <c r="C65" s="2868"/>
      <c r="D65" s="2868"/>
      <c r="E65" s="1673" t="s">
        <v>5751</v>
      </c>
      <c r="F65" s="1670"/>
      <c r="G65" s="1670"/>
      <c r="H65" s="1670" t="s">
        <v>5752</v>
      </c>
      <c r="I65" s="1670" t="s">
        <v>5753</v>
      </c>
      <c r="J65" s="1674"/>
      <c r="K65" s="1670" t="s">
        <v>5754</v>
      </c>
      <c r="L65" s="1675" t="s">
        <v>2550</v>
      </c>
      <c r="M65" s="1672"/>
      <c r="N65" s="1662"/>
      <c r="O65" s="1662"/>
      <c r="P65" s="1662"/>
    </row>
    <row r="66" spans="1:16" ht="18">
      <c r="A66" s="2875" t="s">
        <v>2565</v>
      </c>
      <c r="B66" s="2868"/>
      <c r="C66" s="2868"/>
      <c r="D66" s="2868"/>
      <c r="E66" s="1676" t="s">
        <v>5755</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257874460.55000001</v>
      </c>
      <c r="I68" s="1686" t="str">
        <f>I59</f>
        <v>负债和所有者权益总计</v>
      </c>
      <c r="J68" s="1685"/>
      <c r="K68" s="1692">
        <f>K59</f>
        <v>257874460.55000001</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349257402.50999999</v>
      </c>
      <c r="I70" s="1702" t="str">
        <f>I59</f>
        <v>负债和所有者权益总计</v>
      </c>
      <c r="J70" s="1700"/>
      <c r="K70" s="1703">
        <f>L59</f>
        <v>349257402.50999999</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901" priority="18" stopIfTrue="1">
      <formula>#REF!=TRUE</formula>
    </cfRule>
  </conditionalFormatting>
  <conditionalFormatting sqref="L69 L67 L71">
    <cfRule type="cellIs" dxfId="3900" priority="17" stopIfTrue="1" operator="notEqual">
      <formula>0</formula>
    </cfRule>
  </conditionalFormatting>
  <conditionalFormatting sqref="E64:F64">
    <cfRule type="expression" dxfId="3899" priority="16" stopIfTrue="1">
      <formula>#REF!=TRUE</formula>
    </cfRule>
  </conditionalFormatting>
  <conditionalFormatting sqref="L68 L66 L70">
    <cfRule type="cellIs" dxfId="3898" priority="15" stopIfTrue="1" operator="notEqual">
      <formula>0</formula>
    </cfRule>
  </conditionalFormatting>
  <conditionalFormatting sqref="E64:F64">
    <cfRule type="expression" dxfId="3897" priority="14" stopIfTrue="1">
      <formula>#REF!=TRUE</formula>
    </cfRule>
  </conditionalFormatting>
  <conditionalFormatting sqref="L68 L66 L70">
    <cfRule type="cellIs" dxfId="3896" priority="13" stopIfTrue="1" operator="notEqual">
      <formula>0</formula>
    </cfRule>
  </conditionalFormatting>
  <conditionalFormatting sqref="L69 L67">
    <cfRule type="cellIs" dxfId="3895" priority="12" stopIfTrue="1" operator="notEqual">
      <formula>0</formula>
    </cfRule>
  </conditionalFormatting>
  <conditionalFormatting sqref="L68 L70">
    <cfRule type="cellIs" dxfId="3894" priority="11" stopIfTrue="1" operator="notEqual">
      <formula>0</formula>
    </cfRule>
  </conditionalFormatting>
  <conditionalFormatting sqref="L68 L70">
    <cfRule type="cellIs" dxfId="3893" priority="10" stopIfTrue="1" operator="notEqual">
      <formula>0</formula>
    </cfRule>
  </conditionalFormatting>
  <conditionalFormatting sqref="E65:F65">
    <cfRule type="expression" dxfId="3892" priority="9" stopIfTrue="1">
      <formula>#REF!=TRUE</formula>
    </cfRule>
  </conditionalFormatting>
  <conditionalFormatting sqref="L69 L67">
    <cfRule type="cellIs" dxfId="3891" priority="8" stopIfTrue="1" operator="notEqual">
      <formula>0</formula>
    </cfRule>
  </conditionalFormatting>
  <conditionalFormatting sqref="E64:F64">
    <cfRule type="expression" dxfId="3890" priority="7" stopIfTrue="1">
      <formula>#REF!=TRUE</formula>
    </cfRule>
  </conditionalFormatting>
  <conditionalFormatting sqref="L68 L66 L70">
    <cfRule type="cellIs" dxfId="3889" priority="6" stopIfTrue="1" operator="notEqual">
      <formula>0</formula>
    </cfRule>
  </conditionalFormatting>
  <conditionalFormatting sqref="E64:F64">
    <cfRule type="expression" dxfId="3888" priority="5" stopIfTrue="1">
      <formula>#REF!=TRUE</formula>
    </cfRule>
  </conditionalFormatting>
  <conditionalFormatting sqref="L68 L66 L70">
    <cfRule type="cellIs" dxfId="3887" priority="4" stopIfTrue="1" operator="notEqual">
      <formula>0</formula>
    </cfRule>
  </conditionalFormatting>
  <conditionalFormatting sqref="L69 L67">
    <cfRule type="cellIs" dxfId="3886" priority="3" stopIfTrue="1" operator="notEqual">
      <formula>0</formula>
    </cfRule>
  </conditionalFormatting>
  <conditionalFormatting sqref="L68 L70">
    <cfRule type="cellIs" dxfId="3885" priority="2" stopIfTrue="1" operator="notEqual">
      <formula>0</formula>
    </cfRule>
  </conditionalFormatting>
  <conditionalFormatting sqref="L68 L70">
    <cfRule type="cellIs" dxfId="3884"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437" t="s">
        <v>5806</v>
      </c>
      <c r="D2" s="3437"/>
      <c r="E2" s="3437"/>
      <c r="F2" s="3437"/>
      <c r="G2" s="1662"/>
      <c r="H2" s="1662"/>
      <c r="I2" s="1662"/>
      <c r="J2" s="1662"/>
    </row>
    <row r="3" spans="1:10" ht="27" customHeight="1">
      <c r="A3" s="2838"/>
      <c r="B3" s="2839"/>
      <c r="C3" s="3436" t="str">
        <f>Lead!$F$7</f>
        <v>2019年度</v>
      </c>
      <c r="D3" s="3436"/>
      <c r="E3" s="3436"/>
      <c r="F3" s="3436"/>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编制单位：山东天安化工股份有限公司</v>
      </c>
      <c r="D5" s="2037"/>
      <c r="E5" s="2038" t="s">
        <v>2554</v>
      </c>
      <c r="F5" s="2039" t="s">
        <v>2555</v>
      </c>
      <c r="G5" s="1662"/>
      <c r="H5" s="1662"/>
      <c r="I5" s="1662"/>
      <c r="J5" s="1662"/>
    </row>
    <row r="6" spans="1:10" ht="18" customHeight="1">
      <c r="A6" s="2849" t="s">
        <v>2556</v>
      </c>
      <c r="B6" s="2850" t="s">
        <v>2558</v>
      </c>
      <c r="C6" s="2070" t="s">
        <v>5132</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231319311.91</v>
      </c>
      <c r="F7" s="2147">
        <f>SUM(F8:F11)</f>
        <v>339876355.07999998</v>
      </c>
      <c r="G7" s="1708"/>
      <c r="H7" s="1708"/>
      <c r="I7" s="852"/>
      <c r="J7" s="1662"/>
    </row>
    <row r="8" spans="1:10" ht="18" customHeight="1">
      <c r="A8" s="2851">
        <f t="shared" si="0"/>
        <v>0</v>
      </c>
      <c r="B8" s="2852">
        <v>6001</v>
      </c>
      <c r="C8" s="2148" t="str">
        <f t="shared" si="1"/>
        <v>其中：营业收入</v>
      </c>
      <c r="D8" s="2149"/>
      <c r="E8" s="2123">
        <f>IF($B8="","",VLOOKUP($B8,Sheet_Trialbal,6,0))</f>
        <v>231319311.91</v>
      </c>
      <c r="F8" s="2126">
        <f>IF($B8="","",VLOOKUP($B8,Sheet_Trialbal,10,0))</f>
        <v>339876355.07999998</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233828388.02000001</v>
      </c>
      <c r="F12" s="2147">
        <f>SUM(F13:F25)</f>
        <v>300293949.13999999</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197062457.09</v>
      </c>
      <c r="F13" s="2126">
        <f t="shared" ref="F13:F37" si="3">IF($B13="","",VLOOKUP($B13,Sheet_Trialbal,10,0))</f>
        <v>239939923.65000001</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3777403.45</v>
      </c>
      <c r="F21" s="2126">
        <f t="shared" si="3"/>
        <v>6554133.3899999997</v>
      </c>
      <c r="G21" s="1708"/>
      <c r="H21" s="1708"/>
      <c r="I21" s="852"/>
      <c r="J21" s="1662"/>
    </row>
    <row r="22" spans="1:10" ht="18" customHeight="1">
      <c r="A22" s="2851">
        <f t="shared" si="0"/>
        <v>0</v>
      </c>
      <c r="B22" s="2852">
        <v>6601</v>
      </c>
      <c r="C22" s="2150" t="str">
        <f t="shared" si="1"/>
        <v>销售费用</v>
      </c>
      <c r="D22" s="2149"/>
      <c r="E22" s="2123">
        <f t="shared" si="2"/>
        <v>13846726.529999999</v>
      </c>
      <c r="F22" s="2126">
        <f t="shared" si="3"/>
        <v>22551947.460000001</v>
      </c>
      <c r="G22" s="1708"/>
      <c r="H22" s="1708"/>
      <c r="I22" s="852"/>
      <c r="J22" s="1662"/>
    </row>
    <row r="23" spans="1:10" ht="18" customHeight="1">
      <c r="A23" s="2851">
        <f t="shared" si="0"/>
        <v>0</v>
      </c>
      <c r="B23" s="2852">
        <v>6602</v>
      </c>
      <c r="C23" s="2150" t="str">
        <f t="shared" si="1"/>
        <v>管理费用</v>
      </c>
      <c r="D23" s="2149"/>
      <c r="E23" s="2123">
        <f t="shared" si="2"/>
        <v>18794129.440000001</v>
      </c>
      <c r="F23" s="2126">
        <f t="shared" si="3"/>
        <v>28739665.809999999</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347671.51</v>
      </c>
      <c r="F25" s="2126">
        <f t="shared" si="3"/>
        <v>2508278.83</v>
      </c>
      <c r="G25" s="1708"/>
      <c r="H25" s="1708"/>
      <c r="I25" s="852"/>
      <c r="J25" s="1662"/>
    </row>
    <row r="26" spans="1:10" ht="18" customHeight="1">
      <c r="A26" s="2851">
        <f t="shared" si="0"/>
        <v>0</v>
      </c>
      <c r="B26" s="2852" t="s">
        <v>803</v>
      </c>
      <c r="C26" s="2150" t="str">
        <f t="shared" si="1"/>
        <v>其中：利息费用</v>
      </c>
      <c r="D26" s="2149"/>
      <c r="E26" s="2123">
        <f t="shared" si="2"/>
        <v>2094341.69</v>
      </c>
      <c r="F26" s="2126">
        <f t="shared" si="3"/>
        <v>0</v>
      </c>
      <c r="G26" s="1708"/>
      <c r="H26" s="1708"/>
      <c r="I26" s="852"/>
      <c r="J26" s="1662"/>
    </row>
    <row r="27" spans="1:10" ht="18" customHeight="1">
      <c r="A27" s="2851">
        <f t="shared" si="0"/>
        <v>0</v>
      </c>
      <c r="B27" s="2852" t="s">
        <v>810</v>
      </c>
      <c r="C27" s="2152" t="str">
        <f t="shared" si="1"/>
        <v>利息收入</v>
      </c>
      <c r="D27" s="2149"/>
      <c r="E27" s="2123">
        <f t="shared" si="2"/>
        <v>-1330385.21</v>
      </c>
      <c r="F27" s="2126">
        <f t="shared" si="3"/>
        <v>0</v>
      </c>
      <c r="G27" s="1708"/>
      <c r="H27" s="1708"/>
      <c r="I27" s="852"/>
      <c r="J27" s="1662"/>
    </row>
    <row r="28" spans="1:10" ht="18" customHeight="1">
      <c r="A28" s="2851">
        <f t="shared" si="0"/>
        <v>0</v>
      </c>
      <c r="B28" s="2852">
        <v>6181</v>
      </c>
      <c r="C28" s="2150" t="str">
        <f t="shared" si="1"/>
        <v>加：其他收益</v>
      </c>
      <c r="D28" s="2149"/>
      <c r="E28" s="2123">
        <f t="shared" si="2"/>
        <v>143120</v>
      </c>
      <c r="F28" s="2126">
        <f t="shared" si="3"/>
        <v>15000</v>
      </c>
      <c r="G28" s="1708"/>
      <c r="H28" s="1708"/>
      <c r="I28" s="852"/>
      <c r="J28" s="1662"/>
    </row>
    <row r="29" spans="1:10" ht="18" customHeight="1">
      <c r="A29" s="2851">
        <f t="shared" si="0"/>
        <v>0</v>
      </c>
      <c r="B29" s="2852">
        <v>6111</v>
      </c>
      <c r="C29" s="2150" t="str">
        <f t="shared" si="1"/>
        <v>投资收益（损失以“-”号填列）</v>
      </c>
      <c r="D29" s="2149"/>
      <c r="E29" s="2123">
        <f t="shared" si="2"/>
        <v>0</v>
      </c>
      <c r="F29" s="2126">
        <f t="shared" si="3"/>
        <v>300300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-909636.12</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-13357245.939999999</v>
      </c>
      <c r="F36" s="2126">
        <f t="shared" si="3"/>
        <v>-9046997.6899999995</v>
      </c>
      <c r="G36" s="1708"/>
      <c r="H36" s="1708"/>
      <c r="I36" s="852"/>
      <c r="J36" s="1662"/>
    </row>
    <row r="37" spans="1:10" ht="18" customHeight="1">
      <c r="A37" s="2851">
        <f t="shared" si="0"/>
        <v>0</v>
      </c>
      <c r="B37" s="2854">
        <v>6171</v>
      </c>
      <c r="C37" s="2153" t="str">
        <f>VLOOKUP($B37,Sheet_Items,6,0)</f>
        <v>资产处置收益（损失以“-”号填列）</v>
      </c>
      <c r="D37" s="2149"/>
      <c r="E37" s="2123">
        <f t="shared" si="2"/>
        <v>4370781.55</v>
      </c>
      <c r="F37" s="2126">
        <f t="shared" si="3"/>
        <v>-1081801.72</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-12262056.619999999</v>
      </c>
      <c r="F38" s="2147">
        <f>SUM(F8:F11)-SUM(F13:F25)+SUM(F28:F37)-SUM(F30,F31)</f>
        <v>29768906.530000001</v>
      </c>
      <c r="G38" s="1709"/>
      <c r="H38" s="1709"/>
      <c r="I38" s="852"/>
      <c r="J38" s="1662"/>
    </row>
    <row r="39" spans="1:10" ht="18" customHeight="1">
      <c r="A39" s="2851">
        <f t="shared" si="0"/>
        <v>0</v>
      </c>
      <c r="B39" s="2855">
        <v>6710</v>
      </c>
      <c r="C39" s="2148" t="str">
        <f t="shared" si="4"/>
        <v>加：营业外收入</v>
      </c>
      <c r="D39" s="2149"/>
      <c r="E39" s="2123">
        <f>IF($B39="","",VLOOKUP($B39,Sheet_Trialbal,6,0))</f>
        <v>68824.56</v>
      </c>
      <c r="F39" s="2126">
        <f>IF($B39="","",VLOOKUP($B39,Sheet_Trialbal,10,0))</f>
        <v>52566.02</v>
      </c>
      <c r="G39" s="1708"/>
      <c r="H39" s="1708"/>
      <c r="I39" s="852"/>
      <c r="J39" s="1662"/>
    </row>
    <row r="40" spans="1:10" ht="18" customHeight="1">
      <c r="A40" s="2851">
        <f t="shared" si="0"/>
        <v>0</v>
      </c>
      <c r="B40" s="2855">
        <v>6711</v>
      </c>
      <c r="C40" s="2148" t="str">
        <f t="shared" si="4"/>
        <v>减：营业外支出</v>
      </c>
      <c r="D40" s="2149"/>
      <c r="E40" s="2123">
        <f>IF($B40="","",VLOOKUP($B40,Sheet_Trialbal,6,0))</f>
        <v>1812843.01</v>
      </c>
      <c r="F40" s="2126">
        <f>IF($B40="","",VLOOKUP($B40,Sheet_Trialbal,10,0))</f>
        <v>910205.83</v>
      </c>
      <c r="G40" s="1708"/>
      <c r="H40" s="1708"/>
      <c r="I40" s="852"/>
      <c r="J40" s="1662"/>
    </row>
    <row r="41" spans="1:10" ht="18" customHeight="1">
      <c r="A41" s="2851" t="str">
        <f t="shared" si="0"/>
        <v>＝</v>
      </c>
      <c r="B41" s="2855">
        <v>6788</v>
      </c>
      <c r="C41" s="2156" t="str">
        <f t="shared" si="4"/>
        <v>四、利润总额（亏损总额以“-”号填列）</v>
      </c>
      <c r="D41" s="2145"/>
      <c r="E41" s="2146">
        <f>SUM(E38,E39,-E40)</f>
        <v>-14006075.07</v>
      </c>
      <c r="F41" s="2147">
        <f>SUM(F38,F39,-F40)</f>
        <v>28911266.719999999</v>
      </c>
      <c r="G41" s="1709"/>
      <c r="H41" s="1709"/>
      <c r="I41" s="852"/>
      <c r="J41" s="1662"/>
    </row>
    <row r="42" spans="1:10" ht="18" customHeight="1">
      <c r="A42" s="2851">
        <f t="shared" si="0"/>
        <v>0</v>
      </c>
      <c r="B42" s="2855">
        <v>6791</v>
      </c>
      <c r="C42" s="2148" t="str">
        <f t="shared" si="4"/>
        <v>减：所得税费用</v>
      </c>
      <c r="D42" s="2149"/>
      <c r="E42" s="2123">
        <f>IF($B42="","",VLOOKUP($B42,Sheet_Trialbal,6,0))</f>
        <v>-458474.61</v>
      </c>
      <c r="F42" s="2126">
        <f>IF($B42="","",VLOOKUP($B42,Sheet_Trialbal,10,0))</f>
        <v>1544915.31</v>
      </c>
      <c r="G42" s="1708"/>
      <c r="H42" s="1708"/>
      <c r="I42" s="852"/>
      <c r="J42" s="1662"/>
    </row>
    <row r="43" spans="1:10" ht="18" customHeight="1">
      <c r="A43" s="2851" t="str">
        <f t="shared" si="0"/>
        <v>＝</v>
      </c>
      <c r="B43" s="2855">
        <v>6799</v>
      </c>
      <c r="C43" s="2156" t="str">
        <f t="shared" si="4"/>
        <v>五、净利润（净亏损以“-”号填列）</v>
      </c>
      <c r="D43" s="2145"/>
      <c r="E43" s="2146">
        <f>SUM(E41,-E42)</f>
        <v>-13547600.460000001</v>
      </c>
      <c r="F43" s="2147">
        <f>SUM(F41,-F42)</f>
        <v>27366351.41</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-13547600.460000001</v>
      </c>
      <c r="F65" s="2126">
        <f>SUM(F43,F46)</f>
        <v>27366351.41</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449"/>
      <c r="D69" s="3449"/>
      <c r="E69" s="3449"/>
      <c r="F69" s="3449"/>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438"/>
      <c r="D71" s="3438"/>
      <c r="E71" s="3438"/>
      <c r="F71" s="3438"/>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5756</v>
      </c>
      <c r="D74" s="1713"/>
      <c r="E74" s="1714"/>
      <c r="F74" s="1715"/>
      <c r="G74" s="1716"/>
      <c r="H74" s="1716"/>
      <c r="I74" s="852"/>
      <c r="J74" s="1662"/>
    </row>
    <row r="75" spans="1:10" ht="18">
      <c r="A75" s="2864" t="s">
        <v>2565</v>
      </c>
      <c r="B75" s="2865"/>
      <c r="C75" s="1717" t="s">
        <v>5757</v>
      </c>
      <c r="D75" s="1718"/>
      <c r="E75" s="1719" t="s">
        <v>2577</v>
      </c>
      <c r="F75" s="1720" t="s">
        <v>2578</v>
      </c>
      <c r="G75" s="1716"/>
      <c r="H75" s="1716"/>
      <c r="I75" s="852"/>
      <c r="J75" s="1662"/>
    </row>
    <row r="76" spans="1:10" ht="18">
      <c r="A76" s="2866" t="s">
        <v>2565</v>
      </c>
      <c r="B76" s="2867"/>
      <c r="C76" s="1721" t="s">
        <v>5758</v>
      </c>
      <c r="D76" s="1722"/>
      <c r="E76" s="1723"/>
      <c r="F76" s="1693"/>
      <c r="G76" s="853"/>
      <c r="H76" s="853"/>
      <c r="I76" s="852"/>
      <c r="J76" s="1662"/>
    </row>
    <row r="77" spans="1:10" ht="18">
      <c r="A77" s="2866" t="s">
        <v>2565</v>
      </c>
      <c r="B77" s="2867"/>
      <c r="C77" s="1724" t="str">
        <f>C43</f>
        <v>五、净利润（净亏损以“-”号填列）</v>
      </c>
      <c r="D77" s="1722" t="s">
        <v>5761</v>
      </c>
      <c r="E77" s="1725">
        <f>E43</f>
        <v>-13547600.460000001</v>
      </c>
      <c r="F77" s="1726">
        <f>F43</f>
        <v>27366351.41</v>
      </c>
      <c r="G77" s="853"/>
      <c r="H77" s="853"/>
      <c r="I77" s="852"/>
      <c r="J77" s="1662"/>
    </row>
    <row r="78" spans="1:10" ht="24">
      <c r="A78" s="2866" t="s">
        <v>2565</v>
      </c>
      <c r="B78" s="2867"/>
      <c r="C78" s="1894" t="str">
        <f>C44 &amp; "+" &amp;C45</f>
        <v>（一）持续经营净利润（净亏损以“-”号填列）+（二）终止经营净利润（净亏损以“-”号填列）</v>
      </c>
      <c r="D78" s="1722" t="s">
        <v>5762</v>
      </c>
      <c r="E78" s="1725">
        <f>E44+E45</f>
        <v>0</v>
      </c>
      <c r="F78" s="1726">
        <f>F44+F45</f>
        <v>0</v>
      </c>
      <c r="G78" s="853"/>
      <c r="H78" s="853"/>
      <c r="I78" s="852"/>
      <c r="J78" s="1662"/>
    </row>
    <row r="79" spans="1:10" ht="18.75" thickBot="1">
      <c r="A79" s="2866" t="s">
        <v>2565</v>
      </c>
      <c r="B79" s="2867"/>
      <c r="C79" s="1727" t="s">
        <v>5763</v>
      </c>
      <c r="D79" s="1722"/>
      <c r="E79" s="1728">
        <f>ROUND(E77-E78,2)</f>
        <v>-13547600.460000001</v>
      </c>
      <c r="F79" s="1729">
        <f>ROUND(F77-F78,2)</f>
        <v>27366351.41</v>
      </c>
      <c r="G79" s="853"/>
      <c r="H79" s="853"/>
      <c r="I79" s="852"/>
      <c r="J79" s="1662"/>
    </row>
    <row r="80" spans="1:10" ht="18.75" thickTop="1">
      <c r="A80" s="2866" t="s">
        <v>2565</v>
      </c>
      <c r="B80" s="2867"/>
      <c r="C80" s="1730" t="s">
        <v>5759</v>
      </c>
      <c r="D80" s="1722"/>
      <c r="E80" s="1731" t="str">
        <f>IF(E79=0,"√","×")</f>
        <v>×</v>
      </c>
      <c r="F80" s="1732" t="str">
        <f>IF(F79=0,"√","×")</f>
        <v>×</v>
      </c>
      <c r="G80" s="853"/>
      <c r="H80" s="853"/>
      <c r="I80" s="852"/>
      <c r="J80" s="1662"/>
    </row>
    <row r="81" spans="1:10" ht="18">
      <c r="A81" s="2866" t="s">
        <v>2565</v>
      </c>
      <c r="B81" s="2867"/>
      <c r="C81" s="1721" t="s">
        <v>5760</v>
      </c>
      <c r="D81" s="1722"/>
      <c r="E81" s="1723"/>
      <c r="F81" s="1693"/>
      <c r="G81" s="853"/>
      <c r="H81" s="853"/>
      <c r="I81" s="852"/>
      <c r="J81" s="1662"/>
    </row>
    <row r="82" spans="1:10" ht="18">
      <c r="A82" s="2866" t="s">
        <v>2565</v>
      </c>
      <c r="B82" s="2867"/>
      <c r="C82" s="1724" t="str">
        <f>C43</f>
        <v>五、净利润（净亏损以“-”号填列）</v>
      </c>
      <c r="D82" s="1722" t="s">
        <v>5761</v>
      </c>
      <c r="E82" s="1725">
        <f>E43</f>
        <v>-13547600.460000001</v>
      </c>
      <c r="F82" s="1726">
        <f>F43</f>
        <v>27366351.41</v>
      </c>
      <c r="G82" s="853"/>
      <c r="H82" s="853"/>
      <c r="I82" s="852"/>
      <c r="J82" s="1662"/>
    </row>
    <row r="83" spans="1:10" ht="18">
      <c r="A83" s="2866" t="s">
        <v>2565</v>
      </c>
      <c r="B83" s="2867"/>
      <c r="C83" s="1689" t="str">
        <f>OwnersEquity!$C$15&amp;" | "&amp;OwnersEquity!$N$7</f>
        <v>（一）综合收益总额 | 未分配利润</v>
      </c>
      <c r="D83" s="1722" t="s">
        <v>5762</v>
      </c>
      <c r="E83" s="1725">
        <f>OwnersEquity!N15</f>
        <v>-13547600.460000001</v>
      </c>
      <c r="F83" s="1726">
        <f>OwnersEquity!AA15</f>
        <v>27366351.41</v>
      </c>
      <c r="G83" s="853"/>
      <c r="H83" s="853"/>
      <c r="I83" s="852"/>
      <c r="J83" s="1662"/>
    </row>
    <row r="84" spans="1:10" ht="18.75" thickBot="1">
      <c r="A84" s="2866" t="s">
        <v>2565</v>
      </c>
      <c r="B84" s="2867"/>
      <c r="C84" s="1727" t="s">
        <v>5763</v>
      </c>
      <c r="D84" s="1722"/>
      <c r="E84" s="1728">
        <f>ROUND(E82-E83,2)</f>
        <v>0</v>
      </c>
      <c r="F84" s="1729">
        <f>ROUND(F82-F83,2)</f>
        <v>0</v>
      </c>
      <c r="G84" s="853"/>
      <c r="H84" s="853"/>
      <c r="I84" s="852"/>
      <c r="J84" s="1662"/>
    </row>
    <row r="85" spans="1:10" ht="18.75" thickTop="1">
      <c r="A85" s="2866" t="s">
        <v>2565</v>
      </c>
      <c r="B85" s="2867"/>
      <c r="C85" s="1730" t="s">
        <v>5764</v>
      </c>
      <c r="D85" s="1722"/>
      <c r="E85" s="1731" t="str">
        <f>IF(E84=0,"√","×")</f>
        <v>√</v>
      </c>
      <c r="F85" s="1732" t="str">
        <f>IF(F84=0,"√","×")</f>
        <v>√</v>
      </c>
      <c r="G85" s="853"/>
      <c r="H85" s="853"/>
      <c r="I85" s="852"/>
      <c r="J85" s="1662"/>
    </row>
    <row r="86" spans="1:10" ht="18">
      <c r="A86" s="2866" t="s">
        <v>2565</v>
      </c>
      <c r="B86" s="2867"/>
      <c r="C86" s="1724" t="str">
        <f>$C$46</f>
        <v>六、其他综合收益的税后净额</v>
      </c>
      <c r="D86" s="1722" t="s">
        <v>5765</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5762</v>
      </c>
      <c r="E87" s="1725">
        <f>OwnersEquity!J15</f>
        <v>0</v>
      </c>
      <c r="F87" s="1726">
        <f ca="1">OwnersEquity!W15</f>
        <v>0</v>
      </c>
      <c r="G87" s="853"/>
      <c r="H87" s="853"/>
      <c r="I87" s="852"/>
      <c r="J87" s="1662"/>
    </row>
    <row r="88" spans="1:10" ht="18.75" thickBot="1">
      <c r="A88" s="2866" t="s">
        <v>2565</v>
      </c>
      <c r="B88" s="2867"/>
      <c r="C88" s="1727" t="s">
        <v>5763</v>
      </c>
      <c r="D88" s="1722"/>
      <c r="E88" s="1728">
        <f>ROUND(E86-E87,2)</f>
        <v>0</v>
      </c>
      <c r="F88" s="1729">
        <f ca="1">ROUND(F86-F87,2)</f>
        <v>0</v>
      </c>
      <c r="G88" s="853"/>
      <c r="H88" s="853"/>
      <c r="I88" s="852"/>
      <c r="J88" s="1662"/>
    </row>
    <row r="89" spans="1:10" ht="18.75" thickTop="1">
      <c r="A89" s="2866" t="s">
        <v>2565</v>
      </c>
      <c r="B89" s="2867"/>
      <c r="C89" s="1730" t="s">
        <v>5766</v>
      </c>
      <c r="D89" s="1722"/>
      <c r="E89" s="1731" t="str">
        <f>IF(E88=0,"√","×")</f>
        <v>√</v>
      </c>
      <c r="F89" s="1732" t="str">
        <f ca="1">IF(F88=0,"√","×")</f>
        <v>√</v>
      </c>
      <c r="G89" s="853"/>
      <c r="H89" s="852"/>
      <c r="I89" s="852"/>
      <c r="J89" s="1662"/>
    </row>
    <row r="90" spans="1:10" ht="18">
      <c r="A90" s="2866" t="s">
        <v>2565</v>
      </c>
      <c r="B90" s="2867"/>
      <c r="C90" s="1724" t="str">
        <f>C65</f>
        <v>七、综合收益总额</v>
      </c>
      <c r="D90" s="1722" t="s">
        <v>5767</v>
      </c>
      <c r="E90" s="1725">
        <f>E65</f>
        <v>-13547600.460000001</v>
      </c>
      <c r="F90" s="1726">
        <f>F65</f>
        <v>27366351.41</v>
      </c>
      <c r="G90" s="853"/>
      <c r="H90" s="852"/>
      <c r="I90" s="852"/>
      <c r="J90" s="1662"/>
    </row>
    <row r="91" spans="1:10" ht="18">
      <c r="A91" s="2866" t="s">
        <v>2565</v>
      </c>
      <c r="B91" s="2867"/>
      <c r="C91" s="1689" t="str">
        <f>OwnersEquity!$C$15&amp;" | "&amp;OwnersEquity!$P$7</f>
        <v>（一）综合收益总额 | 所有者权益合计</v>
      </c>
      <c r="D91" s="1722" t="s">
        <v>5768</v>
      </c>
      <c r="E91" s="1725">
        <f>OwnersEquity!P15</f>
        <v>-13547600.460000001</v>
      </c>
      <c r="F91" s="1726">
        <f ca="1">OwnersEquity!AC15</f>
        <v>27366351.41</v>
      </c>
      <c r="G91" s="853"/>
      <c r="H91" s="852"/>
      <c r="I91" s="852"/>
      <c r="J91" s="1662"/>
    </row>
    <row r="92" spans="1:10" ht="18.75" thickBot="1">
      <c r="A92" s="2866" t="s">
        <v>2565</v>
      </c>
      <c r="B92" s="2867"/>
      <c r="C92" s="1727" t="s">
        <v>5769</v>
      </c>
      <c r="D92" s="1722"/>
      <c r="E92" s="1728">
        <f>ROUND(E90-E91,2)</f>
        <v>0</v>
      </c>
      <c r="F92" s="1729">
        <f ca="1">ROUND(F90-F91,2)</f>
        <v>0</v>
      </c>
      <c r="G92" s="853"/>
      <c r="H92" s="852"/>
      <c r="I92" s="852"/>
      <c r="J92" s="1662"/>
    </row>
    <row r="93" spans="1:10" ht="18.75" thickTop="1">
      <c r="A93" s="2866" t="s">
        <v>2565</v>
      </c>
      <c r="B93" s="2867"/>
      <c r="C93" s="1733" t="s">
        <v>5766</v>
      </c>
      <c r="D93" s="1722"/>
      <c r="E93" s="1731" t="str">
        <f>IF(E92=0,"√","×")</f>
        <v>√</v>
      </c>
      <c r="F93" s="1732" t="str">
        <f ca="1">IF(F92=0,"√","×")</f>
        <v>√</v>
      </c>
      <c r="G93" s="1734"/>
      <c r="H93" s="851"/>
      <c r="I93" s="850"/>
    </row>
    <row r="94" spans="1:10" ht="18.75" thickBot="1">
      <c r="A94" s="2866" t="s">
        <v>2565</v>
      </c>
      <c r="B94" s="2867"/>
      <c r="C94" s="1735" t="s">
        <v>2572</v>
      </c>
      <c r="D94" s="1736"/>
      <c r="E94" s="1737">
        <f>SUMIF($C$76:$C$93,"差       异",E76:E93)</f>
        <v>-13547600.460000001</v>
      </c>
      <c r="F94" s="1704">
        <f ca="1">SUMIF($C$76:$C$93,"差       异",F76:F93)</f>
        <v>27366351.41</v>
      </c>
      <c r="G94" s="1734"/>
      <c r="H94" s="1738" t="str">
        <f ca="1">IF(E94+F94=0,"Balanced","Diff "&amp;TEXT(ROUND(E94+F94,2),"#,###.00"))</f>
        <v>Diff 13,818,750.95</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83" priority="56" stopIfTrue="1" operator="notEqual">
      <formula>0</formula>
    </cfRule>
  </conditionalFormatting>
  <conditionalFormatting sqref="D74:D75 C74">
    <cfRule type="expression" dxfId="3882" priority="55" stopIfTrue="1">
      <formula>#REF!=TRUE</formula>
    </cfRule>
  </conditionalFormatting>
  <conditionalFormatting sqref="E94:F94 E88:F88 E92:F92 E84:F84">
    <cfRule type="cellIs" dxfId="3881" priority="54" stopIfTrue="1" operator="notEqual">
      <formula>0</formula>
    </cfRule>
  </conditionalFormatting>
  <conditionalFormatting sqref="E94:F94 E88:F88 E92:F92 E84:F84">
    <cfRule type="cellIs" dxfId="3880" priority="52" stopIfTrue="1" operator="notEqual">
      <formula>0</formula>
    </cfRule>
  </conditionalFormatting>
  <conditionalFormatting sqref="E94:F94 E88:F88 E92:F92 E84:F84">
    <cfRule type="cellIs" dxfId="3879" priority="51" stopIfTrue="1" operator="notEqual">
      <formula>0</formula>
    </cfRule>
  </conditionalFormatting>
  <conditionalFormatting sqref="E94:F94 E88:F88 E92:F92 E84:F84">
    <cfRule type="cellIs" dxfId="3878" priority="50" stopIfTrue="1" operator="notEqual">
      <formula>0</formula>
    </cfRule>
  </conditionalFormatting>
  <conditionalFormatting sqref="E94:F94 E88:F88 E92:F92 E84:F84">
    <cfRule type="cellIs" dxfId="3877" priority="48" stopIfTrue="1" operator="notEqual">
      <formula>0</formula>
    </cfRule>
  </conditionalFormatting>
  <conditionalFormatting sqref="E94:F94 E88:F88 E92:F92 E84:F84">
    <cfRule type="cellIs" dxfId="3876" priority="46" stopIfTrue="1" operator="notEqual">
      <formula>0</formula>
    </cfRule>
  </conditionalFormatting>
  <conditionalFormatting sqref="E94:F94 E88:F88 E92:F92 E84:F84">
    <cfRule type="cellIs" dxfId="3875" priority="45" stopIfTrue="1" operator="notEqual">
      <formula>0</formula>
    </cfRule>
  </conditionalFormatting>
  <conditionalFormatting sqref="E94:F94 E88:F88 E92:F92 E84:F84">
    <cfRule type="cellIs" dxfId="3874" priority="44" stopIfTrue="1" operator="notEqual">
      <formula>0</formula>
    </cfRule>
  </conditionalFormatting>
  <conditionalFormatting sqref="E94:F94 E88:F88 E92:F92 E84:F84">
    <cfRule type="cellIs" dxfId="3873" priority="43" stopIfTrue="1" operator="notEqual">
      <formula>0</formula>
    </cfRule>
  </conditionalFormatting>
  <conditionalFormatting sqref="E94:F94 E88:F88 E92:F92 E84:F84">
    <cfRule type="cellIs" dxfId="3872" priority="42" stopIfTrue="1" operator="notEqual">
      <formula>0</formula>
    </cfRule>
  </conditionalFormatting>
  <conditionalFormatting sqref="E94:F94 E88:F88 E92:F92 E84:F84">
    <cfRule type="cellIs" dxfId="3871" priority="41" stopIfTrue="1" operator="notEqual">
      <formula>0</formula>
    </cfRule>
  </conditionalFormatting>
  <conditionalFormatting sqref="E94:F94 E88:F88 E92:F92 E84:F84">
    <cfRule type="cellIs" dxfId="3870" priority="40" stopIfTrue="1" operator="notEqual">
      <formula>0</formula>
    </cfRule>
  </conditionalFormatting>
  <conditionalFormatting sqref="E94:F94 E88:F88 E92:F92 E84:F84">
    <cfRule type="cellIs" dxfId="3869" priority="38" stopIfTrue="1" operator="notEqual">
      <formula>0</formula>
    </cfRule>
  </conditionalFormatting>
  <conditionalFormatting sqref="E94:F94 E88:F88 E92:F92 E84:F84">
    <cfRule type="cellIs" dxfId="3868" priority="36" stopIfTrue="1" operator="notEqual">
      <formula>0</formula>
    </cfRule>
  </conditionalFormatting>
  <conditionalFormatting sqref="E94:F94 E88:F88 E92:F92 E84:F84">
    <cfRule type="cellIs" dxfId="3867" priority="35" stopIfTrue="1" operator="notEqual">
      <formula>0</formula>
    </cfRule>
  </conditionalFormatting>
  <conditionalFormatting sqref="E94:F94 E88:F88 E92:F92 E84:F84">
    <cfRule type="cellIs" dxfId="3866" priority="34" stopIfTrue="1" operator="notEqual">
      <formula>0</formula>
    </cfRule>
  </conditionalFormatting>
  <conditionalFormatting sqref="E94:F94 E88:F88 E92:F92 E84:F84">
    <cfRule type="cellIs" dxfId="3865" priority="32" stopIfTrue="1" operator="notEqual">
      <formula>0</formula>
    </cfRule>
  </conditionalFormatting>
  <conditionalFormatting sqref="E94:F94 E88:F88 E92:F92 E84:F84">
    <cfRule type="cellIs" dxfId="3864" priority="30" stopIfTrue="1" operator="notEqual">
      <formula>0</formula>
    </cfRule>
  </conditionalFormatting>
  <conditionalFormatting sqref="E94:F94 E88:F88 E92:F92 E84:F84">
    <cfRule type="cellIs" dxfId="3863" priority="29" stopIfTrue="1" operator="notEqual">
      <formula>0</formula>
    </cfRule>
  </conditionalFormatting>
  <conditionalFormatting sqref="E94:F94 E88:F88 E92:F92 E84:F84">
    <cfRule type="cellIs" dxfId="3862" priority="28" stopIfTrue="1" operator="notEqual">
      <formula>0</formula>
    </cfRule>
  </conditionalFormatting>
  <conditionalFormatting sqref="E94:F94 E88:F88 E92:F92 E84:F84">
    <cfRule type="cellIs" dxfId="3861" priority="27" stopIfTrue="1" operator="notEqual">
      <formula>0</formula>
    </cfRule>
  </conditionalFormatting>
  <conditionalFormatting sqref="E94:F94 E88:F88 E92:F92 E84:F84">
    <cfRule type="cellIs" dxfId="3860" priority="26" stopIfTrue="1" operator="notEqual">
      <formula>0</formula>
    </cfRule>
  </conditionalFormatting>
  <conditionalFormatting sqref="E94:F94 E88:F88 E92:F92 E84:F84">
    <cfRule type="cellIs" dxfId="3859"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437" t="s">
        <v>5807</v>
      </c>
      <c r="D2" s="3437"/>
      <c r="E2" s="3437"/>
      <c r="F2" s="3437"/>
      <c r="G2" s="1662"/>
      <c r="H2" s="1662"/>
      <c r="I2" s="1662"/>
      <c r="J2" s="1662"/>
    </row>
    <row r="3" spans="1:10" ht="27" customHeight="1">
      <c r="A3" s="2838"/>
      <c r="B3" s="2839"/>
      <c r="C3" s="3436" t="str">
        <f>Lead!$F$7</f>
        <v>2019年度</v>
      </c>
      <c r="D3" s="3436"/>
      <c r="E3" s="3436"/>
      <c r="F3" s="3436"/>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编制单位：山东天安化工股份有限公司</v>
      </c>
      <c r="D5" s="2037"/>
      <c r="E5" s="2038" t="s">
        <v>2554</v>
      </c>
      <c r="F5" s="2039" t="s">
        <v>2555</v>
      </c>
      <c r="G5" s="1662"/>
      <c r="H5" s="1662"/>
      <c r="I5" s="1662"/>
      <c r="J5" s="1662"/>
    </row>
    <row r="6" spans="1:10" ht="18" customHeight="1">
      <c r="A6" s="2838" t="s">
        <v>2556</v>
      </c>
      <c r="B6" s="2839" t="s">
        <v>2558</v>
      </c>
      <c r="C6" s="2164" t="s">
        <v>5132</v>
      </c>
      <c r="D6" s="2165" t="s">
        <v>5845</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179675938.56999999</v>
      </c>
      <c r="F8" s="2126">
        <f t="shared" ref="F8:F20" si="3">VLOOKUP($B8,Sheet_Trialbal,10,0)</f>
        <v>289012665.19</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1544811.94</v>
      </c>
      <c r="F20" s="2126">
        <f t="shared" si="3"/>
        <v>76489.33</v>
      </c>
      <c r="G20" s="1662"/>
      <c r="H20" s="1662"/>
      <c r="I20" s="1662"/>
      <c r="J20" s="1662"/>
    </row>
    <row r="21" spans="1:10" ht="18" customHeight="1">
      <c r="A21" s="2840" t="str">
        <f t="shared" si="0"/>
        <v>＝</v>
      </c>
      <c r="B21" s="2842">
        <v>7048</v>
      </c>
      <c r="C21" s="2073" t="str">
        <f t="shared" si="1"/>
        <v>经营活动现金流入小计</v>
      </c>
      <c r="D21" s="2166"/>
      <c r="E21" s="2123">
        <f>SUM(E8:E20)</f>
        <v>181220750.50999999</v>
      </c>
      <c r="F21" s="2126">
        <f>SUM(F8:F20)</f>
        <v>289089154.51999998</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80109210.730000004</v>
      </c>
      <c r="F22" s="2126">
        <f t="shared" ref="F22:F31" si="5">VLOOKUP($B22,Sheet_Trialbal,10,0)</f>
        <v>36580289.390000001</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23778472.57</v>
      </c>
      <c r="F29" s="2126">
        <f t="shared" si="5"/>
        <v>28223185.809999999</v>
      </c>
      <c r="G29" s="1662"/>
      <c r="H29" s="1662"/>
      <c r="I29" s="1662"/>
      <c r="J29" s="1662"/>
    </row>
    <row r="30" spans="1:10" ht="18" customHeight="1">
      <c r="A30" s="2840">
        <f t="shared" si="0"/>
        <v>0</v>
      </c>
      <c r="B30" s="2841">
        <v>7071</v>
      </c>
      <c r="C30" s="2077" t="str">
        <f t="shared" si="1"/>
        <v>支付的各项税费</v>
      </c>
      <c r="D30" s="2166"/>
      <c r="E30" s="2123">
        <f t="shared" si="4"/>
        <v>17409545.82</v>
      </c>
      <c r="F30" s="2126">
        <f t="shared" si="5"/>
        <v>23224814.02</v>
      </c>
      <c r="G30" s="1662"/>
      <c r="H30" s="1662"/>
      <c r="I30" s="1662"/>
      <c r="J30" s="1662"/>
    </row>
    <row r="31" spans="1:10" ht="18" customHeight="1">
      <c r="A31" s="2840">
        <f t="shared" si="0"/>
        <v>0</v>
      </c>
      <c r="B31" s="2841">
        <v>7096</v>
      </c>
      <c r="C31" s="2077" t="str">
        <f t="shared" si="1"/>
        <v>支付其他与经营活动有关的现金</v>
      </c>
      <c r="D31" s="2166"/>
      <c r="E31" s="2123">
        <f t="shared" si="4"/>
        <v>29188633.84</v>
      </c>
      <c r="F31" s="2126">
        <f t="shared" si="5"/>
        <v>121285508.67</v>
      </c>
      <c r="G31" s="1662"/>
      <c r="H31" s="1662"/>
      <c r="I31" s="1662"/>
      <c r="J31" s="1662"/>
    </row>
    <row r="32" spans="1:10" ht="18" customHeight="1">
      <c r="A32" s="2840" t="str">
        <f t="shared" si="0"/>
        <v>＝</v>
      </c>
      <c r="B32" s="2842">
        <v>7098</v>
      </c>
      <c r="C32" s="2073" t="str">
        <f t="shared" si="1"/>
        <v>经营活动现金流出小计</v>
      </c>
      <c r="D32" s="2166"/>
      <c r="E32" s="2123">
        <f>SUM(E22:E31)</f>
        <v>150485862.96000001</v>
      </c>
      <c r="F32" s="2126">
        <f>SUM(F22:F31)</f>
        <v>209313797.88999999</v>
      </c>
      <c r="G32" s="1662"/>
      <c r="H32" s="1662"/>
      <c r="I32" s="1662"/>
      <c r="J32" s="1662"/>
    </row>
    <row r="33" spans="1:10" ht="18" customHeight="1">
      <c r="A33" s="2840" t="str">
        <f t="shared" si="0"/>
        <v>＝</v>
      </c>
      <c r="B33" s="2842">
        <v>7099</v>
      </c>
      <c r="C33" s="2073" t="str">
        <f t="shared" si="1"/>
        <v>经营活动产生的现金流量净额</v>
      </c>
      <c r="D33" s="2166"/>
      <c r="E33" s="2123">
        <f>SUM(E21,-E32)</f>
        <v>30734887.550000001</v>
      </c>
      <c r="F33" s="2126">
        <f>SUM(F21,-F32)</f>
        <v>79775356.629999995</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300300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4370781.55</v>
      </c>
      <c r="F37" s="2126">
        <f>VLOOKUP($B37,Sheet_Trialbal,10,0)</f>
        <v>206034.48</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4370781.55</v>
      </c>
      <c r="F40" s="2126">
        <f>SUM(F35:F39)</f>
        <v>506334.48</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13529178</v>
      </c>
      <c r="F41" s="2126">
        <f>VLOOKUP($B41,Sheet_Trialbal,10,0)</f>
        <v>5355857.1900000004</v>
      </c>
      <c r="G41" s="1662"/>
      <c r="H41" s="1662"/>
      <c r="I41" s="1662"/>
      <c r="J41" s="1662"/>
    </row>
    <row r="42" spans="1:10" ht="18" customHeight="1">
      <c r="A42" s="2840">
        <f t="shared" si="6"/>
        <v>0</v>
      </c>
      <c r="B42" s="2841">
        <v>7161</v>
      </c>
      <c r="C42" s="2077" t="str">
        <f t="shared" si="7"/>
        <v>投资支付的现金</v>
      </c>
      <c r="D42" s="2166"/>
      <c r="E42" s="2123">
        <f>VLOOKUP($B42,Sheet_Trialbal,6,0)</f>
        <v>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13529178</v>
      </c>
      <c r="F46" s="2126">
        <f>SUM(F41:F45)</f>
        <v>5355857.1900000004</v>
      </c>
      <c r="G46" s="1662"/>
      <c r="H46" s="1662"/>
      <c r="I46" s="1662"/>
      <c r="J46" s="1662"/>
    </row>
    <row r="47" spans="1:10" ht="18" customHeight="1">
      <c r="A47" s="2840" t="str">
        <f t="shared" si="6"/>
        <v>＝</v>
      </c>
      <c r="B47" s="2841">
        <v>7199</v>
      </c>
      <c r="C47" s="2073" t="str">
        <f t="shared" si="7"/>
        <v>投资活动产生的现金流量净额</v>
      </c>
      <c r="D47" s="2166"/>
      <c r="E47" s="2123">
        <f>SUM(E40,-E46)</f>
        <v>-9158396.4499999993</v>
      </c>
      <c r="F47" s="2126">
        <f>SUM(F40,-F46)</f>
        <v>-4849522.71</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44850015</v>
      </c>
      <c r="F51" s="2126">
        <f>VLOOKUP($B51,Sheet_Trialbal,10,0)</f>
        <v>0</v>
      </c>
      <c r="G51" s="1662"/>
      <c r="H51" s="1662"/>
      <c r="I51" s="1662"/>
      <c r="J51" s="1662"/>
    </row>
    <row r="52" spans="1:16" ht="18" customHeight="1">
      <c r="A52" s="2840" t="str">
        <f t="shared" si="6"/>
        <v>＝</v>
      </c>
      <c r="B52" s="2842">
        <v>7248</v>
      </c>
      <c r="C52" s="2073" t="str">
        <f t="shared" si="7"/>
        <v>筹资活动现金流入小计</v>
      </c>
      <c r="D52" s="2166"/>
      <c r="E52" s="2123">
        <f>SUM(E49:E51)</f>
        <v>44850015</v>
      </c>
      <c r="F52" s="2126">
        <f>SUM(F49:F51)</f>
        <v>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92712502.170000002</v>
      </c>
      <c r="F55" s="2126">
        <f>VLOOKUP($B55,Sheet_Trialbal,10,0)</f>
        <v>43726400</v>
      </c>
      <c r="G55" s="1662"/>
      <c r="H55" s="1662"/>
      <c r="I55" s="1662"/>
      <c r="J55" s="1662"/>
    </row>
    <row r="56" spans="1:16" ht="18" customHeight="1">
      <c r="A56" s="2840" t="str">
        <f t="shared" si="6"/>
        <v>＝</v>
      </c>
      <c r="B56" s="2842">
        <v>7298</v>
      </c>
      <c r="C56" s="2073" t="str">
        <f t="shared" si="7"/>
        <v>筹资活动现金流出小计</v>
      </c>
      <c r="D56" s="2166"/>
      <c r="E56" s="2123">
        <f>SUM(E53:E55)</f>
        <v>92712502.170000002</v>
      </c>
      <c r="F56" s="2126">
        <f>SUM(F53:F55)</f>
        <v>43726400</v>
      </c>
      <c r="G56" s="1662"/>
      <c r="H56" s="1662"/>
      <c r="I56" s="1662"/>
      <c r="J56" s="1662"/>
    </row>
    <row r="57" spans="1:16" ht="18" customHeight="1">
      <c r="A57" s="2840" t="str">
        <f t="shared" si="6"/>
        <v>＝</v>
      </c>
      <c r="B57" s="2842">
        <v>7299</v>
      </c>
      <c r="C57" s="2073" t="str">
        <f t="shared" si="7"/>
        <v>筹资活动产生的现金流量净额</v>
      </c>
      <c r="D57" s="2166"/>
      <c r="E57" s="2123">
        <f>SUM(E52,-E56)</f>
        <v>-47862487.170000002</v>
      </c>
      <c r="F57" s="2126">
        <f>SUM(F52,-F56)</f>
        <v>-43726400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-664330.32999999996</v>
      </c>
      <c r="F58" s="2126">
        <f>VLOOKUP($B58,Sheet_Trialbal,10,0)</f>
        <v>-241866.28</v>
      </c>
      <c r="G58" s="1662"/>
      <c r="H58" s="1662"/>
      <c r="I58" s="1662"/>
      <c r="J58" s="1662"/>
    </row>
    <row r="59" spans="1:16" ht="18" customHeight="1">
      <c r="A59" s="2840" t="str">
        <f t="shared" si="6"/>
        <v>＝</v>
      </c>
      <c r="B59" s="2842">
        <v>7348</v>
      </c>
      <c r="C59" s="2073" t="str">
        <f t="shared" si="7"/>
        <v>五、现金及现金等价物净增加额</v>
      </c>
      <c r="D59" s="2166"/>
      <c r="E59" s="2123">
        <f>SUM(E33,E47,E57,E58)</f>
        <v>-26950326.399999999</v>
      </c>
      <c r="F59" s="2126">
        <f>SUM(F33,F47,F57,F58)</f>
        <v>30957567.640000001</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35726503</v>
      </c>
      <c r="F60" s="2126">
        <f>VLOOKUP($B60,Sheet_Trialbal,10,0)</f>
        <v>8096082.1600000001</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8776176.5999999996</v>
      </c>
      <c r="F61" s="2162">
        <f>SUM(F59,F60)</f>
        <v>39053649.799999997</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5770</v>
      </c>
      <c r="D65" s="1743"/>
      <c r="E65" s="1744"/>
      <c r="F65" s="1744"/>
      <c r="G65" s="1662"/>
      <c r="H65" s="1662"/>
      <c r="I65" s="1662"/>
      <c r="J65" s="1662"/>
      <c r="K65" s="1662"/>
      <c r="L65" s="1662"/>
      <c r="M65" s="1662"/>
      <c r="N65" s="1662"/>
      <c r="O65" s="1662"/>
      <c r="P65" s="1662"/>
    </row>
    <row r="66" spans="1:16" ht="18">
      <c r="A66" s="2844"/>
      <c r="B66" s="2839"/>
      <c r="C66" s="1745" t="s">
        <v>5771</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-13547600.460000001</v>
      </c>
      <c r="F68" s="1753">
        <f>VLOOKUP(6799,Sheet_Trialbal,10,0)</f>
        <v>27366351.41</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13357245.939999999</v>
      </c>
      <c r="F69" s="1753">
        <f t="shared" ref="F69:F84" si="11">VLOOKUP($B69,Sheet_Trialbal,10,0)</f>
        <v>9046997.6899999995</v>
      </c>
      <c r="G69" s="1749"/>
      <c r="H69" s="1749"/>
      <c r="I69" s="1749"/>
      <c r="J69" s="1662"/>
    </row>
    <row r="70" spans="1:16" ht="18">
      <c r="A70" s="2845"/>
      <c r="B70" s="2842">
        <v>7504</v>
      </c>
      <c r="C70" s="1754" t="str">
        <f t="shared" si="9"/>
        <v>信用减值损失</v>
      </c>
      <c r="D70" s="1751"/>
      <c r="E70" s="1752">
        <f t="shared" si="10"/>
        <v>909636.12</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18205614.109999999</v>
      </c>
      <c r="F71" s="1753">
        <f t="shared" si="11"/>
        <v>20918935.469999999</v>
      </c>
      <c r="G71" s="1749"/>
      <c r="H71" s="1749"/>
      <c r="I71" s="1749"/>
      <c r="J71" s="1662"/>
    </row>
    <row r="72" spans="1:16" ht="18">
      <c r="A72" s="2845">
        <f t="shared" si="8"/>
        <v>0</v>
      </c>
      <c r="B72" s="2842">
        <v>7506</v>
      </c>
      <c r="C72" s="1754" t="str">
        <f t="shared" si="9"/>
        <v>无形资产摊销</v>
      </c>
      <c r="D72" s="1751"/>
      <c r="E72" s="1752">
        <f t="shared" si="10"/>
        <v>507056.61</v>
      </c>
      <c r="F72" s="1753">
        <f t="shared" si="11"/>
        <v>518597.8</v>
      </c>
      <c r="G72" s="1749"/>
      <c r="H72" s="1749"/>
      <c r="I72" s="1749"/>
      <c r="J72" s="1662"/>
    </row>
    <row r="73" spans="1:16" ht="18">
      <c r="A73" s="2845">
        <f t="shared" si="8"/>
        <v>0</v>
      </c>
      <c r="B73" s="2842">
        <v>7507</v>
      </c>
      <c r="C73" s="1754" t="str">
        <f t="shared" si="9"/>
        <v>长期待摊费用摊销</v>
      </c>
      <c r="D73" s="1751"/>
      <c r="E73" s="1752">
        <f t="shared" si="10"/>
        <v>991288.81</v>
      </c>
      <c r="F73" s="1753">
        <f t="shared" si="11"/>
        <v>418055.56</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-4370781.55</v>
      </c>
      <c r="F74" s="1753">
        <f t="shared" si="11"/>
        <v>1081801.72</v>
      </c>
      <c r="G74" s="1749"/>
      <c r="H74" s="1749"/>
      <c r="I74" s="1749"/>
      <c r="J74" s="1662"/>
    </row>
    <row r="75" spans="1:16" ht="18">
      <c r="A75" s="2845">
        <f t="shared" si="8"/>
        <v>0</v>
      </c>
      <c r="B75" s="2842">
        <v>7509</v>
      </c>
      <c r="C75" s="1754" t="str">
        <f t="shared" si="9"/>
        <v>固定资产报废损失（收益以“－”号填列）</v>
      </c>
      <c r="D75" s="1751"/>
      <c r="E75" s="1752">
        <f t="shared" si="10"/>
        <v>1573265.7</v>
      </c>
      <c r="F75" s="1753">
        <f t="shared" si="11"/>
        <v>583996.41</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2758672.02</v>
      </c>
      <c r="F77" s="1753">
        <f t="shared" si="11"/>
        <v>3569013.08</v>
      </c>
      <c r="G77" s="1749"/>
      <c r="H77" s="1749"/>
      <c r="I77" s="1749"/>
      <c r="J77" s="1662"/>
    </row>
    <row r="78" spans="1:16" ht="18">
      <c r="A78" s="2845">
        <f t="shared" si="8"/>
        <v>0</v>
      </c>
      <c r="B78" s="2842">
        <v>7512</v>
      </c>
      <c r="C78" s="1754" t="str">
        <f t="shared" si="9"/>
        <v>投资损失（收益以“－”号填列）</v>
      </c>
      <c r="D78" s="1751"/>
      <c r="E78" s="1752">
        <f t="shared" si="10"/>
        <v>0</v>
      </c>
      <c r="F78" s="1753">
        <f t="shared" si="11"/>
        <v>-300300</v>
      </c>
      <c r="G78" s="1749"/>
      <c r="H78" s="1749"/>
      <c r="I78" s="1749"/>
      <c r="J78" s="1662"/>
    </row>
    <row r="79" spans="1:16" ht="18">
      <c r="A79" s="2845">
        <f t="shared" si="8"/>
        <v>0</v>
      </c>
      <c r="B79" s="2842">
        <v>7515</v>
      </c>
      <c r="C79" s="1754" t="str">
        <f t="shared" si="9"/>
        <v>递延所得税资产减少（增加以“－”号填列）</v>
      </c>
      <c r="D79" s="1751"/>
      <c r="E79" s="1752">
        <f t="shared" si="10"/>
        <v>-1147332.1499999999</v>
      </c>
      <c r="F79" s="1753">
        <f t="shared" si="11"/>
        <v>-2030493.73</v>
      </c>
      <c r="G79" s="1749"/>
      <c r="H79" s="1749"/>
      <c r="I79" s="1749"/>
      <c r="J79" s="1662"/>
    </row>
    <row r="80" spans="1:16" ht="18">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8">
      <c r="A81" s="2845">
        <f t="shared" si="8"/>
        <v>0</v>
      </c>
      <c r="B81" s="2842">
        <v>7517</v>
      </c>
      <c r="C81" s="1754" t="str">
        <f t="shared" si="9"/>
        <v>存货的减少（增加以“－”号填列）</v>
      </c>
      <c r="D81" s="1751"/>
      <c r="E81" s="1752">
        <f t="shared" si="10"/>
        <v>12779747.49</v>
      </c>
      <c r="F81" s="1753">
        <f t="shared" si="11"/>
        <v>-18584625.84</v>
      </c>
      <c r="G81" s="1749"/>
      <c r="H81" s="1749"/>
      <c r="I81" s="1749"/>
      <c r="J81" s="1662"/>
    </row>
    <row r="82" spans="1:10" ht="18">
      <c r="A82" s="2845">
        <f t="shared" si="8"/>
        <v>0</v>
      </c>
      <c r="B82" s="2842">
        <v>7518</v>
      </c>
      <c r="C82" s="1754" t="str">
        <f t="shared" si="9"/>
        <v>经营性应收项目的减少（增加以“－”号填列）</v>
      </c>
      <c r="D82" s="1751"/>
      <c r="E82" s="1752">
        <f t="shared" si="10"/>
        <v>-20087869.739999998</v>
      </c>
      <c r="F82" s="1753">
        <f t="shared" si="11"/>
        <v>82970816.75</v>
      </c>
      <c r="G82" s="1749"/>
      <c r="H82" s="1749"/>
      <c r="I82" s="1749"/>
      <c r="J82" s="1662"/>
    </row>
    <row r="83" spans="1:10" ht="18">
      <c r="A83" s="2845">
        <f t="shared" si="8"/>
        <v>0</v>
      </c>
      <c r="B83" s="2842">
        <v>7519</v>
      </c>
      <c r="C83" s="1754" t="str">
        <f t="shared" si="9"/>
        <v>经营性应付项目的增加（减少以“－”号填列）</v>
      </c>
      <c r="D83" s="1751"/>
      <c r="E83" s="1752">
        <f t="shared" si="10"/>
        <v>22638982.079999998</v>
      </c>
      <c r="F83" s="1753">
        <f t="shared" si="11"/>
        <v>-47532373.100000001</v>
      </c>
      <c r="G83" s="1749"/>
      <c r="H83" s="1749"/>
      <c r="I83" s="1749"/>
      <c r="J83" s="1662"/>
    </row>
    <row r="84" spans="1:10" ht="18">
      <c r="A84" s="2845">
        <f t="shared" si="8"/>
        <v>0</v>
      </c>
      <c r="B84" s="2842">
        <v>7523</v>
      </c>
      <c r="C84" s="1754" t="str">
        <f t="shared" si="9"/>
        <v>其他</v>
      </c>
      <c r="D84" s="1751"/>
      <c r="E84" s="1752">
        <f t="shared" si="10"/>
        <v>-3833037.43</v>
      </c>
      <c r="F84" s="1753">
        <f t="shared" si="11"/>
        <v>1748583.41</v>
      </c>
      <c r="G84" s="1749"/>
      <c r="H84" s="1749"/>
      <c r="I84" s="1749"/>
      <c r="J84" s="1662"/>
    </row>
    <row r="85" spans="1:10" ht="18">
      <c r="A85" s="2845" t="str">
        <f t="shared" si="8"/>
        <v>＝</v>
      </c>
      <c r="B85" s="2842">
        <v>7525</v>
      </c>
      <c r="C85" s="1755" t="str">
        <f t="shared" si="9"/>
        <v>经营活动产生的现金流量净额</v>
      </c>
      <c r="D85" s="1751"/>
      <c r="E85" s="1756">
        <f>SUM(E68:E84)</f>
        <v>30734887.550000001</v>
      </c>
      <c r="F85" s="1757">
        <f>SUM(F68:F84)</f>
        <v>79775356.629999995</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6681834.9100000001</v>
      </c>
      <c r="F91" s="1753">
        <f>VLOOKUP($B91,Sheet_Trialbal,10,0)</f>
        <v>35726503</v>
      </c>
      <c r="G91" s="1749"/>
      <c r="H91" s="1749"/>
      <c r="I91" s="1749"/>
      <c r="J91" s="1662"/>
    </row>
    <row r="92" spans="1:10" ht="18">
      <c r="A92" s="2845">
        <f t="shared" si="8"/>
        <v>0</v>
      </c>
      <c r="B92" s="2842">
        <v>7536</v>
      </c>
      <c r="C92" s="1754" t="str">
        <f t="shared" si="9"/>
        <v>减：现金的年初余额</v>
      </c>
      <c r="D92" s="1751"/>
      <c r="E92" s="1752">
        <f>VLOOKUP($B92,Sheet_Trialbal,6,0)</f>
        <v>35726503</v>
      </c>
      <c r="F92" s="1753">
        <f>VLOOKUP($B92,Sheet_Trialbal,10,0)</f>
        <v>8096082.1600000001</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-29044668.09</v>
      </c>
      <c r="F95" s="1761">
        <f>SUM(F91,-F92,F93,-F94)</f>
        <v>27630420.84</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5772</v>
      </c>
      <c r="D97" s="1766"/>
      <c r="E97" s="1767"/>
      <c r="F97" s="1768"/>
      <c r="G97" s="1769"/>
      <c r="H97" s="1769"/>
      <c r="I97" s="1749"/>
      <c r="J97" s="1662"/>
    </row>
    <row r="98" spans="1:10" ht="18">
      <c r="A98" s="2845"/>
      <c r="B98" s="2842"/>
      <c r="C98" s="1770" t="s">
        <v>5773</v>
      </c>
      <c r="D98" s="1771"/>
      <c r="E98" s="1772" t="s">
        <v>2577</v>
      </c>
      <c r="F98" s="1773" t="s">
        <v>2578</v>
      </c>
      <c r="G98" s="1769"/>
      <c r="H98" s="1769"/>
      <c r="I98" s="1749"/>
      <c r="J98" s="1662"/>
    </row>
    <row r="99" spans="1:10" ht="18">
      <c r="A99" s="2845"/>
      <c r="B99" s="2842"/>
      <c r="C99" s="1774" t="s">
        <v>5774</v>
      </c>
      <c r="D99" s="1775"/>
      <c r="E99" s="1776"/>
      <c r="F99" s="1777"/>
      <c r="G99" s="853"/>
      <c r="H99" s="853"/>
      <c r="I99" s="1749"/>
      <c r="J99" s="1662"/>
    </row>
    <row r="100" spans="1:10" ht="18">
      <c r="A100" s="2845"/>
      <c r="B100" s="2842"/>
      <c r="C100" s="1778" t="str">
        <f>C60&amp;" | "&amp;E98</f>
        <v>加：期初现金及现金等价物余额 | 本期金额</v>
      </c>
      <c r="D100" s="1775" t="s">
        <v>5775</v>
      </c>
      <c r="E100" s="1779">
        <f>E60</f>
        <v>35726503</v>
      </c>
      <c r="F100" s="1780"/>
      <c r="G100" s="853"/>
      <c r="H100" s="853"/>
      <c r="I100" s="1749"/>
      <c r="J100" s="1662"/>
    </row>
    <row r="101" spans="1:10" ht="18">
      <c r="A101" s="2845"/>
      <c r="B101" s="2842"/>
      <c r="C101" s="1778" t="str">
        <f>C61&amp;" | "&amp;F98</f>
        <v>六、期末现金及现金等价物余额 | 上期金额</v>
      </c>
      <c r="D101" s="1775" t="s">
        <v>5775</v>
      </c>
      <c r="E101" s="1779">
        <f>F61</f>
        <v>39053649.799999997</v>
      </c>
      <c r="F101" s="1780"/>
      <c r="G101" s="853"/>
      <c r="H101" s="853"/>
      <c r="I101" s="1749"/>
      <c r="J101" s="1662"/>
    </row>
    <row r="102" spans="1:10" ht="18.75" thickBot="1">
      <c r="A102" s="2845"/>
      <c r="B102" s="2842"/>
      <c r="C102" s="1781" t="s">
        <v>5776</v>
      </c>
      <c r="D102" s="1775"/>
      <c r="E102" s="1782">
        <f>ROUND(E100-E101,2)</f>
        <v>-3327146.8</v>
      </c>
      <c r="F102" s="1783"/>
      <c r="G102" s="853"/>
      <c r="H102" s="853"/>
      <c r="I102" s="1749"/>
      <c r="J102" s="1662"/>
    </row>
    <row r="103" spans="1:10" ht="18.75" thickTop="1">
      <c r="A103" s="2845"/>
      <c r="B103" s="2842"/>
      <c r="C103" s="1784" t="s">
        <v>5777</v>
      </c>
      <c r="D103" s="1775"/>
      <c r="E103" s="1785" t="str">
        <f>IF(E102=0,"√","×")</f>
        <v>×</v>
      </c>
      <c r="F103" s="1786"/>
      <c r="G103" s="853"/>
      <c r="H103" s="853"/>
      <c r="I103" s="1749"/>
      <c r="J103" s="1662"/>
    </row>
    <row r="104" spans="1:10" ht="18">
      <c r="A104" s="2845"/>
      <c r="B104" s="2842"/>
      <c r="C104" s="1787" t="s">
        <v>5778</v>
      </c>
      <c r="D104" s="1775"/>
      <c r="E104" s="1776"/>
      <c r="F104" s="1777"/>
      <c r="G104" s="853"/>
      <c r="H104" s="853"/>
      <c r="I104" s="1749"/>
      <c r="J104" s="1662"/>
    </row>
    <row r="105" spans="1:10" ht="18">
      <c r="A105" s="2845"/>
      <c r="B105" s="2842"/>
      <c r="C105" s="1788" t="str">
        <f>C68</f>
        <v>净利润</v>
      </c>
      <c r="D105" s="1775" t="s">
        <v>5775</v>
      </c>
      <c r="E105" s="1779">
        <f>E68</f>
        <v>-13547600.460000001</v>
      </c>
      <c r="F105" s="1780">
        <f>F68</f>
        <v>27366351.41</v>
      </c>
      <c r="G105" s="853"/>
      <c r="H105" s="853"/>
      <c r="I105" s="1749"/>
      <c r="J105" s="1662"/>
    </row>
    <row r="106" spans="1:10" ht="18">
      <c r="A106" s="2845"/>
      <c r="B106" s="2842">
        <v>6799</v>
      </c>
      <c r="C106" s="1778" t="str">
        <f>VLOOKUP($B106,Sheet_Items,2,0)</f>
        <v>净利润</v>
      </c>
      <c r="D106" s="1775" t="s">
        <v>5779</v>
      </c>
      <c r="E106" s="1779">
        <f>IncomeStatement!E43</f>
        <v>-13547600.460000001</v>
      </c>
      <c r="F106" s="1780">
        <f>IncomeStatement!F43</f>
        <v>27366351.41</v>
      </c>
      <c r="G106" s="853"/>
      <c r="H106" s="853"/>
      <c r="I106" s="1749"/>
      <c r="J106" s="1662"/>
    </row>
    <row r="107" spans="1:10" ht="18.75" thickBot="1">
      <c r="A107" s="2845"/>
      <c r="B107" s="2842"/>
      <c r="C107" s="1781" t="s">
        <v>5776</v>
      </c>
      <c r="D107" s="1775"/>
      <c r="E107" s="1782">
        <f>ROUND(E105-E106,2)</f>
        <v>0</v>
      </c>
      <c r="F107" s="1783">
        <f>ROUND(F105-F106,2)</f>
        <v>0</v>
      </c>
      <c r="G107" s="853"/>
      <c r="H107" s="853"/>
      <c r="I107" s="1749"/>
      <c r="J107" s="1662"/>
    </row>
    <row r="108" spans="1:10" ht="18.75" thickTop="1">
      <c r="A108" s="2845"/>
      <c r="B108" s="2842"/>
      <c r="C108" s="1784" t="s">
        <v>5777</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5775</v>
      </c>
      <c r="E110" s="1779">
        <f>E85</f>
        <v>30734887.550000001</v>
      </c>
      <c r="F110" s="1780">
        <f>F85</f>
        <v>79775356.629999995</v>
      </c>
      <c r="G110" s="853"/>
      <c r="H110" s="853"/>
      <c r="I110" s="1749"/>
      <c r="J110" s="1662"/>
    </row>
    <row r="111" spans="1:10" ht="18">
      <c r="A111" s="2845"/>
      <c r="B111" s="2842">
        <v>7099</v>
      </c>
      <c r="C111" s="1778" t="str">
        <f>C33&amp;"（主表）"</f>
        <v>经营活动产生的现金流量净额（主表）</v>
      </c>
      <c r="D111" s="1775" t="s">
        <v>5775</v>
      </c>
      <c r="E111" s="1779">
        <f>E33</f>
        <v>30734887.550000001</v>
      </c>
      <c r="F111" s="1780">
        <f>F33</f>
        <v>79775356.629999995</v>
      </c>
      <c r="G111" s="853"/>
      <c r="H111" s="853"/>
      <c r="I111" s="1749"/>
      <c r="J111" s="1662"/>
    </row>
    <row r="112" spans="1:10" ht="18.75" thickBot="1">
      <c r="A112" s="2845"/>
      <c r="B112" s="2842"/>
      <c r="C112" s="1781" t="s">
        <v>5776</v>
      </c>
      <c r="D112" s="1775"/>
      <c r="E112" s="1782">
        <f>ROUND(E110-E111,2)</f>
        <v>0</v>
      </c>
      <c r="F112" s="1783">
        <f>ROUND(F110-F111,2)</f>
        <v>0</v>
      </c>
      <c r="G112" s="853"/>
      <c r="H112" s="853"/>
      <c r="I112" s="1749"/>
      <c r="J112" s="1662"/>
    </row>
    <row r="113" spans="1:10" ht="18.75" thickTop="1">
      <c r="A113" s="2845"/>
      <c r="B113" s="2848"/>
      <c r="C113" s="1784" t="s">
        <v>5777</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5775</v>
      </c>
      <c r="E114" s="1779">
        <f>SUM(E91,E93)</f>
        <v>6681834.9100000001</v>
      </c>
      <c r="F114" s="1780">
        <f>SUM(F91,F93)</f>
        <v>35726503</v>
      </c>
      <c r="G114" s="853"/>
      <c r="H114" s="853"/>
      <c r="I114" s="1749"/>
      <c r="J114" s="1662"/>
    </row>
    <row r="115" spans="1:10" ht="18">
      <c r="A115" s="2845"/>
      <c r="B115" s="2848">
        <v>7399</v>
      </c>
      <c r="C115" s="1778" t="str">
        <f>C61&amp;"（主表）"</f>
        <v>六、期末现金及现金等价物余额（主表）</v>
      </c>
      <c r="D115" s="1775" t="s">
        <v>5775</v>
      </c>
      <c r="E115" s="1779">
        <f>E61</f>
        <v>8776176.5999999996</v>
      </c>
      <c r="F115" s="1780">
        <f>F61</f>
        <v>39053649.799999997</v>
      </c>
      <c r="G115" s="853"/>
      <c r="H115" s="853"/>
      <c r="I115" s="1749"/>
      <c r="J115" s="1662"/>
    </row>
    <row r="116" spans="1:10" ht="18.75" thickBot="1">
      <c r="A116" s="2845"/>
      <c r="B116" s="2848"/>
      <c r="C116" s="1781" t="s">
        <v>5776</v>
      </c>
      <c r="D116" s="1775"/>
      <c r="E116" s="1782">
        <f>ROUND(E114-E115,2)</f>
        <v>-2094341.69</v>
      </c>
      <c r="F116" s="1783">
        <f>ROUND(F114-F115,2)</f>
        <v>-3327146.8</v>
      </c>
      <c r="G116" s="853"/>
      <c r="H116" s="853"/>
      <c r="I116" s="1749"/>
      <c r="J116" s="1662"/>
    </row>
    <row r="117" spans="1:10" ht="18.75" thickTop="1">
      <c r="A117" s="2845"/>
      <c r="B117" s="2848"/>
      <c r="C117" s="1784" t="s">
        <v>5777</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5775</v>
      </c>
      <c r="E118" s="1779">
        <f>SUM(E92,E94)</f>
        <v>35726503</v>
      </c>
      <c r="F118" s="1780">
        <f>SUM(F92,F94)</f>
        <v>8096082.1600000001</v>
      </c>
      <c r="G118" s="853"/>
      <c r="H118" s="853"/>
      <c r="I118" s="1749"/>
      <c r="J118" s="1662"/>
    </row>
    <row r="119" spans="1:10" ht="18">
      <c r="A119" s="2845"/>
      <c r="B119" s="2848">
        <v>7349</v>
      </c>
      <c r="C119" s="1778" t="str">
        <f>C60&amp;"（主表）"</f>
        <v>加：期初现金及现金等价物余额（主表）</v>
      </c>
      <c r="D119" s="1775" t="s">
        <v>5775</v>
      </c>
      <c r="E119" s="1779">
        <f>E60</f>
        <v>35726503</v>
      </c>
      <c r="F119" s="1780">
        <f>F60</f>
        <v>8096082.1600000001</v>
      </c>
      <c r="G119" s="853"/>
      <c r="H119" s="853"/>
      <c r="I119" s="1749"/>
      <c r="J119" s="1662"/>
    </row>
    <row r="120" spans="1:10" ht="18.75" thickBot="1">
      <c r="A120" s="2845"/>
      <c r="B120" s="2848"/>
      <c r="C120" s="1781" t="s">
        <v>5776</v>
      </c>
      <c r="D120" s="1775"/>
      <c r="E120" s="1782">
        <f>ROUND(E118-E119,2)</f>
        <v>0</v>
      </c>
      <c r="F120" s="1783">
        <f>ROUND(F118-F119,2)</f>
        <v>0</v>
      </c>
      <c r="G120" s="853"/>
      <c r="H120" s="853"/>
      <c r="I120" s="1749"/>
      <c r="J120" s="1662"/>
    </row>
    <row r="121" spans="1:10" ht="18.75" thickTop="1">
      <c r="A121" s="2845"/>
      <c r="B121" s="2848"/>
      <c r="C121" s="1784" t="s">
        <v>5777</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5775</v>
      </c>
      <c r="E122" s="1779">
        <f>E95</f>
        <v>-29044668.09</v>
      </c>
      <c r="F122" s="1780">
        <f>F95</f>
        <v>27630420.84</v>
      </c>
      <c r="G122" s="853"/>
      <c r="H122" s="853"/>
      <c r="I122" s="1749"/>
      <c r="J122" s="1662"/>
    </row>
    <row r="123" spans="1:10" ht="18">
      <c r="A123" s="2845"/>
      <c r="B123" s="2848">
        <v>7348</v>
      </c>
      <c r="C123" s="1778" t="str">
        <f>C59&amp;"（主表）"</f>
        <v>五、现金及现金等价物净增加额（主表）</v>
      </c>
      <c r="D123" s="1775" t="s">
        <v>5780</v>
      </c>
      <c r="E123" s="1779">
        <f>E59</f>
        <v>-26950326.399999999</v>
      </c>
      <c r="F123" s="1780">
        <f>F59</f>
        <v>30957567.640000001</v>
      </c>
      <c r="G123" s="853"/>
      <c r="H123" s="853"/>
      <c r="I123" s="1749"/>
      <c r="J123" s="1662"/>
    </row>
    <row r="124" spans="1:10" ht="18.75" thickBot="1">
      <c r="A124" s="2845"/>
      <c r="B124" s="2848"/>
      <c r="C124" s="1781" t="s">
        <v>5769</v>
      </c>
      <c r="D124" s="1775"/>
      <c r="E124" s="1782">
        <f>ROUND(E122-E123,2)</f>
        <v>-2094341.69</v>
      </c>
      <c r="F124" s="1783">
        <f>ROUND(F122-F123,2)</f>
        <v>-3327146.8</v>
      </c>
      <c r="G124" s="853"/>
      <c r="H124" s="853"/>
      <c r="I124" s="1749"/>
      <c r="J124" s="1662"/>
    </row>
    <row r="125" spans="1:10" ht="18.75" thickTop="1">
      <c r="A125" s="2845"/>
      <c r="B125" s="2848"/>
      <c r="C125" s="1784" t="s">
        <v>5766</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-7515830.1799999997</v>
      </c>
      <c r="F126" s="1792">
        <f>SUMIF($C99:$C125,"差       异",F99:F125)</f>
        <v>-6654293.5999999996</v>
      </c>
      <c r="G126" s="850"/>
      <c r="H126" s="1793" t="str">
        <f>IF(E126+F126=0,"Balanced","Diff "&amp;TEXT(ROUND(E126+F126,2),"#,###.00"))</f>
        <v>Diff -14,170,123.78</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8" priority="6" stopIfTrue="1" operator="notEqual">
      <formula>0</formula>
    </cfRule>
  </conditionalFormatting>
  <conditionalFormatting sqref="C97:D97 D98">
    <cfRule type="expression" dxfId="3857" priority="5" stopIfTrue="1">
      <formula>#REF!=TRUE</formula>
    </cfRule>
  </conditionalFormatting>
  <conditionalFormatting sqref="E126:F126 E112:F112 E107:F107 E116:F116 E120:F120 E124:F124 E102:F102">
    <cfRule type="cellIs" dxfId="3856" priority="4" stopIfTrue="1" operator="notEqual">
      <formula>0</formula>
    </cfRule>
  </conditionalFormatting>
  <conditionalFormatting sqref="E126:F126 E112:F112 E107:F107 E116:F116 E120:F120 E124:F124 E102:F102">
    <cfRule type="cellIs" dxfId="3855" priority="3" stopIfTrue="1" operator="notEqual">
      <formula>0</formula>
    </cfRule>
  </conditionalFormatting>
  <conditionalFormatting sqref="C97:D97 D98">
    <cfRule type="expression" dxfId="3854" priority="2" stopIfTrue="1">
      <formula>#REF!=TRUE</formula>
    </cfRule>
  </conditionalFormatting>
  <conditionalFormatting sqref="E126:F126 E112:F112 E107:F107 E116:F116 E120:F120 E124:F124 E102:F102">
    <cfRule type="cellIs" dxfId="3853"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5781</v>
      </c>
      <c r="E2" s="1798" t="s">
        <v>2593</v>
      </c>
      <c r="F2" s="1798" t="s">
        <v>2594</v>
      </c>
      <c r="G2" s="1798" t="s">
        <v>2595</v>
      </c>
      <c r="H2" s="1798" t="s">
        <v>5782</v>
      </c>
      <c r="I2" s="1798" t="s">
        <v>5783</v>
      </c>
      <c r="J2" s="1798" t="s">
        <v>2598</v>
      </c>
      <c r="K2" s="1798" t="s">
        <v>5784</v>
      </c>
      <c r="L2" s="1798" t="s">
        <v>5785</v>
      </c>
      <c r="M2" s="1798" t="s">
        <v>5786</v>
      </c>
      <c r="N2" s="1798" t="s">
        <v>5787</v>
      </c>
      <c r="O2" s="1798" t="s">
        <v>5788</v>
      </c>
      <c r="P2" s="1798" t="s">
        <v>5789</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5790</v>
      </c>
      <c r="C3" s="2083"/>
      <c r="D3" s="2083"/>
      <c r="E3" s="2083"/>
      <c r="F3" s="2083"/>
      <c r="G3" s="2083"/>
      <c r="H3" s="2083" t="s">
        <v>974</v>
      </c>
      <c r="I3" s="2083"/>
      <c r="J3" s="2083"/>
      <c r="K3" s="2083"/>
      <c r="L3" s="2083"/>
      <c r="M3" s="2083"/>
      <c r="N3" s="2083"/>
      <c r="O3" s="2083"/>
      <c r="P3" s="2083"/>
      <c r="Q3" s="2084"/>
      <c r="R3" s="2083"/>
      <c r="S3" s="2083"/>
      <c r="T3" s="2084" t="s">
        <v>5850</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编制单位：山东天安化工股份有限公司</v>
      </c>
      <c r="D5" s="2089"/>
      <c r="E5" s="2090"/>
      <c r="F5" s="2090"/>
      <c r="G5" s="2090"/>
      <c r="H5" s="2090"/>
      <c r="I5" s="2090"/>
      <c r="J5" s="2090"/>
      <c r="K5" s="2090"/>
      <c r="L5" s="2090"/>
      <c r="M5" s="2091" t="s">
        <v>5791</v>
      </c>
      <c r="N5" s="2090"/>
      <c r="O5" s="2090"/>
      <c r="P5" s="2090"/>
      <c r="Q5" s="2089"/>
      <c r="R5" s="2090"/>
      <c r="S5" s="2090"/>
      <c r="T5" s="2090"/>
      <c r="U5" s="2090"/>
      <c r="V5" s="2090"/>
      <c r="W5" s="2090"/>
      <c r="X5" s="2090"/>
      <c r="Y5" s="2090"/>
      <c r="Z5" s="2091" t="s">
        <v>5791</v>
      </c>
      <c r="AA5" s="2090"/>
      <c r="AB5" s="2090"/>
      <c r="AC5" s="2090"/>
      <c r="AD5" s="849"/>
      <c r="AE5" s="849"/>
      <c r="AF5" s="849"/>
      <c r="AG5" s="849"/>
    </row>
    <row r="6" spans="1:33" ht="18.75" customHeight="1">
      <c r="A6" s="1794"/>
      <c r="B6" s="1794"/>
      <c r="C6" s="2896"/>
      <c r="D6" s="3452" t="str">
        <f>Lead!$F$7</f>
        <v>2019年度</v>
      </c>
      <c r="E6" s="3452"/>
      <c r="F6" s="3452"/>
      <c r="G6" s="3452"/>
      <c r="H6" s="3452"/>
      <c r="I6" s="3452"/>
      <c r="J6" s="3452"/>
      <c r="K6" s="3452"/>
      <c r="L6" s="3452"/>
      <c r="M6" s="3452"/>
      <c r="N6" s="3452"/>
      <c r="O6" s="3452"/>
      <c r="P6" s="3453"/>
      <c r="Q6" s="3454" t="str">
        <f>Lead!$F$8</f>
        <v>2018年度</v>
      </c>
      <c r="R6" s="3452"/>
      <c r="S6" s="3452"/>
      <c r="T6" s="3452"/>
      <c r="U6" s="3452"/>
      <c r="V6" s="3452"/>
      <c r="W6" s="3452"/>
      <c r="X6" s="3452"/>
      <c r="Y6" s="3452"/>
      <c r="Z6" s="3452"/>
      <c r="AA6" s="3452"/>
      <c r="AB6" s="3452"/>
      <c r="AC6" s="3453"/>
      <c r="AD6" s="1801"/>
      <c r="AE6" s="1801"/>
      <c r="AF6" s="1801"/>
      <c r="AG6" s="1801"/>
    </row>
    <row r="7" spans="1:33" ht="18" customHeight="1">
      <c r="A7" s="1794" t="s">
        <v>2556</v>
      </c>
      <c r="B7" s="1794" t="s">
        <v>2558</v>
      </c>
      <c r="C7" s="2897" t="s">
        <v>5132</v>
      </c>
      <c r="D7" s="3455" t="s">
        <v>5849</v>
      </c>
      <c r="E7" s="3456" t="s">
        <v>5793</v>
      </c>
      <c r="F7" s="3456"/>
      <c r="G7" s="3456"/>
      <c r="H7" s="3450" t="s">
        <v>592</v>
      </c>
      <c r="I7" s="3450" t="s">
        <v>682</v>
      </c>
      <c r="J7" s="3450" t="s">
        <v>5794</v>
      </c>
      <c r="K7" s="3450" t="s">
        <v>627</v>
      </c>
      <c r="L7" s="3450" t="s">
        <v>602</v>
      </c>
      <c r="M7" s="3450" t="s">
        <v>2613</v>
      </c>
      <c r="N7" s="3450" t="s">
        <v>611</v>
      </c>
      <c r="O7" s="3450" t="s">
        <v>932</v>
      </c>
      <c r="P7" s="3451" t="s">
        <v>5874</v>
      </c>
      <c r="Q7" s="3457" t="s">
        <v>5849</v>
      </c>
      <c r="R7" s="3456" t="s">
        <v>5793</v>
      </c>
      <c r="S7" s="3456"/>
      <c r="T7" s="3456"/>
      <c r="U7" s="3450" t="s">
        <v>592</v>
      </c>
      <c r="V7" s="3450" t="s">
        <v>682</v>
      </c>
      <c r="W7" s="3450" t="s">
        <v>5794</v>
      </c>
      <c r="X7" s="3450" t="s">
        <v>627</v>
      </c>
      <c r="Y7" s="3450" t="s">
        <v>602</v>
      </c>
      <c r="Z7" s="3450" t="s">
        <v>2613</v>
      </c>
      <c r="AA7" s="3450" t="s">
        <v>611</v>
      </c>
      <c r="AB7" s="3450" t="s">
        <v>932</v>
      </c>
      <c r="AC7" s="3451" t="s">
        <v>2614</v>
      </c>
      <c r="AD7" s="1804"/>
      <c r="AE7" s="1801"/>
      <c r="AF7" s="1801"/>
      <c r="AG7" s="1801"/>
    </row>
    <row r="8" spans="1:33" ht="18" customHeight="1">
      <c r="A8" s="1794"/>
      <c r="B8" s="1794"/>
      <c r="C8" s="2174" t="s">
        <v>5759</v>
      </c>
      <c r="D8" s="3455"/>
      <c r="E8" s="2175" t="s">
        <v>2662</v>
      </c>
      <c r="F8" s="2175" t="s">
        <v>2663</v>
      </c>
      <c r="G8" s="2175" t="s">
        <v>932</v>
      </c>
      <c r="H8" s="3450"/>
      <c r="I8" s="3450"/>
      <c r="J8" s="3450"/>
      <c r="K8" s="3450"/>
      <c r="L8" s="3450"/>
      <c r="M8" s="3450"/>
      <c r="N8" s="3450"/>
      <c r="O8" s="3450"/>
      <c r="P8" s="3451"/>
      <c r="Q8" s="3457"/>
      <c r="R8" s="2175" t="s">
        <v>2662</v>
      </c>
      <c r="S8" s="2175" t="s">
        <v>2663</v>
      </c>
      <c r="T8" s="2175" t="s">
        <v>932</v>
      </c>
      <c r="U8" s="3450"/>
      <c r="V8" s="3450"/>
      <c r="W8" s="3450"/>
      <c r="X8" s="3450"/>
      <c r="Y8" s="3450"/>
      <c r="Z8" s="3450"/>
      <c r="AA8" s="3450"/>
      <c r="AB8" s="3450"/>
      <c r="AC8" s="3451"/>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85691911</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238420255.88999999</v>
      </c>
      <c r="I9" s="2169">
        <f t="shared" si="2"/>
        <v>0</v>
      </c>
      <c r="J9" s="2169">
        <f>IF(ISERROR(VLOOKUP(J$2&amp;$B9,Sheet_Trialbal,6,0)),0,VLOOKUP(J$2&amp;$B9,Sheet_Trialbal,6,0))</f>
        <v>0</v>
      </c>
      <c r="K9" s="2169">
        <f t="shared" ref="K9:O12" si="3">IF(ISERROR(VLOOKUP(VALUE(K$2&amp;$B9),Sheet_Trialbal,6,0)),0,VLOOKUP(VALUE(K$2&amp;$B9),Sheet_Trialbal,6,0))</f>
        <v>8378246.8099999996</v>
      </c>
      <c r="L9" s="2169">
        <f t="shared" si="3"/>
        <v>4637867.0999999996</v>
      </c>
      <c r="M9" s="2169">
        <f t="shared" si="3"/>
        <v>0</v>
      </c>
      <c r="N9" s="2169">
        <f t="shared" si="3"/>
        <v>-145316230.15000001</v>
      </c>
      <c r="O9" s="2169">
        <f t="shared" si="3"/>
        <v>0</v>
      </c>
      <c r="P9" s="2180">
        <f t="shared" ref="P9:P36" si="4">SUM(D9:H9,-I9,J9:O9)</f>
        <v>191812050.65000001</v>
      </c>
      <c r="Q9" s="2178">
        <f>IF(ISERROR(VLOOKUP(VALUE(Q$2&amp;$B9),Sheet_Trialbal,10,0)),0,VLOOKUP(VALUE(Q$2&amp;$B9),Sheet_Trialbal,10,0))</f>
        <v>85691911</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238420255.88999999</v>
      </c>
      <c r="V9" s="2170">
        <f t="shared" si="6"/>
        <v>0</v>
      </c>
      <c r="W9" s="2170">
        <f ca="1">IF(ISERROR(VLOOKUP(W$2&amp;$B9,Sheet_Trialbal,10,0)),0,VLOOKUP(W$2&amp;$B9,Sheet_Trialbal,10,0))</f>
        <v>0</v>
      </c>
      <c r="X9" s="2170">
        <f t="shared" ref="X9:AB12" si="7">IF(ISERROR(VLOOKUP(VALUE(X$2&amp;$B9),Sheet_Trialbal,10,0)),0,VLOOKUP(VALUE(X$2&amp;$B9),Sheet_Trialbal,10,0))</f>
        <v>6629663.4000000004</v>
      </c>
      <c r="Y9" s="2170">
        <f t="shared" si="7"/>
        <v>1901231.96</v>
      </c>
      <c r="Z9" s="2170">
        <f t="shared" si="7"/>
        <v>0</v>
      </c>
      <c r="AA9" s="2170">
        <f t="shared" si="7"/>
        <v>-169945946.41999999</v>
      </c>
      <c r="AB9" s="2170">
        <f t="shared" si="7"/>
        <v>0</v>
      </c>
      <c r="AC9" s="2171">
        <f t="shared" ref="AC9:AC36" ca="1" si="8">SUM(Q9:U9,-V9,W9:AB9)</f>
        <v>162697115.83000001</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-54752.29</v>
      </c>
      <c r="O10" s="2169">
        <f t="shared" si="3"/>
        <v>0</v>
      </c>
      <c r="P10" s="2180">
        <f t="shared" si="4"/>
        <v>-54752.29</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85691911</v>
      </c>
      <c r="E13" s="2169">
        <f t="shared" si="9"/>
        <v>0</v>
      </c>
      <c r="F13" s="2169">
        <f t="shared" si="9"/>
        <v>0</v>
      </c>
      <c r="G13" s="2169">
        <f t="shared" si="9"/>
        <v>0</v>
      </c>
      <c r="H13" s="2169">
        <f t="shared" si="9"/>
        <v>238420255.88999999</v>
      </c>
      <c r="I13" s="2169">
        <f t="shared" si="9"/>
        <v>0</v>
      </c>
      <c r="J13" s="2169">
        <f t="shared" si="9"/>
        <v>0</v>
      </c>
      <c r="K13" s="2169">
        <f t="shared" si="9"/>
        <v>8378246.8099999996</v>
      </c>
      <c r="L13" s="2169">
        <f t="shared" si="9"/>
        <v>4637867.0999999996</v>
      </c>
      <c r="M13" s="2169">
        <f t="shared" si="9"/>
        <v>0</v>
      </c>
      <c r="N13" s="2169">
        <f t="shared" si="9"/>
        <v>-145370982.44</v>
      </c>
      <c r="O13" s="2169">
        <f t="shared" si="9"/>
        <v>0</v>
      </c>
      <c r="P13" s="2180">
        <f t="shared" si="4"/>
        <v>191757298.36000001</v>
      </c>
      <c r="Q13" s="2178">
        <f t="shared" ref="Q13:AB13" si="10">SUM(Q9:Q12)</f>
        <v>85691911</v>
      </c>
      <c r="R13" s="2170">
        <f t="shared" ca="1" si="10"/>
        <v>0</v>
      </c>
      <c r="S13" s="2170">
        <f t="shared" ca="1" si="10"/>
        <v>0</v>
      </c>
      <c r="T13" s="2170">
        <f t="shared" ca="1" si="10"/>
        <v>0</v>
      </c>
      <c r="U13" s="2170">
        <f t="shared" si="10"/>
        <v>238420255.88999999</v>
      </c>
      <c r="V13" s="2170">
        <f t="shared" si="10"/>
        <v>0</v>
      </c>
      <c r="W13" s="2170">
        <f t="shared" ca="1" si="10"/>
        <v>0</v>
      </c>
      <c r="X13" s="2170">
        <f t="shared" si="10"/>
        <v>6629663.4000000004</v>
      </c>
      <c r="Y13" s="2170">
        <f t="shared" si="10"/>
        <v>1901231.96</v>
      </c>
      <c r="Z13" s="2170">
        <f t="shared" si="10"/>
        <v>0</v>
      </c>
      <c r="AA13" s="2170">
        <f t="shared" si="10"/>
        <v>-169945946.41999999</v>
      </c>
      <c r="AB13" s="2170">
        <f t="shared" si="10"/>
        <v>0</v>
      </c>
      <c r="AC13" s="2171">
        <f t="shared" ca="1" si="8"/>
        <v>162697115.83000001</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-3833037.43</v>
      </c>
      <c r="L14" s="2169">
        <f t="shared" si="11"/>
        <v>0</v>
      </c>
      <c r="M14" s="2169">
        <f t="shared" si="11"/>
        <v>0</v>
      </c>
      <c r="N14" s="2169">
        <f t="shared" si="11"/>
        <v>-13547600.460000001</v>
      </c>
      <c r="O14" s="2169">
        <f t="shared" si="11"/>
        <v>0</v>
      </c>
      <c r="P14" s="2180">
        <f t="shared" si="4"/>
        <v>-17380637.890000001</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1748583.41</v>
      </c>
      <c r="Y14" s="2170">
        <f t="shared" si="12"/>
        <v>2736635.14</v>
      </c>
      <c r="Z14" s="2170">
        <f t="shared" si="12"/>
        <v>0</v>
      </c>
      <c r="AA14" s="2170">
        <f t="shared" si="12"/>
        <v>24629716.27</v>
      </c>
      <c r="AB14" s="2170">
        <f t="shared" si="12"/>
        <v>0</v>
      </c>
      <c r="AC14" s="2171">
        <f t="shared" ca="1" si="8"/>
        <v>29114934.82</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-13547600.460000001</v>
      </c>
      <c r="O15" s="2169">
        <f>IF(ISERROR(VLOOKUP(VALUE(O$2&amp;$B15),Sheet_Trialbal,6,0)),0,VLOOKUP(VALUE(O$2&amp;$B15),Sheet_Trialbal,6,0))</f>
        <v>0</v>
      </c>
      <c r="P15" s="2180">
        <f t="shared" si="4"/>
        <v>-13547600.460000001</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27366351.41</v>
      </c>
      <c r="AB15" s="2170">
        <f>IF(ISERROR(VLOOKUP(VALUE(AB$2&amp;$B15),Sheet_Trialbal,10,0)),0,VLOOKUP(VALUE(AB$2&amp;$B15),Sheet_Trialbal,10,0))</f>
        <v>0</v>
      </c>
      <c r="AC15" s="2171">
        <f t="shared" ca="1" si="8"/>
        <v>27366351.41</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2736635.14</v>
      </c>
      <c r="Z21" s="2170">
        <f t="shared" si="22"/>
        <v>0</v>
      </c>
      <c r="AA21" s="2170">
        <f t="shared" si="22"/>
        <v>-2736635.14</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2736635.14</v>
      </c>
      <c r="Z22" s="2170">
        <f t="shared" si="28"/>
        <v>0</v>
      </c>
      <c r="AA22" s="2170">
        <f t="shared" si="28"/>
        <v>-2736635.14</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5844</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5789</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-3833037.43</v>
      </c>
      <c r="L33" s="2169">
        <f t="shared" si="43"/>
        <v>0</v>
      </c>
      <c r="M33" s="2169">
        <f t="shared" si="43"/>
        <v>0</v>
      </c>
      <c r="N33" s="2169">
        <f t="shared" si="43"/>
        <v>0</v>
      </c>
      <c r="O33" s="2169">
        <f t="shared" si="43"/>
        <v>0</v>
      </c>
      <c r="P33" s="2180">
        <f>SUM(D33:H33,-I33,J33:O33)</f>
        <v>-3833037.43</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1748583.41</v>
      </c>
      <c r="Y33" s="2170">
        <f t="shared" si="44"/>
        <v>0</v>
      </c>
      <c r="Z33" s="2170">
        <f t="shared" si="44"/>
        <v>0</v>
      </c>
      <c r="AA33" s="2170">
        <f t="shared" si="44"/>
        <v>0</v>
      </c>
      <c r="AB33" s="2170">
        <f t="shared" si="44"/>
        <v>0</v>
      </c>
      <c r="AC33" s="2171">
        <f ca="1">SUM(Q33:U33,-V33,W33:AB33)</f>
        <v>1748583.41</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3399381.78</v>
      </c>
      <c r="L34" s="2169">
        <f t="shared" si="46"/>
        <v>0</v>
      </c>
      <c r="M34" s="2169">
        <f t="shared" si="46"/>
        <v>0</v>
      </c>
      <c r="N34" s="2169">
        <f t="shared" si="46"/>
        <v>0</v>
      </c>
      <c r="O34" s="2169">
        <f t="shared" si="46"/>
        <v>0</v>
      </c>
      <c r="P34" s="2180">
        <f>SUM(D34:H34,-I34,J34:O34)</f>
        <v>3399381.78</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2774044.47</v>
      </c>
      <c r="Y34" s="2170">
        <f t="shared" si="48"/>
        <v>0</v>
      </c>
      <c r="Z34" s="2170">
        <f t="shared" si="48"/>
        <v>0</v>
      </c>
      <c r="AA34" s="2170">
        <f t="shared" si="48"/>
        <v>0</v>
      </c>
      <c r="AB34" s="2170">
        <f t="shared" si="48"/>
        <v>0</v>
      </c>
      <c r="AC34" s="2171">
        <f ca="1">SUM(Q34:U34,-V34,W34:AB34)</f>
        <v>2774044.47</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-7232419.21</v>
      </c>
      <c r="L35" s="2169">
        <f t="shared" si="46"/>
        <v>0</v>
      </c>
      <c r="M35" s="2169">
        <f t="shared" si="46"/>
        <v>0</v>
      </c>
      <c r="N35" s="2169">
        <f t="shared" si="46"/>
        <v>0</v>
      </c>
      <c r="O35" s="2169">
        <f t="shared" si="46"/>
        <v>0</v>
      </c>
      <c r="P35" s="2180">
        <f>SUM(D35:H35,-I35,J35:O35)</f>
        <v>-7232419.21</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-1025461.06</v>
      </c>
      <c r="Y35" s="2170">
        <f t="shared" si="48"/>
        <v>0</v>
      </c>
      <c r="Z35" s="2170">
        <f t="shared" si="48"/>
        <v>0</v>
      </c>
      <c r="AA35" s="2170">
        <f t="shared" si="48"/>
        <v>0</v>
      </c>
      <c r="AB35" s="2170">
        <f t="shared" si="48"/>
        <v>0</v>
      </c>
      <c r="AC35" s="2171">
        <f ca="1">SUM(Q35:U35,-V35,W35:AB35)</f>
        <v>-1025461.06</v>
      </c>
      <c r="AD35" s="1801"/>
      <c r="AE35" s="1801"/>
      <c r="AF35" s="1801"/>
      <c r="AG35" s="1801"/>
    </row>
    <row r="36" spans="1:33" ht="20.100000000000001" customHeight="1">
      <c r="A36" s="2834"/>
      <c r="B36" s="2836" t="s">
        <v>5796</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9">SUM(D13,D14)</f>
        <v>85691911</v>
      </c>
      <c r="E37" s="2181">
        <f t="shared" si="49"/>
        <v>0</v>
      </c>
      <c r="F37" s="2181">
        <f t="shared" si="49"/>
        <v>0</v>
      </c>
      <c r="G37" s="2181">
        <f t="shared" si="49"/>
        <v>0</v>
      </c>
      <c r="H37" s="2181">
        <f t="shared" si="49"/>
        <v>238420255.88999999</v>
      </c>
      <c r="I37" s="2181">
        <f t="shared" si="49"/>
        <v>0</v>
      </c>
      <c r="J37" s="2181">
        <f t="shared" si="49"/>
        <v>0</v>
      </c>
      <c r="K37" s="2181">
        <f t="shared" si="49"/>
        <v>4545209.38</v>
      </c>
      <c r="L37" s="2181">
        <f t="shared" si="49"/>
        <v>4637867.0999999996</v>
      </c>
      <c r="M37" s="2181">
        <f t="shared" si="49"/>
        <v>0</v>
      </c>
      <c r="N37" s="2181">
        <f t="shared" si="49"/>
        <v>-158918582.90000001</v>
      </c>
      <c r="O37" s="2181">
        <f t="shared" si="49"/>
        <v>0</v>
      </c>
      <c r="P37" s="2182">
        <f t="shared" si="49"/>
        <v>174376660.47</v>
      </c>
      <c r="Q37" s="2179">
        <f t="shared" si="49"/>
        <v>85691911</v>
      </c>
      <c r="R37" s="2172">
        <f t="shared" ca="1" si="49"/>
        <v>0</v>
      </c>
      <c r="S37" s="2172">
        <f t="shared" ca="1" si="49"/>
        <v>0</v>
      </c>
      <c r="T37" s="2172">
        <f t="shared" ca="1" si="49"/>
        <v>0</v>
      </c>
      <c r="U37" s="2172">
        <f t="shared" si="49"/>
        <v>238420255.88999999</v>
      </c>
      <c r="V37" s="2172">
        <f t="shared" si="49"/>
        <v>0</v>
      </c>
      <c r="W37" s="2172">
        <f t="shared" ca="1" si="49"/>
        <v>0</v>
      </c>
      <c r="X37" s="2172">
        <f t="shared" si="49"/>
        <v>8378246.8099999996</v>
      </c>
      <c r="Y37" s="2172">
        <f t="shared" si="49"/>
        <v>4637867.0999999996</v>
      </c>
      <c r="Z37" s="2172">
        <f t="shared" si="49"/>
        <v>0</v>
      </c>
      <c r="AA37" s="2172">
        <f t="shared" si="49"/>
        <v>-145316230.15000001</v>
      </c>
      <c r="AB37" s="2172">
        <f t="shared" si="49"/>
        <v>0</v>
      </c>
      <c r="AC37" s="2173">
        <f t="shared" ca="1" si="49"/>
        <v>191812050.65000001</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5797</v>
      </c>
      <c r="D42" s="1806"/>
      <c r="E42" s="1806"/>
      <c r="F42" s="1806"/>
      <c r="G42" s="1806"/>
      <c r="H42" s="1807"/>
      <c r="I42" s="1807"/>
      <c r="J42" s="1807"/>
      <c r="K42" s="1807"/>
      <c r="L42" s="1807"/>
      <c r="M42" s="1807"/>
      <c r="N42" s="1807"/>
      <c r="O42" s="1808" t="s">
        <v>47</v>
      </c>
      <c r="P42" s="1807"/>
      <c r="Q42" s="1809" t="s">
        <v>5798</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5799</v>
      </c>
      <c r="D43" s="1813"/>
      <c r="E43" s="1813"/>
      <c r="F43" s="1813"/>
      <c r="G43" s="1813"/>
      <c r="H43" s="1813"/>
      <c r="I43" s="1813"/>
      <c r="J43" s="1813"/>
      <c r="K43" s="1813"/>
      <c r="L43" s="1813"/>
      <c r="M43" s="1814" t="s">
        <v>5800</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-54752.29</v>
      </c>
      <c r="D44" s="1813"/>
      <c r="E44" s="1813"/>
      <c r="F44" s="1813"/>
      <c r="G44" s="1813"/>
      <c r="H44" s="1813"/>
      <c r="I44" s="1813"/>
      <c r="J44" s="1813"/>
      <c r="K44" s="1813"/>
      <c r="L44" s="1690" t="str">
        <f>$C$13&amp;":"&amp;$D$6</f>
        <v>二、本年年初余额:2019年度</v>
      </c>
      <c r="M44" s="1815"/>
      <c r="N44" s="1815"/>
      <c r="O44" s="1815"/>
      <c r="P44" s="1722" t="s">
        <v>5801</v>
      </c>
      <c r="Q44" s="1725">
        <f t="shared" ref="Q44:AC44" si="50">D13</f>
        <v>85691911</v>
      </c>
      <c r="R44" s="1725">
        <f t="shared" si="50"/>
        <v>0</v>
      </c>
      <c r="S44" s="1725">
        <f t="shared" si="50"/>
        <v>0</v>
      </c>
      <c r="T44" s="1725">
        <f t="shared" si="50"/>
        <v>0</v>
      </c>
      <c r="U44" s="1692">
        <f t="shared" si="50"/>
        <v>238420255.88999999</v>
      </c>
      <c r="V44" s="1692">
        <f t="shared" si="50"/>
        <v>0</v>
      </c>
      <c r="W44" s="1692">
        <f t="shared" si="50"/>
        <v>0</v>
      </c>
      <c r="X44" s="1692">
        <f t="shared" si="50"/>
        <v>8378246.8099999996</v>
      </c>
      <c r="Y44" s="1692">
        <f t="shared" si="50"/>
        <v>4637867.0999999996</v>
      </c>
      <c r="Z44" s="1692">
        <f t="shared" si="50"/>
        <v>0</v>
      </c>
      <c r="AA44" s="1692">
        <f t="shared" si="50"/>
        <v>-145370982.44</v>
      </c>
      <c r="AB44" s="1692">
        <f t="shared" si="50"/>
        <v>0</v>
      </c>
      <c r="AC44" s="1693">
        <f t="shared" si="50"/>
        <v>191757298.36000001</v>
      </c>
      <c r="AD44" s="1801"/>
      <c r="AE44" s="1801"/>
      <c r="AF44" s="1801"/>
      <c r="AG44" s="1801"/>
    </row>
    <row r="45" spans="1:33" ht="18">
      <c r="A45" s="2834" t="s">
        <v>2565</v>
      </c>
      <c r="B45" s="2835"/>
      <c r="C45" s="1817" t="str">
        <f ca="1">IF(C44=0,"Balanced","Diff "&amp;TEXT(ROUND(C44,2),"#,###.00"))</f>
        <v>Diff -54,752.29</v>
      </c>
      <c r="D45" s="1813"/>
      <c r="E45" s="1813"/>
      <c r="F45" s="1813"/>
      <c r="G45" s="1813"/>
      <c r="H45" s="1813"/>
      <c r="I45" s="1813"/>
      <c r="J45" s="1813"/>
      <c r="K45" s="1813"/>
      <c r="L45" s="1690" t="str">
        <f>$Q$6&amp;":"&amp;$C$37</f>
        <v>2018年度:四、本年年末余额</v>
      </c>
      <c r="M45" s="1815"/>
      <c r="N45" s="1815"/>
      <c r="O45" s="1815"/>
      <c r="P45" s="1722" t="s">
        <v>5801</v>
      </c>
      <c r="Q45" s="1818">
        <f t="shared" ref="Q45:AC45" si="51">Q37</f>
        <v>85691911</v>
      </c>
      <c r="R45" s="1818">
        <f t="shared" ca="1" si="51"/>
        <v>0</v>
      </c>
      <c r="S45" s="1818">
        <f t="shared" ca="1" si="51"/>
        <v>0</v>
      </c>
      <c r="T45" s="1818">
        <f t="shared" ca="1" si="51"/>
        <v>0</v>
      </c>
      <c r="U45" s="1819">
        <f t="shared" si="51"/>
        <v>238420255.88999999</v>
      </c>
      <c r="V45" s="1819">
        <f t="shared" si="51"/>
        <v>0</v>
      </c>
      <c r="W45" s="1819">
        <f t="shared" ca="1" si="51"/>
        <v>0</v>
      </c>
      <c r="X45" s="1819">
        <f t="shared" si="51"/>
        <v>8378246.8099999996</v>
      </c>
      <c r="Y45" s="1819">
        <f t="shared" si="51"/>
        <v>4637867.0999999996</v>
      </c>
      <c r="Z45" s="1819">
        <f t="shared" si="51"/>
        <v>0</v>
      </c>
      <c r="AA45" s="1819">
        <f t="shared" si="51"/>
        <v>-145316230.15000001</v>
      </c>
      <c r="AB45" s="1819">
        <f t="shared" si="51"/>
        <v>0</v>
      </c>
      <c r="AC45" s="1726">
        <f t="shared" ca="1" si="51"/>
        <v>191812050.65000001</v>
      </c>
      <c r="AD45" s="1801"/>
      <c r="AE45" s="1801"/>
      <c r="AF45" s="1801"/>
      <c r="AG45" s="1801"/>
    </row>
    <row r="46" spans="1:33" ht="18.75" thickBot="1">
      <c r="A46" s="2834" t="s">
        <v>2565</v>
      </c>
      <c r="B46" s="2835"/>
      <c r="C46" s="1820" t="s">
        <v>5795</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-54752.29</v>
      </c>
      <c r="AB46" s="1822">
        <f t="shared" si="52"/>
        <v>0</v>
      </c>
      <c r="AC46" s="1729">
        <f t="shared" ca="1" si="52"/>
        <v>-54752.29</v>
      </c>
      <c r="AD46" s="1801"/>
      <c r="AE46" s="1801"/>
      <c r="AF46" s="1801"/>
      <c r="AG46" s="1801"/>
    </row>
    <row r="47" spans="1:33" ht="18.75" thickTop="1">
      <c r="A47" s="2834" t="s">
        <v>2565</v>
      </c>
      <c r="B47" s="2835"/>
      <c r="C47" s="1820" t="s">
        <v>5795</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4" t="s">
        <v>2565</v>
      </c>
      <c r="B48" s="2835"/>
      <c r="C48" s="1824" t="s">
        <v>5797</v>
      </c>
      <c r="D48" s="1825" t="s">
        <v>5792</v>
      </c>
      <c r="E48" s="1826"/>
      <c r="F48" s="1826"/>
      <c r="G48" s="1826"/>
      <c r="H48" s="1827"/>
      <c r="I48" s="1827"/>
      <c r="J48" s="1827"/>
      <c r="K48" s="1827"/>
      <c r="L48" s="1827"/>
      <c r="M48" s="1827"/>
      <c r="N48" s="1827"/>
      <c r="O48" s="1827"/>
      <c r="P48" s="1828"/>
      <c r="Q48" s="1829" t="s">
        <v>5802</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5803</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4">D37</f>
        <v>85691911</v>
      </c>
      <c r="E51" s="1692">
        <f t="shared" si="54"/>
        <v>0</v>
      </c>
      <c r="F51" s="1692">
        <f t="shared" si="54"/>
        <v>0</v>
      </c>
      <c r="G51" s="1692">
        <f t="shared" si="54"/>
        <v>0</v>
      </c>
      <c r="H51" s="1692">
        <f t="shared" si="54"/>
        <v>238420255.88999999</v>
      </c>
      <c r="I51" s="1692">
        <f t="shared" si="54"/>
        <v>0</v>
      </c>
      <c r="J51" s="1692">
        <f t="shared" si="54"/>
        <v>0</v>
      </c>
      <c r="K51" s="1692">
        <f t="shared" si="54"/>
        <v>4545209.38</v>
      </c>
      <c r="L51" s="1692">
        <f t="shared" si="54"/>
        <v>4637867.0999999996</v>
      </c>
      <c r="M51" s="1692">
        <f t="shared" si="54"/>
        <v>0</v>
      </c>
      <c r="N51" s="1692">
        <f t="shared" si="54"/>
        <v>-158918582.90000001</v>
      </c>
      <c r="O51" s="1692">
        <f t="shared" si="54"/>
        <v>0</v>
      </c>
      <c r="P51" s="1839">
        <f t="shared" si="54"/>
        <v>174376660.47</v>
      </c>
      <c r="Q51" s="1818">
        <f t="shared" si="54"/>
        <v>85691911</v>
      </c>
      <c r="R51" s="1818">
        <f t="shared" ca="1" si="54"/>
        <v>0</v>
      </c>
      <c r="S51" s="1818">
        <f t="shared" ca="1" si="54"/>
        <v>0</v>
      </c>
      <c r="T51" s="1818">
        <f t="shared" ca="1" si="54"/>
        <v>0</v>
      </c>
      <c r="U51" s="1819">
        <f t="shared" si="54"/>
        <v>238420255.88999999</v>
      </c>
      <c r="V51" s="1819">
        <f t="shared" si="54"/>
        <v>0</v>
      </c>
      <c r="W51" s="1819">
        <f t="shared" ca="1" si="54"/>
        <v>0</v>
      </c>
      <c r="X51" s="1819">
        <f t="shared" si="54"/>
        <v>8378246.8099999996</v>
      </c>
      <c r="Y51" s="1819">
        <f t="shared" si="54"/>
        <v>4637867.0999999996</v>
      </c>
      <c r="Z51" s="1819">
        <f t="shared" si="54"/>
        <v>0</v>
      </c>
      <c r="AA51" s="1819">
        <f t="shared" si="54"/>
        <v>-145316230.15000001</v>
      </c>
      <c r="AB51" s="1819">
        <f t="shared" si="54"/>
        <v>0</v>
      </c>
      <c r="AC51" s="1726">
        <f t="shared" ca="1" si="54"/>
        <v>191812050.65000001</v>
      </c>
      <c r="AD51" s="1801"/>
      <c r="AE51" s="1801"/>
      <c r="AF51" s="1801"/>
      <c r="AG51" s="1801"/>
    </row>
    <row r="52" spans="1:33" ht="18">
      <c r="A52" s="2834" t="s">
        <v>2565</v>
      </c>
      <c r="B52" s="2835"/>
      <c r="C52" s="1840" t="s">
        <v>5804</v>
      </c>
      <c r="D52" s="1692">
        <f>BalanceSheet!K47</f>
        <v>85691911</v>
      </c>
      <c r="E52" s="1692">
        <f>BalanceSheet!K49</f>
        <v>0</v>
      </c>
      <c r="F52" s="1692">
        <f>BalanceSheet!K50</f>
        <v>0</v>
      </c>
      <c r="G52" s="1692">
        <f>BalanceSheet!K48-BalanceSheet!K49-BalanceSheet!K50</f>
        <v>0</v>
      </c>
      <c r="H52" s="1692">
        <f>BalanceSheet!K51</f>
        <v>238420255.88999999</v>
      </c>
      <c r="I52" s="1692">
        <f>BalanceSheet!K52</f>
        <v>0</v>
      </c>
      <c r="J52" s="1692">
        <f>BalanceSheet!K53</f>
        <v>0</v>
      </c>
      <c r="K52" s="1692">
        <f>BalanceSheet!K54</f>
        <v>4545209.38</v>
      </c>
      <c r="L52" s="1692">
        <f>BalanceSheet!K55</f>
        <v>4637867.0999999996</v>
      </c>
      <c r="M52" s="1692">
        <f>BalanceSheet!K56</f>
        <v>0</v>
      </c>
      <c r="N52" s="1692">
        <f>BalanceSheet!K57</f>
        <v>-158918582.90000001</v>
      </c>
      <c r="O52" s="1692"/>
      <c r="P52" s="1839">
        <f>BalanceSheet!K58</f>
        <v>174376660.47</v>
      </c>
      <c r="Q52" s="1818">
        <f>BalanceSheet!L47</f>
        <v>85691911</v>
      </c>
      <c r="R52" s="1818">
        <f>BalanceSheet!L49</f>
        <v>0</v>
      </c>
      <c r="S52" s="1818">
        <f>BalanceSheet!L50</f>
        <v>0</v>
      </c>
      <c r="T52" s="1818">
        <f>BalanceSheet!L48-BalanceSheet!L49-BalanceSheet!L50</f>
        <v>0</v>
      </c>
      <c r="U52" s="1819">
        <f>BalanceSheet!L51</f>
        <v>238420255.88999999</v>
      </c>
      <c r="V52" s="1819">
        <f>BalanceSheet!L52</f>
        <v>0</v>
      </c>
      <c r="W52" s="1819">
        <f>BalanceSheet!L53</f>
        <v>0</v>
      </c>
      <c r="X52" s="1819">
        <f>BalanceSheet!L54</f>
        <v>8378246.8099999996</v>
      </c>
      <c r="Y52" s="1819">
        <f>BalanceSheet!L55</f>
        <v>4637867.0999999996</v>
      </c>
      <c r="Z52" s="1819">
        <f>BalanceSheet!L56</f>
        <v>0</v>
      </c>
      <c r="AA52" s="1819">
        <f>BalanceSheet!L57</f>
        <v>-145316230.15000001</v>
      </c>
      <c r="AB52" s="1819"/>
      <c r="AC52" s="1726">
        <f>BalanceSheet!L58</f>
        <v>191812050.65000001</v>
      </c>
      <c r="AD52" s="1801"/>
      <c r="AE52" s="1801"/>
      <c r="AF52" s="1801"/>
      <c r="AG52" s="1801"/>
    </row>
    <row r="53" spans="1:33" ht="18.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4" t="s">
        <v>2565</v>
      </c>
      <c r="B54" s="2835"/>
      <c r="C54" s="1843" t="s">
        <v>5795</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52" priority="9" stopIfTrue="1" operator="notEqual">
      <formula>0</formula>
    </cfRule>
  </conditionalFormatting>
  <conditionalFormatting sqref="C48:C49 C42">
    <cfRule type="expression" dxfId="3851"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321" activePane="bottomRight" state="frozen"/>
      <selection pane="topRight" activeCell="G1" sqref="G1"/>
      <selection pane="bottomLeft" activeCell="A9" sqref="A9"/>
      <selection pane="bottomRight" activeCell="I320" sqref="I320"/>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山东天安化工股份有限公司</v>
      </c>
      <c r="F2" s="1247"/>
      <c r="G2" s="1248"/>
      <c r="H2" s="1295"/>
      <c r="I2" s="1317" t="s">
        <v>2521</v>
      </c>
      <c r="J2" s="745"/>
      <c r="K2" s="1318" t="s">
        <v>2501</v>
      </c>
      <c r="L2" s="745"/>
      <c r="M2" s="1319"/>
      <c r="N2" s="1320"/>
      <c r="O2" s="641"/>
      <c r="P2" s="2786" t="s">
        <v>6598</v>
      </c>
      <c r="Q2" s="641"/>
      <c r="R2" s="641"/>
    </row>
    <row r="3" spans="1:25" ht="18" customHeight="1">
      <c r="A3" s="745"/>
      <c r="B3" s="643"/>
      <c r="C3" s="643"/>
      <c r="D3" s="1294" t="s">
        <v>2522</v>
      </c>
      <c r="E3" s="1296" t="s">
        <v>2523</v>
      </c>
      <c r="F3" s="1297"/>
      <c r="G3" s="1298"/>
      <c r="H3" s="1299" t="s">
        <v>2450</v>
      </c>
      <c r="I3" s="1284" t="str">
        <f>IF(Lead!$E$9="","",Lead!$E$9)</f>
        <v>陈彦良</v>
      </c>
      <c r="J3" s="957"/>
      <c r="K3" s="897">
        <f>IF(Lead!$F$9="","",Lead!$F$9)</f>
        <v>43859</v>
      </c>
      <c r="L3" s="1321" t="s">
        <v>2524</v>
      </c>
      <c r="M3" s="2788" t="s">
        <v>6603</v>
      </c>
      <c r="N3" s="745"/>
      <c r="O3" s="641"/>
      <c r="P3" s="2786" t="s">
        <v>6599</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6600</v>
      </c>
      <c r="Q4" s="641"/>
      <c r="R4" s="641"/>
    </row>
    <row r="5" spans="1:25" ht="12" customHeight="1" thickBot="1">
      <c r="A5" s="745"/>
      <c r="B5" s="643"/>
      <c r="C5" s="643"/>
      <c r="D5" s="1300"/>
      <c r="E5" s="1301"/>
      <c r="F5" s="1301"/>
      <c r="G5" s="1300"/>
      <c r="H5" s="1302"/>
      <c r="I5" s="1322"/>
      <c r="J5" s="1323"/>
      <c r="K5" s="1324"/>
      <c r="L5" s="1323"/>
      <c r="M5" s="1322"/>
      <c r="N5" s="1301"/>
      <c r="O5" s="641"/>
      <c r="P5" s="2786" t="s">
        <v>6601</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6811</v>
      </c>
      <c r="E8" s="1306" t="s">
        <v>2529</v>
      </c>
      <c r="F8" s="1307" t="s">
        <v>2530</v>
      </c>
      <c r="G8" s="1308" t="s">
        <v>2531</v>
      </c>
      <c r="H8" s="1309" t="s">
        <v>2532</v>
      </c>
      <c r="I8" s="1305" t="s">
        <v>2533</v>
      </c>
      <c r="J8" s="1326" t="s">
        <v>2534</v>
      </c>
      <c r="K8" s="1327" t="s">
        <v>2535</v>
      </c>
      <c r="L8" s="1306" t="s">
        <v>2536</v>
      </c>
      <c r="M8" s="1305" t="s">
        <v>2537</v>
      </c>
      <c r="N8" s="1328" t="s">
        <v>2534</v>
      </c>
      <c r="O8" s="3095" t="s">
        <v>6812</v>
      </c>
      <c r="P8" s="3096" t="s">
        <v>6813</v>
      </c>
      <c r="Q8" s="3096" t="s">
        <v>6814</v>
      </c>
      <c r="R8" s="3096" t="s">
        <v>6815</v>
      </c>
      <c r="S8" s="3097" t="s">
        <v>6816</v>
      </c>
      <c r="T8" s="3097" t="s">
        <v>6817</v>
      </c>
      <c r="U8" s="3097" t="s">
        <v>6818</v>
      </c>
      <c r="V8" s="3097" t="s">
        <v>6819</v>
      </c>
      <c r="W8" s="3097" t="s">
        <v>6820</v>
      </c>
      <c r="X8" s="3097" t="s">
        <v>6821</v>
      </c>
      <c r="Y8" s="3098" t="s">
        <v>6822</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7894317.0800000001</v>
      </c>
      <c r="H9" s="1312">
        <f t="shared" ref="H9:H16" ca="1" si="2">INDIRECT("Notes!CheckA"&amp;$C9)</f>
        <v>7894317.0800000001</v>
      </c>
      <c r="I9" s="3092">
        <f ca="1">IF(AND(LEN(G9)&gt;0,LEN(H9)&gt;0),ROUND(SUM(G9)-SUM(H9),2),"")</f>
        <v>0</v>
      </c>
      <c r="J9" s="1293" t="str">
        <f ca="1">IF(ISNA(I9),"N/A",IF(I9=0,"√","？"))</f>
        <v>√</v>
      </c>
      <c r="K9" s="1311">
        <f t="shared" ref="K9:K40" si="3">IF(ISERROR(VLOOKUP($B9,Sheet_Trialbal,10,0)),"        ----",VLOOKUP($B9,Sheet_Trialbal,10,0))</f>
        <v>79452903</v>
      </c>
      <c r="L9" s="70">
        <f ca="1">INDIRECT("Notes!CheckB"&amp;$C9)</f>
        <v>79452903</v>
      </c>
      <c r="M9" s="3092">
        <f ca="1">IF(AND(LEN(K9)&gt;0,LEN(L9)&gt;0),ROUND(SUM(K9)-SUM(L9),2),"")</f>
        <v>0</v>
      </c>
      <c r="N9" s="1293" t="str">
        <f ca="1">IF(ISNA(M9),"N/A",IF(M9=0,"√","？"))</f>
        <v>√</v>
      </c>
      <c r="O9" s="3099"/>
      <c r="P9" s="3100"/>
      <c r="Q9" s="3100"/>
      <c r="R9" s="3100"/>
      <c r="S9" s="3101" t="s">
        <v>295</v>
      </c>
      <c r="T9" s="3101" t="s">
        <v>213</v>
      </c>
      <c r="U9" s="3102">
        <v>1015</v>
      </c>
      <c r="V9" s="3102" t="s">
        <v>295</v>
      </c>
      <c r="W9" s="3102" t="s">
        <v>6804</v>
      </c>
      <c r="X9" s="3102" t="s">
        <v>6805</v>
      </c>
      <c r="Y9" s="3103" t="s">
        <v>164</v>
      </c>
    </row>
    <row r="10" spans="1:25" ht="18">
      <c r="A10" s="1304"/>
      <c r="B10" s="643">
        <v>1015</v>
      </c>
      <c r="C10" s="643" t="s">
        <v>45</v>
      </c>
      <c r="D10" s="3087">
        <v>1</v>
      </c>
      <c r="E10" s="3088" t="str">
        <f t="shared" si="0"/>
        <v>货币资金</v>
      </c>
      <c r="F10" s="3089" t="s">
        <v>46</v>
      </c>
      <c r="G10" s="3090">
        <f t="shared" si="1"/>
        <v>7894317.0800000001</v>
      </c>
      <c r="H10" s="3091">
        <f t="shared" ca="1" si="2"/>
        <v>7894317.0800000001</v>
      </c>
      <c r="I10" s="3093">
        <f ca="1">IF(AND(LEN(G10)&gt;0,LEN(H10)&gt;0),ROUND(SUM(G10)-SUM(H10),2),"")</f>
        <v>0</v>
      </c>
      <c r="J10" s="3072" t="str">
        <f ca="1">IF(ISNA(I10),"N/A",IF(I10=0,"√","？"))</f>
        <v>√</v>
      </c>
      <c r="K10" s="3090">
        <f t="shared" si="3"/>
        <v>79452903</v>
      </c>
      <c r="L10" s="3071">
        <f ca="1">INDIRECT("Notes!CheckB"&amp;$C10)</f>
        <v>79452903</v>
      </c>
      <c r="M10" s="3093">
        <f ca="1">IF(AND(LEN(K10)&gt;0,LEN(L10)&gt;0),ROUND(SUM(K10)-SUM(L10),2),"")</f>
        <v>0</v>
      </c>
      <c r="N10" s="3072" t="str">
        <f ca="1">IF(ISNA(M10),"N/A",IF(M10=0,"√","？"))</f>
        <v>√</v>
      </c>
      <c r="O10" s="3099"/>
      <c r="P10" s="3100"/>
      <c r="Q10" s="3100"/>
      <c r="R10" s="3100"/>
      <c r="S10" s="3101" t="s">
        <v>295</v>
      </c>
      <c r="T10" s="3101" t="s">
        <v>213</v>
      </c>
      <c r="U10" s="3102"/>
      <c r="V10" s="3102" t="s">
        <v>295</v>
      </c>
      <c r="W10" s="3102" t="s">
        <v>6804</v>
      </c>
      <c r="X10" s="3102" t="s">
        <v>213</v>
      </c>
      <c r="Y10" s="3103" t="s">
        <v>164</v>
      </c>
    </row>
    <row r="11" spans="1:25" ht="18" hidden="1">
      <c r="A11" s="1304"/>
      <c r="B11" s="643">
        <v>1015</v>
      </c>
      <c r="C11" s="643" t="s">
        <v>88</v>
      </c>
      <c r="D11" s="3087">
        <v>2</v>
      </c>
      <c r="E11" s="3088" t="str">
        <f t="shared" si="0"/>
        <v>货币资金</v>
      </c>
      <c r="F11" s="3089" t="s">
        <v>89</v>
      </c>
      <c r="G11" s="3090">
        <f t="shared" si="1"/>
        <v>7894317.0800000001</v>
      </c>
      <c r="H11" s="3091">
        <f t="shared" ca="1" si="2"/>
        <v>0</v>
      </c>
      <c r="I11" s="3093" t="s">
        <v>6810</v>
      </c>
      <c r="J11" s="3072"/>
      <c r="K11" s="3090">
        <f t="shared" si="3"/>
        <v>79452903</v>
      </c>
      <c r="L11" s="3071" t="s">
        <v>6806</v>
      </c>
      <c r="M11" s="3093" t="s">
        <v>6810</v>
      </c>
      <c r="N11" s="3072"/>
      <c r="O11" s="3099"/>
      <c r="P11" s="3100"/>
      <c r="Q11" s="3100"/>
      <c r="R11" s="3100"/>
      <c r="S11" s="3101" t="s">
        <v>295</v>
      </c>
      <c r="T11" s="3101" t="s">
        <v>213</v>
      </c>
      <c r="U11" s="3102">
        <v>1015</v>
      </c>
      <c r="V11" s="3102" t="s">
        <v>295</v>
      </c>
      <c r="W11" s="3102" t="s">
        <v>6804</v>
      </c>
      <c r="X11" s="3102" t="s">
        <v>213</v>
      </c>
      <c r="Y11" s="3103" t="s">
        <v>164</v>
      </c>
    </row>
    <row r="12" spans="1:25" ht="24">
      <c r="A12" s="1304"/>
      <c r="B12" s="643">
        <v>1102</v>
      </c>
      <c r="C12" s="643" t="s">
        <v>135</v>
      </c>
      <c r="D12" s="3087">
        <v>1</v>
      </c>
      <c r="E12" s="3088" t="str">
        <f t="shared" si="0"/>
        <v>交易性金融资产</v>
      </c>
      <c r="F12" s="3089" t="s">
        <v>136</v>
      </c>
      <c r="G12" s="3090">
        <f t="shared" si="1"/>
        <v>0</v>
      </c>
      <c r="H12" s="3091">
        <f t="shared" ca="1" si="2"/>
        <v>0</v>
      </c>
      <c r="I12" s="3093">
        <f ca="1">IF(AND(LEN(G12)&gt;0,LEN(H12)&gt;0),ROUND(SUM(G12)-SUM(H12),2),"")</f>
        <v>0</v>
      </c>
      <c r="J12" s="3072" t="str">
        <f ca="1">IF(ISNA(I12),"N/A",IF(I12=0,"√","？"))</f>
        <v>√</v>
      </c>
      <c r="K12" s="3090">
        <f t="shared" si="3"/>
        <v>0</v>
      </c>
      <c r="L12" s="3071">
        <f ca="1">INDIRECT("Notes!CheckB"&amp;$C12)</f>
        <v>0</v>
      </c>
      <c r="M12" s="3093">
        <f ca="1">IF(AND(LEN(K12)&gt;0,LEN(L12)&gt;0),ROUND(SUM(K12)-SUM(L12),2),"")</f>
        <v>0</v>
      </c>
      <c r="N12" s="3072" t="str">
        <f ca="1">IF(ISNA(M12),"N/A",IF(M12=0,"√","？"))</f>
        <v>√</v>
      </c>
      <c r="O12" s="3099"/>
      <c r="P12" s="3100"/>
      <c r="Q12" s="3100"/>
      <c r="R12" s="3100"/>
      <c r="S12" s="3101" t="s">
        <v>295</v>
      </c>
      <c r="T12" s="3101" t="s">
        <v>213</v>
      </c>
      <c r="U12" s="3102">
        <v>1102</v>
      </c>
      <c r="V12" s="3102" t="s">
        <v>295</v>
      </c>
      <c r="W12" s="3102" t="s">
        <v>145</v>
      </c>
      <c r="X12" s="3102" t="s">
        <v>6807</v>
      </c>
      <c r="Y12" s="3103" t="s">
        <v>119</v>
      </c>
    </row>
    <row r="13" spans="1:25" ht="36">
      <c r="A13" s="1304"/>
      <c r="B13" s="643">
        <v>1101</v>
      </c>
      <c r="C13" s="643" t="s">
        <v>106</v>
      </c>
      <c r="D13" s="3087">
        <v>1</v>
      </c>
      <c r="E13" s="3088" t="str">
        <f t="shared" si="0"/>
        <v>以公允价值计量且其变动计入当期损益的金融资产</v>
      </c>
      <c r="F13" s="3089" t="s">
        <v>107</v>
      </c>
      <c r="G13" s="3090">
        <f t="shared" si="1"/>
        <v>0</v>
      </c>
      <c r="H13" s="3091">
        <f t="shared" ca="1" si="2"/>
        <v>0</v>
      </c>
      <c r="I13" s="3093">
        <f ca="1">IF(AND(LEN(G13)&gt;0,LEN(H13)&gt;0),ROUND(SUM(G13)-SUM(H13),2),"")</f>
        <v>0</v>
      </c>
      <c r="J13" s="3072" t="str">
        <f ca="1">IF(ISNA(I13),"N/A",IF(I13=0,"√","？"))</f>
        <v>√</v>
      </c>
      <c r="K13" s="3090">
        <f t="shared" si="3"/>
        <v>0</v>
      </c>
      <c r="L13" s="3071">
        <f ca="1">INDIRECT("Notes!CheckB"&amp;$C13)</f>
        <v>0</v>
      </c>
      <c r="M13" s="3093">
        <f ca="1">IF(AND(LEN(K13)&gt;0,LEN(L13)&gt;0),ROUND(SUM(K13)-SUM(L13),2),"")</f>
        <v>0</v>
      </c>
      <c r="N13" s="3072" t="str">
        <f ca="1">IF(ISNA(M13),"N/A",IF(M13=0,"√","？"))</f>
        <v>√</v>
      </c>
      <c r="O13" s="3099"/>
      <c r="P13" s="3100"/>
      <c r="Q13" s="3100"/>
      <c r="R13" s="3100"/>
      <c r="S13" s="3101" t="s">
        <v>295</v>
      </c>
      <c r="T13" s="3101" t="s">
        <v>213</v>
      </c>
      <c r="U13" s="3102">
        <v>1101</v>
      </c>
      <c r="V13" s="3102" t="s">
        <v>295</v>
      </c>
      <c r="W13" s="3102" t="s">
        <v>6804</v>
      </c>
      <c r="X13" s="3102" t="s">
        <v>6805</v>
      </c>
      <c r="Y13" s="3103" t="s">
        <v>164</v>
      </c>
    </row>
    <row r="14" spans="1:25" ht="18">
      <c r="A14" s="1304"/>
      <c r="B14" s="643">
        <v>1115</v>
      </c>
      <c r="C14" s="643" t="s">
        <v>148</v>
      </c>
      <c r="D14" s="3087">
        <v>1</v>
      </c>
      <c r="E14" s="3088" t="str">
        <f t="shared" si="0"/>
        <v>衍生金融资产</v>
      </c>
      <c r="F14" s="3089" t="s">
        <v>6416</v>
      </c>
      <c r="G14" s="3090">
        <f t="shared" si="1"/>
        <v>0</v>
      </c>
      <c r="H14" s="3091">
        <f t="shared" ca="1" si="2"/>
        <v>0</v>
      </c>
      <c r="I14" s="3093">
        <f ca="1">IF(AND(LEN(G14)&gt;0,LEN(H14)&gt;0),ROUND(SUM(G14)-SUM(H14),2),"")</f>
        <v>0</v>
      </c>
      <c r="J14" s="3072" t="str">
        <f ca="1">IF(ISNA(I14),"N/A",IF(I14=0,"√","？"))</f>
        <v>√</v>
      </c>
      <c r="K14" s="3090">
        <f t="shared" si="3"/>
        <v>0</v>
      </c>
      <c r="L14" s="3071">
        <f ca="1">INDIRECT("Notes!CheckB"&amp;$C14)</f>
        <v>0</v>
      </c>
      <c r="M14" s="3093">
        <f ca="1">IF(AND(LEN(K14)&gt;0,LEN(L14)&gt;0),ROUND(SUM(K14)-SUM(L14),2),"")</f>
        <v>0</v>
      </c>
      <c r="N14" s="3072" t="str">
        <f ca="1">IF(ISNA(M14),"N/A",IF(M14=0,"√","？"))</f>
        <v>√</v>
      </c>
      <c r="O14" s="3099"/>
      <c r="P14" s="3100"/>
      <c r="Q14" s="3100"/>
      <c r="R14" s="3100"/>
      <c r="S14" s="3101" t="s">
        <v>295</v>
      </c>
      <c r="T14" s="3101" t="s">
        <v>213</v>
      </c>
      <c r="U14" s="3102">
        <v>1115</v>
      </c>
      <c r="V14" s="3102" t="s">
        <v>295</v>
      </c>
      <c r="W14" s="3102" t="s">
        <v>6804</v>
      </c>
      <c r="X14" s="3102" t="s">
        <v>6805</v>
      </c>
      <c r="Y14" s="3103" t="s">
        <v>164</v>
      </c>
    </row>
    <row r="15" spans="1:25" ht="18">
      <c r="A15" s="1304"/>
      <c r="B15" s="643">
        <v>1121</v>
      </c>
      <c r="C15" s="643" t="s">
        <v>159</v>
      </c>
      <c r="D15" s="3087">
        <v>1</v>
      </c>
      <c r="E15" s="3088" t="str">
        <f t="shared" si="0"/>
        <v>应收票据</v>
      </c>
      <c r="F15" s="3089" t="s">
        <v>160</v>
      </c>
      <c r="G15" s="3090">
        <f t="shared" si="1"/>
        <v>0</v>
      </c>
      <c r="H15" s="3091">
        <f t="shared" ca="1" si="2"/>
        <v>0</v>
      </c>
      <c r="I15" s="3093">
        <f ca="1">IF(AND(LEN(G15)&gt;0,LEN(H15)&gt;0),ROUND(SUM(G15)-SUM(H15),2),"")</f>
        <v>0</v>
      </c>
      <c r="J15" s="3072" t="str">
        <f ca="1">IF(ISNA(I15),"N/A",IF(I15=0,"√","？"))</f>
        <v>√</v>
      </c>
      <c r="K15" s="3090">
        <f t="shared" si="3"/>
        <v>2024958.1</v>
      </c>
      <c r="L15" s="3071">
        <f ca="1">INDIRECT("Notes!CheckB"&amp;$C15)</f>
        <v>2024958.1</v>
      </c>
      <c r="M15" s="3093">
        <f ca="1">IF(AND(LEN(K15)&gt;0,LEN(L15)&gt;0),ROUND(SUM(K15)-SUM(L15),2),"")</f>
        <v>0</v>
      </c>
      <c r="N15" s="3072" t="str">
        <f ca="1">IF(ISNA(M15),"N/A",IF(M15=0,"√","？"))</f>
        <v>√</v>
      </c>
      <c r="O15" s="3099"/>
      <c r="P15" s="3100"/>
      <c r="Q15" s="3100"/>
      <c r="R15" s="3100"/>
      <c r="S15" s="3101" t="s">
        <v>295</v>
      </c>
      <c r="T15" s="3101" t="s">
        <v>213</v>
      </c>
      <c r="U15" s="3102">
        <v>1121</v>
      </c>
      <c r="V15" s="3102" t="s">
        <v>295</v>
      </c>
      <c r="W15" s="3102" t="s">
        <v>145</v>
      </c>
      <c r="X15" s="3102" t="s">
        <v>6807</v>
      </c>
      <c r="Y15" s="3103" t="s">
        <v>119</v>
      </c>
    </row>
    <row r="16" spans="1:25" ht="18" hidden="1">
      <c r="A16" s="1304"/>
      <c r="B16" s="643">
        <v>1121</v>
      </c>
      <c r="C16" s="643" t="s">
        <v>170</v>
      </c>
      <c r="D16" s="3087">
        <v>2</v>
      </c>
      <c r="E16" s="3088" t="str">
        <f t="shared" si="0"/>
        <v>应收票据</v>
      </c>
      <c r="F16" s="3089" t="s">
        <v>171</v>
      </c>
      <c r="G16" s="3090">
        <f t="shared" si="1"/>
        <v>0</v>
      </c>
      <c r="H16" s="3091">
        <f t="shared" ca="1" si="2"/>
        <v>0</v>
      </c>
      <c r="I16" s="3093" t="s">
        <v>6810</v>
      </c>
      <c r="J16" s="3072"/>
      <c r="K16" s="3090">
        <f t="shared" si="3"/>
        <v>2024958.1</v>
      </c>
      <c r="L16" s="3071" t="s">
        <v>6806</v>
      </c>
      <c r="M16" s="3093" t="s">
        <v>6810</v>
      </c>
      <c r="N16" s="3072"/>
      <c r="O16" s="3099"/>
      <c r="P16" s="3100"/>
      <c r="Q16" s="3100"/>
      <c r="R16" s="3100"/>
      <c r="S16" s="3101" t="s">
        <v>295</v>
      </c>
      <c r="T16" s="3101" t="s">
        <v>213</v>
      </c>
      <c r="U16" s="3102">
        <v>1121</v>
      </c>
      <c r="V16" s="3102" t="s">
        <v>295</v>
      </c>
      <c r="W16" s="3102" t="s">
        <v>6804</v>
      </c>
      <c r="X16" s="3102" t="s">
        <v>6807</v>
      </c>
      <c r="Y16" s="3103" t="s">
        <v>164</v>
      </c>
    </row>
    <row r="17" spans="1:25" ht="24" hidden="1">
      <c r="A17" s="1304"/>
      <c r="B17" s="643">
        <v>1121</v>
      </c>
      <c r="C17" s="643" t="s">
        <v>178</v>
      </c>
      <c r="D17" s="3087">
        <v>2</v>
      </c>
      <c r="E17" s="3088" t="str">
        <f t="shared" si="0"/>
        <v>应收票据</v>
      </c>
      <c r="F17" s="3089" t="s">
        <v>179</v>
      </c>
      <c r="G17" s="3090">
        <f t="shared" si="1"/>
        <v>0</v>
      </c>
      <c r="H17" s="3091" t="s">
        <v>6806</v>
      </c>
      <c r="I17" s="3093" t="s">
        <v>6810</v>
      </c>
      <c r="J17" s="3072"/>
      <c r="K17" s="3090">
        <f t="shared" si="3"/>
        <v>2024958.1</v>
      </c>
      <c r="L17" s="3071" t="s">
        <v>6806</v>
      </c>
      <c r="M17" s="3093" t="s">
        <v>6810</v>
      </c>
      <c r="N17" s="3072"/>
      <c r="O17" s="3099"/>
      <c r="P17" s="3100"/>
      <c r="Q17" s="3100"/>
      <c r="R17" s="3100"/>
      <c r="S17" s="3101" t="s">
        <v>295</v>
      </c>
      <c r="T17" s="3101" t="s">
        <v>213</v>
      </c>
      <c r="U17" s="3102">
        <v>1121</v>
      </c>
      <c r="V17" s="3102" t="s">
        <v>295</v>
      </c>
      <c r="W17" s="3102" t="s">
        <v>6804</v>
      </c>
      <c r="X17" s="3102" t="s">
        <v>6807</v>
      </c>
      <c r="Y17" s="3103" t="s">
        <v>164</v>
      </c>
    </row>
    <row r="18" spans="1:25" ht="36" hidden="1">
      <c r="A18" s="1304"/>
      <c r="B18" s="643">
        <v>1121</v>
      </c>
      <c r="C18" s="643" t="s">
        <v>189</v>
      </c>
      <c r="D18" s="3087">
        <v>2</v>
      </c>
      <c r="E18" s="3088" t="str">
        <f t="shared" si="0"/>
        <v>应收票据</v>
      </c>
      <c r="F18" s="3089" t="s">
        <v>190</v>
      </c>
      <c r="G18" s="3090">
        <f t="shared" si="1"/>
        <v>0</v>
      </c>
      <c r="H18" s="3091">
        <f t="shared" ref="H18:H33" ca="1" si="4">INDIRECT("Notes!CheckA"&amp;$C18)</f>
        <v>0</v>
      </c>
      <c r="I18" s="3093" t="s">
        <v>6810</v>
      </c>
      <c r="J18" s="3072"/>
      <c r="K18" s="3090">
        <f t="shared" si="3"/>
        <v>2024958.1</v>
      </c>
      <c r="L18" s="3071" t="s">
        <v>6806</v>
      </c>
      <c r="M18" s="3093" t="s">
        <v>6810</v>
      </c>
      <c r="N18" s="3072"/>
      <c r="O18" s="3099"/>
      <c r="P18" s="3100"/>
      <c r="Q18" s="3100"/>
      <c r="R18" s="3100"/>
      <c r="S18" s="3101" t="s">
        <v>295</v>
      </c>
      <c r="T18" s="3101" t="s">
        <v>213</v>
      </c>
      <c r="U18" s="3102">
        <v>1121</v>
      </c>
      <c r="V18" s="3102" t="s">
        <v>295</v>
      </c>
      <c r="W18" s="3102" t="s">
        <v>6804</v>
      </c>
      <c r="X18" s="3102" t="s">
        <v>6807</v>
      </c>
      <c r="Y18" s="3103" t="s">
        <v>164</v>
      </c>
    </row>
    <row r="19" spans="1:25" ht="24" hidden="1">
      <c r="A19" s="1304"/>
      <c r="B19" s="643">
        <v>1121</v>
      </c>
      <c r="C19" s="643" t="s">
        <v>199</v>
      </c>
      <c r="D19" s="3087">
        <v>2</v>
      </c>
      <c r="E19" s="3088" t="str">
        <f t="shared" si="0"/>
        <v>应收票据</v>
      </c>
      <c r="F19" s="3089" t="s">
        <v>200</v>
      </c>
      <c r="G19" s="3090">
        <f t="shared" si="1"/>
        <v>0</v>
      </c>
      <c r="H19" s="3091">
        <f t="shared" ca="1" si="4"/>
        <v>0</v>
      </c>
      <c r="I19" s="3093" t="s">
        <v>6810</v>
      </c>
      <c r="J19" s="3072"/>
      <c r="K19" s="3090">
        <f t="shared" si="3"/>
        <v>2024958.1</v>
      </c>
      <c r="L19" s="3071" t="s">
        <v>6806</v>
      </c>
      <c r="M19" s="3093" t="s">
        <v>6810</v>
      </c>
      <c r="N19" s="3072"/>
      <c r="O19" s="3099"/>
      <c r="P19" s="3100"/>
      <c r="Q19" s="3100"/>
      <c r="R19" s="3100"/>
      <c r="S19" s="3101" t="s">
        <v>295</v>
      </c>
      <c r="T19" s="3101" t="s">
        <v>213</v>
      </c>
      <c r="U19" s="3102"/>
      <c r="V19" s="3102" t="s">
        <v>295</v>
      </c>
      <c r="W19" s="3102" t="s">
        <v>145</v>
      </c>
      <c r="X19" s="3102" t="s">
        <v>6807</v>
      </c>
      <c r="Y19" s="3103" t="s">
        <v>119</v>
      </c>
    </row>
    <row r="20" spans="1:25" ht="24" hidden="1">
      <c r="A20" s="1304"/>
      <c r="B20" s="643">
        <v>1121</v>
      </c>
      <c r="C20" s="643" t="s">
        <v>209</v>
      </c>
      <c r="D20" s="3087">
        <v>2</v>
      </c>
      <c r="E20" s="3088" t="str">
        <f t="shared" si="0"/>
        <v>应收票据</v>
      </c>
      <c r="F20" s="3089" t="s">
        <v>210</v>
      </c>
      <c r="G20" s="3090">
        <f t="shared" si="1"/>
        <v>0</v>
      </c>
      <c r="H20" s="3091">
        <f t="shared" ca="1" si="4"/>
        <v>0</v>
      </c>
      <c r="I20" s="3093" t="s">
        <v>6810</v>
      </c>
      <c r="J20" s="3072"/>
      <c r="K20" s="3090">
        <f t="shared" si="3"/>
        <v>2024958.1</v>
      </c>
      <c r="L20" s="3071" t="s">
        <v>6806</v>
      </c>
      <c r="M20" s="3093" t="s">
        <v>6810</v>
      </c>
      <c r="N20" s="3072"/>
      <c r="O20" s="3099"/>
      <c r="P20" s="3100"/>
      <c r="Q20" s="3100"/>
      <c r="R20" s="3100"/>
      <c r="S20" s="3101" t="s">
        <v>295</v>
      </c>
      <c r="T20" s="3101" t="s">
        <v>213</v>
      </c>
      <c r="U20" s="3102"/>
      <c r="V20" s="3102" t="s">
        <v>295</v>
      </c>
      <c r="W20" s="3102" t="s">
        <v>145</v>
      </c>
      <c r="X20" s="3102" t="s">
        <v>6807</v>
      </c>
      <c r="Y20" s="3103" t="s">
        <v>119</v>
      </c>
    </row>
    <row r="21" spans="1:25" ht="24" hidden="1">
      <c r="A21" s="1304"/>
      <c r="B21" s="643">
        <v>1121</v>
      </c>
      <c r="C21" s="643" t="s">
        <v>219</v>
      </c>
      <c r="D21" s="3087">
        <v>2</v>
      </c>
      <c r="E21" s="3088" t="str">
        <f t="shared" si="0"/>
        <v>应收票据</v>
      </c>
      <c r="F21" s="3089" t="s">
        <v>220</v>
      </c>
      <c r="G21" s="3090">
        <f t="shared" si="1"/>
        <v>0</v>
      </c>
      <c r="H21" s="3091">
        <f t="shared" ca="1" si="4"/>
        <v>0</v>
      </c>
      <c r="I21" s="3093" t="s">
        <v>6810</v>
      </c>
      <c r="J21" s="3072"/>
      <c r="K21" s="3090">
        <f t="shared" si="3"/>
        <v>2024958.1</v>
      </c>
      <c r="L21" s="3071" t="s">
        <v>6806</v>
      </c>
      <c r="M21" s="3093" t="s">
        <v>6810</v>
      </c>
      <c r="N21" s="3072"/>
      <c r="O21" s="3099"/>
      <c r="P21" s="3100"/>
      <c r="Q21" s="3100"/>
      <c r="R21" s="3100"/>
      <c r="S21" s="3101" t="s">
        <v>295</v>
      </c>
      <c r="T21" s="3101" t="s">
        <v>213</v>
      </c>
      <c r="U21" s="3102"/>
      <c r="V21" s="3102" t="s">
        <v>295</v>
      </c>
      <c r="W21" s="3102" t="s">
        <v>145</v>
      </c>
      <c r="X21" s="3102" t="s">
        <v>6807</v>
      </c>
      <c r="Y21" s="3103" t="s">
        <v>119</v>
      </c>
    </row>
    <row r="22" spans="1:25" ht="24" hidden="1">
      <c r="A22" s="1304"/>
      <c r="B22" s="643">
        <v>1121</v>
      </c>
      <c r="C22" s="643" t="s">
        <v>6115</v>
      </c>
      <c r="D22" s="3087">
        <v>2</v>
      </c>
      <c r="E22" s="3088" t="str">
        <f t="shared" si="0"/>
        <v>应收票据</v>
      </c>
      <c r="F22" s="3089" t="s">
        <v>6116</v>
      </c>
      <c r="G22" s="3090">
        <f t="shared" si="1"/>
        <v>0</v>
      </c>
      <c r="H22" s="3091">
        <f t="shared" ca="1" si="4"/>
        <v>0</v>
      </c>
      <c r="I22" s="3093" t="s">
        <v>6810</v>
      </c>
      <c r="J22" s="3072"/>
      <c r="K22" s="3090">
        <f t="shared" si="3"/>
        <v>2024958.1</v>
      </c>
      <c r="L22" s="3071">
        <f ca="1">INDIRECT("Notes!CheckB"&amp;$C22)</f>
        <v>0</v>
      </c>
      <c r="M22" s="3093" t="s">
        <v>6810</v>
      </c>
      <c r="N22" s="3072"/>
      <c r="O22" s="3099"/>
      <c r="P22" s="3100"/>
      <c r="Q22" s="3100"/>
      <c r="R22" s="3100"/>
      <c r="S22" s="3101" t="s">
        <v>295</v>
      </c>
      <c r="T22" s="3101" t="s">
        <v>213</v>
      </c>
      <c r="U22" s="3102"/>
      <c r="V22" s="3102" t="s">
        <v>295</v>
      </c>
      <c r="W22" s="3102" t="s">
        <v>145</v>
      </c>
      <c r="X22" s="3102" t="s">
        <v>213</v>
      </c>
      <c r="Y22" s="3103" t="s">
        <v>119</v>
      </c>
    </row>
    <row r="23" spans="1:25" ht="24" hidden="1">
      <c r="A23" s="1304"/>
      <c r="B23" s="643">
        <v>1121</v>
      </c>
      <c r="C23" s="643" t="s">
        <v>227</v>
      </c>
      <c r="D23" s="3087">
        <v>2</v>
      </c>
      <c r="E23" s="3088" t="str">
        <f t="shared" si="0"/>
        <v>应收票据</v>
      </c>
      <c r="F23" s="3089" t="s">
        <v>228</v>
      </c>
      <c r="G23" s="3090">
        <f t="shared" si="1"/>
        <v>0</v>
      </c>
      <c r="H23" s="3091">
        <f t="shared" ca="1" si="4"/>
        <v>0</v>
      </c>
      <c r="I23" s="3093" t="s">
        <v>6810</v>
      </c>
      <c r="J23" s="3072"/>
      <c r="K23" s="3090">
        <f t="shared" si="3"/>
        <v>2024958.1</v>
      </c>
      <c r="L23" s="3071">
        <f ca="1">INDIRECT("Notes!CheckB"&amp;$C23)</f>
        <v>0</v>
      </c>
      <c r="M23" s="3093" t="s">
        <v>6810</v>
      </c>
      <c r="N23" s="3072"/>
      <c r="O23" s="3099"/>
      <c r="P23" s="3100"/>
      <c r="Q23" s="3100"/>
      <c r="R23" s="3100"/>
      <c r="S23" s="3101" t="s">
        <v>295</v>
      </c>
      <c r="T23" s="3101" t="s">
        <v>213</v>
      </c>
      <c r="U23" s="3102"/>
      <c r="V23" s="3102" t="s">
        <v>295</v>
      </c>
      <c r="W23" s="3102" t="s">
        <v>145</v>
      </c>
      <c r="X23" s="3102" t="s">
        <v>6807</v>
      </c>
      <c r="Y23" s="3103" t="s">
        <v>119</v>
      </c>
    </row>
    <row r="24" spans="1:25" ht="24" hidden="1">
      <c r="A24" s="1304"/>
      <c r="B24" s="643">
        <v>1121</v>
      </c>
      <c r="C24" s="643" t="s">
        <v>235</v>
      </c>
      <c r="D24" s="3087">
        <v>2</v>
      </c>
      <c r="E24" s="3088" t="str">
        <f t="shared" si="0"/>
        <v>应收票据</v>
      </c>
      <c r="F24" s="3089" t="s">
        <v>236</v>
      </c>
      <c r="G24" s="3090">
        <f t="shared" si="1"/>
        <v>0</v>
      </c>
      <c r="H24" s="3091">
        <f t="shared" ca="1" si="4"/>
        <v>0</v>
      </c>
      <c r="I24" s="3093" t="s">
        <v>6810</v>
      </c>
      <c r="J24" s="3072"/>
      <c r="K24" s="3090">
        <f t="shared" si="3"/>
        <v>2024958.1</v>
      </c>
      <c r="L24" s="3071" t="s">
        <v>6806</v>
      </c>
      <c r="M24" s="3093" t="s">
        <v>6810</v>
      </c>
      <c r="N24" s="3072"/>
      <c r="O24" s="3099"/>
      <c r="P24" s="3100"/>
      <c r="Q24" s="3100"/>
      <c r="R24" s="3100"/>
      <c r="S24" s="3101" t="s">
        <v>295</v>
      </c>
      <c r="T24" s="3101" t="s">
        <v>213</v>
      </c>
      <c r="U24" s="3102">
        <v>1121</v>
      </c>
      <c r="V24" s="3102" t="s">
        <v>295</v>
      </c>
      <c r="W24" s="3102" t="s">
        <v>6804</v>
      </c>
      <c r="X24" s="3102" t="s">
        <v>6807</v>
      </c>
      <c r="Y24" s="3103" t="s">
        <v>164</v>
      </c>
    </row>
    <row r="25" spans="1:25" ht="24" hidden="1">
      <c r="A25" s="1304"/>
      <c r="B25" s="643">
        <v>1121</v>
      </c>
      <c r="C25" s="643" t="s">
        <v>245</v>
      </c>
      <c r="D25" s="3087">
        <v>2</v>
      </c>
      <c r="E25" s="3088" t="str">
        <f t="shared" si="0"/>
        <v>应收票据</v>
      </c>
      <c r="F25" s="3089" t="s">
        <v>246</v>
      </c>
      <c r="G25" s="3090">
        <f t="shared" si="1"/>
        <v>0</v>
      </c>
      <c r="H25" s="3091">
        <f t="shared" ca="1" si="4"/>
        <v>0</v>
      </c>
      <c r="I25" s="3093" t="s">
        <v>6810</v>
      </c>
      <c r="J25" s="3072"/>
      <c r="K25" s="3090">
        <f t="shared" si="3"/>
        <v>2024958.1</v>
      </c>
      <c r="L25" s="3071" t="s">
        <v>6806</v>
      </c>
      <c r="M25" s="3093" t="s">
        <v>6810</v>
      </c>
      <c r="N25" s="3072"/>
      <c r="O25" s="3099"/>
      <c r="P25" s="3100"/>
      <c r="Q25" s="3100"/>
      <c r="R25" s="3100"/>
      <c r="S25" s="3101" t="s">
        <v>295</v>
      </c>
      <c r="T25" s="3101" t="s">
        <v>213</v>
      </c>
      <c r="U25" s="3102">
        <v>1121</v>
      </c>
      <c r="V25" s="3102" t="s">
        <v>295</v>
      </c>
      <c r="W25" s="3102" t="s">
        <v>6804</v>
      </c>
      <c r="X25" s="3102" t="s">
        <v>6807</v>
      </c>
      <c r="Y25" s="3103" t="s">
        <v>164</v>
      </c>
    </row>
    <row r="26" spans="1:25" ht="24" hidden="1">
      <c r="A26" s="1304"/>
      <c r="B26" s="643">
        <v>1121</v>
      </c>
      <c r="C26" s="643" t="s">
        <v>255</v>
      </c>
      <c r="D26" s="3087">
        <v>2</v>
      </c>
      <c r="E26" s="3088" t="str">
        <f t="shared" si="0"/>
        <v>应收票据</v>
      </c>
      <c r="F26" s="3089" t="s">
        <v>256</v>
      </c>
      <c r="G26" s="3090">
        <f t="shared" si="1"/>
        <v>0</v>
      </c>
      <c r="H26" s="3091">
        <f t="shared" ca="1" si="4"/>
        <v>0</v>
      </c>
      <c r="I26" s="3093" t="s">
        <v>6810</v>
      </c>
      <c r="J26" s="3072"/>
      <c r="K26" s="3090">
        <f t="shared" si="3"/>
        <v>2024958.1</v>
      </c>
      <c r="L26" s="3071" t="s">
        <v>6806</v>
      </c>
      <c r="M26" s="3093" t="s">
        <v>6810</v>
      </c>
      <c r="N26" s="3072"/>
      <c r="O26" s="3099"/>
      <c r="P26" s="3100"/>
      <c r="Q26" s="3100"/>
      <c r="R26" s="3100"/>
      <c r="S26" s="3101" t="s">
        <v>295</v>
      </c>
      <c r="T26" s="3101" t="s">
        <v>213</v>
      </c>
      <c r="U26" s="3102"/>
      <c r="V26" s="3102" t="s">
        <v>295</v>
      </c>
      <c r="W26" s="3102" t="s">
        <v>6804</v>
      </c>
      <c r="X26" s="3102" t="s">
        <v>6807</v>
      </c>
      <c r="Y26" s="3103" t="s">
        <v>164</v>
      </c>
    </row>
    <row r="27" spans="1:25" ht="18" hidden="1">
      <c r="A27" s="1304"/>
      <c r="B27" s="643">
        <v>1121</v>
      </c>
      <c r="C27" s="643" t="s">
        <v>5583</v>
      </c>
      <c r="D27" s="3087">
        <v>2</v>
      </c>
      <c r="E27" s="3088" t="str">
        <f t="shared" si="0"/>
        <v>应收票据</v>
      </c>
      <c r="F27" s="3089" t="s">
        <v>5584</v>
      </c>
      <c r="G27" s="3090">
        <f t="shared" si="1"/>
        <v>0</v>
      </c>
      <c r="H27" s="3091">
        <f t="shared" ca="1" si="4"/>
        <v>0</v>
      </c>
      <c r="I27" s="3093" t="s">
        <v>6810</v>
      </c>
      <c r="J27" s="3072"/>
      <c r="K27" s="3090">
        <f t="shared" si="3"/>
        <v>2024958.1</v>
      </c>
      <c r="L27" s="3071">
        <f ca="1">INDIRECT("Notes!CheckB"&amp;$C27)</f>
        <v>0</v>
      </c>
      <c r="M27" s="3093" t="s">
        <v>6810</v>
      </c>
      <c r="N27" s="3072"/>
      <c r="O27" s="3099"/>
      <c r="P27" s="3100"/>
      <c r="Q27" s="3100"/>
      <c r="R27" s="3100"/>
      <c r="S27" s="3101" t="s">
        <v>295</v>
      </c>
      <c r="T27" s="3101" t="s">
        <v>213</v>
      </c>
      <c r="U27" s="3102"/>
      <c r="V27" s="3102" t="s">
        <v>295</v>
      </c>
      <c r="W27" s="3102" t="s">
        <v>6804</v>
      </c>
      <c r="X27" s="3102" t="s">
        <v>213</v>
      </c>
      <c r="Y27" s="3103" t="s">
        <v>164</v>
      </c>
    </row>
    <row r="28" spans="1:25" ht="18">
      <c r="A28" s="1304"/>
      <c r="B28" s="643">
        <v>1122</v>
      </c>
      <c r="C28" s="643" t="s">
        <v>271</v>
      </c>
      <c r="D28" s="3087">
        <v>1</v>
      </c>
      <c r="E28" s="3088" t="str">
        <f t="shared" si="0"/>
        <v>应收账款</v>
      </c>
      <c r="F28" s="3089" t="s">
        <v>272</v>
      </c>
      <c r="G28" s="3090">
        <f t="shared" si="1"/>
        <v>52079975.609999999</v>
      </c>
      <c r="H28" s="3091">
        <f t="shared" ca="1" si="4"/>
        <v>52079975.609999999</v>
      </c>
      <c r="I28" s="3093">
        <f ca="1">IF(AND(LEN(G28)&gt;0,LEN(H28)&gt;0),ROUND(SUM(G28)-SUM(H28),2),"")</f>
        <v>0</v>
      </c>
      <c r="J28" s="3072" t="str">
        <f ca="1">IF(ISNA(I28),"N/A",IF(I28=0,"√","？"))</f>
        <v>√</v>
      </c>
      <c r="K28" s="3090">
        <f t="shared" si="3"/>
        <v>43128210.229999997</v>
      </c>
      <c r="L28" s="3071">
        <f ca="1">INDIRECT("Notes!CheckB"&amp;$C28)</f>
        <v>43055207.170000002</v>
      </c>
      <c r="M28" s="3093">
        <f ca="1">IF(AND(LEN(K28)&gt;0,LEN(L28)&gt;0),ROUND(SUM(K28)-SUM(L28),2),"")</f>
        <v>73003.06</v>
      </c>
      <c r="N28" s="3072" t="str">
        <f ca="1">IF(ISNA(M28),"N/A",IF(M28=0,"√","？"))</f>
        <v>？</v>
      </c>
      <c r="O28" s="3099"/>
      <c r="P28" s="3100"/>
      <c r="Q28" s="3100"/>
      <c r="R28" s="3100"/>
      <c r="S28" s="3101" t="s">
        <v>295</v>
      </c>
      <c r="T28" s="3101" t="s">
        <v>213</v>
      </c>
      <c r="U28" s="3102">
        <v>1122</v>
      </c>
      <c r="V28" s="3102" t="s">
        <v>295</v>
      </c>
      <c r="W28" s="3102" t="s">
        <v>145</v>
      </c>
      <c r="X28" s="3102" t="s">
        <v>6807</v>
      </c>
      <c r="Y28" s="3103" t="s">
        <v>119</v>
      </c>
    </row>
    <row r="29" spans="1:25" ht="36" hidden="1">
      <c r="A29" s="1304"/>
      <c r="B29" s="643">
        <v>1122</v>
      </c>
      <c r="C29" s="643" t="s">
        <v>281</v>
      </c>
      <c r="D29" s="3087">
        <v>2</v>
      </c>
      <c r="E29" s="3088" t="str">
        <f t="shared" si="0"/>
        <v>应收账款</v>
      </c>
      <c r="F29" s="3089" t="s">
        <v>6419</v>
      </c>
      <c r="G29" s="3090">
        <f t="shared" si="1"/>
        <v>52079975.609999999</v>
      </c>
      <c r="H29" s="3091">
        <f t="shared" ca="1" si="4"/>
        <v>52079975.609999999</v>
      </c>
      <c r="I29" s="3093" t="s">
        <v>6810</v>
      </c>
      <c r="J29" s="3072"/>
      <c r="K29" s="3090">
        <f t="shared" si="3"/>
        <v>43128210.229999997</v>
      </c>
      <c r="L29" s="3071" t="s">
        <v>6806</v>
      </c>
      <c r="M29" s="3093" t="s">
        <v>6810</v>
      </c>
      <c r="N29" s="3072"/>
      <c r="O29" s="3099"/>
      <c r="P29" s="3100"/>
      <c r="Q29" s="3100"/>
      <c r="R29" s="3100"/>
      <c r="S29" s="3101" t="s">
        <v>295</v>
      </c>
      <c r="T29" s="3101" t="s">
        <v>213</v>
      </c>
      <c r="U29" s="3102"/>
      <c r="V29" s="3102" t="s">
        <v>295</v>
      </c>
      <c r="W29" s="3102" t="s">
        <v>145</v>
      </c>
      <c r="X29" s="3102" t="s">
        <v>6807</v>
      </c>
      <c r="Y29" s="3103" t="s">
        <v>119</v>
      </c>
    </row>
    <row r="30" spans="1:25" ht="36" hidden="1">
      <c r="A30" s="1304"/>
      <c r="B30" s="643">
        <v>1122</v>
      </c>
      <c r="C30" s="643" t="s">
        <v>302</v>
      </c>
      <c r="D30" s="3087">
        <v>2</v>
      </c>
      <c r="E30" s="3088" t="str">
        <f t="shared" si="0"/>
        <v>应收账款</v>
      </c>
      <c r="F30" s="3089" t="s">
        <v>6420</v>
      </c>
      <c r="G30" s="3090">
        <f t="shared" si="1"/>
        <v>52079975.609999999</v>
      </c>
      <c r="H30" s="3091">
        <f t="shared" ca="1" si="4"/>
        <v>4478689.6500000004</v>
      </c>
      <c r="I30" s="3093" t="s">
        <v>6810</v>
      </c>
      <c r="J30" s="3072"/>
      <c r="K30" s="3090">
        <f t="shared" si="3"/>
        <v>43128210.229999997</v>
      </c>
      <c r="L30" s="3071" t="s">
        <v>6806</v>
      </c>
      <c r="M30" s="3093" t="s">
        <v>6810</v>
      </c>
      <c r="N30" s="3072"/>
      <c r="O30" s="3099"/>
      <c r="P30" s="3100"/>
      <c r="Q30" s="3100"/>
      <c r="R30" s="3100"/>
      <c r="S30" s="3101" t="s">
        <v>295</v>
      </c>
      <c r="T30" s="3101" t="s">
        <v>213</v>
      </c>
      <c r="U30" s="3102"/>
      <c r="V30" s="3102" t="s">
        <v>295</v>
      </c>
      <c r="W30" s="3102" t="s">
        <v>145</v>
      </c>
      <c r="X30" s="3102" t="s">
        <v>6807</v>
      </c>
      <c r="Y30" s="3103" t="s">
        <v>119</v>
      </c>
    </row>
    <row r="31" spans="1:25" ht="36" hidden="1">
      <c r="A31" s="1304"/>
      <c r="B31" s="643">
        <v>1122</v>
      </c>
      <c r="C31" s="643" t="s">
        <v>310</v>
      </c>
      <c r="D31" s="3087">
        <v>2</v>
      </c>
      <c r="E31" s="3088" t="str">
        <f t="shared" si="0"/>
        <v>应收账款</v>
      </c>
      <c r="F31" s="3089" t="s">
        <v>6421</v>
      </c>
      <c r="G31" s="3090">
        <f t="shared" si="1"/>
        <v>52079975.609999999</v>
      </c>
      <c r="H31" s="3091">
        <f t="shared" ca="1" si="4"/>
        <v>20438780.09</v>
      </c>
      <c r="I31" s="3093" t="s">
        <v>6810</v>
      </c>
      <c r="J31" s="3072"/>
      <c r="K31" s="3090">
        <f t="shared" si="3"/>
        <v>43128210.229999997</v>
      </c>
      <c r="L31" s="3071" t="s">
        <v>6806</v>
      </c>
      <c r="M31" s="3093" t="s">
        <v>6810</v>
      </c>
      <c r="N31" s="3072"/>
      <c r="O31" s="3099"/>
      <c r="P31" s="3100"/>
      <c r="Q31" s="3100"/>
      <c r="R31" s="3100"/>
      <c r="S31" s="3101" t="s">
        <v>295</v>
      </c>
      <c r="T31" s="3101" t="s">
        <v>213</v>
      </c>
      <c r="U31" s="3102"/>
      <c r="V31" s="3102" t="s">
        <v>295</v>
      </c>
      <c r="W31" s="3102" t="s">
        <v>145</v>
      </c>
      <c r="X31" s="3102" t="s">
        <v>6807</v>
      </c>
      <c r="Y31" s="3103" t="s">
        <v>119</v>
      </c>
    </row>
    <row r="32" spans="1:25" ht="36" hidden="1">
      <c r="A32" s="1304"/>
      <c r="B32" s="643">
        <v>1122</v>
      </c>
      <c r="C32" s="643" t="s">
        <v>316</v>
      </c>
      <c r="D32" s="3087">
        <v>2</v>
      </c>
      <c r="E32" s="3088" t="str">
        <f t="shared" si="0"/>
        <v>应收账款</v>
      </c>
      <c r="F32" s="3089" t="s">
        <v>6422</v>
      </c>
      <c r="G32" s="3090">
        <f t="shared" si="1"/>
        <v>52079975.609999999</v>
      </c>
      <c r="H32" s="3091">
        <f t="shared" ca="1" si="4"/>
        <v>34572678.359999999</v>
      </c>
      <c r="I32" s="3093" t="s">
        <v>6810</v>
      </c>
      <c r="J32" s="3072"/>
      <c r="K32" s="3090">
        <f t="shared" si="3"/>
        <v>43128210.229999997</v>
      </c>
      <c r="L32" s="3071" t="s">
        <v>6806</v>
      </c>
      <c r="M32" s="3093" t="s">
        <v>6810</v>
      </c>
      <c r="N32" s="3072"/>
      <c r="O32" s="3099"/>
      <c r="P32" s="3100"/>
      <c r="Q32" s="3100"/>
      <c r="R32" s="3100"/>
      <c r="S32" s="3101" t="s">
        <v>295</v>
      </c>
      <c r="T32" s="3101" t="s">
        <v>213</v>
      </c>
      <c r="U32" s="3102"/>
      <c r="V32" s="3102" t="s">
        <v>295</v>
      </c>
      <c r="W32" s="3102" t="s">
        <v>145</v>
      </c>
      <c r="X32" s="3102" t="s">
        <v>213</v>
      </c>
      <c r="Y32" s="3103" t="s">
        <v>119</v>
      </c>
    </row>
    <row r="33" spans="1:25" ht="36" hidden="1">
      <c r="A33" s="1304"/>
      <c r="B33" s="643">
        <v>1122</v>
      </c>
      <c r="C33" s="643">
        <v>112202</v>
      </c>
      <c r="D33" s="3087">
        <v>2</v>
      </c>
      <c r="E33" s="3088" t="str">
        <f t="shared" si="0"/>
        <v>应收账款</v>
      </c>
      <c r="F33" s="3089" t="s">
        <v>6423</v>
      </c>
      <c r="G33" s="3090">
        <f t="shared" si="1"/>
        <v>52079975.609999999</v>
      </c>
      <c r="H33" s="3091">
        <f t="shared" ca="1" si="4"/>
        <v>0</v>
      </c>
      <c r="I33" s="3093" t="s">
        <v>6810</v>
      </c>
      <c r="J33" s="3072"/>
      <c r="K33" s="3090">
        <f t="shared" si="3"/>
        <v>43128210.229999997</v>
      </c>
      <c r="L33" s="3071" t="s">
        <v>6806</v>
      </c>
      <c r="M33" s="3093" t="s">
        <v>6810</v>
      </c>
      <c r="N33" s="3072"/>
      <c r="O33" s="3099"/>
      <c r="P33" s="3100"/>
      <c r="Q33" s="3100"/>
      <c r="R33" s="3100"/>
      <c r="S33" s="3101" t="s">
        <v>295</v>
      </c>
      <c r="T33" s="3101" t="s">
        <v>213</v>
      </c>
      <c r="U33" s="3102"/>
      <c r="V33" s="3102" t="s">
        <v>295</v>
      </c>
      <c r="W33" s="3102" t="s">
        <v>145</v>
      </c>
      <c r="X33" s="3102" t="s">
        <v>213</v>
      </c>
      <c r="Y33" s="3103" t="s">
        <v>119</v>
      </c>
    </row>
    <row r="34" spans="1:25" ht="36" hidden="1">
      <c r="A34" s="1304"/>
      <c r="B34" s="643">
        <v>1122</v>
      </c>
      <c r="C34" s="643" t="s">
        <v>292</v>
      </c>
      <c r="D34" s="3087">
        <v>2</v>
      </c>
      <c r="E34" s="3088" t="str">
        <f t="shared" si="0"/>
        <v>应收账款</v>
      </c>
      <c r="F34" s="3089" t="s">
        <v>6424</v>
      </c>
      <c r="G34" s="3090">
        <f t="shared" si="1"/>
        <v>52079975.609999999</v>
      </c>
      <c r="H34" s="3091" t="s">
        <v>6806</v>
      </c>
      <c r="I34" s="3093" t="s">
        <v>6810</v>
      </c>
      <c r="J34" s="3072"/>
      <c r="K34" s="3090">
        <f t="shared" si="3"/>
        <v>43128210.229999997</v>
      </c>
      <c r="L34" s="3071">
        <f ca="1">INDIRECT("Notes!CheckB"&amp;$C34)</f>
        <v>43055207.170000002</v>
      </c>
      <c r="M34" s="3093" t="s">
        <v>6810</v>
      </c>
      <c r="N34" s="3072"/>
      <c r="O34" s="3099"/>
      <c r="P34" s="3100"/>
      <c r="Q34" s="3100"/>
      <c r="R34" s="3100"/>
      <c r="S34" s="3101" t="s">
        <v>295</v>
      </c>
      <c r="T34" s="3101" t="s">
        <v>213</v>
      </c>
      <c r="U34" s="3102"/>
      <c r="V34" s="3102" t="s">
        <v>295</v>
      </c>
      <c r="W34" s="3102" t="s">
        <v>145</v>
      </c>
      <c r="X34" s="3102" t="s">
        <v>6807</v>
      </c>
      <c r="Y34" s="3103" t="s">
        <v>119</v>
      </c>
    </row>
    <row r="35" spans="1:25" ht="48" hidden="1">
      <c r="A35" s="1304"/>
      <c r="B35" s="643">
        <v>1122</v>
      </c>
      <c r="C35" s="643" t="s">
        <v>5107</v>
      </c>
      <c r="D35" s="3087">
        <v>2</v>
      </c>
      <c r="E35" s="3088" t="str">
        <f t="shared" si="0"/>
        <v>应收账款</v>
      </c>
      <c r="F35" s="3089" t="s">
        <v>6425</v>
      </c>
      <c r="G35" s="3090">
        <f t="shared" si="1"/>
        <v>52079975.609999999</v>
      </c>
      <c r="H35" s="3091" t="s">
        <v>6806</v>
      </c>
      <c r="I35" s="3093" t="s">
        <v>6810</v>
      </c>
      <c r="J35" s="3072"/>
      <c r="K35" s="3090">
        <f t="shared" si="3"/>
        <v>43128210.229999997</v>
      </c>
      <c r="L35" s="3071">
        <f ca="1">INDIRECT("Notes!CheckB"&amp;$C35)</f>
        <v>2424373</v>
      </c>
      <c r="M35" s="3093" t="s">
        <v>6810</v>
      </c>
      <c r="N35" s="3072"/>
      <c r="O35" s="3099"/>
      <c r="P35" s="3100"/>
      <c r="Q35" s="3100"/>
      <c r="R35" s="3100"/>
      <c r="S35" s="3101" t="s">
        <v>295</v>
      </c>
      <c r="T35" s="3101" t="s">
        <v>213</v>
      </c>
      <c r="U35" s="3102"/>
      <c r="V35" s="3102" t="s">
        <v>295</v>
      </c>
      <c r="W35" s="3102" t="s">
        <v>145</v>
      </c>
      <c r="X35" s="3102" t="s">
        <v>6807</v>
      </c>
      <c r="Y35" s="3103" t="s">
        <v>119</v>
      </c>
    </row>
    <row r="36" spans="1:25" ht="48" hidden="1">
      <c r="A36" s="1304"/>
      <c r="B36" s="643">
        <v>1122</v>
      </c>
      <c r="C36" s="643" t="s">
        <v>5108</v>
      </c>
      <c r="D36" s="3087">
        <v>2</v>
      </c>
      <c r="E36" s="3088" t="str">
        <f t="shared" si="0"/>
        <v>应收账款</v>
      </c>
      <c r="F36" s="3089" t="s">
        <v>6426</v>
      </c>
      <c r="G36" s="3090">
        <f t="shared" si="1"/>
        <v>52079975.609999999</v>
      </c>
      <c r="H36" s="3091" t="s">
        <v>6806</v>
      </c>
      <c r="I36" s="3093" t="s">
        <v>6810</v>
      </c>
      <c r="J36" s="3072"/>
      <c r="K36" s="3090">
        <f t="shared" si="3"/>
        <v>43128210.229999997</v>
      </c>
      <c r="L36" s="3071">
        <f ca="1">INDIRECT("Notes!CheckB"&amp;$C36)</f>
        <v>9064854.1500000004</v>
      </c>
      <c r="M36" s="3093" t="s">
        <v>6810</v>
      </c>
      <c r="N36" s="3072"/>
      <c r="O36" s="3099"/>
      <c r="P36" s="3100"/>
      <c r="Q36" s="3100"/>
      <c r="R36" s="3100"/>
      <c r="S36" s="3101" t="s">
        <v>295</v>
      </c>
      <c r="T36" s="3101" t="s">
        <v>213</v>
      </c>
      <c r="U36" s="3102"/>
      <c r="V36" s="3102" t="s">
        <v>295</v>
      </c>
      <c r="W36" s="3102" t="s">
        <v>145</v>
      </c>
      <c r="X36" s="3102" t="s">
        <v>6807</v>
      </c>
      <c r="Y36" s="3103" t="s">
        <v>119</v>
      </c>
    </row>
    <row r="37" spans="1:25" ht="24" hidden="1">
      <c r="A37" s="1304"/>
      <c r="B37" s="643">
        <v>1122</v>
      </c>
      <c r="C37" s="643" t="s">
        <v>335</v>
      </c>
      <c r="D37" s="3087">
        <v>2</v>
      </c>
      <c r="E37" s="3088" t="str">
        <f t="shared" si="0"/>
        <v>应收账款</v>
      </c>
      <c r="F37" s="3089" t="s">
        <v>336</v>
      </c>
      <c r="G37" s="3090">
        <f t="shared" si="1"/>
        <v>52079975.609999999</v>
      </c>
      <c r="H37" s="3091">
        <f t="shared" ref="H37:H68" ca="1" si="5">INDIRECT("Notes!CheckA"&amp;$C37)</f>
        <v>0</v>
      </c>
      <c r="I37" s="3093" t="s">
        <v>6810</v>
      </c>
      <c r="J37" s="3072"/>
      <c r="K37" s="3090">
        <f t="shared" si="3"/>
        <v>43128210.229999997</v>
      </c>
      <c r="L37" s="3071">
        <f ca="1">INDIRECT("Notes!CheckB"&amp;$C37)</f>
        <v>0</v>
      </c>
      <c r="M37" s="3093" t="s">
        <v>6810</v>
      </c>
      <c r="N37" s="3072"/>
      <c r="O37" s="3099"/>
      <c r="P37" s="3100"/>
      <c r="Q37" s="3100"/>
      <c r="R37" s="3100"/>
      <c r="S37" s="3101" t="s">
        <v>295</v>
      </c>
      <c r="T37" s="3101" t="s">
        <v>213</v>
      </c>
      <c r="U37" s="3102"/>
      <c r="V37" s="3102" t="s">
        <v>295</v>
      </c>
      <c r="W37" s="3102" t="s">
        <v>145</v>
      </c>
      <c r="X37" s="3102" t="s">
        <v>6807</v>
      </c>
      <c r="Y37" s="3103" t="s">
        <v>119</v>
      </c>
    </row>
    <row r="38" spans="1:25" ht="24" hidden="1">
      <c r="A38" s="1304"/>
      <c r="B38" s="643">
        <v>1122</v>
      </c>
      <c r="C38" s="643" t="s">
        <v>342</v>
      </c>
      <c r="D38" s="3087">
        <v>2</v>
      </c>
      <c r="E38" s="3088" t="str">
        <f t="shared" si="0"/>
        <v>应收账款</v>
      </c>
      <c r="F38" s="3089" t="s">
        <v>343</v>
      </c>
      <c r="G38" s="3090">
        <f t="shared" si="1"/>
        <v>52079975.609999999</v>
      </c>
      <c r="H38" s="3091">
        <f t="shared" ca="1" si="5"/>
        <v>0</v>
      </c>
      <c r="I38" s="3093" t="s">
        <v>6810</v>
      </c>
      <c r="J38" s="3072"/>
      <c r="K38" s="3090">
        <f t="shared" si="3"/>
        <v>43128210.229999997</v>
      </c>
      <c r="L38" s="3071" t="s">
        <v>6806</v>
      </c>
      <c r="M38" s="3093" t="s">
        <v>6810</v>
      </c>
      <c r="N38" s="3072"/>
      <c r="O38" s="3099"/>
      <c r="P38" s="3100"/>
      <c r="Q38" s="3100"/>
      <c r="R38" s="3100"/>
      <c r="S38" s="3101" t="s">
        <v>295</v>
      </c>
      <c r="T38" s="3101" t="s">
        <v>213</v>
      </c>
      <c r="U38" s="3102">
        <v>1122</v>
      </c>
      <c r="V38" s="3102" t="s">
        <v>295</v>
      </c>
      <c r="W38" s="3102" t="s">
        <v>6804</v>
      </c>
      <c r="X38" s="3102" t="s">
        <v>6807</v>
      </c>
      <c r="Y38" s="3103" t="s">
        <v>164</v>
      </c>
    </row>
    <row r="39" spans="1:25" ht="24" hidden="1">
      <c r="A39" s="1304"/>
      <c r="B39" s="643">
        <v>1122</v>
      </c>
      <c r="C39" s="643" t="s">
        <v>349</v>
      </c>
      <c r="D39" s="3087">
        <v>2</v>
      </c>
      <c r="E39" s="3088" t="str">
        <f t="shared" si="0"/>
        <v>应收账款</v>
      </c>
      <c r="F39" s="3089" t="s">
        <v>350</v>
      </c>
      <c r="G39" s="3090">
        <f t="shared" si="1"/>
        <v>52079975.609999999</v>
      </c>
      <c r="H39" s="3091">
        <f t="shared" ca="1" si="5"/>
        <v>0</v>
      </c>
      <c r="I39" s="3093" t="s">
        <v>6810</v>
      </c>
      <c r="J39" s="3072"/>
      <c r="K39" s="3090">
        <f t="shared" si="3"/>
        <v>43128210.229999997</v>
      </c>
      <c r="L39" s="3071" t="s">
        <v>6806</v>
      </c>
      <c r="M39" s="3093" t="s">
        <v>6810</v>
      </c>
      <c r="N39" s="3072"/>
      <c r="O39" s="3099"/>
      <c r="P39" s="3100"/>
      <c r="Q39" s="3100"/>
      <c r="R39" s="3100"/>
      <c r="S39" s="3101" t="s">
        <v>295</v>
      </c>
      <c r="T39" s="3101" t="s">
        <v>213</v>
      </c>
      <c r="U39" s="3102">
        <v>1122</v>
      </c>
      <c r="V39" s="3102" t="s">
        <v>295</v>
      </c>
      <c r="W39" s="3102" t="s">
        <v>6804</v>
      </c>
      <c r="X39" s="3102" t="s">
        <v>6807</v>
      </c>
      <c r="Y39" s="3103" t="s">
        <v>164</v>
      </c>
    </row>
    <row r="40" spans="1:25" ht="24" hidden="1">
      <c r="A40" s="1304"/>
      <c r="B40" s="643">
        <v>1122</v>
      </c>
      <c r="C40" s="643" t="s">
        <v>357</v>
      </c>
      <c r="D40" s="3087">
        <v>2</v>
      </c>
      <c r="E40" s="3088" t="str">
        <f t="shared" si="0"/>
        <v>应收账款</v>
      </c>
      <c r="F40" s="3089" t="s">
        <v>358</v>
      </c>
      <c r="G40" s="3090">
        <f t="shared" si="1"/>
        <v>52079975.609999999</v>
      </c>
      <c r="H40" s="3091">
        <f t="shared" ca="1" si="5"/>
        <v>0</v>
      </c>
      <c r="I40" s="3093" t="s">
        <v>6810</v>
      </c>
      <c r="J40" s="3072"/>
      <c r="K40" s="3090">
        <f t="shared" si="3"/>
        <v>43128210.229999997</v>
      </c>
      <c r="L40" s="3071" t="s">
        <v>6806</v>
      </c>
      <c r="M40" s="3093" t="s">
        <v>6810</v>
      </c>
      <c r="N40" s="3072"/>
      <c r="O40" s="3099"/>
      <c r="P40" s="3100"/>
      <c r="Q40" s="3100"/>
      <c r="R40" s="3100"/>
      <c r="S40" s="3101" t="s">
        <v>295</v>
      </c>
      <c r="T40" s="3101" t="s">
        <v>213</v>
      </c>
      <c r="U40" s="3102"/>
      <c r="V40" s="3102" t="s">
        <v>295</v>
      </c>
      <c r="W40" s="3102" t="s">
        <v>6804</v>
      </c>
      <c r="X40" s="3102" t="s">
        <v>6807</v>
      </c>
      <c r="Y40" s="3103" t="s">
        <v>164</v>
      </c>
    </row>
    <row r="41" spans="1:25" ht="36" hidden="1">
      <c r="A41" s="1304"/>
      <c r="B41" s="643">
        <v>1122</v>
      </c>
      <c r="C41" s="643" t="s">
        <v>365</v>
      </c>
      <c r="D41" s="3087">
        <v>2</v>
      </c>
      <c r="E41" s="3088" t="str">
        <f t="shared" si="0"/>
        <v>应收账款</v>
      </c>
      <c r="F41" s="3089" t="s">
        <v>366</v>
      </c>
      <c r="G41" s="3090">
        <f t="shared" si="1"/>
        <v>52079975.609999999</v>
      </c>
      <c r="H41" s="3091">
        <f t="shared" ca="1" si="5"/>
        <v>37009510.659999996</v>
      </c>
      <c r="I41" s="3093" t="s">
        <v>6810</v>
      </c>
      <c r="J41" s="3072"/>
      <c r="K41" s="3090">
        <f t="shared" ref="K41:K72" si="6">IF(ISERROR(VLOOKUP($B41,Sheet_Trialbal,10,0)),"        ----",VLOOKUP($B41,Sheet_Trialbal,10,0))</f>
        <v>43128210.229999997</v>
      </c>
      <c r="L41" s="3071" t="s">
        <v>6806</v>
      </c>
      <c r="M41" s="3093" t="s">
        <v>6810</v>
      </c>
      <c r="N41" s="3072"/>
      <c r="O41" s="3099"/>
      <c r="P41" s="3100"/>
      <c r="Q41" s="3100"/>
      <c r="R41" s="3100"/>
      <c r="S41" s="3101" t="s">
        <v>295</v>
      </c>
      <c r="T41" s="3101" t="s">
        <v>213</v>
      </c>
      <c r="U41" s="3102">
        <v>1122</v>
      </c>
      <c r="V41" s="3102" t="s">
        <v>295</v>
      </c>
      <c r="W41" s="3102" t="s">
        <v>6804</v>
      </c>
      <c r="X41" s="3102" t="s">
        <v>6807</v>
      </c>
      <c r="Y41" s="3103" t="s">
        <v>164</v>
      </c>
    </row>
    <row r="42" spans="1:25" ht="24" hidden="1">
      <c r="A42" s="1304"/>
      <c r="B42" s="643">
        <v>1122</v>
      </c>
      <c r="C42" s="643" t="s">
        <v>372</v>
      </c>
      <c r="D42" s="3087">
        <v>2</v>
      </c>
      <c r="E42" s="3088" t="str">
        <f t="shared" si="0"/>
        <v>应收账款</v>
      </c>
      <c r="F42" s="3089" t="s">
        <v>373</v>
      </c>
      <c r="G42" s="3090">
        <f t="shared" si="1"/>
        <v>52079975.609999999</v>
      </c>
      <c r="H42" s="3091">
        <f t="shared" ca="1" si="5"/>
        <v>0</v>
      </c>
      <c r="I42" s="3093" t="s">
        <v>6810</v>
      </c>
      <c r="J42" s="3072"/>
      <c r="K42" s="3090">
        <f t="shared" si="6"/>
        <v>43128210.229999997</v>
      </c>
      <c r="L42" s="3071" t="s">
        <v>6806</v>
      </c>
      <c r="M42" s="3093" t="s">
        <v>6810</v>
      </c>
      <c r="N42" s="3072"/>
      <c r="O42" s="3099"/>
      <c r="P42" s="3100"/>
      <c r="Q42" s="3100"/>
      <c r="R42" s="3100"/>
      <c r="S42" s="3101" t="s">
        <v>295</v>
      </c>
      <c r="T42" s="3101" t="s">
        <v>213</v>
      </c>
      <c r="U42" s="3102">
        <v>1122</v>
      </c>
      <c r="V42" s="3102" t="s">
        <v>295</v>
      </c>
      <c r="W42" s="3102" t="s">
        <v>6804</v>
      </c>
      <c r="X42" s="3102" t="s">
        <v>6807</v>
      </c>
      <c r="Y42" s="3103" t="s">
        <v>164</v>
      </c>
    </row>
    <row r="43" spans="1:25" ht="36" hidden="1">
      <c r="A43" s="1304"/>
      <c r="B43" s="643">
        <v>1122</v>
      </c>
      <c r="C43" s="643" t="s">
        <v>379</v>
      </c>
      <c r="D43" s="3087">
        <v>2</v>
      </c>
      <c r="E43" s="3088" t="str">
        <f t="shared" si="0"/>
        <v>应收账款</v>
      </c>
      <c r="F43" s="3089" t="s">
        <v>380</v>
      </c>
      <c r="G43" s="3090">
        <f t="shared" si="1"/>
        <v>52079975.609999999</v>
      </c>
      <c r="H43" s="3091">
        <f t="shared" ca="1" si="5"/>
        <v>0</v>
      </c>
      <c r="I43" s="3093" t="s">
        <v>6810</v>
      </c>
      <c r="J43" s="3072"/>
      <c r="K43" s="3090">
        <f t="shared" si="6"/>
        <v>43128210.229999997</v>
      </c>
      <c r="L43" s="3071" t="s">
        <v>6806</v>
      </c>
      <c r="M43" s="3093" t="s">
        <v>6810</v>
      </c>
      <c r="N43" s="3072"/>
      <c r="O43" s="3099"/>
      <c r="P43" s="3100"/>
      <c r="Q43" s="3100"/>
      <c r="R43" s="3100"/>
      <c r="S43" s="3101" t="s">
        <v>295</v>
      </c>
      <c r="T43" s="3101" t="s">
        <v>213</v>
      </c>
      <c r="U43" s="3102">
        <v>1122</v>
      </c>
      <c r="V43" s="3102" t="s">
        <v>295</v>
      </c>
      <c r="W43" s="3102" t="s">
        <v>6804</v>
      </c>
      <c r="X43" s="3102" t="s">
        <v>6807</v>
      </c>
      <c r="Y43" s="3103" t="s">
        <v>164</v>
      </c>
    </row>
    <row r="44" spans="1:25" ht="18" hidden="1">
      <c r="A44" s="1304"/>
      <c r="B44" s="643">
        <v>1122</v>
      </c>
      <c r="C44" s="643" t="s">
        <v>419</v>
      </c>
      <c r="D44" s="3087">
        <v>2</v>
      </c>
      <c r="E44" s="3088" t="str">
        <f t="shared" si="0"/>
        <v>应收账款</v>
      </c>
      <c r="F44" s="3089" t="s">
        <v>420</v>
      </c>
      <c r="G44" s="3090">
        <f t="shared" si="1"/>
        <v>52079975.609999999</v>
      </c>
      <c r="H44" s="3091">
        <f t="shared" ca="1" si="5"/>
        <v>23375549.879999999</v>
      </c>
      <c r="I44" s="3093" t="s">
        <v>6810</v>
      </c>
      <c r="J44" s="3072"/>
      <c r="K44" s="3090">
        <f t="shared" si="6"/>
        <v>43128210.229999997</v>
      </c>
      <c r="L44" s="3071" t="s">
        <v>6806</v>
      </c>
      <c r="M44" s="3093" t="s">
        <v>6810</v>
      </c>
      <c r="N44" s="3072"/>
      <c r="O44" s="3099"/>
      <c r="P44" s="3100"/>
      <c r="Q44" s="3100"/>
      <c r="R44" s="3100"/>
      <c r="S44" s="3101" t="s">
        <v>295</v>
      </c>
      <c r="T44" s="3101" t="s">
        <v>213</v>
      </c>
      <c r="U44" s="3102">
        <v>1122</v>
      </c>
      <c r="V44" s="3102" t="s">
        <v>295</v>
      </c>
      <c r="W44" s="3102" t="s">
        <v>6804</v>
      </c>
      <c r="X44" s="3102" t="s">
        <v>213</v>
      </c>
      <c r="Y44" s="3103" t="s">
        <v>164</v>
      </c>
    </row>
    <row r="45" spans="1:25" ht="24" hidden="1">
      <c r="A45" s="1304"/>
      <c r="B45" s="643">
        <v>1122</v>
      </c>
      <c r="C45" s="643" t="s">
        <v>425</v>
      </c>
      <c r="D45" s="3087">
        <v>2</v>
      </c>
      <c r="E45" s="3088" t="str">
        <f t="shared" si="0"/>
        <v>应收账款</v>
      </c>
      <c r="F45" s="3089" t="s">
        <v>426</v>
      </c>
      <c r="G45" s="3090">
        <f t="shared" si="1"/>
        <v>52079975.609999999</v>
      </c>
      <c r="H45" s="3091">
        <f t="shared" ca="1" si="5"/>
        <v>34572678.359999999</v>
      </c>
      <c r="I45" s="3093" t="s">
        <v>6810</v>
      </c>
      <c r="J45" s="3072"/>
      <c r="K45" s="3090">
        <f t="shared" si="6"/>
        <v>43128210.229999997</v>
      </c>
      <c r="L45" s="3071">
        <f ca="1">INDIRECT("Notes!CheckB"&amp;$C45)</f>
        <v>36818600.649999999</v>
      </c>
      <c r="M45" s="3093" t="s">
        <v>6810</v>
      </c>
      <c r="N45" s="3072"/>
      <c r="O45" s="3099"/>
      <c r="P45" s="3100"/>
      <c r="Q45" s="3100"/>
      <c r="R45" s="3100"/>
      <c r="S45" s="3101" t="s">
        <v>295</v>
      </c>
      <c r="T45" s="3101" t="s">
        <v>213</v>
      </c>
      <c r="U45" s="3102">
        <v>1122</v>
      </c>
      <c r="V45" s="3102" t="s">
        <v>295</v>
      </c>
      <c r="W45" s="3102" t="s">
        <v>6804</v>
      </c>
      <c r="X45" s="3102" t="s">
        <v>213</v>
      </c>
      <c r="Y45" s="3103" t="s">
        <v>164</v>
      </c>
    </row>
    <row r="46" spans="1:25" ht="18" hidden="1">
      <c r="A46" s="1304"/>
      <c r="B46" s="643">
        <v>1122</v>
      </c>
      <c r="C46" s="643" t="s">
        <v>432</v>
      </c>
      <c r="D46" s="3087">
        <v>2</v>
      </c>
      <c r="E46" s="3088" t="str">
        <f t="shared" si="0"/>
        <v>应收账款</v>
      </c>
      <c r="F46" s="3089" t="s">
        <v>433</v>
      </c>
      <c r="G46" s="3090">
        <f t="shared" si="1"/>
        <v>52079975.609999999</v>
      </c>
      <c r="H46" s="3091">
        <f t="shared" ca="1" si="5"/>
        <v>0</v>
      </c>
      <c r="I46" s="3093" t="s">
        <v>6810</v>
      </c>
      <c r="J46" s="3072"/>
      <c r="K46" s="3090">
        <f t="shared" si="6"/>
        <v>43128210.229999997</v>
      </c>
      <c r="L46" s="3071">
        <f ca="1">INDIRECT("Notes!CheckB"&amp;$C46)</f>
        <v>0</v>
      </c>
      <c r="M46" s="3093" t="s">
        <v>6810</v>
      </c>
      <c r="N46" s="3072"/>
      <c r="O46" s="3099"/>
      <c r="P46" s="3100"/>
      <c r="Q46" s="3100"/>
      <c r="R46" s="3100"/>
      <c r="S46" s="3101" t="s">
        <v>295</v>
      </c>
      <c r="T46" s="3101" t="s">
        <v>213</v>
      </c>
      <c r="U46" s="3102">
        <v>1122</v>
      </c>
      <c r="V46" s="3102" t="s">
        <v>295</v>
      </c>
      <c r="W46" s="3102" t="s">
        <v>6804</v>
      </c>
      <c r="X46" s="3102" t="s">
        <v>213</v>
      </c>
      <c r="Y46" s="3103" t="s">
        <v>164</v>
      </c>
    </row>
    <row r="47" spans="1:25" ht="18">
      <c r="A47" s="1304"/>
      <c r="B47" s="643">
        <v>1124</v>
      </c>
      <c r="C47" s="643" t="s">
        <v>446</v>
      </c>
      <c r="D47" s="3087">
        <v>1</v>
      </c>
      <c r="E47" s="3088" t="str">
        <f t="shared" si="0"/>
        <v>应收款项融资</v>
      </c>
      <c r="F47" s="3089" t="s">
        <v>447</v>
      </c>
      <c r="G47" s="3090">
        <f t="shared" si="1"/>
        <v>3532481.3</v>
      </c>
      <c r="H47" s="3091">
        <f t="shared" ca="1" si="5"/>
        <v>3532481.3</v>
      </c>
      <c r="I47" s="3093">
        <f ca="1">IF(AND(LEN(G47)&gt;0,LEN(H47)&gt;0),ROUND(SUM(G47)-SUM(H47),2),"")</f>
        <v>0</v>
      </c>
      <c r="J47" s="3072" t="str">
        <f ca="1">IF(ISNA(I47),"N/A",IF(I47=0,"√","？"))</f>
        <v>√</v>
      </c>
      <c r="K47" s="3090">
        <f t="shared" si="6"/>
        <v>0</v>
      </c>
      <c r="L47" s="3071">
        <f ca="1">INDIRECT("Notes!CheckB"&amp;$C47)</f>
        <v>0</v>
      </c>
      <c r="M47" s="3093">
        <f ca="1">IF(AND(LEN(K47)&gt;0,LEN(L47)&gt;0),ROUND(SUM(K47)-SUM(L47),2),"")</f>
        <v>0</v>
      </c>
      <c r="N47" s="3072" t="str">
        <f ca="1">IF(ISNA(M47),"N/A",IF(M47=0,"√","？"))</f>
        <v>√</v>
      </c>
      <c r="O47" s="3099"/>
      <c r="P47" s="3100"/>
      <c r="Q47" s="3100"/>
      <c r="R47" s="3100"/>
      <c r="S47" s="3101" t="s">
        <v>295</v>
      </c>
      <c r="T47" s="3101" t="s">
        <v>213</v>
      </c>
      <c r="U47" s="3102">
        <v>1124</v>
      </c>
      <c r="V47" s="3102" t="s">
        <v>295</v>
      </c>
      <c r="W47" s="3102" t="s">
        <v>145</v>
      </c>
      <c r="X47" s="3102" t="s">
        <v>6807</v>
      </c>
      <c r="Y47" s="3103" t="s">
        <v>119</v>
      </c>
    </row>
    <row r="48" spans="1:25" ht="36" hidden="1">
      <c r="A48" s="1304"/>
      <c r="B48" s="643">
        <v>1124</v>
      </c>
      <c r="C48" s="643" t="s">
        <v>453</v>
      </c>
      <c r="D48" s="3087">
        <v>2</v>
      </c>
      <c r="E48" s="3088" t="str">
        <f t="shared" si="0"/>
        <v>应收款项融资</v>
      </c>
      <c r="F48" s="3089" t="s">
        <v>6372</v>
      </c>
      <c r="G48" s="3090">
        <f t="shared" si="1"/>
        <v>3532481.3</v>
      </c>
      <c r="H48" s="3091">
        <f t="shared" ca="1" si="5"/>
        <v>0</v>
      </c>
      <c r="I48" s="3093" t="s">
        <v>6810</v>
      </c>
      <c r="J48" s="3072"/>
      <c r="K48" s="3090">
        <f t="shared" si="6"/>
        <v>0</v>
      </c>
      <c r="L48" s="3071" t="s">
        <v>6806</v>
      </c>
      <c r="M48" s="3093" t="s">
        <v>6810</v>
      </c>
      <c r="N48" s="3072"/>
      <c r="O48" s="3099"/>
      <c r="P48" s="3100"/>
      <c r="Q48" s="3100"/>
      <c r="R48" s="3100"/>
      <c r="S48" s="3101" t="s">
        <v>295</v>
      </c>
      <c r="T48" s="3101" t="s">
        <v>213</v>
      </c>
      <c r="U48" s="3102">
        <v>1124</v>
      </c>
      <c r="V48" s="3102" t="s">
        <v>295</v>
      </c>
      <c r="W48" s="3102" t="s">
        <v>145</v>
      </c>
      <c r="X48" s="3102" t="s">
        <v>6807</v>
      </c>
      <c r="Y48" s="3103" t="s">
        <v>119</v>
      </c>
    </row>
    <row r="49" spans="1:25" ht="36" hidden="1">
      <c r="A49" s="1304"/>
      <c r="B49" s="643">
        <v>1124</v>
      </c>
      <c r="C49" s="643" t="s">
        <v>456</v>
      </c>
      <c r="D49" s="3087">
        <v>2</v>
      </c>
      <c r="E49" s="3088" t="str">
        <f t="shared" si="0"/>
        <v>应收款项融资</v>
      </c>
      <c r="F49" s="3089" t="s">
        <v>6373</v>
      </c>
      <c r="G49" s="3090">
        <f t="shared" si="1"/>
        <v>3532481.3</v>
      </c>
      <c r="H49" s="3091">
        <f t="shared" ca="1" si="5"/>
        <v>0</v>
      </c>
      <c r="I49" s="3093" t="s">
        <v>6810</v>
      </c>
      <c r="J49" s="3072"/>
      <c r="K49" s="3090">
        <f t="shared" si="6"/>
        <v>0</v>
      </c>
      <c r="L49" s="3071" t="s">
        <v>6806</v>
      </c>
      <c r="M49" s="3093" t="s">
        <v>6810</v>
      </c>
      <c r="N49" s="3072"/>
      <c r="O49" s="3099"/>
      <c r="P49" s="3100"/>
      <c r="Q49" s="3100"/>
      <c r="R49" s="3100"/>
      <c r="S49" s="3101" t="s">
        <v>295</v>
      </c>
      <c r="T49" s="3101" t="s">
        <v>213</v>
      </c>
      <c r="U49" s="3102"/>
      <c r="V49" s="3102" t="s">
        <v>295</v>
      </c>
      <c r="W49" s="3102" t="s">
        <v>145</v>
      </c>
      <c r="X49" s="3102" t="s">
        <v>6807</v>
      </c>
      <c r="Y49" s="3103" t="s">
        <v>119</v>
      </c>
    </row>
    <row r="50" spans="1:25" ht="36" hidden="1">
      <c r="A50" s="1304"/>
      <c r="B50" s="643">
        <v>1124</v>
      </c>
      <c r="C50" s="643" t="s">
        <v>461</v>
      </c>
      <c r="D50" s="3087">
        <v>2</v>
      </c>
      <c r="E50" s="3088" t="str">
        <f t="shared" si="0"/>
        <v>应收款项融资</v>
      </c>
      <c r="F50" s="3089" t="s">
        <v>6374</v>
      </c>
      <c r="G50" s="3090">
        <f t="shared" si="1"/>
        <v>3532481.3</v>
      </c>
      <c r="H50" s="3091">
        <f t="shared" ca="1" si="5"/>
        <v>0</v>
      </c>
      <c r="I50" s="3093" t="s">
        <v>6810</v>
      </c>
      <c r="J50" s="3072"/>
      <c r="K50" s="3090">
        <f t="shared" si="6"/>
        <v>0</v>
      </c>
      <c r="L50" s="3071" t="s">
        <v>6806</v>
      </c>
      <c r="M50" s="3093" t="s">
        <v>6810</v>
      </c>
      <c r="N50" s="3072"/>
      <c r="O50" s="3099"/>
      <c r="P50" s="3100"/>
      <c r="Q50" s="3100"/>
      <c r="R50" s="3100"/>
      <c r="S50" s="3101" t="s">
        <v>295</v>
      </c>
      <c r="T50" s="3101" t="s">
        <v>213</v>
      </c>
      <c r="U50" s="3102"/>
      <c r="V50" s="3102" t="s">
        <v>295</v>
      </c>
      <c r="W50" s="3102" t="s">
        <v>145</v>
      </c>
      <c r="X50" s="3102" t="s">
        <v>6807</v>
      </c>
      <c r="Y50" s="3103" t="s">
        <v>119</v>
      </c>
    </row>
    <row r="51" spans="1:25" ht="36" hidden="1">
      <c r="A51" s="1304"/>
      <c r="B51" s="643">
        <v>1124</v>
      </c>
      <c r="C51" s="643" t="s">
        <v>466</v>
      </c>
      <c r="D51" s="3087">
        <v>2</v>
      </c>
      <c r="E51" s="3088" t="str">
        <f t="shared" si="0"/>
        <v>应收款项融资</v>
      </c>
      <c r="F51" s="3089" t="s">
        <v>6375</v>
      </c>
      <c r="G51" s="3090">
        <f t="shared" si="1"/>
        <v>3532481.3</v>
      </c>
      <c r="H51" s="3091">
        <f t="shared" ca="1" si="5"/>
        <v>0</v>
      </c>
      <c r="I51" s="3093" t="s">
        <v>6810</v>
      </c>
      <c r="J51" s="3072"/>
      <c r="K51" s="3090">
        <f t="shared" si="6"/>
        <v>0</v>
      </c>
      <c r="L51" s="3071">
        <f ca="1">INDIRECT("Notes!CheckB"&amp;$C51)</f>
        <v>0</v>
      </c>
      <c r="M51" s="3093" t="s">
        <v>6810</v>
      </c>
      <c r="N51" s="3072"/>
      <c r="O51" s="3099"/>
      <c r="P51" s="3100"/>
      <c r="Q51" s="3100"/>
      <c r="R51" s="3100"/>
      <c r="S51" s="3101" t="s">
        <v>295</v>
      </c>
      <c r="T51" s="3101" t="s">
        <v>213</v>
      </c>
      <c r="U51" s="3102"/>
      <c r="V51" s="3102" t="s">
        <v>295</v>
      </c>
      <c r="W51" s="3102" t="s">
        <v>145</v>
      </c>
      <c r="X51" s="3102" t="s">
        <v>213</v>
      </c>
      <c r="Y51" s="3103" t="s">
        <v>119</v>
      </c>
    </row>
    <row r="52" spans="1:25" ht="36" hidden="1">
      <c r="A52" s="1304"/>
      <c r="B52" s="643">
        <v>1124</v>
      </c>
      <c r="C52" s="643" t="s">
        <v>6368</v>
      </c>
      <c r="D52" s="3087">
        <v>2</v>
      </c>
      <c r="E52" s="3088" t="str">
        <f t="shared" si="0"/>
        <v>应收款项融资</v>
      </c>
      <c r="F52" s="3089" t="s">
        <v>6376</v>
      </c>
      <c r="G52" s="3090">
        <f t="shared" si="1"/>
        <v>3532481.3</v>
      </c>
      <c r="H52" s="3091">
        <f t="shared" ca="1" si="5"/>
        <v>0</v>
      </c>
      <c r="I52" s="3093" t="s">
        <v>6810</v>
      </c>
      <c r="J52" s="3072"/>
      <c r="K52" s="3090">
        <f t="shared" si="6"/>
        <v>0</v>
      </c>
      <c r="L52" s="3071" t="s">
        <v>6806</v>
      </c>
      <c r="M52" s="3093" t="s">
        <v>6810</v>
      </c>
      <c r="N52" s="3072"/>
      <c r="O52" s="3099"/>
      <c r="P52" s="3100"/>
      <c r="Q52" s="3100"/>
      <c r="R52" s="3100"/>
      <c r="S52" s="3101" t="s">
        <v>295</v>
      </c>
      <c r="T52" s="3101" t="s">
        <v>213</v>
      </c>
      <c r="U52" s="3102">
        <v>1124</v>
      </c>
      <c r="V52" s="3102" t="s">
        <v>295</v>
      </c>
      <c r="W52" s="3102" t="s">
        <v>145</v>
      </c>
      <c r="X52" s="3102" t="s">
        <v>6807</v>
      </c>
      <c r="Y52" s="3103" t="s">
        <v>119</v>
      </c>
    </row>
    <row r="53" spans="1:25" ht="36" hidden="1">
      <c r="A53" s="1304"/>
      <c r="B53" s="643">
        <v>1124</v>
      </c>
      <c r="C53" s="643" t="s">
        <v>6369</v>
      </c>
      <c r="D53" s="3087">
        <v>2</v>
      </c>
      <c r="E53" s="3088" t="str">
        <f t="shared" si="0"/>
        <v>应收款项融资</v>
      </c>
      <c r="F53" s="3089" t="s">
        <v>6377</v>
      </c>
      <c r="G53" s="3090">
        <f t="shared" si="1"/>
        <v>3532481.3</v>
      </c>
      <c r="H53" s="3091">
        <f t="shared" ca="1" si="5"/>
        <v>0</v>
      </c>
      <c r="I53" s="3093" t="s">
        <v>6810</v>
      </c>
      <c r="J53" s="3072"/>
      <c r="K53" s="3090">
        <f t="shared" si="6"/>
        <v>0</v>
      </c>
      <c r="L53" s="3071" t="s">
        <v>6806</v>
      </c>
      <c r="M53" s="3093" t="s">
        <v>6810</v>
      </c>
      <c r="N53" s="3072"/>
      <c r="O53" s="3099"/>
      <c r="P53" s="3100"/>
      <c r="Q53" s="3100"/>
      <c r="R53" s="3100"/>
      <c r="S53" s="3101" t="s">
        <v>295</v>
      </c>
      <c r="T53" s="3101" t="s">
        <v>213</v>
      </c>
      <c r="U53" s="3102"/>
      <c r="V53" s="3102" t="s">
        <v>295</v>
      </c>
      <c r="W53" s="3102" t="s">
        <v>145</v>
      </c>
      <c r="X53" s="3102" t="s">
        <v>6807</v>
      </c>
      <c r="Y53" s="3103" t="s">
        <v>119</v>
      </c>
    </row>
    <row r="54" spans="1:25" ht="36" hidden="1">
      <c r="A54" s="1304"/>
      <c r="B54" s="643">
        <v>1124</v>
      </c>
      <c r="C54" s="643" t="s">
        <v>6370</v>
      </c>
      <c r="D54" s="3087">
        <v>2</v>
      </c>
      <c r="E54" s="3088" t="str">
        <f t="shared" si="0"/>
        <v>应收款项融资</v>
      </c>
      <c r="F54" s="3089" t="s">
        <v>6378</v>
      </c>
      <c r="G54" s="3090">
        <f t="shared" si="1"/>
        <v>3532481.3</v>
      </c>
      <c r="H54" s="3091">
        <f t="shared" ca="1" si="5"/>
        <v>0</v>
      </c>
      <c r="I54" s="3093" t="s">
        <v>6810</v>
      </c>
      <c r="J54" s="3072"/>
      <c r="K54" s="3090">
        <f t="shared" si="6"/>
        <v>0</v>
      </c>
      <c r="L54" s="3071" t="s">
        <v>6806</v>
      </c>
      <c r="M54" s="3093" t="s">
        <v>6810</v>
      </c>
      <c r="N54" s="3072"/>
      <c r="O54" s="3099"/>
      <c r="P54" s="3100"/>
      <c r="Q54" s="3100"/>
      <c r="R54" s="3100"/>
      <c r="S54" s="3101" t="s">
        <v>295</v>
      </c>
      <c r="T54" s="3101" t="s">
        <v>213</v>
      </c>
      <c r="U54" s="3102"/>
      <c r="V54" s="3102" t="s">
        <v>295</v>
      </c>
      <c r="W54" s="3102" t="s">
        <v>145</v>
      </c>
      <c r="X54" s="3102" t="s">
        <v>6807</v>
      </c>
      <c r="Y54" s="3103" t="s">
        <v>119</v>
      </c>
    </row>
    <row r="55" spans="1:25" ht="36" hidden="1">
      <c r="A55" s="1304"/>
      <c r="B55" s="643">
        <v>1124</v>
      </c>
      <c r="C55" s="643" t="s">
        <v>6371</v>
      </c>
      <c r="D55" s="3087">
        <v>2</v>
      </c>
      <c r="E55" s="3088" t="str">
        <f t="shared" si="0"/>
        <v>应收款项融资</v>
      </c>
      <c r="F55" s="3089" t="s">
        <v>6379</v>
      </c>
      <c r="G55" s="3090">
        <f t="shared" si="1"/>
        <v>3532481.3</v>
      </c>
      <c r="H55" s="3091">
        <f t="shared" ca="1" si="5"/>
        <v>0</v>
      </c>
      <c r="I55" s="3093" t="s">
        <v>6810</v>
      </c>
      <c r="J55" s="3072"/>
      <c r="K55" s="3090">
        <f t="shared" si="6"/>
        <v>0</v>
      </c>
      <c r="L55" s="3071" t="s">
        <v>6806</v>
      </c>
      <c r="M55" s="3093" t="s">
        <v>6810</v>
      </c>
      <c r="N55" s="3072"/>
      <c r="O55" s="3099"/>
      <c r="P55" s="3100"/>
      <c r="Q55" s="3100"/>
      <c r="R55" s="3100"/>
      <c r="S55" s="3101" t="s">
        <v>295</v>
      </c>
      <c r="T55" s="3101" t="s">
        <v>213</v>
      </c>
      <c r="U55" s="3102"/>
      <c r="V55" s="3102" t="s">
        <v>295</v>
      </c>
      <c r="W55" s="3102" t="s">
        <v>145</v>
      </c>
      <c r="X55" s="3102" t="s">
        <v>213</v>
      </c>
      <c r="Y55" s="3103" t="s">
        <v>119</v>
      </c>
    </row>
    <row r="56" spans="1:25" ht="24" hidden="1">
      <c r="A56" s="1304"/>
      <c r="B56" s="643">
        <v>1124</v>
      </c>
      <c r="C56" s="643" t="s">
        <v>470</v>
      </c>
      <c r="D56" s="3087">
        <v>2</v>
      </c>
      <c r="E56" s="3088" t="str">
        <f t="shared" si="0"/>
        <v>应收款项融资</v>
      </c>
      <c r="F56" s="3089" t="s">
        <v>6380</v>
      </c>
      <c r="G56" s="3090">
        <f t="shared" si="1"/>
        <v>3532481.3</v>
      </c>
      <c r="H56" s="3091">
        <f t="shared" ca="1" si="5"/>
        <v>0</v>
      </c>
      <c r="I56" s="3093" t="s">
        <v>6810</v>
      </c>
      <c r="J56" s="3072"/>
      <c r="K56" s="3090">
        <f t="shared" si="6"/>
        <v>0</v>
      </c>
      <c r="L56" s="3071">
        <f ca="1">INDIRECT("Notes!CheckB"&amp;$C56)</f>
        <v>0</v>
      </c>
      <c r="M56" s="3093" t="s">
        <v>6810</v>
      </c>
      <c r="N56" s="3072"/>
      <c r="O56" s="3099"/>
      <c r="P56" s="3100"/>
      <c r="Q56" s="3100"/>
      <c r="R56" s="3100"/>
      <c r="S56" s="3101" t="s">
        <v>295</v>
      </c>
      <c r="T56" s="3101" t="s">
        <v>213</v>
      </c>
      <c r="U56" s="3102"/>
      <c r="V56" s="3102" t="s">
        <v>295</v>
      </c>
      <c r="W56" s="3102" t="s">
        <v>145</v>
      </c>
      <c r="X56" s="3102" t="s">
        <v>6807</v>
      </c>
      <c r="Y56" s="3103" t="s">
        <v>119</v>
      </c>
    </row>
    <row r="57" spans="1:25" ht="18">
      <c r="A57" s="1304"/>
      <c r="B57" s="643">
        <v>1125</v>
      </c>
      <c r="C57" s="643" t="s">
        <v>473</v>
      </c>
      <c r="D57" s="3087">
        <v>1</v>
      </c>
      <c r="E57" s="3088" t="str">
        <f t="shared" si="0"/>
        <v>预付款项</v>
      </c>
      <c r="F57" s="3089" t="s">
        <v>474</v>
      </c>
      <c r="G57" s="3090">
        <f t="shared" si="1"/>
        <v>1491719.74</v>
      </c>
      <c r="H57" s="3091">
        <f t="shared" ca="1" si="5"/>
        <v>1491719.74</v>
      </c>
      <c r="I57" s="3093">
        <f ca="1">IF(AND(LEN(G57)&gt;0,LEN(H57)&gt;0),ROUND(SUM(G57)-SUM(H57),2),"")</f>
        <v>0</v>
      </c>
      <c r="J57" s="3072" t="str">
        <f ca="1">IF(ISNA(I57),"N/A",IF(I57=0,"√","？"))</f>
        <v>√</v>
      </c>
      <c r="K57" s="3090">
        <f t="shared" si="6"/>
        <v>2419762.12</v>
      </c>
      <c r="L57" s="3071">
        <f ca="1">INDIRECT("Notes!CheckB"&amp;$C57)</f>
        <v>2419762.12</v>
      </c>
      <c r="M57" s="3093">
        <f ca="1">IF(AND(LEN(K57)&gt;0,LEN(L57)&gt;0),ROUND(SUM(K57)-SUM(L57),2),"")</f>
        <v>0</v>
      </c>
      <c r="N57" s="3072" t="str">
        <f ca="1">IF(ISNA(M57),"N/A",IF(M57=0,"√","？"))</f>
        <v>√</v>
      </c>
      <c r="O57" s="3099"/>
      <c r="P57" s="3100"/>
      <c r="Q57" s="3100"/>
      <c r="R57" s="3100"/>
      <c r="S57" s="3101" t="s">
        <v>295</v>
      </c>
      <c r="T57" s="3101" t="s">
        <v>213</v>
      </c>
      <c r="U57" s="3102"/>
      <c r="V57" s="3102" t="s">
        <v>295</v>
      </c>
      <c r="W57" s="3102" t="s">
        <v>6804</v>
      </c>
      <c r="X57" s="3102" t="s">
        <v>6805</v>
      </c>
      <c r="Y57" s="3103" t="s">
        <v>164</v>
      </c>
    </row>
    <row r="58" spans="1:25" ht="36" hidden="1">
      <c r="A58" s="1304"/>
      <c r="B58" s="643">
        <v>1125</v>
      </c>
      <c r="C58" s="643" t="s">
        <v>478</v>
      </c>
      <c r="D58" s="3087">
        <v>2</v>
      </c>
      <c r="E58" s="3088" t="str">
        <f t="shared" si="0"/>
        <v>预付款项</v>
      </c>
      <c r="F58" s="3089" t="s">
        <v>479</v>
      </c>
      <c r="G58" s="3090">
        <f t="shared" si="1"/>
        <v>1491719.74</v>
      </c>
      <c r="H58" s="3091">
        <f t="shared" ca="1" si="5"/>
        <v>710637.92</v>
      </c>
      <c r="I58" s="3093" t="s">
        <v>6810</v>
      </c>
      <c r="J58" s="3072"/>
      <c r="K58" s="3090">
        <f t="shared" si="6"/>
        <v>2419762.12</v>
      </c>
      <c r="L58" s="3071" t="s">
        <v>6806</v>
      </c>
      <c r="M58" s="3093" t="s">
        <v>6810</v>
      </c>
      <c r="N58" s="3072"/>
      <c r="O58" s="3099"/>
      <c r="P58" s="3100"/>
      <c r="Q58" s="3100"/>
      <c r="R58" s="3100"/>
      <c r="S58" s="3101" t="s">
        <v>295</v>
      </c>
      <c r="T58" s="3101" t="s">
        <v>213</v>
      </c>
      <c r="U58" s="3102"/>
      <c r="V58" s="3102" t="s">
        <v>295</v>
      </c>
      <c r="W58" s="3102" t="s">
        <v>6804</v>
      </c>
      <c r="X58" s="3102" t="s">
        <v>6807</v>
      </c>
      <c r="Y58" s="3103" t="s">
        <v>164</v>
      </c>
    </row>
    <row r="59" spans="1:25" ht="24" hidden="1">
      <c r="A59" s="1304"/>
      <c r="B59" s="643">
        <v>1125</v>
      </c>
      <c r="C59" s="643" t="s">
        <v>482</v>
      </c>
      <c r="D59" s="3087">
        <v>2</v>
      </c>
      <c r="E59" s="3088" t="str">
        <f t="shared" si="0"/>
        <v>预付款项</v>
      </c>
      <c r="F59" s="3089" t="s">
        <v>483</v>
      </c>
      <c r="G59" s="3090">
        <f t="shared" si="1"/>
        <v>1491719.74</v>
      </c>
      <c r="H59" s="3091">
        <f t="shared" ca="1" si="5"/>
        <v>0</v>
      </c>
      <c r="I59" s="3093" t="s">
        <v>6810</v>
      </c>
      <c r="J59" s="3072"/>
      <c r="K59" s="3090">
        <f t="shared" si="6"/>
        <v>2419762.12</v>
      </c>
      <c r="L59" s="3071" t="s">
        <v>6806</v>
      </c>
      <c r="M59" s="3093" t="s">
        <v>6810</v>
      </c>
      <c r="N59" s="3072"/>
      <c r="O59" s="3099"/>
      <c r="P59" s="3100"/>
      <c r="Q59" s="3100"/>
      <c r="R59" s="3100"/>
      <c r="S59" s="3101" t="s">
        <v>295</v>
      </c>
      <c r="T59" s="3101" t="s">
        <v>213</v>
      </c>
      <c r="U59" s="3102"/>
      <c r="V59" s="3102" t="s">
        <v>295</v>
      </c>
      <c r="W59" s="3102" t="s">
        <v>6804</v>
      </c>
      <c r="X59" s="3102" t="s">
        <v>213</v>
      </c>
      <c r="Y59" s="3103" t="s">
        <v>164</v>
      </c>
    </row>
    <row r="60" spans="1:25" ht="18">
      <c r="A60" s="1304"/>
      <c r="B60" s="643">
        <v>1125</v>
      </c>
      <c r="C60" s="643" t="s">
        <v>497</v>
      </c>
      <c r="D60" s="3087">
        <v>1</v>
      </c>
      <c r="E60" s="3088" t="str">
        <f t="shared" si="0"/>
        <v>预付款项</v>
      </c>
      <c r="F60" s="3089" t="s">
        <v>498</v>
      </c>
      <c r="G60" s="3090">
        <f t="shared" si="1"/>
        <v>1491719.74</v>
      </c>
      <c r="H60" s="3091">
        <f t="shared" ca="1" si="5"/>
        <v>0</v>
      </c>
      <c r="I60" s="3093">
        <f ca="1">IF(AND(LEN(G60)&gt;0,LEN(H60)&gt;0),ROUND(SUM(G60)-SUM(H60),2),"")</f>
        <v>1491719.74</v>
      </c>
      <c r="J60" s="3072" t="str">
        <f ca="1">IF(ISNA(I60),"N/A",IF(I60=0,"√","？"))</f>
        <v>？</v>
      </c>
      <c r="K60" s="3090">
        <f t="shared" si="6"/>
        <v>2419762.12</v>
      </c>
      <c r="L60" s="3071">
        <f ca="1">INDIRECT("Notes!CheckB"&amp;$C60)</f>
        <v>0</v>
      </c>
      <c r="M60" s="3093">
        <f ca="1">IF(AND(LEN(K60)&gt;0,LEN(L60)&gt;0),ROUND(SUM(K60)-SUM(L60),2),"")</f>
        <v>2419762.12</v>
      </c>
      <c r="N60" s="3072" t="str">
        <f ca="1">IF(ISNA(M60),"N/A",IF(M60=0,"√","？"))</f>
        <v>？</v>
      </c>
      <c r="O60" s="3099"/>
      <c r="P60" s="3100"/>
      <c r="Q60" s="3100"/>
      <c r="R60" s="3100"/>
      <c r="S60" s="3101" t="s">
        <v>295</v>
      </c>
      <c r="T60" s="3101" t="s">
        <v>213</v>
      </c>
      <c r="U60" s="3102"/>
      <c r="V60" s="3102" t="s">
        <v>295</v>
      </c>
      <c r="W60" s="3102" t="s">
        <v>6804</v>
      </c>
      <c r="X60" s="3102" t="s">
        <v>213</v>
      </c>
      <c r="Y60" s="3103" t="s">
        <v>164</v>
      </c>
    </row>
    <row r="61" spans="1:25" ht="24" hidden="1">
      <c r="A61" s="1304"/>
      <c r="B61" s="643">
        <v>1125</v>
      </c>
      <c r="C61" s="643" t="s">
        <v>492</v>
      </c>
      <c r="D61" s="3087">
        <v>2</v>
      </c>
      <c r="E61" s="3088" t="str">
        <f t="shared" si="0"/>
        <v>预付款项</v>
      </c>
      <c r="F61" s="3089" t="s">
        <v>493</v>
      </c>
      <c r="G61" s="3090">
        <f t="shared" si="1"/>
        <v>1491719.74</v>
      </c>
      <c r="H61" s="3091">
        <f t="shared" ca="1" si="5"/>
        <v>0</v>
      </c>
      <c r="I61" s="3093" t="s">
        <v>6810</v>
      </c>
      <c r="J61" s="3072"/>
      <c r="K61" s="3090">
        <f t="shared" si="6"/>
        <v>2419762.12</v>
      </c>
      <c r="L61" s="3071">
        <f ca="1">INDIRECT("Notes!CheckB"&amp;$C61)</f>
        <v>0</v>
      </c>
      <c r="M61" s="3093" t="s">
        <v>6810</v>
      </c>
      <c r="N61" s="3072"/>
      <c r="O61" s="3099"/>
      <c r="P61" s="3100"/>
      <c r="Q61" s="3100"/>
      <c r="R61" s="3100"/>
      <c r="S61" s="3101" t="s">
        <v>295</v>
      </c>
      <c r="T61" s="3101" t="s">
        <v>213</v>
      </c>
      <c r="U61" s="3102"/>
      <c r="V61" s="3102" t="s">
        <v>295</v>
      </c>
      <c r="W61" s="3102" t="s">
        <v>6804</v>
      </c>
      <c r="X61" s="3102" t="s">
        <v>213</v>
      </c>
      <c r="Y61" s="3103" t="s">
        <v>164</v>
      </c>
    </row>
    <row r="62" spans="1:25" ht="18" hidden="1">
      <c r="A62" s="1304"/>
      <c r="B62" s="643">
        <v>1125</v>
      </c>
      <c r="C62" s="643" t="s">
        <v>505</v>
      </c>
      <c r="D62" s="3087">
        <v>2</v>
      </c>
      <c r="E62" s="3088" t="str">
        <f t="shared" si="0"/>
        <v>预付款项</v>
      </c>
      <c r="F62" s="3089" t="s">
        <v>506</v>
      </c>
      <c r="G62" s="3090">
        <f t="shared" si="1"/>
        <v>1491719.74</v>
      </c>
      <c r="H62" s="3091">
        <f t="shared" ca="1" si="5"/>
        <v>0</v>
      </c>
      <c r="I62" s="3093" t="s">
        <v>6810</v>
      </c>
      <c r="J62" s="3072"/>
      <c r="K62" s="3090">
        <f t="shared" si="6"/>
        <v>2419762.12</v>
      </c>
      <c r="L62" s="3071">
        <f ca="1">INDIRECT("Notes!CheckB"&amp;$C62)</f>
        <v>0</v>
      </c>
      <c r="M62" s="3093" t="s">
        <v>6810</v>
      </c>
      <c r="N62" s="3072"/>
      <c r="O62" s="3099"/>
      <c r="P62" s="3100"/>
      <c r="Q62" s="3100"/>
      <c r="R62" s="3100"/>
      <c r="S62" s="3101" t="s">
        <v>295</v>
      </c>
      <c r="T62" s="3101" t="s">
        <v>213</v>
      </c>
      <c r="U62" s="3102"/>
      <c r="V62" s="3102" t="s">
        <v>295</v>
      </c>
      <c r="W62" s="3102" t="s">
        <v>6804</v>
      </c>
      <c r="X62" s="3102" t="s">
        <v>213</v>
      </c>
      <c r="Y62" s="3103" t="s">
        <v>164</v>
      </c>
    </row>
    <row r="63" spans="1:25" ht="24">
      <c r="A63" s="1304"/>
      <c r="B63" s="643">
        <v>1220</v>
      </c>
      <c r="C63" s="643" t="s">
        <v>510</v>
      </c>
      <c r="D63" s="3087">
        <v>1</v>
      </c>
      <c r="E63" s="3088" t="str">
        <f t="shared" si="0"/>
        <v>其他应收款（报表项目）</v>
      </c>
      <c r="F63" s="3089" t="s">
        <v>511</v>
      </c>
      <c r="G63" s="3090">
        <f t="shared" si="1"/>
        <v>8760929.7400000002</v>
      </c>
      <c r="H63" s="3091">
        <f t="shared" ca="1" si="5"/>
        <v>8760929.7400000002</v>
      </c>
      <c r="I63" s="3093">
        <f ca="1">IF(AND(LEN(G63)&gt;0,LEN(H63)&gt;0),ROUND(SUM(G63)-SUM(H63),2),"")</f>
        <v>0</v>
      </c>
      <c r="J63" s="3072" t="str">
        <f ca="1">IF(ISNA(I63),"N/A",IF(I63=0,"√","？"))</f>
        <v>√</v>
      </c>
      <c r="K63" s="3090">
        <f t="shared" si="6"/>
        <v>1187767</v>
      </c>
      <c r="L63" s="3071">
        <f ca="1">INDIRECT("Notes!CheckB"&amp;$C63)</f>
        <v>1187767</v>
      </c>
      <c r="M63" s="3093">
        <f ca="1">IF(AND(LEN(K63)&gt;0,LEN(L63)&gt;0),ROUND(SUM(K63)-SUM(L63),2),"")</f>
        <v>0</v>
      </c>
      <c r="N63" s="3072" t="str">
        <f ca="1">IF(ISNA(M63),"N/A",IF(M63=0,"√","？"))</f>
        <v>√</v>
      </c>
      <c r="O63" s="3099"/>
      <c r="P63" s="3100"/>
      <c r="Q63" s="3100"/>
      <c r="R63" s="3100"/>
      <c r="S63" s="3101" t="s">
        <v>295</v>
      </c>
      <c r="T63" s="3101" t="s">
        <v>213</v>
      </c>
      <c r="U63" s="3102">
        <v>1220</v>
      </c>
      <c r="V63" s="3102" t="s">
        <v>295</v>
      </c>
      <c r="W63" s="3102" t="s">
        <v>6804</v>
      </c>
      <c r="X63" s="3102" t="s">
        <v>6805</v>
      </c>
      <c r="Y63" s="3103" t="s">
        <v>164</v>
      </c>
    </row>
    <row r="64" spans="1:25" ht="18">
      <c r="A64" s="1304"/>
      <c r="B64" s="643">
        <v>1132</v>
      </c>
      <c r="C64" s="643" t="s">
        <v>516</v>
      </c>
      <c r="D64" s="3087">
        <v>1</v>
      </c>
      <c r="E64" s="3088" t="str">
        <f t="shared" si="0"/>
        <v>应收利息</v>
      </c>
      <c r="F64" s="3089" t="s">
        <v>517</v>
      </c>
      <c r="G64" s="3090">
        <f t="shared" si="1"/>
        <v>0</v>
      </c>
      <c r="H64" s="3091">
        <f t="shared" ca="1" si="5"/>
        <v>0</v>
      </c>
      <c r="I64" s="3093">
        <f ca="1">IF(AND(LEN(G64)&gt;0,LEN(H64)&gt;0),ROUND(SUM(G64)-SUM(H64),2),"")</f>
        <v>0</v>
      </c>
      <c r="J64" s="3072" t="str">
        <f ca="1">IF(ISNA(I64),"N/A",IF(I64=0,"√","？"))</f>
        <v>√</v>
      </c>
      <c r="K64" s="3090">
        <f t="shared" si="6"/>
        <v>76153.320000000007</v>
      </c>
      <c r="L64" s="3071">
        <f ca="1">INDIRECT("Notes!CheckB"&amp;$C64)</f>
        <v>76153.320000000007</v>
      </c>
      <c r="M64" s="3093">
        <f ca="1">IF(AND(LEN(K64)&gt;0,LEN(L64)&gt;0),ROUND(SUM(K64)-SUM(L64),2),"")</f>
        <v>0</v>
      </c>
      <c r="N64" s="3072" t="str">
        <f ca="1">IF(ISNA(M64),"N/A",IF(M64=0,"√","？"))</f>
        <v>√</v>
      </c>
      <c r="O64" s="3099"/>
      <c r="P64" s="3100"/>
      <c r="Q64" s="3100"/>
      <c r="R64" s="3100"/>
      <c r="S64" s="3101" t="s">
        <v>295</v>
      </c>
      <c r="T64" s="3101" t="s">
        <v>213</v>
      </c>
      <c r="U64" s="3102"/>
      <c r="V64" s="3102" t="s">
        <v>295</v>
      </c>
      <c r="W64" s="3102" t="s">
        <v>6804</v>
      </c>
      <c r="X64" s="3102" t="s">
        <v>6805</v>
      </c>
      <c r="Y64" s="3103" t="s">
        <v>164</v>
      </c>
    </row>
    <row r="65" spans="1:25" ht="24" hidden="1">
      <c r="A65" s="1304"/>
      <c r="B65" s="643">
        <v>1132</v>
      </c>
      <c r="C65" s="643" t="s">
        <v>522</v>
      </c>
      <c r="D65" s="3087">
        <v>2</v>
      </c>
      <c r="E65" s="3088" t="str">
        <f t="shared" si="0"/>
        <v>应收利息</v>
      </c>
      <c r="F65" s="3089" t="s">
        <v>523</v>
      </c>
      <c r="G65" s="3090">
        <f t="shared" si="1"/>
        <v>0</v>
      </c>
      <c r="H65" s="3091">
        <f t="shared" ca="1" si="5"/>
        <v>0</v>
      </c>
      <c r="I65" s="3093" t="s">
        <v>6810</v>
      </c>
      <c r="J65" s="3072"/>
      <c r="K65" s="3090">
        <f t="shared" si="6"/>
        <v>76153.320000000007</v>
      </c>
      <c r="L65" s="3071" t="s">
        <v>6806</v>
      </c>
      <c r="M65" s="3093" t="s">
        <v>6810</v>
      </c>
      <c r="N65" s="3072"/>
      <c r="O65" s="3099"/>
      <c r="P65" s="3100"/>
      <c r="Q65" s="3100"/>
      <c r="R65" s="3100"/>
      <c r="S65" s="3101" t="s">
        <v>295</v>
      </c>
      <c r="T65" s="3101" t="s">
        <v>213</v>
      </c>
      <c r="U65" s="3102"/>
      <c r="V65" s="3102" t="s">
        <v>295</v>
      </c>
      <c r="W65" s="3102" t="s">
        <v>6804</v>
      </c>
      <c r="X65" s="3102" t="s">
        <v>6805</v>
      </c>
      <c r="Y65" s="3103" t="s">
        <v>164</v>
      </c>
    </row>
    <row r="66" spans="1:25" ht="18">
      <c r="A66" s="1304"/>
      <c r="B66" s="643">
        <v>1131</v>
      </c>
      <c r="C66" s="643" t="s">
        <v>526</v>
      </c>
      <c r="D66" s="3087">
        <v>1</v>
      </c>
      <c r="E66" s="3088" t="str">
        <f t="shared" si="0"/>
        <v>应收股利</v>
      </c>
      <c r="F66" s="3089" t="s">
        <v>527</v>
      </c>
      <c r="G66" s="3090">
        <f t="shared" si="1"/>
        <v>0</v>
      </c>
      <c r="H66" s="3091">
        <f t="shared" ca="1" si="5"/>
        <v>0</v>
      </c>
      <c r="I66" s="3093">
        <f ca="1">IF(AND(LEN(G66)&gt;0,LEN(H66)&gt;0),ROUND(SUM(G66)-SUM(H66),2),"")</f>
        <v>0</v>
      </c>
      <c r="J66" s="3072" t="str">
        <f ca="1">IF(ISNA(I66),"N/A",IF(I66=0,"√","？"))</f>
        <v>√</v>
      </c>
      <c r="K66" s="3090">
        <f t="shared" si="6"/>
        <v>0</v>
      </c>
      <c r="L66" s="3071">
        <f ca="1">INDIRECT("Notes!CheckB"&amp;$C66)</f>
        <v>0</v>
      </c>
      <c r="M66" s="3093">
        <f ca="1">IF(AND(LEN(K66)&gt;0,LEN(L66)&gt;0),ROUND(SUM(K66)-SUM(L66),2),"")</f>
        <v>0</v>
      </c>
      <c r="N66" s="3072" t="str">
        <f ca="1">IF(ISNA(M66),"N/A",IF(M66=0,"√","？"))</f>
        <v>√</v>
      </c>
      <c r="O66" s="3099"/>
      <c r="P66" s="3100"/>
      <c r="Q66" s="3100"/>
      <c r="R66" s="3100"/>
      <c r="S66" s="3101" t="s">
        <v>295</v>
      </c>
      <c r="T66" s="3101" t="s">
        <v>213</v>
      </c>
      <c r="U66" s="3102"/>
      <c r="V66" s="3102" t="s">
        <v>295</v>
      </c>
      <c r="W66" s="3102" t="s">
        <v>6804</v>
      </c>
      <c r="X66" s="3102" t="s">
        <v>6805</v>
      </c>
      <c r="Y66" s="3103" t="s">
        <v>164</v>
      </c>
    </row>
    <row r="67" spans="1:25" ht="24" hidden="1">
      <c r="A67" s="1304"/>
      <c r="B67" s="643">
        <v>1131</v>
      </c>
      <c r="C67" s="643" t="s">
        <v>532</v>
      </c>
      <c r="D67" s="3087">
        <v>2</v>
      </c>
      <c r="E67" s="3088" t="str">
        <f t="shared" si="0"/>
        <v>应收股利</v>
      </c>
      <c r="F67" s="3089" t="s">
        <v>533</v>
      </c>
      <c r="G67" s="3090">
        <f t="shared" si="1"/>
        <v>0</v>
      </c>
      <c r="H67" s="3091">
        <f t="shared" ca="1" si="5"/>
        <v>0</v>
      </c>
      <c r="I67" s="3093" t="s">
        <v>6810</v>
      </c>
      <c r="J67" s="3072"/>
      <c r="K67" s="3090">
        <f t="shared" si="6"/>
        <v>0</v>
      </c>
      <c r="L67" s="3071" t="s">
        <v>6806</v>
      </c>
      <c r="M67" s="3093" t="s">
        <v>6810</v>
      </c>
      <c r="N67" s="3072"/>
      <c r="O67" s="3099"/>
      <c r="P67" s="3100"/>
      <c r="Q67" s="3100"/>
      <c r="R67" s="3100"/>
      <c r="S67" s="3101" t="s">
        <v>295</v>
      </c>
      <c r="T67" s="3101" t="s">
        <v>213</v>
      </c>
      <c r="U67" s="3102"/>
      <c r="V67" s="3102" t="s">
        <v>295</v>
      </c>
      <c r="W67" s="3102" t="s">
        <v>6804</v>
      </c>
      <c r="X67" s="3102" t="s">
        <v>6805</v>
      </c>
      <c r="Y67" s="3103" t="s">
        <v>164</v>
      </c>
    </row>
    <row r="68" spans="1:25" ht="18">
      <c r="A68" s="1304"/>
      <c r="B68" s="643">
        <v>1221</v>
      </c>
      <c r="C68" s="643" t="s">
        <v>538</v>
      </c>
      <c r="D68" s="3087">
        <v>1</v>
      </c>
      <c r="E68" s="3088" t="str">
        <f t="shared" si="0"/>
        <v>其他应收款</v>
      </c>
      <c r="F68" s="3089" t="s">
        <v>539</v>
      </c>
      <c r="G68" s="3090">
        <f t="shared" si="1"/>
        <v>8760929.7400000002</v>
      </c>
      <c r="H68" s="3091">
        <f t="shared" ca="1" si="5"/>
        <v>8760929.7400000002</v>
      </c>
      <c r="I68" s="3093">
        <f ca="1">IF(AND(LEN(G68)&gt;0,LEN(H68)&gt;0),ROUND(SUM(G68)-SUM(H68),2),"")</f>
        <v>0</v>
      </c>
      <c r="J68" s="3072" t="str">
        <f ca="1">IF(ISNA(I68),"N/A",IF(I68=0,"√","？"))</f>
        <v>√</v>
      </c>
      <c r="K68" s="3090">
        <f t="shared" si="6"/>
        <v>1111613.68</v>
      </c>
      <c r="L68" s="3071">
        <f ca="1">INDIRECT("Notes!CheckB"&amp;$C68)</f>
        <v>1111613.68</v>
      </c>
      <c r="M68" s="3093">
        <f ca="1">IF(AND(LEN(K68)&gt;0,LEN(L68)&gt;0),ROUND(SUM(K68)-SUM(L68),2),"")</f>
        <v>0</v>
      </c>
      <c r="N68" s="3072" t="str">
        <f ca="1">IF(ISNA(M68),"N/A",IF(M68=0,"√","？"))</f>
        <v>√</v>
      </c>
      <c r="O68" s="3099"/>
      <c r="P68" s="3100"/>
      <c r="Q68" s="3100"/>
      <c r="R68" s="3100"/>
      <c r="S68" s="3101" t="s">
        <v>295</v>
      </c>
      <c r="T68" s="3101" t="s">
        <v>213</v>
      </c>
      <c r="U68" s="3102"/>
      <c r="V68" s="3102" t="s">
        <v>295</v>
      </c>
      <c r="W68" s="3102" t="s">
        <v>145</v>
      </c>
      <c r="X68" s="3102" t="s">
        <v>6807</v>
      </c>
      <c r="Y68" s="3103" t="s">
        <v>164</v>
      </c>
    </row>
    <row r="69" spans="1:25" ht="24">
      <c r="A69" s="1304"/>
      <c r="B69" s="643">
        <v>1221</v>
      </c>
      <c r="C69" s="643" t="s">
        <v>544</v>
      </c>
      <c r="D69" s="3087">
        <v>1</v>
      </c>
      <c r="E69" s="3088" t="str">
        <f t="shared" si="0"/>
        <v>其他应收款</v>
      </c>
      <c r="F69" s="3089" t="s">
        <v>545</v>
      </c>
      <c r="G69" s="3090">
        <f t="shared" si="1"/>
        <v>8760929.7400000002</v>
      </c>
      <c r="H69" s="3091">
        <f t="shared" ref="H69:H85" ca="1" si="7">INDIRECT("Notes!CheckA"&amp;$C69)</f>
        <v>8760929.7400000002</v>
      </c>
      <c r="I69" s="3093">
        <f ca="1">IF(AND(LEN(G69)&gt;0,LEN(H69)&gt;0),ROUND(SUM(G69)-SUM(H69),2),"")</f>
        <v>0</v>
      </c>
      <c r="J69" s="3072" t="str">
        <f ca="1">IF(ISNA(I69),"N/A",IF(I69=0,"√","？"))</f>
        <v>√</v>
      </c>
      <c r="K69" s="3090">
        <f t="shared" si="6"/>
        <v>1111613.68</v>
      </c>
      <c r="L69" s="3071">
        <f ca="1">INDIRECT("Notes!CheckB"&amp;$C69)</f>
        <v>1111613.68</v>
      </c>
      <c r="M69" s="3093">
        <f ca="1">IF(AND(LEN(K69)&gt;0,LEN(L69)&gt;0),ROUND(SUM(K69)-SUM(L69),2),"")</f>
        <v>0</v>
      </c>
      <c r="N69" s="3072" t="str">
        <f ca="1">IF(ISNA(M69),"N/A",IF(M69=0,"√","？"))</f>
        <v>√</v>
      </c>
      <c r="O69" s="3099"/>
      <c r="P69" s="3100"/>
      <c r="Q69" s="3100"/>
      <c r="R69" s="3100"/>
      <c r="S69" s="3101" t="s">
        <v>295</v>
      </c>
      <c r="T69" s="3101" t="s">
        <v>213</v>
      </c>
      <c r="U69" s="3102"/>
      <c r="V69" s="3102" t="s">
        <v>295</v>
      </c>
      <c r="W69" s="3102" t="s">
        <v>6804</v>
      </c>
      <c r="X69" s="3102" t="s">
        <v>6805</v>
      </c>
      <c r="Y69" s="3103" t="s">
        <v>164</v>
      </c>
    </row>
    <row r="70" spans="1:25" ht="36" hidden="1">
      <c r="A70" s="1304"/>
      <c r="B70" s="643">
        <v>1221</v>
      </c>
      <c r="C70" s="643">
        <v>122100</v>
      </c>
      <c r="D70" s="3087">
        <v>2</v>
      </c>
      <c r="E70" s="3088" t="str">
        <f t="shared" si="0"/>
        <v>其他应收款</v>
      </c>
      <c r="F70" s="3089" t="s">
        <v>5907</v>
      </c>
      <c r="G70" s="3090">
        <f t="shared" si="1"/>
        <v>8760929.7400000002</v>
      </c>
      <c r="H70" s="3091">
        <f t="shared" ca="1" si="7"/>
        <v>8760929.7400000002</v>
      </c>
      <c r="I70" s="3093" t="s">
        <v>6810</v>
      </c>
      <c r="J70" s="3072"/>
      <c r="K70" s="3090">
        <f t="shared" si="6"/>
        <v>1111613.68</v>
      </c>
      <c r="L70" s="3071" t="s">
        <v>6806</v>
      </c>
      <c r="M70" s="3093" t="s">
        <v>6810</v>
      </c>
      <c r="N70" s="3072"/>
      <c r="O70" s="3099"/>
      <c r="P70" s="3100"/>
      <c r="Q70" s="3100"/>
      <c r="R70" s="3100"/>
      <c r="S70" s="3101" t="s">
        <v>295</v>
      </c>
      <c r="T70" s="3101" t="s">
        <v>213</v>
      </c>
      <c r="U70" s="3102"/>
      <c r="V70" s="3102" t="s">
        <v>295</v>
      </c>
      <c r="W70" s="3102" t="s">
        <v>145</v>
      </c>
      <c r="X70" s="3102" t="s">
        <v>6807</v>
      </c>
      <c r="Y70" s="3103" t="s">
        <v>119</v>
      </c>
    </row>
    <row r="71" spans="1:25" ht="36" hidden="1">
      <c r="A71" s="1304"/>
      <c r="B71" s="643">
        <v>1221</v>
      </c>
      <c r="C71" s="643">
        <v>122101</v>
      </c>
      <c r="D71" s="3087">
        <v>2</v>
      </c>
      <c r="E71" s="3088" t="str">
        <f t="shared" si="0"/>
        <v>其他应收款</v>
      </c>
      <c r="F71" s="3089" t="s">
        <v>6429</v>
      </c>
      <c r="G71" s="3090">
        <f t="shared" si="1"/>
        <v>8760929.7400000002</v>
      </c>
      <c r="H71" s="3091">
        <f t="shared" ca="1" si="7"/>
        <v>8759161.8399999999</v>
      </c>
      <c r="I71" s="3093" t="s">
        <v>6810</v>
      </c>
      <c r="J71" s="3072"/>
      <c r="K71" s="3090">
        <f t="shared" si="6"/>
        <v>1111613.68</v>
      </c>
      <c r="L71" s="3071" t="s">
        <v>6806</v>
      </c>
      <c r="M71" s="3093" t="s">
        <v>6810</v>
      </c>
      <c r="N71" s="3072"/>
      <c r="O71" s="3099"/>
      <c r="P71" s="3100"/>
      <c r="Q71" s="3100"/>
      <c r="R71" s="3100"/>
      <c r="S71" s="3101" t="s">
        <v>295</v>
      </c>
      <c r="T71" s="3101" t="s">
        <v>213</v>
      </c>
      <c r="U71" s="3102">
        <v>122100</v>
      </c>
      <c r="V71" s="3102" t="s">
        <v>295</v>
      </c>
      <c r="W71" s="3102" t="s">
        <v>145</v>
      </c>
      <c r="X71" s="3102" t="s">
        <v>6807</v>
      </c>
      <c r="Y71" s="3103" t="s">
        <v>119</v>
      </c>
    </row>
    <row r="72" spans="1:25" ht="36" hidden="1">
      <c r="A72" s="1304"/>
      <c r="B72" s="643">
        <v>1221</v>
      </c>
      <c r="C72" s="643">
        <v>122111</v>
      </c>
      <c r="D72" s="3087">
        <v>2</v>
      </c>
      <c r="E72" s="3088" t="str">
        <f t="shared" si="0"/>
        <v>其他应收款</v>
      </c>
      <c r="F72" s="3089" t="s">
        <v>5920</v>
      </c>
      <c r="G72" s="3090">
        <f t="shared" si="1"/>
        <v>8760929.7400000002</v>
      </c>
      <c r="H72" s="3091">
        <f t="shared" ca="1" si="7"/>
        <v>0</v>
      </c>
      <c r="I72" s="3093" t="s">
        <v>6810</v>
      </c>
      <c r="J72" s="3072"/>
      <c r="K72" s="3090">
        <f t="shared" si="6"/>
        <v>1111613.68</v>
      </c>
      <c r="L72" s="3071">
        <f ca="1">INDIRECT("Notes!CheckB"&amp;$C72)</f>
        <v>0</v>
      </c>
      <c r="M72" s="3093" t="s">
        <v>6810</v>
      </c>
      <c r="N72" s="3072"/>
      <c r="O72" s="3099"/>
      <c r="P72" s="3100"/>
      <c r="Q72" s="3100"/>
      <c r="R72" s="3100"/>
      <c r="S72" s="3101" t="s">
        <v>295</v>
      </c>
      <c r="T72" s="3101" t="s">
        <v>213</v>
      </c>
      <c r="U72" s="3102">
        <v>122101</v>
      </c>
      <c r="V72" s="3102" t="s">
        <v>295</v>
      </c>
      <c r="W72" s="3102" t="s">
        <v>145</v>
      </c>
      <c r="X72" s="3102" t="s">
        <v>6807</v>
      </c>
      <c r="Y72" s="3103" t="s">
        <v>119</v>
      </c>
    </row>
    <row r="73" spans="1:25" ht="36" hidden="1">
      <c r="A73" s="1304"/>
      <c r="B73" s="643">
        <v>1221</v>
      </c>
      <c r="C73" s="643">
        <v>122112</v>
      </c>
      <c r="D73" s="3087">
        <v>2</v>
      </c>
      <c r="E73" s="3088" t="str">
        <f t="shared" ref="E73:E136" si="8">IF(ISERROR(VLOOKUP($B73,Sheet_Items,2,0)),"        ----",VLOOKUP($B73,Sheet_Items,2,0))</f>
        <v>其他应收款</v>
      </c>
      <c r="F73" s="3089" t="s">
        <v>5908</v>
      </c>
      <c r="G73" s="3090">
        <f t="shared" ref="G73:G136" si="9">IF(ISERROR(VLOOKUP($B73,Sheet_Trialbal,6,0)),"        ----",VLOOKUP($B73,Sheet_Trialbal,6,0))</f>
        <v>8760929.7400000002</v>
      </c>
      <c r="H73" s="3091">
        <f t="shared" ca="1" si="7"/>
        <v>4062094.05</v>
      </c>
      <c r="I73" s="3093" t="s">
        <v>6810</v>
      </c>
      <c r="J73" s="3072"/>
      <c r="K73" s="3090">
        <f t="shared" ref="K73:K104" si="10">IF(ISERROR(VLOOKUP($B73,Sheet_Trialbal,10,0)),"        ----",VLOOKUP($B73,Sheet_Trialbal,10,0))</f>
        <v>1111613.68</v>
      </c>
      <c r="L73" s="3071" t="s">
        <v>6806</v>
      </c>
      <c r="M73" s="3093" t="s">
        <v>6810</v>
      </c>
      <c r="N73" s="3072"/>
      <c r="O73" s="3099"/>
      <c r="P73" s="3100"/>
      <c r="Q73" s="3100"/>
      <c r="R73" s="3100"/>
      <c r="S73" s="3101" t="s">
        <v>295</v>
      </c>
      <c r="T73" s="3101" t="s">
        <v>213</v>
      </c>
      <c r="U73" s="3102">
        <v>122101</v>
      </c>
      <c r="V73" s="3102" t="s">
        <v>295</v>
      </c>
      <c r="W73" s="3102" t="s">
        <v>145</v>
      </c>
      <c r="X73" s="3102" t="s">
        <v>6807</v>
      </c>
      <c r="Y73" s="3103" t="s">
        <v>119</v>
      </c>
    </row>
    <row r="74" spans="1:25" ht="36" hidden="1">
      <c r="A74" s="1304"/>
      <c r="B74" s="643">
        <v>1221</v>
      </c>
      <c r="C74" s="643">
        <v>122113</v>
      </c>
      <c r="D74" s="3087">
        <v>2</v>
      </c>
      <c r="E74" s="3088" t="str">
        <f t="shared" si="8"/>
        <v>其他应收款</v>
      </c>
      <c r="F74" s="3089" t="s">
        <v>5919</v>
      </c>
      <c r="G74" s="3090">
        <f t="shared" si="9"/>
        <v>8760929.7400000002</v>
      </c>
      <c r="H74" s="3091">
        <f t="shared" ca="1" si="7"/>
        <v>4813453.9400000004</v>
      </c>
      <c r="I74" s="3093" t="s">
        <v>6810</v>
      </c>
      <c r="J74" s="3072"/>
      <c r="K74" s="3090">
        <f t="shared" si="10"/>
        <v>1111613.68</v>
      </c>
      <c r="L74" s="3071" t="s">
        <v>6806</v>
      </c>
      <c r="M74" s="3093" t="s">
        <v>6810</v>
      </c>
      <c r="N74" s="3072"/>
      <c r="O74" s="3099"/>
      <c r="P74" s="3100"/>
      <c r="Q74" s="3100"/>
      <c r="R74" s="3100"/>
      <c r="S74" s="3101" t="s">
        <v>295</v>
      </c>
      <c r="T74" s="3101" t="s">
        <v>213</v>
      </c>
      <c r="U74" s="3102">
        <v>122101</v>
      </c>
      <c r="V74" s="3102" t="s">
        <v>295</v>
      </c>
      <c r="W74" s="3102" t="s">
        <v>145</v>
      </c>
      <c r="X74" s="3102" t="s">
        <v>213</v>
      </c>
      <c r="Y74" s="3103" t="s">
        <v>119</v>
      </c>
    </row>
    <row r="75" spans="1:25" ht="36" hidden="1">
      <c r="A75" s="1304"/>
      <c r="B75" s="643">
        <v>1221</v>
      </c>
      <c r="C75" s="643">
        <v>122114</v>
      </c>
      <c r="D75" s="3087">
        <v>2</v>
      </c>
      <c r="E75" s="3088" t="str">
        <f t="shared" si="8"/>
        <v>其他应收款</v>
      </c>
      <c r="F75" s="3089" t="s">
        <v>5918</v>
      </c>
      <c r="G75" s="3090">
        <f t="shared" si="9"/>
        <v>8760929.7400000002</v>
      </c>
      <c r="H75" s="3091">
        <f t="shared" ca="1" si="7"/>
        <v>0</v>
      </c>
      <c r="I75" s="3093" t="s">
        <v>6810</v>
      </c>
      <c r="J75" s="3072"/>
      <c r="K75" s="3090">
        <f t="shared" si="10"/>
        <v>1111613.68</v>
      </c>
      <c r="L75" s="3071" t="s">
        <v>6806</v>
      </c>
      <c r="M75" s="3093" t="s">
        <v>6810</v>
      </c>
      <c r="N75" s="3072"/>
      <c r="O75" s="3099"/>
      <c r="P75" s="3100"/>
      <c r="Q75" s="3100"/>
      <c r="R75" s="3100"/>
      <c r="S75" s="3101" t="s">
        <v>295</v>
      </c>
      <c r="T75" s="3101" t="s">
        <v>213</v>
      </c>
      <c r="U75" s="3102">
        <v>122101</v>
      </c>
      <c r="V75" s="3102" t="s">
        <v>295</v>
      </c>
      <c r="W75" s="3102" t="s">
        <v>145</v>
      </c>
      <c r="X75" s="3102" t="s">
        <v>213</v>
      </c>
      <c r="Y75" s="3103" t="s">
        <v>119</v>
      </c>
    </row>
    <row r="76" spans="1:25" ht="36" hidden="1">
      <c r="A76" s="1304"/>
      <c r="B76" s="643">
        <v>1221</v>
      </c>
      <c r="C76" s="643">
        <v>122102</v>
      </c>
      <c r="D76" s="3087">
        <v>2</v>
      </c>
      <c r="E76" s="3088" t="str">
        <f t="shared" si="8"/>
        <v>其他应收款</v>
      </c>
      <c r="F76" s="3089" t="s">
        <v>6430</v>
      </c>
      <c r="G76" s="3090">
        <f t="shared" si="9"/>
        <v>8760929.7400000002</v>
      </c>
      <c r="H76" s="3091">
        <f t="shared" ca="1" si="7"/>
        <v>0</v>
      </c>
      <c r="I76" s="3093" t="s">
        <v>6810</v>
      </c>
      <c r="J76" s="3072"/>
      <c r="K76" s="3090">
        <f t="shared" si="10"/>
        <v>1111613.68</v>
      </c>
      <c r="L76" s="3071">
        <f ca="1">INDIRECT("Notes!CheckB"&amp;$C76)</f>
        <v>0</v>
      </c>
      <c r="M76" s="3093" t="s">
        <v>6810</v>
      </c>
      <c r="N76" s="3072"/>
      <c r="O76" s="3099"/>
      <c r="P76" s="3100"/>
      <c r="Q76" s="3100"/>
      <c r="R76" s="3100"/>
      <c r="S76" s="3101" t="s">
        <v>295</v>
      </c>
      <c r="T76" s="3101" t="s">
        <v>213</v>
      </c>
      <c r="U76" s="3102">
        <v>122100</v>
      </c>
      <c r="V76" s="3102" t="s">
        <v>295</v>
      </c>
      <c r="W76" s="3102" t="s">
        <v>145</v>
      </c>
      <c r="X76" s="3102" t="s">
        <v>6807</v>
      </c>
      <c r="Y76" s="3103" t="s">
        <v>119</v>
      </c>
    </row>
    <row r="77" spans="1:25" ht="36" hidden="1">
      <c r="A77" s="1304"/>
      <c r="B77" s="643">
        <v>1221</v>
      </c>
      <c r="C77" s="643">
        <v>122121</v>
      </c>
      <c r="D77" s="3087">
        <v>2</v>
      </c>
      <c r="E77" s="3088" t="str">
        <f t="shared" si="8"/>
        <v>其他应收款</v>
      </c>
      <c r="F77" s="3089" t="s">
        <v>5909</v>
      </c>
      <c r="G77" s="3090">
        <f t="shared" si="9"/>
        <v>8760929.7400000002</v>
      </c>
      <c r="H77" s="3091">
        <f t="shared" ca="1" si="7"/>
        <v>0</v>
      </c>
      <c r="I77" s="3093" t="s">
        <v>6810</v>
      </c>
      <c r="J77" s="3072"/>
      <c r="K77" s="3090">
        <f t="shared" si="10"/>
        <v>1111613.68</v>
      </c>
      <c r="L77" s="3071" t="s">
        <v>6806</v>
      </c>
      <c r="M77" s="3093" t="s">
        <v>6810</v>
      </c>
      <c r="N77" s="3072"/>
      <c r="O77" s="3099"/>
      <c r="P77" s="3100"/>
      <c r="Q77" s="3100"/>
      <c r="R77" s="3100"/>
      <c r="S77" s="3101" t="s">
        <v>295</v>
      </c>
      <c r="T77" s="3101" t="s">
        <v>213</v>
      </c>
      <c r="U77" s="3102">
        <v>122102</v>
      </c>
      <c r="V77" s="3102" t="s">
        <v>295</v>
      </c>
      <c r="W77" s="3102" t="s">
        <v>145</v>
      </c>
      <c r="X77" s="3102" t="s">
        <v>6807</v>
      </c>
      <c r="Y77" s="3103" t="s">
        <v>119</v>
      </c>
    </row>
    <row r="78" spans="1:25" ht="36" hidden="1">
      <c r="A78" s="1304"/>
      <c r="B78" s="643">
        <v>1221</v>
      </c>
      <c r="C78" s="643">
        <v>122122</v>
      </c>
      <c r="D78" s="3087">
        <v>2</v>
      </c>
      <c r="E78" s="3088" t="str">
        <f t="shared" si="8"/>
        <v>其他应收款</v>
      </c>
      <c r="F78" s="3089" t="s">
        <v>5910</v>
      </c>
      <c r="G78" s="3090">
        <f t="shared" si="9"/>
        <v>8760929.7400000002</v>
      </c>
      <c r="H78" s="3091">
        <f t="shared" ca="1" si="7"/>
        <v>0</v>
      </c>
      <c r="I78" s="3093" t="s">
        <v>6810</v>
      </c>
      <c r="J78" s="3072"/>
      <c r="K78" s="3090">
        <f t="shared" si="10"/>
        <v>1111613.68</v>
      </c>
      <c r="L78" s="3071" t="s">
        <v>6806</v>
      </c>
      <c r="M78" s="3093" t="s">
        <v>6810</v>
      </c>
      <c r="N78" s="3072"/>
      <c r="O78" s="3099"/>
      <c r="P78" s="3100"/>
      <c r="Q78" s="3100"/>
      <c r="R78" s="3100"/>
      <c r="S78" s="3101" t="s">
        <v>295</v>
      </c>
      <c r="T78" s="3101" t="s">
        <v>213</v>
      </c>
      <c r="U78" s="3102">
        <v>122102</v>
      </c>
      <c r="V78" s="3102" t="s">
        <v>295</v>
      </c>
      <c r="W78" s="3102" t="s">
        <v>145</v>
      </c>
      <c r="X78" s="3102" t="s">
        <v>6807</v>
      </c>
      <c r="Y78" s="3103" t="s">
        <v>119</v>
      </c>
    </row>
    <row r="79" spans="1:25" ht="36" hidden="1">
      <c r="A79" s="1304"/>
      <c r="B79" s="643">
        <v>1221</v>
      </c>
      <c r="C79" s="643">
        <v>122123</v>
      </c>
      <c r="D79" s="3087">
        <v>2</v>
      </c>
      <c r="E79" s="3088" t="str">
        <f t="shared" si="8"/>
        <v>其他应收款</v>
      </c>
      <c r="F79" s="3089" t="s">
        <v>5911</v>
      </c>
      <c r="G79" s="3090">
        <f t="shared" si="9"/>
        <v>8760929.7400000002</v>
      </c>
      <c r="H79" s="3091">
        <f t="shared" ca="1" si="7"/>
        <v>0</v>
      </c>
      <c r="I79" s="3093" t="s">
        <v>6810</v>
      </c>
      <c r="J79" s="3072"/>
      <c r="K79" s="3090">
        <f t="shared" si="10"/>
        <v>1111613.68</v>
      </c>
      <c r="L79" s="3071" t="s">
        <v>6806</v>
      </c>
      <c r="M79" s="3093" t="s">
        <v>6810</v>
      </c>
      <c r="N79" s="3072"/>
      <c r="O79" s="3099"/>
      <c r="P79" s="3100"/>
      <c r="Q79" s="3100"/>
      <c r="R79" s="3100"/>
      <c r="S79" s="3101" t="s">
        <v>295</v>
      </c>
      <c r="T79" s="3101" t="s">
        <v>213</v>
      </c>
      <c r="U79" s="3102">
        <v>122102</v>
      </c>
      <c r="V79" s="3102" t="s">
        <v>295</v>
      </c>
      <c r="W79" s="3102" t="s">
        <v>145</v>
      </c>
      <c r="X79" s="3102" t="s">
        <v>213</v>
      </c>
      <c r="Y79" s="3103" t="s">
        <v>119</v>
      </c>
    </row>
    <row r="80" spans="1:25" ht="36" hidden="1">
      <c r="A80" s="1304"/>
      <c r="B80" s="643">
        <v>1221</v>
      </c>
      <c r="C80" s="643">
        <v>122124</v>
      </c>
      <c r="D80" s="3087">
        <v>2</v>
      </c>
      <c r="E80" s="3088" t="str">
        <f t="shared" si="8"/>
        <v>其他应收款</v>
      </c>
      <c r="F80" s="3089" t="s">
        <v>5912</v>
      </c>
      <c r="G80" s="3090">
        <f t="shared" si="9"/>
        <v>8760929.7400000002</v>
      </c>
      <c r="H80" s="3091">
        <f t="shared" ca="1" si="7"/>
        <v>0</v>
      </c>
      <c r="I80" s="3093" t="s">
        <v>6810</v>
      </c>
      <c r="J80" s="3072"/>
      <c r="K80" s="3090">
        <f t="shared" si="10"/>
        <v>1111613.68</v>
      </c>
      <c r="L80" s="3071" t="s">
        <v>6806</v>
      </c>
      <c r="M80" s="3093" t="s">
        <v>6810</v>
      </c>
      <c r="N80" s="3072"/>
      <c r="O80" s="3099"/>
      <c r="P80" s="3100"/>
      <c r="Q80" s="3100"/>
      <c r="R80" s="3100"/>
      <c r="S80" s="3101" t="s">
        <v>295</v>
      </c>
      <c r="T80" s="3101" t="s">
        <v>213</v>
      </c>
      <c r="U80" s="3102">
        <v>122102</v>
      </c>
      <c r="V80" s="3102" t="s">
        <v>295</v>
      </c>
      <c r="W80" s="3102" t="s">
        <v>145</v>
      </c>
      <c r="X80" s="3102" t="s">
        <v>213</v>
      </c>
      <c r="Y80" s="3103" t="s">
        <v>119</v>
      </c>
    </row>
    <row r="81" spans="1:25" ht="36" hidden="1">
      <c r="A81" s="1304"/>
      <c r="B81" s="643">
        <v>1221</v>
      </c>
      <c r="C81" s="643">
        <v>122103</v>
      </c>
      <c r="D81" s="3087">
        <v>2</v>
      </c>
      <c r="E81" s="3088" t="str">
        <f t="shared" si="8"/>
        <v>其他应收款</v>
      </c>
      <c r="F81" s="3089" t="s">
        <v>6431</v>
      </c>
      <c r="G81" s="3090">
        <f t="shared" si="9"/>
        <v>8760929.7400000002</v>
      </c>
      <c r="H81" s="3091">
        <f t="shared" ca="1" si="7"/>
        <v>1767.9</v>
      </c>
      <c r="I81" s="3093" t="s">
        <v>6810</v>
      </c>
      <c r="J81" s="3072"/>
      <c r="K81" s="3090">
        <f t="shared" si="10"/>
        <v>1111613.68</v>
      </c>
      <c r="L81" s="3071" t="s">
        <v>6806</v>
      </c>
      <c r="M81" s="3093" t="s">
        <v>6810</v>
      </c>
      <c r="N81" s="3072"/>
      <c r="O81" s="3099"/>
      <c r="P81" s="3100"/>
      <c r="Q81" s="3100"/>
      <c r="R81" s="3100"/>
      <c r="S81" s="3101" t="s">
        <v>295</v>
      </c>
      <c r="T81" s="3101" t="s">
        <v>213</v>
      </c>
      <c r="U81" s="3102">
        <v>122100</v>
      </c>
      <c r="V81" s="3102" t="s">
        <v>295</v>
      </c>
      <c r="W81" s="3102" t="s">
        <v>145</v>
      </c>
      <c r="X81" s="3102" t="s">
        <v>6807</v>
      </c>
      <c r="Y81" s="3103" t="s">
        <v>119</v>
      </c>
    </row>
    <row r="82" spans="1:25" ht="36" hidden="1">
      <c r="A82" s="1304"/>
      <c r="B82" s="643">
        <v>1221</v>
      </c>
      <c r="C82" s="643">
        <v>122131</v>
      </c>
      <c r="D82" s="3087">
        <v>2</v>
      </c>
      <c r="E82" s="3088" t="str">
        <f t="shared" si="8"/>
        <v>其他应收款</v>
      </c>
      <c r="F82" s="3089" t="s">
        <v>5913</v>
      </c>
      <c r="G82" s="3090">
        <f t="shared" si="9"/>
        <v>8760929.7400000002</v>
      </c>
      <c r="H82" s="3091">
        <f t="shared" ca="1" si="7"/>
        <v>3798424.5</v>
      </c>
      <c r="I82" s="3093" t="s">
        <v>6810</v>
      </c>
      <c r="J82" s="3072"/>
      <c r="K82" s="3090">
        <f t="shared" si="10"/>
        <v>1111613.68</v>
      </c>
      <c r="L82" s="3071" t="s">
        <v>6806</v>
      </c>
      <c r="M82" s="3093" t="s">
        <v>6810</v>
      </c>
      <c r="N82" s="3072"/>
      <c r="O82" s="3099"/>
      <c r="P82" s="3100"/>
      <c r="Q82" s="3100"/>
      <c r="R82" s="3100"/>
      <c r="S82" s="3101" t="s">
        <v>295</v>
      </c>
      <c r="T82" s="3101" t="s">
        <v>213</v>
      </c>
      <c r="U82" s="3102">
        <v>122103</v>
      </c>
      <c r="V82" s="3102" t="s">
        <v>295</v>
      </c>
      <c r="W82" s="3102" t="s">
        <v>145</v>
      </c>
      <c r="X82" s="3102" t="s">
        <v>6807</v>
      </c>
      <c r="Y82" s="3103" t="s">
        <v>119</v>
      </c>
    </row>
    <row r="83" spans="1:25" ht="36" hidden="1">
      <c r="A83" s="1304"/>
      <c r="B83" s="643">
        <v>1221</v>
      </c>
      <c r="C83" s="643">
        <v>122132</v>
      </c>
      <c r="D83" s="3087">
        <v>2</v>
      </c>
      <c r="E83" s="3088" t="str">
        <f t="shared" si="8"/>
        <v>其他应收款</v>
      </c>
      <c r="F83" s="3089" t="s">
        <v>5914</v>
      </c>
      <c r="G83" s="3090">
        <f t="shared" si="9"/>
        <v>8760929.7400000002</v>
      </c>
      <c r="H83" s="3091">
        <f t="shared" ca="1" si="7"/>
        <v>2212075.4900000002</v>
      </c>
      <c r="I83" s="3093" t="s">
        <v>6810</v>
      </c>
      <c r="J83" s="3072"/>
      <c r="K83" s="3090">
        <f t="shared" si="10"/>
        <v>1111613.68</v>
      </c>
      <c r="L83" s="3071" t="s">
        <v>6806</v>
      </c>
      <c r="M83" s="3093" t="s">
        <v>6810</v>
      </c>
      <c r="N83" s="3072"/>
      <c r="O83" s="3099"/>
      <c r="P83" s="3100"/>
      <c r="Q83" s="3100"/>
      <c r="R83" s="3100"/>
      <c r="S83" s="3101" t="s">
        <v>295</v>
      </c>
      <c r="T83" s="3101" t="s">
        <v>213</v>
      </c>
      <c r="U83" s="3102">
        <v>122103</v>
      </c>
      <c r="V83" s="3102" t="s">
        <v>295</v>
      </c>
      <c r="W83" s="3102" t="s">
        <v>145</v>
      </c>
      <c r="X83" s="3102" t="s">
        <v>6807</v>
      </c>
      <c r="Y83" s="3103" t="s">
        <v>119</v>
      </c>
    </row>
    <row r="84" spans="1:25" ht="36" hidden="1">
      <c r="A84" s="1304"/>
      <c r="B84" s="643">
        <v>1221</v>
      </c>
      <c r="C84" s="643">
        <v>122133</v>
      </c>
      <c r="D84" s="3087">
        <v>2</v>
      </c>
      <c r="E84" s="3088" t="str">
        <f t="shared" si="8"/>
        <v>其他应收款</v>
      </c>
      <c r="F84" s="3089" t="s">
        <v>5915</v>
      </c>
      <c r="G84" s="3090">
        <f t="shared" si="9"/>
        <v>8760929.7400000002</v>
      </c>
      <c r="H84" s="3091">
        <f t="shared" ca="1" si="7"/>
        <v>0</v>
      </c>
      <c r="I84" s="3093" t="s">
        <v>6810</v>
      </c>
      <c r="J84" s="3072"/>
      <c r="K84" s="3090">
        <f t="shared" si="10"/>
        <v>1111613.68</v>
      </c>
      <c r="L84" s="3071">
        <f t="shared" ref="L84:L90" ca="1" si="11">INDIRECT("Notes!CheckB"&amp;$C84)</f>
        <v>0</v>
      </c>
      <c r="M84" s="3093" t="s">
        <v>6810</v>
      </c>
      <c r="N84" s="3072"/>
      <c r="O84" s="3099"/>
      <c r="P84" s="3100"/>
      <c r="Q84" s="3100"/>
      <c r="R84" s="3100"/>
      <c r="S84" s="3101" t="s">
        <v>295</v>
      </c>
      <c r="T84" s="3101" t="s">
        <v>213</v>
      </c>
      <c r="U84" s="3102">
        <v>122103</v>
      </c>
      <c r="V84" s="3102" t="s">
        <v>295</v>
      </c>
      <c r="W84" s="3102" t="s">
        <v>145</v>
      </c>
      <c r="X84" s="3102" t="s">
        <v>213</v>
      </c>
      <c r="Y84" s="3103" t="s">
        <v>119</v>
      </c>
    </row>
    <row r="85" spans="1:25" ht="36" hidden="1">
      <c r="A85" s="1304"/>
      <c r="B85" s="643">
        <v>1221</v>
      </c>
      <c r="C85" s="643">
        <v>122134</v>
      </c>
      <c r="D85" s="3087">
        <v>2</v>
      </c>
      <c r="E85" s="3088" t="str">
        <f t="shared" si="8"/>
        <v>其他应收款</v>
      </c>
      <c r="F85" s="3089" t="s">
        <v>5916</v>
      </c>
      <c r="G85" s="3090">
        <f t="shared" si="9"/>
        <v>8760929.7400000002</v>
      </c>
      <c r="H85" s="3091">
        <f t="shared" ca="1" si="7"/>
        <v>0</v>
      </c>
      <c r="I85" s="3093" t="s">
        <v>6810</v>
      </c>
      <c r="J85" s="3072"/>
      <c r="K85" s="3090">
        <f t="shared" si="10"/>
        <v>1111613.68</v>
      </c>
      <c r="L85" s="3071">
        <f t="shared" ca="1" si="11"/>
        <v>0</v>
      </c>
      <c r="M85" s="3093" t="s">
        <v>6810</v>
      </c>
      <c r="N85" s="3072"/>
      <c r="O85" s="3099"/>
      <c r="P85" s="3100"/>
      <c r="Q85" s="3100"/>
      <c r="R85" s="3100"/>
      <c r="S85" s="3101" t="s">
        <v>295</v>
      </c>
      <c r="T85" s="3101" t="s">
        <v>213</v>
      </c>
      <c r="U85" s="3102">
        <v>122103</v>
      </c>
      <c r="V85" s="3102" t="s">
        <v>295</v>
      </c>
      <c r="W85" s="3102" t="s">
        <v>145</v>
      </c>
      <c r="X85" s="3102" t="s">
        <v>213</v>
      </c>
      <c r="Y85" s="3103" t="s">
        <v>119</v>
      </c>
    </row>
    <row r="86" spans="1:25" ht="36" hidden="1">
      <c r="A86" s="1304"/>
      <c r="B86" s="643">
        <v>1221</v>
      </c>
      <c r="C86" s="643" t="s">
        <v>558</v>
      </c>
      <c r="D86" s="3087">
        <v>2</v>
      </c>
      <c r="E86" s="3088" t="str">
        <f t="shared" si="8"/>
        <v>其他应收款</v>
      </c>
      <c r="F86" s="3089" t="s">
        <v>6432</v>
      </c>
      <c r="G86" s="3090">
        <f t="shared" si="9"/>
        <v>8760929.7400000002</v>
      </c>
      <c r="H86" s="3091" t="s">
        <v>6806</v>
      </c>
      <c r="I86" s="3093" t="s">
        <v>6810</v>
      </c>
      <c r="J86" s="3072"/>
      <c r="K86" s="3090">
        <f t="shared" si="10"/>
        <v>1111613.68</v>
      </c>
      <c r="L86" s="3071">
        <f t="shared" ca="1" si="11"/>
        <v>1111613.68</v>
      </c>
      <c r="M86" s="3093" t="s">
        <v>6810</v>
      </c>
      <c r="N86" s="3072"/>
      <c r="O86" s="3099"/>
      <c r="P86" s="3100"/>
      <c r="Q86" s="3100"/>
      <c r="R86" s="3100"/>
      <c r="S86" s="3101" t="s">
        <v>295</v>
      </c>
      <c r="T86" s="3101" t="s">
        <v>213</v>
      </c>
      <c r="U86" s="3102"/>
      <c r="V86" s="3102" t="s">
        <v>295</v>
      </c>
      <c r="W86" s="3102" t="s">
        <v>145</v>
      </c>
      <c r="X86" s="3102" t="s">
        <v>6807</v>
      </c>
      <c r="Y86" s="3103" t="s">
        <v>119</v>
      </c>
    </row>
    <row r="87" spans="1:25" ht="48" hidden="1">
      <c r="A87" s="1304"/>
      <c r="B87" s="643">
        <v>1221</v>
      </c>
      <c r="C87" s="643" t="s">
        <v>569</v>
      </c>
      <c r="D87" s="3087">
        <v>2</v>
      </c>
      <c r="E87" s="3088" t="str">
        <f t="shared" si="8"/>
        <v>其他应收款</v>
      </c>
      <c r="F87" s="3089" t="s">
        <v>6433</v>
      </c>
      <c r="G87" s="3090">
        <f t="shared" si="9"/>
        <v>8760929.7400000002</v>
      </c>
      <c r="H87" s="3091" t="s">
        <v>6806</v>
      </c>
      <c r="I87" s="3093" t="s">
        <v>6810</v>
      </c>
      <c r="J87" s="3072"/>
      <c r="K87" s="3090">
        <f t="shared" si="10"/>
        <v>1111613.68</v>
      </c>
      <c r="L87" s="3071">
        <f t="shared" ca="1" si="11"/>
        <v>0</v>
      </c>
      <c r="M87" s="3093" t="s">
        <v>6810</v>
      </c>
      <c r="N87" s="3072"/>
      <c r="O87" s="3099"/>
      <c r="P87" s="3100"/>
      <c r="Q87" s="3100"/>
      <c r="R87" s="3100"/>
      <c r="S87" s="3101" t="s">
        <v>295</v>
      </c>
      <c r="T87" s="3101" t="s">
        <v>213</v>
      </c>
      <c r="U87" s="3102"/>
      <c r="V87" s="3102" t="s">
        <v>295</v>
      </c>
      <c r="W87" s="3102" t="s">
        <v>145</v>
      </c>
      <c r="X87" s="3102" t="s">
        <v>6807</v>
      </c>
      <c r="Y87" s="3103" t="s">
        <v>119</v>
      </c>
    </row>
    <row r="88" spans="1:25" ht="48" hidden="1">
      <c r="A88" s="1304"/>
      <c r="B88" s="643">
        <v>1221</v>
      </c>
      <c r="C88" s="643" t="s">
        <v>575</v>
      </c>
      <c r="D88" s="3087">
        <v>2</v>
      </c>
      <c r="E88" s="3088" t="str">
        <f t="shared" si="8"/>
        <v>其他应收款</v>
      </c>
      <c r="F88" s="3089" t="s">
        <v>6434</v>
      </c>
      <c r="G88" s="3090">
        <f t="shared" si="9"/>
        <v>8760929.7400000002</v>
      </c>
      <c r="H88" s="3091" t="s">
        <v>6806</v>
      </c>
      <c r="I88" s="3093" t="s">
        <v>6810</v>
      </c>
      <c r="J88" s="3072"/>
      <c r="K88" s="3090">
        <f t="shared" si="10"/>
        <v>1111613.68</v>
      </c>
      <c r="L88" s="3071">
        <f t="shared" ca="1" si="11"/>
        <v>2854138.93</v>
      </c>
      <c r="M88" s="3093" t="s">
        <v>6810</v>
      </c>
      <c r="N88" s="3072"/>
      <c r="O88" s="3099"/>
      <c r="P88" s="3100"/>
      <c r="Q88" s="3100"/>
      <c r="R88" s="3100"/>
      <c r="S88" s="3101" t="s">
        <v>295</v>
      </c>
      <c r="T88" s="3101" t="s">
        <v>213</v>
      </c>
      <c r="U88" s="3102"/>
      <c r="V88" s="3102" t="s">
        <v>295</v>
      </c>
      <c r="W88" s="3102" t="s">
        <v>145</v>
      </c>
      <c r="X88" s="3102" t="s">
        <v>6807</v>
      </c>
      <c r="Y88" s="3103" t="s">
        <v>119</v>
      </c>
    </row>
    <row r="89" spans="1:25" ht="24" hidden="1">
      <c r="A89" s="1304"/>
      <c r="B89" s="643">
        <v>1221</v>
      </c>
      <c r="C89" s="643" t="s">
        <v>579</v>
      </c>
      <c r="D89" s="3087">
        <v>2</v>
      </c>
      <c r="E89" s="3088" t="str">
        <f t="shared" si="8"/>
        <v>其他应收款</v>
      </c>
      <c r="F89" s="3089" t="s">
        <v>580</v>
      </c>
      <c r="G89" s="3090">
        <f t="shared" si="9"/>
        <v>8760929.7400000002</v>
      </c>
      <c r="H89" s="3091">
        <f t="shared" ref="H89:H101" ca="1" si="12">INDIRECT("Notes!CheckA"&amp;$C89)</f>
        <v>6350342.7300000004</v>
      </c>
      <c r="I89" s="3093" t="s">
        <v>6810</v>
      </c>
      <c r="J89" s="3072"/>
      <c r="K89" s="3090">
        <f t="shared" si="10"/>
        <v>1111613.68</v>
      </c>
      <c r="L89" s="3071">
        <f t="shared" ca="1" si="11"/>
        <v>6096165.3700000001</v>
      </c>
      <c r="M89" s="3093" t="s">
        <v>6810</v>
      </c>
      <c r="N89" s="3072"/>
      <c r="O89" s="3099"/>
      <c r="P89" s="3100"/>
      <c r="Q89" s="3100"/>
      <c r="R89" s="3100"/>
      <c r="S89" s="3101" t="s">
        <v>295</v>
      </c>
      <c r="T89" s="3101" t="s">
        <v>213</v>
      </c>
      <c r="U89" s="3102"/>
      <c r="V89" s="3102" t="s">
        <v>295</v>
      </c>
      <c r="W89" s="3102" t="s">
        <v>145</v>
      </c>
      <c r="X89" s="3102" t="s">
        <v>6807</v>
      </c>
      <c r="Y89" s="3103" t="s">
        <v>119</v>
      </c>
    </row>
    <row r="90" spans="1:25" ht="36" hidden="1">
      <c r="A90" s="1304"/>
      <c r="B90" s="643">
        <v>1221</v>
      </c>
      <c r="C90" s="643">
        <v>122104</v>
      </c>
      <c r="D90" s="3087">
        <v>2</v>
      </c>
      <c r="E90" s="3088" t="str">
        <f t="shared" si="8"/>
        <v>其他应收款</v>
      </c>
      <c r="F90" s="3089" t="s">
        <v>5906</v>
      </c>
      <c r="G90" s="3090">
        <f t="shared" si="9"/>
        <v>8760929.7400000002</v>
      </c>
      <c r="H90" s="3091">
        <f t="shared" ca="1" si="12"/>
        <v>0</v>
      </c>
      <c r="I90" s="3093" t="s">
        <v>6810</v>
      </c>
      <c r="J90" s="3072"/>
      <c r="K90" s="3090">
        <f t="shared" si="10"/>
        <v>1111613.68</v>
      </c>
      <c r="L90" s="3071">
        <f t="shared" ca="1" si="11"/>
        <v>0</v>
      </c>
      <c r="M90" s="3093" t="s">
        <v>6810</v>
      </c>
      <c r="N90" s="3072"/>
      <c r="O90" s="3099"/>
      <c r="P90" s="3100"/>
      <c r="Q90" s="3100"/>
      <c r="R90" s="3100"/>
      <c r="S90" s="3101" t="s">
        <v>295</v>
      </c>
      <c r="T90" s="3101" t="s">
        <v>213</v>
      </c>
      <c r="U90" s="3102"/>
      <c r="V90" s="3102" t="s">
        <v>295</v>
      </c>
      <c r="W90" s="3102" t="s">
        <v>145</v>
      </c>
      <c r="X90" s="3102" t="s">
        <v>6807</v>
      </c>
      <c r="Y90" s="3103" t="s">
        <v>119</v>
      </c>
    </row>
    <row r="91" spans="1:25" ht="36" hidden="1">
      <c r="A91" s="1304"/>
      <c r="B91" s="643">
        <v>1221</v>
      </c>
      <c r="C91" s="643" t="s">
        <v>584</v>
      </c>
      <c r="D91" s="3087">
        <v>2</v>
      </c>
      <c r="E91" s="3088" t="str">
        <f t="shared" si="8"/>
        <v>其他应收款</v>
      </c>
      <c r="F91" s="3089" t="s">
        <v>585</v>
      </c>
      <c r="G91" s="3090">
        <f t="shared" si="9"/>
        <v>8760929.7400000002</v>
      </c>
      <c r="H91" s="3091">
        <f t="shared" ca="1" si="12"/>
        <v>0</v>
      </c>
      <c r="I91" s="3093" t="s">
        <v>6810</v>
      </c>
      <c r="J91" s="3072"/>
      <c r="K91" s="3090">
        <f t="shared" si="10"/>
        <v>1111613.68</v>
      </c>
      <c r="L91" s="3071" t="s">
        <v>6806</v>
      </c>
      <c r="M91" s="3093" t="s">
        <v>6810</v>
      </c>
      <c r="N91" s="3072"/>
      <c r="O91" s="3099"/>
      <c r="P91" s="3100"/>
      <c r="Q91" s="3100"/>
      <c r="R91" s="3100"/>
      <c r="S91" s="3101" t="s">
        <v>295</v>
      </c>
      <c r="T91" s="3101" t="s">
        <v>213</v>
      </c>
      <c r="U91" s="3102"/>
      <c r="V91" s="3102" t="s">
        <v>295</v>
      </c>
      <c r="W91" s="3102" t="s">
        <v>6804</v>
      </c>
      <c r="X91" s="3102" t="s">
        <v>6807</v>
      </c>
      <c r="Y91" s="3103" t="s">
        <v>164</v>
      </c>
    </row>
    <row r="92" spans="1:25" ht="24" hidden="1">
      <c r="A92" s="1304"/>
      <c r="B92" s="643">
        <v>1221</v>
      </c>
      <c r="C92" s="643" t="s">
        <v>590</v>
      </c>
      <c r="D92" s="3087">
        <v>2</v>
      </c>
      <c r="E92" s="3088" t="str">
        <f t="shared" si="8"/>
        <v>其他应收款</v>
      </c>
      <c r="F92" s="3089" t="s">
        <v>591</v>
      </c>
      <c r="G92" s="3090">
        <f t="shared" si="9"/>
        <v>8760929.7400000002</v>
      </c>
      <c r="H92" s="3091">
        <f t="shared" ca="1" si="12"/>
        <v>0</v>
      </c>
      <c r="I92" s="3093" t="s">
        <v>6810</v>
      </c>
      <c r="J92" s="3072"/>
      <c r="K92" s="3090">
        <f t="shared" si="10"/>
        <v>1111613.68</v>
      </c>
      <c r="L92" s="3071">
        <f ca="1">INDIRECT("Notes!CheckB"&amp;$C92)</f>
        <v>0</v>
      </c>
      <c r="M92" s="3093" t="s">
        <v>6810</v>
      </c>
      <c r="N92" s="3072"/>
      <c r="O92" s="3099"/>
      <c r="P92" s="3100"/>
      <c r="Q92" s="3100"/>
      <c r="R92" s="3100"/>
      <c r="S92" s="3101" t="s">
        <v>295</v>
      </c>
      <c r="T92" s="3101" t="s">
        <v>213</v>
      </c>
      <c r="U92" s="3102"/>
      <c r="V92" s="3102" t="s">
        <v>295</v>
      </c>
      <c r="W92" s="3102" t="s">
        <v>6804</v>
      </c>
      <c r="X92" s="3102" t="s">
        <v>6807</v>
      </c>
      <c r="Y92" s="3103" t="s">
        <v>164</v>
      </c>
    </row>
    <row r="93" spans="1:25" ht="24" hidden="1">
      <c r="A93" s="1304"/>
      <c r="B93" s="643">
        <v>1221</v>
      </c>
      <c r="C93" s="643" t="s">
        <v>595</v>
      </c>
      <c r="D93" s="3087">
        <v>2</v>
      </c>
      <c r="E93" s="3088" t="str">
        <f t="shared" si="8"/>
        <v>其他应收款</v>
      </c>
      <c r="F93" s="3089" t="s">
        <v>596</v>
      </c>
      <c r="G93" s="3090">
        <f t="shared" si="9"/>
        <v>8760929.7400000002</v>
      </c>
      <c r="H93" s="3091">
        <f t="shared" ca="1" si="12"/>
        <v>0</v>
      </c>
      <c r="I93" s="3093" t="s">
        <v>6810</v>
      </c>
      <c r="J93" s="3072"/>
      <c r="K93" s="3090">
        <f t="shared" si="10"/>
        <v>1111613.68</v>
      </c>
      <c r="L93" s="3071" t="s">
        <v>6806</v>
      </c>
      <c r="M93" s="3093" t="s">
        <v>6810</v>
      </c>
      <c r="N93" s="3072"/>
      <c r="O93" s="3099"/>
      <c r="P93" s="3100"/>
      <c r="Q93" s="3100"/>
      <c r="R93" s="3100"/>
      <c r="S93" s="3101" t="s">
        <v>295</v>
      </c>
      <c r="T93" s="3101" t="s">
        <v>213</v>
      </c>
      <c r="U93" s="3102"/>
      <c r="V93" s="3102" t="s">
        <v>295</v>
      </c>
      <c r="W93" s="3102" t="s">
        <v>6804</v>
      </c>
      <c r="X93" s="3102" t="s">
        <v>6807</v>
      </c>
      <c r="Y93" s="3103" t="s">
        <v>164</v>
      </c>
    </row>
    <row r="94" spans="1:25" ht="36" hidden="1">
      <c r="A94" s="1304"/>
      <c r="B94" s="643">
        <v>1221</v>
      </c>
      <c r="C94" s="643" t="s">
        <v>600</v>
      </c>
      <c r="D94" s="3087">
        <v>2</v>
      </c>
      <c r="E94" s="3088" t="str">
        <f t="shared" si="8"/>
        <v>其他应收款</v>
      </c>
      <c r="F94" s="3089" t="s">
        <v>601</v>
      </c>
      <c r="G94" s="3090">
        <f t="shared" si="9"/>
        <v>8760929.7400000002</v>
      </c>
      <c r="H94" s="3091">
        <f t="shared" ca="1" si="12"/>
        <v>0</v>
      </c>
      <c r="I94" s="3093" t="s">
        <v>6810</v>
      </c>
      <c r="J94" s="3072"/>
      <c r="K94" s="3090">
        <f t="shared" si="10"/>
        <v>1111613.68</v>
      </c>
      <c r="L94" s="3071" t="s">
        <v>6806</v>
      </c>
      <c r="M94" s="3093" t="s">
        <v>6810</v>
      </c>
      <c r="N94" s="3072"/>
      <c r="O94" s="3099"/>
      <c r="P94" s="3100"/>
      <c r="Q94" s="3100"/>
      <c r="R94" s="3100"/>
      <c r="S94" s="3101" t="s">
        <v>295</v>
      </c>
      <c r="T94" s="3101" t="s">
        <v>213</v>
      </c>
      <c r="U94" s="3102"/>
      <c r="V94" s="3102" t="s">
        <v>295</v>
      </c>
      <c r="W94" s="3102" t="s">
        <v>6804</v>
      </c>
      <c r="X94" s="3102" t="s">
        <v>6807</v>
      </c>
      <c r="Y94" s="3103" t="s">
        <v>164</v>
      </c>
    </row>
    <row r="95" spans="1:25" ht="24" hidden="1">
      <c r="A95" s="1304"/>
      <c r="B95" s="643">
        <v>1221</v>
      </c>
      <c r="C95" s="643" t="s">
        <v>605</v>
      </c>
      <c r="D95" s="3087">
        <v>2</v>
      </c>
      <c r="E95" s="3088" t="str">
        <f t="shared" si="8"/>
        <v>其他应收款</v>
      </c>
      <c r="F95" s="3089" t="s">
        <v>606</v>
      </c>
      <c r="G95" s="3090">
        <f t="shared" si="9"/>
        <v>8760929.7400000002</v>
      </c>
      <c r="H95" s="3091">
        <f t="shared" ca="1" si="12"/>
        <v>0</v>
      </c>
      <c r="I95" s="3093" t="s">
        <v>6810</v>
      </c>
      <c r="J95" s="3072"/>
      <c r="K95" s="3090">
        <f t="shared" si="10"/>
        <v>1111613.68</v>
      </c>
      <c r="L95" s="3071" t="s">
        <v>6806</v>
      </c>
      <c r="M95" s="3093" t="s">
        <v>6810</v>
      </c>
      <c r="N95" s="3072"/>
      <c r="O95" s="3099"/>
      <c r="P95" s="3100"/>
      <c r="Q95" s="3100"/>
      <c r="R95" s="3100"/>
      <c r="S95" s="3101" t="s">
        <v>295</v>
      </c>
      <c r="T95" s="3101" t="s">
        <v>213</v>
      </c>
      <c r="U95" s="3102"/>
      <c r="V95" s="3102" t="s">
        <v>295</v>
      </c>
      <c r="W95" s="3102" t="s">
        <v>6804</v>
      </c>
      <c r="X95" s="3102" t="s">
        <v>6807</v>
      </c>
      <c r="Y95" s="3103" t="s">
        <v>164</v>
      </c>
    </row>
    <row r="96" spans="1:25" ht="24" hidden="1">
      <c r="A96" s="1304"/>
      <c r="B96" s="643">
        <v>1221</v>
      </c>
      <c r="C96" s="643" t="s">
        <v>609</v>
      </c>
      <c r="D96" s="3087">
        <v>2</v>
      </c>
      <c r="E96" s="3088" t="str">
        <f t="shared" si="8"/>
        <v>其他应收款</v>
      </c>
      <c r="F96" s="3089" t="s">
        <v>610</v>
      </c>
      <c r="G96" s="3090">
        <f t="shared" si="9"/>
        <v>8760929.7400000002</v>
      </c>
      <c r="H96" s="3091">
        <f t="shared" ca="1" si="12"/>
        <v>0</v>
      </c>
      <c r="I96" s="3093" t="s">
        <v>6810</v>
      </c>
      <c r="J96" s="3072"/>
      <c r="K96" s="3090">
        <f t="shared" si="10"/>
        <v>1111613.68</v>
      </c>
      <c r="L96" s="3071" t="s">
        <v>6806</v>
      </c>
      <c r="M96" s="3093" t="s">
        <v>6810</v>
      </c>
      <c r="N96" s="3072"/>
      <c r="O96" s="3099"/>
      <c r="P96" s="3100"/>
      <c r="Q96" s="3100"/>
      <c r="R96" s="3100"/>
      <c r="S96" s="3101" t="s">
        <v>295</v>
      </c>
      <c r="T96" s="3101" t="s">
        <v>213</v>
      </c>
      <c r="U96" s="3102"/>
      <c r="V96" s="3102" t="s">
        <v>295</v>
      </c>
      <c r="W96" s="3102" t="s">
        <v>6804</v>
      </c>
      <c r="X96" s="3102" t="s">
        <v>6807</v>
      </c>
      <c r="Y96" s="3103" t="s">
        <v>164</v>
      </c>
    </row>
    <row r="97" spans="1:25" ht="36" hidden="1">
      <c r="A97" s="1304"/>
      <c r="B97" s="643">
        <v>1221</v>
      </c>
      <c r="C97" s="643" t="s">
        <v>615</v>
      </c>
      <c r="D97" s="3087">
        <v>2</v>
      </c>
      <c r="E97" s="3088" t="str">
        <f t="shared" si="8"/>
        <v>其他应收款</v>
      </c>
      <c r="F97" s="3089" t="s">
        <v>616</v>
      </c>
      <c r="G97" s="3090">
        <f t="shared" si="9"/>
        <v>8760929.7400000002</v>
      </c>
      <c r="H97" s="3091">
        <f t="shared" ca="1" si="12"/>
        <v>0</v>
      </c>
      <c r="I97" s="3093" t="s">
        <v>6810</v>
      </c>
      <c r="J97" s="3072"/>
      <c r="K97" s="3090">
        <f t="shared" si="10"/>
        <v>1111613.68</v>
      </c>
      <c r="L97" s="3071" t="s">
        <v>6806</v>
      </c>
      <c r="M97" s="3093" t="s">
        <v>6810</v>
      </c>
      <c r="N97" s="3072"/>
      <c r="O97" s="3099"/>
      <c r="P97" s="3100"/>
      <c r="Q97" s="3100"/>
      <c r="R97" s="3100"/>
      <c r="S97" s="3101" t="s">
        <v>295</v>
      </c>
      <c r="T97" s="3101" t="s">
        <v>213</v>
      </c>
      <c r="U97" s="3102"/>
      <c r="V97" s="3102" t="s">
        <v>295</v>
      </c>
      <c r="W97" s="3102" t="s">
        <v>6804</v>
      </c>
      <c r="X97" s="3102" t="s">
        <v>6807</v>
      </c>
      <c r="Y97" s="3103" t="s">
        <v>164</v>
      </c>
    </row>
    <row r="98" spans="1:25" ht="18" hidden="1">
      <c r="A98" s="1304"/>
      <c r="B98" s="643">
        <v>1221</v>
      </c>
      <c r="C98" s="643" t="s">
        <v>629</v>
      </c>
      <c r="D98" s="3087">
        <v>2</v>
      </c>
      <c r="E98" s="3088" t="str">
        <f t="shared" si="8"/>
        <v>其他应收款</v>
      </c>
      <c r="F98" s="3089" t="s">
        <v>630</v>
      </c>
      <c r="G98" s="3090">
        <f t="shared" si="9"/>
        <v>8760929.7400000002</v>
      </c>
      <c r="H98" s="3091">
        <f t="shared" ca="1" si="12"/>
        <v>0</v>
      </c>
      <c r="I98" s="3093" t="s">
        <v>6810</v>
      </c>
      <c r="J98" s="3072"/>
      <c r="K98" s="3090">
        <f t="shared" si="10"/>
        <v>1111613.68</v>
      </c>
      <c r="L98" s="3071" t="s">
        <v>6806</v>
      </c>
      <c r="M98" s="3093" t="s">
        <v>6810</v>
      </c>
      <c r="N98" s="3072"/>
      <c r="O98" s="3099"/>
      <c r="P98" s="3100"/>
      <c r="Q98" s="3100"/>
      <c r="R98" s="3100"/>
      <c r="S98" s="3101" t="s">
        <v>295</v>
      </c>
      <c r="T98" s="3101" t="s">
        <v>213</v>
      </c>
      <c r="U98" s="3102"/>
      <c r="V98" s="3102" t="s">
        <v>295</v>
      </c>
      <c r="W98" s="3102" t="s">
        <v>6804</v>
      </c>
      <c r="X98" s="3102" t="s">
        <v>213</v>
      </c>
      <c r="Y98" s="3103" t="s">
        <v>164</v>
      </c>
    </row>
    <row r="99" spans="1:25" ht="24" hidden="1">
      <c r="A99" s="1304"/>
      <c r="B99" s="643">
        <v>1221</v>
      </c>
      <c r="C99" s="643" t="s">
        <v>654</v>
      </c>
      <c r="D99" s="3087">
        <v>2</v>
      </c>
      <c r="E99" s="3088" t="str">
        <f t="shared" si="8"/>
        <v>其他应收款</v>
      </c>
      <c r="F99" s="3089" t="s">
        <v>655</v>
      </c>
      <c r="G99" s="3090">
        <f t="shared" si="9"/>
        <v>8760929.7400000002</v>
      </c>
      <c r="H99" s="3091">
        <f t="shared" ca="1" si="12"/>
        <v>0</v>
      </c>
      <c r="I99" s="3093" t="s">
        <v>6810</v>
      </c>
      <c r="J99" s="3072"/>
      <c r="K99" s="3090">
        <f t="shared" si="10"/>
        <v>1111613.68</v>
      </c>
      <c r="L99" s="3071">
        <f ca="1">INDIRECT("Notes!CheckB"&amp;$C99)</f>
        <v>0</v>
      </c>
      <c r="M99" s="3093" t="s">
        <v>6810</v>
      </c>
      <c r="N99" s="3072"/>
      <c r="O99" s="3099"/>
      <c r="P99" s="3100"/>
      <c r="Q99" s="3100"/>
      <c r="R99" s="3100"/>
      <c r="S99" s="3101" t="s">
        <v>295</v>
      </c>
      <c r="T99" s="3101" t="s">
        <v>213</v>
      </c>
      <c r="U99" s="3102"/>
      <c r="V99" s="3102" t="s">
        <v>295</v>
      </c>
      <c r="W99" s="3102" t="s">
        <v>6804</v>
      </c>
      <c r="X99" s="3102" t="s">
        <v>213</v>
      </c>
      <c r="Y99" s="3103" t="s">
        <v>164</v>
      </c>
    </row>
    <row r="100" spans="1:25" ht="18" hidden="1">
      <c r="A100" s="1304"/>
      <c r="B100" s="643">
        <v>1221</v>
      </c>
      <c r="C100" s="643" t="s">
        <v>663</v>
      </c>
      <c r="D100" s="3087">
        <v>2</v>
      </c>
      <c r="E100" s="3088" t="str">
        <f t="shared" si="8"/>
        <v>其他应收款</v>
      </c>
      <c r="F100" s="3089" t="s">
        <v>664</v>
      </c>
      <c r="G100" s="3090">
        <f t="shared" si="9"/>
        <v>8760929.7400000002</v>
      </c>
      <c r="H100" s="3091">
        <f t="shared" ca="1" si="12"/>
        <v>0</v>
      </c>
      <c r="I100" s="3093" t="s">
        <v>6810</v>
      </c>
      <c r="J100" s="3072"/>
      <c r="K100" s="3090">
        <f t="shared" si="10"/>
        <v>1111613.68</v>
      </c>
      <c r="L100" s="3071">
        <f ca="1">INDIRECT("Notes!CheckB"&amp;$C100)</f>
        <v>0</v>
      </c>
      <c r="M100" s="3093" t="s">
        <v>6810</v>
      </c>
      <c r="N100" s="3072"/>
      <c r="O100" s="3099"/>
      <c r="P100" s="3100"/>
      <c r="Q100" s="3100"/>
      <c r="R100" s="3100"/>
      <c r="S100" s="3101" t="s">
        <v>295</v>
      </c>
      <c r="T100" s="3101" t="s">
        <v>213</v>
      </c>
      <c r="U100" s="3102"/>
      <c r="V100" s="3102" t="s">
        <v>295</v>
      </c>
      <c r="W100" s="3102" t="s">
        <v>6804</v>
      </c>
      <c r="X100" s="3102" t="s">
        <v>213</v>
      </c>
      <c r="Y100" s="3103" t="s">
        <v>164</v>
      </c>
    </row>
    <row r="101" spans="1:25" ht="18">
      <c r="A101" s="1304"/>
      <c r="B101" s="643">
        <v>1400</v>
      </c>
      <c r="C101" s="643" t="s">
        <v>668</v>
      </c>
      <c r="D101" s="3087">
        <v>1</v>
      </c>
      <c r="E101" s="3088" t="str">
        <f t="shared" si="8"/>
        <v>存货</v>
      </c>
      <c r="F101" s="3089" t="s">
        <v>669</v>
      </c>
      <c r="G101" s="3090">
        <f t="shared" si="9"/>
        <v>22601423.91</v>
      </c>
      <c r="H101" s="3091">
        <f t="shared" ca="1" si="12"/>
        <v>22601423.91</v>
      </c>
      <c r="I101" s="3093">
        <f ca="1">IF(AND(LEN(G101)&gt;0,LEN(H101)&gt;0),ROUND(SUM(G101)-SUM(H101),2),"")</f>
        <v>0</v>
      </c>
      <c r="J101" s="3072" t="str">
        <f ca="1">IF(ISNA(I101),"N/A",IF(I101=0,"√","？"))</f>
        <v>√</v>
      </c>
      <c r="K101" s="3090">
        <f t="shared" si="10"/>
        <v>33104385.260000002</v>
      </c>
      <c r="L101" s="3071">
        <f ca="1">INDIRECT("Notes!CheckB"&amp;$C101)</f>
        <v>33104385.260000002</v>
      </c>
      <c r="M101" s="3093">
        <f ca="1">IF(AND(LEN(K101)&gt;0,LEN(L101)&gt;0),ROUND(SUM(K101)-SUM(L101),2),"")</f>
        <v>0</v>
      </c>
      <c r="N101" s="3072" t="str">
        <f ca="1">IF(ISNA(M101),"N/A",IF(M101=0,"√","？"))</f>
        <v>√</v>
      </c>
      <c r="O101" s="3099"/>
      <c r="P101" s="3100"/>
      <c r="Q101" s="3100"/>
      <c r="R101" s="3100"/>
      <c r="S101" s="3101" t="s">
        <v>295</v>
      </c>
      <c r="T101" s="3101" t="s">
        <v>213</v>
      </c>
      <c r="U101" s="3102"/>
      <c r="V101" s="3102" t="s">
        <v>295</v>
      </c>
      <c r="W101" s="3102" t="s">
        <v>6804</v>
      </c>
      <c r="X101" s="3102" t="s">
        <v>6805</v>
      </c>
      <c r="Y101" s="3103" t="s">
        <v>164</v>
      </c>
    </row>
    <row r="102" spans="1:25" ht="24" hidden="1">
      <c r="A102" s="1304"/>
      <c r="B102" s="643">
        <v>1400</v>
      </c>
      <c r="C102" s="643" t="s">
        <v>674</v>
      </c>
      <c r="D102" s="3087">
        <v>2</v>
      </c>
      <c r="E102" s="3088" t="str">
        <f t="shared" si="8"/>
        <v>存货</v>
      </c>
      <c r="F102" s="3089" t="s">
        <v>675</v>
      </c>
      <c r="G102" s="3090">
        <f t="shared" si="9"/>
        <v>22601423.91</v>
      </c>
      <c r="H102" s="3091" t="s">
        <v>6806</v>
      </c>
      <c r="I102" s="3093" t="s">
        <v>6810</v>
      </c>
      <c r="J102" s="3072"/>
      <c r="K102" s="3090">
        <f t="shared" si="10"/>
        <v>33104385.260000002</v>
      </c>
      <c r="L102" s="3071" t="s">
        <v>6806</v>
      </c>
      <c r="M102" s="3093" t="s">
        <v>6810</v>
      </c>
      <c r="N102" s="3072"/>
      <c r="O102" s="3099"/>
      <c r="P102" s="3100"/>
      <c r="Q102" s="3100"/>
      <c r="R102" s="3100"/>
      <c r="S102" s="3101" t="s">
        <v>295</v>
      </c>
      <c r="T102" s="3101" t="s">
        <v>213</v>
      </c>
      <c r="U102" s="3102"/>
      <c r="V102" s="3102" t="s">
        <v>295</v>
      </c>
      <c r="W102" s="3102" t="s">
        <v>6804</v>
      </c>
      <c r="X102" s="3102" t="s">
        <v>6805</v>
      </c>
      <c r="Y102" s="3103" t="s">
        <v>164</v>
      </c>
    </row>
    <row r="103" spans="1:25" ht="36" hidden="1">
      <c r="A103" s="1304"/>
      <c r="B103" s="643">
        <v>1400</v>
      </c>
      <c r="C103" s="643" t="s">
        <v>678</v>
      </c>
      <c r="D103" s="3087">
        <v>2</v>
      </c>
      <c r="E103" s="3088" t="str">
        <f t="shared" si="8"/>
        <v>存货</v>
      </c>
      <c r="F103" s="3089" t="s">
        <v>679</v>
      </c>
      <c r="G103" s="3090">
        <f t="shared" si="9"/>
        <v>22601423.91</v>
      </c>
      <c r="H103" s="3091" t="s">
        <v>6806</v>
      </c>
      <c r="I103" s="3093" t="s">
        <v>6810</v>
      </c>
      <c r="J103" s="3072"/>
      <c r="K103" s="3090">
        <f t="shared" si="10"/>
        <v>33104385.260000002</v>
      </c>
      <c r="L103" s="3071" t="s">
        <v>6806</v>
      </c>
      <c r="M103" s="3093" t="s">
        <v>6810</v>
      </c>
      <c r="N103" s="3072"/>
      <c r="O103" s="3099"/>
      <c r="P103" s="3100"/>
      <c r="Q103" s="3100"/>
      <c r="R103" s="3100"/>
      <c r="S103" s="3101" t="s">
        <v>295</v>
      </c>
      <c r="T103" s="3101" t="s">
        <v>213</v>
      </c>
      <c r="U103" s="3102"/>
      <c r="V103" s="3102" t="s">
        <v>295</v>
      </c>
      <c r="W103" s="3102" t="s">
        <v>6804</v>
      </c>
      <c r="X103" s="3102" t="s">
        <v>213</v>
      </c>
      <c r="Y103" s="3103" t="s">
        <v>164</v>
      </c>
    </row>
    <row r="104" spans="1:25" ht="24" hidden="1">
      <c r="A104" s="1304"/>
      <c r="B104" s="643">
        <v>1400</v>
      </c>
      <c r="C104" s="643" t="s">
        <v>683</v>
      </c>
      <c r="D104" s="3087">
        <v>2</v>
      </c>
      <c r="E104" s="3088" t="str">
        <f t="shared" si="8"/>
        <v>存货</v>
      </c>
      <c r="F104" s="3089" t="s">
        <v>684</v>
      </c>
      <c r="G104" s="3090">
        <f t="shared" si="9"/>
        <v>22601423.91</v>
      </c>
      <c r="H104" s="3091">
        <f ca="1">INDIRECT("Notes!CheckA"&amp;$C104)</f>
        <v>0</v>
      </c>
      <c r="I104" s="3093" t="s">
        <v>6810</v>
      </c>
      <c r="J104" s="3072"/>
      <c r="K104" s="3090">
        <f t="shared" si="10"/>
        <v>33104385.260000002</v>
      </c>
      <c r="L104" s="3071" t="s">
        <v>6806</v>
      </c>
      <c r="M104" s="3093" t="s">
        <v>6810</v>
      </c>
      <c r="N104" s="3072"/>
      <c r="O104" s="3099"/>
      <c r="P104" s="3100"/>
      <c r="Q104" s="3100"/>
      <c r="R104" s="3100"/>
      <c r="S104" s="3101" t="s">
        <v>295</v>
      </c>
      <c r="T104" s="3101" t="s">
        <v>213</v>
      </c>
      <c r="U104" s="3102"/>
      <c r="V104" s="3102" t="s">
        <v>295</v>
      </c>
      <c r="W104" s="3102" t="s">
        <v>6804</v>
      </c>
      <c r="X104" s="3102" t="s">
        <v>6807</v>
      </c>
      <c r="Y104" s="3103" t="s">
        <v>164</v>
      </c>
    </row>
    <row r="105" spans="1:25" ht="18" hidden="1">
      <c r="A105" s="1304"/>
      <c r="B105" s="643">
        <v>1400</v>
      </c>
      <c r="C105" s="643" t="s">
        <v>691</v>
      </c>
      <c r="D105" s="3087">
        <v>2</v>
      </c>
      <c r="E105" s="3088" t="str">
        <f t="shared" si="8"/>
        <v>存货</v>
      </c>
      <c r="F105" s="3089" t="s">
        <v>692</v>
      </c>
      <c r="G105" s="3090">
        <f t="shared" si="9"/>
        <v>22601423.91</v>
      </c>
      <c r="H105" s="3091" t="s">
        <v>6806</v>
      </c>
      <c r="I105" s="3093" t="s">
        <v>6810</v>
      </c>
      <c r="J105" s="3072"/>
      <c r="K105" s="3090">
        <f t="shared" ref="K105:K136" si="13">IF(ISERROR(VLOOKUP($B105,Sheet_Trialbal,10,0)),"        ----",VLOOKUP($B105,Sheet_Trialbal,10,0))</f>
        <v>33104385.260000002</v>
      </c>
      <c r="L105" s="3071" t="s">
        <v>6806</v>
      </c>
      <c r="M105" s="3093" t="s">
        <v>6810</v>
      </c>
      <c r="N105" s="3072"/>
      <c r="O105" s="3099"/>
      <c r="P105" s="3100"/>
      <c r="Q105" s="3100"/>
      <c r="R105" s="3100"/>
      <c r="S105" s="3101" t="s">
        <v>295</v>
      </c>
      <c r="T105" s="3101" t="s">
        <v>213</v>
      </c>
      <c r="U105" s="3102"/>
      <c r="V105" s="3102" t="s">
        <v>295</v>
      </c>
      <c r="W105" s="3102" t="s">
        <v>6804</v>
      </c>
      <c r="X105" s="3102" t="s">
        <v>6808</v>
      </c>
      <c r="Y105" s="3103" t="s">
        <v>164</v>
      </c>
    </row>
    <row r="106" spans="1:25" ht="18" hidden="1">
      <c r="A106" s="1304"/>
      <c r="B106" s="643">
        <v>1400</v>
      </c>
      <c r="C106" s="643" t="s">
        <v>695</v>
      </c>
      <c r="D106" s="3087">
        <v>2</v>
      </c>
      <c r="E106" s="3088" t="str">
        <f t="shared" si="8"/>
        <v>存货</v>
      </c>
      <c r="F106" s="3089" t="s">
        <v>696</v>
      </c>
      <c r="G106" s="3090">
        <f t="shared" si="9"/>
        <v>22601423.91</v>
      </c>
      <c r="H106" s="3091" t="s">
        <v>6806</v>
      </c>
      <c r="I106" s="3093" t="s">
        <v>6810</v>
      </c>
      <c r="J106" s="3072"/>
      <c r="K106" s="3090">
        <f t="shared" si="13"/>
        <v>33104385.260000002</v>
      </c>
      <c r="L106" s="3071" t="s">
        <v>6806</v>
      </c>
      <c r="M106" s="3093" t="s">
        <v>6810</v>
      </c>
      <c r="N106" s="3072"/>
      <c r="O106" s="3099"/>
      <c r="P106" s="3100"/>
      <c r="Q106" s="3100"/>
      <c r="R106" s="3100"/>
      <c r="S106" s="3101" t="s">
        <v>295</v>
      </c>
      <c r="T106" s="3101" t="s">
        <v>213</v>
      </c>
      <c r="U106" s="3102"/>
      <c r="V106" s="3102" t="s">
        <v>295</v>
      </c>
      <c r="W106" s="3102" t="s">
        <v>6804</v>
      </c>
      <c r="X106" s="3102" t="s">
        <v>6808</v>
      </c>
      <c r="Y106" s="3103" t="s">
        <v>164</v>
      </c>
    </row>
    <row r="107" spans="1:25" ht="18" hidden="1">
      <c r="A107" s="1304"/>
      <c r="B107" s="643">
        <v>1400</v>
      </c>
      <c r="C107" s="643" t="s">
        <v>699</v>
      </c>
      <c r="D107" s="3087">
        <v>2</v>
      </c>
      <c r="E107" s="3088" t="str">
        <f t="shared" si="8"/>
        <v>存货</v>
      </c>
      <c r="F107" s="3089" t="s">
        <v>700</v>
      </c>
      <c r="G107" s="3090">
        <f t="shared" si="9"/>
        <v>22601423.91</v>
      </c>
      <c r="H107" s="3091" t="s">
        <v>6806</v>
      </c>
      <c r="I107" s="3093" t="s">
        <v>6810</v>
      </c>
      <c r="J107" s="3072"/>
      <c r="K107" s="3090">
        <f t="shared" si="13"/>
        <v>33104385.260000002</v>
      </c>
      <c r="L107" s="3071" t="s">
        <v>6806</v>
      </c>
      <c r="M107" s="3093" t="s">
        <v>6810</v>
      </c>
      <c r="N107" s="3072"/>
      <c r="O107" s="3099"/>
      <c r="P107" s="3100"/>
      <c r="Q107" s="3100"/>
      <c r="R107" s="3100"/>
      <c r="S107" s="3101" t="s">
        <v>295</v>
      </c>
      <c r="T107" s="3101" t="s">
        <v>213</v>
      </c>
      <c r="U107" s="3102"/>
      <c r="V107" s="3102" t="s">
        <v>295</v>
      </c>
      <c r="W107" s="3102" t="s">
        <v>6804</v>
      </c>
      <c r="X107" s="3102" t="s">
        <v>213</v>
      </c>
      <c r="Y107" s="3103" t="s">
        <v>164</v>
      </c>
    </row>
    <row r="108" spans="1:25" ht="24" hidden="1">
      <c r="A108" s="1304"/>
      <c r="B108" s="643">
        <v>1400</v>
      </c>
      <c r="C108" s="643" t="s">
        <v>703</v>
      </c>
      <c r="D108" s="3087">
        <v>2</v>
      </c>
      <c r="E108" s="3088" t="str">
        <f t="shared" si="8"/>
        <v>存货</v>
      </c>
      <c r="F108" s="3089" t="s">
        <v>704</v>
      </c>
      <c r="G108" s="3090">
        <f t="shared" si="9"/>
        <v>22601423.91</v>
      </c>
      <c r="H108" s="3091" t="s">
        <v>6806</v>
      </c>
      <c r="I108" s="3093" t="s">
        <v>6810</v>
      </c>
      <c r="J108" s="3072"/>
      <c r="K108" s="3090">
        <f t="shared" si="13"/>
        <v>33104385.260000002</v>
      </c>
      <c r="L108" s="3071" t="s">
        <v>6806</v>
      </c>
      <c r="M108" s="3093" t="s">
        <v>6810</v>
      </c>
      <c r="N108" s="3072"/>
      <c r="O108" s="3099"/>
      <c r="P108" s="3100"/>
      <c r="Q108" s="3100"/>
      <c r="R108" s="3100"/>
      <c r="S108" s="3101" t="s">
        <v>295</v>
      </c>
      <c r="T108" s="3101" t="s">
        <v>213</v>
      </c>
      <c r="U108" s="3102"/>
      <c r="V108" s="3102" t="s">
        <v>295</v>
      </c>
      <c r="W108" s="3102" t="s">
        <v>6804</v>
      </c>
      <c r="X108" s="3102" t="s">
        <v>213</v>
      </c>
      <c r="Y108" s="3103" t="s">
        <v>164</v>
      </c>
    </row>
    <row r="109" spans="1:25" ht="24" hidden="1">
      <c r="A109" s="1304"/>
      <c r="B109" s="643">
        <v>1400</v>
      </c>
      <c r="C109" s="643" t="s">
        <v>687</v>
      </c>
      <c r="D109" s="3087">
        <v>2</v>
      </c>
      <c r="E109" s="3088" t="str">
        <f t="shared" si="8"/>
        <v>存货</v>
      </c>
      <c r="F109" s="3089" t="s">
        <v>688</v>
      </c>
      <c r="G109" s="3090">
        <f t="shared" si="9"/>
        <v>22601423.91</v>
      </c>
      <c r="H109" s="3091" t="s">
        <v>6806</v>
      </c>
      <c r="I109" s="3093" t="s">
        <v>6810</v>
      </c>
      <c r="J109" s="3072"/>
      <c r="K109" s="3090">
        <f t="shared" si="13"/>
        <v>33104385.260000002</v>
      </c>
      <c r="L109" s="3071" t="s">
        <v>6806</v>
      </c>
      <c r="M109" s="3093" t="s">
        <v>6810</v>
      </c>
      <c r="N109" s="3072"/>
      <c r="O109" s="3099"/>
      <c r="P109" s="3100"/>
      <c r="Q109" s="3100"/>
      <c r="R109" s="3100"/>
      <c r="S109" s="3101" t="s">
        <v>295</v>
      </c>
      <c r="T109" s="3101" t="s">
        <v>213</v>
      </c>
      <c r="U109" s="3102"/>
      <c r="V109" s="3102" t="s">
        <v>295</v>
      </c>
      <c r="W109" s="3102" t="s">
        <v>6804</v>
      </c>
      <c r="X109" s="3102" t="s">
        <v>213</v>
      </c>
      <c r="Y109" s="3103" t="s">
        <v>164</v>
      </c>
    </row>
    <row r="110" spans="1:25" ht="18" hidden="1">
      <c r="A110" s="1304"/>
      <c r="B110" s="643">
        <v>1400</v>
      </c>
      <c r="C110" s="643" t="s">
        <v>709</v>
      </c>
      <c r="D110" s="3087">
        <v>2</v>
      </c>
      <c r="E110" s="3088" t="str">
        <f t="shared" si="8"/>
        <v>存货</v>
      </c>
      <c r="F110" s="3089" t="s">
        <v>710</v>
      </c>
      <c r="G110" s="3090">
        <f t="shared" si="9"/>
        <v>22601423.91</v>
      </c>
      <c r="H110" s="3091" t="s">
        <v>6806</v>
      </c>
      <c r="I110" s="3093" t="s">
        <v>6810</v>
      </c>
      <c r="J110" s="3072"/>
      <c r="K110" s="3090">
        <f t="shared" si="13"/>
        <v>33104385.260000002</v>
      </c>
      <c r="L110" s="3071" t="s">
        <v>6806</v>
      </c>
      <c r="M110" s="3093" t="s">
        <v>6810</v>
      </c>
      <c r="N110" s="3072"/>
      <c r="O110" s="3099"/>
      <c r="P110" s="3100"/>
      <c r="Q110" s="3100"/>
      <c r="R110" s="3100"/>
      <c r="S110" s="3101" t="s">
        <v>295</v>
      </c>
      <c r="T110" s="3101" t="s">
        <v>213</v>
      </c>
      <c r="U110" s="3102"/>
      <c r="V110" s="3102" t="s">
        <v>295</v>
      </c>
      <c r="W110" s="3102" t="s">
        <v>6804</v>
      </c>
      <c r="X110" s="3102" t="s">
        <v>213</v>
      </c>
      <c r="Y110" s="3103" t="s">
        <v>164</v>
      </c>
    </row>
    <row r="111" spans="1:25" ht="24" hidden="1">
      <c r="A111" s="1304"/>
      <c r="B111" s="643">
        <v>1315</v>
      </c>
      <c r="C111" s="643" t="s">
        <v>730</v>
      </c>
      <c r="D111" s="3087">
        <v>2</v>
      </c>
      <c r="E111" s="3088" t="str">
        <f t="shared" si="8"/>
        <v>持有待售资产</v>
      </c>
      <c r="F111" s="3089" t="s">
        <v>715</v>
      </c>
      <c r="G111" s="3090">
        <f t="shared" si="9"/>
        <v>0</v>
      </c>
      <c r="H111" s="3091">
        <f t="shared" ref="H111:H124" ca="1" si="14">INDIRECT("Notes!CheckA"&amp;$C111)</f>
        <v>0</v>
      </c>
      <c r="I111" s="3093" t="s">
        <v>6810</v>
      </c>
      <c r="J111" s="3072"/>
      <c r="K111" s="3090">
        <f t="shared" si="13"/>
        <v>0</v>
      </c>
      <c r="L111" s="3071" t="s">
        <v>6806</v>
      </c>
      <c r="M111" s="3093" t="s">
        <v>6810</v>
      </c>
      <c r="N111" s="3072"/>
      <c r="O111" s="3099"/>
      <c r="P111" s="3100"/>
      <c r="Q111" s="3100"/>
      <c r="R111" s="3100"/>
      <c r="S111" s="3101" t="s">
        <v>295</v>
      </c>
      <c r="T111" s="3101" t="s">
        <v>213</v>
      </c>
      <c r="U111" s="3102"/>
      <c r="V111" s="3102" t="s">
        <v>295</v>
      </c>
      <c r="W111" s="3102" t="s">
        <v>6804</v>
      </c>
      <c r="X111" s="3102" t="s">
        <v>6805</v>
      </c>
      <c r="Y111" s="3103" t="s">
        <v>164</v>
      </c>
    </row>
    <row r="112" spans="1:25" ht="24" hidden="1">
      <c r="A112" s="1304"/>
      <c r="B112" s="643">
        <v>1315</v>
      </c>
      <c r="C112" s="643" t="s">
        <v>721</v>
      </c>
      <c r="D112" s="3087">
        <v>2</v>
      </c>
      <c r="E112" s="3088" t="str">
        <f t="shared" si="8"/>
        <v>持有待售资产</v>
      </c>
      <c r="F112" s="3089" t="s">
        <v>722</v>
      </c>
      <c r="G112" s="3090">
        <f t="shared" si="9"/>
        <v>0</v>
      </c>
      <c r="H112" s="3091">
        <f t="shared" ca="1" si="14"/>
        <v>0</v>
      </c>
      <c r="I112" s="3093" t="s">
        <v>6810</v>
      </c>
      <c r="J112" s="3072"/>
      <c r="K112" s="3090">
        <f t="shared" si="13"/>
        <v>0</v>
      </c>
      <c r="L112" s="3071">
        <f t="shared" ref="L112:L118" ca="1" si="15">INDIRECT("Notes!CheckB"&amp;$C112)</f>
        <v>0</v>
      </c>
      <c r="M112" s="3093" t="s">
        <v>6810</v>
      </c>
      <c r="N112" s="3072"/>
      <c r="O112" s="3099"/>
      <c r="P112" s="3100"/>
      <c r="Q112" s="3100"/>
      <c r="R112" s="3100"/>
      <c r="S112" s="3101" t="s">
        <v>295</v>
      </c>
      <c r="T112" s="3101" t="s">
        <v>213</v>
      </c>
      <c r="U112" s="3102"/>
      <c r="V112" s="3102" t="s">
        <v>295</v>
      </c>
      <c r="W112" s="3102" t="s">
        <v>145</v>
      </c>
      <c r="X112" s="3102" t="s">
        <v>6807</v>
      </c>
      <c r="Y112" s="3103" t="s">
        <v>164</v>
      </c>
    </row>
    <row r="113" spans="1:25" ht="24">
      <c r="A113" s="1304"/>
      <c r="B113" s="643">
        <v>1495</v>
      </c>
      <c r="C113" s="643" t="s">
        <v>747</v>
      </c>
      <c r="D113" s="3087">
        <v>1</v>
      </c>
      <c r="E113" s="3088" t="str">
        <f t="shared" si="8"/>
        <v>一年内到期的非流动资产</v>
      </c>
      <c r="F113" s="3089" t="s">
        <v>748</v>
      </c>
      <c r="G113" s="3090">
        <f t="shared" si="9"/>
        <v>0</v>
      </c>
      <c r="H113" s="3091">
        <f t="shared" ca="1" si="14"/>
        <v>0</v>
      </c>
      <c r="I113" s="3093">
        <f ca="1">IF(AND(LEN(G113)&gt;0,LEN(H113)&gt;0),ROUND(SUM(G113)-SUM(H113),2),"")</f>
        <v>0</v>
      </c>
      <c r="J113" s="3072" t="str">
        <f ca="1">IF(ISNA(I113),"N/A",IF(I113=0,"√","？"))</f>
        <v>√</v>
      </c>
      <c r="K113" s="3090">
        <f t="shared" si="13"/>
        <v>0</v>
      </c>
      <c r="L113" s="3071">
        <f t="shared" ca="1" si="15"/>
        <v>0</v>
      </c>
      <c r="M113" s="3093">
        <f ca="1">IF(AND(LEN(K113)&gt;0,LEN(L113)&gt;0),ROUND(SUM(K113)-SUM(L113),2),"")</f>
        <v>0</v>
      </c>
      <c r="N113" s="3072" t="str">
        <f ca="1">IF(ISNA(M113),"N/A",IF(M113=0,"√","？"))</f>
        <v>√</v>
      </c>
      <c r="O113" s="3099"/>
      <c r="P113" s="3100"/>
      <c r="Q113" s="3100"/>
      <c r="R113" s="3100"/>
      <c r="S113" s="3101" t="s">
        <v>295</v>
      </c>
      <c r="T113" s="3101" t="s">
        <v>213</v>
      </c>
      <c r="U113" s="3102"/>
      <c r="V113" s="3102" t="s">
        <v>295</v>
      </c>
      <c r="W113" s="3102" t="s">
        <v>6804</v>
      </c>
      <c r="X113" s="3102" t="s">
        <v>6805</v>
      </c>
      <c r="Y113" s="3103" t="s">
        <v>164</v>
      </c>
    </row>
    <row r="114" spans="1:25" ht="36" hidden="1">
      <c r="A114" s="1304"/>
      <c r="B114" s="643">
        <v>1495</v>
      </c>
      <c r="C114" s="643" t="s">
        <v>752</v>
      </c>
      <c r="D114" s="3087">
        <v>2</v>
      </c>
      <c r="E114" s="3088" t="str">
        <f t="shared" si="8"/>
        <v>一年内到期的非流动资产</v>
      </c>
      <c r="F114" s="3089" t="s">
        <v>753</v>
      </c>
      <c r="G114" s="3090">
        <f t="shared" si="9"/>
        <v>0</v>
      </c>
      <c r="H114" s="3091">
        <f t="shared" ca="1" si="14"/>
        <v>0</v>
      </c>
      <c r="I114" s="3093" t="s">
        <v>6810</v>
      </c>
      <c r="J114" s="3072"/>
      <c r="K114" s="3090">
        <f t="shared" si="13"/>
        <v>0</v>
      </c>
      <c r="L114" s="3071">
        <f t="shared" ca="1" si="15"/>
        <v>0</v>
      </c>
      <c r="M114" s="3093" t="s">
        <v>6810</v>
      </c>
      <c r="N114" s="3072"/>
      <c r="O114" s="3099"/>
      <c r="P114" s="3100"/>
      <c r="Q114" s="3100"/>
      <c r="R114" s="3100"/>
      <c r="S114" s="3101" t="s">
        <v>295</v>
      </c>
      <c r="T114" s="3101" t="s">
        <v>213</v>
      </c>
      <c r="U114" s="3102"/>
      <c r="V114" s="3102" t="s">
        <v>295</v>
      </c>
      <c r="W114" s="3102" t="s">
        <v>145</v>
      </c>
      <c r="X114" s="3102" t="s">
        <v>6807</v>
      </c>
      <c r="Y114" s="3103" t="s">
        <v>119</v>
      </c>
    </row>
    <row r="115" spans="1:25" ht="18">
      <c r="A115" s="1304"/>
      <c r="B115" s="643">
        <v>1496</v>
      </c>
      <c r="C115" s="643" t="s">
        <v>756</v>
      </c>
      <c r="D115" s="3087">
        <v>1</v>
      </c>
      <c r="E115" s="3088" t="str">
        <f t="shared" si="8"/>
        <v>其他流动资产</v>
      </c>
      <c r="F115" s="3089" t="s">
        <v>757</v>
      </c>
      <c r="G115" s="3090">
        <f t="shared" si="9"/>
        <v>0</v>
      </c>
      <c r="H115" s="3091">
        <f t="shared" ca="1" si="14"/>
        <v>0</v>
      </c>
      <c r="I115" s="3093">
        <f ca="1">IF(AND(LEN(G115)&gt;0,LEN(H115)&gt;0),ROUND(SUM(G115)-SUM(H115),2),"")</f>
        <v>0</v>
      </c>
      <c r="J115" s="3072" t="str">
        <f ca="1">IF(ISNA(I115),"N/A",IF(I115=0,"√","？"))</f>
        <v>√</v>
      </c>
      <c r="K115" s="3090">
        <f t="shared" si="13"/>
        <v>0</v>
      </c>
      <c r="L115" s="3071">
        <f t="shared" ca="1" si="15"/>
        <v>0</v>
      </c>
      <c r="M115" s="3093">
        <f ca="1">IF(AND(LEN(K115)&gt;0,LEN(L115)&gt;0),ROUND(SUM(K115)-SUM(L115),2),"")</f>
        <v>0</v>
      </c>
      <c r="N115" s="3072" t="str">
        <f ca="1">IF(ISNA(M115),"N/A",IF(M115=0,"√","？"))</f>
        <v>√</v>
      </c>
      <c r="O115" s="3099"/>
      <c r="P115" s="3100"/>
      <c r="Q115" s="3100"/>
      <c r="R115" s="3100"/>
      <c r="S115" s="3101" t="s">
        <v>295</v>
      </c>
      <c r="T115" s="3101" t="s">
        <v>213</v>
      </c>
      <c r="U115" s="3102"/>
      <c r="V115" s="3102" t="s">
        <v>295</v>
      </c>
      <c r="W115" s="3102" t="s">
        <v>6804</v>
      </c>
      <c r="X115" s="3102" t="s">
        <v>6805</v>
      </c>
      <c r="Y115" s="3103" t="s">
        <v>164</v>
      </c>
    </row>
    <row r="116" spans="1:25" ht="18">
      <c r="A116" s="1304"/>
      <c r="B116" s="643">
        <v>1505</v>
      </c>
      <c r="C116" s="643" t="s">
        <v>762</v>
      </c>
      <c r="D116" s="3087">
        <v>1</v>
      </c>
      <c r="E116" s="3088" t="str">
        <f t="shared" si="8"/>
        <v>债权投资</v>
      </c>
      <c r="F116" s="3089" t="s">
        <v>763</v>
      </c>
      <c r="G116" s="3090">
        <f t="shared" si="9"/>
        <v>0</v>
      </c>
      <c r="H116" s="3091">
        <f t="shared" ca="1" si="14"/>
        <v>0</v>
      </c>
      <c r="I116" s="3093">
        <f ca="1">IF(AND(LEN(G116)&gt;0,LEN(H116)&gt;0),ROUND(SUM(G116)-SUM(H116),2),"")</f>
        <v>0</v>
      </c>
      <c r="J116" s="3072" t="str">
        <f ca="1">IF(ISNA(I116),"N/A",IF(I116=0,"√","？"))</f>
        <v>√</v>
      </c>
      <c r="K116" s="3090">
        <f t="shared" si="13"/>
        <v>0</v>
      </c>
      <c r="L116" s="3071">
        <f t="shared" ca="1" si="15"/>
        <v>0</v>
      </c>
      <c r="M116" s="3093">
        <f ca="1">IF(AND(LEN(K116)&gt;0,LEN(L116)&gt;0),ROUND(SUM(K116)-SUM(L116),2),"")</f>
        <v>0</v>
      </c>
      <c r="N116" s="3072" t="str">
        <f ca="1">IF(ISNA(M116),"N/A",IF(M116=0,"√","？"))</f>
        <v>√</v>
      </c>
      <c r="O116" s="3099"/>
      <c r="P116" s="3100"/>
      <c r="Q116" s="3100"/>
      <c r="R116" s="3100"/>
      <c r="S116" s="3101" t="s">
        <v>295</v>
      </c>
      <c r="T116" s="3101" t="s">
        <v>213</v>
      </c>
      <c r="U116" s="3102"/>
      <c r="V116" s="3102" t="s">
        <v>295</v>
      </c>
      <c r="W116" s="3102" t="s">
        <v>145</v>
      </c>
      <c r="X116" s="3102" t="s">
        <v>6807</v>
      </c>
      <c r="Y116" s="3103" t="s">
        <v>119</v>
      </c>
    </row>
    <row r="117" spans="1:25" ht="18" hidden="1">
      <c r="A117" s="1304"/>
      <c r="B117" s="643">
        <v>1505</v>
      </c>
      <c r="C117" s="643" t="s">
        <v>768</v>
      </c>
      <c r="D117" s="3087">
        <v>2</v>
      </c>
      <c r="E117" s="3088" t="str">
        <f t="shared" si="8"/>
        <v>债权投资</v>
      </c>
      <c r="F117" s="3089" t="s">
        <v>769</v>
      </c>
      <c r="G117" s="3090">
        <f t="shared" si="9"/>
        <v>0</v>
      </c>
      <c r="H117" s="3091">
        <f t="shared" ca="1" si="14"/>
        <v>0</v>
      </c>
      <c r="I117" s="3093" t="s">
        <v>6810</v>
      </c>
      <c r="J117" s="3072"/>
      <c r="K117" s="3090">
        <f t="shared" si="13"/>
        <v>0</v>
      </c>
      <c r="L117" s="3071">
        <f t="shared" ca="1" si="15"/>
        <v>0</v>
      </c>
      <c r="M117" s="3093" t="s">
        <v>6810</v>
      </c>
      <c r="N117" s="3072"/>
      <c r="O117" s="3099"/>
      <c r="P117" s="3100"/>
      <c r="Q117" s="3100"/>
      <c r="R117" s="3100"/>
      <c r="S117" s="3101" t="s">
        <v>295</v>
      </c>
      <c r="T117" s="3101" t="s">
        <v>213</v>
      </c>
      <c r="U117" s="3102"/>
      <c r="V117" s="3102" t="s">
        <v>295</v>
      </c>
      <c r="W117" s="3102" t="s">
        <v>145</v>
      </c>
      <c r="X117" s="3102" t="s">
        <v>6807</v>
      </c>
      <c r="Y117" s="3103" t="s">
        <v>119</v>
      </c>
    </row>
    <row r="118" spans="1:25" ht="36" hidden="1">
      <c r="A118" s="1304"/>
      <c r="B118" s="643">
        <v>1505</v>
      </c>
      <c r="C118" s="643" t="s">
        <v>773</v>
      </c>
      <c r="D118" s="3087">
        <v>2</v>
      </c>
      <c r="E118" s="3088" t="str">
        <f t="shared" si="8"/>
        <v>债权投资</v>
      </c>
      <c r="F118" s="3089" t="s">
        <v>6435</v>
      </c>
      <c r="G118" s="3090">
        <f t="shared" si="9"/>
        <v>0</v>
      </c>
      <c r="H118" s="3091">
        <f t="shared" ca="1" si="14"/>
        <v>0</v>
      </c>
      <c r="I118" s="3093" t="s">
        <v>6810</v>
      </c>
      <c r="J118" s="3072"/>
      <c r="K118" s="3090">
        <f t="shared" si="13"/>
        <v>0</v>
      </c>
      <c r="L118" s="3071">
        <f t="shared" ca="1" si="15"/>
        <v>0</v>
      </c>
      <c r="M118" s="3093" t="s">
        <v>6810</v>
      </c>
      <c r="N118" s="3072"/>
      <c r="O118" s="3099"/>
      <c r="P118" s="3100"/>
      <c r="Q118" s="3100"/>
      <c r="R118" s="3100"/>
      <c r="S118" s="3101" t="s">
        <v>295</v>
      </c>
      <c r="T118" s="3101" t="s">
        <v>213</v>
      </c>
      <c r="U118" s="3102"/>
      <c r="V118" s="3102" t="s">
        <v>295</v>
      </c>
      <c r="W118" s="3102" t="s">
        <v>145</v>
      </c>
      <c r="X118" s="3102" t="s">
        <v>6807</v>
      </c>
      <c r="Y118" s="3103" t="s">
        <v>119</v>
      </c>
    </row>
    <row r="119" spans="1:25" ht="24" hidden="1">
      <c r="A119" s="1304"/>
      <c r="B119" s="643">
        <v>1505</v>
      </c>
      <c r="C119" s="643" t="s">
        <v>788</v>
      </c>
      <c r="D119" s="3087">
        <v>2</v>
      </c>
      <c r="E119" s="3088" t="str">
        <f t="shared" si="8"/>
        <v>债权投资</v>
      </c>
      <c r="F119" s="3089" t="s">
        <v>789</v>
      </c>
      <c r="G119" s="3090">
        <f t="shared" si="9"/>
        <v>0</v>
      </c>
      <c r="H119" s="3091">
        <f t="shared" ca="1" si="14"/>
        <v>0</v>
      </c>
      <c r="I119" s="3093" t="s">
        <v>6810</v>
      </c>
      <c r="J119" s="3072"/>
      <c r="K119" s="3090">
        <f t="shared" si="13"/>
        <v>0</v>
      </c>
      <c r="L119" s="3071" t="s">
        <v>6806</v>
      </c>
      <c r="M119" s="3093" t="s">
        <v>6810</v>
      </c>
      <c r="N119" s="3072"/>
      <c r="O119" s="3099"/>
      <c r="P119" s="3100"/>
      <c r="Q119" s="3100"/>
      <c r="R119" s="3100"/>
      <c r="S119" s="3101" t="s">
        <v>295</v>
      </c>
      <c r="T119" s="3101" t="s">
        <v>213</v>
      </c>
      <c r="U119" s="3102"/>
      <c r="V119" s="3102" t="s">
        <v>295</v>
      </c>
      <c r="W119" s="3102" t="s">
        <v>145</v>
      </c>
      <c r="X119" s="3102" t="s">
        <v>6807</v>
      </c>
      <c r="Y119" s="3103" t="s">
        <v>119</v>
      </c>
    </row>
    <row r="120" spans="1:25" ht="24" hidden="1">
      <c r="A120" s="1304"/>
      <c r="B120" s="643">
        <v>1505</v>
      </c>
      <c r="C120" s="643" t="s">
        <v>792</v>
      </c>
      <c r="D120" s="3087">
        <v>2</v>
      </c>
      <c r="E120" s="3088" t="str">
        <f t="shared" si="8"/>
        <v>债权投资</v>
      </c>
      <c r="F120" s="3089" t="s">
        <v>793</v>
      </c>
      <c r="G120" s="3090">
        <f t="shared" si="9"/>
        <v>0</v>
      </c>
      <c r="H120" s="3091">
        <f t="shared" ca="1" si="14"/>
        <v>0</v>
      </c>
      <c r="I120" s="3093" t="s">
        <v>6810</v>
      </c>
      <c r="J120" s="3072"/>
      <c r="K120" s="3090">
        <f t="shared" si="13"/>
        <v>0</v>
      </c>
      <c r="L120" s="3071" t="s">
        <v>6806</v>
      </c>
      <c r="M120" s="3093" t="s">
        <v>6810</v>
      </c>
      <c r="N120" s="3072"/>
      <c r="O120" s="3099"/>
      <c r="P120" s="3100"/>
      <c r="Q120" s="3100"/>
      <c r="R120" s="3100"/>
      <c r="S120" s="3101" t="s">
        <v>295</v>
      </c>
      <c r="T120" s="3101" t="s">
        <v>213</v>
      </c>
      <c r="U120" s="3102"/>
      <c r="V120" s="3102" t="s">
        <v>295</v>
      </c>
      <c r="W120" s="3102" t="s">
        <v>145</v>
      </c>
      <c r="X120" s="3102" t="s">
        <v>6807</v>
      </c>
      <c r="Y120" s="3103" t="s">
        <v>119</v>
      </c>
    </row>
    <row r="121" spans="1:25" ht="24" hidden="1">
      <c r="A121" s="1304"/>
      <c r="B121" s="643">
        <v>1505</v>
      </c>
      <c r="C121" s="643" t="s">
        <v>795</v>
      </c>
      <c r="D121" s="3087">
        <v>2</v>
      </c>
      <c r="E121" s="3088" t="str">
        <f t="shared" si="8"/>
        <v>债权投资</v>
      </c>
      <c r="F121" s="3089" t="s">
        <v>796</v>
      </c>
      <c r="G121" s="3090">
        <f t="shared" si="9"/>
        <v>0</v>
      </c>
      <c r="H121" s="3091">
        <f t="shared" ca="1" si="14"/>
        <v>0</v>
      </c>
      <c r="I121" s="3093" t="s">
        <v>6810</v>
      </c>
      <c r="J121" s="3072"/>
      <c r="K121" s="3090">
        <f t="shared" si="13"/>
        <v>0</v>
      </c>
      <c r="L121" s="3071" t="s">
        <v>6806</v>
      </c>
      <c r="M121" s="3093" t="s">
        <v>6810</v>
      </c>
      <c r="N121" s="3072"/>
      <c r="O121" s="3099"/>
      <c r="P121" s="3100"/>
      <c r="Q121" s="3100"/>
      <c r="R121" s="3100"/>
      <c r="S121" s="3101" t="s">
        <v>295</v>
      </c>
      <c r="T121" s="3101" t="s">
        <v>213</v>
      </c>
      <c r="U121" s="3102"/>
      <c r="V121" s="3102" t="s">
        <v>295</v>
      </c>
      <c r="W121" s="3102" t="s">
        <v>145</v>
      </c>
      <c r="X121" s="3102" t="s">
        <v>6807</v>
      </c>
      <c r="Y121" s="3103" t="s">
        <v>119</v>
      </c>
    </row>
    <row r="122" spans="1:25" ht="24" hidden="1">
      <c r="A122" s="1304"/>
      <c r="B122" s="643">
        <v>1505</v>
      </c>
      <c r="C122" s="643" t="s">
        <v>799</v>
      </c>
      <c r="D122" s="3087">
        <v>2</v>
      </c>
      <c r="E122" s="3088" t="str">
        <f t="shared" si="8"/>
        <v>债权投资</v>
      </c>
      <c r="F122" s="3089" t="s">
        <v>785</v>
      </c>
      <c r="G122" s="3090">
        <f t="shared" si="9"/>
        <v>0</v>
      </c>
      <c r="H122" s="3091">
        <f t="shared" ca="1" si="14"/>
        <v>0</v>
      </c>
      <c r="I122" s="3093" t="s">
        <v>6810</v>
      </c>
      <c r="J122" s="3072"/>
      <c r="K122" s="3090">
        <f t="shared" si="13"/>
        <v>0</v>
      </c>
      <c r="L122" s="3071">
        <f ca="1">INDIRECT("Notes!CheckB"&amp;$C122)</f>
        <v>0</v>
      </c>
      <c r="M122" s="3093" t="s">
        <v>6810</v>
      </c>
      <c r="N122" s="3072"/>
      <c r="O122" s="3099"/>
      <c r="P122" s="3100"/>
      <c r="Q122" s="3100"/>
      <c r="R122" s="3100"/>
      <c r="S122" s="3101" t="s">
        <v>295</v>
      </c>
      <c r="T122" s="3101" t="s">
        <v>213</v>
      </c>
      <c r="U122" s="3102"/>
      <c r="V122" s="3102" t="s">
        <v>295</v>
      </c>
      <c r="W122" s="3102" t="s">
        <v>145</v>
      </c>
      <c r="X122" s="3102" t="s">
        <v>6807</v>
      </c>
      <c r="Y122" s="3103" t="s">
        <v>119</v>
      </c>
    </row>
    <row r="123" spans="1:25" ht="36" hidden="1">
      <c r="A123" s="1304"/>
      <c r="B123" s="643">
        <v>1505</v>
      </c>
      <c r="C123" s="643" t="s">
        <v>784</v>
      </c>
      <c r="D123" s="3087">
        <v>2</v>
      </c>
      <c r="E123" s="3088" t="str">
        <f t="shared" si="8"/>
        <v>债权投资</v>
      </c>
      <c r="F123" s="3089" t="s">
        <v>5959</v>
      </c>
      <c r="G123" s="3090">
        <f t="shared" si="9"/>
        <v>0</v>
      </c>
      <c r="H123" s="3091">
        <f t="shared" ca="1" si="14"/>
        <v>0</v>
      </c>
      <c r="I123" s="3093" t="s">
        <v>6810</v>
      </c>
      <c r="J123" s="3072"/>
      <c r="K123" s="3090">
        <f t="shared" si="13"/>
        <v>0</v>
      </c>
      <c r="L123" s="3071" t="s">
        <v>6806</v>
      </c>
      <c r="M123" s="3093" t="s">
        <v>6810</v>
      </c>
      <c r="N123" s="3072"/>
      <c r="O123" s="3099"/>
      <c r="P123" s="3100"/>
      <c r="Q123" s="3100"/>
      <c r="R123" s="3100"/>
      <c r="S123" s="3101" t="s">
        <v>295</v>
      </c>
      <c r="T123" s="3101" t="s">
        <v>213</v>
      </c>
      <c r="U123" s="3102"/>
      <c r="V123" s="3102" t="s">
        <v>295</v>
      </c>
      <c r="W123" s="3102" t="s">
        <v>145</v>
      </c>
      <c r="X123" s="3102" t="s">
        <v>6807</v>
      </c>
      <c r="Y123" s="3103" t="s">
        <v>119</v>
      </c>
    </row>
    <row r="124" spans="1:25" ht="18">
      <c r="A124" s="1304"/>
      <c r="B124" s="643">
        <v>1503</v>
      </c>
      <c r="C124" s="643" t="s">
        <v>804</v>
      </c>
      <c r="D124" s="3087">
        <v>1</v>
      </c>
      <c r="E124" s="3088" t="str">
        <f t="shared" si="8"/>
        <v>可供出售金融资产</v>
      </c>
      <c r="F124" s="3089" t="s">
        <v>805</v>
      </c>
      <c r="G124" s="3090">
        <f t="shared" si="9"/>
        <v>0</v>
      </c>
      <c r="H124" s="3091">
        <f t="shared" ca="1" si="14"/>
        <v>0</v>
      </c>
      <c r="I124" s="3093">
        <f ca="1">IF(AND(LEN(G124)&gt;0,LEN(H124)&gt;0),ROUND(SUM(G124)-SUM(H124),2),"")</f>
        <v>0</v>
      </c>
      <c r="J124" s="3072" t="str">
        <f ca="1">IF(ISNA(I124),"N/A",IF(I124=0,"√","？"))</f>
        <v>√</v>
      </c>
      <c r="K124" s="3090">
        <f t="shared" si="13"/>
        <v>3003000</v>
      </c>
      <c r="L124" s="3071">
        <f ca="1">INDIRECT("Notes!CheckB"&amp;$C124)</f>
        <v>3003000</v>
      </c>
      <c r="M124" s="3093">
        <f ca="1">IF(AND(LEN(K124)&gt;0,LEN(L124)&gt;0),ROUND(SUM(K124)-SUM(L124),2),"")</f>
        <v>0</v>
      </c>
      <c r="N124" s="3072" t="str">
        <f ca="1">IF(ISNA(M124),"N/A",IF(M124=0,"√","？"))</f>
        <v>√</v>
      </c>
      <c r="O124" s="3099"/>
      <c r="P124" s="3100"/>
      <c r="Q124" s="3100"/>
      <c r="R124" s="3100"/>
      <c r="S124" s="3101" t="s">
        <v>295</v>
      </c>
      <c r="T124" s="3101" t="s">
        <v>213</v>
      </c>
      <c r="U124" s="3102"/>
      <c r="V124" s="3102" t="s">
        <v>295</v>
      </c>
      <c r="W124" s="3102" t="s">
        <v>6804</v>
      </c>
      <c r="X124" s="3102" t="s">
        <v>6805</v>
      </c>
      <c r="Y124" s="3103" t="s">
        <v>164</v>
      </c>
    </row>
    <row r="125" spans="1:25" ht="24" hidden="1">
      <c r="A125" s="1304"/>
      <c r="B125" s="643">
        <v>1503</v>
      </c>
      <c r="C125" s="643" t="s">
        <v>830</v>
      </c>
      <c r="D125" s="3087">
        <v>2</v>
      </c>
      <c r="E125" s="3088" t="str">
        <f t="shared" si="8"/>
        <v>可供出售金融资产</v>
      </c>
      <c r="F125" s="3089" t="s">
        <v>831</v>
      </c>
      <c r="G125" s="3090">
        <f t="shared" si="9"/>
        <v>0</v>
      </c>
      <c r="H125" s="3091" t="s">
        <v>6806</v>
      </c>
      <c r="I125" s="3093" t="s">
        <v>6810</v>
      </c>
      <c r="J125" s="3072"/>
      <c r="K125" s="3090">
        <f t="shared" si="13"/>
        <v>3003000</v>
      </c>
      <c r="L125" s="3071" t="s">
        <v>6806</v>
      </c>
      <c r="M125" s="3093" t="s">
        <v>6810</v>
      </c>
      <c r="N125" s="3072"/>
      <c r="O125" s="3099"/>
      <c r="P125" s="3100"/>
      <c r="Q125" s="3100"/>
      <c r="R125" s="3100"/>
      <c r="S125" s="3101" t="s">
        <v>295</v>
      </c>
      <c r="T125" s="3101" t="s">
        <v>213</v>
      </c>
      <c r="U125" s="3102"/>
      <c r="V125" s="3102" t="s">
        <v>295</v>
      </c>
      <c r="W125" s="3102" t="s">
        <v>145</v>
      </c>
      <c r="X125" s="3102" t="s">
        <v>6807</v>
      </c>
      <c r="Y125" s="3103" t="s">
        <v>164</v>
      </c>
    </row>
    <row r="126" spans="1:25" ht="24" hidden="1">
      <c r="A126" s="1304"/>
      <c r="B126" s="643">
        <v>1503</v>
      </c>
      <c r="C126" s="643" t="s">
        <v>813</v>
      </c>
      <c r="D126" s="3087">
        <v>2</v>
      </c>
      <c r="E126" s="3088" t="str">
        <f t="shared" si="8"/>
        <v>可供出售金融资产</v>
      </c>
      <c r="F126" s="3089" t="s">
        <v>814</v>
      </c>
      <c r="G126" s="3090">
        <f t="shared" si="9"/>
        <v>0</v>
      </c>
      <c r="H126" s="3091" t="s">
        <v>6806</v>
      </c>
      <c r="I126" s="3093" t="s">
        <v>6810</v>
      </c>
      <c r="J126" s="3072"/>
      <c r="K126" s="3090">
        <f t="shared" si="13"/>
        <v>3003000</v>
      </c>
      <c r="L126" s="3071" t="s">
        <v>6806</v>
      </c>
      <c r="M126" s="3093" t="s">
        <v>6810</v>
      </c>
      <c r="N126" s="3072"/>
      <c r="O126" s="3099"/>
      <c r="P126" s="3100"/>
      <c r="Q126" s="3100"/>
      <c r="R126" s="3100"/>
      <c r="S126" s="3101" t="s">
        <v>295</v>
      </c>
      <c r="T126" s="3101" t="s">
        <v>213</v>
      </c>
      <c r="U126" s="3102"/>
      <c r="V126" s="3102" t="s">
        <v>295</v>
      </c>
      <c r="W126" s="3102" t="s">
        <v>145</v>
      </c>
      <c r="X126" s="3102" t="s">
        <v>6807</v>
      </c>
      <c r="Y126" s="3103" t="s">
        <v>164</v>
      </c>
    </row>
    <row r="127" spans="1:25" ht="24" hidden="1">
      <c r="A127" s="1304"/>
      <c r="B127" s="643">
        <v>1503</v>
      </c>
      <c r="C127" s="643" t="s">
        <v>817</v>
      </c>
      <c r="D127" s="3087">
        <v>2</v>
      </c>
      <c r="E127" s="3088" t="str">
        <f t="shared" si="8"/>
        <v>可供出售金融资产</v>
      </c>
      <c r="F127" s="3089" t="s">
        <v>818</v>
      </c>
      <c r="G127" s="3090">
        <f t="shared" si="9"/>
        <v>0</v>
      </c>
      <c r="H127" s="3091" t="s">
        <v>6806</v>
      </c>
      <c r="I127" s="3093" t="s">
        <v>6810</v>
      </c>
      <c r="J127" s="3072"/>
      <c r="K127" s="3090">
        <f t="shared" si="13"/>
        <v>3003000</v>
      </c>
      <c r="L127" s="3071" t="s">
        <v>6806</v>
      </c>
      <c r="M127" s="3093" t="s">
        <v>6810</v>
      </c>
      <c r="N127" s="3072"/>
      <c r="O127" s="3099"/>
      <c r="P127" s="3100"/>
      <c r="Q127" s="3100"/>
      <c r="R127" s="3100"/>
      <c r="S127" s="3101" t="s">
        <v>295</v>
      </c>
      <c r="T127" s="3101" t="s">
        <v>213</v>
      </c>
      <c r="U127" s="3102"/>
      <c r="V127" s="3102" t="s">
        <v>295</v>
      </c>
      <c r="W127" s="3102" t="s">
        <v>145</v>
      </c>
      <c r="X127" s="3102" t="s">
        <v>6807</v>
      </c>
      <c r="Y127" s="3103" t="s">
        <v>164</v>
      </c>
    </row>
    <row r="128" spans="1:25" ht="24" hidden="1">
      <c r="A128" s="1304"/>
      <c r="B128" s="643">
        <v>1503</v>
      </c>
      <c r="C128" s="643" t="s">
        <v>821</v>
      </c>
      <c r="D128" s="3087">
        <v>2</v>
      </c>
      <c r="E128" s="3088" t="str">
        <f t="shared" si="8"/>
        <v>可供出售金融资产</v>
      </c>
      <c r="F128" s="3089" t="s">
        <v>822</v>
      </c>
      <c r="G128" s="3090">
        <f t="shared" si="9"/>
        <v>0</v>
      </c>
      <c r="H128" s="3091">
        <f ca="1">INDIRECT("Notes!CheckA"&amp;$C128)</f>
        <v>0</v>
      </c>
      <c r="I128" s="3093" t="s">
        <v>6810</v>
      </c>
      <c r="J128" s="3072"/>
      <c r="K128" s="3090">
        <f t="shared" si="13"/>
        <v>3003000</v>
      </c>
      <c r="L128" s="3071" t="s">
        <v>6806</v>
      </c>
      <c r="M128" s="3093" t="s">
        <v>6810</v>
      </c>
      <c r="N128" s="3072"/>
      <c r="O128" s="3099"/>
      <c r="P128" s="3100"/>
      <c r="Q128" s="3100"/>
      <c r="R128" s="3100"/>
      <c r="S128" s="3101" t="s">
        <v>295</v>
      </c>
      <c r="T128" s="3101" t="s">
        <v>213</v>
      </c>
      <c r="U128" s="3102"/>
      <c r="V128" s="3102" t="s">
        <v>295</v>
      </c>
      <c r="W128" s="3102" t="s">
        <v>145</v>
      </c>
      <c r="X128" s="3102" t="s">
        <v>6807</v>
      </c>
      <c r="Y128" s="3103" t="s">
        <v>164</v>
      </c>
    </row>
    <row r="129" spans="1:25" ht="48" hidden="1">
      <c r="A129" s="1304"/>
      <c r="B129" s="643">
        <v>1503</v>
      </c>
      <c r="C129" s="643" t="s">
        <v>825</v>
      </c>
      <c r="D129" s="3087">
        <v>2</v>
      </c>
      <c r="E129" s="3088" t="str">
        <f t="shared" si="8"/>
        <v>可供出售金融资产</v>
      </c>
      <c r="F129" s="3089" t="s">
        <v>826</v>
      </c>
      <c r="G129" s="3090">
        <f t="shared" si="9"/>
        <v>0</v>
      </c>
      <c r="H129" s="3091" t="s">
        <v>6806</v>
      </c>
      <c r="I129" s="3093" t="s">
        <v>6810</v>
      </c>
      <c r="J129" s="3072"/>
      <c r="K129" s="3090">
        <f t="shared" si="13"/>
        <v>3003000</v>
      </c>
      <c r="L129" s="3071" t="s">
        <v>6806</v>
      </c>
      <c r="M129" s="3093" t="s">
        <v>6810</v>
      </c>
      <c r="N129" s="3072"/>
      <c r="O129" s="3099"/>
      <c r="P129" s="3100"/>
      <c r="Q129" s="3100"/>
      <c r="R129" s="3100"/>
      <c r="S129" s="3101" t="s">
        <v>295</v>
      </c>
      <c r="T129" s="3101" t="s">
        <v>213</v>
      </c>
      <c r="U129" s="3102"/>
      <c r="V129" s="3102" t="s">
        <v>295</v>
      </c>
      <c r="W129" s="3102" t="s">
        <v>145</v>
      </c>
      <c r="X129" s="3102" t="s">
        <v>6807</v>
      </c>
      <c r="Y129" s="3103" t="s">
        <v>164</v>
      </c>
    </row>
    <row r="130" spans="1:25" ht="18">
      <c r="A130" s="1304"/>
      <c r="B130" s="643">
        <v>1508</v>
      </c>
      <c r="C130" s="643" t="s">
        <v>847</v>
      </c>
      <c r="D130" s="3087">
        <v>1</v>
      </c>
      <c r="E130" s="3088" t="str">
        <f t="shared" si="8"/>
        <v>其他债权投资</v>
      </c>
      <c r="F130" s="3089" t="s">
        <v>848</v>
      </c>
      <c r="G130" s="3090">
        <f t="shared" si="9"/>
        <v>0</v>
      </c>
      <c r="H130" s="3091">
        <f t="shared" ref="H130:H138" ca="1" si="16">INDIRECT("Notes!CheckA"&amp;$C130)</f>
        <v>0</v>
      </c>
      <c r="I130" s="3093">
        <f ca="1">IF(AND(LEN(G130)&gt;0,LEN(H130)&gt;0),ROUND(SUM(G130)-SUM(H130),2),"")</f>
        <v>0</v>
      </c>
      <c r="J130" s="3072" t="str">
        <f ca="1">IF(ISNA(I130),"N/A",IF(I130=0,"√","？"))</f>
        <v>√</v>
      </c>
      <c r="K130" s="3090">
        <f t="shared" si="13"/>
        <v>0</v>
      </c>
      <c r="L130" s="3071">
        <f ca="1">INDIRECT("Notes!CheckB"&amp;$C130)</f>
        <v>0</v>
      </c>
      <c r="M130" s="3093">
        <f ca="1">IF(AND(LEN(K130)&gt;0,LEN(L130)&gt;0),ROUND(SUM(K130)-SUM(L130),2),"")</f>
        <v>0</v>
      </c>
      <c r="N130" s="3072" t="str">
        <f ca="1">IF(ISNA(M130),"N/A",IF(M130=0,"√","？"))</f>
        <v>√</v>
      </c>
      <c r="O130" s="3099"/>
      <c r="P130" s="3100"/>
      <c r="Q130" s="3100"/>
      <c r="R130" s="3100"/>
      <c r="S130" s="3101" t="s">
        <v>295</v>
      </c>
      <c r="T130" s="3101" t="s">
        <v>213</v>
      </c>
      <c r="U130" s="3102"/>
      <c r="V130" s="3102" t="s">
        <v>295</v>
      </c>
      <c r="W130" s="3102" t="s">
        <v>145</v>
      </c>
      <c r="X130" s="3102" t="s">
        <v>6807</v>
      </c>
      <c r="Y130" s="3103" t="s">
        <v>119</v>
      </c>
    </row>
    <row r="131" spans="1:25" ht="24" hidden="1">
      <c r="A131" s="1304"/>
      <c r="B131" s="643">
        <v>1508</v>
      </c>
      <c r="C131" s="643" t="s">
        <v>853</v>
      </c>
      <c r="D131" s="3087">
        <v>2</v>
      </c>
      <c r="E131" s="3088" t="str">
        <f t="shared" si="8"/>
        <v>其他债权投资</v>
      </c>
      <c r="F131" s="3089" t="s">
        <v>854</v>
      </c>
      <c r="G131" s="3090">
        <f t="shared" si="9"/>
        <v>0</v>
      </c>
      <c r="H131" s="3091">
        <f t="shared" ca="1" si="16"/>
        <v>0</v>
      </c>
      <c r="I131" s="3093" t="s">
        <v>6810</v>
      </c>
      <c r="J131" s="3072"/>
      <c r="K131" s="3090">
        <f t="shared" si="13"/>
        <v>0</v>
      </c>
      <c r="L131" s="3071">
        <f ca="1">INDIRECT("Notes!CheckB"&amp;$C131)</f>
        <v>0</v>
      </c>
      <c r="M131" s="3093" t="s">
        <v>6810</v>
      </c>
      <c r="N131" s="3072"/>
      <c r="O131" s="3099"/>
      <c r="P131" s="3100"/>
      <c r="Q131" s="3100"/>
      <c r="R131" s="3100"/>
      <c r="S131" s="3101" t="s">
        <v>295</v>
      </c>
      <c r="T131" s="3101" t="s">
        <v>213</v>
      </c>
      <c r="U131" s="3102"/>
      <c r="V131" s="3102" t="s">
        <v>295</v>
      </c>
      <c r="W131" s="3102" t="s">
        <v>145</v>
      </c>
      <c r="X131" s="3102" t="s">
        <v>6807</v>
      </c>
      <c r="Y131" s="3103" t="s">
        <v>119</v>
      </c>
    </row>
    <row r="132" spans="1:25" ht="36" hidden="1">
      <c r="A132" s="1304"/>
      <c r="B132" s="643">
        <v>1508</v>
      </c>
      <c r="C132" s="643" t="s">
        <v>859</v>
      </c>
      <c r="D132" s="3087">
        <v>2</v>
      </c>
      <c r="E132" s="3088" t="str">
        <f t="shared" si="8"/>
        <v>其他债权投资</v>
      </c>
      <c r="F132" s="3089" t="s">
        <v>6436</v>
      </c>
      <c r="G132" s="3090">
        <f t="shared" si="9"/>
        <v>0</v>
      </c>
      <c r="H132" s="3091">
        <f t="shared" ca="1" si="16"/>
        <v>0</v>
      </c>
      <c r="I132" s="3093" t="s">
        <v>6810</v>
      </c>
      <c r="J132" s="3072"/>
      <c r="K132" s="3090">
        <f t="shared" si="13"/>
        <v>0</v>
      </c>
      <c r="L132" s="3071" t="s">
        <v>6806</v>
      </c>
      <c r="M132" s="3093" t="s">
        <v>6810</v>
      </c>
      <c r="N132" s="3072"/>
      <c r="O132" s="3099"/>
      <c r="P132" s="3100"/>
      <c r="Q132" s="3100"/>
      <c r="R132" s="3100"/>
      <c r="S132" s="3101" t="s">
        <v>295</v>
      </c>
      <c r="T132" s="3101" t="s">
        <v>213</v>
      </c>
      <c r="U132" s="3102"/>
      <c r="V132" s="3102" t="s">
        <v>295</v>
      </c>
      <c r="W132" s="3102" t="s">
        <v>145</v>
      </c>
      <c r="X132" s="3102" t="s">
        <v>6807</v>
      </c>
      <c r="Y132" s="3103" t="s">
        <v>119</v>
      </c>
    </row>
    <row r="133" spans="1:25" ht="24" hidden="1">
      <c r="A133" s="1304"/>
      <c r="B133" s="643">
        <v>1508</v>
      </c>
      <c r="C133" s="643" t="s">
        <v>885</v>
      </c>
      <c r="D133" s="3087">
        <v>2</v>
      </c>
      <c r="E133" s="3088" t="str">
        <f t="shared" si="8"/>
        <v>其他债权投资</v>
      </c>
      <c r="F133" s="3089" t="s">
        <v>886</v>
      </c>
      <c r="G133" s="3090">
        <f t="shared" si="9"/>
        <v>0</v>
      </c>
      <c r="H133" s="3091">
        <f t="shared" ca="1" si="16"/>
        <v>0</v>
      </c>
      <c r="I133" s="3093" t="s">
        <v>6810</v>
      </c>
      <c r="J133" s="3072"/>
      <c r="K133" s="3090">
        <f t="shared" si="13"/>
        <v>0</v>
      </c>
      <c r="L133" s="3071" t="s">
        <v>6806</v>
      </c>
      <c r="M133" s="3093" t="s">
        <v>6810</v>
      </c>
      <c r="N133" s="3072"/>
      <c r="O133" s="3099"/>
      <c r="P133" s="3100"/>
      <c r="Q133" s="3100"/>
      <c r="R133" s="3100"/>
      <c r="S133" s="3101" t="s">
        <v>295</v>
      </c>
      <c r="T133" s="3101" t="s">
        <v>213</v>
      </c>
      <c r="U133" s="3102"/>
      <c r="V133" s="3102" t="s">
        <v>295</v>
      </c>
      <c r="W133" s="3102" t="s">
        <v>145</v>
      </c>
      <c r="X133" s="3102" t="s">
        <v>6807</v>
      </c>
      <c r="Y133" s="3103" t="s">
        <v>119</v>
      </c>
    </row>
    <row r="134" spans="1:25" ht="24" hidden="1">
      <c r="A134" s="1304"/>
      <c r="B134" s="643">
        <v>1508</v>
      </c>
      <c r="C134" s="643" t="s">
        <v>889</v>
      </c>
      <c r="D134" s="3087">
        <v>2</v>
      </c>
      <c r="E134" s="3088" t="str">
        <f t="shared" si="8"/>
        <v>其他债权投资</v>
      </c>
      <c r="F134" s="3089" t="s">
        <v>890</v>
      </c>
      <c r="G134" s="3090">
        <f t="shared" si="9"/>
        <v>0</v>
      </c>
      <c r="H134" s="3091">
        <f t="shared" ca="1" si="16"/>
        <v>0</v>
      </c>
      <c r="I134" s="3093" t="s">
        <v>6810</v>
      </c>
      <c r="J134" s="3072"/>
      <c r="K134" s="3090">
        <f t="shared" si="13"/>
        <v>0</v>
      </c>
      <c r="L134" s="3071" t="s">
        <v>6806</v>
      </c>
      <c r="M134" s="3093" t="s">
        <v>6810</v>
      </c>
      <c r="N134" s="3072"/>
      <c r="O134" s="3099"/>
      <c r="P134" s="3100"/>
      <c r="Q134" s="3100"/>
      <c r="R134" s="3100"/>
      <c r="S134" s="3101" t="s">
        <v>295</v>
      </c>
      <c r="T134" s="3101" t="s">
        <v>213</v>
      </c>
      <c r="U134" s="3102"/>
      <c r="V134" s="3102" t="s">
        <v>295</v>
      </c>
      <c r="W134" s="3102" t="s">
        <v>145</v>
      </c>
      <c r="X134" s="3102" t="s">
        <v>6807</v>
      </c>
      <c r="Y134" s="3103" t="s">
        <v>119</v>
      </c>
    </row>
    <row r="135" spans="1:25" ht="24" hidden="1">
      <c r="A135" s="1304"/>
      <c r="B135" s="643">
        <v>1508</v>
      </c>
      <c r="C135" s="643" t="s">
        <v>894</v>
      </c>
      <c r="D135" s="3087">
        <v>2</v>
      </c>
      <c r="E135" s="3088" t="str">
        <f t="shared" si="8"/>
        <v>其他债权投资</v>
      </c>
      <c r="F135" s="3089" t="s">
        <v>895</v>
      </c>
      <c r="G135" s="3090">
        <f t="shared" si="9"/>
        <v>0</v>
      </c>
      <c r="H135" s="3091">
        <f t="shared" ca="1" si="16"/>
        <v>0</v>
      </c>
      <c r="I135" s="3093" t="s">
        <v>6810</v>
      </c>
      <c r="J135" s="3072"/>
      <c r="K135" s="3090">
        <f t="shared" si="13"/>
        <v>0</v>
      </c>
      <c r="L135" s="3071" t="s">
        <v>6806</v>
      </c>
      <c r="M135" s="3093" t="s">
        <v>6810</v>
      </c>
      <c r="N135" s="3072"/>
      <c r="O135" s="3099"/>
      <c r="P135" s="3100"/>
      <c r="Q135" s="3100"/>
      <c r="R135" s="3100"/>
      <c r="S135" s="3101" t="s">
        <v>295</v>
      </c>
      <c r="T135" s="3101" t="s">
        <v>213</v>
      </c>
      <c r="U135" s="3102"/>
      <c r="V135" s="3102" t="s">
        <v>295</v>
      </c>
      <c r="W135" s="3102" t="s">
        <v>145</v>
      </c>
      <c r="X135" s="3102" t="s">
        <v>6807</v>
      </c>
      <c r="Y135" s="3103" t="s">
        <v>119</v>
      </c>
    </row>
    <row r="136" spans="1:25" ht="24" hidden="1">
      <c r="A136" s="1304"/>
      <c r="B136" s="643">
        <v>1508</v>
      </c>
      <c r="C136" s="643" t="s">
        <v>898</v>
      </c>
      <c r="D136" s="3087">
        <v>2</v>
      </c>
      <c r="E136" s="3088" t="str">
        <f t="shared" si="8"/>
        <v>其他债权投资</v>
      </c>
      <c r="F136" s="3089" t="s">
        <v>881</v>
      </c>
      <c r="G136" s="3090">
        <f t="shared" si="9"/>
        <v>0</v>
      </c>
      <c r="H136" s="3091">
        <f t="shared" ca="1" si="16"/>
        <v>0</v>
      </c>
      <c r="I136" s="3093" t="s">
        <v>6810</v>
      </c>
      <c r="J136" s="3072"/>
      <c r="K136" s="3090">
        <f t="shared" si="13"/>
        <v>0</v>
      </c>
      <c r="L136" s="3071" t="s">
        <v>6806</v>
      </c>
      <c r="M136" s="3093" t="s">
        <v>6810</v>
      </c>
      <c r="N136" s="3072"/>
      <c r="O136" s="3099"/>
      <c r="P136" s="3100"/>
      <c r="Q136" s="3100"/>
      <c r="R136" s="3100"/>
      <c r="S136" s="3101" t="s">
        <v>295</v>
      </c>
      <c r="T136" s="3101" t="s">
        <v>213</v>
      </c>
      <c r="U136" s="3102"/>
      <c r="V136" s="3102" t="s">
        <v>295</v>
      </c>
      <c r="W136" s="3102" t="s">
        <v>145</v>
      </c>
      <c r="X136" s="3102" t="s">
        <v>6807</v>
      </c>
      <c r="Y136" s="3103" t="s">
        <v>119</v>
      </c>
    </row>
    <row r="137" spans="1:25" ht="36" hidden="1">
      <c r="A137" s="1304"/>
      <c r="B137" s="643">
        <v>1508</v>
      </c>
      <c r="C137" s="643" t="s">
        <v>880</v>
      </c>
      <c r="D137" s="3087">
        <v>2</v>
      </c>
      <c r="E137" s="3088" t="str">
        <f t="shared" ref="E137:E200" si="17">IF(ISERROR(VLOOKUP($B137,Sheet_Items,2,0)),"        ----",VLOOKUP($B137,Sheet_Items,2,0))</f>
        <v>其他债权投资</v>
      </c>
      <c r="F137" s="3089" t="s">
        <v>5958</v>
      </c>
      <c r="G137" s="3090">
        <f t="shared" ref="G137:G200" si="18">IF(ISERROR(VLOOKUP($B137,Sheet_Trialbal,6,0)),"        ----",VLOOKUP($B137,Sheet_Trialbal,6,0))</f>
        <v>0</v>
      </c>
      <c r="H137" s="3091">
        <f t="shared" ca="1" si="16"/>
        <v>0</v>
      </c>
      <c r="I137" s="3093" t="s">
        <v>6810</v>
      </c>
      <c r="J137" s="3072"/>
      <c r="K137" s="3090">
        <f t="shared" ref="K137:K157" si="19">IF(ISERROR(VLOOKUP($B137,Sheet_Trialbal,10,0)),"        ----",VLOOKUP($B137,Sheet_Trialbal,10,0))</f>
        <v>0</v>
      </c>
      <c r="L137" s="3071" t="s">
        <v>6806</v>
      </c>
      <c r="M137" s="3093" t="s">
        <v>6810</v>
      </c>
      <c r="N137" s="3072"/>
      <c r="O137" s="3099"/>
      <c r="P137" s="3100"/>
      <c r="Q137" s="3100"/>
      <c r="R137" s="3100"/>
      <c r="S137" s="3101" t="s">
        <v>295</v>
      </c>
      <c r="T137" s="3101" t="s">
        <v>213</v>
      </c>
      <c r="U137" s="3102"/>
      <c r="V137" s="3102" t="s">
        <v>295</v>
      </c>
      <c r="W137" s="3102" t="s">
        <v>145</v>
      </c>
      <c r="X137" s="3102" t="s">
        <v>6807</v>
      </c>
      <c r="Y137" s="3103" t="s">
        <v>119</v>
      </c>
    </row>
    <row r="138" spans="1:25" ht="18">
      <c r="A138" s="1304"/>
      <c r="B138" s="643">
        <v>1501</v>
      </c>
      <c r="C138" s="643" t="s">
        <v>902</v>
      </c>
      <c r="D138" s="3087">
        <v>1</v>
      </c>
      <c r="E138" s="3088" t="str">
        <f t="shared" si="17"/>
        <v>持有至到期投资</v>
      </c>
      <c r="F138" s="3089" t="s">
        <v>903</v>
      </c>
      <c r="G138" s="3090">
        <f t="shared" si="18"/>
        <v>0</v>
      </c>
      <c r="H138" s="3091">
        <f t="shared" ca="1" si="16"/>
        <v>0</v>
      </c>
      <c r="I138" s="3093">
        <f ca="1">IF(AND(LEN(G138)&gt;0,LEN(H138)&gt;0),ROUND(SUM(G138)-SUM(H138),2),"")</f>
        <v>0</v>
      </c>
      <c r="J138" s="3072" t="str">
        <f ca="1">IF(ISNA(I138),"N/A",IF(I138=0,"√","？"))</f>
        <v>√</v>
      </c>
      <c r="K138" s="3090">
        <f t="shared" si="19"/>
        <v>0</v>
      </c>
      <c r="L138" s="3071">
        <f ca="1">INDIRECT("Notes!CheckB"&amp;$C138)</f>
        <v>0</v>
      </c>
      <c r="M138" s="3093">
        <f ca="1">IF(AND(LEN(K138)&gt;0,LEN(L138)&gt;0),ROUND(SUM(K138)-SUM(L138),2),"")</f>
        <v>0</v>
      </c>
      <c r="N138" s="3072" t="str">
        <f ca="1">IF(ISNA(M138),"N/A",IF(M138=0,"√","？"))</f>
        <v>√</v>
      </c>
      <c r="O138" s="3099"/>
      <c r="P138" s="3100"/>
      <c r="Q138" s="3100"/>
      <c r="R138" s="3100"/>
      <c r="S138" s="3101" t="s">
        <v>295</v>
      </c>
      <c r="T138" s="3101" t="s">
        <v>213</v>
      </c>
      <c r="U138" s="3102"/>
      <c r="V138" s="3102" t="s">
        <v>295</v>
      </c>
      <c r="W138" s="3102" t="s">
        <v>6804</v>
      </c>
      <c r="X138" s="3102" t="s">
        <v>6805</v>
      </c>
      <c r="Y138" s="3103" t="s">
        <v>164</v>
      </c>
    </row>
    <row r="139" spans="1:25" ht="18" hidden="1">
      <c r="A139" s="1304"/>
      <c r="B139" s="643">
        <v>1501</v>
      </c>
      <c r="C139" s="643" t="s">
        <v>910</v>
      </c>
      <c r="D139" s="3087">
        <v>2</v>
      </c>
      <c r="E139" s="3088" t="str">
        <f t="shared" si="17"/>
        <v>持有至到期投资</v>
      </c>
      <c r="F139" s="3089" t="s">
        <v>911</v>
      </c>
      <c r="G139" s="3090">
        <f t="shared" si="18"/>
        <v>0</v>
      </c>
      <c r="H139" s="3091" t="s">
        <v>6806</v>
      </c>
      <c r="I139" s="3093" t="s">
        <v>6810</v>
      </c>
      <c r="J139" s="3072"/>
      <c r="K139" s="3090">
        <f t="shared" si="19"/>
        <v>0</v>
      </c>
      <c r="L139" s="3071" t="s">
        <v>6806</v>
      </c>
      <c r="M139" s="3093" t="s">
        <v>6810</v>
      </c>
      <c r="N139" s="3072"/>
      <c r="O139" s="3099"/>
      <c r="P139" s="3100"/>
      <c r="Q139" s="3100"/>
      <c r="R139" s="3100"/>
      <c r="S139" s="3101" t="s">
        <v>295</v>
      </c>
      <c r="T139" s="3101" t="s">
        <v>213</v>
      </c>
      <c r="U139" s="3102"/>
      <c r="V139" s="3102" t="s">
        <v>295</v>
      </c>
      <c r="W139" s="3102" t="s">
        <v>6804</v>
      </c>
      <c r="X139" s="3102" t="s">
        <v>6805</v>
      </c>
      <c r="Y139" s="3103" t="s">
        <v>164</v>
      </c>
    </row>
    <row r="140" spans="1:25" ht="24" hidden="1">
      <c r="A140" s="1304"/>
      <c r="B140" s="643">
        <v>1501</v>
      </c>
      <c r="C140" s="643" t="s">
        <v>917</v>
      </c>
      <c r="D140" s="3087">
        <v>2</v>
      </c>
      <c r="E140" s="3088" t="str">
        <f t="shared" si="17"/>
        <v>持有至到期投资</v>
      </c>
      <c r="F140" s="3089" t="s">
        <v>6437</v>
      </c>
      <c r="G140" s="3090">
        <f t="shared" si="18"/>
        <v>0</v>
      </c>
      <c r="H140" s="3091" t="s">
        <v>6806</v>
      </c>
      <c r="I140" s="3093" t="s">
        <v>6810</v>
      </c>
      <c r="J140" s="3072"/>
      <c r="K140" s="3090">
        <f t="shared" si="19"/>
        <v>0</v>
      </c>
      <c r="L140" s="3071" t="s">
        <v>6806</v>
      </c>
      <c r="M140" s="3093" t="s">
        <v>6810</v>
      </c>
      <c r="N140" s="3072"/>
      <c r="O140" s="3099"/>
      <c r="P140" s="3100"/>
      <c r="Q140" s="3100"/>
      <c r="R140" s="3100"/>
      <c r="S140" s="3101" t="s">
        <v>295</v>
      </c>
      <c r="T140" s="3101" t="s">
        <v>213</v>
      </c>
      <c r="U140" s="3102"/>
      <c r="V140" s="3102" t="s">
        <v>295</v>
      </c>
      <c r="W140" s="3102" t="s">
        <v>6809</v>
      </c>
      <c r="X140" s="3102" t="s">
        <v>213</v>
      </c>
      <c r="Y140" s="3103" t="s">
        <v>164</v>
      </c>
    </row>
    <row r="141" spans="1:25" ht="18" hidden="1">
      <c r="A141" s="1304"/>
      <c r="B141" s="643">
        <v>1501</v>
      </c>
      <c r="C141" s="643" t="s">
        <v>5585</v>
      </c>
      <c r="D141" s="3087">
        <v>2</v>
      </c>
      <c r="E141" s="3088" t="str">
        <f t="shared" si="17"/>
        <v>持有至到期投资</v>
      </c>
      <c r="F141" s="3089" t="s">
        <v>5586</v>
      </c>
      <c r="G141" s="3090">
        <f t="shared" si="18"/>
        <v>0</v>
      </c>
      <c r="H141" s="3091">
        <f t="shared" ref="H141:H147" ca="1" si="20">INDIRECT("Notes!CheckA"&amp;$C141)</f>
        <v>0</v>
      </c>
      <c r="I141" s="3093" t="s">
        <v>6810</v>
      </c>
      <c r="J141" s="3072"/>
      <c r="K141" s="3090">
        <f t="shared" si="19"/>
        <v>0</v>
      </c>
      <c r="L141" s="3071">
        <f ca="1">INDIRECT("Notes!CheckB"&amp;$C141)</f>
        <v>0</v>
      </c>
      <c r="M141" s="3093" t="s">
        <v>6810</v>
      </c>
      <c r="N141" s="3072"/>
      <c r="O141" s="3099"/>
      <c r="P141" s="3100"/>
      <c r="Q141" s="3100"/>
      <c r="R141" s="3100"/>
      <c r="S141" s="3101" t="s">
        <v>295</v>
      </c>
      <c r="T141" s="3101" t="s">
        <v>213</v>
      </c>
      <c r="U141" s="3102"/>
      <c r="V141" s="3102" t="s">
        <v>295</v>
      </c>
      <c r="W141" s="3102" t="s">
        <v>6809</v>
      </c>
      <c r="X141" s="3102" t="s">
        <v>213</v>
      </c>
      <c r="Y141" s="3103" t="s">
        <v>164</v>
      </c>
    </row>
    <row r="142" spans="1:25" ht="18">
      <c r="A142" s="1304"/>
      <c r="B142" s="643">
        <v>1531</v>
      </c>
      <c r="C142" s="643" t="s">
        <v>923</v>
      </c>
      <c r="D142" s="3087">
        <v>1</v>
      </c>
      <c r="E142" s="3088" t="str">
        <f t="shared" si="17"/>
        <v>长期应收款</v>
      </c>
      <c r="F142" s="3089" t="s">
        <v>924</v>
      </c>
      <c r="G142" s="3090">
        <f t="shared" si="18"/>
        <v>0</v>
      </c>
      <c r="H142" s="3091">
        <f t="shared" ca="1" si="20"/>
        <v>0</v>
      </c>
      <c r="I142" s="3093">
        <f ca="1">IF(AND(LEN(G142)&gt;0,LEN(H142)&gt;0),ROUND(SUM(G142)-SUM(H142),2),"")</f>
        <v>0</v>
      </c>
      <c r="J142" s="3072" t="str">
        <f ca="1">IF(ISNA(I142),"N/A",IF(I142=0,"√","？"))</f>
        <v>√</v>
      </c>
      <c r="K142" s="3090">
        <f t="shared" si="19"/>
        <v>0</v>
      </c>
      <c r="L142" s="3071">
        <f ca="1">INDIRECT("Notes!CheckB"&amp;$C142)</f>
        <v>0</v>
      </c>
      <c r="M142" s="3093">
        <f ca="1">IF(AND(LEN(K142)&gt;0,LEN(L142)&gt;0),ROUND(SUM(K142)-SUM(L142),2),"")</f>
        <v>0</v>
      </c>
      <c r="N142" s="3072" t="str">
        <f ca="1">IF(ISNA(M142),"N/A",IF(M142=0,"√","？"))</f>
        <v>√</v>
      </c>
      <c r="O142" s="3099"/>
      <c r="P142" s="3100"/>
      <c r="Q142" s="3100"/>
      <c r="R142" s="3100"/>
      <c r="S142" s="3101" t="s">
        <v>295</v>
      </c>
      <c r="T142" s="3101" t="s">
        <v>213</v>
      </c>
      <c r="U142" s="3102"/>
      <c r="V142" s="3102" t="s">
        <v>295</v>
      </c>
      <c r="W142" s="3102" t="s">
        <v>6804</v>
      </c>
      <c r="X142" s="3102" t="s">
        <v>6805</v>
      </c>
      <c r="Y142" s="3103" t="s">
        <v>164</v>
      </c>
    </row>
    <row r="143" spans="1:25" ht="36" hidden="1">
      <c r="A143" s="1304"/>
      <c r="B143" s="643">
        <v>1531</v>
      </c>
      <c r="C143" s="643" t="s">
        <v>5917</v>
      </c>
      <c r="D143" s="3087">
        <v>2</v>
      </c>
      <c r="E143" s="3088" t="str">
        <f t="shared" si="17"/>
        <v>长期应收款</v>
      </c>
      <c r="F143" s="3089" t="s">
        <v>6438</v>
      </c>
      <c r="G143" s="3090">
        <f t="shared" si="18"/>
        <v>0</v>
      </c>
      <c r="H143" s="3091">
        <f t="shared" ca="1" si="20"/>
        <v>0</v>
      </c>
      <c r="I143" s="3093" t="s">
        <v>6810</v>
      </c>
      <c r="J143" s="3072"/>
      <c r="K143" s="3090">
        <f t="shared" si="19"/>
        <v>0</v>
      </c>
      <c r="L143" s="3071" t="s">
        <v>6806</v>
      </c>
      <c r="M143" s="3093" t="s">
        <v>6810</v>
      </c>
      <c r="N143" s="3072"/>
      <c r="O143" s="3099"/>
      <c r="P143" s="3100"/>
      <c r="Q143" s="3100"/>
      <c r="R143" s="3100"/>
      <c r="S143" s="3101" t="s">
        <v>295</v>
      </c>
      <c r="T143" s="3101" t="s">
        <v>213</v>
      </c>
      <c r="U143" s="3102"/>
      <c r="V143" s="3102" t="s">
        <v>295</v>
      </c>
      <c r="W143" s="3102" t="s">
        <v>145</v>
      </c>
      <c r="X143" s="3102" t="s">
        <v>6807</v>
      </c>
      <c r="Y143" s="3103" t="s">
        <v>119</v>
      </c>
    </row>
    <row r="144" spans="1:25" ht="36" hidden="1">
      <c r="A144" s="1304"/>
      <c r="B144" s="643">
        <v>1531</v>
      </c>
      <c r="C144" s="643" t="s">
        <v>928</v>
      </c>
      <c r="D144" s="3087">
        <v>2</v>
      </c>
      <c r="E144" s="3088" t="str">
        <f t="shared" si="17"/>
        <v>长期应收款</v>
      </c>
      <c r="F144" s="3089" t="s">
        <v>5951</v>
      </c>
      <c r="G144" s="3090">
        <f t="shared" si="18"/>
        <v>0</v>
      </c>
      <c r="H144" s="3091">
        <f t="shared" ca="1" si="20"/>
        <v>0</v>
      </c>
      <c r="I144" s="3093" t="s">
        <v>6810</v>
      </c>
      <c r="J144" s="3072"/>
      <c r="K144" s="3090">
        <f t="shared" si="19"/>
        <v>0</v>
      </c>
      <c r="L144" s="3071" t="s">
        <v>6806</v>
      </c>
      <c r="M144" s="3093" t="s">
        <v>6810</v>
      </c>
      <c r="N144" s="3072"/>
      <c r="O144" s="3099"/>
      <c r="P144" s="3100"/>
      <c r="Q144" s="3100"/>
      <c r="R144" s="3100"/>
      <c r="S144" s="3101" t="s">
        <v>295</v>
      </c>
      <c r="T144" s="3101" t="s">
        <v>213</v>
      </c>
      <c r="U144" s="3102"/>
      <c r="V144" s="3102" t="s">
        <v>295</v>
      </c>
      <c r="W144" s="3102" t="s">
        <v>145</v>
      </c>
      <c r="X144" s="3102" t="s">
        <v>6807</v>
      </c>
      <c r="Y144" s="3103" t="s">
        <v>119</v>
      </c>
    </row>
    <row r="145" spans="1:25" ht="36" hidden="1">
      <c r="A145" s="1304"/>
      <c r="B145" s="643">
        <v>1531</v>
      </c>
      <c r="C145" s="643" t="s">
        <v>931</v>
      </c>
      <c r="D145" s="3087">
        <v>2</v>
      </c>
      <c r="E145" s="3088" t="str">
        <f t="shared" si="17"/>
        <v>长期应收款</v>
      </c>
      <c r="F145" s="3089" t="s">
        <v>5952</v>
      </c>
      <c r="G145" s="3090">
        <f t="shared" si="18"/>
        <v>0</v>
      </c>
      <c r="H145" s="3091">
        <f t="shared" ca="1" si="20"/>
        <v>0</v>
      </c>
      <c r="I145" s="3093" t="s">
        <v>6810</v>
      </c>
      <c r="J145" s="3072"/>
      <c r="K145" s="3090">
        <f t="shared" si="19"/>
        <v>0</v>
      </c>
      <c r="L145" s="3071" t="s">
        <v>6806</v>
      </c>
      <c r="M145" s="3093" t="s">
        <v>6810</v>
      </c>
      <c r="N145" s="3072"/>
      <c r="O145" s="3099"/>
      <c r="P145" s="3100"/>
      <c r="Q145" s="3100"/>
      <c r="R145" s="3100"/>
      <c r="S145" s="3101" t="s">
        <v>295</v>
      </c>
      <c r="T145" s="3101" t="s">
        <v>213</v>
      </c>
      <c r="U145" s="3102"/>
      <c r="V145" s="3102" t="s">
        <v>295</v>
      </c>
      <c r="W145" s="3102" t="s">
        <v>145</v>
      </c>
      <c r="X145" s="3102" t="s">
        <v>6807</v>
      </c>
      <c r="Y145" s="3103" t="s">
        <v>119</v>
      </c>
    </row>
    <row r="146" spans="1:25" ht="36" hidden="1">
      <c r="A146" s="1304"/>
      <c r="B146" s="643">
        <v>1531</v>
      </c>
      <c r="C146" s="643" t="s">
        <v>934</v>
      </c>
      <c r="D146" s="3087">
        <v>2</v>
      </c>
      <c r="E146" s="3088" t="str">
        <f t="shared" si="17"/>
        <v>长期应收款</v>
      </c>
      <c r="F146" s="3089" t="s">
        <v>5953</v>
      </c>
      <c r="G146" s="3090">
        <f t="shared" si="18"/>
        <v>0</v>
      </c>
      <c r="H146" s="3091">
        <f t="shared" ca="1" si="20"/>
        <v>0</v>
      </c>
      <c r="I146" s="3093" t="s">
        <v>6810</v>
      </c>
      <c r="J146" s="3072"/>
      <c r="K146" s="3090">
        <f t="shared" si="19"/>
        <v>0</v>
      </c>
      <c r="L146" s="3071" t="s">
        <v>6806</v>
      </c>
      <c r="M146" s="3093" t="s">
        <v>6810</v>
      </c>
      <c r="N146" s="3072"/>
      <c r="O146" s="3099"/>
      <c r="P146" s="3100"/>
      <c r="Q146" s="3100"/>
      <c r="R146" s="3100"/>
      <c r="S146" s="3101" t="s">
        <v>295</v>
      </c>
      <c r="T146" s="3101" t="s">
        <v>213</v>
      </c>
      <c r="U146" s="3102"/>
      <c r="V146" s="3102" t="s">
        <v>295</v>
      </c>
      <c r="W146" s="3102" t="s">
        <v>145</v>
      </c>
      <c r="X146" s="3102" t="s">
        <v>6807</v>
      </c>
      <c r="Y146" s="3103" t="s">
        <v>119</v>
      </c>
    </row>
    <row r="147" spans="1:25" ht="36" hidden="1">
      <c r="A147" s="1304"/>
      <c r="B147" s="643">
        <v>1531</v>
      </c>
      <c r="C147" s="643" t="s">
        <v>946</v>
      </c>
      <c r="D147" s="3087">
        <v>2</v>
      </c>
      <c r="E147" s="3088" t="str">
        <f t="shared" si="17"/>
        <v>长期应收款</v>
      </c>
      <c r="F147" s="3089" t="s">
        <v>6439</v>
      </c>
      <c r="G147" s="3090">
        <f t="shared" si="18"/>
        <v>0</v>
      </c>
      <c r="H147" s="3091">
        <f t="shared" ca="1" si="20"/>
        <v>0</v>
      </c>
      <c r="I147" s="3093" t="s">
        <v>6810</v>
      </c>
      <c r="J147" s="3072"/>
      <c r="K147" s="3090">
        <f t="shared" si="19"/>
        <v>0</v>
      </c>
      <c r="L147" s="3071">
        <f ca="1">INDIRECT("Notes!CheckB"&amp;$C147)</f>
        <v>0</v>
      </c>
      <c r="M147" s="3093" t="s">
        <v>6810</v>
      </c>
      <c r="N147" s="3072"/>
      <c r="O147" s="3099"/>
      <c r="P147" s="3100"/>
      <c r="Q147" s="3100"/>
      <c r="R147" s="3100"/>
      <c r="S147" s="3101" t="s">
        <v>295</v>
      </c>
      <c r="T147" s="3101" t="s">
        <v>213</v>
      </c>
      <c r="U147" s="3102"/>
      <c r="V147" s="3102" t="s">
        <v>295</v>
      </c>
      <c r="W147" s="3102" t="s">
        <v>145</v>
      </c>
      <c r="X147" s="3102" t="s">
        <v>6807</v>
      </c>
      <c r="Y147" s="3103" t="s">
        <v>119</v>
      </c>
    </row>
    <row r="148" spans="1:25" ht="48" hidden="1">
      <c r="A148" s="1304"/>
      <c r="B148" s="643">
        <v>1531</v>
      </c>
      <c r="C148" s="643" t="s">
        <v>949</v>
      </c>
      <c r="D148" s="3087">
        <v>2</v>
      </c>
      <c r="E148" s="3088" t="str">
        <f t="shared" si="17"/>
        <v>长期应收款</v>
      </c>
      <c r="F148" s="3089" t="s">
        <v>5954</v>
      </c>
      <c r="G148" s="3090">
        <f t="shared" si="18"/>
        <v>0</v>
      </c>
      <c r="H148" s="3091" t="s">
        <v>6806</v>
      </c>
      <c r="I148" s="3093" t="s">
        <v>6810</v>
      </c>
      <c r="J148" s="3072"/>
      <c r="K148" s="3090">
        <f t="shared" si="19"/>
        <v>0</v>
      </c>
      <c r="L148" s="3071">
        <f ca="1">INDIRECT("Notes!CheckB"&amp;$C148)</f>
        <v>0</v>
      </c>
      <c r="M148" s="3093" t="s">
        <v>6810</v>
      </c>
      <c r="N148" s="3072"/>
      <c r="O148" s="3099"/>
      <c r="P148" s="3100"/>
      <c r="Q148" s="3100"/>
      <c r="R148" s="3100"/>
      <c r="S148" s="3101" t="s">
        <v>295</v>
      </c>
      <c r="T148" s="3101" t="s">
        <v>213</v>
      </c>
      <c r="U148" s="3102"/>
      <c r="V148" s="3102" t="s">
        <v>295</v>
      </c>
      <c r="W148" s="3102" t="s">
        <v>145</v>
      </c>
      <c r="X148" s="3102" t="s">
        <v>6807</v>
      </c>
      <c r="Y148" s="3103" t="s">
        <v>119</v>
      </c>
    </row>
    <row r="149" spans="1:25" ht="36" hidden="1">
      <c r="A149" s="1304"/>
      <c r="B149" s="643">
        <v>1531</v>
      </c>
      <c r="C149" s="643" t="s">
        <v>939</v>
      </c>
      <c r="D149" s="3087">
        <v>2</v>
      </c>
      <c r="E149" s="3088" t="str">
        <f t="shared" si="17"/>
        <v>长期应收款</v>
      </c>
      <c r="F149" s="3089" t="s">
        <v>5955</v>
      </c>
      <c r="G149" s="3090">
        <f t="shared" si="18"/>
        <v>0</v>
      </c>
      <c r="H149" s="3091">
        <f t="shared" ref="H149:H165" ca="1" si="21">INDIRECT("Notes!CheckA"&amp;$C149)</f>
        <v>0</v>
      </c>
      <c r="I149" s="3093" t="s">
        <v>6810</v>
      </c>
      <c r="J149" s="3072"/>
      <c r="K149" s="3090">
        <f t="shared" si="19"/>
        <v>0</v>
      </c>
      <c r="L149" s="3071" t="s">
        <v>6806</v>
      </c>
      <c r="M149" s="3093" t="s">
        <v>6810</v>
      </c>
      <c r="N149" s="3072"/>
      <c r="O149" s="3099"/>
      <c r="P149" s="3100"/>
      <c r="Q149" s="3100"/>
      <c r="R149" s="3100"/>
      <c r="S149" s="3101" t="s">
        <v>295</v>
      </c>
      <c r="T149" s="3101" t="s">
        <v>213</v>
      </c>
      <c r="U149" s="3102"/>
      <c r="V149" s="3102" t="s">
        <v>295</v>
      </c>
      <c r="W149" s="3102" t="s">
        <v>145</v>
      </c>
      <c r="X149" s="3102" t="s">
        <v>213</v>
      </c>
      <c r="Y149" s="3103" t="s">
        <v>119</v>
      </c>
    </row>
    <row r="150" spans="1:25" ht="24" hidden="1">
      <c r="A150" s="1304"/>
      <c r="B150" s="643">
        <v>1531</v>
      </c>
      <c r="C150" s="643" t="s">
        <v>954</v>
      </c>
      <c r="D150" s="3087">
        <v>2</v>
      </c>
      <c r="E150" s="3088" t="str">
        <f t="shared" si="17"/>
        <v>长期应收款</v>
      </c>
      <c r="F150" s="3089" t="s">
        <v>5956</v>
      </c>
      <c r="G150" s="3090">
        <f t="shared" si="18"/>
        <v>0</v>
      </c>
      <c r="H150" s="3091">
        <f t="shared" ca="1" si="21"/>
        <v>0</v>
      </c>
      <c r="I150" s="3093" t="s">
        <v>6810</v>
      </c>
      <c r="J150" s="3072"/>
      <c r="K150" s="3090">
        <f t="shared" si="19"/>
        <v>0</v>
      </c>
      <c r="L150" s="3071">
        <f ca="1">INDIRECT("Notes!CheckB"&amp;$C150)</f>
        <v>0</v>
      </c>
      <c r="M150" s="3093" t="s">
        <v>6810</v>
      </c>
      <c r="N150" s="3072"/>
      <c r="O150" s="3099"/>
      <c r="P150" s="3100"/>
      <c r="Q150" s="3100"/>
      <c r="R150" s="3100"/>
      <c r="S150" s="3101" t="s">
        <v>295</v>
      </c>
      <c r="T150" s="3101" t="s">
        <v>213</v>
      </c>
      <c r="U150" s="3102"/>
      <c r="V150" s="3102" t="s">
        <v>295</v>
      </c>
      <c r="W150" s="3102" t="s">
        <v>145</v>
      </c>
      <c r="X150" s="3102" t="s">
        <v>6807</v>
      </c>
      <c r="Y150" s="3103" t="s">
        <v>119</v>
      </c>
    </row>
    <row r="151" spans="1:25" ht="24" hidden="1">
      <c r="A151" s="1304"/>
      <c r="B151" s="643">
        <v>1531</v>
      </c>
      <c r="C151" s="643" t="s">
        <v>951</v>
      </c>
      <c r="D151" s="3087">
        <v>2</v>
      </c>
      <c r="E151" s="3088" t="str">
        <f t="shared" si="17"/>
        <v>长期应收款</v>
      </c>
      <c r="F151" s="3089" t="s">
        <v>5957</v>
      </c>
      <c r="G151" s="3090">
        <f t="shared" si="18"/>
        <v>0</v>
      </c>
      <c r="H151" s="3091">
        <f t="shared" ca="1" si="21"/>
        <v>0</v>
      </c>
      <c r="I151" s="3093" t="s">
        <v>6810</v>
      </c>
      <c r="J151" s="3072"/>
      <c r="K151" s="3090">
        <f t="shared" si="19"/>
        <v>0</v>
      </c>
      <c r="L151" s="3071" t="s">
        <v>6806</v>
      </c>
      <c r="M151" s="3093" t="s">
        <v>6810</v>
      </c>
      <c r="N151" s="3072"/>
      <c r="O151" s="3099"/>
      <c r="P151" s="3100"/>
      <c r="Q151" s="3100"/>
      <c r="R151" s="3100"/>
      <c r="S151" s="3101" t="s">
        <v>295</v>
      </c>
      <c r="T151" s="3101" t="s">
        <v>213</v>
      </c>
      <c r="U151" s="3102"/>
      <c r="V151" s="3102" t="s">
        <v>295</v>
      </c>
      <c r="W151" s="3102" t="s">
        <v>145</v>
      </c>
      <c r="X151" s="3102" t="s">
        <v>6807</v>
      </c>
      <c r="Y151" s="3103" t="s">
        <v>119</v>
      </c>
    </row>
    <row r="152" spans="1:25" ht="24" hidden="1">
      <c r="A152" s="1304"/>
      <c r="B152" s="643">
        <v>1531</v>
      </c>
      <c r="C152" s="643" t="s">
        <v>973</v>
      </c>
      <c r="D152" s="3087">
        <v>2</v>
      </c>
      <c r="E152" s="3088" t="str">
        <f t="shared" si="17"/>
        <v>长期应收款</v>
      </c>
      <c r="F152" s="3089" t="s">
        <v>956</v>
      </c>
      <c r="G152" s="3090">
        <f t="shared" si="18"/>
        <v>0</v>
      </c>
      <c r="H152" s="3091">
        <f t="shared" ca="1" si="21"/>
        <v>0</v>
      </c>
      <c r="I152" s="3093" t="s">
        <v>6810</v>
      </c>
      <c r="J152" s="3072"/>
      <c r="K152" s="3090">
        <f t="shared" si="19"/>
        <v>0</v>
      </c>
      <c r="L152" s="3071" t="s">
        <v>6806</v>
      </c>
      <c r="M152" s="3093" t="s">
        <v>6810</v>
      </c>
      <c r="N152" s="3072"/>
      <c r="O152" s="3099"/>
      <c r="P152" s="3100"/>
      <c r="Q152" s="3100"/>
      <c r="R152" s="3100"/>
      <c r="S152" s="3101" t="s">
        <v>295</v>
      </c>
      <c r="T152" s="3101" t="s">
        <v>213</v>
      </c>
      <c r="U152" s="3102"/>
      <c r="V152" s="3102" t="s">
        <v>295</v>
      </c>
      <c r="W152" s="3102" t="s">
        <v>6804</v>
      </c>
      <c r="X152" s="3102" t="s">
        <v>6805</v>
      </c>
      <c r="Y152" s="3103" t="s">
        <v>164</v>
      </c>
    </row>
    <row r="153" spans="1:25" ht="36" hidden="1">
      <c r="A153" s="1304"/>
      <c r="B153" s="643">
        <v>1531</v>
      </c>
      <c r="C153" s="643" t="s">
        <v>959</v>
      </c>
      <c r="D153" s="3087">
        <v>2</v>
      </c>
      <c r="E153" s="3088" t="str">
        <f t="shared" si="17"/>
        <v>长期应收款</v>
      </c>
      <c r="F153" s="3089" t="s">
        <v>960</v>
      </c>
      <c r="G153" s="3090">
        <f t="shared" si="18"/>
        <v>0</v>
      </c>
      <c r="H153" s="3091">
        <f t="shared" ca="1" si="21"/>
        <v>0</v>
      </c>
      <c r="I153" s="3093" t="s">
        <v>6810</v>
      </c>
      <c r="J153" s="3072"/>
      <c r="K153" s="3090">
        <f t="shared" si="19"/>
        <v>0</v>
      </c>
      <c r="L153" s="3071" t="s">
        <v>6806</v>
      </c>
      <c r="M153" s="3093" t="s">
        <v>6810</v>
      </c>
      <c r="N153" s="3072"/>
      <c r="O153" s="3099"/>
      <c r="P153" s="3100"/>
      <c r="Q153" s="3100"/>
      <c r="R153" s="3100"/>
      <c r="S153" s="3101" t="s">
        <v>295</v>
      </c>
      <c r="T153" s="3101" t="s">
        <v>213</v>
      </c>
      <c r="U153" s="3102"/>
      <c r="V153" s="3102" t="s">
        <v>295</v>
      </c>
      <c r="W153" s="3102" t="s">
        <v>6804</v>
      </c>
      <c r="X153" s="3102" t="s">
        <v>6805</v>
      </c>
      <c r="Y153" s="3103" t="s">
        <v>164</v>
      </c>
    </row>
    <row r="154" spans="1:25" ht="24" hidden="1">
      <c r="A154" s="1304"/>
      <c r="B154" s="643">
        <v>1531</v>
      </c>
      <c r="C154" s="643" t="s">
        <v>969</v>
      </c>
      <c r="D154" s="3087">
        <v>2</v>
      </c>
      <c r="E154" s="3088" t="str">
        <f t="shared" si="17"/>
        <v>长期应收款</v>
      </c>
      <c r="F154" s="3089" t="s">
        <v>6441</v>
      </c>
      <c r="G154" s="3090">
        <f t="shared" si="18"/>
        <v>0</v>
      </c>
      <c r="H154" s="3091">
        <f t="shared" ca="1" si="21"/>
        <v>0</v>
      </c>
      <c r="I154" s="3093" t="s">
        <v>6810</v>
      </c>
      <c r="J154" s="3072"/>
      <c r="K154" s="3090">
        <f t="shared" si="19"/>
        <v>0</v>
      </c>
      <c r="L154" s="3071">
        <f ca="1">INDIRECT("Notes!CheckB"&amp;$C154)</f>
        <v>0</v>
      </c>
      <c r="M154" s="3093" t="s">
        <v>6810</v>
      </c>
      <c r="N154" s="3072"/>
      <c r="O154" s="3099"/>
      <c r="P154" s="3100"/>
      <c r="Q154" s="3100"/>
      <c r="R154" s="3100"/>
      <c r="S154" s="3101" t="s">
        <v>295</v>
      </c>
      <c r="T154" s="3101" t="s">
        <v>213</v>
      </c>
      <c r="U154" s="3102"/>
      <c r="V154" s="3102" t="s">
        <v>295</v>
      </c>
      <c r="W154" s="3102" t="s">
        <v>6804</v>
      </c>
      <c r="X154" s="3102" t="s">
        <v>213</v>
      </c>
      <c r="Y154" s="3103" t="s">
        <v>164</v>
      </c>
    </row>
    <row r="155" spans="1:25" ht="18" hidden="1">
      <c r="A155" s="1304"/>
      <c r="B155" s="643">
        <v>1531</v>
      </c>
      <c r="C155" s="643" t="s">
        <v>977</v>
      </c>
      <c r="D155" s="3087">
        <v>2</v>
      </c>
      <c r="E155" s="3088" t="str">
        <f t="shared" si="17"/>
        <v>长期应收款</v>
      </c>
      <c r="F155" s="3089" t="s">
        <v>978</v>
      </c>
      <c r="G155" s="3090">
        <f t="shared" si="18"/>
        <v>0</v>
      </c>
      <c r="H155" s="3091">
        <f t="shared" ca="1" si="21"/>
        <v>0</v>
      </c>
      <c r="I155" s="3093" t="s">
        <v>6810</v>
      </c>
      <c r="J155" s="3072"/>
      <c r="K155" s="3090">
        <f t="shared" si="19"/>
        <v>0</v>
      </c>
      <c r="L155" s="3071" t="s">
        <v>6806</v>
      </c>
      <c r="M155" s="3093" t="s">
        <v>6810</v>
      </c>
      <c r="N155" s="3072"/>
      <c r="O155" s="3099"/>
      <c r="P155" s="3100"/>
      <c r="Q155" s="3100"/>
      <c r="R155" s="3100"/>
      <c r="S155" s="3101" t="s">
        <v>295</v>
      </c>
      <c r="T155" s="3101" t="s">
        <v>213</v>
      </c>
      <c r="U155" s="3102"/>
      <c r="V155" s="3102" t="s">
        <v>295</v>
      </c>
      <c r="W155" s="3102" t="s">
        <v>6804</v>
      </c>
      <c r="X155" s="3102" t="s">
        <v>213</v>
      </c>
      <c r="Y155" s="3103" t="s">
        <v>164</v>
      </c>
    </row>
    <row r="156" spans="1:25" ht="18">
      <c r="A156" s="1304"/>
      <c r="B156" s="643">
        <v>1511</v>
      </c>
      <c r="C156" s="643" t="s">
        <v>5619</v>
      </c>
      <c r="D156" s="3087">
        <v>1</v>
      </c>
      <c r="E156" s="3088" t="str">
        <f t="shared" si="17"/>
        <v>长期股权投资</v>
      </c>
      <c r="F156" s="3089" t="s">
        <v>5621</v>
      </c>
      <c r="G156" s="3090">
        <f t="shared" si="18"/>
        <v>0</v>
      </c>
      <c r="H156" s="3091">
        <f t="shared" ca="1" si="21"/>
        <v>0</v>
      </c>
      <c r="I156" s="3093">
        <f ca="1">IF(AND(LEN(G156)&gt;0,LEN(H156)&gt;0),ROUND(SUM(G156)-SUM(H156),2),"")</f>
        <v>0</v>
      </c>
      <c r="J156" s="3072" t="str">
        <f ca="1">IF(ISNA(I156),"N/A",IF(I156=0,"√","？"))</f>
        <v>√</v>
      </c>
      <c r="K156" s="3090">
        <f t="shared" si="19"/>
        <v>0</v>
      </c>
      <c r="L156" s="3071">
        <f ca="1">INDIRECT("Notes!CheckB"&amp;$C156)</f>
        <v>0</v>
      </c>
      <c r="M156" s="3093">
        <f ca="1">IF(AND(LEN(K156)&gt;0,LEN(L156)&gt;0),ROUND(SUM(K156)-SUM(L156),2),"")</f>
        <v>0</v>
      </c>
      <c r="N156" s="3072" t="str">
        <f ca="1">IF(ISNA(M156),"N/A",IF(M156=0,"√","？"))</f>
        <v>√</v>
      </c>
      <c r="O156" s="3099"/>
      <c r="P156" s="3100"/>
      <c r="Q156" s="3100"/>
      <c r="R156" s="3100"/>
      <c r="S156" s="3101" t="s">
        <v>295</v>
      </c>
      <c r="T156" s="3101" t="s">
        <v>213</v>
      </c>
      <c r="U156" s="3102"/>
      <c r="V156" s="3102" t="s">
        <v>295</v>
      </c>
      <c r="W156" s="3102" t="s">
        <v>6804</v>
      </c>
      <c r="X156" s="3102" t="s">
        <v>213</v>
      </c>
      <c r="Y156" s="3103" t="s">
        <v>164</v>
      </c>
    </row>
    <row r="157" spans="1:25" ht="24" hidden="1">
      <c r="A157" s="1304"/>
      <c r="B157" s="643">
        <v>1511</v>
      </c>
      <c r="C157" s="643" t="s">
        <v>5620</v>
      </c>
      <c r="D157" s="3087">
        <v>2</v>
      </c>
      <c r="E157" s="3088" t="str">
        <f t="shared" si="17"/>
        <v>长期股权投资</v>
      </c>
      <c r="F157" s="3089" t="s">
        <v>5622</v>
      </c>
      <c r="G157" s="3090">
        <f t="shared" si="18"/>
        <v>0</v>
      </c>
      <c r="H157" s="3091">
        <f t="shared" ca="1" si="21"/>
        <v>0</v>
      </c>
      <c r="I157" s="3093" t="s">
        <v>6810</v>
      </c>
      <c r="J157" s="3072"/>
      <c r="K157" s="3090">
        <f t="shared" si="19"/>
        <v>0</v>
      </c>
      <c r="L157" s="3071">
        <f ca="1">INDIRECT("Notes!CheckB"&amp;$C157)</f>
        <v>0</v>
      </c>
      <c r="M157" s="3093" t="s">
        <v>6810</v>
      </c>
      <c r="N157" s="3072"/>
      <c r="O157" s="3099"/>
      <c r="P157" s="3100"/>
      <c r="Q157" s="3100"/>
      <c r="R157" s="3100"/>
      <c r="S157" s="3101" t="s">
        <v>295</v>
      </c>
      <c r="T157" s="3101" t="s">
        <v>213</v>
      </c>
      <c r="U157" s="3102"/>
      <c r="V157" s="3102" t="s">
        <v>295</v>
      </c>
      <c r="W157" s="3102" t="s">
        <v>6804</v>
      </c>
      <c r="X157" s="3102" t="s">
        <v>213</v>
      </c>
      <c r="Y157" s="3103" t="s">
        <v>164</v>
      </c>
    </row>
    <row r="158" spans="1:25" ht="24" hidden="1">
      <c r="A158" s="1304"/>
      <c r="B158" s="643">
        <v>1511</v>
      </c>
      <c r="C158" s="643" t="s">
        <v>982</v>
      </c>
      <c r="D158" s="3087">
        <v>2</v>
      </c>
      <c r="E158" s="3088" t="str">
        <f t="shared" si="17"/>
        <v>长期股权投资</v>
      </c>
      <c r="F158" s="3089" t="s">
        <v>6442</v>
      </c>
      <c r="G158" s="3090">
        <f t="shared" si="18"/>
        <v>0</v>
      </c>
      <c r="H158" s="3091">
        <f t="shared" ca="1" si="21"/>
        <v>0</v>
      </c>
      <c r="I158" s="3093" t="s">
        <v>6810</v>
      </c>
      <c r="J158" s="3072"/>
      <c r="K158" s="3090"/>
      <c r="L158" s="3071"/>
      <c r="M158" s="3093" t="s">
        <v>6810</v>
      </c>
      <c r="N158" s="3072"/>
      <c r="O158" s="3099"/>
      <c r="P158" s="3100"/>
      <c r="Q158" s="3100"/>
      <c r="R158" s="3100"/>
      <c r="S158" s="3101" t="s">
        <v>295</v>
      </c>
      <c r="T158" s="3101" t="s">
        <v>213</v>
      </c>
      <c r="U158" s="3102"/>
      <c r="V158" s="3102" t="s">
        <v>295</v>
      </c>
      <c r="W158" s="3102" t="s">
        <v>6804</v>
      </c>
      <c r="X158" s="3102" t="s">
        <v>6805</v>
      </c>
      <c r="Y158" s="3103" t="s">
        <v>164</v>
      </c>
    </row>
    <row r="159" spans="1:25" ht="18">
      <c r="A159" s="1304"/>
      <c r="B159" s="643">
        <v>1538</v>
      </c>
      <c r="C159" s="643" t="s">
        <v>993</v>
      </c>
      <c r="D159" s="3087">
        <v>1</v>
      </c>
      <c r="E159" s="3088" t="str">
        <f t="shared" si="17"/>
        <v>其他权益工具投资</v>
      </c>
      <c r="F159" s="3089" t="s">
        <v>994</v>
      </c>
      <c r="G159" s="3090">
        <f t="shared" si="18"/>
        <v>0</v>
      </c>
      <c r="H159" s="3091">
        <f t="shared" ca="1" si="21"/>
        <v>0</v>
      </c>
      <c r="I159" s="3093">
        <f ca="1">IF(AND(LEN(G159)&gt;0,LEN(H159)&gt;0),ROUND(SUM(G159)-SUM(H159),2),"")</f>
        <v>0</v>
      </c>
      <c r="J159" s="3072" t="str">
        <f ca="1">IF(ISNA(I159),"N/A",IF(I159=0,"√","？"))</f>
        <v>√</v>
      </c>
      <c r="K159" s="3090">
        <f t="shared" ref="K159:K222" si="22">IF(ISERROR(VLOOKUP($B159,Sheet_Trialbal,10,0)),"        ----",VLOOKUP($B159,Sheet_Trialbal,10,0))</f>
        <v>0</v>
      </c>
      <c r="L159" s="3071">
        <f ca="1">INDIRECT("Notes!CheckB"&amp;$C159)</f>
        <v>0</v>
      </c>
      <c r="M159" s="3093">
        <f ca="1">IF(AND(LEN(K159)&gt;0,LEN(L159)&gt;0),ROUND(SUM(K159)-SUM(L159),2),"")</f>
        <v>0</v>
      </c>
      <c r="N159" s="3072" t="str">
        <f ca="1">IF(ISNA(M159),"N/A",IF(M159=0,"√","？"))</f>
        <v>√</v>
      </c>
      <c r="O159" s="3099"/>
      <c r="P159" s="3100"/>
      <c r="Q159" s="3100"/>
      <c r="R159" s="3100"/>
      <c r="S159" s="3101" t="s">
        <v>295</v>
      </c>
      <c r="T159" s="3101" t="s">
        <v>213</v>
      </c>
      <c r="U159" s="3102"/>
      <c r="V159" s="3102" t="s">
        <v>295</v>
      </c>
      <c r="W159" s="3102" t="s">
        <v>145</v>
      </c>
      <c r="X159" s="3102" t="s">
        <v>6807</v>
      </c>
      <c r="Y159" s="3103" t="s">
        <v>119</v>
      </c>
    </row>
    <row r="160" spans="1:25" ht="24" hidden="1">
      <c r="A160" s="1304"/>
      <c r="B160" s="643">
        <v>1538</v>
      </c>
      <c r="C160" s="643" t="s">
        <v>1000</v>
      </c>
      <c r="D160" s="3087">
        <v>2</v>
      </c>
      <c r="E160" s="3088" t="str">
        <f t="shared" si="17"/>
        <v>其他权益工具投资</v>
      </c>
      <c r="F160" s="3089" t="s">
        <v>1001</v>
      </c>
      <c r="G160" s="3090">
        <f t="shared" si="18"/>
        <v>0</v>
      </c>
      <c r="H160" s="3091">
        <f t="shared" ca="1" si="21"/>
        <v>0</v>
      </c>
      <c r="I160" s="3093" t="s">
        <v>6810</v>
      </c>
      <c r="J160" s="3072"/>
      <c r="K160" s="3090">
        <f t="shared" si="22"/>
        <v>0</v>
      </c>
      <c r="L160" s="3071" t="s">
        <v>6806</v>
      </c>
      <c r="M160" s="3093" t="s">
        <v>6810</v>
      </c>
      <c r="N160" s="3072"/>
      <c r="O160" s="3099"/>
      <c r="P160" s="3100"/>
      <c r="Q160" s="3100"/>
      <c r="R160" s="3100"/>
      <c r="S160" s="3101" t="s">
        <v>295</v>
      </c>
      <c r="T160" s="3101" t="s">
        <v>213</v>
      </c>
      <c r="U160" s="3102"/>
      <c r="V160" s="3102" t="s">
        <v>295</v>
      </c>
      <c r="W160" s="3102" t="s">
        <v>145</v>
      </c>
      <c r="X160" s="3102" t="s">
        <v>6807</v>
      </c>
      <c r="Y160" s="3103" t="s">
        <v>119</v>
      </c>
    </row>
    <row r="161" spans="1:25" ht="24">
      <c r="A161" s="1304"/>
      <c r="B161" s="643">
        <v>1539</v>
      </c>
      <c r="C161" s="643" t="s">
        <v>1006</v>
      </c>
      <c r="D161" s="3087">
        <v>1</v>
      </c>
      <c r="E161" s="3088" t="str">
        <f t="shared" si="17"/>
        <v>其他非流动金融资产</v>
      </c>
      <c r="F161" s="3089" t="s">
        <v>1007</v>
      </c>
      <c r="G161" s="3090">
        <f t="shared" si="18"/>
        <v>3003000</v>
      </c>
      <c r="H161" s="3091">
        <f t="shared" ca="1" si="21"/>
        <v>3003000</v>
      </c>
      <c r="I161" s="3093">
        <f ca="1">IF(AND(LEN(G161)&gt;0,LEN(H161)&gt;0),ROUND(SUM(G161)-SUM(H161),2),"")</f>
        <v>0</v>
      </c>
      <c r="J161" s="3072" t="str">
        <f ca="1">IF(ISNA(I161),"N/A",IF(I161=0,"√","？"))</f>
        <v>√</v>
      </c>
      <c r="K161" s="3090">
        <f t="shared" si="22"/>
        <v>0</v>
      </c>
      <c r="L161" s="3071">
        <f ca="1">INDIRECT("Notes!CheckB"&amp;$C161)</f>
        <v>0</v>
      </c>
      <c r="M161" s="3093">
        <f ca="1">IF(AND(LEN(K161)&gt;0,LEN(L161)&gt;0),ROUND(SUM(K161)-SUM(L161),2),"")</f>
        <v>0</v>
      </c>
      <c r="N161" s="3072" t="str">
        <f ca="1">IF(ISNA(M161),"N/A",IF(M161=0,"√","？"))</f>
        <v>√</v>
      </c>
      <c r="O161" s="3099"/>
      <c r="P161" s="3100"/>
      <c r="Q161" s="3100"/>
      <c r="R161" s="3100"/>
      <c r="S161" s="3101" t="s">
        <v>295</v>
      </c>
      <c r="T161" s="3101" t="s">
        <v>213</v>
      </c>
      <c r="U161" s="3102"/>
      <c r="V161" s="3102" t="s">
        <v>295</v>
      </c>
      <c r="W161" s="3102" t="s">
        <v>145</v>
      </c>
      <c r="X161" s="3102" t="s">
        <v>6807</v>
      </c>
      <c r="Y161" s="3103" t="s">
        <v>119</v>
      </c>
    </row>
    <row r="162" spans="1:25" ht="24" hidden="1">
      <c r="A162" s="1304"/>
      <c r="B162" s="643">
        <v>1539</v>
      </c>
      <c r="C162" s="643" t="s">
        <v>5615</v>
      </c>
      <c r="D162" s="3087">
        <v>2</v>
      </c>
      <c r="E162" s="3088" t="str">
        <f t="shared" si="17"/>
        <v>其他非流动金融资产</v>
      </c>
      <c r="F162" s="3089" t="s">
        <v>5617</v>
      </c>
      <c r="G162" s="3090">
        <f t="shared" si="18"/>
        <v>3003000</v>
      </c>
      <c r="H162" s="3091">
        <f t="shared" ca="1" si="21"/>
        <v>0</v>
      </c>
      <c r="I162" s="3093" t="s">
        <v>6810</v>
      </c>
      <c r="J162" s="3072"/>
      <c r="K162" s="3090">
        <f t="shared" si="22"/>
        <v>0</v>
      </c>
      <c r="L162" s="3071">
        <f ca="1">INDIRECT("Notes!CheckB"&amp;$C162)</f>
        <v>0</v>
      </c>
      <c r="M162" s="3093" t="s">
        <v>6810</v>
      </c>
      <c r="N162" s="3072"/>
      <c r="O162" s="3099"/>
      <c r="P162" s="3100"/>
      <c r="Q162" s="3100"/>
      <c r="R162" s="3100"/>
      <c r="S162" s="3101" t="s">
        <v>295</v>
      </c>
      <c r="T162" s="3101" t="s">
        <v>213</v>
      </c>
      <c r="U162" s="3102"/>
      <c r="V162" s="3102" t="s">
        <v>295</v>
      </c>
      <c r="W162" s="3102" t="s">
        <v>145</v>
      </c>
      <c r="X162" s="3102" t="s">
        <v>213</v>
      </c>
      <c r="Y162" s="3103" t="s">
        <v>119</v>
      </c>
    </row>
    <row r="163" spans="1:25" ht="24" hidden="1">
      <c r="A163" s="1304"/>
      <c r="B163" s="643">
        <v>1539</v>
      </c>
      <c r="C163" s="643" t="s">
        <v>5616</v>
      </c>
      <c r="D163" s="3087">
        <v>2</v>
      </c>
      <c r="E163" s="3088" t="str">
        <f t="shared" si="17"/>
        <v>其他非流动金融资产</v>
      </c>
      <c r="F163" s="3089" t="s">
        <v>5618</v>
      </c>
      <c r="G163" s="3090">
        <f t="shared" si="18"/>
        <v>3003000</v>
      </c>
      <c r="H163" s="3091">
        <f t="shared" ca="1" si="21"/>
        <v>0</v>
      </c>
      <c r="I163" s="3093" t="s">
        <v>6810</v>
      </c>
      <c r="J163" s="3072"/>
      <c r="K163" s="3090">
        <f t="shared" si="22"/>
        <v>0</v>
      </c>
      <c r="L163" s="3071">
        <f ca="1">INDIRECT("Notes!CheckB"&amp;$C163)</f>
        <v>0</v>
      </c>
      <c r="M163" s="3093" t="s">
        <v>6810</v>
      </c>
      <c r="N163" s="3072"/>
      <c r="O163" s="3099"/>
      <c r="P163" s="3100"/>
      <c r="Q163" s="3100"/>
      <c r="R163" s="3100"/>
      <c r="S163" s="3101" t="s">
        <v>295</v>
      </c>
      <c r="T163" s="3101" t="s">
        <v>213</v>
      </c>
      <c r="U163" s="3102"/>
      <c r="V163" s="3102" t="s">
        <v>295</v>
      </c>
      <c r="W163" s="3102" t="s">
        <v>145</v>
      </c>
      <c r="X163" s="3102" t="s">
        <v>213</v>
      </c>
      <c r="Y163" s="3103" t="s">
        <v>119</v>
      </c>
    </row>
    <row r="164" spans="1:25" ht="24" hidden="1">
      <c r="A164" s="1304"/>
      <c r="B164" s="643">
        <v>1521</v>
      </c>
      <c r="C164" s="643" t="s">
        <v>1051</v>
      </c>
      <c r="D164" s="3087">
        <v>2</v>
      </c>
      <c r="E164" s="3088" t="str">
        <f t="shared" si="17"/>
        <v>投资性房地产</v>
      </c>
      <c r="F164" s="3089" t="s">
        <v>1052</v>
      </c>
      <c r="G164" s="3090">
        <f t="shared" si="18"/>
        <v>0</v>
      </c>
      <c r="H164" s="3091">
        <f t="shared" ca="1" si="21"/>
        <v>0</v>
      </c>
      <c r="I164" s="3093" t="s">
        <v>6810</v>
      </c>
      <c r="J164" s="3072"/>
      <c r="K164" s="3090">
        <f t="shared" si="22"/>
        <v>0</v>
      </c>
      <c r="L164" s="3071">
        <f ca="1">INDIRECT("Notes!CheckB"&amp;$C164)</f>
        <v>0</v>
      </c>
      <c r="M164" s="3093" t="s">
        <v>6810</v>
      </c>
      <c r="N164" s="3072"/>
      <c r="O164" s="3099"/>
      <c r="P164" s="3100"/>
      <c r="Q164" s="3100"/>
      <c r="R164" s="3100"/>
      <c r="S164" s="3101" t="s">
        <v>295</v>
      </c>
      <c r="T164" s="3101" t="s">
        <v>213</v>
      </c>
      <c r="U164" s="3102">
        <v>1521</v>
      </c>
      <c r="V164" s="3102" t="s">
        <v>295</v>
      </c>
      <c r="W164" s="3102" t="s">
        <v>6804</v>
      </c>
      <c r="X164" s="3102" t="s">
        <v>6805</v>
      </c>
      <c r="Y164" s="3103" t="s">
        <v>164</v>
      </c>
    </row>
    <row r="165" spans="1:25" ht="24" hidden="1">
      <c r="A165" s="1304"/>
      <c r="B165" s="643">
        <v>1521</v>
      </c>
      <c r="C165" s="643" t="s">
        <v>1058</v>
      </c>
      <c r="D165" s="3087">
        <v>2</v>
      </c>
      <c r="E165" s="3088" t="str">
        <f t="shared" si="17"/>
        <v>投资性房地产</v>
      </c>
      <c r="F165" s="3089" t="s">
        <v>1059</v>
      </c>
      <c r="G165" s="3090">
        <f t="shared" si="18"/>
        <v>0</v>
      </c>
      <c r="H165" s="3091">
        <f t="shared" ca="1" si="21"/>
        <v>0</v>
      </c>
      <c r="I165" s="3093" t="s">
        <v>6810</v>
      </c>
      <c r="J165" s="3072"/>
      <c r="K165" s="3090">
        <f t="shared" si="22"/>
        <v>0</v>
      </c>
      <c r="L165" s="3071">
        <f ca="1">INDIRECT("Notes!CheckB"&amp;$C165)</f>
        <v>0</v>
      </c>
      <c r="M165" s="3093" t="s">
        <v>6810</v>
      </c>
      <c r="N165" s="3072"/>
      <c r="O165" s="3099"/>
      <c r="P165" s="3100"/>
      <c r="Q165" s="3100"/>
      <c r="R165" s="3100"/>
      <c r="S165" s="3101" t="s">
        <v>295</v>
      </c>
      <c r="T165" s="3101" t="s">
        <v>213</v>
      </c>
      <c r="U165" s="3102">
        <v>1521</v>
      </c>
      <c r="V165" s="3102" t="s">
        <v>295</v>
      </c>
      <c r="W165" s="3102" t="s">
        <v>6804</v>
      </c>
      <c r="X165" s="3102" t="s">
        <v>6805</v>
      </c>
      <c r="Y165" s="3103" t="s">
        <v>164</v>
      </c>
    </row>
    <row r="166" spans="1:25" ht="24" hidden="1">
      <c r="A166" s="1304"/>
      <c r="B166" s="643">
        <v>1521</v>
      </c>
      <c r="C166" s="643" t="s">
        <v>1062</v>
      </c>
      <c r="D166" s="3087">
        <v>2</v>
      </c>
      <c r="E166" s="3088" t="str">
        <f t="shared" si="17"/>
        <v>投资性房地产</v>
      </c>
      <c r="F166" s="3089" t="s">
        <v>1063</v>
      </c>
      <c r="G166" s="3090">
        <f t="shared" si="18"/>
        <v>0</v>
      </c>
      <c r="H166" s="3091" t="s">
        <v>6806</v>
      </c>
      <c r="I166" s="3093" t="s">
        <v>6810</v>
      </c>
      <c r="J166" s="3072"/>
      <c r="K166" s="3090">
        <f t="shared" si="22"/>
        <v>0</v>
      </c>
      <c r="L166" s="3071" t="s">
        <v>6806</v>
      </c>
      <c r="M166" s="3093" t="s">
        <v>6810</v>
      </c>
      <c r="N166" s="3072"/>
      <c r="O166" s="3099"/>
      <c r="P166" s="3100"/>
      <c r="Q166" s="3100"/>
      <c r="R166" s="3100"/>
      <c r="S166" s="3101" t="s">
        <v>295</v>
      </c>
      <c r="T166" s="3101" t="s">
        <v>213</v>
      </c>
      <c r="U166" s="3102">
        <v>1521</v>
      </c>
      <c r="V166" s="3102" t="s">
        <v>295</v>
      </c>
      <c r="W166" s="3102" t="s">
        <v>6804</v>
      </c>
      <c r="X166" s="3102" t="s">
        <v>6805</v>
      </c>
      <c r="Y166" s="3103" t="s">
        <v>164</v>
      </c>
    </row>
    <row r="167" spans="1:25" ht="18" hidden="1">
      <c r="A167" s="1304"/>
      <c r="B167" s="643">
        <v>1521</v>
      </c>
      <c r="C167" s="643" t="s">
        <v>1088</v>
      </c>
      <c r="D167" s="3087">
        <v>2</v>
      </c>
      <c r="E167" s="3088" t="str">
        <f t="shared" si="17"/>
        <v>投资性房地产</v>
      </c>
      <c r="F167" s="3089" t="s">
        <v>1089</v>
      </c>
      <c r="G167" s="3090">
        <f t="shared" si="18"/>
        <v>0</v>
      </c>
      <c r="H167" s="3091" t="s">
        <v>6806</v>
      </c>
      <c r="I167" s="3093" t="s">
        <v>6810</v>
      </c>
      <c r="J167" s="3072"/>
      <c r="K167" s="3090">
        <f t="shared" si="22"/>
        <v>0</v>
      </c>
      <c r="L167" s="3071" t="s">
        <v>6806</v>
      </c>
      <c r="M167" s="3093" t="s">
        <v>6810</v>
      </c>
      <c r="N167" s="3072"/>
      <c r="O167" s="3099"/>
      <c r="P167" s="3100"/>
      <c r="Q167" s="3100"/>
      <c r="R167" s="3100"/>
      <c r="S167" s="3101" t="s">
        <v>295</v>
      </c>
      <c r="T167" s="3101" t="s">
        <v>213</v>
      </c>
      <c r="U167" s="3102">
        <v>1521</v>
      </c>
      <c r="V167" s="3102" t="s">
        <v>295</v>
      </c>
      <c r="W167" s="3102" t="s">
        <v>6804</v>
      </c>
      <c r="X167" s="3102" t="s">
        <v>213</v>
      </c>
      <c r="Y167" s="3103" t="s">
        <v>164</v>
      </c>
    </row>
    <row r="168" spans="1:25" ht="18">
      <c r="A168" s="1304"/>
      <c r="B168" s="643">
        <v>1611</v>
      </c>
      <c r="C168" s="643" t="s">
        <v>1098</v>
      </c>
      <c r="D168" s="3087">
        <v>1</v>
      </c>
      <c r="E168" s="3088" t="str">
        <f t="shared" si="17"/>
        <v>固定资产（报表项目）</v>
      </c>
      <c r="F168" s="3089" t="s">
        <v>1099</v>
      </c>
      <c r="G168" s="3090">
        <f t="shared" si="18"/>
        <v>80029486.859999999</v>
      </c>
      <c r="H168" s="3091">
        <f t="shared" ref="H168:H173" ca="1" si="23">INDIRECT("Notes!CheckA"&amp;$C168)</f>
        <v>80029486.859999999</v>
      </c>
      <c r="I168" s="3093">
        <f ca="1">IF(AND(LEN(G168)&gt;0,LEN(H168)&gt;0),ROUND(SUM(G168)-SUM(H168),2),"")</f>
        <v>0</v>
      </c>
      <c r="J168" s="3072" t="str">
        <f ca="1">IF(ISNA(I168),"N/A",IF(I168=0,"√","？"))</f>
        <v>√</v>
      </c>
      <c r="K168" s="3090">
        <f t="shared" si="22"/>
        <v>99146371.280000001</v>
      </c>
      <c r="L168" s="3071">
        <f ca="1">INDIRECT("Notes!CheckB"&amp;$C168)</f>
        <v>99146371.280000001</v>
      </c>
      <c r="M168" s="3093">
        <f ca="1">IF(AND(LEN(K168)&gt;0,LEN(L168)&gt;0),ROUND(SUM(K168)-SUM(L168),2),"")</f>
        <v>0</v>
      </c>
      <c r="N168" s="3072" t="str">
        <f ca="1">IF(ISNA(M168),"N/A",IF(M168=0,"√","？"))</f>
        <v>√</v>
      </c>
      <c r="O168" s="3099"/>
      <c r="P168" s="3100"/>
      <c r="Q168" s="3100"/>
      <c r="R168" s="3100"/>
      <c r="S168" s="3101" t="s">
        <v>295</v>
      </c>
      <c r="T168" s="3101" t="s">
        <v>213</v>
      </c>
      <c r="U168" s="3102">
        <v>1611</v>
      </c>
      <c r="V168" s="3102" t="s">
        <v>295</v>
      </c>
      <c r="W168" s="3102" t="s">
        <v>6804</v>
      </c>
      <c r="X168" s="3102" t="s">
        <v>6805</v>
      </c>
      <c r="Y168" s="3103" t="s">
        <v>164</v>
      </c>
    </row>
    <row r="169" spans="1:25" ht="18">
      <c r="A169" s="1304"/>
      <c r="B169" s="643">
        <v>1601</v>
      </c>
      <c r="C169" s="643" t="s">
        <v>1105</v>
      </c>
      <c r="D169" s="3087">
        <v>1</v>
      </c>
      <c r="E169" s="3088" t="str">
        <f t="shared" si="17"/>
        <v>固定资产</v>
      </c>
      <c r="F169" s="3089" t="s">
        <v>1106</v>
      </c>
      <c r="G169" s="3090">
        <f t="shared" si="18"/>
        <v>80029486.859999999</v>
      </c>
      <c r="H169" s="3091">
        <f t="shared" ca="1" si="23"/>
        <v>80029486.859999999</v>
      </c>
      <c r="I169" s="3093">
        <f ca="1">IF(AND(LEN(G169)&gt;0,LEN(H169)&gt;0),ROUND(SUM(G169)-SUM(H169),2),"")</f>
        <v>0</v>
      </c>
      <c r="J169" s="3072" t="str">
        <f ca="1">IF(ISNA(I169),"N/A",IF(I169=0,"√","？"))</f>
        <v>√</v>
      </c>
      <c r="K169" s="3090">
        <f t="shared" si="22"/>
        <v>99146371.280000001</v>
      </c>
      <c r="L169" s="3071">
        <f ca="1">INDIRECT("Notes!CheckB"&amp;$C169)</f>
        <v>99146371.280000001</v>
      </c>
      <c r="M169" s="3093">
        <f ca="1">IF(AND(LEN(K169)&gt;0,LEN(L169)&gt;0),ROUND(SUM(K169)-SUM(L169),2),"")</f>
        <v>0</v>
      </c>
      <c r="N169" s="3072" t="str">
        <f ca="1">IF(ISNA(M169),"N/A",IF(M169=0,"√","？"))</f>
        <v>√</v>
      </c>
      <c r="O169" s="3099"/>
      <c r="P169" s="3100"/>
      <c r="Q169" s="3100"/>
      <c r="R169" s="3100"/>
      <c r="S169" s="3101" t="s">
        <v>295</v>
      </c>
      <c r="T169" s="3101" t="s">
        <v>213</v>
      </c>
      <c r="U169" s="3102">
        <v>1601</v>
      </c>
      <c r="V169" s="3102" t="s">
        <v>295</v>
      </c>
      <c r="W169" s="3102" t="s">
        <v>6804</v>
      </c>
      <c r="X169" s="3102" t="s">
        <v>6805</v>
      </c>
      <c r="Y169" s="3103" t="s">
        <v>164</v>
      </c>
    </row>
    <row r="170" spans="1:25" ht="24" hidden="1">
      <c r="A170" s="1304"/>
      <c r="B170" s="643">
        <v>1601</v>
      </c>
      <c r="C170" s="643" t="s">
        <v>1116</v>
      </c>
      <c r="D170" s="3087">
        <v>2</v>
      </c>
      <c r="E170" s="3088" t="str">
        <f t="shared" si="17"/>
        <v>固定资产</v>
      </c>
      <c r="F170" s="3089" t="s">
        <v>1117</v>
      </c>
      <c r="G170" s="3090">
        <f t="shared" si="18"/>
        <v>80029486.859999999</v>
      </c>
      <c r="H170" s="3091">
        <f t="shared" ca="1" si="23"/>
        <v>0</v>
      </c>
      <c r="I170" s="3093" t="s">
        <v>6810</v>
      </c>
      <c r="J170" s="3072"/>
      <c r="K170" s="3090">
        <f t="shared" si="22"/>
        <v>99146371.280000001</v>
      </c>
      <c r="L170" s="3071" t="s">
        <v>6806</v>
      </c>
      <c r="M170" s="3093" t="s">
        <v>6810</v>
      </c>
      <c r="N170" s="3072"/>
      <c r="O170" s="3099"/>
      <c r="P170" s="3100"/>
      <c r="Q170" s="3100"/>
      <c r="R170" s="3100"/>
      <c r="S170" s="3101" t="s">
        <v>295</v>
      </c>
      <c r="T170" s="3101" t="s">
        <v>213</v>
      </c>
      <c r="U170" s="3102">
        <v>1601</v>
      </c>
      <c r="V170" s="3102" t="s">
        <v>295</v>
      </c>
      <c r="W170" s="3102" t="s">
        <v>6804</v>
      </c>
      <c r="X170" s="3102" t="s">
        <v>6807</v>
      </c>
      <c r="Y170" s="3103" t="s">
        <v>164</v>
      </c>
    </row>
    <row r="171" spans="1:25" ht="24" hidden="1">
      <c r="A171" s="1304"/>
      <c r="B171" s="643">
        <v>1601</v>
      </c>
      <c r="C171" s="643" t="s">
        <v>1120</v>
      </c>
      <c r="D171" s="3087">
        <v>2</v>
      </c>
      <c r="E171" s="3088" t="str">
        <f t="shared" si="17"/>
        <v>固定资产</v>
      </c>
      <c r="F171" s="3089" t="s">
        <v>1121</v>
      </c>
      <c r="G171" s="3090">
        <f t="shared" si="18"/>
        <v>80029486.859999999</v>
      </c>
      <c r="H171" s="3091">
        <f t="shared" ca="1" si="23"/>
        <v>0</v>
      </c>
      <c r="I171" s="3093" t="s">
        <v>6810</v>
      </c>
      <c r="J171" s="3072"/>
      <c r="K171" s="3090">
        <f t="shared" si="22"/>
        <v>99146371.280000001</v>
      </c>
      <c r="L171" s="3071" t="s">
        <v>6806</v>
      </c>
      <c r="M171" s="3093" t="s">
        <v>6810</v>
      </c>
      <c r="N171" s="3072"/>
      <c r="O171" s="3099"/>
      <c r="P171" s="3100"/>
      <c r="Q171" s="3100"/>
      <c r="R171" s="3100"/>
      <c r="S171" s="3101" t="s">
        <v>295</v>
      </c>
      <c r="T171" s="3101" t="s">
        <v>213</v>
      </c>
      <c r="U171" s="3102">
        <v>1601</v>
      </c>
      <c r="V171" s="3102" t="s">
        <v>295</v>
      </c>
      <c r="W171" s="3102" t="s">
        <v>6804</v>
      </c>
      <c r="X171" s="3102" t="s">
        <v>6805</v>
      </c>
      <c r="Y171" s="3103" t="s">
        <v>164</v>
      </c>
    </row>
    <row r="172" spans="1:25" ht="24" hidden="1">
      <c r="A172" s="1304"/>
      <c r="B172" s="643">
        <v>1601</v>
      </c>
      <c r="C172" s="643" t="s">
        <v>1126</v>
      </c>
      <c r="D172" s="3087">
        <v>2</v>
      </c>
      <c r="E172" s="3088" t="str">
        <f t="shared" si="17"/>
        <v>固定资产</v>
      </c>
      <c r="F172" s="3089" t="s">
        <v>1127</v>
      </c>
      <c r="G172" s="3090">
        <f t="shared" si="18"/>
        <v>80029486.859999999</v>
      </c>
      <c r="H172" s="3091">
        <f t="shared" ca="1" si="23"/>
        <v>0</v>
      </c>
      <c r="I172" s="3093" t="s">
        <v>6810</v>
      </c>
      <c r="J172" s="3072"/>
      <c r="K172" s="3090">
        <f t="shared" si="22"/>
        <v>99146371.280000001</v>
      </c>
      <c r="L172" s="3071" t="s">
        <v>6806</v>
      </c>
      <c r="M172" s="3093" t="s">
        <v>6810</v>
      </c>
      <c r="N172" s="3072"/>
      <c r="O172" s="3099"/>
      <c r="P172" s="3100"/>
      <c r="Q172" s="3100"/>
      <c r="R172" s="3100"/>
      <c r="S172" s="3101" t="s">
        <v>295</v>
      </c>
      <c r="T172" s="3101" t="s">
        <v>213</v>
      </c>
      <c r="U172" s="3102">
        <v>1601</v>
      </c>
      <c r="V172" s="3102" t="s">
        <v>295</v>
      </c>
      <c r="W172" s="3102" t="s">
        <v>6804</v>
      </c>
      <c r="X172" s="3102" t="s">
        <v>6805</v>
      </c>
      <c r="Y172" s="3103" t="s">
        <v>164</v>
      </c>
    </row>
    <row r="173" spans="1:25" ht="24" hidden="1">
      <c r="A173" s="1304"/>
      <c r="B173" s="643">
        <v>1601</v>
      </c>
      <c r="C173" s="643" t="s">
        <v>1131</v>
      </c>
      <c r="D173" s="3087">
        <v>2</v>
      </c>
      <c r="E173" s="3088" t="str">
        <f t="shared" si="17"/>
        <v>固定资产</v>
      </c>
      <c r="F173" s="3089" t="s">
        <v>1132</v>
      </c>
      <c r="G173" s="3090">
        <f t="shared" si="18"/>
        <v>80029486.859999999</v>
      </c>
      <c r="H173" s="3091">
        <f t="shared" ca="1" si="23"/>
        <v>0</v>
      </c>
      <c r="I173" s="3093" t="s">
        <v>6810</v>
      </c>
      <c r="J173" s="3072"/>
      <c r="K173" s="3090">
        <f t="shared" si="22"/>
        <v>99146371.280000001</v>
      </c>
      <c r="L173" s="3071">
        <f ca="1">INDIRECT("Notes!CheckB"&amp;$C173)</f>
        <v>0</v>
      </c>
      <c r="M173" s="3093" t="s">
        <v>6810</v>
      </c>
      <c r="N173" s="3072"/>
      <c r="O173" s="3099"/>
      <c r="P173" s="3100"/>
      <c r="Q173" s="3100"/>
      <c r="R173" s="3100"/>
      <c r="S173" s="3101" t="s">
        <v>295</v>
      </c>
      <c r="T173" s="3101" t="s">
        <v>213</v>
      </c>
      <c r="U173" s="3102">
        <v>1601</v>
      </c>
      <c r="V173" s="3102" t="s">
        <v>295</v>
      </c>
      <c r="W173" s="3102" t="s">
        <v>6804</v>
      </c>
      <c r="X173" s="3102" t="s">
        <v>6807</v>
      </c>
      <c r="Y173" s="3103" t="s">
        <v>164</v>
      </c>
    </row>
    <row r="174" spans="1:25" ht="36" hidden="1">
      <c r="A174" s="1304"/>
      <c r="B174" s="643">
        <v>1601</v>
      </c>
      <c r="C174" s="643" t="s">
        <v>1136</v>
      </c>
      <c r="D174" s="3087">
        <v>2</v>
      </c>
      <c r="E174" s="3088" t="str">
        <f t="shared" si="17"/>
        <v>固定资产</v>
      </c>
      <c r="F174" s="3089" t="s">
        <v>1137</v>
      </c>
      <c r="G174" s="3090">
        <f t="shared" si="18"/>
        <v>80029486.859999999</v>
      </c>
      <c r="H174" s="3091" t="s">
        <v>6806</v>
      </c>
      <c r="I174" s="3093" t="s">
        <v>6810</v>
      </c>
      <c r="J174" s="3072"/>
      <c r="K174" s="3090">
        <f t="shared" si="22"/>
        <v>99146371.280000001</v>
      </c>
      <c r="L174" s="3071" t="s">
        <v>6806</v>
      </c>
      <c r="M174" s="3093" t="s">
        <v>6810</v>
      </c>
      <c r="N174" s="3072"/>
      <c r="O174" s="3099"/>
      <c r="P174" s="3100"/>
      <c r="Q174" s="3100"/>
      <c r="R174" s="3100"/>
      <c r="S174" s="3101" t="s">
        <v>295</v>
      </c>
      <c r="T174" s="3101" t="s">
        <v>213</v>
      </c>
      <c r="U174" s="3102">
        <v>1601</v>
      </c>
      <c r="V174" s="3102" t="s">
        <v>295</v>
      </c>
      <c r="W174" s="3102" t="s">
        <v>6804</v>
      </c>
      <c r="X174" s="3102" t="s">
        <v>213</v>
      </c>
      <c r="Y174" s="3103" t="s">
        <v>164</v>
      </c>
    </row>
    <row r="175" spans="1:25" ht="18" hidden="1">
      <c r="A175" s="1304"/>
      <c r="B175" s="643">
        <v>1601</v>
      </c>
      <c r="C175" s="643" t="s">
        <v>1156</v>
      </c>
      <c r="D175" s="3087">
        <v>2</v>
      </c>
      <c r="E175" s="3088" t="str">
        <f t="shared" si="17"/>
        <v>固定资产</v>
      </c>
      <c r="F175" s="3089" t="s">
        <v>1157</v>
      </c>
      <c r="G175" s="3090">
        <f t="shared" si="18"/>
        <v>80029486.859999999</v>
      </c>
      <c r="H175" s="3091" t="s">
        <v>6806</v>
      </c>
      <c r="I175" s="3093" t="s">
        <v>6810</v>
      </c>
      <c r="J175" s="3072"/>
      <c r="K175" s="3090">
        <f t="shared" si="22"/>
        <v>99146371.280000001</v>
      </c>
      <c r="L175" s="3071" t="s">
        <v>6806</v>
      </c>
      <c r="M175" s="3093" t="s">
        <v>6810</v>
      </c>
      <c r="N175" s="3072"/>
      <c r="O175" s="3099"/>
      <c r="P175" s="3100"/>
      <c r="Q175" s="3100"/>
      <c r="R175" s="3100"/>
      <c r="S175" s="3101" t="s">
        <v>295</v>
      </c>
      <c r="T175" s="3101" t="s">
        <v>213</v>
      </c>
      <c r="U175" s="3102">
        <v>1601</v>
      </c>
      <c r="V175" s="3102" t="s">
        <v>295</v>
      </c>
      <c r="W175" s="3102" t="s">
        <v>6804</v>
      </c>
      <c r="X175" s="3102" t="s">
        <v>213</v>
      </c>
      <c r="Y175" s="3103" t="s">
        <v>164</v>
      </c>
    </row>
    <row r="176" spans="1:25" ht="24" hidden="1">
      <c r="A176" s="1304"/>
      <c r="B176" s="643">
        <v>1601</v>
      </c>
      <c r="C176" s="643" t="s">
        <v>1162</v>
      </c>
      <c r="D176" s="3087">
        <v>2</v>
      </c>
      <c r="E176" s="3088" t="str">
        <f t="shared" si="17"/>
        <v>固定资产</v>
      </c>
      <c r="F176" s="3089" t="s">
        <v>1163</v>
      </c>
      <c r="G176" s="3090">
        <f t="shared" si="18"/>
        <v>80029486.859999999</v>
      </c>
      <c r="H176" s="3091">
        <f t="shared" ref="H176:H181" ca="1" si="24">INDIRECT("Notes!CheckA"&amp;$C176)</f>
        <v>18205614.109999999</v>
      </c>
      <c r="I176" s="3093" t="s">
        <v>6810</v>
      </c>
      <c r="J176" s="3072"/>
      <c r="K176" s="3090">
        <f t="shared" si="22"/>
        <v>99146371.280000001</v>
      </c>
      <c r="L176" s="3071" t="s">
        <v>6806</v>
      </c>
      <c r="M176" s="3093" t="s">
        <v>6810</v>
      </c>
      <c r="N176" s="3072"/>
      <c r="O176" s="3099"/>
      <c r="P176" s="3100"/>
      <c r="Q176" s="3100"/>
      <c r="R176" s="3100"/>
      <c r="S176" s="3101" t="s">
        <v>295</v>
      </c>
      <c r="T176" s="3101" t="s">
        <v>213</v>
      </c>
      <c r="U176" s="3102">
        <v>1601</v>
      </c>
      <c r="V176" s="3102" t="s">
        <v>295</v>
      </c>
      <c r="W176" s="3102" t="s">
        <v>6804</v>
      </c>
      <c r="X176" s="3102" t="s">
        <v>213</v>
      </c>
      <c r="Y176" s="3103" t="s">
        <v>164</v>
      </c>
    </row>
    <row r="177" spans="1:25" ht="18">
      <c r="A177" s="1304"/>
      <c r="B177" s="643">
        <v>1606</v>
      </c>
      <c r="C177" s="643" t="s">
        <v>1165</v>
      </c>
      <c r="D177" s="3087">
        <v>1</v>
      </c>
      <c r="E177" s="3088" t="str">
        <f t="shared" si="17"/>
        <v>固定资产清理</v>
      </c>
      <c r="F177" s="3089" t="s">
        <v>1166</v>
      </c>
      <c r="G177" s="3090">
        <f t="shared" si="18"/>
        <v>0</v>
      </c>
      <c r="H177" s="3091">
        <f t="shared" ca="1" si="24"/>
        <v>0</v>
      </c>
      <c r="I177" s="3093">
        <f ca="1">IF(AND(LEN(G177)&gt;0,LEN(H177)&gt;0),ROUND(SUM(G177)-SUM(H177),2),"")</f>
        <v>0</v>
      </c>
      <c r="J177" s="3072" t="str">
        <f ca="1">IF(ISNA(I177),"N/A",IF(I177=0,"√","？"))</f>
        <v>√</v>
      </c>
      <c r="K177" s="3090">
        <f t="shared" si="22"/>
        <v>0</v>
      </c>
      <c r="L177" s="3071">
        <f ca="1">INDIRECT("Notes!CheckB"&amp;$C177)</f>
        <v>0</v>
      </c>
      <c r="M177" s="3093">
        <f ca="1">IF(AND(LEN(K177)&gt;0,LEN(L177)&gt;0),ROUND(SUM(K177)-SUM(L177),2),"")</f>
        <v>0</v>
      </c>
      <c r="N177" s="3072" t="str">
        <f ca="1">IF(ISNA(M177),"N/A",IF(M177=0,"√","？"))</f>
        <v>√</v>
      </c>
      <c r="O177" s="3099"/>
      <c r="P177" s="3100"/>
      <c r="Q177" s="3100"/>
      <c r="R177" s="3100"/>
      <c r="S177" s="3101" t="s">
        <v>295</v>
      </c>
      <c r="T177" s="3101" t="s">
        <v>213</v>
      </c>
      <c r="U177" s="3102"/>
      <c r="V177" s="3102" t="s">
        <v>295</v>
      </c>
      <c r="W177" s="3102" t="s">
        <v>6804</v>
      </c>
      <c r="X177" s="3102" t="s">
        <v>6805</v>
      </c>
      <c r="Y177" s="3103" t="s">
        <v>164</v>
      </c>
    </row>
    <row r="178" spans="1:25" ht="18" hidden="1">
      <c r="A178" s="1304"/>
      <c r="B178" s="643">
        <v>1606</v>
      </c>
      <c r="C178" s="643" t="s">
        <v>1170</v>
      </c>
      <c r="D178" s="3087">
        <v>2</v>
      </c>
      <c r="E178" s="3088" t="str">
        <f t="shared" si="17"/>
        <v>固定资产清理</v>
      </c>
      <c r="F178" s="3089" t="s">
        <v>6443</v>
      </c>
      <c r="G178" s="3090">
        <f t="shared" si="18"/>
        <v>0</v>
      </c>
      <c r="H178" s="3091">
        <f t="shared" ca="1" si="24"/>
        <v>0</v>
      </c>
      <c r="I178" s="3093" t="s">
        <v>6810</v>
      </c>
      <c r="J178" s="3072"/>
      <c r="K178" s="3090">
        <f t="shared" si="22"/>
        <v>0</v>
      </c>
      <c r="L178" s="3071">
        <f ca="1">INDIRECT("Notes!CheckB"&amp;$C178)</f>
        <v>0</v>
      </c>
      <c r="M178" s="3093" t="s">
        <v>6810</v>
      </c>
      <c r="N178" s="3072"/>
      <c r="O178" s="3099"/>
      <c r="P178" s="3100"/>
      <c r="Q178" s="3100"/>
      <c r="R178" s="3100"/>
      <c r="S178" s="3101" t="s">
        <v>295</v>
      </c>
      <c r="T178" s="3101" t="s">
        <v>213</v>
      </c>
      <c r="U178" s="3102"/>
      <c r="V178" s="3102" t="s">
        <v>295</v>
      </c>
      <c r="W178" s="3102" t="s">
        <v>6804</v>
      </c>
      <c r="X178" s="3102" t="s">
        <v>213</v>
      </c>
      <c r="Y178" s="3103" t="s">
        <v>164</v>
      </c>
    </row>
    <row r="179" spans="1:25" ht="18">
      <c r="A179" s="1304"/>
      <c r="B179" s="643">
        <v>1616</v>
      </c>
      <c r="C179" s="643" t="s">
        <v>1174</v>
      </c>
      <c r="D179" s="3087">
        <v>1</v>
      </c>
      <c r="E179" s="3088" t="str">
        <f t="shared" si="17"/>
        <v>在建工程（报表项目）</v>
      </c>
      <c r="F179" s="3089" t="s">
        <v>1175</v>
      </c>
      <c r="G179" s="3090">
        <f t="shared" si="18"/>
        <v>36687949.960000001</v>
      </c>
      <c r="H179" s="3091">
        <f t="shared" ca="1" si="24"/>
        <v>36687949.960000001</v>
      </c>
      <c r="I179" s="3093">
        <f ca="1">IF(AND(LEN(G179)&gt;0,LEN(H179)&gt;0),ROUND(SUM(G179)-SUM(H179),2),"")</f>
        <v>0</v>
      </c>
      <c r="J179" s="3072" t="str">
        <f ca="1">IF(ISNA(I179),"N/A",IF(I179=0,"√","？"))</f>
        <v>√</v>
      </c>
      <c r="K179" s="3090">
        <f t="shared" si="22"/>
        <v>43951288.280000001</v>
      </c>
      <c r="L179" s="3071">
        <f ca="1">INDIRECT("Notes!CheckB"&amp;$C179)</f>
        <v>43951288.280000001</v>
      </c>
      <c r="M179" s="3093">
        <f ca="1">IF(AND(LEN(K179)&gt;0,LEN(L179)&gt;0),ROUND(SUM(K179)-SUM(L179),2),"")</f>
        <v>0</v>
      </c>
      <c r="N179" s="3072" t="str">
        <f ca="1">IF(ISNA(M179),"N/A",IF(M179=0,"√","？"))</f>
        <v>√</v>
      </c>
      <c r="O179" s="3099"/>
      <c r="P179" s="3100"/>
      <c r="Q179" s="3100"/>
      <c r="R179" s="3100"/>
      <c r="S179" s="3101" t="s">
        <v>295</v>
      </c>
      <c r="T179" s="3101" t="s">
        <v>213</v>
      </c>
      <c r="U179" s="3102"/>
      <c r="V179" s="3102" t="s">
        <v>295</v>
      </c>
      <c r="W179" s="3102" t="s">
        <v>6804</v>
      </c>
      <c r="X179" s="3102" t="s">
        <v>6805</v>
      </c>
      <c r="Y179" s="3103" t="s">
        <v>164</v>
      </c>
    </row>
    <row r="180" spans="1:25" ht="18">
      <c r="A180" s="1304"/>
      <c r="B180" s="643">
        <v>1604</v>
      </c>
      <c r="C180" s="643" t="s">
        <v>1179</v>
      </c>
      <c r="D180" s="3087">
        <v>1</v>
      </c>
      <c r="E180" s="3088" t="str">
        <f t="shared" si="17"/>
        <v>在建工程</v>
      </c>
      <c r="F180" s="3089" t="s">
        <v>1180</v>
      </c>
      <c r="G180" s="3090">
        <f t="shared" si="18"/>
        <v>29940410.460000001</v>
      </c>
      <c r="H180" s="3091">
        <f t="shared" ca="1" si="24"/>
        <v>29940410.460000001</v>
      </c>
      <c r="I180" s="3093">
        <f ca="1">IF(AND(LEN(G180)&gt;0,LEN(H180)&gt;0),ROUND(SUM(G180)-SUM(H180),2),"")</f>
        <v>0</v>
      </c>
      <c r="J180" s="3072" t="str">
        <f ca="1">IF(ISNA(I180),"N/A",IF(I180=0,"√","？"))</f>
        <v>√</v>
      </c>
      <c r="K180" s="3090">
        <f t="shared" si="22"/>
        <v>43951288.280000001</v>
      </c>
      <c r="L180" s="3071">
        <f ca="1">INDIRECT("Notes!CheckB"&amp;$C180)</f>
        <v>37430861.509999998</v>
      </c>
      <c r="M180" s="3093">
        <f ca="1">IF(AND(LEN(K180)&gt;0,LEN(L180)&gt;0),ROUND(SUM(K180)-SUM(L180),2),"")</f>
        <v>6520426.7699999996</v>
      </c>
      <c r="N180" s="3072" t="str">
        <f ca="1">IF(ISNA(M180),"N/A",IF(M180=0,"√","？"))</f>
        <v>？</v>
      </c>
      <c r="O180" s="3099"/>
      <c r="P180" s="3100"/>
      <c r="Q180" s="3100"/>
      <c r="R180" s="3100"/>
      <c r="S180" s="3101" t="s">
        <v>295</v>
      </c>
      <c r="T180" s="3101" t="s">
        <v>213</v>
      </c>
      <c r="U180" s="3102"/>
      <c r="V180" s="3102" t="s">
        <v>295</v>
      </c>
      <c r="W180" s="3102" t="s">
        <v>6804</v>
      </c>
      <c r="X180" s="3102" t="s">
        <v>6805</v>
      </c>
      <c r="Y180" s="3103" t="s">
        <v>164</v>
      </c>
    </row>
    <row r="181" spans="1:25" ht="24" hidden="1">
      <c r="A181" s="1304"/>
      <c r="B181" s="643">
        <v>1604</v>
      </c>
      <c r="C181" s="643" t="s">
        <v>1190</v>
      </c>
      <c r="D181" s="3087">
        <v>2</v>
      </c>
      <c r="E181" s="3088" t="str">
        <f t="shared" si="17"/>
        <v>在建工程</v>
      </c>
      <c r="F181" s="3089" t="s">
        <v>1191</v>
      </c>
      <c r="G181" s="3090">
        <f t="shared" si="18"/>
        <v>29940410.460000001</v>
      </c>
      <c r="H181" s="3091">
        <f t="shared" ca="1" si="24"/>
        <v>116184474.69</v>
      </c>
      <c r="I181" s="3093" t="s">
        <v>6810</v>
      </c>
      <c r="J181" s="3072"/>
      <c r="K181" s="3090">
        <f t="shared" si="22"/>
        <v>43951288.280000001</v>
      </c>
      <c r="L181" s="3071">
        <f ca="1">INDIRECT("Notes!CheckB"&amp;$C181)</f>
        <v>116184474.69</v>
      </c>
      <c r="M181" s="3093" t="s">
        <v>6810</v>
      </c>
      <c r="N181" s="3072"/>
      <c r="O181" s="3099"/>
      <c r="P181" s="3100"/>
      <c r="Q181" s="3100"/>
      <c r="R181" s="3100"/>
      <c r="S181" s="3101" t="s">
        <v>295</v>
      </c>
      <c r="T181" s="3101" t="s">
        <v>213</v>
      </c>
      <c r="U181" s="3102"/>
      <c r="V181" s="3102" t="s">
        <v>295</v>
      </c>
      <c r="W181" s="3102" t="s">
        <v>6804</v>
      </c>
      <c r="X181" s="3102" t="s">
        <v>6805</v>
      </c>
      <c r="Y181" s="3103" t="s">
        <v>164</v>
      </c>
    </row>
    <row r="182" spans="1:25" ht="24" hidden="1">
      <c r="A182" s="1304"/>
      <c r="B182" s="643">
        <v>1604</v>
      </c>
      <c r="C182" s="643" t="s">
        <v>1193</v>
      </c>
      <c r="D182" s="3087">
        <v>2</v>
      </c>
      <c r="E182" s="3088" t="str">
        <f t="shared" si="17"/>
        <v>在建工程</v>
      </c>
      <c r="F182" s="3089" t="s">
        <v>1194</v>
      </c>
      <c r="G182" s="3090">
        <f t="shared" si="18"/>
        <v>29940410.460000001</v>
      </c>
      <c r="H182" s="3091" t="s">
        <v>6806</v>
      </c>
      <c r="I182" s="3093" t="s">
        <v>6810</v>
      </c>
      <c r="J182" s="3072"/>
      <c r="K182" s="3090">
        <f t="shared" si="22"/>
        <v>43951288.280000001</v>
      </c>
      <c r="L182" s="3071" t="s">
        <v>6806</v>
      </c>
      <c r="M182" s="3093" t="s">
        <v>6810</v>
      </c>
      <c r="N182" s="3072"/>
      <c r="O182" s="3099"/>
      <c r="P182" s="3100"/>
      <c r="Q182" s="3100"/>
      <c r="R182" s="3100"/>
      <c r="S182" s="3101" t="s">
        <v>295</v>
      </c>
      <c r="T182" s="3101" t="s">
        <v>213</v>
      </c>
      <c r="U182" s="3102"/>
      <c r="V182" s="3102" t="s">
        <v>295</v>
      </c>
      <c r="W182" s="3102" t="s">
        <v>6804</v>
      </c>
      <c r="X182" s="3102" t="s">
        <v>6805</v>
      </c>
      <c r="Y182" s="3103" t="s">
        <v>164</v>
      </c>
    </row>
    <row r="183" spans="1:25" ht="24" hidden="1">
      <c r="A183" s="1304"/>
      <c r="B183" s="643">
        <v>1604</v>
      </c>
      <c r="C183" s="643" t="s">
        <v>1186</v>
      </c>
      <c r="D183" s="3087">
        <v>2</v>
      </c>
      <c r="E183" s="3088" t="str">
        <f t="shared" si="17"/>
        <v>在建工程</v>
      </c>
      <c r="F183" s="3089" t="s">
        <v>6444</v>
      </c>
      <c r="G183" s="3090">
        <f t="shared" si="18"/>
        <v>29940410.460000001</v>
      </c>
      <c r="H183" s="3091">
        <f t="shared" ref="H183:H190" ca="1" si="25">INDIRECT("Notes!CheckA"&amp;$C183)</f>
        <v>0</v>
      </c>
      <c r="I183" s="3093" t="s">
        <v>6810</v>
      </c>
      <c r="J183" s="3072"/>
      <c r="K183" s="3090">
        <f t="shared" si="22"/>
        <v>43951288.280000001</v>
      </c>
      <c r="L183" s="3071">
        <f ca="1">INDIRECT("Notes!CheckB"&amp;$C183)</f>
        <v>0</v>
      </c>
      <c r="M183" s="3093" t="s">
        <v>6810</v>
      </c>
      <c r="N183" s="3072"/>
      <c r="O183" s="3099"/>
      <c r="P183" s="3100"/>
      <c r="Q183" s="3100"/>
      <c r="R183" s="3100"/>
      <c r="S183" s="3101" t="s">
        <v>295</v>
      </c>
      <c r="T183" s="3101" t="s">
        <v>213</v>
      </c>
      <c r="U183" s="3102"/>
      <c r="V183" s="3102" t="s">
        <v>295</v>
      </c>
      <c r="W183" s="3102" t="s">
        <v>145</v>
      </c>
      <c r="X183" s="3102" t="s">
        <v>6807</v>
      </c>
      <c r="Y183" s="3103" t="s">
        <v>164</v>
      </c>
    </row>
    <row r="184" spans="1:25" ht="24" hidden="1">
      <c r="A184" s="1304"/>
      <c r="B184" s="643">
        <v>1604</v>
      </c>
      <c r="C184" s="643" t="s">
        <v>1196</v>
      </c>
      <c r="D184" s="3087">
        <v>2</v>
      </c>
      <c r="E184" s="3088" t="str">
        <f t="shared" si="17"/>
        <v>在建工程</v>
      </c>
      <c r="F184" s="3089" t="s">
        <v>6445</v>
      </c>
      <c r="G184" s="3090">
        <f t="shared" si="18"/>
        <v>29940410.460000001</v>
      </c>
      <c r="H184" s="3091">
        <f t="shared" ca="1" si="25"/>
        <v>0</v>
      </c>
      <c r="I184" s="3093" t="s">
        <v>6810</v>
      </c>
      <c r="J184" s="3072"/>
      <c r="K184" s="3090">
        <f t="shared" si="22"/>
        <v>43951288.280000001</v>
      </c>
      <c r="L184" s="3071" t="s">
        <v>6806</v>
      </c>
      <c r="M184" s="3093" t="s">
        <v>6810</v>
      </c>
      <c r="N184" s="3072"/>
      <c r="O184" s="3099"/>
      <c r="P184" s="3100"/>
      <c r="Q184" s="3100"/>
      <c r="R184" s="3100"/>
      <c r="S184" s="3101" t="s">
        <v>213</v>
      </c>
      <c r="T184" s="3101" t="s">
        <v>213</v>
      </c>
      <c r="U184" s="3102"/>
      <c r="V184" s="3102" t="s">
        <v>295</v>
      </c>
      <c r="W184" s="3102" t="s">
        <v>6809</v>
      </c>
      <c r="X184" s="3102" t="s">
        <v>6808</v>
      </c>
      <c r="Y184" s="3103" t="s">
        <v>164</v>
      </c>
    </row>
    <row r="185" spans="1:25" ht="18">
      <c r="A185" s="1304"/>
      <c r="B185" s="643">
        <v>1605</v>
      </c>
      <c r="C185" s="643" t="s">
        <v>1198</v>
      </c>
      <c r="D185" s="3087">
        <v>1</v>
      </c>
      <c r="E185" s="3088" t="str">
        <f t="shared" si="17"/>
        <v>工程物资</v>
      </c>
      <c r="F185" s="3089" t="s">
        <v>1199</v>
      </c>
      <c r="G185" s="3090">
        <f t="shared" si="18"/>
        <v>6747539.5</v>
      </c>
      <c r="H185" s="3091">
        <f t="shared" ca="1" si="25"/>
        <v>6747539.5</v>
      </c>
      <c r="I185" s="3093">
        <f ca="1">IF(AND(LEN(G185)&gt;0,LEN(H185)&gt;0),ROUND(SUM(G185)-SUM(H185),2),"")</f>
        <v>0</v>
      </c>
      <c r="J185" s="3072" t="str">
        <f ca="1">IF(ISNA(I185),"N/A",IF(I185=0,"√","？"))</f>
        <v>√</v>
      </c>
      <c r="K185" s="3090">
        <f t="shared" si="22"/>
        <v>0</v>
      </c>
      <c r="L185" s="3071">
        <f ca="1">INDIRECT("Notes!CheckB"&amp;$C185)</f>
        <v>6520426.7699999996</v>
      </c>
      <c r="M185" s="3093">
        <f ca="1">IF(AND(LEN(K185)&gt;0,LEN(L185)&gt;0),ROUND(SUM(K185)-SUM(L185),2),"")</f>
        <v>-6520426.7699999996</v>
      </c>
      <c r="N185" s="3072" t="str">
        <f ca="1">IF(ISNA(M185),"N/A",IF(M185=0,"√","？"))</f>
        <v>？</v>
      </c>
      <c r="O185" s="3099"/>
      <c r="P185" s="3100"/>
      <c r="Q185" s="3100"/>
      <c r="R185" s="3100"/>
      <c r="S185" s="3101" t="s">
        <v>295</v>
      </c>
      <c r="T185" s="3101" t="s">
        <v>213</v>
      </c>
      <c r="U185" s="3102"/>
      <c r="V185" s="3102" t="s">
        <v>295</v>
      </c>
      <c r="W185" s="3102" t="s">
        <v>6804</v>
      </c>
      <c r="X185" s="3102" t="s">
        <v>6805</v>
      </c>
      <c r="Y185" s="3103" t="s">
        <v>164</v>
      </c>
    </row>
    <row r="186" spans="1:25" ht="24">
      <c r="A186" s="1304"/>
      <c r="B186" s="643">
        <v>1621</v>
      </c>
      <c r="C186" s="643" t="s">
        <v>1205</v>
      </c>
      <c r="D186" s="3087">
        <v>1</v>
      </c>
      <c r="E186" s="3088" t="str">
        <f t="shared" si="17"/>
        <v>生产性生物资产</v>
      </c>
      <c r="F186" s="3089" t="s">
        <v>5354</v>
      </c>
      <c r="G186" s="3090">
        <f t="shared" si="18"/>
        <v>0</v>
      </c>
      <c r="H186" s="3091">
        <f t="shared" ca="1" si="25"/>
        <v>0</v>
      </c>
      <c r="I186" s="3093">
        <f ca="1">IF(AND(LEN(G186)&gt;0,LEN(H186)&gt;0),ROUND(SUM(G186)-SUM(H186),2),"")</f>
        <v>0</v>
      </c>
      <c r="J186" s="3072" t="str">
        <f ca="1">IF(ISNA(I186),"N/A",IF(I186=0,"√","？"))</f>
        <v>√</v>
      </c>
      <c r="K186" s="3090">
        <f t="shared" si="22"/>
        <v>0</v>
      </c>
      <c r="L186" s="3071">
        <f ca="1">INDIRECT("Notes!CheckB"&amp;$C186)</f>
        <v>0</v>
      </c>
      <c r="M186" s="3093">
        <f ca="1">IF(AND(LEN(K186)&gt;0,LEN(L186)&gt;0),ROUND(SUM(K186)-SUM(L186),2),"")</f>
        <v>0</v>
      </c>
      <c r="N186" s="3072" t="str">
        <f ca="1">IF(ISNA(M186),"N/A",IF(M186=0,"√","？"))</f>
        <v>√</v>
      </c>
      <c r="O186" s="3099"/>
      <c r="P186" s="3100"/>
      <c r="Q186" s="3100"/>
      <c r="R186" s="3100"/>
      <c r="S186" s="3101" t="s">
        <v>295</v>
      </c>
      <c r="T186" s="3101" t="s">
        <v>213</v>
      </c>
      <c r="U186" s="3102">
        <v>1621</v>
      </c>
      <c r="V186" s="3102" t="s">
        <v>295</v>
      </c>
      <c r="W186" s="3102" t="s">
        <v>6804</v>
      </c>
      <c r="X186" s="3102" t="s">
        <v>6805</v>
      </c>
      <c r="Y186" s="3103" t="s">
        <v>164</v>
      </c>
    </row>
    <row r="187" spans="1:25" ht="24" hidden="1">
      <c r="A187" s="1304"/>
      <c r="B187" s="643">
        <v>1621</v>
      </c>
      <c r="C187" s="643" t="s">
        <v>1223</v>
      </c>
      <c r="D187" s="3087">
        <v>2</v>
      </c>
      <c r="E187" s="3088" t="str">
        <f t="shared" si="17"/>
        <v>生产性生物资产</v>
      </c>
      <c r="F187" s="3089" t="s">
        <v>1224</v>
      </c>
      <c r="G187" s="3090">
        <f t="shared" si="18"/>
        <v>0</v>
      </c>
      <c r="H187" s="3091">
        <f t="shared" ca="1" si="25"/>
        <v>0</v>
      </c>
      <c r="I187" s="3093" t="s">
        <v>6810</v>
      </c>
      <c r="J187" s="3072"/>
      <c r="K187" s="3090">
        <f t="shared" si="22"/>
        <v>0</v>
      </c>
      <c r="L187" s="3071">
        <f ca="1">INDIRECT("Notes!CheckB"&amp;$C187)</f>
        <v>0</v>
      </c>
      <c r="M187" s="3093" t="s">
        <v>6810</v>
      </c>
      <c r="N187" s="3072"/>
      <c r="O187" s="3099"/>
      <c r="P187" s="3100"/>
      <c r="Q187" s="3100"/>
      <c r="R187" s="3100"/>
      <c r="S187" s="3101" t="s">
        <v>295</v>
      </c>
      <c r="T187" s="3101" t="s">
        <v>213</v>
      </c>
      <c r="U187" s="3102">
        <v>1621</v>
      </c>
      <c r="V187" s="3102" t="s">
        <v>295</v>
      </c>
      <c r="W187" s="3102" t="s">
        <v>6804</v>
      </c>
      <c r="X187" s="3102" t="s">
        <v>6805</v>
      </c>
      <c r="Y187" s="3103" t="s">
        <v>164</v>
      </c>
    </row>
    <row r="188" spans="1:25" ht="18">
      <c r="A188" s="1304"/>
      <c r="B188" s="643">
        <v>1631</v>
      </c>
      <c r="C188" s="643" t="s">
        <v>1233</v>
      </c>
      <c r="D188" s="3087">
        <v>1</v>
      </c>
      <c r="E188" s="3088" t="str">
        <f t="shared" si="17"/>
        <v>油气资产</v>
      </c>
      <c r="F188" s="3089" t="s">
        <v>1234</v>
      </c>
      <c r="G188" s="3090">
        <f t="shared" si="18"/>
        <v>0</v>
      </c>
      <c r="H188" s="3091">
        <f t="shared" ca="1" si="25"/>
        <v>0</v>
      </c>
      <c r="I188" s="3093">
        <f ca="1">IF(AND(LEN(G188)&gt;0,LEN(H188)&gt;0),ROUND(SUM(G188)-SUM(H188),2),"")</f>
        <v>0</v>
      </c>
      <c r="J188" s="3072" t="str">
        <f ca="1">IF(ISNA(I188),"N/A",IF(I188=0,"√","？"))</f>
        <v>√</v>
      </c>
      <c r="K188" s="3090">
        <f t="shared" si="22"/>
        <v>0</v>
      </c>
      <c r="L188" s="3071">
        <f ca="1">INDIRECT("Notes!CheckB"&amp;$C188)</f>
        <v>0</v>
      </c>
      <c r="M188" s="3093">
        <f ca="1">IF(AND(LEN(K188)&gt;0,LEN(L188)&gt;0),ROUND(SUM(K188)-SUM(L188),2),"")</f>
        <v>0</v>
      </c>
      <c r="N188" s="3072" t="str">
        <f ca="1">IF(ISNA(M188),"N/A",IF(M188=0,"√","？"))</f>
        <v>√</v>
      </c>
      <c r="O188" s="3099"/>
      <c r="P188" s="3100"/>
      <c r="Q188" s="3100"/>
      <c r="R188" s="3100"/>
      <c r="S188" s="3101" t="s">
        <v>295</v>
      </c>
      <c r="T188" s="3101" t="s">
        <v>213</v>
      </c>
      <c r="U188" s="3102">
        <v>1631</v>
      </c>
      <c r="V188" s="3102" t="s">
        <v>295</v>
      </c>
      <c r="W188" s="3102" t="s">
        <v>6804</v>
      </c>
      <c r="X188" s="3102" t="s">
        <v>6805</v>
      </c>
      <c r="Y188" s="3103" t="s">
        <v>164</v>
      </c>
    </row>
    <row r="189" spans="1:25" ht="18">
      <c r="A189" s="1304"/>
      <c r="B189" s="643">
        <v>1701</v>
      </c>
      <c r="C189" s="643" t="s">
        <v>1245</v>
      </c>
      <c r="D189" s="3087">
        <v>1</v>
      </c>
      <c r="E189" s="3088" t="str">
        <f t="shared" si="17"/>
        <v>无形资产</v>
      </c>
      <c r="F189" s="3089" t="s">
        <v>1280</v>
      </c>
      <c r="G189" s="3090">
        <f t="shared" si="18"/>
        <v>22921846.190000001</v>
      </c>
      <c r="H189" s="3091">
        <f t="shared" ca="1" si="25"/>
        <v>22921846.190000001</v>
      </c>
      <c r="I189" s="3093">
        <f ca="1">IF(AND(LEN(G189)&gt;0,LEN(H189)&gt;0),ROUND(SUM(G189)-SUM(H189),2),"")</f>
        <v>0</v>
      </c>
      <c r="J189" s="3072" t="str">
        <f ca="1">IF(ISNA(I189),"N/A",IF(I189=0,"√","？"))</f>
        <v>√</v>
      </c>
      <c r="K189" s="3090">
        <f t="shared" si="22"/>
        <v>20891148.170000002</v>
      </c>
      <c r="L189" s="3071">
        <f ca="1">INDIRECT("Notes!CheckB"&amp;$C189)</f>
        <v>20891148.170000002</v>
      </c>
      <c r="M189" s="3093">
        <f ca="1">IF(AND(LEN(K189)&gt;0,LEN(L189)&gt;0),ROUND(SUM(K189)-SUM(L189),2),"")</f>
        <v>0</v>
      </c>
      <c r="N189" s="3072" t="str">
        <f ca="1">IF(ISNA(M189),"N/A",IF(M189=0,"√","？"))</f>
        <v>√</v>
      </c>
      <c r="O189" s="3099"/>
      <c r="P189" s="3100"/>
      <c r="Q189" s="3100"/>
      <c r="R189" s="3100"/>
      <c r="S189" s="3101" t="s">
        <v>295</v>
      </c>
      <c r="T189" s="3101" t="s">
        <v>213</v>
      </c>
      <c r="U189" s="3102"/>
      <c r="V189" s="3102" t="s">
        <v>295</v>
      </c>
      <c r="W189" s="3102" t="s">
        <v>6804</v>
      </c>
      <c r="X189" s="3102" t="s">
        <v>6805</v>
      </c>
      <c r="Y189" s="3103" t="s">
        <v>164</v>
      </c>
    </row>
    <row r="190" spans="1:25" ht="24" hidden="1">
      <c r="A190" s="1304"/>
      <c r="B190" s="643">
        <v>1701</v>
      </c>
      <c r="C190" s="643" t="s">
        <v>1264</v>
      </c>
      <c r="D190" s="3087">
        <v>2</v>
      </c>
      <c r="E190" s="3088" t="str">
        <f t="shared" si="17"/>
        <v>无形资产</v>
      </c>
      <c r="F190" s="3089" t="s">
        <v>1265</v>
      </c>
      <c r="G190" s="3090">
        <f t="shared" si="18"/>
        <v>22921846.190000001</v>
      </c>
      <c r="H190" s="3091">
        <f t="shared" ca="1" si="25"/>
        <v>0</v>
      </c>
      <c r="I190" s="3093" t="s">
        <v>6810</v>
      </c>
      <c r="J190" s="3072"/>
      <c r="K190" s="3090">
        <f t="shared" si="22"/>
        <v>20891148.170000002</v>
      </c>
      <c r="L190" s="3071" t="s">
        <v>6806</v>
      </c>
      <c r="M190" s="3093" t="s">
        <v>6810</v>
      </c>
      <c r="N190" s="3072"/>
      <c r="O190" s="3099"/>
      <c r="P190" s="3100"/>
      <c r="Q190" s="3100"/>
      <c r="R190" s="3100"/>
      <c r="S190" s="3101" t="s">
        <v>295</v>
      </c>
      <c r="T190" s="3101" t="s">
        <v>213</v>
      </c>
      <c r="U190" s="3102"/>
      <c r="V190" s="3102" t="s">
        <v>295</v>
      </c>
      <c r="W190" s="3102" t="s">
        <v>6804</v>
      </c>
      <c r="X190" s="3102" t="s">
        <v>6807</v>
      </c>
      <c r="Y190" s="3103" t="s">
        <v>164</v>
      </c>
    </row>
    <row r="191" spans="1:25" ht="36" hidden="1">
      <c r="A191" s="1304"/>
      <c r="B191" s="643">
        <v>1701</v>
      </c>
      <c r="C191" s="643" t="s">
        <v>1269</v>
      </c>
      <c r="D191" s="3087">
        <v>2</v>
      </c>
      <c r="E191" s="3088" t="str">
        <f t="shared" si="17"/>
        <v>无形资产</v>
      </c>
      <c r="F191" s="3089" t="s">
        <v>1270</v>
      </c>
      <c r="G191" s="3090">
        <f t="shared" si="18"/>
        <v>22921846.190000001</v>
      </c>
      <c r="H191" s="3091" t="s">
        <v>6806</v>
      </c>
      <c r="I191" s="3093" t="s">
        <v>6810</v>
      </c>
      <c r="J191" s="3072"/>
      <c r="K191" s="3090">
        <f t="shared" si="22"/>
        <v>20891148.170000002</v>
      </c>
      <c r="L191" s="3071" t="s">
        <v>6806</v>
      </c>
      <c r="M191" s="3093" t="s">
        <v>6810</v>
      </c>
      <c r="N191" s="3072"/>
      <c r="O191" s="3099"/>
      <c r="P191" s="3100"/>
      <c r="Q191" s="3100"/>
      <c r="R191" s="3100"/>
      <c r="S191" s="3101" t="s">
        <v>295</v>
      </c>
      <c r="T191" s="3101" t="s">
        <v>213</v>
      </c>
      <c r="U191" s="3102"/>
      <c r="V191" s="3102" t="s">
        <v>295</v>
      </c>
      <c r="W191" s="3102" t="s">
        <v>6804</v>
      </c>
      <c r="X191" s="3102" t="s">
        <v>213</v>
      </c>
      <c r="Y191" s="3103" t="s">
        <v>164</v>
      </c>
    </row>
    <row r="192" spans="1:25" ht="24" hidden="1">
      <c r="A192" s="1304"/>
      <c r="B192" s="643">
        <v>1701</v>
      </c>
      <c r="C192" s="643" t="s">
        <v>6051</v>
      </c>
      <c r="D192" s="3087">
        <v>2</v>
      </c>
      <c r="E192" s="3088" t="str">
        <f t="shared" si="17"/>
        <v>无形资产</v>
      </c>
      <c r="F192" s="3089" t="s">
        <v>6053</v>
      </c>
      <c r="G192" s="3090">
        <f t="shared" si="18"/>
        <v>22921846.190000001</v>
      </c>
      <c r="H192" s="3091">
        <f ca="1">INDIRECT("Notes!CheckA"&amp;$C192)</f>
        <v>0</v>
      </c>
      <c r="I192" s="3093" t="s">
        <v>6810</v>
      </c>
      <c r="J192" s="3072"/>
      <c r="K192" s="3090">
        <f t="shared" si="22"/>
        <v>20891148.170000002</v>
      </c>
      <c r="L192" s="3071" t="s">
        <v>6806</v>
      </c>
      <c r="M192" s="3093" t="s">
        <v>6810</v>
      </c>
      <c r="N192" s="3072"/>
      <c r="O192" s="3099"/>
      <c r="P192" s="3100"/>
      <c r="Q192" s="3100"/>
      <c r="R192" s="3100"/>
      <c r="S192" s="3101" t="s">
        <v>295</v>
      </c>
      <c r="T192" s="3101" t="s">
        <v>213</v>
      </c>
      <c r="U192" s="3102"/>
      <c r="V192" s="3102" t="s">
        <v>295</v>
      </c>
      <c r="W192" s="3102" t="s">
        <v>6804</v>
      </c>
      <c r="X192" s="3102" t="s">
        <v>213</v>
      </c>
      <c r="Y192" s="3103" t="s">
        <v>164</v>
      </c>
    </row>
    <row r="193" spans="1:25" ht="18" hidden="1">
      <c r="A193" s="1304"/>
      <c r="B193" s="643">
        <v>1701</v>
      </c>
      <c r="C193" s="643" t="s">
        <v>6052</v>
      </c>
      <c r="D193" s="3087">
        <v>2</v>
      </c>
      <c r="E193" s="3088" t="str">
        <f t="shared" si="17"/>
        <v>无形资产</v>
      </c>
      <c r="F193" s="3089" t="s">
        <v>6054</v>
      </c>
      <c r="G193" s="3090">
        <f t="shared" si="18"/>
        <v>22921846.190000001</v>
      </c>
      <c r="H193" s="3091">
        <f ca="1">INDIRECT("Notes!CheckA"&amp;$C193)</f>
        <v>0</v>
      </c>
      <c r="I193" s="3093" t="s">
        <v>6810</v>
      </c>
      <c r="J193" s="3072"/>
      <c r="K193" s="3090">
        <f t="shared" si="22"/>
        <v>20891148.170000002</v>
      </c>
      <c r="L193" s="3071">
        <f ca="1">INDIRECT("Notes!CheckB"&amp;$C193)</f>
        <v>0</v>
      </c>
      <c r="M193" s="3093" t="s">
        <v>6810</v>
      </c>
      <c r="N193" s="3072"/>
      <c r="O193" s="3099"/>
      <c r="P193" s="3100"/>
      <c r="Q193" s="3100"/>
      <c r="R193" s="3100"/>
      <c r="S193" s="3101" t="s">
        <v>295</v>
      </c>
      <c r="T193" s="3101" t="s">
        <v>213</v>
      </c>
      <c r="U193" s="3102"/>
      <c r="V193" s="3102" t="s">
        <v>295</v>
      </c>
      <c r="W193" s="3102" t="s">
        <v>6804</v>
      </c>
      <c r="X193" s="3102" t="s">
        <v>213</v>
      </c>
      <c r="Y193" s="3103" t="s">
        <v>164</v>
      </c>
    </row>
    <row r="194" spans="1:25" ht="24" hidden="1">
      <c r="A194" s="1304"/>
      <c r="B194" s="643">
        <v>1701</v>
      </c>
      <c r="C194" s="643" t="s">
        <v>1274</v>
      </c>
      <c r="D194" s="3087">
        <v>2</v>
      </c>
      <c r="E194" s="3088" t="str">
        <f t="shared" si="17"/>
        <v>无形资产</v>
      </c>
      <c r="F194" s="3089" t="s">
        <v>1275</v>
      </c>
      <c r="G194" s="3090">
        <f t="shared" si="18"/>
        <v>22921846.190000001</v>
      </c>
      <c r="H194" s="3091" t="s">
        <v>6806</v>
      </c>
      <c r="I194" s="3093" t="s">
        <v>6810</v>
      </c>
      <c r="J194" s="3072"/>
      <c r="K194" s="3090">
        <f t="shared" si="22"/>
        <v>20891148.170000002</v>
      </c>
      <c r="L194" s="3071" t="s">
        <v>6806</v>
      </c>
      <c r="M194" s="3093" t="s">
        <v>6810</v>
      </c>
      <c r="N194" s="3072"/>
      <c r="O194" s="3099"/>
      <c r="P194" s="3100"/>
      <c r="Q194" s="3100"/>
      <c r="R194" s="3100"/>
      <c r="S194" s="3101" t="s">
        <v>295</v>
      </c>
      <c r="T194" s="3101" t="s">
        <v>213</v>
      </c>
      <c r="U194" s="3102"/>
      <c r="V194" s="3102" t="s">
        <v>295</v>
      </c>
      <c r="W194" s="3102" t="s">
        <v>6804</v>
      </c>
      <c r="X194" s="3102" t="s">
        <v>213</v>
      </c>
      <c r="Y194" s="3103" t="s">
        <v>164</v>
      </c>
    </row>
    <row r="195" spans="1:25" ht="18">
      <c r="A195" s="1304"/>
      <c r="B195" s="643">
        <v>1700</v>
      </c>
      <c r="C195" s="643" t="s">
        <v>6064</v>
      </c>
      <c r="D195" s="3087">
        <v>1</v>
      </c>
      <c r="E195" s="3088" t="str">
        <f t="shared" si="17"/>
        <v>开发支出</v>
      </c>
      <c r="F195" s="3089" t="s">
        <v>1290</v>
      </c>
      <c r="G195" s="3090">
        <f t="shared" si="18"/>
        <v>0</v>
      </c>
      <c r="H195" s="3091">
        <f ca="1">INDIRECT("Notes!CheckA"&amp;$C195)</f>
        <v>0</v>
      </c>
      <c r="I195" s="3093">
        <f ca="1">IF(AND(LEN(G195)&gt;0,LEN(H195)&gt;0),ROUND(SUM(G195)-SUM(H195),2),"")</f>
        <v>0</v>
      </c>
      <c r="J195" s="3072" t="str">
        <f ca="1">IF(ISNA(I195),"N/A",IF(I195=0,"√","？"))</f>
        <v>√</v>
      </c>
      <c r="K195" s="3090">
        <f t="shared" si="22"/>
        <v>0</v>
      </c>
      <c r="L195" s="3071">
        <f ca="1">INDIRECT("Notes!CheckB"&amp;$C195)</f>
        <v>0</v>
      </c>
      <c r="M195" s="3093">
        <f ca="1">IF(AND(LEN(K195)&gt;0,LEN(L195)&gt;0),ROUND(SUM(K195)-SUM(L195),2),"")</f>
        <v>0</v>
      </c>
      <c r="N195" s="3072" t="str">
        <f ca="1">IF(ISNA(M195),"N/A",IF(M195=0,"√","？"))</f>
        <v>√</v>
      </c>
      <c r="O195" s="3099"/>
      <c r="P195" s="3100"/>
      <c r="Q195" s="3100"/>
      <c r="R195" s="3100"/>
      <c r="S195" s="3101" t="s">
        <v>295</v>
      </c>
      <c r="T195" s="3101" t="s">
        <v>213</v>
      </c>
      <c r="U195" s="3102"/>
      <c r="V195" s="3102" t="s">
        <v>295</v>
      </c>
      <c r="W195" s="3102" t="s">
        <v>6804</v>
      </c>
      <c r="X195" s="3102" t="s">
        <v>6805</v>
      </c>
      <c r="Y195" s="3103" t="s">
        <v>164</v>
      </c>
    </row>
    <row r="196" spans="1:25" ht="18">
      <c r="A196" s="1304"/>
      <c r="B196" s="643">
        <v>1711</v>
      </c>
      <c r="C196" s="643" t="s">
        <v>1294</v>
      </c>
      <c r="D196" s="3087">
        <v>1</v>
      </c>
      <c r="E196" s="3088" t="str">
        <f t="shared" si="17"/>
        <v>商誉</v>
      </c>
      <c r="F196" s="3089" t="s">
        <v>1295</v>
      </c>
      <c r="G196" s="3090">
        <f t="shared" si="18"/>
        <v>0</v>
      </c>
      <c r="H196" s="3091">
        <f ca="1">INDIRECT("Notes!CheckA"&amp;$C196)</f>
        <v>0</v>
      </c>
      <c r="I196" s="3093">
        <f ca="1">IF(AND(LEN(G196)&gt;0,LEN(H196)&gt;0),ROUND(SUM(G196)-SUM(H196),2),"")</f>
        <v>0</v>
      </c>
      <c r="J196" s="3072" t="str">
        <f ca="1">IF(ISNA(I196),"N/A",IF(I196=0,"√","？"))</f>
        <v>√</v>
      </c>
      <c r="K196" s="3090">
        <f t="shared" si="22"/>
        <v>0</v>
      </c>
      <c r="L196" s="3071">
        <f ca="1">INDIRECT("Notes!CheckB"&amp;$C196)</f>
        <v>0</v>
      </c>
      <c r="M196" s="3093">
        <f ca="1">IF(AND(LEN(K196)&gt;0,LEN(L196)&gt;0),ROUND(SUM(K196)-SUM(L196),2),"")</f>
        <v>0</v>
      </c>
      <c r="N196" s="3072" t="str">
        <f ca="1">IF(ISNA(M196),"N/A",IF(M196=0,"√","？"))</f>
        <v>√</v>
      </c>
      <c r="O196" s="3099"/>
      <c r="P196" s="3100"/>
      <c r="Q196" s="3100"/>
      <c r="R196" s="3100"/>
      <c r="S196" s="3101" t="s">
        <v>295</v>
      </c>
      <c r="T196" s="3101" t="s">
        <v>213</v>
      </c>
      <c r="U196" s="3102"/>
      <c r="V196" s="3102" t="s">
        <v>295</v>
      </c>
      <c r="W196" s="3102" t="s">
        <v>6804</v>
      </c>
      <c r="X196" s="3102" t="s">
        <v>6805</v>
      </c>
      <c r="Y196" s="3103" t="s">
        <v>164</v>
      </c>
    </row>
    <row r="197" spans="1:25" ht="18" hidden="1">
      <c r="A197" s="1304"/>
      <c r="B197" s="643">
        <v>1711</v>
      </c>
      <c r="C197" s="643" t="s">
        <v>1300</v>
      </c>
      <c r="D197" s="3087">
        <v>2</v>
      </c>
      <c r="E197" s="3088" t="str">
        <f t="shared" si="17"/>
        <v>商誉</v>
      </c>
      <c r="F197" s="3089" t="s">
        <v>583</v>
      </c>
      <c r="G197" s="3090">
        <f t="shared" si="18"/>
        <v>0</v>
      </c>
      <c r="H197" s="3091">
        <f ca="1">INDIRECT("Notes!CheckA"&amp;$C197)</f>
        <v>0</v>
      </c>
      <c r="I197" s="3093" t="s">
        <v>6810</v>
      </c>
      <c r="J197" s="3072"/>
      <c r="K197" s="3090">
        <f t="shared" si="22"/>
        <v>0</v>
      </c>
      <c r="L197" s="3071">
        <f ca="1">INDIRECT("Notes!CheckB"&amp;$C197)</f>
        <v>0</v>
      </c>
      <c r="M197" s="3093" t="s">
        <v>6810</v>
      </c>
      <c r="N197" s="3072"/>
      <c r="O197" s="3099"/>
      <c r="P197" s="3100"/>
      <c r="Q197" s="3100"/>
      <c r="R197" s="3100"/>
      <c r="S197" s="3101" t="s">
        <v>295</v>
      </c>
      <c r="T197" s="3101" t="s">
        <v>213</v>
      </c>
      <c r="U197" s="3102"/>
      <c r="V197" s="3102" t="s">
        <v>295</v>
      </c>
      <c r="W197" s="3102" t="s">
        <v>6804</v>
      </c>
      <c r="X197" s="3102" t="s">
        <v>6805</v>
      </c>
      <c r="Y197" s="3103" t="s">
        <v>164</v>
      </c>
    </row>
    <row r="198" spans="1:25" ht="18">
      <c r="A198" s="1304"/>
      <c r="B198" s="643">
        <v>1801</v>
      </c>
      <c r="C198" s="643" t="s">
        <v>1304</v>
      </c>
      <c r="D198" s="3087">
        <v>1</v>
      </c>
      <c r="E198" s="3088" t="str">
        <f t="shared" si="17"/>
        <v>长期待摊费用</v>
      </c>
      <c r="F198" s="3089" t="s">
        <v>1305</v>
      </c>
      <c r="G198" s="3090">
        <f t="shared" si="18"/>
        <v>1548766.81</v>
      </c>
      <c r="H198" s="3091">
        <f ca="1">INDIRECT("Notes!CheckA"&amp;$C198)</f>
        <v>1548766.81</v>
      </c>
      <c r="I198" s="3093">
        <f ca="1">IF(AND(LEN(G198)&gt;0,LEN(H198)&gt;0),ROUND(SUM(G198)-SUM(H198),2),"")</f>
        <v>0</v>
      </c>
      <c r="J198" s="3072" t="str">
        <f ca="1">IF(ISNA(I198),"N/A",IF(I198=0,"√","？"))</f>
        <v>√</v>
      </c>
      <c r="K198" s="3090">
        <f t="shared" si="22"/>
        <v>1731944.44</v>
      </c>
      <c r="L198" s="3071">
        <f ca="1">INDIRECT("Notes!CheckB"&amp;$C198)</f>
        <v>1731944.44</v>
      </c>
      <c r="M198" s="3093">
        <f ca="1">IF(AND(LEN(K198)&gt;0,LEN(L198)&gt;0),ROUND(SUM(K198)-SUM(L198),2),"")</f>
        <v>0</v>
      </c>
      <c r="N198" s="3072" t="str">
        <f ca="1">IF(ISNA(M198),"N/A",IF(M198=0,"√","？"))</f>
        <v>√</v>
      </c>
      <c r="O198" s="3099"/>
      <c r="P198" s="3100"/>
      <c r="Q198" s="3100"/>
      <c r="R198" s="3100"/>
      <c r="S198" s="3101" t="s">
        <v>295</v>
      </c>
      <c r="T198" s="3101" t="s">
        <v>213</v>
      </c>
      <c r="U198" s="3102"/>
      <c r="V198" s="3102" t="s">
        <v>295</v>
      </c>
      <c r="W198" s="3102" t="s">
        <v>6804</v>
      </c>
      <c r="X198" s="3102" t="s">
        <v>6805</v>
      </c>
      <c r="Y198" s="3103" t="s">
        <v>164</v>
      </c>
    </row>
    <row r="199" spans="1:25" ht="18" hidden="1">
      <c r="A199" s="1304"/>
      <c r="B199" s="643">
        <v>1801</v>
      </c>
      <c r="C199" s="643" t="s">
        <v>1310</v>
      </c>
      <c r="D199" s="3087">
        <v>2</v>
      </c>
      <c r="E199" s="3088" t="str">
        <f t="shared" si="17"/>
        <v>长期待摊费用</v>
      </c>
      <c r="F199" s="3089" t="s">
        <v>1311</v>
      </c>
      <c r="G199" s="3090">
        <f t="shared" si="18"/>
        <v>1548766.81</v>
      </c>
      <c r="H199" s="3091" t="s">
        <v>6806</v>
      </c>
      <c r="I199" s="3093" t="s">
        <v>6810</v>
      </c>
      <c r="J199" s="3072"/>
      <c r="K199" s="3090">
        <f t="shared" si="22"/>
        <v>1731944.44</v>
      </c>
      <c r="L199" s="3071" t="s">
        <v>6806</v>
      </c>
      <c r="M199" s="3093" t="s">
        <v>6810</v>
      </c>
      <c r="N199" s="3072"/>
      <c r="O199" s="3099"/>
      <c r="P199" s="3100"/>
      <c r="Q199" s="3100"/>
      <c r="R199" s="3100"/>
      <c r="S199" s="3101" t="s">
        <v>295</v>
      </c>
      <c r="T199" s="3101" t="s">
        <v>213</v>
      </c>
      <c r="U199" s="3102"/>
      <c r="V199" s="3102" t="s">
        <v>295</v>
      </c>
      <c r="W199" s="3102" t="s">
        <v>6804</v>
      </c>
      <c r="X199" s="3102" t="s">
        <v>213</v>
      </c>
      <c r="Y199" s="3103" t="s">
        <v>164</v>
      </c>
    </row>
    <row r="200" spans="1:25" ht="24">
      <c r="A200" s="1304"/>
      <c r="B200" s="643">
        <v>1811</v>
      </c>
      <c r="C200" s="643" t="s">
        <v>1315</v>
      </c>
      <c r="D200" s="3087">
        <v>1</v>
      </c>
      <c r="E200" s="3088" t="str">
        <f t="shared" si="17"/>
        <v>递延所得税资产</v>
      </c>
      <c r="F200" s="3089" t="s">
        <v>1316</v>
      </c>
      <c r="G200" s="3090">
        <f t="shared" si="18"/>
        <v>16879550.879999999</v>
      </c>
      <c r="H200" s="3091">
        <f ca="1">INDIRECT("Notes!CheckA"&amp;$C200)</f>
        <v>16879550.879999999</v>
      </c>
      <c r="I200" s="3093">
        <f ca="1">IF(AND(LEN(G200)&gt;0,LEN(H200)&gt;0),ROUND(SUM(G200)-SUM(H200),2),"")</f>
        <v>0</v>
      </c>
      <c r="J200" s="3072" t="str">
        <f ca="1">IF(ISNA(I200),"N/A",IF(I200=0,"√","？"))</f>
        <v>√</v>
      </c>
      <c r="K200" s="3090">
        <f t="shared" si="22"/>
        <v>15732218.73</v>
      </c>
      <c r="L200" s="3071">
        <f ca="1">INDIRECT("Notes!CheckB"&amp;$C200)</f>
        <v>15732218.73</v>
      </c>
      <c r="M200" s="3093">
        <f ca="1">IF(AND(LEN(K200)&gt;0,LEN(L200)&gt;0),ROUND(SUM(K200)-SUM(L200),2),"")</f>
        <v>0</v>
      </c>
      <c r="N200" s="3072" t="str">
        <f ca="1">IF(ISNA(M200),"N/A",IF(M200=0,"√","？"))</f>
        <v>√</v>
      </c>
      <c r="O200" s="3099"/>
      <c r="P200" s="3100"/>
      <c r="Q200" s="3100"/>
      <c r="R200" s="3100"/>
      <c r="S200" s="3101" t="s">
        <v>295</v>
      </c>
      <c r="T200" s="3101" t="s">
        <v>213</v>
      </c>
      <c r="U200" s="3102"/>
      <c r="V200" s="3102" t="s">
        <v>295</v>
      </c>
      <c r="W200" s="3102" t="s">
        <v>6804</v>
      </c>
      <c r="X200" s="3102" t="s">
        <v>6805</v>
      </c>
      <c r="Y200" s="3103" t="s">
        <v>164</v>
      </c>
    </row>
    <row r="201" spans="1:25" ht="24">
      <c r="A201" s="1304"/>
      <c r="B201" s="643">
        <v>2901</v>
      </c>
      <c r="C201" s="643" t="s">
        <v>1321</v>
      </c>
      <c r="D201" s="3087">
        <v>1</v>
      </c>
      <c r="E201" s="3088" t="str">
        <f t="shared" ref="E201:E264" si="26">IF(ISERROR(VLOOKUP($B201,Sheet_Items,2,0)),"        ----",VLOOKUP($B201,Sheet_Items,2,0))</f>
        <v>递延所得税负债</v>
      </c>
      <c r="F201" s="3089" t="s">
        <v>1322</v>
      </c>
      <c r="G201" s="3090">
        <f t="shared" ref="G201:G264" si="27">IF(ISERROR(VLOOKUP($B201,Sheet_Trialbal,6,0)),"        ----",VLOOKUP($B201,Sheet_Trialbal,6,0))</f>
        <v>0</v>
      </c>
      <c r="H201" s="3091">
        <f ca="1">INDIRECT("Notes!CheckA"&amp;$C201)</f>
        <v>0</v>
      </c>
      <c r="I201" s="3093">
        <f ca="1">IF(AND(LEN(G201)&gt;0,LEN(H201)&gt;0),ROUND(SUM(G201)-SUM(H201),2),"")</f>
        <v>0</v>
      </c>
      <c r="J201" s="3072" t="str">
        <f ca="1">IF(ISNA(I201),"N/A",IF(I201=0,"√","？"))</f>
        <v>√</v>
      </c>
      <c r="K201" s="3090">
        <f t="shared" si="22"/>
        <v>0</v>
      </c>
      <c r="L201" s="3071">
        <f ca="1">INDIRECT("Notes!CheckB"&amp;$C201)</f>
        <v>0</v>
      </c>
      <c r="M201" s="3093">
        <f ca="1">IF(AND(LEN(K201)&gt;0,LEN(L201)&gt;0),ROUND(SUM(K201)-SUM(L201),2),"")</f>
        <v>0</v>
      </c>
      <c r="N201" s="3072" t="str">
        <f ca="1">IF(ISNA(M201),"N/A",IF(M201=0,"√","？"))</f>
        <v>√</v>
      </c>
      <c r="O201" s="3099"/>
      <c r="P201" s="3100"/>
      <c r="Q201" s="3100"/>
      <c r="R201" s="3100"/>
      <c r="S201" s="3101" t="s">
        <v>295</v>
      </c>
      <c r="T201" s="3101" t="s">
        <v>213</v>
      </c>
      <c r="U201" s="3102"/>
      <c r="V201" s="3102" t="s">
        <v>295</v>
      </c>
      <c r="W201" s="3102" t="s">
        <v>6804</v>
      </c>
      <c r="X201" s="3102" t="s">
        <v>6805</v>
      </c>
      <c r="Y201" s="3103" t="s">
        <v>164</v>
      </c>
    </row>
    <row r="202" spans="1:25" ht="24" hidden="1">
      <c r="A202" s="1304"/>
      <c r="B202" s="643"/>
      <c r="C202" s="643" t="s">
        <v>1326</v>
      </c>
      <c r="D202" s="3087">
        <v>3</v>
      </c>
      <c r="E202" s="3088" t="str">
        <f t="shared" si="26"/>
        <v xml:space="preserve">        ----</v>
      </c>
      <c r="F202" s="3089" t="s">
        <v>1327</v>
      </c>
      <c r="G202" s="3090" t="str">
        <f t="shared" si="27"/>
        <v xml:space="preserve">        ----</v>
      </c>
      <c r="H202" s="3091" t="s">
        <v>6806</v>
      </c>
      <c r="I202" s="3093" t="s">
        <v>6810</v>
      </c>
      <c r="J202" s="3072"/>
      <c r="K202" s="3090" t="str">
        <f t="shared" si="22"/>
        <v xml:space="preserve">        ----</v>
      </c>
      <c r="L202" s="3071" t="s">
        <v>6806</v>
      </c>
      <c r="M202" s="3093" t="s">
        <v>6810</v>
      </c>
      <c r="N202" s="3072"/>
      <c r="O202" s="3099"/>
      <c r="P202" s="3100"/>
      <c r="Q202" s="3100"/>
      <c r="R202" s="3100"/>
      <c r="S202" s="3101" t="s">
        <v>295</v>
      </c>
      <c r="T202" s="3101" t="s">
        <v>213</v>
      </c>
      <c r="U202" s="3102"/>
      <c r="V202" s="3102" t="s">
        <v>295</v>
      </c>
      <c r="W202" s="3102" t="s">
        <v>6804</v>
      </c>
      <c r="X202" s="3102" t="s">
        <v>6805</v>
      </c>
      <c r="Y202" s="3103" t="s">
        <v>164</v>
      </c>
    </row>
    <row r="203" spans="1:25" ht="24" hidden="1">
      <c r="A203" s="1304"/>
      <c r="B203" s="643"/>
      <c r="C203" s="643" t="s">
        <v>1331</v>
      </c>
      <c r="D203" s="3087">
        <v>3</v>
      </c>
      <c r="E203" s="3088" t="str">
        <f t="shared" si="26"/>
        <v xml:space="preserve">        ----</v>
      </c>
      <c r="F203" s="3089" t="s">
        <v>1332</v>
      </c>
      <c r="G203" s="3090" t="str">
        <f t="shared" si="27"/>
        <v xml:space="preserve">        ----</v>
      </c>
      <c r="H203" s="3091" t="s">
        <v>6806</v>
      </c>
      <c r="I203" s="3093" t="s">
        <v>6810</v>
      </c>
      <c r="J203" s="3072"/>
      <c r="K203" s="3090" t="str">
        <f t="shared" si="22"/>
        <v xml:space="preserve">        ----</v>
      </c>
      <c r="L203" s="3071" t="s">
        <v>6806</v>
      </c>
      <c r="M203" s="3093" t="s">
        <v>6810</v>
      </c>
      <c r="N203" s="3072"/>
      <c r="O203" s="3099"/>
      <c r="P203" s="3100"/>
      <c r="Q203" s="3100"/>
      <c r="R203" s="3100"/>
      <c r="S203" s="3101" t="s">
        <v>295</v>
      </c>
      <c r="T203" s="3101" t="s">
        <v>213</v>
      </c>
      <c r="U203" s="3102"/>
      <c r="V203" s="3102" t="s">
        <v>295</v>
      </c>
      <c r="W203" s="3102" t="s">
        <v>6804</v>
      </c>
      <c r="X203" s="3102" t="s">
        <v>6805</v>
      </c>
      <c r="Y203" s="3103" t="s">
        <v>164</v>
      </c>
    </row>
    <row r="204" spans="1:25" ht="36" hidden="1">
      <c r="A204" s="1304"/>
      <c r="B204" s="643"/>
      <c r="C204" s="643" t="s">
        <v>1336</v>
      </c>
      <c r="D204" s="3087">
        <v>3</v>
      </c>
      <c r="E204" s="3088" t="str">
        <f t="shared" si="26"/>
        <v xml:space="preserve">        ----</v>
      </c>
      <c r="F204" s="3089" t="s">
        <v>1337</v>
      </c>
      <c r="G204" s="3090" t="str">
        <f t="shared" si="27"/>
        <v xml:space="preserve">        ----</v>
      </c>
      <c r="H204" s="3091">
        <f t="shared" ref="H204:H220" ca="1" si="28">INDIRECT("Notes!CheckA"&amp;$C204)</f>
        <v>0</v>
      </c>
      <c r="I204" s="3093" t="s">
        <v>6810</v>
      </c>
      <c r="J204" s="3072"/>
      <c r="K204" s="3090" t="str">
        <f t="shared" si="22"/>
        <v xml:space="preserve">        ----</v>
      </c>
      <c r="L204" s="3071">
        <f ca="1">INDIRECT("Notes!CheckB"&amp;$C204)</f>
        <v>0</v>
      </c>
      <c r="M204" s="3093" t="s">
        <v>6810</v>
      </c>
      <c r="N204" s="3072"/>
      <c r="O204" s="3099"/>
      <c r="P204" s="3100"/>
      <c r="Q204" s="3100"/>
      <c r="R204" s="3100"/>
      <c r="S204" s="3101" t="s">
        <v>295</v>
      </c>
      <c r="T204" s="3101" t="s">
        <v>213</v>
      </c>
      <c r="U204" s="3102"/>
      <c r="V204" s="3102" t="s">
        <v>295</v>
      </c>
      <c r="W204" s="3102" t="s">
        <v>6804</v>
      </c>
      <c r="X204" s="3102" t="s">
        <v>6805</v>
      </c>
      <c r="Y204" s="3103" t="s">
        <v>164</v>
      </c>
    </row>
    <row r="205" spans="1:25" ht="24">
      <c r="A205" s="1304"/>
      <c r="B205" s="643">
        <v>1996</v>
      </c>
      <c r="C205" s="643" t="s">
        <v>1341</v>
      </c>
      <c r="D205" s="3087">
        <v>1</v>
      </c>
      <c r="E205" s="3088" t="str">
        <f t="shared" si="26"/>
        <v>其他非流动资产</v>
      </c>
      <c r="F205" s="3089" t="s">
        <v>1342</v>
      </c>
      <c r="G205" s="3090">
        <f t="shared" si="27"/>
        <v>443012.47</v>
      </c>
      <c r="H205" s="3091">
        <f t="shared" ca="1" si="28"/>
        <v>443012.47</v>
      </c>
      <c r="I205" s="3093">
        <f ca="1">IF(AND(LEN(G205)&gt;0,LEN(H205)&gt;0),ROUND(SUM(G205)-SUM(H205),2),"")</f>
        <v>0</v>
      </c>
      <c r="J205" s="3072" t="str">
        <f ca="1">IF(ISNA(I205),"N/A",IF(I205=0,"√","？"))</f>
        <v>√</v>
      </c>
      <c r="K205" s="3090">
        <f t="shared" si="22"/>
        <v>3483445.9</v>
      </c>
      <c r="L205" s="3071">
        <f ca="1">INDIRECT("Notes!CheckB"&amp;$C205)</f>
        <v>3483445.9</v>
      </c>
      <c r="M205" s="3093">
        <f ca="1">IF(AND(LEN(K205)&gt;0,LEN(L205)&gt;0),ROUND(SUM(K205)-SUM(L205),2),"")</f>
        <v>0</v>
      </c>
      <c r="N205" s="3072" t="str">
        <f ca="1">IF(ISNA(M205),"N/A",IF(M205=0,"√","？"))</f>
        <v>√</v>
      </c>
      <c r="O205" s="3099"/>
      <c r="P205" s="3100"/>
      <c r="Q205" s="3100"/>
      <c r="R205" s="3100"/>
      <c r="S205" s="3101" t="s">
        <v>295</v>
      </c>
      <c r="T205" s="3101" t="s">
        <v>213</v>
      </c>
      <c r="U205" s="3102"/>
      <c r="V205" s="3102" t="s">
        <v>295</v>
      </c>
      <c r="W205" s="3102" t="s">
        <v>6804</v>
      </c>
      <c r="X205" s="3102" t="s">
        <v>6805</v>
      </c>
      <c r="Y205" s="3103" t="s">
        <v>164</v>
      </c>
    </row>
    <row r="206" spans="1:25" ht="18">
      <c r="A206" s="1304"/>
      <c r="B206" s="643">
        <v>2001</v>
      </c>
      <c r="C206" s="643" t="s">
        <v>1357</v>
      </c>
      <c r="D206" s="3087">
        <v>1</v>
      </c>
      <c r="E206" s="3088" t="str">
        <f t="shared" si="26"/>
        <v>短期借款</v>
      </c>
      <c r="F206" s="3089" t="s">
        <v>1358</v>
      </c>
      <c r="G206" s="3090">
        <f t="shared" si="27"/>
        <v>0</v>
      </c>
      <c r="H206" s="3091">
        <f t="shared" ca="1" si="28"/>
        <v>0</v>
      </c>
      <c r="I206" s="3093">
        <f ca="1">IF(AND(LEN(G206)&gt;0,LEN(H206)&gt;0),ROUND(SUM(G206)-SUM(H206),2),"")</f>
        <v>0</v>
      </c>
      <c r="J206" s="3072" t="str">
        <f ca="1">IF(ISNA(I206),"N/A",IF(I206=0,"√","？"))</f>
        <v>√</v>
      </c>
      <c r="K206" s="3090">
        <f t="shared" si="22"/>
        <v>0</v>
      </c>
      <c r="L206" s="3071">
        <f ca="1">INDIRECT("Notes!CheckB"&amp;$C206)</f>
        <v>0</v>
      </c>
      <c r="M206" s="3093">
        <f ca="1">IF(AND(LEN(K206)&gt;0,LEN(L206)&gt;0),ROUND(SUM(K206)-SUM(L206),2),"")</f>
        <v>0</v>
      </c>
      <c r="N206" s="3072" t="str">
        <f ca="1">IF(ISNA(M206),"N/A",IF(M206=0,"√","？"))</f>
        <v>√</v>
      </c>
      <c r="O206" s="3099"/>
      <c r="P206" s="3100"/>
      <c r="Q206" s="3100"/>
      <c r="R206" s="3100"/>
      <c r="S206" s="3101" t="s">
        <v>295</v>
      </c>
      <c r="T206" s="3101" t="s">
        <v>213</v>
      </c>
      <c r="U206" s="3102"/>
      <c r="V206" s="3102" t="s">
        <v>295</v>
      </c>
      <c r="W206" s="3102" t="s">
        <v>6804</v>
      </c>
      <c r="X206" s="3102" t="s">
        <v>6805</v>
      </c>
      <c r="Y206" s="3103" t="s">
        <v>164</v>
      </c>
    </row>
    <row r="207" spans="1:25" ht="24" hidden="1">
      <c r="A207" s="1304"/>
      <c r="B207" s="643">
        <v>2001</v>
      </c>
      <c r="C207" s="643" t="s">
        <v>1369</v>
      </c>
      <c r="D207" s="3087">
        <v>2</v>
      </c>
      <c r="E207" s="3088" t="str">
        <f t="shared" si="26"/>
        <v>短期借款</v>
      </c>
      <c r="F207" s="3089" t="s">
        <v>1370</v>
      </c>
      <c r="G207" s="3090">
        <f t="shared" si="27"/>
        <v>0</v>
      </c>
      <c r="H207" s="3091">
        <f t="shared" ca="1" si="28"/>
        <v>0</v>
      </c>
      <c r="I207" s="3093" t="s">
        <v>6810</v>
      </c>
      <c r="J207" s="3072"/>
      <c r="K207" s="3090">
        <f t="shared" si="22"/>
        <v>0</v>
      </c>
      <c r="L207" s="3071" t="s">
        <v>6806</v>
      </c>
      <c r="M207" s="3093" t="s">
        <v>6810</v>
      </c>
      <c r="N207" s="3072"/>
      <c r="O207" s="3099"/>
      <c r="P207" s="3100"/>
      <c r="Q207" s="3100"/>
      <c r="R207" s="3100"/>
      <c r="S207" s="3101" t="s">
        <v>295</v>
      </c>
      <c r="T207" s="3101" t="s">
        <v>213</v>
      </c>
      <c r="U207" s="3102"/>
      <c r="V207" s="3102" t="s">
        <v>295</v>
      </c>
      <c r="W207" s="3102" t="s">
        <v>6804</v>
      </c>
      <c r="X207" s="3102" t="s">
        <v>213</v>
      </c>
      <c r="Y207" s="3103" t="s">
        <v>164</v>
      </c>
    </row>
    <row r="208" spans="1:25" ht="24" hidden="1">
      <c r="A208" s="1304"/>
      <c r="B208" s="643">
        <v>2001</v>
      </c>
      <c r="C208" s="643" t="s">
        <v>1375</v>
      </c>
      <c r="D208" s="3087">
        <v>2</v>
      </c>
      <c r="E208" s="3088" t="str">
        <f t="shared" si="26"/>
        <v>短期借款</v>
      </c>
      <c r="F208" s="3089" t="s">
        <v>1376</v>
      </c>
      <c r="G208" s="3090">
        <f t="shared" si="27"/>
        <v>0</v>
      </c>
      <c r="H208" s="3091">
        <f t="shared" ca="1" si="28"/>
        <v>0</v>
      </c>
      <c r="I208" s="3093" t="s">
        <v>6810</v>
      </c>
      <c r="J208" s="3072"/>
      <c r="K208" s="3090">
        <f t="shared" si="22"/>
        <v>0</v>
      </c>
      <c r="L208" s="3071" t="s">
        <v>6806</v>
      </c>
      <c r="M208" s="3093" t="s">
        <v>6810</v>
      </c>
      <c r="N208" s="3072"/>
      <c r="O208" s="3099"/>
      <c r="P208" s="3100"/>
      <c r="Q208" s="3100"/>
      <c r="R208" s="3100"/>
      <c r="S208" s="3101" t="s">
        <v>295</v>
      </c>
      <c r="T208" s="3101" t="s">
        <v>213</v>
      </c>
      <c r="U208" s="3102"/>
      <c r="V208" s="3102" t="s">
        <v>295</v>
      </c>
      <c r="W208" s="3102" t="s">
        <v>6804</v>
      </c>
      <c r="X208" s="3102" t="s">
        <v>213</v>
      </c>
      <c r="Y208" s="3103" t="s">
        <v>164</v>
      </c>
    </row>
    <row r="209" spans="1:25" ht="24" hidden="1">
      <c r="A209" s="1304"/>
      <c r="B209" s="643">
        <v>2001</v>
      </c>
      <c r="C209" s="643" t="s">
        <v>1380</v>
      </c>
      <c r="D209" s="3087">
        <v>2</v>
      </c>
      <c r="E209" s="3088" t="str">
        <f t="shared" si="26"/>
        <v>短期借款</v>
      </c>
      <c r="F209" s="3089" t="s">
        <v>1381</v>
      </c>
      <c r="G209" s="3090">
        <f t="shared" si="27"/>
        <v>0</v>
      </c>
      <c r="H209" s="3091">
        <f t="shared" ca="1" si="28"/>
        <v>0</v>
      </c>
      <c r="I209" s="3093" t="s">
        <v>6810</v>
      </c>
      <c r="J209" s="3072"/>
      <c r="K209" s="3090">
        <f t="shared" si="22"/>
        <v>0</v>
      </c>
      <c r="L209" s="3071" t="s">
        <v>6806</v>
      </c>
      <c r="M209" s="3093" t="s">
        <v>6810</v>
      </c>
      <c r="N209" s="3072"/>
      <c r="O209" s="3099"/>
      <c r="P209" s="3100"/>
      <c r="Q209" s="3100"/>
      <c r="R209" s="3100"/>
      <c r="S209" s="3101" t="s">
        <v>295</v>
      </c>
      <c r="T209" s="3101" t="s">
        <v>213</v>
      </c>
      <c r="U209" s="3102"/>
      <c r="V209" s="3102" t="s">
        <v>295</v>
      </c>
      <c r="W209" s="3102" t="s">
        <v>6804</v>
      </c>
      <c r="X209" s="3102" t="s">
        <v>213</v>
      </c>
      <c r="Y209" s="3103" t="s">
        <v>164</v>
      </c>
    </row>
    <row r="210" spans="1:25" ht="24" hidden="1">
      <c r="A210" s="1304"/>
      <c r="B210" s="643">
        <v>2001</v>
      </c>
      <c r="C210" s="643" t="s">
        <v>1363</v>
      </c>
      <c r="D210" s="3087">
        <v>2</v>
      </c>
      <c r="E210" s="3088" t="str">
        <f t="shared" si="26"/>
        <v>短期借款</v>
      </c>
      <c r="F210" s="3089" t="s">
        <v>1364</v>
      </c>
      <c r="G210" s="3090">
        <f t="shared" si="27"/>
        <v>0</v>
      </c>
      <c r="H210" s="3091">
        <f t="shared" ca="1" si="28"/>
        <v>0</v>
      </c>
      <c r="I210" s="3093" t="s">
        <v>6810</v>
      </c>
      <c r="J210" s="3072"/>
      <c r="K210" s="3090">
        <f t="shared" si="22"/>
        <v>0</v>
      </c>
      <c r="L210" s="3071" t="s">
        <v>6806</v>
      </c>
      <c r="M210" s="3093" t="s">
        <v>6810</v>
      </c>
      <c r="N210" s="3072"/>
      <c r="O210" s="3099"/>
      <c r="P210" s="3100"/>
      <c r="Q210" s="3100"/>
      <c r="R210" s="3100"/>
      <c r="S210" s="3101" t="s">
        <v>295</v>
      </c>
      <c r="T210" s="3101" t="s">
        <v>213</v>
      </c>
      <c r="U210" s="3102"/>
      <c r="V210" s="3102" t="s">
        <v>295</v>
      </c>
      <c r="W210" s="3102" t="s">
        <v>6804</v>
      </c>
      <c r="X210" s="3102" t="s">
        <v>6805</v>
      </c>
      <c r="Y210" s="3103" t="s">
        <v>164</v>
      </c>
    </row>
    <row r="211" spans="1:25" ht="18" hidden="1">
      <c r="A211" s="1304"/>
      <c r="B211" s="643">
        <v>2001</v>
      </c>
      <c r="C211" s="643" t="s">
        <v>1385</v>
      </c>
      <c r="D211" s="3087">
        <v>2</v>
      </c>
      <c r="E211" s="3088" t="str">
        <f t="shared" si="26"/>
        <v>短期借款</v>
      </c>
      <c r="F211" s="3089" t="s">
        <v>1386</v>
      </c>
      <c r="G211" s="3090">
        <f t="shared" si="27"/>
        <v>0</v>
      </c>
      <c r="H211" s="3091">
        <f t="shared" ca="1" si="28"/>
        <v>0</v>
      </c>
      <c r="I211" s="3093" t="s">
        <v>6810</v>
      </c>
      <c r="J211" s="3072"/>
      <c r="K211" s="3090">
        <f t="shared" si="22"/>
        <v>0</v>
      </c>
      <c r="L211" s="3071">
        <f t="shared" ref="L211:L218" ca="1" si="29">INDIRECT("Notes!CheckB"&amp;$C211)</f>
        <v>0</v>
      </c>
      <c r="M211" s="3093" t="s">
        <v>6810</v>
      </c>
      <c r="N211" s="3072"/>
      <c r="O211" s="3099"/>
      <c r="P211" s="3100"/>
      <c r="Q211" s="3100"/>
      <c r="R211" s="3100"/>
      <c r="S211" s="3101" t="s">
        <v>295</v>
      </c>
      <c r="T211" s="3101" t="s">
        <v>213</v>
      </c>
      <c r="U211" s="3102"/>
      <c r="V211" s="3102" t="s">
        <v>295</v>
      </c>
      <c r="W211" s="3102" t="s">
        <v>6804</v>
      </c>
      <c r="X211" s="3102" t="s">
        <v>213</v>
      </c>
      <c r="Y211" s="3103" t="s">
        <v>164</v>
      </c>
    </row>
    <row r="212" spans="1:25" ht="18">
      <c r="A212" s="1304"/>
      <c r="B212" s="643">
        <v>2102</v>
      </c>
      <c r="C212" s="643" t="s">
        <v>1395</v>
      </c>
      <c r="D212" s="3087">
        <v>1</v>
      </c>
      <c r="E212" s="3088" t="str">
        <f t="shared" si="26"/>
        <v>交易性金融负债</v>
      </c>
      <c r="F212" s="3089" t="s">
        <v>1396</v>
      </c>
      <c r="G212" s="3090">
        <f t="shared" si="27"/>
        <v>0</v>
      </c>
      <c r="H212" s="3091">
        <f t="shared" ca="1" si="28"/>
        <v>0</v>
      </c>
      <c r="I212" s="3093">
        <f ca="1">IF(AND(LEN(G212)&gt;0,LEN(H212)&gt;0),ROUND(SUM(G212)-SUM(H212),2),"")</f>
        <v>0</v>
      </c>
      <c r="J212" s="3072" t="str">
        <f ca="1">IF(ISNA(I212),"N/A",IF(I212=0,"√","？"))</f>
        <v>√</v>
      </c>
      <c r="K212" s="3090">
        <f t="shared" si="22"/>
        <v>0</v>
      </c>
      <c r="L212" s="3071">
        <f t="shared" ca="1" si="29"/>
        <v>0</v>
      </c>
      <c r="M212" s="3093">
        <f ca="1">IF(AND(LEN(K212)&gt;0,LEN(L212)&gt;0),ROUND(SUM(K212)-SUM(L212),2),"")</f>
        <v>0</v>
      </c>
      <c r="N212" s="3072" t="str">
        <f ca="1">IF(ISNA(M212),"N/A",IF(M212=0,"√","？"))</f>
        <v>√</v>
      </c>
      <c r="O212" s="3099"/>
      <c r="P212" s="3100"/>
      <c r="Q212" s="3100"/>
      <c r="R212" s="3100"/>
      <c r="S212" s="3101" t="s">
        <v>295</v>
      </c>
      <c r="T212" s="3101" t="s">
        <v>213</v>
      </c>
      <c r="U212" s="3102"/>
      <c r="V212" s="3102" t="s">
        <v>295</v>
      </c>
      <c r="W212" s="3102" t="s">
        <v>145</v>
      </c>
      <c r="X212" s="3102" t="s">
        <v>6807</v>
      </c>
      <c r="Y212" s="3103" t="s">
        <v>119</v>
      </c>
    </row>
    <row r="213" spans="1:25" ht="48" hidden="1">
      <c r="A213" s="1304"/>
      <c r="B213" s="643">
        <v>2102</v>
      </c>
      <c r="C213" s="643" t="s">
        <v>1400</v>
      </c>
      <c r="D213" s="3087">
        <v>2</v>
      </c>
      <c r="E213" s="3088" t="str">
        <f t="shared" si="26"/>
        <v>交易性金融负债</v>
      </c>
      <c r="F213" s="3089" t="s">
        <v>1401</v>
      </c>
      <c r="G213" s="3090">
        <f t="shared" si="27"/>
        <v>0</v>
      </c>
      <c r="H213" s="3091">
        <f t="shared" ca="1" si="28"/>
        <v>0</v>
      </c>
      <c r="I213" s="3093" t="s">
        <v>6810</v>
      </c>
      <c r="J213" s="3072"/>
      <c r="K213" s="3090">
        <f t="shared" si="22"/>
        <v>0</v>
      </c>
      <c r="L213" s="3071">
        <f t="shared" ca="1" si="29"/>
        <v>0</v>
      </c>
      <c r="M213" s="3093" t="s">
        <v>6810</v>
      </c>
      <c r="N213" s="3072"/>
      <c r="O213" s="3099"/>
      <c r="P213" s="3100"/>
      <c r="Q213" s="3100"/>
      <c r="R213" s="3100"/>
      <c r="S213" s="3101" t="s">
        <v>295</v>
      </c>
      <c r="T213" s="3101" t="s">
        <v>213</v>
      </c>
      <c r="U213" s="3102"/>
      <c r="V213" s="3102" t="s">
        <v>295</v>
      </c>
      <c r="W213" s="3102" t="s">
        <v>145</v>
      </c>
      <c r="X213" s="3102" t="s">
        <v>6807</v>
      </c>
      <c r="Y213" s="3103" t="s">
        <v>119</v>
      </c>
    </row>
    <row r="214" spans="1:25" ht="36">
      <c r="A214" s="1304"/>
      <c r="B214" s="643">
        <v>2101</v>
      </c>
      <c r="C214" s="643" t="s">
        <v>1390</v>
      </c>
      <c r="D214" s="3087">
        <v>1</v>
      </c>
      <c r="E214" s="3088" t="str">
        <f t="shared" si="26"/>
        <v>以公允价值计量且其变动计入当期损益的金融负债</v>
      </c>
      <c r="F214" s="3089" t="s">
        <v>1391</v>
      </c>
      <c r="G214" s="3090">
        <f t="shared" si="27"/>
        <v>0</v>
      </c>
      <c r="H214" s="3091">
        <f t="shared" ca="1" si="28"/>
        <v>0</v>
      </c>
      <c r="I214" s="3093">
        <f ca="1">IF(AND(LEN(G214)&gt;0,LEN(H214)&gt;0),ROUND(SUM(G214)-SUM(H214),2),"")</f>
        <v>0</v>
      </c>
      <c r="J214" s="3072" t="str">
        <f ca="1">IF(ISNA(I214),"N/A",IF(I214=0,"√","？"))</f>
        <v>√</v>
      </c>
      <c r="K214" s="3090">
        <f t="shared" si="22"/>
        <v>0</v>
      </c>
      <c r="L214" s="3071">
        <f t="shared" ca="1" si="29"/>
        <v>0</v>
      </c>
      <c r="M214" s="3093">
        <f ca="1">IF(AND(LEN(K214)&gt;0,LEN(L214)&gt;0),ROUND(SUM(K214)-SUM(L214),2),"")</f>
        <v>0</v>
      </c>
      <c r="N214" s="3072" t="str">
        <f ca="1">IF(ISNA(M214),"N/A",IF(M214=0,"√","？"))</f>
        <v>√</v>
      </c>
      <c r="O214" s="3099"/>
      <c r="P214" s="3100"/>
      <c r="Q214" s="3100"/>
      <c r="R214" s="3100"/>
      <c r="S214" s="3101" t="s">
        <v>295</v>
      </c>
      <c r="T214" s="3101" t="s">
        <v>213</v>
      </c>
      <c r="U214" s="3102"/>
      <c r="V214" s="3102" t="s">
        <v>295</v>
      </c>
      <c r="W214" s="3102" t="s">
        <v>6804</v>
      </c>
      <c r="X214" s="3102" t="s">
        <v>6805</v>
      </c>
      <c r="Y214" s="3103" t="s">
        <v>164</v>
      </c>
    </row>
    <row r="215" spans="1:25" ht="18">
      <c r="A215" s="1304"/>
      <c r="B215" s="643">
        <v>2115</v>
      </c>
      <c r="C215" s="643" t="s">
        <v>1405</v>
      </c>
      <c r="D215" s="3087">
        <v>1</v>
      </c>
      <c r="E215" s="3088" t="str">
        <f t="shared" si="26"/>
        <v>衍生金融负债</v>
      </c>
      <c r="F215" s="3089" t="s">
        <v>1406</v>
      </c>
      <c r="G215" s="3090">
        <f t="shared" si="27"/>
        <v>0</v>
      </c>
      <c r="H215" s="3091">
        <f t="shared" ca="1" si="28"/>
        <v>0</v>
      </c>
      <c r="I215" s="3093">
        <f ca="1">IF(AND(LEN(G215)&gt;0,LEN(H215)&gt;0),ROUND(SUM(G215)-SUM(H215),2),"")</f>
        <v>0</v>
      </c>
      <c r="J215" s="3072" t="str">
        <f ca="1">IF(ISNA(I215),"N/A",IF(I215=0,"√","？"))</f>
        <v>√</v>
      </c>
      <c r="K215" s="3090">
        <f t="shared" si="22"/>
        <v>0</v>
      </c>
      <c r="L215" s="3071">
        <f t="shared" ca="1" si="29"/>
        <v>0</v>
      </c>
      <c r="M215" s="3093">
        <f ca="1">IF(AND(LEN(K215)&gt;0,LEN(L215)&gt;0),ROUND(SUM(K215)-SUM(L215),2),"")</f>
        <v>0</v>
      </c>
      <c r="N215" s="3072" t="str">
        <f ca="1">IF(ISNA(M215),"N/A",IF(M215=0,"√","？"))</f>
        <v>√</v>
      </c>
      <c r="O215" s="3099"/>
      <c r="P215" s="3100"/>
      <c r="Q215" s="3100"/>
      <c r="R215" s="3100"/>
      <c r="S215" s="3101" t="s">
        <v>295</v>
      </c>
      <c r="T215" s="3101" t="s">
        <v>213</v>
      </c>
      <c r="U215" s="3102"/>
      <c r="V215" s="3102" t="s">
        <v>295</v>
      </c>
      <c r="W215" s="3102" t="s">
        <v>6804</v>
      </c>
      <c r="X215" s="3102" t="s">
        <v>6805</v>
      </c>
      <c r="Y215" s="3103" t="s">
        <v>164</v>
      </c>
    </row>
    <row r="216" spans="1:25" ht="18">
      <c r="A216" s="1304"/>
      <c r="B216" s="643">
        <v>2201</v>
      </c>
      <c r="C216" s="643" t="s">
        <v>1410</v>
      </c>
      <c r="D216" s="3087">
        <v>1</v>
      </c>
      <c r="E216" s="3088" t="str">
        <f t="shared" si="26"/>
        <v>应付票据</v>
      </c>
      <c r="F216" s="3089" t="s">
        <v>1411</v>
      </c>
      <c r="G216" s="3090">
        <f t="shared" si="27"/>
        <v>0</v>
      </c>
      <c r="H216" s="3091">
        <f t="shared" ca="1" si="28"/>
        <v>0</v>
      </c>
      <c r="I216" s="3093">
        <f ca="1">IF(AND(LEN(G216)&gt;0,LEN(H216)&gt;0),ROUND(SUM(G216)-SUM(H216),2),"")</f>
        <v>0</v>
      </c>
      <c r="J216" s="3072" t="str">
        <f ca="1">IF(ISNA(I216),"N/A",IF(I216=0,"√","？"))</f>
        <v>√</v>
      </c>
      <c r="K216" s="3090">
        <f t="shared" si="22"/>
        <v>42762500</v>
      </c>
      <c r="L216" s="3071">
        <f t="shared" ca="1" si="29"/>
        <v>42762500</v>
      </c>
      <c r="M216" s="3093">
        <f ca="1">IF(AND(LEN(K216)&gt;0,LEN(L216)&gt;0),ROUND(SUM(K216)-SUM(L216),2),"")</f>
        <v>0</v>
      </c>
      <c r="N216" s="3072" t="str">
        <f ca="1">IF(ISNA(M216),"N/A",IF(M216=0,"√","？"))</f>
        <v>√</v>
      </c>
      <c r="O216" s="3099"/>
      <c r="P216" s="3100"/>
      <c r="Q216" s="3100"/>
      <c r="R216" s="3100"/>
      <c r="S216" s="3101" t="s">
        <v>295</v>
      </c>
      <c r="T216" s="3101" t="s">
        <v>213</v>
      </c>
      <c r="U216" s="3102"/>
      <c r="V216" s="3102" t="s">
        <v>295</v>
      </c>
      <c r="W216" s="3102" t="s">
        <v>6804</v>
      </c>
      <c r="X216" s="3102" t="s">
        <v>6805</v>
      </c>
      <c r="Y216" s="3103" t="s">
        <v>164</v>
      </c>
    </row>
    <row r="217" spans="1:25" ht="18">
      <c r="A217" s="1304"/>
      <c r="B217" s="643">
        <v>2202</v>
      </c>
      <c r="C217" s="643" t="s">
        <v>1416</v>
      </c>
      <c r="D217" s="3087">
        <v>1</v>
      </c>
      <c r="E217" s="3088" t="str">
        <f t="shared" si="26"/>
        <v>应付账款</v>
      </c>
      <c r="F217" s="3089" t="s">
        <v>1417</v>
      </c>
      <c r="G217" s="3090">
        <f t="shared" si="27"/>
        <v>60014311.829999998</v>
      </c>
      <c r="H217" s="3091">
        <f t="shared" ca="1" si="28"/>
        <v>60014311.829999998</v>
      </c>
      <c r="I217" s="3093">
        <f ca="1">IF(AND(LEN(G217)&gt;0,LEN(H217)&gt;0),ROUND(SUM(G217)-SUM(H217),2),"")</f>
        <v>0</v>
      </c>
      <c r="J217" s="3072" t="str">
        <f ca="1">IF(ISNA(I217),"N/A",IF(I217=0,"√","？"))</f>
        <v>√</v>
      </c>
      <c r="K217" s="3090">
        <f t="shared" si="22"/>
        <v>35943625.149999999</v>
      </c>
      <c r="L217" s="3071">
        <f t="shared" ca="1" si="29"/>
        <v>35943625.149999999</v>
      </c>
      <c r="M217" s="3093">
        <f ca="1">IF(AND(LEN(K217)&gt;0,LEN(L217)&gt;0),ROUND(SUM(K217)-SUM(L217),2),"")</f>
        <v>0</v>
      </c>
      <c r="N217" s="3072" t="str">
        <f ca="1">IF(ISNA(M217),"N/A",IF(M217=0,"√","？"))</f>
        <v>√</v>
      </c>
      <c r="O217" s="3099"/>
      <c r="P217" s="3100"/>
      <c r="Q217" s="3100"/>
      <c r="R217" s="3100"/>
      <c r="S217" s="3101" t="s">
        <v>295</v>
      </c>
      <c r="T217" s="3101" t="s">
        <v>213</v>
      </c>
      <c r="U217" s="3102"/>
      <c r="V217" s="3102" t="s">
        <v>295</v>
      </c>
      <c r="W217" s="3102" t="s">
        <v>6804</v>
      </c>
      <c r="X217" s="3102" t="s">
        <v>6805</v>
      </c>
      <c r="Y217" s="3103" t="s">
        <v>164</v>
      </c>
    </row>
    <row r="218" spans="1:25" ht="18">
      <c r="A218" s="1304"/>
      <c r="B218" s="643">
        <v>2202</v>
      </c>
      <c r="C218" s="643" t="s">
        <v>1427</v>
      </c>
      <c r="D218" s="3087">
        <v>1</v>
      </c>
      <c r="E218" s="3088" t="str">
        <f t="shared" si="26"/>
        <v>应付账款</v>
      </c>
      <c r="F218" s="3089" t="s">
        <v>1428</v>
      </c>
      <c r="G218" s="3090">
        <f t="shared" si="27"/>
        <v>60014311.829999998</v>
      </c>
      <c r="H218" s="3091">
        <f t="shared" ca="1" si="28"/>
        <v>0</v>
      </c>
      <c r="I218" s="3093">
        <f ca="1">IF(AND(LEN(G218)&gt;0,LEN(H218)&gt;0),ROUND(SUM(G218)-SUM(H218),2),"")</f>
        <v>60014311.829999998</v>
      </c>
      <c r="J218" s="3072" t="str">
        <f ca="1">IF(ISNA(I218),"N/A",IF(I218=0,"√","？"))</f>
        <v>？</v>
      </c>
      <c r="K218" s="3090">
        <f t="shared" si="22"/>
        <v>35943625.149999999</v>
      </c>
      <c r="L218" s="3071">
        <f t="shared" ca="1" si="29"/>
        <v>0</v>
      </c>
      <c r="M218" s="3093">
        <f ca="1">IF(AND(LEN(K218)&gt;0,LEN(L218)&gt;0),ROUND(SUM(K218)-SUM(L218),2),"")</f>
        <v>35943625.149999999</v>
      </c>
      <c r="N218" s="3072" t="str">
        <f ca="1">IF(ISNA(M218),"N/A",IF(M218=0,"√","？"))</f>
        <v>？</v>
      </c>
      <c r="O218" s="3099"/>
      <c r="P218" s="3100"/>
      <c r="Q218" s="3100"/>
      <c r="R218" s="3100"/>
      <c r="S218" s="3101" t="s">
        <v>295</v>
      </c>
      <c r="T218" s="3101" t="s">
        <v>213</v>
      </c>
      <c r="U218" s="3102"/>
      <c r="V218" s="3102" t="s">
        <v>295</v>
      </c>
      <c r="W218" s="3102" t="s">
        <v>6804</v>
      </c>
      <c r="X218" s="3102" t="s">
        <v>213</v>
      </c>
      <c r="Y218" s="3103" t="s">
        <v>164</v>
      </c>
    </row>
    <row r="219" spans="1:25" ht="24" hidden="1">
      <c r="A219" s="1304"/>
      <c r="B219" s="643">
        <v>2202</v>
      </c>
      <c r="C219" s="643" t="s">
        <v>1421</v>
      </c>
      <c r="D219" s="3087">
        <v>2</v>
      </c>
      <c r="E219" s="3088" t="str">
        <f t="shared" si="26"/>
        <v>应付账款</v>
      </c>
      <c r="F219" s="3089" t="s">
        <v>1422</v>
      </c>
      <c r="G219" s="3090">
        <f t="shared" si="27"/>
        <v>60014311.829999998</v>
      </c>
      <c r="H219" s="3091">
        <f t="shared" ca="1" si="28"/>
        <v>0</v>
      </c>
      <c r="I219" s="3093" t="s">
        <v>6810</v>
      </c>
      <c r="J219" s="3072"/>
      <c r="K219" s="3090">
        <f t="shared" si="22"/>
        <v>35943625.149999999</v>
      </c>
      <c r="L219" s="3071" t="s">
        <v>6806</v>
      </c>
      <c r="M219" s="3093" t="s">
        <v>6810</v>
      </c>
      <c r="N219" s="3072"/>
      <c r="O219" s="3099"/>
      <c r="P219" s="3100"/>
      <c r="Q219" s="3100"/>
      <c r="R219" s="3100"/>
      <c r="S219" s="3101" t="s">
        <v>295</v>
      </c>
      <c r="T219" s="3101" t="s">
        <v>213</v>
      </c>
      <c r="U219" s="3102"/>
      <c r="V219" s="3102" t="s">
        <v>295</v>
      </c>
      <c r="W219" s="3102" t="s">
        <v>6804</v>
      </c>
      <c r="X219" s="3102" t="s">
        <v>6805</v>
      </c>
      <c r="Y219" s="3103" t="s">
        <v>164</v>
      </c>
    </row>
    <row r="220" spans="1:25" ht="18" hidden="1">
      <c r="A220" s="1304"/>
      <c r="B220" s="643">
        <v>2202</v>
      </c>
      <c r="C220" s="643" t="s">
        <v>1437</v>
      </c>
      <c r="D220" s="3087">
        <v>2</v>
      </c>
      <c r="E220" s="3088" t="str">
        <f t="shared" si="26"/>
        <v>应付账款</v>
      </c>
      <c r="F220" s="3089" t="s">
        <v>1438</v>
      </c>
      <c r="G220" s="3090">
        <f t="shared" si="27"/>
        <v>60014311.829999998</v>
      </c>
      <c r="H220" s="3091">
        <f t="shared" ca="1" si="28"/>
        <v>0</v>
      </c>
      <c r="I220" s="3093" t="s">
        <v>6810</v>
      </c>
      <c r="J220" s="3072"/>
      <c r="K220" s="3090">
        <f t="shared" si="22"/>
        <v>35943625.149999999</v>
      </c>
      <c r="L220" s="3071" t="s">
        <v>6806</v>
      </c>
      <c r="M220" s="3093" t="s">
        <v>6810</v>
      </c>
      <c r="N220" s="3072"/>
      <c r="O220" s="3099"/>
      <c r="P220" s="3100"/>
      <c r="Q220" s="3100"/>
      <c r="R220" s="3100"/>
      <c r="S220" s="3101" t="s">
        <v>295</v>
      </c>
      <c r="T220" s="3101" t="s">
        <v>213</v>
      </c>
      <c r="U220" s="3102"/>
      <c r="V220" s="3102" t="s">
        <v>295</v>
      </c>
      <c r="W220" s="3102" t="s">
        <v>6804</v>
      </c>
      <c r="X220" s="3102" t="s">
        <v>213</v>
      </c>
      <c r="Y220" s="3103" t="s">
        <v>164</v>
      </c>
    </row>
    <row r="221" spans="1:25" ht="24" hidden="1">
      <c r="A221" s="1304"/>
      <c r="B221" s="643">
        <v>2202</v>
      </c>
      <c r="C221" s="643" t="s">
        <v>1432</v>
      </c>
      <c r="D221" s="3087">
        <v>2</v>
      </c>
      <c r="E221" s="3088" t="str">
        <f t="shared" si="26"/>
        <v>应付账款</v>
      </c>
      <c r="F221" s="3089" t="s">
        <v>1433</v>
      </c>
      <c r="G221" s="3090">
        <f t="shared" si="27"/>
        <v>60014311.829999998</v>
      </c>
      <c r="H221" s="3091" t="s">
        <v>6806</v>
      </c>
      <c r="I221" s="3093" t="s">
        <v>6810</v>
      </c>
      <c r="J221" s="3072"/>
      <c r="K221" s="3090">
        <f t="shared" si="22"/>
        <v>35943625.149999999</v>
      </c>
      <c r="L221" s="3071" t="s">
        <v>6806</v>
      </c>
      <c r="M221" s="3093" t="s">
        <v>6810</v>
      </c>
      <c r="N221" s="3072"/>
      <c r="O221" s="3099"/>
      <c r="P221" s="3100"/>
      <c r="Q221" s="3100"/>
      <c r="R221" s="3100"/>
      <c r="S221" s="3101" t="s">
        <v>295</v>
      </c>
      <c r="T221" s="3101" t="s">
        <v>213</v>
      </c>
      <c r="U221" s="3102"/>
      <c r="V221" s="3102" t="s">
        <v>295</v>
      </c>
      <c r="W221" s="3102" t="s">
        <v>6804</v>
      </c>
      <c r="X221" s="3102" t="s">
        <v>213</v>
      </c>
      <c r="Y221" s="3103" t="s">
        <v>164</v>
      </c>
    </row>
    <row r="222" spans="1:25" ht="24" hidden="1">
      <c r="A222" s="1304"/>
      <c r="B222" s="643">
        <v>2202</v>
      </c>
      <c r="C222" s="643" t="s">
        <v>1443</v>
      </c>
      <c r="D222" s="3087">
        <v>2</v>
      </c>
      <c r="E222" s="3088" t="str">
        <f t="shared" si="26"/>
        <v>应付账款</v>
      </c>
      <c r="F222" s="3089" t="s">
        <v>1444</v>
      </c>
      <c r="G222" s="3090">
        <f t="shared" si="27"/>
        <v>60014311.829999998</v>
      </c>
      <c r="H222" s="3091">
        <f t="shared" ref="H222:H228" ca="1" si="30">INDIRECT("Notes!CheckA"&amp;$C222)</f>
        <v>0</v>
      </c>
      <c r="I222" s="3093" t="s">
        <v>6810</v>
      </c>
      <c r="J222" s="3072"/>
      <c r="K222" s="3090">
        <f t="shared" si="22"/>
        <v>35943625.149999999</v>
      </c>
      <c r="L222" s="3071" t="s">
        <v>6806</v>
      </c>
      <c r="M222" s="3093" t="s">
        <v>6810</v>
      </c>
      <c r="N222" s="3072"/>
      <c r="O222" s="3099"/>
      <c r="P222" s="3100"/>
      <c r="Q222" s="3100"/>
      <c r="R222" s="3100"/>
      <c r="S222" s="3101" t="s">
        <v>295</v>
      </c>
      <c r="T222" s="3101" t="s">
        <v>213</v>
      </c>
      <c r="U222" s="3102"/>
      <c r="V222" s="3102" t="s">
        <v>295</v>
      </c>
      <c r="W222" s="3102" t="s">
        <v>6804</v>
      </c>
      <c r="X222" s="3102" t="s">
        <v>213</v>
      </c>
      <c r="Y222" s="3103" t="s">
        <v>164</v>
      </c>
    </row>
    <row r="223" spans="1:25" ht="18" hidden="1">
      <c r="A223" s="1304"/>
      <c r="B223" s="643">
        <v>2202</v>
      </c>
      <c r="C223" s="643" t="s">
        <v>1448</v>
      </c>
      <c r="D223" s="3087">
        <v>2</v>
      </c>
      <c r="E223" s="3088" t="str">
        <f t="shared" si="26"/>
        <v>应付账款</v>
      </c>
      <c r="F223" s="3089" t="s">
        <v>1449</v>
      </c>
      <c r="G223" s="3090">
        <f t="shared" si="27"/>
        <v>60014311.829999998</v>
      </c>
      <c r="H223" s="3091">
        <f t="shared" ca="1" si="30"/>
        <v>0</v>
      </c>
      <c r="I223" s="3093" t="s">
        <v>6810</v>
      </c>
      <c r="J223" s="3072"/>
      <c r="K223" s="3090">
        <f t="shared" ref="K223:K286" si="31">IF(ISERROR(VLOOKUP($B223,Sheet_Trialbal,10,0)),"        ----",VLOOKUP($B223,Sheet_Trialbal,10,0))</f>
        <v>35943625.149999999</v>
      </c>
      <c r="L223" s="3071" t="s">
        <v>6806</v>
      </c>
      <c r="M223" s="3093" t="s">
        <v>6810</v>
      </c>
      <c r="N223" s="3072"/>
      <c r="O223" s="3099"/>
      <c r="P223" s="3100"/>
      <c r="Q223" s="3100"/>
      <c r="R223" s="3100"/>
      <c r="S223" s="3101" t="s">
        <v>295</v>
      </c>
      <c r="T223" s="3101" t="s">
        <v>213</v>
      </c>
      <c r="U223" s="3102"/>
      <c r="V223" s="3102" t="s">
        <v>295</v>
      </c>
      <c r="W223" s="3102" t="s">
        <v>6804</v>
      </c>
      <c r="X223" s="3102" t="s">
        <v>213</v>
      </c>
      <c r="Y223" s="3103" t="s">
        <v>164</v>
      </c>
    </row>
    <row r="224" spans="1:25" ht="18">
      <c r="A224" s="1304"/>
      <c r="B224" s="643">
        <v>2205</v>
      </c>
      <c r="C224" s="643" t="s">
        <v>1458</v>
      </c>
      <c r="D224" s="3087">
        <v>1</v>
      </c>
      <c r="E224" s="3088" t="str">
        <f t="shared" si="26"/>
        <v>预收款项</v>
      </c>
      <c r="F224" s="3089" t="s">
        <v>1459</v>
      </c>
      <c r="G224" s="3090">
        <f t="shared" si="27"/>
        <v>1190488.93</v>
      </c>
      <c r="H224" s="3091">
        <f t="shared" ca="1" si="30"/>
        <v>1190488.93</v>
      </c>
      <c r="I224" s="3093">
        <f ca="1">IF(AND(LEN(G224)&gt;0,LEN(H224)&gt;0),ROUND(SUM(G224)-SUM(H224),2),"")</f>
        <v>0</v>
      </c>
      <c r="J224" s="3072" t="str">
        <f ca="1">IF(ISNA(I224),"N/A",IF(I224=0,"√","？"))</f>
        <v>√</v>
      </c>
      <c r="K224" s="3090">
        <f t="shared" si="31"/>
        <v>2572903.23</v>
      </c>
      <c r="L224" s="3071">
        <f ca="1">INDIRECT("Notes!CheckB"&amp;$C224)</f>
        <v>2572903.23</v>
      </c>
      <c r="M224" s="3093">
        <f ca="1">IF(AND(LEN(K224)&gt;0,LEN(L224)&gt;0),ROUND(SUM(K224)-SUM(L224),2),"")</f>
        <v>0</v>
      </c>
      <c r="N224" s="3072" t="str">
        <f ca="1">IF(ISNA(M224),"N/A",IF(M224=0,"√","？"))</f>
        <v>√</v>
      </c>
      <c r="O224" s="3099"/>
      <c r="P224" s="3100"/>
      <c r="Q224" s="3100"/>
      <c r="R224" s="3100"/>
      <c r="S224" s="3101" t="s">
        <v>295</v>
      </c>
      <c r="T224" s="3101" t="s">
        <v>213</v>
      </c>
      <c r="U224" s="3102"/>
      <c r="V224" s="3102" t="s">
        <v>295</v>
      </c>
      <c r="W224" s="3102" t="s">
        <v>6804</v>
      </c>
      <c r="X224" s="3102" t="s">
        <v>6805</v>
      </c>
      <c r="Y224" s="3103" t="s">
        <v>164</v>
      </c>
    </row>
    <row r="225" spans="1:25" ht="18">
      <c r="A225" s="1304"/>
      <c r="B225" s="643">
        <v>2205</v>
      </c>
      <c r="C225" s="643" t="s">
        <v>1490</v>
      </c>
      <c r="D225" s="3087">
        <v>1</v>
      </c>
      <c r="E225" s="3088" t="str">
        <f t="shared" si="26"/>
        <v>预收款项</v>
      </c>
      <c r="F225" s="3089" t="s">
        <v>1491</v>
      </c>
      <c r="G225" s="3090">
        <f t="shared" si="27"/>
        <v>1190488.93</v>
      </c>
      <c r="H225" s="3091">
        <f t="shared" ca="1" si="30"/>
        <v>1190488.93</v>
      </c>
      <c r="I225" s="3093">
        <f ca="1">IF(AND(LEN(G225)&gt;0,LEN(H225)&gt;0),ROUND(SUM(G225)-SUM(H225),2),"")</f>
        <v>0</v>
      </c>
      <c r="J225" s="3072" t="str">
        <f ca="1">IF(ISNA(I225),"N/A",IF(I225=0,"√","？"))</f>
        <v>√</v>
      </c>
      <c r="K225" s="3090">
        <f t="shared" si="31"/>
        <v>2572903.23</v>
      </c>
      <c r="L225" s="3071">
        <f ca="1">INDIRECT("Notes!CheckB"&amp;$C225)</f>
        <v>2572903.23</v>
      </c>
      <c r="M225" s="3093">
        <f ca="1">IF(AND(LEN(K225)&gt;0,LEN(L225)&gt;0),ROUND(SUM(K225)-SUM(L225),2),"")</f>
        <v>0</v>
      </c>
      <c r="N225" s="3072" t="str">
        <f ca="1">IF(ISNA(M225),"N/A",IF(M225=0,"√","？"))</f>
        <v>√</v>
      </c>
      <c r="O225" s="3099"/>
      <c r="P225" s="3100"/>
      <c r="Q225" s="3100"/>
      <c r="R225" s="3100"/>
      <c r="S225" s="3101" t="s">
        <v>295</v>
      </c>
      <c r="T225" s="3101" t="s">
        <v>213</v>
      </c>
      <c r="U225" s="3102"/>
      <c r="V225" s="3102" t="s">
        <v>295</v>
      </c>
      <c r="W225" s="3102" t="s">
        <v>6804</v>
      </c>
      <c r="X225" s="3102" t="s">
        <v>213</v>
      </c>
      <c r="Y225" s="3103" t="s">
        <v>164</v>
      </c>
    </row>
    <row r="226" spans="1:25" ht="24" hidden="1">
      <c r="A226" s="1304"/>
      <c r="B226" s="643">
        <v>2205</v>
      </c>
      <c r="C226" s="643" t="s">
        <v>1463</v>
      </c>
      <c r="D226" s="3087">
        <v>2</v>
      </c>
      <c r="E226" s="3088" t="str">
        <f t="shared" si="26"/>
        <v>预收款项</v>
      </c>
      <c r="F226" s="3089" t="s">
        <v>1464</v>
      </c>
      <c r="G226" s="3090">
        <f t="shared" si="27"/>
        <v>1190488.93</v>
      </c>
      <c r="H226" s="3091">
        <f t="shared" ca="1" si="30"/>
        <v>0</v>
      </c>
      <c r="I226" s="3093" t="s">
        <v>6810</v>
      </c>
      <c r="J226" s="3072"/>
      <c r="K226" s="3090">
        <f t="shared" si="31"/>
        <v>2572903.23</v>
      </c>
      <c r="L226" s="3071" t="s">
        <v>6806</v>
      </c>
      <c r="M226" s="3093" t="s">
        <v>6810</v>
      </c>
      <c r="N226" s="3072"/>
      <c r="O226" s="3099"/>
      <c r="P226" s="3100"/>
      <c r="Q226" s="3100"/>
      <c r="R226" s="3100"/>
      <c r="S226" s="3101" t="s">
        <v>295</v>
      </c>
      <c r="T226" s="3101" t="s">
        <v>213</v>
      </c>
      <c r="U226" s="3102"/>
      <c r="V226" s="3102" t="s">
        <v>295</v>
      </c>
      <c r="W226" s="3102" t="s">
        <v>6804</v>
      </c>
      <c r="X226" s="3102" t="s">
        <v>6805</v>
      </c>
      <c r="Y226" s="3103" t="s">
        <v>164</v>
      </c>
    </row>
    <row r="227" spans="1:25" ht="24" hidden="1">
      <c r="A227" s="1304"/>
      <c r="B227" s="643">
        <v>2205</v>
      </c>
      <c r="C227" s="643" t="s">
        <v>1469</v>
      </c>
      <c r="D227" s="3087">
        <v>2</v>
      </c>
      <c r="E227" s="3088" t="str">
        <f t="shared" si="26"/>
        <v>预收款项</v>
      </c>
      <c r="F227" s="3089" t="s">
        <v>1470</v>
      </c>
      <c r="G227" s="3090">
        <f t="shared" si="27"/>
        <v>1190488.93</v>
      </c>
      <c r="H227" s="3091">
        <f t="shared" ca="1" si="30"/>
        <v>0</v>
      </c>
      <c r="I227" s="3093" t="s">
        <v>6810</v>
      </c>
      <c r="J227" s="3072"/>
      <c r="K227" s="3090">
        <f t="shared" si="31"/>
        <v>2572903.23</v>
      </c>
      <c r="L227" s="3071" t="s">
        <v>6806</v>
      </c>
      <c r="M227" s="3093" t="s">
        <v>6810</v>
      </c>
      <c r="N227" s="3072"/>
      <c r="O227" s="3099"/>
      <c r="P227" s="3100"/>
      <c r="Q227" s="3100"/>
      <c r="R227" s="3100"/>
      <c r="S227" s="3101" t="s">
        <v>295</v>
      </c>
      <c r="T227" s="3101" t="s">
        <v>213</v>
      </c>
      <c r="U227" s="3102"/>
      <c r="V227" s="3102" t="s">
        <v>295</v>
      </c>
      <c r="W227" s="3102" t="s">
        <v>6804</v>
      </c>
      <c r="X227" s="3102" t="s">
        <v>6807</v>
      </c>
      <c r="Y227" s="3103" t="s">
        <v>164</v>
      </c>
    </row>
    <row r="228" spans="1:25" ht="24" hidden="1">
      <c r="A228" s="1304"/>
      <c r="B228" s="643">
        <v>2205</v>
      </c>
      <c r="C228" s="643" t="s">
        <v>1485</v>
      </c>
      <c r="D228" s="3087">
        <v>2</v>
      </c>
      <c r="E228" s="3088" t="str">
        <f t="shared" si="26"/>
        <v>预收款项</v>
      </c>
      <c r="F228" s="3089" t="s">
        <v>1486</v>
      </c>
      <c r="G228" s="3090">
        <f t="shared" si="27"/>
        <v>1190488.93</v>
      </c>
      <c r="H228" s="3091">
        <f t="shared" ca="1" si="30"/>
        <v>0</v>
      </c>
      <c r="I228" s="3093" t="s">
        <v>6810</v>
      </c>
      <c r="J228" s="3072"/>
      <c r="K228" s="3090">
        <f t="shared" si="31"/>
        <v>2572903.23</v>
      </c>
      <c r="L228" s="3071">
        <f ca="1">INDIRECT("Notes!CheckB"&amp;$C228)</f>
        <v>0</v>
      </c>
      <c r="M228" s="3093" t="s">
        <v>6810</v>
      </c>
      <c r="N228" s="3072"/>
      <c r="O228" s="3099"/>
      <c r="P228" s="3100"/>
      <c r="Q228" s="3100"/>
      <c r="R228" s="3100"/>
      <c r="S228" s="3101" t="s">
        <v>295</v>
      </c>
      <c r="T228" s="3101" t="s">
        <v>213</v>
      </c>
      <c r="U228" s="3102"/>
      <c r="V228" s="3102" t="s">
        <v>295</v>
      </c>
      <c r="W228" s="3102" t="s">
        <v>6804</v>
      </c>
      <c r="X228" s="3102" t="s">
        <v>213</v>
      </c>
      <c r="Y228" s="3103" t="s">
        <v>164</v>
      </c>
    </row>
    <row r="229" spans="1:25" ht="24" hidden="1">
      <c r="A229" s="1304"/>
      <c r="B229" s="643">
        <v>2205</v>
      </c>
      <c r="C229" s="643" t="s">
        <v>1474</v>
      </c>
      <c r="D229" s="3087">
        <v>2</v>
      </c>
      <c r="E229" s="3088" t="str">
        <f t="shared" si="26"/>
        <v>预收款项</v>
      </c>
      <c r="F229" s="3089" t="s">
        <v>1475</v>
      </c>
      <c r="G229" s="3090">
        <f t="shared" si="27"/>
        <v>1190488.93</v>
      </c>
      <c r="H229" s="3091" t="s">
        <v>6806</v>
      </c>
      <c r="I229" s="3093" t="s">
        <v>6810</v>
      </c>
      <c r="J229" s="3072"/>
      <c r="K229" s="3090">
        <f t="shared" si="31"/>
        <v>2572903.23</v>
      </c>
      <c r="L229" s="3071" t="s">
        <v>6806</v>
      </c>
      <c r="M229" s="3093" t="s">
        <v>6810</v>
      </c>
      <c r="N229" s="3072"/>
      <c r="O229" s="3099"/>
      <c r="P229" s="3100"/>
      <c r="Q229" s="3100"/>
      <c r="R229" s="3100"/>
      <c r="S229" s="3101" t="s">
        <v>295</v>
      </c>
      <c r="T229" s="3101" t="s">
        <v>213</v>
      </c>
      <c r="U229" s="3102"/>
      <c r="V229" s="3102" t="s">
        <v>295</v>
      </c>
      <c r="W229" s="3102" t="s">
        <v>6804</v>
      </c>
      <c r="X229" s="3102" t="s">
        <v>213</v>
      </c>
      <c r="Y229" s="3103" t="s">
        <v>164</v>
      </c>
    </row>
    <row r="230" spans="1:25" ht="18" hidden="1">
      <c r="A230" s="1304"/>
      <c r="B230" s="643">
        <v>2205</v>
      </c>
      <c r="C230" s="643" t="s">
        <v>1495</v>
      </c>
      <c r="D230" s="3087">
        <v>2</v>
      </c>
      <c r="E230" s="3088" t="str">
        <f t="shared" si="26"/>
        <v>预收款项</v>
      </c>
      <c r="F230" s="3089" t="s">
        <v>1496</v>
      </c>
      <c r="G230" s="3090">
        <f t="shared" si="27"/>
        <v>1190488.93</v>
      </c>
      <c r="H230" s="3091">
        <f t="shared" ref="H230:H239" ca="1" si="32">INDIRECT("Notes!CheckA"&amp;$C230)</f>
        <v>0</v>
      </c>
      <c r="I230" s="3093" t="s">
        <v>6810</v>
      </c>
      <c r="J230" s="3072"/>
      <c r="K230" s="3090">
        <f t="shared" si="31"/>
        <v>2572903.23</v>
      </c>
      <c r="L230" s="3071" t="s">
        <v>6806</v>
      </c>
      <c r="M230" s="3093" t="s">
        <v>6810</v>
      </c>
      <c r="N230" s="3072"/>
      <c r="O230" s="3099"/>
      <c r="P230" s="3100"/>
      <c r="Q230" s="3100"/>
      <c r="R230" s="3100"/>
      <c r="S230" s="3101" t="s">
        <v>295</v>
      </c>
      <c r="T230" s="3101" t="s">
        <v>213</v>
      </c>
      <c r="U230" s="3102"/>
      <c r="V230" s="3102" t="s">
        <v>295</v>
      </c>
      <c r="W230" s="3102" t="s">
        <v>6804</v>
      </c>
      <c r="X230" s="3102" t="s">
        <v>213</v>
      </c>
      <c r="Y230" s="3103" t="s">
        <v>164</v>
      </c>
    </row>
    <row r="231" spans="1:25" ht="18">
      <c r="A231" s="1304"/>
      <c r="B231" s="643">
        <v>2211</v>
      </c>
      <c r="C231" s="643" t="s">
        <v>1500</v>
      </c>
      <c r="D231" s="3087">
        <v>1</v>
      </c>
      <c r="E231" s="3088" t="str">
        <f t="shared" si="26"/>
        <v>应付职工薪酬</v>
      </c>
      <c r="F231" s="3089" t="s">
        <v>1501</v>
      </c>
      <c r="G231" s="3090">
        <f t="shared" si="27"/>
        <v>6350911.7800000003</v>
      </c>
      <c r="H231" s="3091">
        <f t="shared" ca="1" si="32"/>
        <v>6350911.7800000003</v>
      </c>
      <c r="I231" s="3093">
        <f ca="1">IF(AND(LEN(G231)&gt;0,LEN(H231)&gt;0),ROUND(SUM(G231)-SUM(H231),2),"")</f>
        <v>0</v>
      </c>
      <c r="J231" s="3072" t="str">
        <f ca="1">IF(ISNA(I231),"N/A",IF(I231=0,"√","？"))</f>
        <v>√</v>
      </c>
      <c r="K231" s="3090">
        <f t="shared" si="31"/>
        <v>6936778.7800000003</v>
      </c>
      <c r="L231" s="3071">
        <f t="shared" ref="L231:L239" ca="1" si="33">INDIRECT("Notes!CheckB"&amp;$C231)</f>
        <v>6936778.7800000003</v>
      </c>
      <c r="M231" s="3093">
        <f ca="1">IF(AND(LEN(K231)&gt;0,LEN(L231)&gt;0),ROUND(SUM(K231)-SUM(L231),2),"")</f>
        <v>0</v>
      </c>
      <c r="N231" s="3072" t="str">
        <f ca="1">IF(ISNA(M231),"N/A",IF(M231=0,"√","？"))</f>
        <v>√</v>
      </c>
      <c r="O231" s="3099"/>
      <c r="P231" s="3100"/>
      <c r="Q231" s="3100"/>
      <c r="R231" s="3100"/>
      <c r="S231" s="3101" t="s">
        <v>295</v>
      </c>
      <c r="T231" s="3101" t="s">
        <v>213</v>
      </c>
      <c r="U231" s="3102"/>
      <c r="V231" s="3102" t="s">
        <v>295</v>
      </c>
      <c r="W231" s="3102" t="s">
        <v>6804</v>
      </c>
      <c r="X231" s="3102" t="s">
        <v>6805</v>
      </c>
      <c r="Y231" s="3103" t="s">
        <v>164</v>
      </c>
    </row>
    <row r="232" spans="1:25" ht="18" hidden="1">
      <c r="A232" s="1304"/>
      <c r="B232" s="643">
        <v>2211</v>
      </c>
      <c r="C232" s="643" t="s">
        <v>1505</v>
      </c>
      <c r="D232" s="3087">
        <v>2</v>
      </c>
      <c r="E232" s="3088" t="str">
        <f t="shared" si="26"/>
        <v>应付职工薪酬</v>
      </c>
      <c r="F232" s="3089" t="s">
        <v>1506</v>
      </c>
      <c r="G232" s="3090">
        <f t="shared" si="27"/>
        <v>6350911.7800000003</v>
      </c>
      <c r="H232" s="3091">
        <f t="shared" ca="1" si="32"/>
        <v>6350911.7800000003</v>
      </c>
      <c r="I232" s="3093" t="s">
        <v>6810</v>
      </c>
      <c r="J232" s="3072"/>
      <c r="K232" s="3090">
        <f t="shared" si="31"/>
        <v>6936778.7800000003</v>
      </c>
      <c r="L232" s="3071">
        <f t="shared" ca="1" si="33"/>
        <v>6936778.7800000003</v>
      </c>
      <c r="M232" s="3093" t="s">
        <v>6810</v>
      </c>
      <c r="N232" s="3072"/>
      <c r="O232" s="3099"/>
      <c r="P232" s="3100"/>
      <c r="Q232" s="3100"/>
      <c r="R232" s="3100"/>
      <c r="S232" s="3101" t="s">
        <v>295</v>
      </c>
      <c r="T232" s="3101" t="s">
        <v>213</v>
      </c>
      <c r="U232" s="3102"/>
      <c r="V232" s="3102" t="s">
        <v>295</v>
      </c>
      <c r="W232" s="3102" t="s">
        <v>6804</v>
      </c>
      <c r="X232" s="3102" t="s">
        <v>6805</v>
      </c>
      <c r="Y232" s="3103" t="s">
        <v>164</v>
      </c>
    </row>
    <row r="233" spans="1:25" ht="18" hidden="1">
      <c r="A233" s="1304"/>
      <c r="B233" s="643">
        <v>2211</v>
      </c>
      <c r="C233" s="643" t="s">
        <v>1510</v>
      </c>
      <c r="D233" s="3087">
        <v>2</v>
      </c>
      <c r="E233" s="3088" t="str">
        <f t="shared" si="26"/>
        <v>应付职工薪酬</v>
      </c>
      <c r="F233" s="3089" t="s">
        <v>1511</v>
      </c>
      <c r="G233" s="3090">
        <f t="shared" si="27"/>
        <v>6350911.7800000003</v>
      </c>
      <c r="H233" s="3091">
        <f t="shared" ca="1" si="32"/>
        <v>0</v>
      </c>
      <c r="I233" s="3093" t="s">
        <v>6810</v>
      </c>
      <c r="J233" s="3072"/>
      <c r="K233" s="3090">
        <f t="shared" si="31"/>
        <v>6936778.7800000003</v>
      </c>
      <c r="L233" s="3071">
        <f t="shared" ca="1" si="33"/>
        <v>0</v>
      </c>
      <c r="M233" s="3093" t="s">
        <v>6810</v>
      </c>
      <c r="N233" s="3072"/>
      <c r="O233" s="3099"/>
      <c r="P233" s="3100"/>
      <c r="Q233" s="3100"/>
      <c r="R233" s="3100"/>
      <c r="S233" s="3101" t="s">
        <v>295</v>
      </c>
      <c r="T233" s="3101" t="s">
        <v>213</v>
      </c>
      <c r="U233" s="3102"/>
      <c r="V233" s="3102" t="s">
        <v>295</v>
      </c>
      <c r="W233" s="3102" t="s">
        <v>6804</v>
      </c>
      <c r="X233" s="3102" t="s">
        <v>6805</v>
      </c>
      <c r="Y233" s="3103" t="s">
        <v>164</v>
      </c>
    </row>
    <row r="234" spans="1:25" ht="18" hidden="1">
      <c r="A234" s="1304"/>
      <c r="B234" s="643">
        <v>2211</v>
      </c>
      <c r="C234" s="643" t="s">
        <v>1515</v>
      </c>
      <c r="D234" s="3087">
        <v>2</v>
      </c>
      <c r="E234" s="3088" t="str">
        <f t="shared" si="26"/>
        <v>应付职工薪酬</v>
      </c>
      <c r="F234" s="3089" t="s">
        <v>1516</v>
      </c>
      <c r="G234" s="3090">
        <f t="shared" si="27"/>
        <v>6350911.7800000003</v>
      </c>
      <c r="H234" s="3091">
        <f t="shared" ca="1" si="32"/>
        <v>0</v>
      </c>
      <c r="I234" s="3093" t="s">
        <v>6810</v>
      </c>
      <c r="J234" s="3072"/>
      <c r="K234" s="3090">
        <f t="shared" si="31"/>
        <v>6936778.7800000003</v>
      </c>
      <c r="L234" s="3071">
        <f t="shared" ca="1" si="33"/>
        <v>0</v>
      </c>
      <c r="M234" s="3093" t="s">
        <v>6810</v>
      </c>
      <c r="N234" s="3072"/>
      <c r="O234" s="3099"/>
      <c r="P234" s="3100"/>
      <c r="Q234" s="3100"/>
      <c r="R234" s="3100"/>
      <c r="S234" s="3101" t="s">
        <v>295</v>
      </c>
      <c r="T234" s="3101" t="s">
        <v>213</v>
      </c>
      <c r="U234" s="3102"/>
      <c r="V234" s="3102" t="s">
        <v>295</v>
      </c>
      <c r="W234" s="3102" t="s">
        <v>6804</v>
      </c>
      <c r="X234" s="3102" t="s">
        <v>213</v>
      </c>
      <c r="Y234" s="3103" t="s">
        <v>164</v>
      </c>
    </row>
    <row r="235" spans="1:25" ht="18" hidden="1">
      <c r="A235" s="1304"/>
      <c r="B235" s="643">
        <v>2211</v>
      </c>
      <c r="C235" s="643" t="s">
        <v>1520</v>
      </c>
      <c r="D235" s="3087">
        <v>2</v>
      </c>
      <c r="E235" s="3088" t="str">
        <f t="shared" si="26"/>
        <v>应付职工薪酬</v>
      </c>
      <c r="F235" s="3089" t="s">
        <v>1521</v>
      </c>
      <c r="G235" s="3090">
        <f t="shared" si="27"/>
        <v>6350911.7800000003</v>
      </c>
      <c r="H235" s="3091">
        <f t="shared" ca="1" si="32"/>
        <v>0</v>
      </c>
      <c r="I235" s="3093" t="s">
        <v>6810</v>
      </c>
      <c r="J235" s="3072"/>
      <c r="K235" s="3090">
        <f t="shared" si="31"/>
        <v>6936778.7800000003</v>
      </c>
      <c r="L235" s="3071">
        <f t="shared" ca="1" si="33"/>
        <v>50089.25</v>
      </c>
      <c r="M235" s="3093" t="s">
        <v>6810</v>
      </c>
      <c r="N235" s="3072"/>
      <c r="O235" s="3099"/>
      <c r="P235" s="3100"/>
      <c r="Q235" s="3100"/>
      <c r="R235" s="3100"/>
      <c r="S235" s="3101" t="s">
        <v>295</v>
      </c>
      <c r="T235" s="3101" t="s">
        <v>213</v>
      </c>
      <c r="U235" s="3102"/>
      <c r="V235" s="3102" t="s">
        <v>295</v>
      </c>
      <c r="W235" s="3102" t="s">
        <v>6804</v>
      </c>
      <c r="X235" s="3102" t="s">
        <v>213</v>
      </c>
      <c r="Y235" s="3103" t="s">
        <v>164</v>
      </c>
    </row>
    <row r="236" spans="1:25" ht="18">
      <c r="A236" s="1304"/>
      <c r="B236" s="643">
        <v>2221</v>
      </c>
      <c r="C236" s="643" t="s">
        <v>1528</v>
      </c>
      <c r="D236" s="3087">
        <v>1</v>
      </c>
      <c r="E236" s="3088" t="str">
        <f t="shared" si="26"/>
        <v>应交税费</v>
      </c>
      <c r="F236" s="3089" t="s">
        <v>1529</v>
      </c>
      <c r="G236" s="3090">
        <f t="shared" si="27"/>
        <v>4883645.8</v>
      </c>
      <c r="H236" s="3091">
        <f t="shared" ca="1" si="32"/>
        <v>4883645.8</v>
      </c>
      <c r="I236" s="3093">
        <f ca="1">IF(AND(LEN(G236)&gt;0,LEN(H236)&gt;0),ROUND(SUM(G236)-SUM(H236),2),"")</f>
        <v>0</v>
      </c>
      <c r="J236" s="3072" t="str">
        <f ca="1">IF(ISNA(I236),"N/A",IF(I236=0,"√","？"))</f>
        <v>√</v>
      </c>
      <c r="K236" s="3090">
        <f t="shared" si="31"/>
        <v>7888725.9500000002</v>
      </c>
      <c r="L236" s="3071">
        <f t="shared" ca="1" si="33"/>
        <v>7888725.9500000002</v>
      </c>
      <c r="M236" s="3093">
        <f ca="1">IF(AND(LEN(K236)&gt;0,LEN(L236)&gt;0),ROUND(SUM(K236)-SUM(L236),2),"")</f>
        <v>0</v>
      </c>
      <c r="N236" s="3072" t="str">
        <f ca="1">IF(ISNA(M236),"N/A",IF(M236=0,"√","？"))</f>
        <v>√</v>
      </c>
      <c r="O236" s="3099"/>
      <c r="P236" s="3100"/>
      <c r="Q236" s="3100"/>
      <c r="R236" s="3100"/>
      <c r="S236" s="3101" t="s">
        <v>295</v>
      </c>
      <c r="T236" s="3101" t="s">
        <v>213</v>
      </c>
      <c r="U236" s="3102"/>
      <c r="V236" s="3102" t="s">
        <v>295</v>
      </c>
      <c r="W236" s="3102" t="s">
        <v>6804</v>
      </c>
      <c r="X236" s="3102" t="s">
        <v>6805</v>
      </c>
      <c r="Y236" s="3103" t="s">
        <v>164</v>
      </c>
    </row>
    <row r="237" spans="1:25" ht="18" hidden="1">
      <c r="A237" s="1304"/>
      <c r="B237" s="643">
        <v>2221</v>
      </c>
      <c r="C237" s="643" t="s">
        <v>1533</v>
      </c>
      <c r="D237" s="3087">
        <v>2</v>
      </c>
      <c r="E237" s="3088" t="str">
        <f t="shared" si="26"/>
        <v>应交税费</v>
      </c>
      <c r="F237" s="3089" t="s">
        <v>1534</v>
      </c>
      <c r="G237" s="3090">
        <f t="shared" si="27"/>
        <v>4883645.8</v>
      </c>
      <c r="H237" s="3091">
        <f t="shared" ca="1" si="32"/>
        <v>0</v>
      </c>
      <c r="I237" s="3093" t="s">
        <v>6810</v>
      </c>
      <c r="J237" s="3072"/>
      <c r="K237" s="3090">
        <f t="shared" si="31"/>
        <v>7888725.9500000002</v>
      </c>
      <c r="L237" s="3071">
        <f t="shared" ca="1" si="33"/>
        <v>0</v>
      </c>
      <c r="M237" s="3093" t="s">
        <v>6810</v>
      </c>
      <c r="N237" s="3072"/>
      <c r="O237" s="3099"/>
      <c r="P237" s="3100"/>
      <c r="Q237" s="3100"/>
      <c r="R237" s="3100"/>
      <c r="S237" s="3101" t="s">
        <v>295</v>
      </c>
      <c r="T237" s="3101" t="s">
        <v>213</v>
      </c>
      <c r="U237" s="3102"/>
      <c r="V237" s="3102" t="s">
        <v>295</v>
      </c>
      <c r="W237" s="3102" t="s">
        <v>6804</v>
      </c>
      <c r="X237" s="3102" t="s">
        <v>213</v>
      </c>
      <c r="Y237" s="3103" t="s">
        <v>164</v>
      </c>
    </row>
    <row r="238" spans="1:25" ht="24">
      <c r="A238" s="1304"/>
      <c r="B238" s="643">
        <v>2246</v>
      </c>
      <c r="C238" s="643" t="s">
        <v>1594</v>
      </c>
      <c r="D238" s="3087">
        <v>1</v>
      </c>
      <c r="E238" s="3088" t="str">
        <f t="shared" si="26"/>
        <v>其他应付款（报表项目）</v>
      </c>
      <c r="F238" s="3089" t="s">
        <v>1595</v>
      </c>
      <c r="G238" s="3090">
        <f t="shared" si="27"/>
        <v>11058441.74</v>
      </c>
      <c r="H238" s="3091">
        <f t="shared" ca="1" si="32"/>
        <v>11058441.74</v>
      </c>
      <c r="I238" s="3093">
        <f ca="1">IF(AND(LEN(G238)&gt;0,LEN(H238)&gt;0),ROUND(SUM(G238)-SUM(H238),2),"")</f>
        <v>0</v>
      </c>
      <c r="J238" s="3072" t="str">
        <f ca="1">IF(ISNA(I238),"N/A",IF(I238=0,"√","？"))</f>
        <v>√</v>
      </c>
      <c r="K238" s="3090">
        <f t="shared" si="31"/>
        <v>61340818.75</v>
      </c>
      <c r="L238" s="3071">
        <f t="shared" ca="1" si="33"/>
        <v>61340818.75</v>
      </c>
      <c r="M238" s="3093">
        <f ca="1">IF(AND(LEN(K238)&gt;0,LEN(L238)&gt;0),ROUND(SUM(K238)-SUM(L238),2),"")</f>
        <v>0</v>
      </c>
      <c r="N238" s="3072" t="str">
        <f ca="1">IF(ISNA(M238),"N/A",IF(M238=0,"√","？"))</f>
        <v>√</v>
      </c>
      <c r="O238" s="3099"/>
      <c r="P238" s="3100"/>
      <c r="Q238" s="3100"/>
      <c r="R238" s="3100"/>
      <c r="S238" s="3101" t="s">
        <v>295</v>
      </c>
      <c r="T238" s="3101" t="s">
        <v>213</v>
      </c>
      <c r="U238" s="3102"/>
      <c r="V238" s="3102" t="s">
        <v>295</v>
      </c>
      <c r="W238" s="3102" t="s">
        <v>6804</v>
      </c>
      <c r="X238" s="3102" t="s">
        <v>6805</v>
      </c>
      <c r="Y238" s="3103" t="s">
        <v>164</v>
      </c>
    </row>
    <row r="239" spans="1:25" ht="18">
      <c r="A239" s="1304"/>
      <c r="B239" s="643">
        <v>2231</v>
      </c>
      <c r="C239" s="643" t="s">
        <v>1538</v>
      </c>
      <c r="D239" s="3087">
        <v>1</v>
      </c>
      <c r="E239" s="3088" t="str">
        <f t="shared" si="26"/>
        <v>应付利息</v>
      </c>
      <c r="F239" s="3089" t="s">
        <v>1539</v>
      </c>
      <c r="G239" s="3090">
        <f t="shared" si="27"/>
        <v>0</v>
      </c>
      <c r="H239" s="3091">
        <f t="shared" ca="1" si="32"/>
        <v>0</v>
      </c>
      <c r="I239" s="3093">
        <f ca="1">IF(AND(LEN(G239)&gt;0,LEN(H239)&gt;0),ROUND(SUM(G239)-SUM(H239),2),"")</f>
        <v>0</v>
      </c>
      <c r="J239" s="3072" t="str">
        <f ca="1">IF(ISNA(I239),"N/A",IF(I239=0,"√","？"))</f>
        <v>√</v>
      </c>
      <c r="K239" s="3090">
        <f t="shared" si="31"/>
        <v>0</v>
      </c>
      <c r="L239" s="3071">
        <f t="shared" ca="1" si="33"/>
        <v>0</v>
      </c>
      <c r="M239" s="3093">
        <f ca="1">IF(AND(LEN(K239)&gt;0,LEN(L239)&gt;0),ROUND(SUM(K239)-SUM(L239),2),"")</f>
        <v>0</v>
      </c>
      <c r="N239" s="3072" t="str">
        <f ca="1">IF(ISNA(M239),"N/A",IF(M239=0,"√","？"))</f>
        <v>√</v>
      </c>
      <c r="O239" s="3099"/>
      <c r="P239" s="3100"/>
      <c r="Q239" s="3100"/>
      <c r="R239" s="3100"/>
      <c r="S239" s="3101" t="s">
        <v>295</v>
      </c>
      <c r="T239" s="3101" t="s">
        <v>213</v>
      </c>
      <c r="U239" s="3102"/>
      <c r="V239" s="3102" t="s">
        <v>295</v>
      </c>
      <c r="W239" s="3102" t="s">
        <v>6804</v>
      </c>
      <c r="X239" s="3102" t="s">
        <v>6805</v>
      </c>
      <c r="Y239" s="3103" t="s">
        <v>164</v>
      </c>
    </row>
    <row r="240" spans="1:25" ht="24" hidden="1">
      <c r="A240" s="1304"/>
      <c r="B240" s="643">
        <v>2231</v>
      </c>
      <c r="C240" s="643" t="s">
        <v>1543</v>
      </c>
      <c r="D240" s="3087">
        <v>2</v>
      </c>
      <c r="E240" s="3088" t="str">
        <f t="shared" si="26"/>
        <v>应付利息</v>
      </c>
      <c r="F240" s="3089" t="s">
        <v>1544</v>
      </c>
      <c r="G240" s="3090">
        <f t="shared" si="27"/>
        <v>0</v>
      </c>
      <c r="H240" s="3091" t="s">
        <v>6806</v>
      </c>
      <c r="I240" s="3093" t="s">
        <v>6810</v>
      </c>
      <c r="J240" s="3072"/>
      <c r="K240" s="3090">
        <f t="shared" si="31"/>
        <v>0</v>
      </c>
      <c r="L240" s="3071" t="s">
        <v>6806</v>
      </c>
      <c r="M240" s="3093" t="s">
        <v>6810</v>
      </c>
      <c r="N240" s="3072"/>
      <c r="O240" s="3099"/>
      <c r="P240" s="3100"/>
      <c r="Q240" s="3100"/>
      <c r="R240" s="3100"/>
      <c r="S240" s="3101" t="s">
        <v>295</v>
      </c>
      <c r="T240" s="3101" t="s">
        <v>213</v>
      </c>
      <c r="U240" s="3102"/>
      <c r="V240" s="3102" t="s">
        <v>295</v>
      </c>
      <c r="W240" s="3102" t="s">
        <v>6804</v>
      </c>
      <c r="X240" s="3102" t="s">
        <v>6805</v>
      </c>
      <c r="Y240" s="3103" t="s">
        <v>164</v>
      </c>
    </row>
    <row r="241" spans="1:25" ht="18">
      <c r="A241" s="1304"/>
      <c r="B241" s="643">
        <v>2232</v>
      </c>
      <c r="C241" s="643" t="s">
        <v>1549</v>
      </c>
      <c r="D241" s="3087">
        <v>1</v>
      </c>
      <c r="E241" s="3088" t="str">
        <f t="shared" si="26"/>
        <v>应付股利</v>
      </c>
      <c r="F241" s="3089" t="s">
        <v>1550</v>
      </c>
      <c r="G241" s="3090">
        <f t="shared" si="27"/>
        <v>0</v>
      </c>
      <c r="H241" s="3091">
        <f t="shared" ref="H241:H247" ca="1" si="34">INDIRECT("Notes!CheckA"&amp;$C241)</f>
        <v>0</v>
      </c>
      <c r="I241" s="3093">
        <f ca="1">IF(AND(LEN(G241)&gt;0,LEN(H241)&gt;0),ROUND(SUM(G241)-SUM(H241),2),"")</f>
        <v>0</v>
      </c>
      <c r="J241" s="3072" t="str">
        <f ca="1">IF(ISNA(I241),"N/A",IF(I241=0,"√","？"))</f>
        <v>√</v>
      </c>
      <c r="K241" s="3090">
        <f t="shared" si="31"/>
        <v>0</v>
      </c>
      <c r="L241" s="3071">
        <f ca="1">INDIRECT("Notes!CheckB"&amp;$C241)</f>
        <v>0</v>
      </c>
      <c r="M241" s="3093">
        <f ca="1">IF(AND(LEN(K241)&gt;0,LEN(L241)&gt;0),ROUND(SUM(K241)-SUM(L241),2),"")</f>
        <v>0</v>
      </c>
      <c r="N241" s="3072" t="str">
        <f ca="1">IF(ISNA(M241),"N/A",IF(M241=0,"√","？"))</f>
        <v>√</v>
      </c>
      <c r="O241" s="3099"/>
      <c r="P241" s="3100"/>
      <c r="Q241" s="3100"/>
      <c r="R241" s="3100"/>
      <c r="S241" s="3101" t="s">
        <v>295</v>
      </c>
      <c r="T241" s="3101" t="s">
        <v>213</v>
      </c>
      <c r="U241" s="3102"/>
      <c r="V241" s="3102" t="s">
        <v>295</v>
      </c>
      <c r="W241" s="3102" t="s">
        <v>6804</v>
      </c>
      <c r="X241" s="3102" t="s">
        <v>6805</v>
      </c>
      <c r="Y241" s="3103" t="s">
        <v>164</v>
      </c>
    </row>
    <row r="242" spans="1:25" ht="24" hidden="1">
      <c r="A242" s="1304"/>
      <c r="B242" s="643">
        <v>2232</v>
      </c>
      <c r="C242" s="643" t="s">
        <v>1554</v>
      </c>
      <c r="D242" s="3087">
        <v>2</v>
      </c>
      <c r="E242" s="3088" t="str">
        <f t="shared" si="26"/>
        <v>应付股利</v>
      </c>
      <c r="F242" s="3089" t="s">
        <v>1555</v>
      </c>
      <c r="G242" s="3090">
        <f t="shared" si="27"/>
        <v>0</v>
      </c>
      <c r="H242" s="3091">
        <f t="shared" ca="1" si="34"/>
        <v>0</v>
      </c>
      <c r="I242" s="3093" t="s">
        <v>6810</v>
      </c>
      <c r="J242" s="3072"/>
      <c r="K242" s="3090">
        <f t="shared" si="31"/>
        <v>0</v>
      </c>
      <c r="L242" s="3071" t="s">
        <v>6806</v>
      </c>
      <c r="M242" s="3093" t="s">
        <v>6810</v>
      </c>
      <c r="N242" s="3072"/>
      <c r="O242" s="3099"/>
      <c r="P242" s="3100"/>
      <c r="Q242" s="3100"/>
      <c r="R242" s="3100"/>
      <c r="S242" s="3101" t="s">
        <v>295</v>
      </c>
      <c r="T242" s="3101" t="s">
        <v>213</v>
      </c>
      <c r="U242" s="3102"/>
      <c r="V242" s="3102" t="s">
        <v>295</v>
      </c>
      <c r="W242" s="3102" t="s">
        <v>6804</v>
      </c>
      <c r="X242" s="3102" t="s">
        <v>6805</v>
      </c>
      <c r="Y242" s="3103" t="s">
        <v>164</v>
      </c>
    </row>
    <row r="243" spans="1:25" ht="24">
      <c r="A243" s="1304"/>
      <c r="B243" s="643">
        <v>2241</v>
      </c>
      <c r="C243" s="643" t="s">
        <v>1559</v>
      </c>
      <c r="D243" s="3087">
        <v>1</v>
      </c>
      <c r="E243" s="3088" t="str">
        <f t="shared" si="26"/>
        <v>其他应付款</v>
      </c>
      <c r="F243" s="3089" t="s">
        <v>1560</v>
      </c>
      <c r="G243" s="3090">
        <f t="shared" si="27"/>
        <v>11058441.74</v>
      </c>
      <c r="H243" s="3091">
        <f t="shared" ca="1" si="34"/>
        <v>11058441.74</v>
      </c>
      <c r="I243" s="3093">
        <f ca="1">IF(AND(LEN(G243)&gt;0,LEN(H243)&gt;0),ROUND(SUM(G243)-SUM(H243),2),"")</f>
        <v>0</v>
      </c>
      <c r="J243" s="3072" t="str">
        <f ca="1">IF(ISNA(I243),"N/A",IF(I243=0,"√","？"))</f>
        <v>√</v>
      </c>
      <c r="K243" s="3090">
        <f t="shared" si="31"/>
        <v>61340818.75</v>
      </c>
      <c r="L243" s="3071">
        <f ca="1">INDIRECT("Notes!CheckB"&amp;$C243)</f>
        <v>61340818.75</v>
      </c>
      <c r="M243" s="3093">
        <f ca="1">IF(AND(LEN(K243)&gt;0,LEN(L243)&gt;0),ROUND(SUM(K243)-SUM(L243),2),"")</f>
        <v>0</v>
      </c>
      <c r="N243" s="3072" t="str">
        <f ca="1">IF(ISNA(M243),"N/A",IF(M243=0,"√","？"))</f>
        <v>√</v>
      </c>
      <c r="O243" s="3099"/>
      <c r="P243" s="3100"/>
      <c r="Q243" s="3100"/>
      <c r="R243" s="3100"/>
      <c r="S243" s="3101" t="s">
        <v>295</v>
      </c>
      <c r="T243" s="3101" t="s">
        <v>213</v>
      </c>
      <c r="U243" s="3102"/>
      <c r="V243" s="3102" t="s">
        <v>295</v>
      </c>
      <c r="W243" s="3102" t="s">
        <v>6804</v>
      </c>
      <c r="X243" s="3102" t="s">
        <v>6805</v>
      </c>
      <c r="Y243" s="3103" t="s">
        <v>164</v>
      </c>
    </row>
    <row r="244" spans="1:25" ht="18">
      <c r="A244" s="1304"/>
      <c r="B244" s="643">
        <v>2241</v>
      </c>
      <c r="C244" s="643" t="s">
        <v>1569</v>
      </c>
      <c r="D244" s="3087">
        <v>1</v>
      </c>
      <c r="E244" s="3088" t="str">
        <f t="shared" si="26"/>
        <v>其他应付款</v>
      </c>
      <c r="F244" s="3089" t="s">
        <v>1570</v>
      </c>
      <c r="G244" s="3090">
        <f t="shared" si="27"/>
        <v>11058441.74</v>
      </c>
      <c r="H244" s="3091">
        <f t="shared" ca="1" si="34"/>
        <v>0</v>
      </c>
      <c r="I244" s="3093">
        <f ca="1">IF(AND(LEN(G244)&gt;0,LEN(H244)&gt;0),ROUND(SUM(G244)-SUM(H244),2),"")</f>
        <v>11058441.74</v>
      </c>
      <c r="J244" s="3072" t="str">
        <f ca="1">IF(ISNA(I244),"N/A",IF(I244=0,"√","？"))</f>
        <v>？</v>
      </c>
      <c r="K244" s="3090">
        <f t="shared" si="31"/>
        <v>61340818.75</v>
      </c>
      <c r="L244" s="3071">
        <f ca="1">INDIRECT("Notes!CheckB"&amp;$C244)</f>
        <v>0</v>
      </c>
      <c r="M244" s="3093">
        <f ca="1">IF(AND(LEN(K244)&gt;0,LEN(L244)&gt;0),ROUND(SUM(K244)-SUM(L244),2),"")</f>
        <v>61340818.75</v>
      </c>
      <c r="N244" s="3072" t="str">
        <f ca="1">IF(ISNA(M244),"N/A",IF(M244=0,"√","？"))</f>
        <v>？</v>
      </c>
      <c r="O244" s="3099"/>
      <c r="P244" s="3100"/>
      <c r="Q244" s="3100"/>
      <c r="R244" s="3100"/>
      <c r="S244" s="3101" t="s">
        <v>295</v>
      </c>
      <c r="T244" s="3101" t="s">
        <v>213</v>
      </c>
      <c r="U244" s="3102"/>
      <c r="V244" s="3102" t="s">
        <v>295</v>
      </c>
      <c r="W244" s="3102" t="s">
        <v>6804</v>
      </c>
      <c r="X244" s="3102" t="s">
        <v>213</v>
      </c>
      <c r="Y244" s="3103" t="s">
        <v>164</v>
      </c>
    </row>
    <row r="245" spans="1:25" ht="24" hidden="1">
      <c r="A245" s="1304"/>
      <c r="B245" s="643">
        <v>2241</v>
      </c>
      <c r="C245" s="643" t="s">
        <v>1564</v>
      </c>
      <c r="D245" s="3087">
        <v>2</v>
      </c>
      <c r="E245" s="3088" t="str">
        <f t="shared" si="26"/>
        <v>其他应付款</v>
      </c>
      <c r="F245" s="3089" t="s">
        <v>1565</v>
      </c>
      <c r="G245" s="3090">
        <f t="shared" si="27"/>
        <v>11058441.74</v>
      </c>
      <c r="H245" s="3091">
        <f t="shared" ca="1" si="34"/>
        <v>0</v>
      </c>
      <c r="I245" s="3093" t="s">
        <v>6810</v>
      </c>
      <c r="J245" s="3072"/>
      <c r="K245" s="3090">
        <f t="shared" si="31"/>
        <v>61340818.75</v>
      </c>
      <c r="L245" s="3071" t="s">
        <v>6806</v>
      </c>
      <c r="M245" s="3093" t="s">
        <v>6810</v>
      </c>
      <c r="N245" s="3072"/>
      <c r="O245" s="3099"/>
      <c r="P245" s="3100"/>
      <c r="Q245" s="3100"/>
      <c r="R245" s="3100"/>
      <c r="S245" s="3101" t="s">
        <v>295</v>
      </c>
      <c r="T245" s="3101" t="s">
        <v>213</v>
      </c>
      <c r="U245" s="3102"/>
      <c r="V245" s="3102" t="s">
        <v>295</v>
      </c>
      <c r="W245" s="3102" t="s">
        <v>6804</v>
      </c>
      <c r="X245" s="3102" t="s">
        <v>6805</v>
      </c>
      <c r="Y245" s="3103" t="s">
        <v>164</v>
      </c>
    </row>
    <row r="246" spans="1:25" ht="24" hidden="1">
      <c r="A246" s="1304"/>
      <c r="B246" s="643">
        <v>2241</v>
      </c>
      <c r="C246" s="643" t="s">
        <v>1579</v>
      </c>
      <c r="D246" s="3087">
        <v>2</v>
      </c>
      <c r="E246" s="3088" t="str">
        <f t="shared" si="26"/>
        <v>其他应付款</v>
      </c>
      <c r="F246" s="3089" t="s">
        <v>1580</v>
      </c>
      <c r="G246" s="3090">
        <f t="shared" si="27"/>
        <v>11058441.74</v>
      </c>
      <c r="H246" s="3091">
        <f t="shared" ca="1" si="34"/>
        <v>0</v>
      </c>
      <c r="I246" s="3093" t="s">
        <v>6810</v>
      </c>
      <c r="J246" s="3072"/>
      <c r="K246" s="3090">
        <f t="shared" si="31"/>
        <v>61340818.75</v>
      </c>
      <c r="L246" s="3071" t="s">
        <v>6806</v>
      </c>
      <c r="M246" s="3093" t="s">
        <v>6810</v>
      </c>
      <c r="N246" s="3072"/>
      <c r="O246" s="3099"/>
      <c r="P246" s="3100"/>
      <c r="Q246" s="3100"/>
      <c r="R246" s="3100"/>
      <c r="S246" s="3101" t="s">
        <v>295</v>
      </c>
      <c r="T246" s="3101" t="s">
        <v>213</v>
      </c>
      <c r="U246" s="3102"/>
      <c r="V246" s="3102" t="s">
        <v>295</v>
      </c>
      <c r="W246" s="3102" t="s">
        <v>6804</v>
      </c>
      <c r="X246" s="3102" t="s">
        <v>213</v>
      </c>
      <c r="Y246" s="3103" t="s">
        <v>164</v>
      </c>
    </row>
    <row r="247" spans="1:25" ht="18" hidden="1">
      <c r="A247" s="1304"/>
      <c r="B247" s="643">
        <v>2241</v>
      </c>
      <c r="C247" s="643" t="s">
        <v>1584</v>
      </c>
      <c r="D247" s="3087">
        <v>2</v>
      </c>
      <c r="E247" s="3088" t="str">
        <f t="shared" si="26"/>
        <v>其他应付款</v>
      </c>
      <c r="F247" s="3089" t="s">
        <v>1585</v>
      </c>
      <c r="G247" s="3090">
        <f t="shared" si="27"/>
        <v>11058441.74</v>
      </c>
      <c r="H247" s="3091">
        <f t="shared" ca="1" si="34"/>
        <v>0</v>
      </c>
      <c r="I247" s="3093" t="s">
        <v>6810</v>
      </c>
      <c r="J247" s="3072"/>
      <c r="K247" s="3090">
        <f t="shared" si="31"/>
        <v>61340818.75</v>
      </c>
      <c r="L247" s="3071" t="s">
        <v>6806</v>
      </c>
      <c r="M247" s="3093" t="s">
        <v>6810</v>
      </c>
      <c r="N247" s="3072"/>
      <c r="O247" s="3099"/>
      <c r="P247" s="3100"/>
      <c r="Q247" s="3100"/>
      <c r="R247" s="3100"/>
      <c r="S247" s="3101" t="s">
        <v>295</v>
      </c>
      <c r="T247" s="3101" t="s">
        <v>213</v>
      </c>
      <c r="U247" s="3102"/>
      <c r="V247" s="3102" t="s">
        <v>295</v>
      </c>
      <c r="W247" s="3102" t="s">
        <v>6804</v>
      </c>
      <c r="X247" s="3102" t="s">
        <v>213</v>
      </c>
      <c r="Y247" s="3103" t="s">
        <v>164</v>
      </c>
    </row>
    <row r="248" spans="1:25" ht="24" hidden="1">
      <c r="A248" s="1304"/>
      <c r="B248" s="643">
        <v>2241</v>
      </c>
      <c r="C248" s="643" t="s">
        <v>1574</v>
      </c>
      <c r="D248" s="3087">
        <v>2</v>
      </c>
      <c r="E248" s="3088" t="str">
        <f t="shared" si="26"/>
        <v>其他应付款</v>
      </c>
      <c r="F248" s="3089" t="s">
        <v>1575</v>
      </c>
      <c r="G248" s="3090">
        <f t="shared" si="27"/>
        <v>11058441.74</v>
      </c>
      <c r="H248" s="3091" t="s">
        <v>6806</v>
      </c>
      <c r="I248" s="3093" t="s">
        <v>6810</v>
      </c>
      <c r="J248" s="3072"/>
      <c r="K248" s="3090">
        <f t="shared" si="31"/>
        <v>61340818.75</v>
      </c>
      <c r="L248" s="3071" t="s">
        <v>6806</v>
      </c>
      <c r="M248" s="3093" t="s">
        <v>6810</v>
      </c>
      <c r="N248" s="3072"/>
      <c r="O248" s="3099"/>
      <c r="P248" s="3100"/>
      <c r="Q248" s="3100"/>
      <c r="R248" s="3100"/>
      <c r="S248" s="3101" t="s">
        <v>295</v>
      </c>
      <c r="T248" s="3101" t="s">
        <v>213</v>
      </c>
      <c r="U248" s="3102"/>
      <c r="V248" s="3102" t="s">
        <v>295</v>
      </c>
      <c r="W248" s="3102" t="s">
        <v>6804</v>
      </c>
      <c r="X248" s="3102" t="s">
        <v>213</v>
      </c>
      <c r="Y248" s="3103" t="s">
        <v>164</v>
      </c>
    </row>
    <row r="249" spans="1:25" ht="18" hidden="1">
      <c r="A249" s="1304"/>
      <c r="B249" s="643">
        <v>2241</v>
      </c>
      <c r="C249" s="643" t="s">
        <v>1589</v>
      </c>
      <c r="D249" s="3087">
        <v>2</v>
      </c>
      <c r="E249" s="3088" t="str">
        <f t="shared" si="26"/>
        <v>其他应付款</v>
      </c>
      <c r="F249" s="3089" t="s">
        <v>1590</v>
      </c>
      <c r="G249" s="3090">
        <f t="shared" si="27"/>
        <v>11058441.74</v>
      </c>
      <c r="H249" s="3091">
        <f t="shared" ref="H249:H272" ca="1" si="35">INDIRECT("Notes!CheckA"&amp;$C249)</f>
        <v>0</v>
      </c>
      <c r="I249" s="3093" t="s">
        <v>6810</v>
      </c>
      <c r="J249" s="3072"/>
      <c r="K249" s="3090">
        <f t="shared" si="31"/>
        <v>61340818.75</v>
      </c>
      <c r="L249" s="3071" t="s">
        <v>6806</v>
      </c>
      <c r="M249" s="3093" t="s">
        <v>6810</v>
      </c>
      <c r="N249" s="3072"/>
      <c r="O249" s="3099"/>
      <c r="P249" s="3100"/>
      <c r="Q249" s="3100"/>
      <c r="R249" s="3100"/>
      <c r="S249" s="3101" t="s">
        <v>295</v>
      </c>
      <c r="T249" s="3101" t="s">
        <v>213</v>
      </c>
      <c r="U249" s="3102"/>
      <c r="V249" s="3102" t="s">
        <v>295</v>
      </c>
      <c r="W249" s="3102" t="s">
        <v>6804</v>
      </c>
      <c r="X249" s="3102" t="s">
        <v>213</v>
      </c>
      <c r="Y249" s="3103" t="s">
        <v>164</v>
      </c>
    </row>
    <row r="250" spans="1:25" ht="18">
      <c r="A250" s="1304"/>
      <c r="B250" s="643">
        <v>2315</v>
      </c>
      <c r="C250" s="643" t="s">
        <v>1599</v>
      </c>
      <c r="D250" s="3087">
        <v>1</v>
      </c>
      <c r="E250" s="3088" t="str">
        <f t="shared" si="26"/>
        <v>持有待售负债</v>
      </c>
      <c r="F250" s="3089" t="s">
        <v>6447</v>
      </c>
      <c r="G250" s="3090">
        <f t="shared" si="27"/>
        <v>0</v>
      </c>
      <c r="H250" s="3091">
        <f t="shared" ca="1" si="35"/>
        <v>0</v>
      </c>
      <c r="I250" s="3093">
        <f ca="1">IF(AND(LEN(G250)&gt;0,LEN(H250)&gt;0),ROUND(SUM(G250)-SUM(H250),2),"")</f>
        <v>0</v>
      </c>
      <c r="J250" s="3072" t="str">
        <f ca="1">IF(ISNA(I250),"N/A",IF(I250=0,"√","？"))</f>
        <v>√</v>
      </c>
      <c r="K250" s="3090">
        <f t="shared" si="31"/>
        <v>0</v>
      </c>
      <c r="L250" s="3071">
        <f t="shared" ref="L250:L257" ca="1" si="36">INDIRECT("Notes!CheckB"&amp;$C250)</f>
        <v>0</v>
      </c>
      <c r="M250" s="3093">
        <f ca="1">IF(AND(LEN(K250)&gt;0,LEN(L250)&gt;0),ROUND(SUM(K250)-SUM(L250),2),"")</f>
        <v>0</v>
      </c>
      <c r="N250" s="3072" t="str">
        <f ca="1">IF(ISNA(M250),"N/A",IF(M250=0,"√","？"))</f>
        <v>√</v>
      </c>
      <c r="O250" s="3099"/>
      <c r="P250" s="3100"/>
      <c r="Q250" s="3100"/>
      <c r="R250" s="3100"/>
      <c r="S250" s="3101" t="s">
        <v>295</v>
      </c>
      <c r="T250" s="3101" t="s">
        <v>213</v>
      </c>
      <c r="U250" s="3102"/>
      <c r="V250" s="3102" t="s">
        <v>295</v>
      </c>
      <c r="W250" s="3102" t="s">
        <v>6804</v>
      </c>
      <c r="X250" s="3102" t="s">
        <v>6805</v>
      </c>
      <c r="Y250" s="3103" t="s">
        <v>164</v>
      </c>
    </row>
    <row r="251" spans="1:25" ht="24">
      <c r="A251" s="1304"/>
      <c r="B251" s="643">
        <v>2395</v>
      </c>
      <c r="C251" s="643" t="s">
        <v>1603</v>
      </c>
      <c r="D251" s="3087">
        <v>1</v>
      </c>
      <c r="E251" s="3088" t="str">
        <f t="shared" si="26"/>
        <v>一年内到期的非流动负债</v>
      </c>
      <c r="F251" s="3089" t="s">
        <v>1604</v>
      </c>
      <c r="G251" s="3090">
        <f t="shared" si="27"/>
        <v>0</v>
      </c>
      <c r="H251" s="3091">
        <f t="shared" ca="1" si="35"/>
        <v>0</v>
      </c>
      <c r="I251" s="3093">
        <f ca="1">IF(AND(LEN(G251)&gt;0,LEN(H251)&gt;0),ROUND(SUM(G251)-SUM(H251),2),"")</f>
        <v>0</v>
      </c>
      <c r="J251" s="3072" t="str">
        <f ca="1">IF(ISNA(I251),"N/A",IF(I251=0,"√","？"))</f>
        <v>√</v>
      </c>
      <c r="K251" s="3090">
        <f t="shared" si="31"/>
        <v>0</v>
      </c>
      <c r="L251" s="3071">
        <f t="shared" ca="1" si="36"/>
        <v>0</v>
      </c>
      <c r="M251" s="3093">
        <f ca="1">IF(AND(LEN(K251)&gt;0,LEN(L251)&gt;0),ROUND(SUM(K251)-SUM(L251),2),"")</f>
        <v>0</v>
      </c>
      <c r="N251" s="3072" t="str">
        <f ca="1">IF(ISNA(M251),"N/A",IF(M251=0,"√","？"))</f>
        <v>√</v>
      </c>
      <c r="O251" s="3099"/>
      <c r="P251" s="3100"/>
      <c r="Q251" s="3100"/>
      <c r="R251" s="3100"/>
      <c r="S251" s="3101" t="s">
        <v>295</v>
      </c>
      <c r="T251" s="3101" t="s">
        <v>213</v>
      </c>
      <c r="U251" s="3102"/>
      <c r="V251" s="3102" t="s">
        <v>295</v>
      </c>
      <c r="W251" s="3102" t="s">
        <v>6804</v>
      </c>
      <c r="X251" s="3102" t="s">
        <v>6805</v>
      </c>
      <c r="Y251" s="3103" t="s">
        <v>164</v>
      </c>
    </row>
    <row r="252" spans="1:25" ht="24" hidden="1">
      <c r="A252" s="1304"/>
      <c r="B252" s="643">
        <v>2395</v>
      </c>
      <c r="C252" s="643" t="s">
        <v>1608</v>
      </c>
      <c r="D252" s="3087">
        <v>2</v>
      </c>
      <c r="E252" s="3088" t="str">
        <f t="shared" si="26"/>
        <v>一年内到期的非流动负债</v>
      </c>
      <c r="F252" s="3089" t="s">
        <v>6448</v>
      </c>
      <c r="G252" s="3090">
        <f t="shared" si="27"/>
        <v>0</v>
      </c>
      <c r="H252" s="3091">
        <f t="shared" ca="1" si="35"/>
        <v>0</v>
      </c>
      <c r="I252" s="3093" t="s">
        <v>6810</v>
      </c>
      <c r="J252" s="3072"/>
      <c r="K252" s="3090">
        <f t="shared" si="31"/>
        <v>0</v>
      </c>
      <c r="L252" s="3071">
        <f t="shared" ca="1" si="36"/>
        <v>0</v>
      </c>
      <c r="M252" s="3093" t="s">
        <v>6810</v>
      </c>
      <c r="N252" s="3072"/>
      <c r="O252" s="3099"/>
      <c r="P252" s="3100"/>
      <c r="Q252" s="3100"/>
      <c r="R252" s="3100"/>
      <c r="S252" s="3101" t="s">
        <v>295</v>
      </c>
      <c r="T252" s="3101" t="s">
        <v>213</v>
      </c>
      <c r="U252" s="3102"/>
      <c r="V252" s="3102" t="s">
        <v>295</v>
      </c>
      <c r="W252" s="3102" t="s">
        <v>145</v>
      </c>
      <c r="X252" s="3102" t="s">
        <v>213</v>
      </c>
      <c r="Y252" s="3103" t="s">
        <v>164</v>
      </c>
    </row>
    <row r="253" spans="1:25" ht="24" hidden="1">
      <c r="A253" s="1304"/>
      <c r="B253" s="643">
        <v>2395</v>
      </c>
      <c r="C253" s="643" t="s">
        <v>1612</v>
      </c>
      <c r="D253" s="3087">
        <v>2</v>
      </c>
      <c r="E253" s="3088" t="str">
        <f t="shared" si="26"/>
        <v>一年内到期的非流动负债</v>
      </c>
      <c r="F253" s="3089" t="s">
        <v>6449</v>
      </c>
      <c r="G253" s="3090">
        <f t="shared" si="27"/>
        <v>0</v>
      </c>
      <c r="H253" s="3091">
        <f t="shared" ca="1" si="35"/>
        <v>0</v>
      </c>
      <c r="I253" s="3093" t="s">
        <v>6810</v>
      </c>
      <c r="J253" s="3072"/>
      <c r="K253" s="3090">
        <f t="shared" si="31"/>
        <v>0</v>
      </c>
      <c r="L253" s="3071">
        <f t="shared" ca="1" si="36"/>
        <v>0</v>
      </c>
      <c r="M253" s="3093" t="s">
        <v>6810</v>
      </c>
      <c r="N253" s="3072"/>
      <c r="O253" s="3099"/>
      <c r="P253" s="3100"/>
      <c r="Q253" s="3100"/>
      <c r="R253" s="3100"/>
      <c r="S253" s="3101" t="s">
        <v>295</v>
      </c>
      <c r="T253" s="3101" t="s">
        <v>213</v>
      </c>
      <c r="U253" s="3102"/>
      <c r="V253" s="3102" t="s">
        <v>295</v>
      </c>
      <c r="W253" s="3102" t="s">
        <v>145</v>
      </c>
      <c r="X253" s="3102" t="s">
        <v>213</v>
      </c>
      <c r="Y253" s="3103" t="s">
        <v>164</v>
      </c>
    </row>
    <row r="254" spans="1:25" ht="24" hidden="1">
      <c r="A254" s="1304"/>
      <c r="B254" s="643">
        <v>2395</v>
      </c>
      <c r="C254" s="643" t="s">
        <v>1617</v>
      </c>
      <c r="D254" s="3087">
        <v>2</v>
      </c>
      <c r="E254" s="3088" t="str">
        <f t="shared" si="26"/>
        <v>一年内到期的非流动负债</v>
      </c>
      <c r="F254" s="3089" t="s">
        <v>6450</v>
      </c>
      <c r="G254" s="3090">
        <f t="shared" si="27"/>
        <v>0</v>
      </c>
      <c r="H254" s="3091">
        <f t="shared" ca="1" si="35"/>
        <v>0</v>
      </c>
      <c r="I254" s="3093" t="s">
        <v>6810</v>
      </c>
      <c r="J254" s="3072"/>
      <c r="K254" s="3090">
        <f t="shared" si="31"/>
        <v>0</v>
      </c>
      <c r="L254" s="3071">
        <f t="shared" ca="1" si="36"/>
        <v>0</v>
      </c>
      <c r="M254" s="3093" t="s">
        <v>6810</v>
      </c>
      <c r="N254" s="3072"/>
      <c r="O254" s="3099"/>
      <c r="P254" s="3100"/>
      <c r="Q254" s="3100"/>
      <c r="R254" s="3100"/>
      <c r="S254" s="3101" t="s">
        <v>295</v>
      </c>
      <c r="T254" s="3101" t="s">
        <v>213</v>
      </c>
      <c r="U254" s="3102"/>
      <c r="V254" s="3102" t="s">
        <v>295</v>
      </c>
      <c r="W254" s="3102" t="s">
        <v>145</v>
      </c>
      <c r="X254" s="3102" t="s">
        <v>213</v>
      </c>
      <c r="Y254" s="3103" t="s">
        <v>164</v>
      </c>
    </row>
    <row r="255" spans="1:25" ht="18">
      <c r="A255" s="1304"/>
      <c r="B255" s="643">
        <v>2396</v>
      </c>
      <c r="C255" s="643" t="s">
        <v>1621</v>
      </c>
      <c r="D255" s="3087">
        <v>1</v>
      </c>
      <c r="E255" s="3088" t="str">
        <f t="shared" si="26"/>
        <v>其他流动负债</v>
      </c>
      <c r="F255" s="3089" t="s">
        <v>1622</v>
      </c>
      <c r="G255" s="3090">
        <f t="shared" si="27"/>
        <v>0</v>
      </c>
      <c r="H255" s="3091">
        <f t="shared" ca="1" si="35"/>
        <v>0</v>
      </c>
      <c r="I255" s="3093">
        <f ca="1">IF(AND(LEN(G255)&gt;0,LEN(H255)&gt;0),ROUND(SUM(G255)-SUM(H255),2),"")</f>
        <v>0</v>
      </c>
      <c r="J255" s="3072" t="str">
        <f ca="1">IF(ISNA(I255),"N/A",IF(I255=0,"√","？"))</f>
        <v>√</v>
      </c>
      <c r="K255" s="3090">
        <f t="shared" si="31"/>
        <v>0</v>
      </c>
      <c r="L255" s="3071">
        <f t="shared" ca="1" si="36"/>
        <v>0</v>
      </c>
      <c r="M255" s="3093">
        <f ca="1">IF(AND(LEN(K255)&gt;0,LEN(L255)&gt;0),ROUND(SUM(K255)-SUM(L255),2),"")</f>
        <v>0</v>
      </c>
      <c r="N255" s="3072" t="str">
        <f ca="1">IF(ISNA(M255),"N/A",IF(M255=0,"√","？"))</f>
        <v>√</v>
      </c>
      <c r="O255" s="3099"/>
      <c r="P255" s="3100"/>
      <c r="Q255" s="3100"/>
      <c r="R255" s="3100"/>
      <c r="S255" s="3101" t="s">
        <v>295</v>
      </c>
      <c r="T255" s="3101" t="s">
        <v>213</v>
      </c>
      <c r="U255" s="3102"/>
      <c r="V255" s="3102" t="s">
        <v>295</v>
      </c>
      <c r="W255" s="3102" t="s">
        <v>6804</v>
      </c>
      <c r="X255" s="3102" t="s">
        <v>6805</v>
      </c>
      <c r="Y255" s="3103" t="s">
        <v>164</v>
      </c>
    </row>
    <row r="256" spans="1:25" ht="24" hidden="1">
      <c r="A256" s="1304"/>
      <c r="B256" s="643">
        <v>2396</v>
      </c>
      <c r="C256" s="643" t="s">
        <v>1626</v>
      </c>
      <c r="D256" s="3087">
        <v>2</v>
      </c>
      <c r="E256" s="3088" t="str">
        <f t="shared" si="26"/>
        <v>其他流动负债</v>
      </c>
      <c r="F256" s="3089" t="s">
        <v>6451</v>
      </c>
      <c r="G256" s="3090">
        <f t="shared" si="27"/>
        <v>0</v>
      </c>
      <c r="H256" s="3091">
        <f t="shared" ca="1" si="35"/>
        <v>0</v>
      </c>
      <c r="I256" s="3093" t="s">
        <v>6810</v>
      </c>
      <c r="J256" s="3072"/>
      <c r="K256" s="3090">
        <f t="shared" si="31"/>
        <v>0</v>
      </c>
      <c r="L256" s="3071">
        <f t="shared" ca="1" si="36"/>
        <v>0</v>
      </c>
      <c r="M256" s="3093" t="s">
        <v>6810</v>
      </c>
      <c r="N256" s="3072"/>
      <c r="O256" s="3099"/>
      <c r="P256" s="3100"/>
      <c r="Q256" s="3100"/>
      <c r="R256" s="3100"/>
      <c r="S256" s="3101" t="s">
        <v>295</v>
      </c>
      <c r="T256" s="3101" t="s">
        <v>213</v>
      </c>
      <c r="U256" s="3102"/>
      <c r="V256" s="3102" t="s">
        <v>295</v>
      </c>
      <c r="W256" s="3102" t="s">
        <v>6804</v>
      </c>
      <c r="X256" s="3102" t="s">
        <v>6805</v>
      </c>
      <c r="Y256" s="3103" t="s">
        <v>164</v>
      </c>
    </row>
    <row r="257" spans="1:25" ht="18">
      <c r="A257" s="1304"/>
      <c r="B257" s="643">
        <v>2501</v>
      </c>
      <c r="C257" s="643" t="s">
        <v>1637</v>
      </c>
      <c r="D257" s="3087">
        <v>1</v>
      </c>
      <c r="E257" s="3088" t="str">
        <f t="shared" si="26"/>
        <v>长期借款</v>
      </c>
      <c r="F257" s="3089" t="s">
        <v>1638</v>
      </c>
      <c r="G257" s="3090">
        <f t="shared" si="27"/>
        <v>0</v>
      </c>
      <c r="H257" s="3091">
        <f t="shared" ca="1" si="35"/>
        <v>0</v>
      </c>
      <c r="I257" s="3093">
        <f ca="1">IF(AND(LEN(G257)&gt;0,LEN(H257)&gt;0),ROUND(SUM(G257)-SUM(H257),2),"")</f>
        <v>0</v>
      </c>
      <c r="J257" s="3072" t="str">
        <f ca="1">IF(ISNA(I257),"N/A",IF(I257=0,"√","？"))</f>
        <v>√</v>
      </c>
      <c r="K257" s="3090">
        <f t="shared" si="31"/>
        <v>0</v>
      </c>
      <c r="L257" s="3071">
        <f t="shared" ca="1" si="36"/>
        <v>0</v>
      </c>
      <c r="M257" s="3093">
        <f ca="1">IF(AND(LEN(K257)&gt;0,LEN(L257)&gt;0),ROUND(SUM(K257)-SUM(L257),2),"")</f>
        <v>0</v>
      </c>
      <c r="N257" s="3072" t="str">
        <f ca="1">IF(ISNA(M257),"N/A",IF(M257=0,"√","？"))</f>
        <v>√</v>
      </c>
      <c r="O257" s="3099"/>
      <c r="P257" s="3100"/>
      <c r="Q257" s="3100"/>
      <c r="R257" s="3100"/>
      <c r="S257" s="3101" t="s">
        <v>295</v>
      </c>
      <c r="T257" s="3101" t="s">
        <v>213</v>
      </c>
      <c r="U257" s="3102"/>
      <c r="V257" s="3102" t="s">
        <v>295</v>
      </c>
      <c r="W257" s="3102" t="s">
        <v>6804</v>
      </c>
      <c r="X257" s="3102" t="s">
        <v>6805</v>
      </c>
      <c r="Y257" s="3103" t="s">
        <v>164</v>
      </c>
    </row>
    <row r="258" spans="1:25" ht="24" hidden="1">
      <c r="A258" s="1304"/>
      <c r="B258" s="643">
        <v>2501</v>
      </c>
      <c r="C258" s="643" t="s">
        <v>1642</v>
      </c>
      <c r="D258" s="3087">
        <v>2</v>
      </c>
      <c r="E258" s="3088" t="str">
        <f t="shared" si="26"/>
        <v>长期借款</v>
      </c>
      <c r="F258" s="3089" t="s">
        <v>1643</v>
      </c>
      <c r="G258" s="3090">
        <f t="shared" si="27"/>
        <v>0</v>
      </c>
      <c r="H258" s="3091">
        <f t="shared" ca="1" si="35"/>
        <v>0</v>
      </c>
      <c r="I258" s="3093" t="s">
        <v>6810</v>
      </c>
      <c r="J258" s="3072"/>
      <c r="K258" s="3090">
        <f t="shared" si="31"/>
        <v>0</v>
      </c>
      <c r="L258" s="3071" t="s">
        <v>6806</v>
      </c>
      <c r="M258" s="3093" t="s">
        <v>6810</v>
      </c>
      <c r="N258" s="3072"/>
      <c r="O258" s="3099"/>
      <c r="P258" s="3100"/>
      <c r="Q258" s="3100"/>
      <c r="R258" s="3100"/>
      <c r="S258" s="3101" t="s">
        <v>295</v>
      </c>
      <c r="T258" s="3101" t="s">
        <v>213</v>
      </c>
      <c r="U258" s="3102"/>
      <c r="V258" s="3102" t="s">
        <v>295</v>
      </c>
      <c r="W258" s="3102" t="s">
        <v>6804</v>
      </c>
      <c r="X258" s="3102" t="s">
        <v>213</v>
      </c>
      <c r="Y258" s="3103" t="s">
        <v>164</v>
      </c>
    </row>
    <row r="259" spans="1:25" ht="24" hidden="1">
      <c r="A259" s="1304"/>
      <c r="B259" s="643">
        <v>2501</v>
      </c>
      <c r="C259" s="643" t="s">
        <v>1647</v>
      </c>
      <c r="D259" s="3087">
        <v>2</v>
      </c>
      <c r="E259" s="3088" t="str">
        <f t="shared" si="26"/>
        <v>长期借款</v>
      </c>
      <c r="F259" s="3089" t="s">
        <v>1648</v>
      </c>
      <c r="G259" s="3090">
        <f t="shared" si="27"/>
        <v>0</v>
      </c>
      <c r="H259" s="3091">
        <f t="shared" ca="1" si="35"/>
        <v>0</v>
      </c>
      <c r="I259" s="3093" t="s">
        <v>6810</v>
      </c>
      <c r="J259" s="3072"/>
      <c r="K259" s="3090">
        <f t="shared" si="31"/>
        <v>0</v>
      </c>
      <c r="L259" s="3071" t="s">
        <v>6806</v>
      </c>
      <c r="M259" s="3093" t="s">
        <v>6810</v>
      </c>
      <c r="N259" s="3072"/>
      <c r="O259" s="3099"/>
      <c r="P259" s="3100"/>
      <c r="Q259" s="3100"/>
      <c r="R259" s="3100"/>
      <c r="S259" s="3101" t="s">
        <v>295</v>
      </c>
      <c r="T259" s="3101" t="s">
        <v>213</v>
      </c>
      <c r="U259" s="3102"/>
      <c r="V259" s="3102" t="s">
        <v>295</v>
      </c>
      <c r="W259" s="3102" t="s">
        <v>6804</v>
      </c>
      <c r="X259" s="3102" t="s">
        <v>213</v>
      </c>
      <c r="Y259" s="3103" t="s">
        <v>164</v>
      </c>
    </row>
    <row r="260" spans="1:25" ht="24" hidden="1">
      <c r="A260" s="1304"/>
      <c r="B260" s="643">
        <v>2501</v>
      </c>
      <c r="C260" s="643" t="s">
        <v>1652</v>
      </c>
      <c r="D260" s="3087">
        <v>2</v>
      </c>
      <c r="E260" s="3088" t="str">
        <f t="shared" si="26"/>
        <v>长期借款</v>
      </c>
      <c r="F260" s="3089" t="s">
        <v>1653</v>
      </c>
      <c r="G260" s="3090">
        <f t="shared" si="27"/>
        <v>0</v>
      </c>
      <c r="H260" s="3091">
        <f t="shared" ca="1" si="35"/>
        <v>0</v>
      </c>
      <c r="I260" s="3093" t="s">
        <v>6810</v>
      </c>
      <c r="J260" s="3072"/>
      <c r="K260" s="3090">
        <f t="shared" si="31"/>
        <v>0</v>
      </c>
      <c r="L260" s="3071" t="s">
        <v>6806</v>
      </c>
      <c r="M260" s="3093" t="s">
        <v>6810</v>
      </c>
      <c r="N260" s="3072"/>
      <c r="O260" s="3099"/>
      <c r="P260" s="3100"/>
      <c r="Q260" s="3100"/>
      <c r="R260" s="3100"/>
      <c r="S260" s="3101" t="s">
        <v>295</v>
      </c>
      <c r="T260" s="3101" t="s">
        <v>213</v>
      </c>
      <c r="U260" s="3102"/>
      <c r="V260" s="3102" t="s">
        <v>295</v>
      </c>
      <c r="W260" s="3102" t="s">
        <v>6804</v>
      </c>
      <c r="X260" s="3102" t="s">
        <v>213</v>
      </c>
      <c r="Y260" s="3103" t="s">
        <v>164</v>
      </c>
    </row>
    <row r="261" spans="1:25" ht="18" hidden="1">
      <c r="A261" s="1304"/>
      <c r="B261" s="643">
        <v>2501</v>
      </c>
      <c r="C261" s="643" t="s">
        <v>1657</v>
      </c>
      <c r="D261" s="3087">
        <v>2</v>
      </c>
      <c r="E261" s="3088" t="str">
        <f t="shared" si="26"/>
        <v>长期借款</v>
      </c>
      <c r="F261" s="3089" t="s">
        <v>1658</v>
      </c>
      <c r="G261" s="3090">
        <f t="shared" si="27"/>
        <v>0</v>
      </c>
      <c r="H261" s="3091">
        <f t="shared" ca="1" si="35"/>
        <v>0</v>
      </c>
      <c r="I261" s="3093" t="s">
        <v>6810</v>
      </c>
      <c r="J261" s="3072"/>
      <c r="K261" s="3090">
        <f t="shared" si="31"/>
        <v>0</v>
      </c>
      <c r="L261" s="3071">
        <f ca="1">INDIRECT("Notes!CheckB"&amp;$C261)</f>
        <v>0</v>
      </c>
      <c r="M261" s="3093" t="s">
        <v>6810</v>
      </c>
      <c r="N261" s="3072"/>
      <c r="O261" s="3099"/>
      <c r="P261" s="3100"/>
      <c r="Q261" s="3100"/>
      <c r="R261" s="3100"/>
      <c r="S261" s="3101" t="s">
        <v>295</v>
      </c>
      <c r="T261" s="3101" t="s">
        <v>213</v>
      </c>
      <c r="U261" s="3102"/>
      <c r="V261" s="3102" t="s">
        <v>295</v>
      </c>
      <c r="W261" s="3102" t="s">
        <v>6804</v>
      </c>
      <c r="X261" s="3102" t="s">
        <v>213</v>
      </c>
      <c r="Y261" s="3103" t="s">
        <v>164</v>
      </c>
    </row>
    <row r="262" spans="1:25" ht="18">
      <c r="A262" s="1304"/>
      <c r="B262" s="643">
        <v>2502</v>
      </c>
      <c r="C262" s="643" t="s">
        <v>1662</v>
      </c>
      <c r="D262" s="3087">
        <v>1</v>
      </c>
      <c r="E262" s="3088" t="str">
        <f t="shared" si="26"/>
        <v>应付债券</v>
      </c>
      <c r="F262" s="3089" t="s">
        <v>1663</v>
      </c>
      <c r="G262" s="3090">
        <f t="shared" si="27"/>
        <v>0</v>
      </c>
      <c r="H262" s="3091">
        <f t="shared" ca="1" si="35"/>
        <v>0</v>
      </c>
      <c r="I262" s="3093">
        <f ca="1">IF(AND(LEN(G262)&gt;0,LEN(H262)&gt;0),ROUND(SUM(G262)-SUM(H262),2),"")</f>
        <v>0</v>
      </c>
      <c r="J262" s="3072" t="str">
        <f ca="1">IF(ISNA(I262),"N/A",IF(I262=0,"√","？"))</f>
        <v>√</v>
      </c>
      <c r="K262" s="3090">
        <f t="shared" si="31"/>
        <v>0</v>
      </c>
      <c r="L262" s="3071">
        <f ca="1">INDIRECT("Notes!CheckB"&amp;$C262)</f>
        <v>0</v>
      </c>
      <c r="M262" s="3093">
        <f ca="1">IF(AND(LEN(K262)&gt;0,LEN(L262)&gt;0),ROUND(SUM(K262)-SUM(L262),2),"")</f>
        <v>0</v>
      </c>
      <c r="N262" s="3072" t="str">
        <f ca="1">IF(ISNA(M262),"N/A",IF(M262=0,"√","？"))</f>
        <v>√</v>
      </c>
      <c r="O262" s="3099"/>
      <c r="P262" s="3100"/>
      <c r="Q262" s="3100"/>
      <c r="R262" s="3100"/>
      <c r="S262" s="3101" t="s">
        <v>295</v>
      </c>
      <c r="T262" s="3101" t="s">
        <v>213</v>
      </c>
      <c r="U262" s="3102"/>
      <c r="V262" s="3102" t="s">
        <v>295</v>
      </c>
      <c r="W262" s="3102" t="s">
        <v>6804</v>
      </c>
      <c r="X262" s="3102" t="s">
        <v>6805</v>
      </c>
      <c r="Y262" s="3103" t="s">
        <v>164</v>
      </c>
    </row>
    <row r="263" spans="1:25" ht="48" hidden="1">
      <c r="A263" s="1304"/>
      <c r="B263" s="643">
        <v>2502</v>
      </c>
      <c r="C263" s="643" t="s">
        <v>1667</v>
      </c>
      <c r="D263" s="3087">
        <v>2</v>
      </c>
      <c r="E263" s="3088" t="str">
        <f t="shared" si="26"/>
        <v>应付债券</v>
      </c>
      <c r="F263" s="3089" t="s">
        <v>6452</v>
      </c>
      <c r="G263" s="3090">
        <f t="shared" si="27"/>
        <v>0</v>
      </c>
      <c r="H263" s="3091">
        <f t="shared" ca="1" si="35"/>
        <v>0</v>
      </c>
      <c r="I263" s="3093" t="s">
        <v>6810</v>
      </c>
      <c r="J263" s="3072"/>
      <c r="K263" s="3090">
        <f t="shared" si="31"/>
        <v>0</v>
      </c>
      <c r="L263" s="3071">
        <f ca="1">INDIRECT("Notes!CheckB"&amp;$C263)</f>
        <v>0</v>
      </c>
      <c r="M263" s="3093" t="s">
        <v>6810</v>
      </c>
      <c r="N263" s="3072"/>
      <c r="O263" s="3099"/>
      <c r="P263" s="3100"/>
      <c r="Q263" s="3100"/>
      <c r="R263" s="3100"/>
      <c r="S263" s="3101" t="s">
        <v>295</v>
      </c>
      <c r="T263" s="3101" t="s">
        <v>213</v>
      </c>
      <c r="U263" s="3102"/>
      <c r="V263" s="3102" t="s">
        <v>295</v>
      </c>
      <c r="W263" s="3102" t="s">
        <v>6804</v>
      </c>
      <c r="X263" s="3102" t="s">
        <v>6805</v>
      </c>
      <c r="Y263" s="3103" t="s">
        <v>164</v>
      </c>
    </row>
    <row r="264" spans="1:25" ht="60" hidden="1">
      <c r="A264" s="1304"/>
      <c r="B264" s="643">
        <v>2502</v>
      </c>
      <c r="C264" s="643" t="s">
        <v>1671</v>
      </c>
      <c r="D264" s="3087">
        <v>2</v>
      </c>
      <c r="E264" s="3088" t="str">
        <f t="shared" si="26"/>
        <v>应付债券</v>
      </c>
      <c r="F264" s="3089" t="s">
        <v>1672</v>
      </c>
      <c r="G264" s="3090">
        <f t="shared" si="27"/>
        <v>0</v>
      </c>
      <c r="H264" s="3091">
        <f t="shared" ca="1" si="35"/>
        <v>0</v>
      </c>
      <c r="I264" s="3093" t="s">
        <v>6810</v>
      </c>
      <c r="J264" s="3072"/>
      <c r="K264" s="3090">
        <f t="shared" si="31"/>
        <v>0</v>
      </c>
      <c r="L264" s="3071" t="s">
        <v>6806</v>
      </c>
      <c r="M264" s="3093" t="s">
        <v>6810</v>
      </c>
      <c r="N264" s="3072"/>
      <c r="O264" s="3099"/>
      <c r="P264" s="3100"/>
      <c r="Q264" s="3100"/>
      <c r="R264" s="3100"/>
      <c r="S264" s="3101" t="s">
        <v>295</v>
      </c>
      <c r="T264" s="3101" t="s">
        <v>213</v>
      </c>
      <c r="U264" s="3102"/>
      <c r="V264" s="3102" t="s">
        <v>295</v>
      </c>
      <c r="W264" s="3102" t="s">
        <v>6804</v>
      </c>
      <c r="X264" s="3102" t="s">
        <v>6807</v>
      </c>
      <c r="Y264" s="3103" t="s">
        <v>164</v>
      </c>
    </row>
    <row r="265" spans="1:25" ht="60" hidden="1">
      <c r="A265" s="1304"/>
      <c r="B265" s="643">
        <v>2502</v>
      </c>
      <c r="C265" s="643" t="s">
        <v>1677</v>
      </c>
      <c r="D265" s="3087">
        <v>2</v>
      </c>
      <c r="E265" s="3088" t="str">
        <f t="shared" ref="E265:E328" si="37">IF(ISERROR(VLOOKUP($B265,Sheet_Items,2,0)),"        ----",VLOOKUP($B265,Sheet_Items,2,0))</f>
        <v>应付债券</v>
      </c>
      <c r="F265" s="3089" t="s">
        <v>1678</v>
      </c>
      <c r="G265" s="3090">
        <f t="shared" ref="G265:G328" si="38">IF(ISERROR(VLOOKUP($B265,Sheet_Trialbal,6,0)),"        ----",VLOOKUP($B265,Sheet_Trialbal,6,0))</f>
        <v>0</v>
      </c>
      <c r="H265" s="3091">
        <f t="shared" ca="1" si="35"/>
        <v>0</v>
      </c>
      <c r="I265" s="3093" t="s">
        <v>6810</v>
      </c>
      <c r="J265" s="3072"/>
      <c r="K265" s="3090">
        <f t="shared" si="31"/>
        <v>0</v>
      </c>
      <c r="L265" s="3071">
        <f ca="1">INDIRECT("Notes!CheckB"&amp;$C265)</f>
        <v>0</v>
      </c>
      <c r="M265" s="3093" t="s">
        <v>6810</v>
      </c>
      <c r="N265" s="3072"/>
      <c r="O265" s="3099"/>
      <c r="P265" s="3100"/>
      <c r="Q265" s="3100"/>
      <c r="R265" s="3100"/>
      <c r="S265" s="3101" t="s">
        <v>295</v>
      </c>
      <c r="T265" s="3101" t="s">
        <v>213</v>
      </c>
      <c r="U265" s="3102"/>
      <c r="V265" s="3102" t="s">
        <v>295</v>
      </c>
      <c r="W265" s="3102" t="s">
        <v>6804</v>
      </c>
      <c r="X265" s="3102" t="s">
        <v>6805</v>
      </c>
      <c r="Y265" s="3103" t="s">
        <v>164</v>
      </c>
    </row>
    <row r="266" spans="1:25" ht="18" hidden="1">
      <c r="A266" s="1304"/>
      <c r="B266" s="643">
        <v>2502</v>
      </c>
      <c r="C266" s="643" t="s">
        <v>5587</v>
      </c>
      <c r="D266" s="3087">
        <v>2</v>
      </c>
      <c r="E266" s="3088" t="str">
        <f t="shared" si="37"/>
        <v>应付债券</v>
      </c>
      <c r="F266" s="3089" t="s">
        <v>5588</v>
      </c>
      <c r="G266" s="3090">
        <f t="shared" si="38"/>
        <v>0</v>
      </c>
      <c r="H266" s="3091">
        <f t="shared" ca="1" si="35"/>
        <v>0</v>
      </c>
      <c r="I266" s="3093" t="s">
        <v>6810</v>
      </c>
      <c r="J266" s="3072"/>
      <c r="K266" s="3090">
        <f t="shared" si="31"/>
        <v>0</v>
      </c>
      <c r="L266" s="3071">
        <f ca="1">INDIRECT("Notes!CheckB"&amp;$C266)</f>
        <v>0</v>
      </c>
      <c r="M266" s="3093" t="s">
        <v>6810</v>
      </c>
      <c r="N266" s="3072"/>
      <c r="O266" s="3099"/>
      <c r="P266" s="3100"/>
      <c r="Q266" s="3100"/>
      <c r="R266" s="3100"/>
      <c r="S266" s="3101" t="s">
        <v>295</v>
      </c>
      <c r="T266" s="3101" t="s">
        <v>213</v>
      </c>
      <c r="U266" s="3102"/>
      <c r="V266" s="3102" t="s">
        <v>295</v>
      </c>
      <c r="W266" s="3102" t="s">
        <v>6804</v>
      </c>
      <c r="X266" s="3102" t="s">
        <v>213</v>
      </c>
      <c r="Y266" s="3103" t="s">
        <v>164</v>
      </c>
    </row>
    <row r="267" spans="1:25" ht="24">
      <c r="A267" s="1304"/>
      <c r="B267" s="643">
        <v>2706</v>
      </c>
      <c r="C267" s="643" t="s">
        <v>1682</v>
      </c>
      <c r="D267" s="3087">
        <v>1</v>
      </c>
      <c r="E267" s="3088" t="str">
        <f t="shared" si="37"/>
        <v>长期应付款（报表项目）</v>
      </c>
      <c r="F267" s="3089" t="s">
        <v>1683</v>
      </c>
      <c r="G267" s="3090">
        <f t="shared" si="38"/>
        <v>0</v>
      </c>
      <c r="H267" s="3091">
        <f t="shared" ca="1" si="35"/>
        <v>0</v>
      </c>
      <c r="I267" s="3093">
        <f ca="1">IF(AND(LEN(G267)&gt;0,LEN(H267)&gt;0),ROUND(SUM(G267)-SUM(H267),2),"")</f>
        <v>0</v>
      </c>
      <c r="J267" s="3072" t="str">
        <f ca="1">IF(ISNA(I267),"N/A",IF(I267=0,"√","？"))</f>
        <v>√</v>
      </c>
      <c r="K267" s="3090">
        <f t="shared" si="31"/>
        <v>0</v>
      </c>
      <c r="L267" s="3071">
        <f ca="1">INDIRECT("Notes!CheckB"&amp;$C267)</f>
        <v>0</v>
      </c>
      <c r="M267" s="3093">
        <f ca="1">IF(AND(LEN(K267)&gt;0,LEN(L267)&gt;0),ROUND(SUM(K267)-SUM(L267),2),"")</f>
        <v>0</v>
      </c>
      <c r="N267" s="3072" t="str">
        <f ca="1">IF(ISNA(M267),"N/A",IF(M267=0,"√","？"))</f>
        <v>√</v>
      </c>
      <c r="O267" s="3099"/>
      <c r="P267" s="3100"/>
      <c r="Q267" s="3100"/>
      <c r="R267" s="3100"/>
      <c r="S267" s="3101" t="s">
        <v>295</v>
      </c>
      <c r="T267" s="3101" t="s">
        <v>213</v>
      </c>
      <c r="U267" s="3102"/>
      <c r="V267" s="3102" t="s">
        <v>295</v>
      </c>
      <c r="W267" s="3102" t="s">
        <v>6804</v>
      </c>
      <c r="X267" s="3102" t="s">
        <v>6805</v>
      </c>
      <c r="Y267" s="3103" t="s">
        <v>164</v>
      </c>
    </row>
    <row r="268" spans="1:25" ht="24">
      <c r="A268" s="1304"/>
      <c r="B268" s="643">
        <v>2701</v>
      </c>
      <c r="C268" s="643" t="s">
        <v>1687</v>
      </c>
      <c r="D268" s="3087">
        <v>1</v>
      </c>
      <c r="E268" s="3088" t="str">
        <f t="shared" si="37"/>
        <v>长期应付款</v>
      </c>
      <c r="F268" s="3089" t="s">
        <v>1688</v>
      </c>
      <c r="G268" s="3090">
        <f t="shared" si="38"/>
        <v>0</v>
      </c>
      <c r="H268" s="3091">
        <f t="shared" ca="1" si="35"/>
        <v>0</v>
      </c>
      <c r="I268" s="3093">
        <f ca="1">IF(AND(LEN(G268)&gt;0,LEN(H268)&gt;0),ROUND(SUM(G268)-SUM(H268),2),"")</f>
        <v>0</v>
      </c>
      <c r="J268" s="3072" t="str">
        <f ca="1">IF(ISNA(I268),"N/A",IF(I268=0,"√","？"))</f>
        <v>√</v>
      </c>
      <c r="K268" s="3090">
        <f t="shared" si="31"/>
        <v>0</v>
      </c>
      <c r="L268" s="3071">
        <f ca="1">INDIRECT("Notes!CheckB"&amp;$C268)</f>
        <v>0</v>
      </c>
      <c r="M268" s="3093">
        <f ca="1">IF(AND(LEN(K268)&gt;0,LEN(L268)&gt;0),ROUND(SUM(K268)-SUM(L268),2),"")</f>
        <v>0</v>
      </c>
      <c r="N268" s="3072" t="str">
        <f ca="1">IF(ISNA(M268),"N/A",IF(M268=0,"√","？"))</f>
        <v>√</v>
      </c>
      <c r="O268" s="3099"/>
      <c r="P268" s="3100"/>
      <c r="Q268" s="3100"/>
      <c r="R268" s="3100"/>
      <c r="S268" s="3101" t="s">
        <v>295</v>
      </c>
      <c r="T268" s="3101" t="s">
        <v>213</v>
      </c>
      <c r="U268" s="3102"/>
      <c r="V268" s="3102" t="s">
        <v>295</v>
      </c>
      <c r="W268" s="3102" t="s">
        <v>6804</v>
      </c>
      <c r="X268" s="3102" t="s">
        <v>6805</v>
      </c>
      <c r="Y268" s="3103" t="s">
        <v>164</v>
      </c>
    </row>
    <row r="269" spans="1:25" ht="18" hidden="1">
      <c r="A269" s="1304"/>
      <c r="B269" s="643">
        <v>2701</v>
      </c>
      <c r="C269" s="643" t="s">
        <v>1692</v>
      </c>
      <c r="D269" s="3087">
        <v>2</v>
      </c>
      <c r="E269" s="3088" t="str">
        <f t="shared" si="37"/>
        <v>长期应付款</v>
      </c>
      <c r="F269" s="3089" t="s">
        <v>1693</v>
      </c>
      <c r="G269" s="3090">
        <f t="shared" si="38"/>
        <v>0</v>
      </c>
      <c r="H269" s="3091">
        <f t="shared" ca="1" si="35"/>
        <v>0</v>
      </c>
      <c r="I269" s="3093" t="s">
        <v>6810</v>
      </c>
      <c r="J269" s="3072"/>
      <c r="K269" s="3090">
        <f t="shared" si="31"/>
        <v>0</v>
      </c>
      <c r="L269" s="3071" t="s">
        <v>6806</v>
      </c>
      <c r="M269" s="3093" t="s">
        <v>6810</v>
      </c>
      <c r="N269" s="3072"/>
      <c r="O269" s="3099"/>
      <c r="P269" s="3100"/>
      <c r="Q269" s="3100"/>
      <c r="R269" s="3100"/>
      <c r="S269" s="3101" t="s">
        <v>295</v>
      </c>
      <c r="T269" s="3101" t="s">
        <v>213</v>
      </c>
      <c r="U269" s="3102"/>
      <c r="V269" s="3102" t="s">
        <v>295</v>
      </c>
      <c r="W269" s="3102" t="s">
        <v>6804</v>
      </c>
      <c r="X269" s="3102" t="s">
        <v>213</v>
      </c>
      <c r="Y269" s="3103" t="s">
        <v>164</v>
      </c>
    </row>
    <row r="270" spans="1:25" ht="18">
      <c r="A270" s="1304"/>
      <c r="B270" s="643">
        <v>2711</v>
      </c>
      <c r="C270" s="643" t="s">
        <v>1697</v>
      </c>
      <c r="D270" s="3087">
        <v>1</v>
      </c>
      <c r="E270" s="3088" t="str">
        <f t="shared" si="37"/>
        <v>专项应付款</v>
      </c>
      <c r="F270" s="3089" t="s">
        <v>1698</v>
      </c>
      <c r="G270" s="3090">
        <f t="shared" si="38"/>
        <v>0</v>
      </c>
      <c r="H270" s="3091">
        <f t="shared" ca="1" si="35"/>
        <v>0</v>
      </c>
      <c r="I270" s="3093">
        <f ca="1">IF(AND(LEN(G270)&gt;0,LEN(H270)&gt;0),ROUND(SUM(G270)-SUM(H270),2),"")</f>
        <v>0</v>
      </c>
      <c r="J270" s="3072" t="str">
        <f ca="1">IF(ISNA(I270),"N/A",IF(I270=0,"√","？"))</f>
        <v>√</v>
      </c>
      <c r="K270" s="3090">
        <f t="shared" si="31"/>
        <v>0</v>
      </c>
      <c r="L270" s="3071">
        <f ca="1">INDIRECT("Notes!CheckB"&amp;$C270)</f>
        <v>0</v>
      </c>
      <c r="M270" s="3093">
        <f ca="1">IF(AND(LEN(K270)&gt;0,LEN(L270)&gt;0),ROUND(SUM(K270)-SUM(L270),2),"")</f>
        <v>0</v>
      </c>
      <c r="N270" s="3072" t="str">
        <f ca="1">IF(ISNA(M270),"N/A",IF(M270=0,"√","？"))</f>
        <v>√</v>
      </c>
      <c r="O270" s="3099"/>
      <c r="P270" s="3100"/>
      <c r="Q270" s="3100"/>
      <c r="R270" s="3100"/>
      <c r="S270" s="3101" t="s">
        <v>295</v>
      </c>
      <c r="T270" s="3101" t="s">
        <v>213</v>
      </c>
      <c r="U270" s="3102"/>
      <c r="V270" s="3102" t="s">
        <v>295</v>
      </c>
      <c r="W270" s="3102" t="s">
        <v>6804</v>
      </c>
      <c r="X270" s="3102" t="s">
        <v>6805</v>
      </c>
      <c r="Y270" s="3103" t="s">
        <v>164</v>
      </c>
    </row>
    <row r="271" spans="1:25" ht="18" hidden="1">
      <c r="A271" s="1304"/>
      <c r="B271" s="643">
        <v>2711</v>
      </c>
      <c r="C271" s="643" t="s">
        <v>1702</v>
      </c>
      <c r="D271" s="3087">
        <v>2</v>
      </c>
      <c r="E271" s="3088" t="str">
        <f t="shared" si="37"/>
        <v>专项应付款</v>
      </c>
      <c r="F271" s="3089" t="s">
        <v>1703</v>
      </c>
      <c r="G271" s="3090">
        <f t="shared" si="38"/>
        <v>0</v>
      </c>
      <c r="H271" s="3091">
        <f t="shared" ca="1" si="35"/>
        <v>0</v>
      </c>
      <c r="I271" s="3093" t="s">
        <v>6810</v>
      </c>
      <c r="J271" s="3072"/>
      <c r="K271" s="3090">
        <f t="shared" si="31"/>
        <v>0</v>
      </c>
      <c r="L271" s="3071" t="s">
        <v>6806</v>
      </c>
      <c r="M271" s="3093" t="s">
        <v>6810</v>
      </c>
      <c r="N271" s="3072"/>
      <c r="O271" s="3099"/>
      <c r="P271" s="3100"/>
      <c r="Q271" s="3100"/>
      <c r="R271" s="3100"/>
      <c r="S271" s="3101" t="s">
        <v>295</v>
      </c>
      <c r="T271" s="3101" t="s">
        <v>213</v>
      </c>
      <c r="U271" s="3102"/>
      <c r="V271" s="3102" t="s">
        <v>295</v>
      </c>
      <c r="W271" s="3102" t="s">
        <v>6804</v>
      </c>
      <c r="X271" s="3102" t="s">
        <v>213</v>
      </c>
      <c r="Y271" s="3103" t="s">
        <v>164</v>
      </c>
    </row>
    <row r="272" spans="1:25" ht="18">
      <c r="A272" s="1304"/>
      <c r="B272" s="643">
        <v>2715</v>
      </c>
      <c r="C272" s="643" t="s">
        <v>1707</v>
      </c>
      <c r="D272" s="3087">
        <v>1</v>
      </c>
      <c r="E272" s="3088" t="str">
        <f t="shared" si="37"/>
        <v>长期应付职工薪酬</v>
      </c>
      <c r="F272" s="3089" t="s">
        <v>1708</v>
      </c>
      <c r="G272" s="3090">
        <f t="shared" si="38"/>
        <v>0</v>
      </c>
      <c r="H272" s="3091">
        <f t="shared" ca="1" si="35"/>
        <v>0</v>
      </c>
      <c r="I272" s="3093">
        <f ca="1">IF(AND(LEN(G272)&gt;0,LEN(H272)&gt;0),ROUND(SUM(G272)-SUM(H272),2),"")</f>
        <v>0</v>
      </c>
      <c r="J272" s="3072" t="str">
        <f ca="1">IF(ISNA(I272),"N/A",IF(I272=0,"√","？"))</f>
        <v>√</v>
      </c>
      <c r="K272" s="3090">
        <f t="shared" si="31"/>
        <v>0</v>
      </c>
      <c r="L272" s="3071">
        <f ca="1">INDIRECT("Notes!CheckB"&amp;$C272)</f>
        <v>0</v>
      </c>
      <c r="M272" s="3093">
        <f ca="1">IF(AND(LEN(K272)&gt;0,LEN(L272)&gt;0),ROUND(SUM(K272)-SUM(L272),2),"")</f>
        <v>0</v>
      </c>
      <c r="N272" s="3072" t="str">
        <f ca="1">IF(ISNA(M272),"N/A",IF(M272=0,"√","？"))</f>
        <v>√</v>
      </c>
      <c r="O272" s="3099"/>
      <c r="P272" s="3100"/>
      <c r="Q272" s="3100"/>
      <c r="R272" s="3100"/>
      <c r="S272" s="3101" t="s">
        <v>295</v>
      </c>
      <c r="T272" s="3101" t="s">
        <v>213</v>
      </c>
      <c r="U272" s="3102"/>
      <c r="V272" s="3102" t="s">
        <v>295</v>
      </c>
      <c r="W272" s="3102" t="s">
        <v>6804</v>
      </c>
      <c r="X272" s="3102" t="s">
        <v>6805</v>
      </c>
      <c r="Y272" s="3103" t="s">
        <v>164</v>
      </c>
    </row>
    <row r="273" spans="1:25" ht="36" hidden="1">
      <c r="A273" s="1304"/>
      <c r="B273" s="643">
        <v>2715</v>
      </c>
      <c r="C273" s="643" t="s">
        <v>1712</v>
      </c>
      <c r="D273" s="3087">
        <v>2</v>
      </c>
      <c r="E273" s="3088" t="str">
        <f t="shared" si="37"/>
        <v>长期应付职工薪酬</v>
      </c>
      <c r="F273" s="3089" t="s">
        <v>1713</v>
      </c>
      <c r="G273" s="3090">
        <f t="shared" si="38"/>
        <v>0</v>
      </c>
      <c r="H273" s="3091" t="s">
        <v>6806</v>
      </c>
      <c r="I273" s="3093" t="s">
        <v>6810</v>
      </c>
      <c r="J273" s="3072"/>
      <c r="K273" s="3090">
        <f t="shared" si="31"/>
        <v>0</v>
      </c>
      <c r="L273" s="3071" t="s">
        <v>6806</v>
      </c>
      <c r="M273" s="3093" t="s">
        <v>6810</v>
      </c>
      <c r="N273" s="3072"/>
      <c r="O273" s="3099"/>
      <c r="P273" s="3100"/>
      <c r="Q273" s="3100"/>
      <c r="R273" s="3100"/>
      <c r="S273" s="3101" t="s">
        <v>295</v>
      </c>
      <c r="T273" s="3101" t="s">
        <v>213</v>
      </c>
      <c r="U273" s="3102"/>
      <c r="V273" s="3102" t="s">
        <v>295</v>
      </c>
      <c r="W273" s="3102" t="s">
        <v>6804</v>
      </c>
      <c r="X273" s="3102" t="s">
        <v>6807</v>
      </c>
      <c r="Y273" s="3103" t="s">
        <v>164</v>
      </c>
    </row>
    <row r="274" spans="1:25" ht="24" hidden="1">
      <c r="A274" s="1304"/>
      <c r="B274" s="643">
        <v>2715</v>
      </c>
      <c r="C274" s="643" t="s">
        <v>1717</v>
      </c>
      <c r="D274" s="3087">
        <v>2</v>
      </c>
      <c r="E274" s="3088" t="str">
        <f t="shared" si="37"/>
        <v>长期应付职工薪酬</v>
      </c>
      <c r="F274" s="3089" t="s">
        <v>1718</v>
      </c>
      <c r="G274" s="3090">
        <f t="shared" si="38"/>
        <v>0</v>
      </c>
      <c r="H274" s="3091" t="s">
        <v>6806</v>
      </c>
      <c r="I274" s="3093" t="s">
        <v>6810</v>
      </c>
      <c r="J274" s="3072"/>
      <c r="K274" s="3090">
        <f t="shared" si="31"/>
        <v>0</v>
      </c>
      <c r="L274" s="3071" t="s">
        <v>6806</v>
      </c>
      <c r="M274" s="3093" t="s">
        <v>6810</v>
      </c>
      <c r="N274" s="3072"/>
      <c r="O274" s="3099"/>
      <c r="P274" s="3100"/>
      <c r="Q274" s="3100"/>
      <c r="R274" s="3100"/>
      <c r="S274" s="3101" t="s">
        <v>295</v>
      </c>
      <c r="T274" s="3101" t="s">
        <v>213</v>
      </c>
      <c r="U274" s="3102"/>
      <c r="V274" s="3102" t="s">
        <v>295</v>
      </c>
      <c r="W274" s="3102" t="s">
        <v>6804</v>
      </c>
      <c r="X274" s="3102" t="s">
        <v>6807</v>
      </c>
      <c r="Y274" s="3103" t="s">
        <v>164</v>
      </c>
    </row>
    <row r="275" spans="1:25" ht="24" hidden="1">
      <c r="A275" s="1304"/>
      <c r="B275" s="643">
        <v>2715</v>
      </c>
      <c r="C275" s="643" t="s">
        <v>1722</v>
      </c>
      <c r="D275" s="3087">
        <v>2</v>
      </c>
      <c r="E275" s="3088" t="str">
        <f t="shared" si="37"/>
        <v>长期应付职工薪酬</v>
      </c>
      <c r="F275" s="3089" t="s">
        <v>6453</v>
      </c>
      <c r="G275" s="3090">
        <f t="shared" si="38"/>
        <v>0</v>
      </c>
      <c r="H275" s="3091" t="s">
        <v>6806</v>
      </c>
      <c r="I275" s="3093" t="s">
        <v>6810</v>
      </c>
      <c r="J275" s="3072"/>
      <c r="K275" s="3090">
        <f t="shared" si="31"/>
        <v>0</v>
      </c>
      <c r="L275" s="3071" t="s">
        <v>6806</v>
      </c>
      <c r="M275" s="3093" t="s">
        <v>6810</v>
      </c>
      <c r="N275" s="3072"/>
      <c r="O275" s="3099"/>
      <c r="P275" s="3100"/>
      <c r="Q275" s="3100"/>
      <c r="R275" s="3100"/>
      <c r="S275" s="3101" t="s">
        <v>295</v>
      </c>
      <c r="T275" s="3101" t="s">
        <v>213</v>
      </c>
      <c r="U275" s="3102"/>
      <c r="V275" s="3102" t="s">
        <v>295</v>
      </c>
      <c r="W275" s="3102" t="s">
        <v>6804</v>
      </c>
      <c r="X275" s="3102" t="s">
        <v>6807</v>
      </c>
      <c r="Y275" s="3103" t="s">
        <v>164</v>
      </c>
    </row>
    <row r="276" spans="1:25" ht="24" hidden="1">
      <c r="A276" s="1304"/>
      <c r="B276" s="643">
        <v>2715</v>
      </c>
      <c r="C276" s="643" t="s">
        <v>1736</v>
      </c>
      <c r="D276" s="3087">
        <v>2</v>
      </c>
      <c r="E276" s="3088" t="str">
        <f t="shared" si="37"/>
        <v>长期应付职工薪酬</v>
      </c>
      <c r="F276" s="3089" t="s">
        <v>1737</v>
      </c>
      <c r="G276" s="3090">
        <f t="shared" si="38"/>
        <v>0</v>
      </c>
      <c r="H276" s="3091" t="s">
        <v>6806</v>
      </c>
      <c r="I276" s="3093" t="s">
        <v>6810</v>
      </c>
      <c r="J276" s="3072"/>
      <c r="K276" s="3090">
        <f t="shared" si="31"/>
        <v>0</v>
      </c>
      <c r="L276" s="3071" t="s">
        <v>6806</v>
      </c>
      <c r="M276" s="3093" t="s">
        <v>6810</v>
      </c>
      <c r="N276" s="3072"/>
      <c r="O276" s="3099"/>
      <c r="P276" s="3100"/>
      <c r="Q276" s="3100"/>
      <c r="R276" s="3100"/>
      <c r="S276" s="3101" t="s">
        <v>295</v>
      </c>
      <c r="T276" s="3101" t="s">
        <v>213</v>
      </c>
      <c r="U276" s="3102"/>
      <c r="V276" s="3102" t="s">
        <v>295</v>
      </c>
      <c r="W276" s="3102" t="s">
        <v>6804</v>
      </c>
      <c r="X276" s="3102" t="s">
        <v>6807</v>
      </c>
      <c r="Y276" s="3103" t="s">
        <v>164</v>
      </c>
    </row>
    <row r="277" spans="1:25" ht="24" hidden="1">
      <c r="A277" s="1304"/>
      <c r="B277" s="643">
        <v>2715</v>
      </c>
      <c r="C277" s="643" t="s">
        <v>1741</v>
      </c>
      <c r="D277" s="3087">
        <v>2</v>
      </c>
      <c r="E277" s="3088" t="str">
        <f t="shared" si="37"/>
        <v>长期应付职工薪酬</v>
      </c>
      <c r="F277" s="3089" t="s">
        <v>1742</v>
      </c>
      <c r="G277" s="3090">
        <f t="shared" si="38"/>
        <v>0</v>
      </c>
      <c r="H277" s="3091" t="s">
        <v>6806</v>
      </c>
      <c r="I277" s="3093" t="s">
        <v>6810</v>
      </c>
      <c r="J277" s="3072"/>
      <c r="K277" s="3090">
        <f t="shared" si="31"/>
        <v>0</v>
      </c>
      <c r="L277" s="3071" t="s">
        <v>6806</v>
      </c>
      <c r="M277" s="3093" t="s">
        <v>6810</v>
      </c>
      <c r="N277" s="3072"/>
      <c r="O277" s="3099"/>
      <c r="P277" s="3100"/>
      <c r="Q277" s="3100"/>
      <c r="R277" s="3100"/>
      <c r="S277" s="3101" t="s">
        <v>295</v>
      </c>
      <c r="T277" s="3101" t="s">
        <v>213</v>
      </c>
      <c r="U277" s="3102"/>
      <c r="V277" s="3102" t="s">
        <v>295</v>
      </c>
      <c r="W277" s="3102" t="s">
        <v>6804</v>
      </c>
      <c r="X277" s="3102" t="s">
        <v>6807</v>
      </c>
      <c r="Y277" s="3103" t="s">
        <v>164</v>
      </c>
    </row>
    <row r="278" spans="1:25" ht="18">
      <c r="A278" s="1304"/>
      <c r="B278" s="643">
        <v>2801</v>
      </c>
      <c r="C278" s="643" t="s">
        <v>1746</v>
      </c>
      <c r="D278" s="3087">
        <v>1</v>
      </c>
      <c r="E278" s="3088" t="str">
        <f t="shared" si="37"/>
        <v>预计负债</v>
      </c>
      <c r="F278" s="3089" t="s">
        <v>1747</v>
      </c>
      <c r="G278" s="3090">
        <f t="shared" si="38"/>
        <v>0</v>
      </c>
      <c r="H278" s="3091">
        <f ca="1">INDIRECT("Notes!CheckA"&amp;$C278)</f>
        <v>0</v>
      </c>
      <c r="I278" s="3093">
        <f ca="1">IF(AND(LEN(G278)&gt;0,LEN(H278)&gt;0),ROUND(SUM(G278)-SUM(H278),2),"")</f>
        <v>0</v>
      </c>
      <c r="J278" s="3072" t="str">
        <f ca="1">IF(ISNA(I278),"N/A",IF(I278=0,"√","？"))</f>
        <v>√</v>
      </c>
      <c r="K278" s="3090">
        <f t="shared" si="31"/>
        <v>0</v>
      </c>
      <c r="L278" s="3071">
        <f ca="1">INDIRECT("Notes!CheckB"&amp;$C278)</f>
        <v>0</v>
      </c>
      <c r="M278" s="3093">
        <f ca="1">IF(AND(LEN(K278)&gt;0,LEN(L278)&gt;0),ROUND(SUM(K278)-SUM(L278),2),"")</f>
        <v>0</v>
      </c>
      <c r="N278" s="3072" t="str">
        <f ca="1">IF(ISNA(M278),"N/A",IF(M278=0,"√","？"))</f>
        <v>√</v>
      </c>
      <c r="O278" s="3099"/>
      <c r="P278" s="3100"/>
      <c r="Q278" s="3100"/>
      <c r="R278" s="3100"/>
      <c r="S278" s="3101" t="s">
        <v>295</v>
      </c>
      <c r="T278" s="3101" t="s">
        <v>213</v>
      </c>
      <c r="U278" s="3102"/>
      <c r="V278" s="3102" t="s">
        <v>295</v>
      </c>
      <c r="W278" s="3102" t="s">
        <v>6804</v>
      </c>
      <c r="X278" s="3102" t="s">
        <v>6805</v>
      </c>
      <c r="Y278" s="3103" t="s">
        <v>164</v>
      </c>
    </row>
    <row r="279" spans="1:25" ht="18">
      <c r="A279" s="1304"/>
      <c r="B279" s="643">
        <v>2401</v>
      </c>
      <c r="C279" s="643" t="s">
        <v>1751</v>
      </c>
      <c r="D279" s="3087">
        <v>1</v>
      </c>
      <c r="E279" s="3088" t="str">
        <f t="shared" si="37"/>
        <v>递延收益</v>
      </c>
      <c r="F279" s="3089" t="s">
        <v>1752</v>
      </c>
      <c r="G279" s="3090">
        <f t="shared" si="38"/>
        <v>0</v>
      </c>
      <c r="H279" s="3091">
        <f ca="1">INDIRECT("Notes!CheckA"&amp;$C279)</f>
        <v>0</v>
      </c>
      <c r="I279" s="3093">
        <f ca="1">IF(AND(LEN(G279)&gt;0,LEN(H279)&gt;0),ROUND(SUM(G279)-SUM(H279),2),"")</f>
        <v>0</v>
      </c>
      <c r="J279" s="3072" t="str">
        <f ca="1">IF(ISNA(I279),"N/A",IF(I279=0,"√","？"))</f>
        <v>√</v>
      </c>
      <c r="K279" s="3090">
        <f t="shared" si="31"/>
        <v>0</v>
      </c>
      <c r="L279" s="3071">
        <f ca="1">INDIRECT("Notes!CheckB"&amp;$C279)</f>
        <v>0</v>
      </c>
      <c r="M279" s="3093">
        <f ca="1">IF(AND(LEN(K279)&gt;0,LEN(L279)&gt;0),ROUND(SUM(K279)-SUM(L279),2),"")</f>
        <v>0</v>
      </c>
      <c r="N279" s="3072" t="str">
        <f ca="1">IF(ISNA(M279),"N/A",IF(M279=0,"√","？"))</f>
        <v>√</v>
      </c>
      <c r="O279" s="3099"/>
      <c r="P279" s="3100"/>
      <c r="Q279" s="3100"/>
      <c r="R279" s="3100"/>
      <c r="S279" s="3101" t="s">
        <v>295</v>
      </c>
      <c r="T279" s="3101" t="s">
        <v>213</v>
      </c>
      <c r="U279" s="3102"/>
      <c r="V279" s="3102" t="s">
        <v>295</v>
      </c>
      <c r="W279" s="3102" t="s">
        <v>6804</v>
      </c>
      <c r="X279" s="3102" t="s">
        <v>6805</v>
      </c>
      <c r="Y279" s="3103" t="s">
        <v>164</v>
      </c>
    </row>
    <row r="280" spans="1:25" ht="24" hidden="1">
      <c r="A280" s="1304"/>
      <c r="B280" s="643">
        <v>2401</v>
      </c>
      <c r="C280" s="643" t="s">
        <v>1756</v>
      </c>
      <c r="D280" s="3087">
        <v>2</v>
      </c>
      <c r="E280" s="3088" t="str">
        <f t="shared" si="37"/>
        <v>递延收益</v>
      </c>
      <c r="F280" s="3089" t="s">
        <v>1757</v>
      </c>
      <c r="G280" s="3090">
        <f t="shared" si="38"/>
        <v>0</v>
      </c>
      <c r="H280" s="3091" t="s">
        <v>6806</v>
      </c>
      <c r="I280" s="3093" t="s">
        <v>6810</v>
      </c>
      <c r="J280" s="3072"/>
      <c r="K280" s="3090">
        <f t="shared" si="31"/>
        <v>0</v>
      </c>
      <c r="L280" s="3071" t="s">
        <v>6806</v>
      </c>
      <c r="M280" s="3093" t="s">
        <v>6810</v>
      </c>
      <c r="N280" s="3072"/>
      <c r="O280" s="3099"/>
      <c r="P280" s="3100"/>
      <c r="Q280" s="3100"/>
      <c r="R280" s="3100"/>
      <c r="S280" s="3101" t="s">
        <v>295</v>
      </c>
      <c r="T280" s="3101" t="s">
        <v>213</v>
      </c>
      <c r="U280" s="3102"/>
      <c r="V280" s="3102" t="s">
        <v>295</v>
      </c>
      <c r="W280" s="3102" t="s">
        <v>6804</v>
      </c>
      <c r="X280" s="3102" t="s">
        <v>6805</v>
      </c>
      <c r="Y280" s="3103" t="s">
        <v>164</v>
      </c>
    </row>
    <row r="281" spans="1:25" ht="24">
      <c r="A281" s="1304"/>
      <c r="B281" s="643">
        <v>2996</v>
      </c>
      <c r="C281" s="643" t="s">
        <v>1761</v>
      </c>
      <c r="D281" s="3087">
        <v>1</v>
      </c>
      <c r="E281" s="3088" t="str">
        <f t="shared" si="37"/>
        <v>其他非流动负债</v>
      </c>
      <c r="F281" s="3089" t="s">
        <v>1762</v>
      </c>
      <c r="G281" s="3090">
        <f t="shared" si="38"/>
        <v>0</v>
      </c>
      <c r="H281" s="3091">
        <f ca="1">INDIRECT("Notes!CheckA"&amp;$C281)</f>
        <v>0</v>
      </c>
      <c r="I281" s="3093">
        <f ca="1">IF(AND(LEN(G281)&gt;0,LEN(H281)&gt;0),ROUND(SUM(G281)-SUM(H281),2),"")</f>
        <v>0</v>
      </c>
      <c r="J281" s="3072" t="str">
        <f ca="1">IF(ISNA(I281),"N/A",IF(I281=0,"√","？"))</f>
        <v>√</v>
      </c>
      <c r="K281" s="3090">
        <f t="shared" si="31"/>
        <v>0</v>
      </c>
      <c r="L281" s="3071">
        <f ca="1">INDIRECT("Notes!CheckB"&amp;$C281)</f>
        <v>0</v>
      </c>
      <c r="M281" s="3093">
        <f ca="1">IF(AND(LEN(K281)&gt;0,LEN(L281)&gt;0),ROUND(SUM(K281)-SUM(L281),2),"")</f>
        <v>0</v>
      </c>
      <c r="N281" s="3072" t="str">
        <f ca="1">IF(ISNA(M281),"N/A",IF(M281=0,"√","？"))</f>
        <v>√</v>
      </c>
      <c r="O281" s="3099"/>
      <c r="P281" s="3100"/>
      <c r="Q281" s="3100"/>
      <c r="R281" s="3100"/>
      <c r="S281" s="3101" t="s">
        <v>295</v>
      </c>
      <c r="T281" s="3101" t="s">
        <v>213</v>
      </c>
      <c r="U281" s="3102"/>
      <c r="V281" s="3102" t="s">
        <v>295</v>
      </c>
      <c r="W281" s="3102" t="s">
        <v>6804</v>
      </c>
      <c r="X281" s="3102" t="s">
        <v>6805</v>
      </c>
      <c r="Y281" s="3103" t="s">
        <v>164</v>
      </c>
    </row>
    <row r="282" spans="1:25" ht="24" hidden="1">
      <c r="A282" s="1304"/>
      <c r="B282" s="643">
        <v>2996</v>
      </c>
      <c r="C282" s="643" t="s">
        <v>1766</v>
      </c>
      <c r="D282" s="3087">
        <v>2</v>
      </c>
      <c r="E282" s="3088" t="str">
        <f t="shared" si="37"/>
        <v>其他非流动负债</v>
      </c>
      <c r="F282" s="3089" t="s">
        <v>1767</v>
      </c>
      <c r="G282" s="3090">
        <f t="shared" si="38"/>
        <v>0</v>
      </c>
      <c r="H282" s="3091">
        <f ca="1">INDIRECT("Notes!CheckA"&amp;$C282)</f>
        <v>0</v>
      </c>
      <c r="I282" s="3093" t="s">
        <v>6810</v>
      </c>
      <c r="J282" s="3072"/>
      <c r="K282" s="3090">
        <f t="shared" si="31"/>
        <v>0</v>
      </c>
      <c r="L282" s="3071">
        <f ca="1">INDIRECT("Notes!CheckB"&amp;$C282)</f>
        <v>0</v>
      </c>
      <c r="M282" s="3093" t="s">
        <v>6810</v>
      </c>
      <c r="N282" s="3072"/>
      <c r="O282" s="3099"/>
      <c r="P282" s="3100"/>
      <c r="Q282" s="3100"/>
      <c r="R282" s="3100"/>
      <c r="S282" s="3101" t="s">
        <v>295</v>
      </c>
      <c r="T282" s="3101" t="s">
        <v>213</v>
      </c>
      <c r="U282" s="3102"/>
      <c r="V282" s="3102" t="s">
        <v>295</v>
      </c>
      <c r="W282" s="3102" t="s">
        <v>6804</v>
      </c>
      <c r="X282" s="3102" t="s">
        <v>213</v>
      </c>
      <c r="Y282" s="3103" t="s">
        <v>164</v>
      </c>
    </row>
    <row r="283" spans="1:25" ht="18" hidden="1">
      <c r="A283" s="1304"/>
      <c r="B283" s="643">
        <v>4001</v>
      </c>
      <c r="C283" s="643" t="s">
        <v>1774</v>
      </c>
      <c r="D283" s="3087">
        <v>2</v>
      </c>
      <c r="E283" s="3088" t="str">
        <f t="shared" si="37"/>
        <v>实收资本</v>
      </c>
      <c r="F283" s="3089" t="s">
        <v>1775</v>
      </c>
      <c r="G283" s="3090">
        <f t="shared" si="38"/>
        <v>85691911</v>
      </c>
      <c r="H283" s="3091" t="s">
        <v>6806</v>
      </c>
      <c r="I283" s="3093" t="s">
        <v>6810</v>
      </c>
      <c r="J283" s="3072"/>
      <c r="K283" s="3090">
        <f t="shared" si="31"/>
        <v>85691911</v>
      </c>
      <c r="L283" s="3071" t="s">
        <v>6806</v>
      </c>
      <c r="M283" s="3093" t="s">
        <v>6810</v>
      </c>
      <c r="N283" s="3072"/>
      <c r="O283" s="3099"/>
      <c r="P283" s="3100"/>
      <c r="Q283" s="3100"/>
      <c r="R283" s="3100"/>
      <c r="S283" s="3101" t="s">
        <v>295</v>
      </c>
      <c r="T283" s="3101" t="s">
        <v>213</v>
      </c>
      <c r="U283" s="3102"/>
      <c r="V283" s="3102" t="s">
        <v>295</v>
      </c>
      <c r="W283" s="3102" t="s">
        <v>6804</v>
      </c>
      <c r="X283" s="3102" t="s">
        <v>6807</v>
      </c>
      <c r="Y283" s="3103" t="s">
        <v>164</v>
      </c>
    </row>
    <row r="284" spans="1:25" ht="18">
      <c r="A284" s="1304"/>
      <c r="B284" s="643">
        <v>4001</v>
      </c>
      <c r="C284" s="643" t="s">
        <v>1780</v>
      </c>
      <c r="D284" s="3087">
        <v>1</v>
      </c>
      <c r="E284" s="3088" t="str">
        <f t="shared" si="37"/>
        <v>实收资本</v>
      </c>
      <c r="F284" s="3089" t="s">
        <v>1781</v>
      </c>
      <c r="G284" s="3090">
        <f t="shared" si="38"/>
        <v>85691911</v>
      </c>
      <c r="H284" s="3091">
        <f t="shared" ref="H284:H300" ca="1" si="39">INDIRECT("Notes!CheckA"&amp;$C284)</f>
        <v>85691911</v>
      </c>
      <c r="I284" s="3093">
        <f ca="1">IF(AND(LEN(G284)&gt;0,LEN(H284)&gt;0),ROUND(SUM(G284)-SUM(H284),2),"")</f>
        <v>0</v>
      </c>
      <c r="J284" s="3072" t="str">
        <f ca="1">IF(ISNA(I284),"N/A",IF(I284=0,"√","？"))</f>
        <v>√</v>
      </c>
      <c r="K284" s="3090">
        <f t="shared" si="31"/>
        <v>85691911</v>
      </c>
      <c r="L284" s="3071">
        <f ca="1">INDIRECT("Notes!CheckB"&amp;$C284)</f>
        <v>85691911</v>
      </c>
      <c r="M284" s="3093">
        <f ca="1">IF(AND(LEN(K284)&gt;0,LEN(L284)&gt;0),ROUND(SUM(K284)-SUM(L284),2),"")</f>
        <v>0</v>
      </c>
      <c r="N284" s="3072" t="str">
        <f ca="1">IF(ISNA(M284),"N/A",IF(M284=0,"√","？"))</f>
        <v>√</v>
      </c>
      <c r="O284" s="3099"/>
      <c r="P284" s="3100"/>
      <c r="Q284" s="3100"/>
      <c r="R284" s="3100"/>
      <c r="S284" s="3101" t="s">
        <v>295</v>
      </c>
      <c r="T284" s="3101" t="s">
        <v>213</v>
      </c>
      <c r="U284" s="3102"/>
      <c r="V284" s="3102" t="s">
        <v>295</v>
      </c>
      <c r="W284" s="3102" t="s">
        <v>6804</v>
      </c>
      <c r="X284" s="3102" t="s">
        <v>6808</v>
      </c>
      <c r="Y284" s="3103" t="s">
        <v>164</v>
      </c>
    </row>
    <row r="285" spans="1:25" ht="36" hidden="1">
      <c r="A285" s="1304"/>
      <c r="B285" s="643">
        <v>4015</v>
      </c>
      <c r="C285" s="643" t="s">
        <v>1790</v>
      </c>
      <c r="D285" s="3087">
        <v>2</v>
      </c>
      <c r="E285" s="3088" t="str">
        <f t="shared" si="37"/>
        <v>其他权益工具</v>
      </c>
      <c r="F285" s="3089" t="s">
        <v>1791</v>
      </c>
      <c r="G285" s="3090">
        <f t="shared" si="38"/>
        <v>0</v>
      </c>
      <c r="H285" s="3091">
        <f t="shared" ca="1" si="39"/>
        <v>0</v>
      </c>
      <c r="I285" s="3093" t="s">
        <v>6810</v>
      </c>
      <c r="J285" s="3072"/>
      <c r="K285" s="3090">
        <f t="shared" si="31"/>
        <v>0</v>
      </c>
      <c r="L285" s="3071" t="s">
        <v>6806</v>
      </c>
      <c r="M285" s="3093" t="s">
        <v>6810</v>
      </c>
      <c r="N285" s="3072"/>
      <c r="O285" s="3099"/>
      <c r="P285" s="3100"/>
      <c r="Q285" s="3100"/>
      <c r="R285" s="3100"/>
      <c r="S285" s="3101" t="s">
        <v>295</v>
      </c>
      <c r="T285" s="3101" t="s">
        <v>213</v>
      </c>
      <c r="U285" s="3102"/>
      <c r="V285" s="3102" t="s">
        <v>295</v>
      </c>
      <c r="W285" s="3102" t="s">
        <v>6804</v>
      </c>
      <c r="X285" s="3102" t="s">
        <v>6807</v>
      </c>
      <c r="Y285" s="3103" t="s">
        <v>164</v>
      </c>
    </row>
    <row r="286" spans="1:25" ht="36">
      <c r="A286" s="1304"/>
      <c r="B286" s="643">
        <v>4015</v>
      </c>
      <c r="C286" s="643" t="s">
        <v>1795</v>
      </c>
      <c r="D286" s="3087">
        <v>1</v>
      </c>
      <c r="E286" s="3088" t="str">
        <f t="shared" si="37"/>
        <v>其他权益工具</v>
      </c>
      <c r="F286" s="3089" t="s">
        <v>1796</v>
      </c>
      <c r="G286" s="3090">
        <f t="shared" si="38"/>
        <v>0</v>
      </c>
      <c r="H286" s="3091">
        <f t="shared" ca="1" si="39"/>
        <v>0</v>
      </c>
      <c r="I286" s="3093">
        <f t="shared" ref="I286:I293" ca="1" si="40">IF(AND(LEN(G286)&gt;0,LEN(H286)&gt;0),ROUND(SUM(G286)-SUM(H286),2),"")</f>
        <v>0</v>
      </c>
      <c r="J286" s="3072" t="str">
        <f t="shared" ref="J286:J293" ca="1" si="41">IF(ISNA(I286),"N/A",IF(I286=0,"√","？"))</f>
        <v>√</v>
      </c>
      <c r="K286" s="3090">
        <f t="shared" si="31"/>
        <v>0</v>
      </c>
      <c r="L286" s="3071">
        <f t="shared" ref="L286:L293" ca="1" si="42">INDIRECT("Notes!CheckB"&amp;$C286)</f>
        <v>0</v>
      </c>
      <c r="M286" s="3093">
        <f t="shared" ref="M286:M293" ca="1" si="43">IF(AND(LEN(K286)&gt;0,LEN(L286)&gt;0),ROUND(SUM(K286)-SUM(L286),2),"")</f>
        <v>0</v>
      </c>
      <c r="N286" s="3072" t="str">
        <f t="shared" ref="N286:N293" ca="1" si="44">IF(ISNA(M286),"N/A",IF(M286=0,"√","？"))</f>
        <v>√</v>
      </c>
      <c r="O286" s="3099"/>
      <c r="P286" s="3100"/>
      <c r="Q286" s="3100"/>
      <c r="R286" s="3100"/>
      <c r="S286" s="3101" t="s">
        <v>295</v>
      </c>
      <c r="T286" s="3101" t="s">
        <v>213</v>
      </c>
      <c r="U286" s="3102"/>
      <c r="V286" s="3102" t="s">
        <v>295</v>
      </c>
      <c r="W286" s="3102" t="s">
        <v>6804</v>
      </c>
      <c r="X286" s="3102" t="s">
        <v>6805</v>
      </c>
      <c r="Y286" s="3103" t="s">
        <v>164</v>
      </c>
    </row>
    <row r="287" spans="1:25" ht="18">
      <c r="A287" s="1304"/>
      <c r="B287" s="643">
        <v>4002</v>
      </c>
      <c r="C287" s="643" t="s">
        <v>1785</v>
      </c>
      <c r="D287" s="3087">
        <v>1</v>
      </c>
      <c r="E287" s="3088" t="str">
        <f t="shared" si="37"/>
        <v>资本公积</v>
      </c>
      <c r="F287" s="3089" t="s">
        <v>1786</v>
      </c>
      <c r="G287" s="3090">
        <f t="shared" si="38"/>
        <v>238420255.88999999</v>
      </c>
      <c r="H287" s="3091">
        <f t="shared" ca="1" si="39"/>
        <v>238420255.88999999</v>
      </c>
      <c r="I287" s="3093">
        <f t="shared" ca="1" si="40"/>
        <v>0</v>
      </c>
      <c r="J287" s="3072" t="str">
        <f t="shared" ca="1" si="41"/>
        <v>√</v>
      </c>
      <c r="K287" s="3090">
        <f t="shared" ref="K287:K350" si="45">IF(ISERROR(VLOOKUP($B287,Sheet_Trialbal,10,0)),"        ----",VLOOKUP($B287,Sheet_Trialbal,10,0))</f>
        <v>238420255.88999999</v>
      </c>
      <c r="L287" s="3071">
        <f t="shared" ca="1" si="42"/>
        <v>238420255.88999999</v>
      </c>
      <c r="M287" s="3093">
        <f t="shared" ca="1" si="43"/>
        <v>0</v>
      </c>
      <c r="N287" s="3072" t="str">
        <f t="shared" ca="1" si="44"/>
        <v>√</v>
      </c>
      <c r="O287" s="3099"/>
      <c r="P287" s="3100"/>
      <c r="Q287" s="3100"/>
      <c r="R287" s="3100"/>
      <c r="S287" s="3101" t="s">
        <v>295</v>
      </c>
      <c r="T287" s="3101" t="s">
        <v>213</v>
      </c>
      <c r="U287" s="3102"/>
      <c r="V287" s="3102" t="s">
        <v>295</v>
      </c>
      <c r="W287" s="3102" t="s">
        <v>6804</v>
      </c>
      <c r="X287" s="3102" t="s">
        <v>6805</v>
      </c>
      <c r="Y287" s="3103" t="s">
        <v>164</v>
      </c>
    </row>
    <row r="288" spans="1:25" ht="18">
      <c r="A288" s="1304"/>
      <c r="B288" s="643">
        <v>4201</v>
      </c>
      <c r="C288" s="643" t="s">
        <v>1828</v>
      </c>
      <c r="D288" s="3087">
        <v>1</v>
      </c>
      <c r="E288" s="3088" t="str">
        <f t="shared" si="37"/>
        <v>库存股</v>
      </c>
      <c r="F288" s="3089" t="s">
        <v>1829</v>
      </c>
      <c r="G288" s="3090">
        <f t="shared" si="38"/>
        <v>0</v>
      </c>
      <c r="H288" s="3091">
        <f t="shared" ca="1" si="39"/>
        <v>0</v>
      </c>
      <c r="I288" s="3093">
        <f t="shared" ca="1" si="40"/>
        <v>0</v>
      </c>
      <c r="J288" s="3072" t="str">
        <f t="shared" ca="1" si="41"/>
        <v>√</v>
      </c>
      <c r="K288" s="3090">
        <f t="shared" si="45"/>
        <v>0</v>
      </c>
      <c r="L288" s="3071">
        <f t="shared" ca="1" si="42"/>
        <v>0</v>
      </c>
      <c r="M288" s="3093">
        <f t="shared" ca="1" si="43"/>
        <v>0</v>
      </c>
      <c r="N288" s="3072" t="str">
        <f t="shared" ca="1" si="44"/>
        <v>√</v>
      </c>
      <c r="O288" s="3099"/>
      <c r="P288" s="3100"/>
      <c r="Q288" s="3100"/>
      <c r="R288" s="3100"/>
      <c r="S288" s="3101" t="s">
        <v>295</v>
      </c>
      <c r="T288" s="3101" t="s">
        <v>213</v>
      </c>
      <c r="U288" s="3102"/>
      <c r="V288" s="3102" t="s">
        <v>295</v>
      </c>
      <c r="W288" s="3102" t="s">
        <v>6804</v>
      </c>
      <c r="X288" s="3102" t="s">
        <v>6805</v>
      </c>
      <c r="Y288" s="3103" t="s">
        <v>164</v>
      </c>
    </row>
    <row r="289" spans="1:25" ht="18">
      <c r="A289" s="1304"/>
      <c r="B289" s="643">
        <v>4215</v>
      </c>
      <c r="C289" s="643" t="s">
        <v>1831</v>
      </c>
      <c r="D289" s="3087">
        <v>1</v>
      </c>
      <c r="E289" s="3088" t="str">
        <f t="shared" si="37"/>
        <v>其他综合收益</v>
      </c>
      <c r="F289" s="3089" t="s">
        <v>1832</v>
      </c>
      <c r="G289" s="3090">
        <f t="shared" si="38"/>
        <v>0</v>
      </c>
      <c r="H289" s="3091">
        <f t="shared" ca="1" si="39"/>
        <v>0</v>
      </c>
      <c r="I289" s="3093">
        <f t="shared" ca="1" si="40"/>
        <v>0</v>
      </c>
      <c r="J289" s="3072" t="str">
        <f t="shared" ca="1" si="41"/>
        <v>√</v>
      </c>
      <c r="K289" s="3090">
        <f t="shared" si="45"/>
        <v>0</v>
      </c>
      <c r="L289" s="3071">
        <f t="shared" ca="1" si="42"/>
        <v>0</v>
      </c>
      <c r="M289" s="3093">
        <f t="shared" ca="1" si="43"/>
        <v>0</v>
      </c>
      <c r="N289" s="3072" t="str">
        <f t="shared" ca="1" si="44"/>
        <v>√</v>
      </c>
      <c r="O289" s="3099"/>
      <c r="P289" s="3100"/>
      <c r="Q289" s="3100"/>
      <c r="R289" s="3100"/>
      <c r="S289" s="3101" t="s">
        <v>295</v>
      </c>
      <c r="T289" s="3101" t="s">
        <v>213</v>
      </c>
      <c r="U289" s="3102"/>
      <c r="V289" s="3102" t="s">
        <v>295</v>
      </c>
      <c r="W289" s="3102" t="s">
        <v>145</v>
      </c>
      <c r="X289" s="3102" t="s">
        <v>6807</v>
      </c>
      <c r="Y289" s="3103" t="s">
        <v>119</v>
      </c>
    </row>
    <row r="290" spans="1:25" ht="18">
      <c r="A290" s="1304"/>
      <c r="B290" s="643">
        <v>4301</v>
      </c>
      <c r="C290" s="643" t="s">
        <v>1837</v>
      </c>
      <c r="D290" s="3087">
        <v>1</v>
      </c>
      <c r="E290" s="3088" t="str">
        <f t="shared" si="37"/>
        <v>专项储备</v>
      </c>
      <c r="F290" s="3089" t="s">
        <v>1838</v>
      </c>
      <c r="G290" s="3090">
        <f t="shared" si="38"/>
        <v>4545209.38</v>
      </c>
      <c r="H290" s="3091">
        <f t="shared" ca="1" si="39"/>
        <v>4545209.38</v>
      </c>
      <c r="I290" s="3093">
        <f t="shared" ca="1" si="40"/>
        <v>0</v>
      </c>
      <c r="J290" s="3072" t="str">
        <f t="shared" ca="1" si="41"/>
        <v>√</v>
      </c>
      <c r="K290" s="3090">
        <f t="shared" si="45"/>
        <v>8378246.8099999996</v>
      </c>
      <c r="L290" s="3071">
        <f t="shared" ca="1" si="42"/>
        <v>8378246.8099999996</v>
      </c>
      <c r="M290" s="3093">
        <f t="shared" ca="1" si="43"/>
        <v>0</v>
      </c>
      <c r="N290" s="3072" t="str">
        <f t="shared" ca="1" si="44"/>
        <v>√</v>
      </c>
      <c r="O290" s="3099"/>
      <c r="P290" s="3100"/>
      <c r="Q290" s="3100"/>
      <c r="R290" s="3100"/>
      <c r="S290" s="3101" t="s">
        <v>295</v>
      </c>
      <c r="T290" s="3101" t="s">
        <v>213</v>
      </c>
      <c r="U290" s="3102"/>
      <c r="V290" s="3102" t="s">
        <v>295</v>
      </c>
      <c r="W290" s="3102" t="s">
        <v>6804</v>
      </c>
      <c r="X290" s="3102" t="s">
        <v>6805</v>
      </c>
      <c r="Y290" s="3103" t="s">
        <v>164</v>
      </c>
    </row>
    <row r="291" spans="1:25" ht="18">
      <c r="A291" s="1304"/>
      <c r="B291" s="643">
        <v>4101</v>
      </c>
      <c r="C291" s="643" t="s">
        <v>1805</v>
      </c>
      <c r="D291" s="3087">
        <v>1</v>
      </c>
      <c r="E291" s="3088" t="str">
        <f t="shared" si="37"/>
        <v>盈余公积</v>
      </c>
      <c r="F291" s="3089" t="s">
        <v>1806</v>
      </c>
      <c r="G291" s="3090">
        <f t="shared" si="38"/>
        <v>4637867.0999999996</v>
      </c>
      <c r="H291" s="3091">
        <f t="shared" ca="1" si="39"/>
        <v>4637867.0999999996</v>
      </c>
      <c r="I291" s="3093">
        <f t="shared" ca="1" si="40"/>
        <v>0</v>
      </c>
      <c r="J291" s="3072" t="str">
        <f t="shared" ca="1" si="41"/>
        <v>√</v>
      </c>
      <c r="K291" s="3090">
        <f t="shared" si="45"/>
        <v>4637867.0999999996</v>
      </c>
      <c r="L291" s="3071">
        <f t="shared" ca="1" si="42"/>
        <v>4637867.0999999996</v>
      </c>
      <c r="M291" s="3093">
        <f t="shared" ca="1" si="43"/>
        <v>0</v>
      </c>
      <c r="N291" s="3072" t="str">
        <f t="shared" ca="1" si="44"/>
        <v>√</v>
      </c>
      <c r="O291" s="3099"/>
      <c r="P291" s="3100"/>
      <c r="Q291" s="3100"/>
      <c r="R291" s="3100"/>
      <c r="S291" s="3101" t="s">
        <v>295</v>
      </c>
      <c r="T291" s="3101" t="s">
        <v>213</v>
      </c>
      <c r="U291" s="3102"/>
      <c r="V291" s="3102" t="s">
        <v>295</v>
      </c>
      <c r="W291" s="3102" t="s">
        <v>145</v>
      </c>
      <c r="X291" s="3102" t="s">
        <v>6807</v>
      </c>
      <c r="Y291" s="3103" t="s">
        <v>119</v>
      </c>
    </row>
    <row r="292" spans="1:25" ht="18">
      <c r="A292" s="1304"/>
      <c r="B292" s="643">
        <v>4102</v>
      </c>
      <c r="C292" s="643" t="s">
        <v>1815</v>
      </c>
      <c r="D292" s="3087">
        <v>1</v>
      </c>
      <c r="E292" s="3088" t="str">
        <f t="shared" si="37"/>
        <v>一般风险准备</v>
      </c>
      <c r="F292" s="3089" t="s">
        <v>1816</v>
      </c>
      <c r="G292" s="3090">
        <f t="shared" si="38"/>
        <v>0</v>
      </c>
      <c r="H292" s="3091">
        <f t="shared" ca="1" si="39"/>
        <v>0</v>
      </c>
      <c r="I292" s="3093">
        <f t="shared" ca="1" si="40"/>
        <v>0</v>
      </c>
      <c r="J292" s="3072" t="str">
        <f t="shared" ca="1" si="41"/>
        <v>√</v>
      </c>
      <c r="K292" s="3090">
        <f t="shared" si="45"/>
        <v>0</v>
      </c>
      <c r="L292" s="3071">
        <f t="shared" ca="1" si="42"/>
        <v>0</v>
      </c>
      <c r="M292" s="3093">
        <f t="shared" ca="1" si="43"/>
        <v>0</v>
      </c>
      <c r="N292" s="3072" t="str">
        <f t="shared" ca="1" si="44"/>
        <v>√</v>
      </c>
      <c r="O292" s="3099"/>
      <c r="P292" s="3100"/>
      <c r="Q292" s="3100"/>
      <c r="R292" s="3100"/>
      <c r="S292" s="3101" t="s">
        <v>295</v>
      </c>
      <c r="T292" s="3101" t="s">
        <v>213</v>
      </c>
      <c r="U292" s="3102"/>
      <c r="V292" s="3102" t="s">
        <v>295</v>
      </c>
      <c r="W292" s="3102" t="s">
        <v>6804</v>
      </c>
      <c r="X292" s="3102" t="s">
        <v>213</v>
      </c>
      <c r="Y292" s="3103" t="s">
        <v>164</v>
      </c>
    </row>
    <row r="293" spans="1:25" ht="24">
      <c r="A293" s="1304"/>
      <c r="B293" s="643">
        <v>4200</v>
      </c>
      <c r="C293" s="643" t="s">
        <v>1820</v>
      </c>
      <c r="D293" s="3087">
        <v>1</v>
      </c>
      <c r="E293" s="3088" t="str">
        <f t="shared" si="37"/>
        <v>未分配利润</v>
      </c>
      <c r="F293" s="3089" t="s">
        <v>1821</v>
      </c>
      <c r="G293" s="3090">
        <f t="shared" si="38"/>
        <v>-158918582.90000001</v>
      </c>
      <c r="H293" s="3091">
        <f t="shared" ca="1" si="39"/>
        <v>-158918582.90000001</v>
      </c>
      <c r="I293" s="3093">
        <f t="shared" ca="1" si="40"/>
        <v>0</v>
      </c>
      <c r="J293" s="3072" t="str">
        <f t="shared" ca="1" si="41"/>
        <v>√</v>
      </c>
      <c r="K293" s="3090">
        <f t="shared" si="45"/>
        <v>-145316230.15000001</v>
      </c>
      <c r="L293" s="3071">
        <f t="shared" ca="1" si="42"/>
        <v>-145316230.15000001</v>
      </c>
      <c r="M293" s="3093">
        <f t="shared" ca="1" si="43"/>
        <v>0</v>
      </c>
      <c r="N293" s="3072" t="str">
        <f t="shared" ca="1" si="44"/>
        <v>√</v>
      </c>
      <c r="O293" s="3099"/>
      <c r="P293" s="3100"/>
      <c r="Q293" s="3100"/>
      <c r="R293" s="3100"/>
      <c r="S293" s="3101" t="s">
        <v>295</v>
      </c>
      <c r="T293" s="3101" t="s">
        <v>213</v>
      </c>
      <c r="U293" s="3102"/>
      <c r="V293" s="3102" t="s">
        <v>295</v>
      </c>
      <c r="W293" s="3102" t="s">
        <v>6804</v>
      </c>
      <c r="X293" s="3102" t="s">
        <v>6805</v>
      </c>
      <c r="Y293" s="3103" t="s">
        <v>164</v>
      </c>
    </row>
    <row r="294" spans="1:25" ht="24" hidden="1">
      <c r="A294" s="1304"/>
      <c r="B294" s="643">
        <v>4200</v>
      </c>
      <c r="C294" s="643" t="s">
        <v>1824</v>
      </c>
      <c r="D294" s="3087">
        <v>2</v>
      </c>
      <c r="E294" s="3088" t="str">
        <f t="shared" si="37"/>
        <v>未分配利润</v>
      </c>
      <c r="F294" s="3089" t="s">
        <v>1825</v>
      </c>
      <c r="G294" s="3090">
        <f t="shared" si="38"/>
        <v>-158918582.90000001</v>
      </c>
      <c r="H294" s="3091">
        <f t="shared" ca="1" si="39"/>
        <v>0</v>
      </c>
      <c r="I294" s="3093" t="s">
        <v>6810</v>
      </c>
      <c r="J294" s="3072"/>
      <c r="K294" s="3090">
        <f t="shared" si="45"/>
        <v>-145316230.15000001</v>
      </c>
      <c r="L294" s="3071" t="s">
        <v>6806</v>
      </c>
      <c r="M294" s="3093" t="s">
        <v>6810</v>
      </c>
      <c r="N294" s="3072"/>
      <c r="O294" s="3099"/>
      <c r="P294" s="3100"/>
      <c r="Q294" s="3100"/>
      <c r="R294" s="3100"/>
      <c r="S294" s="3101" t="s">
        <v>295</v>
      </c>
      <c r="T294" s="3101" t="s">
        <v>213</v>
      </c>
      <c r="U294" s="3102"/>
      <c r="V294" s="3102" t="s">
        <v>295</v>
      </c>
      <c r="W294" s="3102" t="s">
        <v>6804</v>
      </c>
      <c r="X294" s="3102" t="s">
        <v>213</v>
      </c>
      <c r="Y294" s="3103" t="s">
        <v>164</v>
      </c>
    </row>
    <row r="295" spans="1:25" ht="24" hidden="1">
      <c r="A295" s="1304"/>
      <c r="B295" s="643"/>
      <c r="C295" s="643" t="s">
        <v>1844</v>
      </c>
      <c r="D295" s="3087">
        <v>3</v>
      </c>
      <c r="E295" s="3088" t="str">
        <f t="shared" si="37"/>
        <v xml:space="preserve">        ----</v>
      </c>
      <c r="F295" s="3089" t="s">
        <v>1845</v>
      </c>
      <c r="G295" s="3090" t="str">
        <f t="shared" si="38"/>
        <v xml:space="preserve">        ----</v>
      </c>
      <c r="H295" s="3091">
        <f t="shared" ca="1" si="39"/>
        <v>231319311.91</v>
      </c>
      <c r="I295" s="3093" t="s">
        <v>6810</v>
      </c>
      <c r="J295" s="3072"/>
      <c r="K295" s="3090" t="str">
        <f t="shared" si="45"/>
        <v xml:space="preserve">        ----</v>
      </c>
      <c r="L295" s="3071">
        <f t="shared" ref="L295:L300" ca="1" si="46">INDIRECT("Notes!CheckB"&amp;$C295)</f>
        <v>187451530.16999999</v>
      </c>
      <c r="M295" s="3093" t="s">
        <v>6810</v>
      </c>
      <c r="N295" s="3072"/>
      <c r="O295" s="3099"/>
      <c r="P295" s="3100"/>
      <c r="Q295" s="3100"/>
      <c r="R295" s="3100"/>
      <c r="S295" s="3101" t="s">
        <v>295</v>
      </c>
      <c r="T295" s="3101" t="s">
        <v>213</v>
      </c>
      <c r="U295" s="3102"/>
      <c r="V295" s="3102" t="s">
        <v>295</v>
      </c>
      <c r="W295" s="3102" t="s">
        <v>6804</v>
      </c>
      <c r="X295" s="3102" t="s">
        <v>6805</v>
      </c>
      <c r="Y295" s="3103" t="s">
        <v>164</v>
      </c>
    </row>
    <row r="296" spans="1:25" ht="18">
      <c r="A296" s="1304"/>
      <c r="B296" s="643">
        <v>6001</v>
      </c>
      <c r="C296" s="643" t="s">
        <v>1848</v>
      </c>
      <c r="D296" s="3087">
        <v>1</v>
      </c>
      <c r="E296" s="3088" t="str">
        <f t="shared" si="37"/>
        <v>营业收入</v>
      </c>
      <c r="F296" s="3089" t="s">
        <v>1849</v>
      </c>
      <c r="G296" s="3090">
        <f t="shared" si="38"/>
        <v>231319311.91</v>
      </c>
      <c r="H296" s="3091">
        <f t="shared" ca="1" si="39"/>
        <v>231319311.91</v>
      </c>
      <c r="I296" s="3093">
        <f ca="1">IF(AND(LEN(G296)&gt;0,LEN(H296)&gt;0),ROUND(SUM(G296)-SUM(H296),2),"")</f>
        <v>0</v>
      </c>
      <c r="J296" s="3072" t="str">
        <f ca="1">IF(ISNA(I296),"N/A",IF(I296=0,"√","？"))</f>
        <v>√</v>
      </c>
      <c r="K296" s="3090">
        <f t="shared" si="45"/>
        <v>339876355.07999998</v>
      </c>
      <c r="L296" s="3071">
        <f t="shared" ca="1" si="46"/>
        <v>339876355.07999998</v>
      </c>
      <c r="M296" s="3093">
        <f ca="1">IF(AND(LEN(K296)&gt;0,LEN(L296)&gt;0),ROUND(SUM(K296)-SUM(L296),2),"")</f>
        <v>0</v>
      </c>
      <c r="N296" s="3072" t="str">
        <f ca="1">IF(ISNA(M296),"N/A",IF(M296=0,"√","？"))</f>
        <v>√</v>
      </c>
      <c r="O296" s="3099"/>
      <c r="P296" s="3100"/>
      <c r="Q296" s="3100"/>
      <c r="R296" s="3100"/>
      <c r="S296" s="3101" t="s">
        <v>295</v>
      </c>
      <c r="T296" s="3101" t="s">
        <v>213</v>
      </c>
      <c r="U296" s="3102"/>
      <c r="V296" s="3102" t="s">
        <v>295</v>
      </c>
      <c r="W296" s="3102" t="s">
        <v>6804</v>
      </c>
      <c r="X296" s="3102" t="s">
        <v>6805</v>
      </c>
      <c r="Y296" s="3103" t="s">
        <v>164</v>
      </c>
    </row>
    <row r="297" spans="1:25" ht="18">
      <c r="A297" s="1304"/>
      <c r="B297" s="643">
        <v>6401</v>
      </c>
      <c r="C297" s="643" t="s">
        <v>1851</v>
      </c>
      <c r="D297" s="3087">
        <v>1</v>
      </c>
      <c r="E297" s="3088" t="str">
        <f t="shared" si="37"/>
        <v>营业成本</v>
      </c>
      <c r="F297" s="3089" t="s">
        <v>1852</v>
      </c>
      <c r="G297" s="3090">
        <f t="shared" si="38"/>
        <v>197062457.09</v>
      </c>
      <c r="H297" s="3091">
        <f t="shared" ca="1" si="39"/>
        <v>197062457.09</v>
      </c>
      <c r="I297" s="3093">
        <f ca="1">IF(AND(LEN(G297)&gt;0,LEN(H297)&gt;0),ROUND(SUM(G297)-SUM(H297),2),"")</f>
        <v>0</v>
      </c>
      <c r="J297" s="3072" t="str">
        <f ca="1">IF(ISNA(I297),"N/A",IF(I297=0,"√","？"))</f>
        <v>√</v>
      </c>
      <c r="K297" s="3090">
        <f t="shared" si="45"/>
        <v>239939923.65000001</v>
      </c>
      <c r="L297" s="3071">
        <f t="shared" ca="1" si="46"/>
        <v>239939923.65000001</v>
      </c>
      <c r="M297" s="3093">
        <f ca="1">IF(AND(LEN(K297)&gt;0,LEN(L297)&gt;0),ROUND(SUM(K297)-SUM(L297),2),"")</f>
        <v>0</v>
      </c>
      <c r="N297" s="3072" t="str">
        <f ca="1">IF(ISNA(M297),"N/A",IF(M297=0,"√","？"))</f>
        <v>√</v>
      </c>
      <c r="O297" s="3099"/>
      <c r="P297" s="3100"/>
      <c r="Q297" s="3100"/>
      <c r="R297" s="3100"/>
      <c r="S297" s="3101" t="s">
        <v>295</v>
      </c>
      <c r="T297" s="3101" t="s">
        <v>213</v>
      </c>
      <c r="U297" s="3102"/>
      <c r="V297" s="3102" t="s">
        <v>295</v>
      </c>
      <c r="W297" s="3102" t="s">
        <v>6804</v>
      </c>
      <c r="X297" s="3102" t="s">
        <v>6805</v>
      </c>
      <c r="Y297" s="3103" t="s">
        <v>164</v>
      </c>
    </row>
    <row r="298" spans="1:25" ht="24" hidden="1">
      <c r="A298" s="1304"/>
      <c r="B298" s="643"/>
      <c r="C298" s="643" t="s">
        <v>1854</v>
      </c>
      <c r="D298" s="3087">
        <v>3</v>
      </c>
      <c r="E298" s="3088" t="str">
        <f t="shared" si="37"/>
        <v xml:space="preserve">        ----</v>
      </c>
      <c r="F298" s="3089" t="s">
        <v>1855</v>
      </c>
      <c r="G298" s="3090" t="str">
        <f t="shared" si="38"/>
        <v xml:space="preserve">        ----</v>
      </c>
      <c r="H298" s="3091">
        <f t="shared" ca="1" si="39"/>
        <v>34172242.109999999</v>
      </c>
      <c r="I298" s="3093" t="s">
        <v>6810</v>
      </c>
      <c r="J298" s="3072"/>
      <c r="K298" s="3090" t="str">
        <f t="shared" si="45"/>
        <v xml:space="preserve">        ----</v>
      </c>
      <c r="L298" s="3071">
        <f t="shared" ca="1" si="46"/>
        <v>100049697.78</v>
      </c>
      <c r="M298" s="3093" t="s">
        <v>6810</v>
      </c>
      <c r="N298" s="3072"/>
      <c r="O298" s="3099"/>
      <c r="P298" s="3100"/>
      <c r="Q298" s="3100"/>
      <c r="R298" s="3100"/>
      <c r="S298" s="3101" t="s">
        <v>295</v>
      </c>
      <c r="T298" s="3101" t="s">
        <v>213</v>
      </c>
      <c r="U298" s="3102"/>
      <c r="V298" s="3102" t="s">
        <v>295</v>
      </c>
      <c r="W298" s="3102" t="s">
        <v>6804</v>
      </c>
      <c r="X298" s="3102" t="s">
        <v>6807</v>
      </c>
      <c r="Y298" s="3103" t="s">
        <v>164</v>
      </c>
    </row>
    <row r="299" spans="1:25" ht="18" hidden="1">
      <c r="A299" s="1304"/>
      <c r="B299" s="643"/>
      <c r="C299" s="643" t="s">
        <v>1859</v>
      </c>
      <c r="D299" s="3087">
        <v>3</v>
      </c>
      <c r="E299" s="3088" t="str">
        <f t="shared" si="37"/>
        <v xml:space="preserve">        ----</v>
      </c>
      <c r="F299" s="3089" t="s">
        <v>1860</v>
      </c>
      <c r="G299" s="3090" t="str">
        <f t="shared" si="38"/>
        <v xml:space="preserve">        ----</v>
      </c>
      <c r="H299" s="3091">
        <f t="shared" ca="1" si="39"/>
        <v>34172242.109999999</v>
      </c>
      <c r="I299" s="3093" t="s">
        <v>6810</v>
      </c>
      <c r="J299" s="3072"/>
      <c r="K299" s="3090" t="str">
        <f t="shared" si="45"/>
        <v xml:space="preserve">        ----</v>
      </c>
      <c r="L299" s="3071">
        <f t="shared" ca="1" si="46"/>
        <v>0</v>
      </c>
      <c r="M299" s="3093" t="s">
        <v>6810</v>
      </c>
      <c r="N299" s="3072"/>
      <c r="O299" s="3099"/>
      <c r="P299" s="3100"/>
      <c r="Q299" s="3100"/>
      <c r="R299" s="3100"/>
      <c r="S299" s="3101" t="s">
        <v>295</v>
      </c>
      <c r="T299" s="3101" t="s">
        <v>213</v>
      </c>
      <c r="U299" s="3102"/>
      <c r="V299" s="3102" t="s">
        <v>295</v>
      </c>
      <c r="W299" s="3102" t="s">
        <v>6804</v>
      </c>
      <c r="X299" s="3102" t="s">
        <v>6807</v>
      </c>
      <c r="Y299" s="3103" t="s">
        <v>164</v>
      </c>
    </row>
    <row r="300" spans="1:25" ht="18" hidden="1">
      <c r="A300" s="1304"/>
      <c r="B300" s="643"/>
      <c r="C300" s="643" t="s">
        <v>1863</v>
      </c>
      <c r="D300" s="3087">
        <v>3</v>
      </c>
      <c r="E300" s="3088" t="str">
        <f t="shared" si="37"/>
        <v xml:space="preserve">        ----</v>
      </c>
      <c r="F300" s="3089" t="s">
        <v>1864</v>
      </c>
      <c r="G300" s="3090" t="str">
        <f t="shared" si="38"/>
        <v xml:space="preserve">        ----</v>
      </c>
      <c r="H300" s="3091">
        <f t="shared" ca="1" si="39"/>
        <v>34172242.109999999</v>
      </c>
      <c r="I300" s="3093" t="s">
        <v>6810</v>
      </c>
      <c r="J300" s="3072"/>
      <c r="K300" s="3090" t="str">
        <f t="shared" si="45"/>
        <v xml:space="preserve">        ----</v>
      </c>
      <c r="L300" s="3071">
        <f t="shared" ca="1" si="46"/>
        <v>0</v>
      </c>
      <c r="M300" s="3093" t="s">
        <v>6810</v>
      </c>
      <c r="N300" s="3072"/>
      <c r="O300" s="3099"/>
      <c r="P300" s="3100"/>
      <c r="Q300" s="3100"/>
      <c r="R300" s="3100"/>
      <c r="S300" s="3101" t="s">
        <v>295</v>
      </c>
      <c r="T300" s="3101" t="s">
        <v>213</v>
      </c>
      <c r="U300" s="3102"/>
      <c r="V300" s="3102" t="s">
        <v>295</v>
      </c>
      <c r="W300" s="3102" t="s">
        <v>6804</v>
      </c>
      <c r="X300" s="3102" t="s">
        <v>6807</v>
      </c>
      <c r="Y300" s="3103" t="s">
        <v>164</v>
      </c>
    </row>
    <row r="301" spans="1:25" ht="18" hidden="1">
      <c r="A301" s="1304"/>
      <c r="B301" s="643">
        <v>6001</v>
      </c>
      <c r="C301" s="643" t="s">
        <v>1868</v>
      </c>
      <c r="D301" s="3087">
        <v>2</v>
      </c>
      <c r="E301" s="3088" t="str">
        <f t="shared" si="37"/>
        <v>营业收入</v>
      </c>
      <c r="F301" s="3089" t="s">
        <v>1869</v>
      </c>
      <c r="G301" s="3090">
        <f t="shared" si="38"/>
        <v>231319311.91</v>
      </c>
      <c r="H301" s="3091" t="s">
        <v>6806</v>
      </c>
      <c r="I301" s="3093" t="s">
        <v>6810</v>
      </c>
      <c r="J301" s="3072"/>
      <c r="K301" s="3090">
        <f t="shared" si="45"/>
        <v>339876355.07999998</v>
      </c>
      <c r="L301" s="3071" t="s">
        <v>6806</v>
      </c>
      <c r="M301" s="3093" t="s">
        <v>6810</v>
      </c>
      <c r="N301" s="3072"/>
      <c r="O301" s="3099"/>
      <c r="P301" s="3100"/>
      <c r="Q301" s="3100"/>
      <c r="R301" s="3100"/>
      <c r="S301" s="3101" t="s">
        <v>295</v>
      </c>
      <c r="T301" s="3101" t="s">
        <v>213</v>
      </c>
      <c r="U301" s="3102"/>
      <c r="V301" s="3102" t="s">
        <v>295</v>
      </c>
      <c r="W301" s="3102" t="s">
        <v>6804</v>
      </c>
      <c r="X301" s="3102" t="s">
        <v>213</v>
      </c>
      <c r="Y301" s="3103" t="s">
        <v>164</v>
      </c>
    </row>
    <row r="302" spans="1:25" ht="18" hidden="1">
      <c r="A302" s="1304"/>
      <c r="B302" s="643">
        <v>6401</v>
      </c>
      <c r="C302" s="643" t="s">
        <v>1872</v>
      </c>
      <c r="D302" s="3087">
        <v>2</v>
      </c>
      <c r="E302" s="3088" t="str">
        <f t="shared" si="37"/>
        <v>营业成本</v>
      </c>
      <c r="F302" s="3089" t="s">
        <v>1873</v>
      </c>
      <c r="G302" s="3090">
        <f t="shared" si="38"/>
        <v>197062457.09</v>
      </c>
      <c r="H302" s="3091" t="s">
        <v>6806</v>
      </c>
      <c r="I302" s="3093" t="s">
        <v>6810</v>
      </c>
      <c r="J302" s="3072"/>
      <c r="K302" s="3090">
        <f t="shared" si="45"/>
        <v>239939923.65000001</v>
      </c>
      <c r="L302" s="3071" t="s">
        <v>6806</v>
      </c>
      <c r="M302" s="3093" t="s">
        <v>6810</v>
      </c>
      <c r="N302" s="3072"/>
      <c r="O302" s="3099"/>
      <c r="P302" s="3100"/>
      <c r="Q302" s="3100"/>
      <c r="R302" s="3100"/>
      <c r="S302" s="3101" t="s">
        <v>295</v>
      </c>
      <c r="T302" s="3101" t="s">
        <v>213</v>
      </c>
      <c r="U302" s="3102"/>
      <c r="V302" s="3102" t="s">
        <v>295</v>
      </c>
      <c r="W302" s="3102" t="s">
        <v>6804</v>
      </c>
      <c r="X302" s="3102" t="s">
        <v>213</v>
      </c>
      <c r="Y302" s="3103" t="s">
        <v>164</v>
      </c>
    </row>
    <row r="303" spans="1:25" ht="18" hidden="1">
      <c r="A303" s="1304"/>
      <c r="B303" s="643">
        <v>6001</v>
      </c>
      <c r="C303" s="643" t="s">
        <v>1840</v>
      </c>
      <c r="D303" s="3087">
        <v>2</v>
      </c>
      <c r="E303" s="3088" t="str">
        <f t="shared" si="37"/>
        <v>营业收入</v>
      </c>
      <c r="F303" s="3089" t="s">
        <v>1841</v>
      </c>
      <c r="G303" s="3090">
        <f t="shared" si="38"/>
        <v>231319311.91</v>
      </c>
      <c r="H303" s="3091">
        <f t="shared" ref="H303:H346" ca="1" si="47">INDIRECT("Notes!CheckA"&amp;$C303)</f>
        <v>0</v>
      </c>
      <c r="I303" s="3093" t="s">
        <v>6810</v>
      </c>
      <c r="J303" s="3072"/>
      <c r="K303" s="3090">
        <f t="shared" si="45"/>
        <v>339876355.07999998</v>
      </c>
      <c r="L303" s="3071">
        <f t="shared" ref="L303:L327" ca="1" si="48">INDIRECT("Notes!CheckB"&amp;$C303)</f>
        <v>0</v>
      </c>
      <c r="M303" s="3093" t="s">
        <v>6810</v>
      </c>
      <c r="N303" s="3072"/>
      <c r="O303" s="3099"/>
      <c r="P303" s="3100"/>
      <c r="Q303" s="3100"/>
      <c r="R303" s="3100"/>
      <c r="S303" s="3101" t="s">
        <v>295</v>
      </c>
      <c r="T303" s="3101" t="s">
        <v>213</v>
      </c>
      <c r="U303" s="3102"/>
      <c r="V303" s="3102" t="s">
        <v>295</v>
      </c>
      <c r="W303" s="3102" t="s">
        <v>6804</v>
      </c>
      <c r="X303" s="3102" t="s">
        <v>213</v>
      </c>
      <c r="Y303" s="3103" t="s">
        <v>164</v>
      </c>
    </row>
    <row r="304" spans="1:25" ht="18" hidden="1">
      <c r="A304" s="1304"/>
      <c r="B304" s="643">
        <v>6401</v>
      </c>
      <c r="C304" s="643" t="s">
        <v>1894</v>
      </c>
      <c r="D304" s="3087">
        <v>2</v>
      </c>
      <c r="E304" s="3088" t="str">
        <f t="shared" si="37"/>
        <v>营业成本</v>
      </c>
      <c r="F304" s="3089" t="s">
        <v>1895</v>
      </c>
      <c r="G304" s="3090">
        <f t="shared" si="38"/>
        <v>197062457.09</v>
      </c>
      <c r="H304" s="3091">
        <f t="shared" ca="1" si="47"/>
        <v>0</v>
      </c>
      <c r="I304" s="3093" t="s">
        <v>6810</v>
      </c>
      <c r="J304" s="3072"/>
      <c r="K304" s="3090">
        <f t="shared" si="45"/>
        <v>239939923.65000001</v>
      </c>
      <c r="L304" s="3071">
        <f t="shared" ca="1" si="48"/>
        <v>0</v>
      </c>
      <c r="M304" s="3093" t="s">
        <v>6810</v>
      </c>
      <c r="N304" s="3072"/>
      <c r="O304" s="3099"/>
      <c r="P304" s="3100"/>
      <c r="Q304" s="3100"/>
      <c r="R304" s="3100"/>
      <c r="S304" s="3101" t="s">
        <v>295</v>
      </c>
      <c r="T304" s="3101" t="s">
        <v>213</v>
      </c>
      <c r="U304" s="3102"/>
      <c r="V304" s="3102" t="s">
        <v>295</v>
      </c>
      <c r="W304" s="3102" t="s">
        <v>6804</v>
      </c>
      <c r="X304" s="3102" t="s">
        <v>213</v>
      </c>
      <c r="Y304" s="3103" t="s">
        <v>164</v>
      </c>
    </row>
    <row r="305" spans="1:25" ht="18">
      <c r="A305" s="1304"/>
      <c r="B305" s="643">
        <v>6600</v>
      </c>
      <c r="C305" s="643" t="s">
        <v>1897</v>
      </c>
      <c r="D305" s="3087">
        <v>1</v>
      </c>
      <c r="E305" s="3088" t="str">
        <f t="shared" si="37"/>
        <v>税金及附加</v>
      </c>
      <c r="F305" s="3089" t="s">
        <v>1898</v>
      </c>
      <c r="G305" s="3090">
        <f t="shared" si="38"/>
        <v>3777403.45</v>
      </c>
      <c r="H305" s="3091">
        <f t="shared" ca="1" si="47"/>
        <v>3777403.45</v>
      </c>
      <c r="I305" s="3093">
        <f ca="1">IF(AND(LEN(G305)&gt;0,LEN(H305)&gt;0),ROUND(SUM(G305)-SUM(H305),2),"")</f>
        <v>0</v>
      </c>
      <c r="J305" s="3072" t="str">
        <f ca="1">IF(ISNA(I305),"N/A",IF(I305=0,"√","？"))</f>
        <v>√</v>
      </c>
      <c r="K305" s="3090">
        <f t="shared" si="45"/>
        <v>6554133.3899999997</v>
      </c>
      <c r="L305" s="3071">
        <f t="shared" ca="1" si="48"/>
        <v>0</v>
      </c>
      <c r="M305" s="3093">
        <f ca="1">IF(AND(LEN(K305)&gt;0,LEN(L305)&gt;0),ROUND(SUM(K305)-SUM(L305),2),"")</f>
        <v>6554133.3899999997</v>
      </c>
      <c r="N305" s="3072" t="str">
        <f ca="1">IF(ISNA(M305),"N/A",IF(M305=0,"√","？"))</f>
        <v>？</v>
      </c>
      <c r="O305" s="3099"/>
      <c r="P305" s="3100"/>
      <c r="Q305" s="3100"/>
      <c r="R305" s="3100"/>
      <c r="S305" s="3101" t="s">
        <v>295</v>
      </c>
      <c r="T305" s="3101" t="s">
        <v>213</v>
      </c>
      <c r="U305" s="3102"/>
      <c r="V305" s="3102" t="s">
        <v>295</v>
      </c>
      <c r="W305" s="3102" t="s">
        <v>6804</v>
      </c>
      <c r="X305" s="3102" t="s">
        <v>6805</v>
      </c>
      <c r="Y305" s="3103" t="s">
        <v>164</v>
      </c>
    </row>
    <row r="306" spans="1:25" ht="18" hidden="1">
      <c r="A306" s="1304"/>
      <c r="B306" s="643">
        <v>6600</v>
      </c>
      <c r="C306" s="643" t="s">
        <v>1901</v>
      </c>
      <c r="D306" s="3087">
        <v>2</v>
      </c>
      <c r="E306" s="3088" t="str">
        <f t="shared" si="37"/>
        <v>税金及附加</v>
      </c>
      <c r="F306" s="3089" t="s">
        <v>1902</v>
      </c>
      <c r="G306" s="3090">
        <f t="shared" si="38"/>
        <v>3777403.45</v>
      </c>
      <c r="H306" s="3091">
        <f t="shared" ca="1" si="47"/>
        <v>0</v>
      </c>
      <c r="I306" s="3093" t="s">
        <v>6810</v>
      </c>
      <c r="J306" s="3072"/>
      <c r="K306" s="3090">
        <f t="shared" si="45"/>
        <v>6554133.3899999997</v>
      </c>
      <c r="L306" s="3071">
        <f t="shared" ca="1" si="48"/>
        <v>0</v>
      </c>
      <c r="M306" s="3093" t="s">
        <v>6810</v>
      </c>
      <c r="N306" s="3072"/>
      <c r="O306" s="3099"/>
      <c r="P306" s="3100"/>
      <c r="Q306" s="3100"/>
      <c r="R306" s="3100"/>
      <c r="S306" s="3101" t="s">
        <v>295</v>
      </c>
      <c r="T306" s="3101" t="s">
        <v>213</v>
      </c>
      <c r="U306" s="3102"/>
      <c r="V306" s="3102" t="s">
        <v>295</v>
      </c>
      <c r="W306" s="3102" t="s">
        <v>6804</v>
      </c>
      <c r="X306" s="3102" t="s">
        <v>213</v>
      </c>
      <c r="Y306" s="3103" t="s">
        <v>164</v>
      </c>
    </row>
    <row r="307" spans="1:25" ht="18">
      <c r="A307" s="1304"/>
      <c r="B307" s="643">
        <v>6601</v>
      </c>
      <c r="C307" s="643" t="s">
        <v>1905</v>
      </c>
      <c r="D307" s="3087">
        <v>1</v>
      </c>
      <c r="E307" s="3088" t="str">
        <f t="shared" si="37"/>
        <v>销售费用</v>
      </c>
      <c r="F307" s="3089" t="s">
        <v>1906</v>
      </c>
      <c r="G307" s="3090">
        <f t="shared" si="38"/>
        <v>13846726.529999999</v>
      </c>
      <c r="H307" s="3091">
        <f t="shared" ca="1" si="47"/>
        <v>13846726.529999999</v>
      </c>
      <c r="I307" s="3093">
        <f ca="1">IF(AND(LEN(G307)&gt;0,LEN(H307)&gt;0),ROUND(SUM(G307)-SUM(H307),2),"")</f>
        <v>0</v>
      </c>
      <c r="J307" s="3072" t="str">
        <f ca="1">IF(ISNA(I307),"N/A",IF(I307=0,"√","？"))</f>
        <v>√</v>
      </c>
      <c r="K307" s="3090">
        <f t="shared" si="45"/>
        <v>22551947.460000001</v>
      </c>
      <c r="L307" s="3071">
        <f t="shared" ca="1" si="48"/>
        <v>22551947.460000001</v>
      </c>
      <c r="M307" s="3093">
        <f ca="1">IF(AND(LEN(K307)&gt;0,LEN(L307)&gt;0),ROUND(SUM(K307)-SUM(L307),2),"")</f>
        <v>0</v>
      </c>
      <c r="N307" s="3072" t="str">
        <f ca="1">IF(ISNA(M307),"N/A",IF(M307=0,"√","？"))</f>
        <v>√</v>
      </c>
      <c r="O307" s="3099"/>
      <c r="P307" s="3100"/>
      <c r="Q307" s="3100"/>
      <c r="R307" s="3100"/>
      <c r="S307" s="3101" t="s">
        <v>295</v>
      </c>
      <c r="T307" s="3101" t="s">
        <v>213</v>
      </c>
      <c r="U307" s="3102"/>
      <c r="V307" s="3102" t="s">
        <v>295</v>
      </c>
      <c r="W307" s="3102" t="s">
        <v>6804</v>
      </c>
      <c r="X307" s="3102" t="s">
        <v>6805</v>
      </c>
      <c r="Y307" s="3103" t="s">
        <v>164</v>
      </c>
    </row>
    <row r="308" spans="1:25" ht="18" hidden="1">
      <c r="A308" s="1304"/>
      <c r="B308" s="643">
        <v>6601</v>
      </c>
      <c r="C308" s="643" t="s">
        <v>1910</v>
      </c>
      <c r="D308" s="3087">
        <v>2</v>
      </c>
      <c r="E308" s="3088" t="str">
        <f t="shared" si="37"/>
        <v>销售费用</v>
      </c>
      <c r="F308" s="3089" t="s">
        <v>1911</v>
      </c>
      <c r="G308" s="3090">
        <f t="shared" si="38"/>
        <v>13846726.529999999</v>
      </c>
      <c r="H308" s="3091">
        <f t="shared" ca="1" si="47"/>
        <v>507056.61</v>
      </c>
      <c r="I308" s="3093" t="s">
        <v>6810</v>
      </c>
      <c r="J308" s="3072"/>
      <c r="K308" s="3090">
        <f t="shared" si="45"/>
        <v>22551947.460000001</v>
      </c>
      <c r="L308" s="3071">
        <f t="shared" ca="1" si="48"/>
        <v>0</v>
      </c>
      <c r="M308" s="3093" t="s">
        <v>6810</v>
      </c>
      <c r="N308" s="3072"/>
      <c r="O308" s="3099"/>
      <c r="P308" s="3100"/>
      <c r="Q308" s="3100"/>
      <c r="R308" s="3100"/>
      <c r="S308" s="3101" t="s">
        <v>295</v>
      </c>
      <c r="T308" s="3101" t="s">
        <v>213</v>
      </c>
      <c r="U308" s="3102"/>
      <c r="V308" s="3102" t="s">
        <v>295</v>
      </c>
      <c r="W308" s="3102" t="s">
        <v>6804</v>
      </c>
      <c r="X308" s="3102" t="s">
        <v>213</v>
      </c>
      <c r="Y308" s="3103" t="s">
        <v>164</v>
      </c>
    </row>
    <row r="309" spans="1:25" ht="18">
      <c r="A309" s="1304"/>
      <c r="B309" s="643">
        <v>6602</v>
      </c>
      <c r="C309" s="643" t="s">
        <v>1913</v>
      </c>
      <c r="D309" s="3087">
        <v>1</v>
      </c>
      <c r="E309" s="3088" t="str">
        <f t="shared" si="37"/>
        <v>管理费用</v>
      </c>
      <c r="F309" s="3089" t="s">
        <v>1914</v>
      </c>
      <c r="G309" s="3090">
        <f t="shared" si="38"/>
        <v>18794129.440000001</v>
      </c>
      <c r="H309" s="3091">
        <f t="shared" ca="1" si="47"/>
        <v>18794129.440000001</v>
      </c>
      <c r="I309" s="3093">
        <f ca="1">IF(AND(LEN(G309)&gt;0,LEN(H309)&gt;0),ROUND(SUM(G309)-SUM(H309),2),"")</f>
        <v>0</v>
      </c>
      <c r="J309" s="3072" t="str">
        <f ca="1">IF(ISNA(I309),"N/A",IF(I309=0,"√","？"))</f>
        <v>√</v>
      </c>
      <c r="K309" s="3090">
        <f t="shared" si="45"/>
        <v>28739665.809999999</v>
      </c>
      <c r="L309" s="3071">
        <f t="shared" ca="1" si="48"/>
        <v>0</v>
      </c>
      <c r="M309" s="3093">
        <f ca="1">IF(AND(LEN(K309)&gt;0,LEN(L309)&gt;0),ROUND(SUM(K309)-SUM(L309),2),"")</f>
        <v>28739665.809999999</v>
      </c>
      <c r="N309" s="3072" t="str">
        <f ca="1">IF(ISNA(M309),"N/A",IF(M309=0,"√","？"))</f>
        <v>？</v>
      </c>
      <c r="O309" s="3099"/>
      <c r="P309" s="3100"/>
      <c r="Q309" s="3100"/>
      <c r="R309" s="3100"/>
      <c r="S309" s="3101" t="s">
        <v>295</v>
      </c>
      <c r="T309" s="3101" t="s">
        <v>213</v>
      </c>
      <c r="U309" s="3102"/>
      <c r="V309" s="3102" t="s">
        <v>295</v>
      </c>
      <c r="W309" s="3102" t="s">
        <v>6804</v>
      </c>
      <c r="X309" s="3102" t="s">
        <v>6805</v>
      </c>
      <c r="Y309" s="3103" t="s">
        <v>164</v>
      </c>
    </row>
    <row r="310" spans="1:25" ht="18" hidden="1">
      <c r="A310" s="1304"/>
      <c r="B310" s="643">
        <v>6602</v>
      </c>
      <c r="C310" s="643" t="s">
        <v>1916</v>
      </c>
      <c r="D310" s="3087">
        <v>2</v>
      </c>
      <c r="E310" s="3088" t="str">
        <f t="shared" si="37"/>
        <v>管理费用</v>
      </c>
      <c r="F310" s="3089" t="s">
        <v>1917</v>
      </c>
      <c r="G310" s="3090">
        <f t="shared" si="38"/>
        <v>18794129.440000001</v>
      </c>
      <c r="H310" s="3091">
        <f t="shared" ca="1" si="47"/>
        <v>0</v>
      </c>
      <c r="I310" s="3093" t="s">
        <v>6810</v>
      </c>
      <c r="J310" s="3072"/>
      <c r="K310" s="3090">
        <f t="shared" si="45"/>
        <v>28739665.809999999</v>
      </c>
      <c r="L310" s="3071">
        <f t="shared" ca="1" si="48"/>
        <v>0</v>
      </c>
      <c r="M310" s="3093" t="s">
        <v>6810</v>
      </c>
      <c r="N310" s="3072"/>
      <c r="O310" s="3099"/>
      <c r="P310" s="3100"/>
      <c r="Q310" s="3100"/>
      <c r="R310" s="3100"/>
      <c r="S310" s="3101" t="s">
        <v>295</v>
      </c>
      <c r="T310" s="3101" t="s">
        <v>213</v>
      </c>
      <c r="U310" s="3102"/>
      <c r="V310" s="3102" t="s">
        <v>295</v>
      </c>
      <c r="W310" s="3102" t="s">
        <v>6804</v>
      </c>
      <c r="X310" s="3102" t="s">
        <v>213</v>
      </c>
      <c r="Y310" s="3103" t="s">
        <v>164</v>
      </c>
    </row>
    <row r="311" spans="1:25" ht="18" hidden="1">
      <c r="A311" s="1304"/>
      <c r="B311" s="643">
        <v>6606</v>
      </c>
      <c r="C311" s="643" t="s">
        <v>6167</v>
      </c>
      <c r="D311" s="3087">
        <v>2</v>
      </c>
      <c r="E311" s="3088" t="str">
        <f t="shared" si="37"/>
        <v>研发费用</v>
      </c>
      <c r="F311" s="3089" t="s">
        <v>6168</v>
      </c>
      <c r="G311" s="3090">
        <f t="shared" si="38"/>
        <v>0</v>
      </c>
      <c r="H311" s="3091">
        <f t="shared" ca="1" si="47"/>
        <v>0</v>
      </c>
      <c r="I311" s="3093" t="s">
        <v>6810</v>
      </c>
      <c r="J311" s="3072"/>
      <c r="K311" s="3090">
        <f t="shared" si="45"/>
        <v>0</v>
      </c>
      <c r="L311" s="3071">
        <f t="shared" ca="1" si="48"/>
        <v>0</v>
      </c>
      <c r="M311" s="3093" t="s">
        <v>6810</v>
      </c>
      <c r="N311" s="3072"/>
      <c r="O311" s="3099"/>
      <c r="P311" s="3100"/>
      <c r="Q311" s="3100"/>
      <c r="R311" s="3100"/>
      <c r="S311" s="3101" t="s">
        <v>295</v>
      </c>
      <c r="T311" s="3101" t="s">
        <v>213</v>
      </c>
      <c r="U311" s="3102"/>
      <c r="V311" s="3102" t="s">
        <v>295</v>
      </c>
      <c r="W311" s="3102" t="s">
        <v>6804</v>
      </c>
      <c r="X311" s="3102" t="s">
        <v>213</v>
      </c>
      <c r="Y311" s="3103" t="s">
        <v>164</v>
      </c>
    </row>
    <row r="312" spans="1:25" ht="18">
      <c r="A312" s="1304"/>
      <c r="B312" s="643">
        <v>6606</v>
      </c>
      <c r="C312" s="643" t="s">
        <v>1924</v>
      </c>
      <c r="D312" s="3087">
        <v>1</v>
      </c>
      <c r="E312" s="3088" t="str">
        <f t="shared" si="37"/>
        <v>研发费用</v>
      </c>
      <c r="F312" s="3089" t="s">
        <v>1925</v>
      </c>
      <c r="G312" s="3090">
        <f t="shared" si="38"/>
        <v>0</v>
      </c>
      <c r="H312" s="3091">
        <f t="shared" ca="1" si="47"/>
        <v>0</v>
      </c>
      <c r="I312" s="3093">
        <f ca="1">IF(AND(LEN(G312)&gt;0,LEN(H312)&gt;0),ROUND(SUM(G312)-SUM(H312),2),"")</f>
        <v>0</v>
      </c>
      <c r="J312" s="3072" t="str">
        <f ca="1">IF(ISNA(I312),"N/A",IF(I312=0,"√","？"))</f>
        <v>√</v>
      </c>
      <c r="K312" s="3090">
        <f t="shared" si="45"/>
        <v>0</v>
      </c>
      <c r="L312" s="3071">
        <f t="shared" ca="1" si="48"/>
        <v>0</v>
      </c>
      <c r="M312" s="3093">
        <f ca="1">IF(AND(LEN(K312)&gt;0,LEN(L312)&gt;0),ROUND(SUM(K312)-SUM(L312),2),"")</f>
        <v>0</v>
      </c>
      <c r="N312" s="3072" t="str">
        <f ca="1">IF(ISNA(M312),"N/A",IF(M312=0,"√","？"))</f>
        <v>√</v>
      </c>
      <c r="O312" s="3099"/>
      <c r="P312" s="3100"/>
      <c r="Q312" s="3100"/>
      <c r="R312" s="3100"/>
      <c r="S312" s="3101" t="s">
        <v>295</v>
      </c>
      <c r="T312" s="3101" t="s">
        <v>213</v>
      </c>
      <c r="U312" s="3102"/>
      <c r="V312" s="3102" t="s">
        <v>295</v>
      </c>
      <c r="W312" s="3102" t="s">
        <v>6804</v>
      </c>
      <c r="X312" s="3102" t="s">
        <v>6805</v>
      </c>
      <c r="Y312" s="3103" t="s">
        <v>164</v>
      </c>
    </row>
    <row r="313" spans="1:25" ht="18">
      <c r="A313" s="1304"/>
      <c r="B313" s="643">
        <v>6603</v>
      </c>
      <c r="C313" s="643" t="s">
        <v>1919</v>
      </c>
      <c r="D313" s="3087">
        <v>1</v>
      </c>
      <c r="E313" s="3088" t="str">
        <f t="shared" si="37"/>
        <v>财务费用</v>
      </c>
      <c r="F313" s="3089" t="s">
        <v>1920</v>
      </c>
      <c r="G313" s="3090">
        <f t="shared" si="38"/>
        <v>347671.51</v>
      </c>
      <c r="H313" s="3091">
        <f t="shared" ca="1" si="47"/>
        <v>347671.51</v>
      </c>
      <c r="I313" s="3093">
        <f ca="1">IF(AND(LEN(G313)&gt;0,LEN(H313)&gt;0),ROUND(SUM(G313)-SUM(H313),2),"")</f>
        <v>0</v>
      </c>
      <c r="J313" s="3072" t="str">
        <f ca="1">IF(ISNA(I313),"N/A",IF(I313=0,"√","？"))</f>
        <v>√</v>
      </c>
      <c r="K313" s="3090">
        <f t="shared" si="45"/>
        <v>2508278.83</v>
      </c>
      <c r="L313" s="3071">
        <f t="shared" ca="1" si="48"/>
        <v>2508278.83</v>
      </c>
      <c r="M313" s="3093">
        <f ca="1">IF(AND(LEN(K313)&gt;0,LEN(L313)&gt;0),ROUND(SUM(K313)-SUM(L313),2),"")</f>
        <v>0</v>
      </c>
      <c r="N313" s="3072" t="str">
        <f ca="1">IF(ISNA(M313),"N/A",IF(M313=0,"√","？"))</f>
        <v>√</v>
      </c>
      <c r="O313" s="3099"/>
      <c r="P313" s="3100"/>
      <c r="Q313" s="3100"/>
      <c r="R313" s="3100"/>
      <c r="S313" s="3101" t="s">
        <v>295</v>
      </c>
      <c r="T313" s="3101" t="s">
        <v>213</v>
      </c>
      <c r="U313" s="3102"/>
      <c r="V313" s="3102" t="s">
        <v>295</v>
      </c>
      <c r="W313" s="3102" t="s">
        <v>6804</v>
      </c>
      <c r="X313" s="3102" t="s">
        <v>6805</v>
      </c>
      <c r="Y313" s="3103" t="s">
        <v>164</v>
      </c>
    </row>
    <row r="314" spans="1:25" ht="18" hidden="1">
      <c r="A314" s="1304"/>
      <c r="B314" s="643">
        <v>6603</v>
      </c>
      <c r="C314" s="643" t="s">
        <v>1922</v>
      </c>
      <c r="D314" s="3087">
        <v>2</v>
      </c>
      <c r="E314" s="3088" t="str">
        <f t="shared" si="37"/>
        <v>财务费用</v>
      </c>
      <c r="F314" s="3089" t="s">
        <v>1923</v>
      </c>
      <c r="G314" s="3090">
        <f t="shared" si="38"/>
        <v>347671.51</v>
      </c>
      <c r="H314" s="3091">
        <f t="shared" ca="1" si="47"/>
        <v>0</v>
      </c>
      <c r="I314" s="3093" t="s">
        <v>6810</v>
      </c>
      <c r="J314" s="3072"/>
      <c r="K314" s="3090">
        <f t="shared" si="45"/>
        <v>2508278.83</v>
      </c>
      <c r="L314" s="3071">
        <f t="shared" ca="1" si="48"/>
        <v>0</v>
      </c>
      <c r="M314" s="3093" t="s">
        <v>6810</v>
      </c>
      <c r="N314" s="3072"/>
      <c r="O314" s="3099"/>
      <c r="P314" s="3100"/>
      <c r="Q314" s="3100"/>
      <c r="R314" s="3100"/>
      <c r="S314" s="3101" t="s">
        <v>295</v>
      </c>
      <c r="T314" s="3101" t="s">
        <v>213</v>
      </c>
      <c r="U314" s="3102"/>
      <c r="V314" s="3102" t="s">
        <v>295</v>
      </c>
      <c r="W314" s="3102" t="s">
        <v>6804</v>
      </c>
      <c r="X314" s="3102" t="s">
        <v>213</v>
      </c>
      <c r="Y314" s="3103" t="s">
        <v>164</v>
      </c>
    </row>
    <row r="315" spans="1:25" ht="18">
      <c r="A315" s="1304"/>
      <c r="B315" s="643">
        <v>6181</v>
      </c>
      <c r="C315" s="643" t="s">
        <v>1891</v>
      </c>
      <c r="D315" s="3087">
        <v>1</v>
      </c>
      <c r="E315" s="3088" t="str">
        <f t="shared" si="37"/>
        <v>其他收益</v>
      </c>
      <c r="F315" s="3089" t="s">
        <v>1892</v>
      </c>
      <c r="G315" s="3090">
        <f t="shared" si="38"/>
        <v>143120</v>
      </c>
      <c r="H315" s="3091">
        <f t="shared" ca="1" si="47"/>
        <v>143120</v>
      </c>
      <c r="I315" s="3093">
        <f t="shared" ref="I315:I322" ca="1" si="49">IF(AND(LEN(G315)&gt;0,LEN(H315)&gt;0),ROUND(SUM(G315)-SUM(H315),2),"")</f>
        <v>0</v>
      </c>
      <c r="J315" s="3072" t="str">
        <f t="shared" ref="J315:J322" ca="1" si="50">IF(ISNA(I315),"N/A",IF(I315=0,"√","？"))</f>
        <v>√</v>
      </c>
      <c r="K315" s="3090">
        <f t="shared" si="45"/>
        <v>15000</v>
      </c>
      <c r="L315" s="3071">
        <f t="shared" ca="1" si="48"/>
        <v>15000</v>
      </c>
      <c r="M315" s="3093">
        <f t="shared" ref="M315:M322" ca="1" si="51">IF(AND(LEN(K315)&gt;0,LEN(L315)&gt;0),ROUND(SUM(K315)-SUM(L315),2),"")</f>
        <v>0</v>
      </c>
      <c r="N315" s="3072" t="str">
        <f t="shared" ref="N315:N322" ca="1" si="52">IF(ISNA(M315),"N/A",IF(M315=0,"√","？"))</f>
        <v>√</v>
      </c>
      <c r="O315" s="3099"/>
      <c r="P315" s="3100"/>
      <c r="Q315" s="3100"/>
      <c r="R315" s="3100"/>
      <c r="S315" s="3101" t="s">
        <v>295</v>
      </c>
      <c r="T315" s="3101" t="s">
        <v>213</v>
      </c>
      <c r="U315" s="3102"/>
      <c r="V315" s="3102" t="s">
        <v>295</v>
      </c>
      <c r="W315" s="3102" t="s">
        <v>6804</v>
      </c>
      <c r="X315" s="3102" t="s">
        <v>6805</v>
      </c>
      <c r="Y315" s="3103" t="s">
        <v>164</v>
      </c>
    </row>
    <row r="316" spans="1:25" ht="18">
      <c r="A316" s="1304"/>
      <c r="B316" s="643">
        <v>6111</v>
      </c>
      <c r="C316" s="643" t="s">
        <v>1885</v>
      </c>
      <c r="D316" s="3087">
        <v>1</v>
      </c>
      <c r="E316" s="3088" t="str">
        <f t="shared" si="37"/>
        <v>投资收益</v>
      </c>
      <c r="F316" s="3089" t="s">
        <v>6455</v>
      </c>
      <c r="G316" s="3090">
        <f t="shared" si="38"/>
        <v>0</v>
      </c>
      <c r="H316" s="3091">
        <f t="shared" ca="1" si="47"/>
        <v>0</v>
      </c>
      <c r="I316" s="3093">
        <f t="shared" ca="1" si="49"/>
        <v>0</v>
      </c>
      <c r="J316" s="3072" t="str">
        <f t="shared" ca="1" si="50"/>
        <v>√</v>
      </c>
      <c r="K316" s="3090">
        <f t="shared" si="45"/>
        <v>300300</v>
      </c>
      <c r="L316" s="3071">
        <f t="shared" ca="1" si="48"/>
        <v>0</v>
      </c>
      <c r="M316" s="3093">
        <f t="shared" ca="1" si="51"/>
        <v>300300</v>
      </c>
      <c r="N316" s="3072" t="str">
        <f t="shared" ca="1" si="52"/>
        <v>？</v>
      </c>
      <c r="O316" s="3099"/>
      <c r="P316" s="3100"/>
      <c r="Q316" s="3100"/>
      <c r="R316" s="3100"/>
      <c r="S316" s="3101" t="s">
        <v>295</v>
      </c>
      <c r="T316" s="3101" t="s">
        <v>213</v>
      </c>
      <c r="U316" s="3102"/>
      <c r="V316" s="3102" t="s">
        <v>295</v>
      </c>
      <c r="W316" s="3102" t="s">
        <v>6804</v>
      </c>
      <c r="X316" s="3102" t="s">
        <v>6805</v>
      </c>
      <c r="Y316" s="3103" t="s">
        <v>164</v>
      </c>
    </row>
    <row r="317" spans="1:25" ht="24">
      <c r="A317" s="1304"/>
      <c r="B317" s="643">
        <v>6102</v>
      </c>
      <c r="C317" s="643" t="s">
        <v>1882</v>
      </c>
      <c r="D317" s="3087">
        <v>1</v>
      </c>
      <c r="E317" s="3088" t="str">
        <f t="shared" si="37"/>
        <v>净敞口套期收益</v>
      </c>
      <c r="F317" s="3089" t="s">
        <v>1883</v>
      </c>
      <c r="G317" s="3090">
        <f t="shared" si="38"/>
        <v>0</v>
      </c>
      <c r="H317" s="3091">
        <f t="shared" ca="1" si="47"/>
        <v>0</v>
      </c>
      <c r="I317" s="3093">
        <f t="shared" ca="1" si="49"/>
        <v>0</v>
      </c>
      <c r="J317" s="3072" t="str">
        <f t="shared" ca="1" si="50"/>
        <v>√</v>
      </c>
      <c r="K317" s="3090">
        <f t="shared" si="45"/>
        <v>0</v>
      </c>
      <c r="L317" s="3071">
        <f t="shared" ca="1" si="48"/>
        <v>0</v>
      </c>
      <c r="M317" s="3093">
        <f t="shared" ca="1" si="51"/>
        <v>0</v>
      </c>
      <c r="N317" s="3072" t="str">
        <f t="shared" ca="1" si="52"/>
        <v>√</v>
      </c>
      <c r="O317" s="3099"/>
      <c r="P317" s="3100"/>
      <c r="Q317" s="3100"/>
      <c r="R317" s="3100"/>
      <c r="S317" s="3101" t="s">
        <v>295</v>
      </c>
      <c r="T317" s="3101" t="s">
        <v>213</v>
      </c>
      <c r="U317" s="3102"/>
      <c r="V317" s="3102" t="s">
        <v>295</v>
      </c>
      <c r="W317" s="3102" t="s">
        <v>145</v>
      </c>
      <c r="X317" s="3102" t="s">
        <v>6807</v>
      </c>
      <c r="Y317" s="3103" t="s">
        <v>119</v>
      </c>
    </row>
    <row r="318" spans="1:25" ht="24">
      <c r="A318" s="1304"/>
      <c r="B318" s="643">
        <v>6101</v>
      </c>
      <c r="C318" s="643" t="s">
        <v>6089</v>
      </c>
      <c r="D318" s="3087">
        <v>1</v>
      </c>
      <c r="E318" s="3088" t="str">
        <f t="shared" si="37"/>
        <v>公允价值变动收益</v>
      </c>
      <c r="F318" s="3089" t="s">
        <v>6090</v>
      </c>
      <c r="G318" s="3090">
        <f t="shared" si="38"/>
        <v>0</v>
      </c>
      <c r="H318" s="3091">
        <f t="shared" ca="1" si="47"/>
        <v>0</v>
      </c>
      <c r="I318" s="3093">
        <f t="shared" ca="1" si="49"/>
        <v>0</v>
      </c>
      <c r="J318" s="3072" t="str">
        <f t="shared" ca="1" si="50"/>
        <v>√</v>
      </c>
      <c r="K318" s="3090">
        <f t="shared" si="45"/>
        <v>0</v>
      </c>
      <c r="L318" s="3071">
        <f t="shared" ca="1" si="48"/>
        <v>0</v>
      </c>
      <c r="M318" s="3093">
        <f t="shared" ca="1" si="51"/>
        <v>0</v>
      </c>
      <c r="N318" s="3072" t="str">
        <f t="shared" ca="1" si="52"/>
        <v>√</v>
      </c>
      <c r="O318" s="3099"/>
      <c r="P318" s="3100"/>
      <c r="Q318" s="3100"/>
      <c r="R318" s="3100"/>
      <c r="S318" s="3101" t="s">
        <v>295</v>
      </c>
      <c r="T318" s="3101" t="s">
        <v>213</v>
      </c>
      <c r="U318" s="3102"/>
      <c r="V318" s="3102" t="s">
        <v>295</v>
      </c>
      <c r="W318" s="3102" t="s">
        <v>145</v>
      </c>
      <c r="X318" s="3102" t="s">
        <v>6807</v>
      </c>
      <c r="Y318" s="3103" t="s">
        <v>119</v>
      </c>
    </row>
    <row r="319" spans="1:25" ht="18">
      <c r="A319" s="1304"/>
      <c r="B319" s="643">
        <v>6672</v>
      </c>
      <c r="C319" s="643" t="s">
        <v>1930</v>
      </c>
      <c r="D319" s="3087">
        <v>1</v>
      </c>
      <c r="E319" s="3088" t="str">
        <f t="shared" si="37"/>
        <v>信用减值损失</v>
      </c>
      <c r="F319" s="3089" t="s">
        <v>1931</v>
      </c>
      <c r="G319" s="3090">
        <f t="shared" si="38"/>
        <v>-909636.12</v>
      </c>
      <c r="H319" s="3091">
        <f t="shared" ca="1" si="47"/>
        <v>-909636.12</v>
      </c>
      <c r="I319" s="3093">
        <f t="shared" ca="1" si="49"/>
        <v>0</v>
      </c>
      <c r="J319" s="3072" t="str">
        <f t="shared" ca="1" si="50"/>
        <v>√</v>
      </c>
      <c r="K319" s="3090">
        <f t="shared" si="45"/>
        <v>0</v>
      </c>
      <c r="L319" s="3071">
        <f t="shared" ca="1" si="48"/>
        <v>0</v>
      </c>
      <c r="M319" s="3093">
        <f t="shared" ca="1" si="51"/>
        <v>0</v>
      </c>
      <c r="N319" s="3072" t="str">
        <f t="shared" ca="1" si="52"/>
        <v>√</v>
      </c>
      <c r="O319" s="3099"/>
      <c r="P319" s="3100"/>
      <c r="Q319" s="3100"/>
      <c r="R319" s="3100"/>
      <c r="S319" s="3101" t="s">
        <v>295</v>
      </c>
      <c r="T319" s="3101" t="s">
        <v>213</v>
      </c>
      <c r="U319" s="3102"/>
      <c r="V319" s="3102" t="s">
        <v>295</v>
      </c>
      <c r="W319" s="3102" t="s">
        <v>145</v>
      </c>
      <c r="X319" s="3102" t="s">
        <v>6807</v>
      </c>
      <c r="Y319" s="3103" t="s">
        <v>119</v>
      </c>
    </row>
    <row r="320" spans="1:25" ht="18">
      <c r="A320" s="1304"/>
      <c r="B320" s="643">
        <v>6671</v>
      </c>
      <c r="C320" s="643" t="s">
        <v>1927</v>
      </c>
      <c r="D320" s="3087">
        <v>1</v>
      </c>
      <c r="E320" s="3088" t="str">
        <f t="shared" si="37"/>
        <v>资产减值损失</v>
      </c>
      <c r="F320" s="3089" t="s">
        <v>1928</v>
      </c>
      <c r="G320" s="3090">
        <f t="shared" si="38"/>
        <v>-13357245.939999999</v>
      </c>
      <c r="H320" s="3091">
        <f t="shared" ca="1" si="47"/>
        <v>-13357245.939999999</v>
      </c>
      <c r="I320" s="3093">
        <f t="shared" ca="1" si="49"/>
        <v>0</v>
      </c>
      <c r="J320" s="3072" t="str">
        <f t="shared" ca="1" si="50"/>
        <v>√</v>
      </c>
      <c r="K320" s="3090">
        <f t="shared" si="45"/>
        <v>-9046997.6899999995</v>
      </c>
      <c r="L320" s="3071">
        <f t="shared" ca="1" si="48"/>
        <v>0</v>
      </c>
      <c r="M320" s="3093">
        <f t="shared" ca="1" si="51"/>
        <v>-9046997.6899999995</v>
      </c>
      <c r="N320" s="3072" t="str">
        <f t="shared" ca="1" si="52"/>
        <v>？</v>
      </c>
      <c r="O320" s="3099"/>
      <c r="P320" s="3100"/>
      <c r="Q320" s="3100"/>
      <c r="R320" s="3100"/>
      <c r="S320" s="3101" t="s">
        <v>295</v>
      </c>
      <c r="T320" s="3101" t="s">
        <v>213</v>
      </c>
      <c r="U320" s="3102"/>
      <c r="V320" s="3102" t="s">
        <v>295</v>
      </c>
      <c r="W320" s="3102" t="s">
        <v>6804</v>
      </c>
      <c r="X320" s="3102" t="s">
        <v>6805</v>
      </c>
      <c r="Y320" s="3103" t="s">
        <v>164</v>
      </c>
    </row>
    <row r="321" spans="1:25" ht="18">
      <c r="A321" s="1304"/>
      <c r="B321" s="643">
        <v>6171</v>
      </c>
      <c r="C321" s="643" t="s">
        <v>1888</v>
      </c>
      <c r="D321" s="3087">
        <v>1</v>
      </c>
      <c r="E321" s="3088" t="str">
        <f t="shared" si="37"/>
        <v>资产处置收益</v>
      </c>
      <c r="F321" s="3089" t="s">
        <v>1889</v>
      </c>
      <c r="G321" s="3090">
        <f t="shared" si="38"/>
        <v>4370781.55</v>
      </c>
      <c r="H321" s="3091">
        <f t="shared" ca="1" si="47"/>
        <v>4370781.55</v>
      </c>
      <c r="I321" s="3093">
        <f t="shared" ca="1" si="49"/>
        <v>0</v>
      </c>
      <c r="J321" s="3072" t="str">
        <f t="shared" ca="1" si="50"/>
        <v>√</v>
      </c>
      <c r="K321" s="3090">
        <f t="shared" si="45"/>
        <v>-1081801.72</v>
      </c>
      <c r="L321" s="3071">
        <f t="shared" ca="1" si="48"/>
        <v>-1081801.72</v>
      </c>
      <c r="M321" s="3093">
        <f t="shared" ca="1" si="51"/>
        <v>0</v>
      </c>
      <c r="N321" s="3072" t="str">
        <f t="shared" ca="1" si="52"/>
        <v>√</v>
      </c>
      <c r="O321" s="3099"/>
      <c r="P321" s="3100"/>
      <c r="Q321" s="3100"/>
      <c r="R321" s="3100"/>
      <c r="S321" s="3101" t="s">
        <v>295</v>
      </c>
      <c r="T321" s="3101" t="s">
        <v>213</v>
      </c>
      <c r="U321" s="3102"/>
      <c r="V321" s="3102" t="s">
        <v>295</v>
      </c>
      <c r="W321" s="3102" t="s">
        <v>6804</v>
      </c>
      <c r="X321" s="3102" t="s">
        <v>6805</v>
      </c>
      <c r="Y321" s="3103" t="s">
        <v>164</v>
      </c>
    </row>
    <row r="322" spans="1:25" ht="18">
      <c r="A322" s="1304"/>
      <c r="B322" s="643">
        <v>6710</v>
      </c>
      <c r="C322" s="643" t="s">
        <v>1933</v>
      </c>
      <c r="D322" s="3087">
        <v>1</v>
      </c>
      <c r="E322" s="3088" t="str">
        <f t="shared" si="37"/>
        <v>营业外收入</v>
      </c>
      <c r="F322" s="3089" t="s">
        <v>1934</v>
      </c>
      <c r="G322" s="3090">
        <f t="shared" si="38"/>
        <v>68824.56</v>
      </c>
      <c r="H322" s="3091">
        <f t="shared" ca="1" si="47"/>
        <v>68824.56</v>
      </c>
      <c r="I322" s="3093">
        <f t="shared" ca="1" si="49"/>
        <v>0</v>
      </c>
      <c r="J322" s="3072" t="str">
        <f t="shared" ca="1" si="50"/>
        <v>√</v>
      </c>
      <c r="K322" s="3090">
        <f t="shared" si="45"/>
        <v>52566.02</v>
      </c>
      <c r="L322" s="3071">
        <f t="shared" ca="1" si="48"/>
        <v>0</v>
      </c>
      <c r="M322" s="3093">
        <f t="shared" ca="1" si="51"/>
        <v>52566.02</v>
      </c>
      <c r="N322" s="3072" t="str">
        <f t="shared" ca="1" si="52"/>
        <v>？</v>
      </c>
      <c r="O322" s="3099"/>
      <c r="P322" s="3100"/>
      <c r="Q322" s="3100"/>
      <c r="R322" s="3100"/>
      <c r="S322" s="3101" t="s">
        <v>295</v>
      </c>
      <c r="T322" s="3101" t="s">
        <v>213</v>
      </c>
      <c r="U322" s="3102"/>
      <c r="V322" s="3102" t="s">
        <v>295</v>
      </c>
      <c r="W322" s="3102" t="s">
        <v>6804</v>
      </c>
      <c r="X322" s="3102" t="s">
        <v>6805</v>
      </c>
      <c r="Y322" s="3103" t="s">
        <v>164</v>
      </c>
    </row>
    <row r="323" spans="1:25" ht="24" hidden="1">
      <c r="A323" s="1304"/>
      <c r="B323" s="643">
        <v>6710</v>
      </c>
      <c r="C323" s="643" t="s">
        <v>1935</v>
      </c>
      <c r="D323" s="3087">
        <v>2</v>
      </c>
      <c r="E323" s="3088" t="str">
        <f t="shared" si="37"/>
        <v>营业外收入</v>
      </c>
      <c r="F323" s="3089" t="s">
        <v>1936</v>
      </c>
      <c r="G323" s="3090">
        <f t="shared" si="38"/>
        <v>68824.56</v>
      </c>
      <c r="H323" s="3091">
        <f t="shared" ca="1" si="47"/>
        <v>0</v>
      </c>
      <c r="I323" s="3093" t="s">
        <v>6810</v>
      </c>
      <c r="J323" s="3072"/>
      <c r="K323" s="3090">
        <f t="shared" si="45"/>
        <v>52566.02</v>
      </c>
      <c r="L323" s="3071">
        <f t="shared" ca="1" si="48"/>
        <v>0</v>
      </c>
      <c r="M323" s="3093" t="s">
        <v>6810</v>
      </c>
      <c r="N323" s="3072"/>
      <c r="O323" s="3099"/>
      <c r="P323" s="3100"/>
      <c r="Q323" s="3100"/>
      <c r="R323" s="3100"/>
      <c r="S323" s="3101" t="s">
        <v>295</v>
      </c>
      <c r="T323" s="3101" t="s">
        <v>213</v>
      </c>
      <c r="U323" s="3102"/>
      <c r="V323" s="3102" t="s">
        <v>295</v>
      </c>
      <c r="W323" s="3102" t="s">
        <v>6804</v>
      </c>
      <c r="X323" s="3102" t="s">
        <v>6805</v>
      </c>
      <c r="Y323" s="3103" t="s">
        <v>164</v>
      </c>
    </row>
    <row r="324" spans="1:25" ht="18">
      <c r="A324" s="1304"/>
      <c r="B324" s="643">
        <v>6711</v>
      </c>
      <c r="C324" s="643" t="s">
        <v>1937</v>
      </c>
      <c r="D324" s="3087">
        <v>1</v>
      </c>
      <c r="E324" s="3088" t="str">
        <f t="shared" si="37"/>
        <v>营业外支出</v>
      </c>
      <c r="F324" s="3089" t="s">
        <v>1938</v>
      </c>
      <c r="G324" s="3090">
        <f t="shared" si="38"/>
        <v>1812843.01</v>
      </c>
      <c r="H324" s="3091">
        <f t="shared" ca="1" si="47"/>
        <v>1812843.01</v>
      </c>
      <c r="I324" s="3093">
        <f ca="1">IF(AND(LEN(G324)&gt;0,LEN(H324)&gt;0),ROUND(SUM(G324)-SUM(H324),2),"")</f>
        <v>0</v>
      </c>
      <c r="J324" s="3072" t="str">
        <f ca="1">IF(ISNA(I324),"N/A",IF(I324=0,"√","？"))</f>
        <v>√</v>
      </c>
      <c r="K324" s="3090">
        <f t="shared" si="45"/>
        <v>910205.83</v>
      </c>
      <c r="L324" s="3071">
        <f t="shared" ca="1" si="48"/>
        <v>910205.83</v>
      </c>
      <c r="M324" s="3093">
        <f ca="1">IF(AND(LEN(K324)&gt;0,LEN(L324)&gt;0),ROUND(SUM(K324)-SUM(L324),2),"")</f>
        <v>0</v>
      </c>
      <c r="N324" s="3072" t="str">
        <f ca="1">IF(ISNA(M324),"N/A",IF(M324=0,"√","？"))</f>
        <v>√</v>
      </c>
      <c r="O324" s="3099"/>
      <c r="P324" s="3100"/>
      <c r="Q324" s="3100"/>
      <c r="R324" s="3100"/>
      <c r="S324" s="3101" t="s">
        <v>295</v>
      </c>
      <c r="T324" s="3101" t="s">
        <v>213</v>
      </c>
      <c r="U324" s="3102"/>
      <c r="V324" s="3102" t="s">
        <v>295</v>
      </c>
      <c r="W324" s="3102" t="s">
        <v>6804</v>
      </c>
      <c r="X324" s="3102" t="s">
        <v>6805</v>
      </c>
      <c r="Y324" s="3103" t="s">
        <v>164</v>
      </c>
    </row>
    <row r="325" spans="1:25" ht="18">
      <c r="A325" s="1304"/>
      <c r="B325" s="643">
        <v>6791</v>
      </c>
      <c r="C325" s="643" t="s">
        <v>1939</v>
      </c>
      <c r="D325" s="3087">
        <v>1</v>
      </c>
      <c r="E325" s="3088" t="str">
        <f t="shared" si="37"/>
        <v>所得税费用</v>
      </c>
      <c r="F325" s="3089" t="s">
        <v>1940</v>
      </c>
      <c r="G325" s="3090">
        <f t="shared" si="38"/>
        <v>-458474.61</v>
      </c>
      <c r="H325" s="3091">
        <f t="shared" ca="1" si="47"/>
        <v>-458474.61</v>
      </c>
      <c r="I325" s="3093">
        <f ca="1">IF(AND(LEN(G325)&gt;0,LEN(H325)&gt;0),ROUND(SUM(G325)-SUM(H325),2),"")</f>
        <v>0</v>
      </c>
      <c r="J325" s="3072" t="str">
        <f ca="1">IF(ISNA(I325),"N/A",IF(I325=0,"√","？"))</f>
        <v>√</v>
      </c>
      <c r="K325" s="3090">
        <f t="shared" si="45"/>
        <v>1544915.31</v>
      </c>
      <c r="L325" s="3071">
        <f t="shared" ca="1" si="48"/>
        <v>0</v>
      </c>
      <c r="M325" s="3093">
        <f ca="1">IF(AND(LEN(K325)&gt;0,LEN(L325)&gt;0),ROUND(SUM(K325)-SUM(L325),2),"")</f>
        <v>1544915.31</v>
      </c>
      <c r="N325" s="3072" t="str">
        <f ca="1">IF(ISNA(M325),"N/A",IF(M325=0,"√","？"))</f>
        <v>？</v>
      </c>
      <c r="O325" s="3099"/>
      <c r="P325" s="3100"/>
      <c r="Q325" s="3100"/>
      <c r="R325" s="3100"/>
      <c r="S325" s="3101" t="s">
        <v>295</v>
      </c>
      <c r="T325" s="3101" t="s">
        <v>213</v>
      </c>
      <c r="U325" s="3102"/>
      <c r="V325" s="3102" t="s">
        <v>295</v>
      </c>
      <c r="W325" s="3102" t="s">
        <v>6804</v>
      </c>
      <c r="X325" s="3102" t="s">
        <v>6805</v>
      </c>
      <c r="Y325" s="3103" t="s">
        <v>164</v>
      </c>
    </row>
    <row r="326" spans="1:25" ht="24" hidden="1">
      <c r="A326" s="1304"/>
      <c r="B326" s="643">
        <v>6791</v>
      </c>
      <c r="C326" s="643" t="s">
        <v>1941</v>
      </c>
      <c r="D326" s="3087">
        <v>2</v>
      </c>
      <c r="E326" s="3088" t="str">
        <f t="shared" si="37"/>
        <v>所得税费用</v>
      </c>
      <c r="F326" s="3089" t="s">
        <v>1942</v>
      </c>
      <c r="G326" s="3090">
        <f t="shared" si="38"/>
        <v>-458474.61</v>
      </c>
      <c r="H326" s="3091">
        <f t="shared" ca="1" si="47"/>
        <v>-458474.61</v>
      </c>
      <c r="I326" s="3093" t="s">
        <v>6810</v>
      </c>
      <c r="J326" s="3072"/>
      <c r="K326" s="3090">
        <f t="shared" si="45"/>
        <v>1544915.31</v>
      </c>
      <c r="L326" s="3071">
        <f t="shared" ca="1" si="48"/>
        <v>0</v>
      </c>
      <c r="M326" s="3093" t="s">
        <v>6810</v>
      </c>
      <c r="N326" s="3072"/>
      <c r="O326" s="3099"/>
      <c r="P326" s="3100"/>
      <c r="Q326" s="3100"/>
      <c r="R326" s="3100"/>
      <c r="S326" s="3101" t="s">
        <v>295</v>
      </c>
      <c r="T326" s="3101" t="s">
        <v>213</v>
      </c>
      <c r="U326" s="3102"/>
      <c r="V326" s="3102" t="s">
        <v>295</v>
      </c>
      <c r="W326" s="3102" t="s">
        <v>6804</v>
      </c>
      <c r="X326" s="3102" t="s">
        <v>6807</v>
      </c>
      <c r="Y326" s="3103" t="s">
        <v>164</v>
      </c>
    </row>
    <row r="327" spans="1:25" ht="24">
      <c r="A327" s="1304"/>
      <c r="B327" s="643">
        <v>7046</v>
      </c>
      <c r="C327" s="643" t="s">
        <v>1946</v>
      </c>
      <c r="D327" s="3087">
        <v>1</v>
      </c>
      <c r="E327" s="3088" t="str">
        <f t="shared" si="37"/>
        <v>收到其他与经营活动有关的现金</v>
      </c>
      <c r="F327" s="3089" t="s">
        <v>1947</v>
      </c>
      <c r="G327" s="3090">
        <f t="shared" si="38"/>
        <v>1544811.94</v>
      </c>
      <c r="H327" s="3091">
        <f t="shared" ca="1" si="47"/>
        <v>1544811.94</v>
      </c>
      <c r="I327" s="3093">
        <f ca="1">IF(AND(LEN(G327)&gt;0,LEN(H327)&gt;0),ROUND(SUM(G327)-SUM(H327),2),"")</f>
        <v>0</v>
      </c>
      <c r="J327" s="3072" t="str">
        <f ca="1">IF(ISNA(I327),"N/A",IF(I327=0,"√","？"))</f>
        <v>√</v>
      </c>
      <c r="K327" s="3090">
        <f t="shared" si="45"/>
        <v>76489.33</v>
      </c>
      <c r="L327" s="3071">
        <f t="shared" ca="1" si="48"/>
        <v>0</v>
      </c>
      <c r="M327" s="3093">
        <f ca="1">IF(AND(LEN(K327)&gt;0,LEN(L327)&gt;0),ROUND(SUM(K327)-SUM(L327),2),"")</f>
        <v>76489.33</v>
      </c>
      <c r="N327" s="3072" t="str">
        <f ca="1">IF(ISNA(M327),"N/A",IF(M327=0,"√","？"))</f>
        <v>？</v>
      </c>
      <c r="O327" s="3099"/>
      <c r="P327" s="3100"/>
      <c r="Q327" s="3100"/>
      <c r="R327" s="3100"/>
      <c r="S327" s="3101" t="s">
        <v>295</v>
      </c>
      <c r="T327" s="3101" t="s">
        <v>213</v>
      </c>
      <c r="U327" s="3102"/>
      <c r="V327" s="3102" t="s">
        <v>295</v>
      </c>
      <c r="W327" s="3102" t="s">
        <v>6804</v>
      </c>
      <c r="X327" s="3102" t="s">
        <v>6807</v>
      </c>
      <c r="Y327" s="3103" t="s">
        <v>164</v>
      </c>
    </row>
    <row r="328" spans="1:25" ht="24" hidden="1">
      <c r="A328" s="1304"/>
      <c r="B328" s="643">
        <v>7046</v>
      </c>
      <c r="C328" s="643" t="s">
        <v>1948</v>
      </c>
      <c r="D328" s="3087">
        <v>2</v>
      </c>
      <c r="E328" s="3088" t="str">
        <f t="shared" si="37"/>
        <v>收到其他与经营活动有关的现金</v>
      </c>
      <c r="F328" s="3089" t="s">
        <v>1949</v>
      </c>
      <c r="G328" s="3090">
        <f t="shared" si="38"/>
        <v>1544811.94</v>
      </c>
      <c r="H328" s="3091">
        <f t="shared" ca="1" si="47"/>
        <v>0</v>
      </c>
      <c r="I328" s="3093" t="s">
        <v>6810</v>
      </c>
      <c r="J328" s="3072"/>
      <c r="K328" s="3090">
        <f t="shared" si="45"/>
        <v>76489.33</v>
      </c>
      <c r="L328" s="3071" t="s">
        <v>6806</v>
      </c>
      <c r="M328" s="3093" t="s">
        <v>6810</v>
      </c>
      <c r="N328" s="3072"/>
      <c r="O328" s="3099"/>
      <c r="P328" s="3100"/>
      <c r="Q328" s="3100"/>
      <c r="R328" s="3100"/>
      <c r="S328" s="3101" t="s">
        <v>295</v>
      </c>
      <c r="T328" s="3101" t="s">
        <v>213</v>
      </c>
      <c r="U328" s="3102">
        <v>7046</v>
      </c>
      <c r="V328" s="3102" t="s">
        <v>295</v>
      </c>
      <c r="W328" s="3102" t="s">
        <v>6804</v>
      </c>
      <c r="X328" s="3102" t="s">
        <v>213</v>
      </c>
      <c r="Y328" s="3103" t="s">
        <v>164</v>
      </c>
    </row>
    <row r="329" spans="1:25" ht="24">
      <c r="A329" s="1304"/>
      <c r="B329" s="643">
        <v>7096</v>
      </c>
      <c r="C329" s="643" t="s">
        <v>1957</v>
      </c>
      <c r="D329" s="3087">
        <v>1</v>
      </c>
      <c r="E329" s="3088" t="str">
        <f t="shared" ref="E329:E392" si="53">IF(ISERROR(VLOOKUP($B329,Sheet_Items,2,0)),"        ----",VLOOKUP($B329,Sheet_Items,2,0))</f>
        <v>支付其他与经营活动有关的现金</v>
      </c>
      <c r="F329" s="3089" t="s">
        <v>1958</v>
      </c>
      <c r="G329" s="3090">
        <f t="shared" ref="G329:G392" si="54">IF(ISERROR(VLOOKUP($B329,Sheet_Trialbal,6,0)),"        ----",VLOOKUP($B329,Sheet_Trialbal,6,0))</f>
        <v>29188633.84</v>
      </c>
      <c r="H329" s="3091">
        <f t="shared" ca="1" si="47"/>
        <v>29188633.84</v>
      </c>
      <c r="I329" s="3093">
        <f ca="1">IF(AND(LEN(G329)&gt;0,LEN(H329)&gt;0),ROUND(SUM(G329)-SUM(H329),2),"")</f>
        <v>0</v>
      </c>
      <c r="J329" s="3072" t="str">
        <f ca="1">IF(ISNA(I329),"N/A",IF(I329=0,"√","？"))</f>
        <v>√</v>
      </c>
      <c r="K329" s="3090">
        <f t="shared" si="45"/>
        <v>121285508.67</v>
      </c>
      <c r="L329" s="3071">
        <f ca="1">INDIRECT("Notes!CheckB"&amp;$C329)</f>
        <v>0</v>
      </c>
      <c r="M329" s="3093">
        <f ca="1">IF(AND(LEN(K329)&gt;0,LEN(L329)&gt;0),ROUND(SUM(K329)-SUM(L329),2),"")</f>
        <v>121285508.67</v>
      </c>
      <c r="N329" s="3072" t="str">
        <f ca="1">IF(ISNA(M329),"N/A",IF(M329=0,"√","？"))</f>
        <v>？</v>
      </c>
      <c r="O329" s="3099"/>
      <c r="P329" s="3100"/>
      <c r="Q329" s="3100"/>
      <c r="R329" s="3100"/>
      <c r="S329" s="3101" t="s">
        <v>295</v>
      </c>
      <c r="T329" s="3101" t="s">
        <v>213</v>
      </c>
      <c r="U329" s="3102"/>
      <c r="V329" s="3102" t="s">
        <v>295</v>
      </c>
      <c r="W329" s="3102" t="s">
        <v>6804</v>
      </c>
      <c r="X329" s="3102" t="s">
        <v>6807</v>
      </c>
      <c r="Y329" s="3103" t="s">
        <v>164</v>
      </c>
    </row>
    <row r="330" spans="1:25" ht="24" hidden="1">
      <c r="A330" s="1304"/>
      <c r="B330" s="643">
        <v>7096</v>
      </c>
      <c r="C330" s="643" t="s">
        <v>1960</v>
      </c>
      <c r="D330" s="3087">
        <v>2</v>
      </c>
      <c r="E330" s="3088" t="str">
        <f t="shared" si="53"/>
        <v>支付其他与经营活动有关的现金</v>
      </c>
      <c r="F330" s="3089" t="s">
        <v>1961</v>
      </c>
      <c r="G330" s="3090">
        <f t="shared" si="54"/>
        <v>29188633.84</v>
      </c>
      <c r="H330" s="3091">
        <f t="shared" ca="1" si="47"/>
        <v>0</v>
      </c>
      <c r="I330" s="3093" t="s">
        <v>6810</v>
      </c>
      <c r="J330" s="3072"/>
      <c r="K330" s="3090">
        <f t="shared" si="45"/>
        <v>121285508.67</v>
      </c>
      <c r="L330" s="3071" t="s">
        <v>6806</v>
      </c>
      <c r="M330" s="3093" t="s">
        <v>6810</v>
      </c>
      <c r="N330" s="3072"/>
      <c r="O330" s="3099"/>
      <c r="P330" s="3100"/>
      <c r="Q330" s="3100"/>
      <c r="R330" s="3100"/>
      <c r="S330" s="3101" t="s">
        <v>295</v>
      </c>
      <c r="T330" s="3101" t="s">
        <v>213</v>
      </c>
      <c r="U330" s="3102">
        <v>7096</v>
      </c>
      <c r="V330" s="3102" t="s">
        <v>295</v>
      </c>
      <c r="W330" s="3102" t="s">
        <v>6804</v>
      </c>
      <c r="X330" s="3102" t="s">
        <v>213</v>
      </c>
      <c r="Y330" s="3103" t="s">
        <v>164</v>
      </c>
    </row>
    <row r="331" spans="1:25" ht="24">
      <c r="A331" s="1304"/>
      <c r="B331" s="643">
        <v>7146</v>
      </c>
      <c r="C331" s="643" t="s">
        <v>1971</v>
      </c>
      <c r="D331" s="3087">
        <v>1</v>
      </c>
      <c r="E331" s="3088" t="str">
        <f t="shared" si="53"/>
        <v>收到其他与投资活动有关的现金</v>
      </c>
      <c r="F331" s="3089" t="s">
        <v>1972</v>
      </c>
      <c r="G331" s="3090">
        <f t="shared" si="54"/>
        <v>0</v>
      </c>
      <c r="H331" s="3091">
        <f t="shared" ca="1" si="47"/>
        <v>0</v>
      </c>
      <c r="I331" s="3093">
        <f ca="1">IF(AND(LEN(G331)&gt;0,LEN(H331)&gt;0),ROUND(SUM(G331)-SUM(H331),2),"")</f>
        <v>0</v>
      </c>
      <c r="J331" s="3072" t="str">
        <f ca="1">IF(ISNA(I331),"N/A",IF(I331=0,"√","？"))</f>
        <v>√</v>
      </c>
      <c r="K331" s="3090">
        <f t="shared" si="45"/>
        <v>0</v>
      </c>
      <c r="L331" s="3071">
        <f ca="1">INDIRECT("Notes!CheckB"&amp;$C331)</f>
        <v>0</v>
      </c>
      <c r="M331" s="3093">
        <f ca="1">IF(AND(LEN(K331)&gt;0,LEN(L331)&gt;0),ROUND(SUM(K331)-SUM(L331),2),"")</f>
        <v>0</v>
      </c>
      <c r="N331" s="3072" t="str">
        <f ca="1">IF(ISNA(M331),"N/A",IF(M331=0,"√","？"))</f>
        <v>√</v>
      </c>
      <c r="O331" s="3099"/>
      <c r="P331" s="3100"/>
      <c r="Q331" s="3100"/>
      <c r="R331" s="3100"/>
      <c r="S331" s="3101" t="s">
        <v>295</v>
      </c>
      <c r="T331" s="3101" t="s">
        <v>213</v>
      </c>
      <c r="U331" s="3102"/>
      <c r="V331" s="3102" t="s">
        <v>295</v>
      </c>
      <c r="W331" s="3102" t="s">
        <v>6804</v>
      </c>
      <c r="X331" s="3102" t="s">
        <v>6807</v>
      </c>
      <c r="Y331" s="3103" t="s">
        <v>164</v>
      </c>
    </row>
    <row r="332" spans="1:25" ht="24">
      <c r="A332" s="1304"/>
      <c r="B332" s="643">
        <v>7196</v>
      </c>
      <c r="C332" s="643" t="s">
        <v>1978</v>
      </c>
      <c r="D332" s="3087">
        <v>1</v>
      </c>
      <c r="E332" s="3088" t="str">
        <f t="shared" si="53"/>
        <v>支付其他与投资活动有关的现金</v>
      </c>
      <c r="F332" s="3089" t="s">
        <v>1979</v>
      </c>
      <c r="G332" s="3090">
        <f t="shared" si="54"/>
        <v>0</v>
      </c>
      <c r="H332" s="3091">
        <f t="shared" ca="1" si="47"/>
        <v>0</v>
      </c>
      <c r="I332" s="3093">
        <f ca="1">IF(AND(LEN(G332)&gt;0,LEN(H332)&gt;0),ROUND(SUM(G332)-SUM(H332),2),"")</f>
        <v>0</v>
      </c>
      <c r="J332" s="3072" t="str">
        <f ca="1">IF(ISNA(I332),"N/A",IF(I332=0,"√","？"))</f>
        <v>√</v>
      </c>
      <c r="K332" s="3090">
        <f t="shared" si="45"/>
        <v>0</v>
      </c>
      <c r="L332" s="3071">
        <f ca="1">INDIRECT("Notes!CheckB"&amp;$C332)</f>
        <v>0</v>
      </c>
      <c r="M332" s="3093">
        <f ca="1">IF(AND(LEN(K332)&gt;0,LEN(L332)&gt;0),ROUND(SUM(K332)-SUM(L332),2),"")</f>
        <v>0</v>
      </c>
      <c r="N332" s="3072" t="str">
        <f ca="1">IF(ISNA(M332),"N/A",IF(M332=0,"√","？"))</f>
        <v>√</v>
      </c>
      <c r="O332" s="3099"/>
      <c r="P332" s="3100"/>
      <c r="Q332" s="3100"/>
      <c r="R332" s="3100"/>
      <c r="S332" s="3101" t="s">
        <v>295</v>
      </c>
      <c r="T332" s="3101" t="s">
        <v>213</v>
      </c>
      <c r="U332" s="3102"/>
      <c r="V332" s="3102" t="s">
        <v>295</v>
      </c>
      <c r="W332" s="3102" t="s">
        <v>6804</v>
      </c>
      <c r="X332" s="3102" t="s">
        <v>6807</v>
      </c>
      <c r="Y332" s="3103" t="s">
        <v>164</v>
      </c>
    </row>
    <row r="333" spans="1:25" ht="24">
      <c r="A333" s="1304"/>
      <c r="B333" s="643">
        <v>7246</v>
      </c>
      <c r="C333" s="643" t="s">
        <v>1983</v>
      </c>
      <c r="D333" s="3087">
        <v>1</v>
      </c>
      <c r="E333" s="3088" t="str">
        <f t="shared" si="53"/>
        <v>收到其他与筹资活动有关的现金</v>
      </c>
      <c r="F333" s="3089" t="s">
        <v>1984</v>
      </c>
      <c r="G333" s="3090">
        <f t="shared" si="54"/>
        <v>44850015</v>
      </c>
      <c r="H333" s="3091">
        <f t="shared" ca="1" si="47"/>
        <v>44850015</v>
      </c>
      <c r="I333" s="3093">
        <f ca="1">IF(AND(LEN(G333)&gt;0,LEN(H333)&gt;0),ROUND(SUM(G333)-SUM(H333),2),"")</f>
        <v>0</v>
      </c>
      <c r="J333" s="3072" t="str">
        <f ca="1">IF(ISNA(I333),"N/A",IF(I333=0,"√","？"))</f>
        <v>√</v>
      </c>
      <c r="K333" s="3090">
        <f t="shared" si="45"/>
        <v>0</v>
      </c>
      <c r="L333" s="3071">
        <f ca="1">INDIRECT("Notes!CheckB"&amp;$C333)</f>
        <v>0</v>
      </c>
      <c r="M333" s="3093">
        <f ca="1">IF(AND(LEN(K333)&gt;0,LEN(L333)&gt;0),ROUND(SUM(K333)-SUM(L333),2),"")</f>
        <v>0</v>
      </c>
      <c r="N333" s="3072" t="str">
        <f ca="1">IF(ISNA(M333),"N/A",IF(M333=0,"√","？"))</f>
        <v>√</v>
      </c>
      <c r="O333" s="3099"/>
      <c r="P333" s="3100"/>
      <c r="Q333" s="3100"/>
      <c r="R333" s="3100"/>
      <c r="S333" s="3101" t="s">
        <v>295</v>
      </c>
      <c r="T333" s="3101" t="s">
        <v>213</v>
      </c>
      <c r="U333" s="3102"/>
      <c r="V333" s="3102" t="s">
        <v>295</v>
      </c>
      <c r="W333" s="3102" t="s">
        <v>6804</v>
      </c>
      <c r="X333" s="3102" t="s">
        <v>6807</v>
      </c>
      <c r="Y333" s="3103" t="s">
        <v>164</v>
      </c>
    </row>
    <row r="334" spans="1:25" ht="24">
      <c r="A334" s="1304"/>
      <c r="B334" s="643">
        <v>7296</v>
      </c>
      <c r="C334" s="643" t="s">
        <v>1990</v>
      </c>
      <c r="D334" s="3087">
        <v>1</v>
      </c>
      <c r="E334" s="3088" t="str">
        <f t="shared" si="53"/>
        <v>支付其他与筹资活动有关的现金</v>
      </c>
      <c r="F334" s="3089" t="s">
        <v>1991</v>
      </c>
      <c r="G334" s="3090">
        <f t="shared" si="54"/>
        <v>92712502.170000002</v>
      </c>
      <c r="H334" s="3091">
        <f t="shared" ca="1" si="47"/>
        <v>92712502.170000002</v>
      </c>
      <c r="I334" s="3093">
        <f ca="1">IF(AND(LEN(G334)&gt;0,LEN(H334)&gt;0),ROUND(SUM(G334)-SUM(H334),2),"")</f>
        <v>0</v>
      </c>
      <c r="J334" s="3072" t="str">
        <f ca="1">IF(ISNA(I334),"N/A",IF(I334=0,"√","？"))</f>
        <v>√</v>
      </c>
      <c r="K334" s="3090">
        <f t="shared" si="45"/>
        <v>43726400</v>
      </c>
      <c r="L334" s="3071">
        <f ca="1">INDIRECT("Notes!CheckB"&amp;$C334)</f>
        <v>0</v>
      </c>
      <c r="M334" s="3093">
        <f ca="1">IF(AND(LEN(K334)&gt;0,LEN(L334)&gt;0),ROUND(SUM(K334)-SUM(L334),2),"")</f>
        <v>43726400</v>
      </c>
      <c r="N334" s="3072" t="str">
        <f ca="1">IF(ISNA(M334),"N/A",IF(M334=0,"√","？"))</f>
        <v>？</v>
      </c>
      <c r="O334" s="3099"/>
      <c r="P334" s="3100"/>
      <c r="Q334" s="3100"/>
      <c r="R334" s="3100"/>
      <c r="S334" s="3101" t="s">
        <v>295</v>
      </c>
      <c r="T334" s="3101" t="s">
        <v>213</v>
      </c>
      <c r="U334" s="3102"/>
      <c r="V334" s="3102" t="s">
        <v>295</v>
      </c>
      <c r="W334" s="3102" t="s">
        <v>6804</v>
      </c>
      <c r="X334" s="3102" t="s">
        <v>6807</v>
      </c>
      <c r="Y334" s="3103" t="s">
        <v>164</v>
      </c>
    </row>
    <row r="335" spans="1:25" ht="24" hidden="1">
      <c r="A335" s="1304"/>
      <c r="B335" s="643">
        <v>7001</v>
      </c>
      <c r="C335" s="643" t="s">
        <v>1944</v>
      </c>
      <c r="D335" s="3087">
        <v>2</v>
      </c>
      <c r="E335" s="3088" t="str">
        <f t="shared" si="53"/>
        <v>销售商品提供劳务收到的现金</v>
      </c>
      <c r="F335" s="3089" t="s">
        <v>1945</v>
      </c>
      <c r="G335" s="3090">
        <f t="shared" si="54"/>
        <v>179675938.56999999</v>
      </c>
      <c r="H335" s="3091">
        <f t="shared" ca="1" si="47"/>
        <v>0</v>
      </c>
      <c r="I335" s="3093" t="s">
        <v>6810</v>
      </c>
      <c r="J335" s="3072"/>
      <c r="K335" s="3090">
        <f t="shared" si="45"/>
        <v>289012665.19</v>
      </c>
      <c r="L335" s="3071" t="s">
        <v>6806</v>
      </c>
      <c r="M335" s="3093" t="s">
        <v>6810</v>
      </c>
      <c r="N335" s="3072"/>
      <c r="O335" s="3099"/>
      <c r="P335" s="3100"/>
      <c r="Q335" s="3100"/>
      <c r="R335" s="3100"/>
      <c r="S335" s="3101" t="s">
        <v>295</v>
      </c>
      <c r="T335" s="3101" t="s">
        <v>213</v>
      </c>
      <c r="U335" s="3102"/>
      <c r="V335" s="3102" t="s">
        <v>295</v>
      </c>
      <c r="W335" s="3102" t="s">
        <v>6804</v>
      </c>
      <c r="X335" s="3102" t="s">
        <v>213</v>
      </c>
      <c r="Y335" s="3103" t="s">
        <v>164</v>
      </c>
    </row>
    <row r="336" spans="1:25" ht="24" hidden="1">
      <c r="A336" s="1304"/>
      <c r="B336" s="643">
        <v>7051</v>
      </c>
      <c r="C336" s="643" t="s">
        <v>1951</v>
      </c>
      <c r="D336" s="3087">
        <v>2</v>
      </c>
      <c r="E336" s="3088" t="str">
        <f t="shared" si="53"/>
        <v>购买商品接受劳务支付的现金</v>
      </c>
      <c r="F336" s="3089" t="s">
        <v>1952</v>
      </c>
      <c r="G336" s="3090">
        <f t="shared" si="54"/>
        <v>80109210.730000004</v>
      </c>
      <c r="H336" s="3091">
        <f t="shared" ca="1" si="47"/>
        <v>0</v>
      </c>
      <c r="I336" s="3093" t="s">
        <v>6810</v>
      </c>
      <c r="J336" s="3072"/>
      <c r="K336" s="3090">
        <f t="shared" si="45"/>
        <v>36580289.390000001</v>
      </c>
      <c r="L336" s="3071" t="s">
        <v>6806</v>
      </c>
      <c r="M336" s="3093" t="s">
        <v>6810</v>
      </c>
      <c r="N336" s="3072"/>
      <c r="O336" s="3099"/>
      <c r="P336" s="3100"/>
      <c r="Q336" s="3100"/>
      <c r="R336" s="3100"/>
      <c r="S336" s="3101" t="s">
        <v>295</v>
      </c>
      <c r="T336" s="3101" t="s">
        <v>213</v>
      </c>
      <c r="U336" s="3102"/>
      <c r="V336" s="3102" t="s">
        <v>295</v>
      </c>
      <c r="W336" s="3102" t="s">
        <v>6804</v>
      </c>
      <c r="X336" s="3102" t="s">
        <v>213</v>
      </c>
      <c r="Y336" s="3103" t="s">
        <v>164</v>
      </c>
    </row>
    <row r="337" spans="1:25" ht="24" hidden="1">
      <c r="A337" s="1304"/>
      <c r="B337" s="643">
        <v>7061</v>
      </c>
      <c r="C337" s="643" t="s">
        <v>1953</v>
      </c>
      <c r="D337" s="3087">
        <v>2</v>
      </c>
      <c r="E337" s="3088" t="str">
        <f t="shared" si="53"/>
        <v>支付给职工以及为职工支付的现金</v>
      </c>
      <c r="F337" s="3089" t="s">
        <v>1954</v>
      </c>
      <c r="G337" s="3090">
        <f t="shared" si="54"/>
        <v>23778472.57</v>
      </c>
      <c r="H337" s="3091">
        <f t="shared" ca="1" si="47"/>
        <v>0</v>
      </c>
      <c r="I337" s="3093" t="s">
        <v>6810</v>
      </c>
      <c r="J337" s="3072"/>
      <c r="K337" s="3090">
        <f t="shared" si="45"/>
        <v>28223185.809999999</v>
      </c>
      <c r="L337" s="3071" t="s">
        <v>6806</v>
      </c>
      <c r="M337" s="3093" t="s">
        <v>6810</v>
      </c>
      <c r="N337" s="3072"/>
      <c r="O337" s="3099"/>
      <c r="P337" s="3100"/>
      <c r="Q337" s="3100"/>
      <c r="R337" s="3100"/>
      <c r="S337" s="3101" t="s">
        <v>295</v>
      </c>
      <c r="T337" s="3101" t="s">
        <v>213</v>
      </c>
      <c r="U337" s="3102"/>
      <c r="V337" s="3102" t="s">
        <v>295</v>
      </c>
      <c r="W337" s="3102" t="s">
        <v>6804</v>
      </c>
      <c r="X337" s="3102" t="s">
        <v>213</v>
      </c>
      <c r="Y337" s="3103" t="s">
        <v>164</v>
      </c>
    </row>
    <row r="338" spans="1:25" ht="18" hidden="1">
      <c r="A338" s="1304"/>
      <c r="B338" s="643">
        <v>7071</v>
      </c>
      <c r="C338" s="643" t="s">
        <v>1955</v>
      </c>
      <c r="D338" s="3087">
        <v>2</v>
      </c>
      <c r="E338" s="3088" t="str">
        <f t="shared" si="53"/>
        <v>支付的各项税费</v>
      </c>
      <c r="F338" s="3089" t="s">
        <v>1956</v>
      </c>
      <c r="G338" s="3090">
        <f t="shared" si="54"/>
        <v>17409545.82</v>
      </c>
      <c r="H338" s="3091">
        <f t="shared" ca="1" si="47"/>
        <v>0</v>
      </c>
      <c r="I338" s="3093" t="s">
        <v>6810</v>
      </c>
      <c r="J338" s="3072"/>
      <c r="K338" s="3090">
        <f t="shared" si="45"/>
        <v>23224814.02</v>
      </c>
      <c r="L338" s="3071" t="s">
        <v>6806</v>
      </c>
      <c r="M338" s="3093" t="s">
        <v>6810</v>
      </c>
      <c r="N338" s="3072"/>
      <c r="O338" s="3099"/>
      <c r="P338" s="3100"/>
      <c r="Q338" s="3100"/>
      <c r="R338" s="3100"/>
      <c r="S338" s="3101" t="s">
        <v>295</v>
      </c>
      <c r="T338" s="3101" t="s">
        <v>213</v>
      </c>
      <c r="U338" s="3102"/>
      <c r="V338" s="3102" t="s">
        <v>295</v>
      </c>
      <c r="W338" s="3102" t="s">
        <v>6804</v>
      </c>
      <c r="X338" s="3102" t="s">
        <v>213</v>
      </c>
      <c r="Y338" s="3103" t="s">
        <v>164</v>
      </c>
    </row>
    <row r="339" spans="1:25" ht="24" hidden="1">
      <c r="A339" s="1304"/>
      <c r="B339" s="643">
        <v>7101</v>
      </c>
      <c r="C339" s="643" t="s">
        <v>1963</v>
      </c>
      <c r="D339" s="3087">
        <v>2</v>
      </c>
      <c r="E339" s="3088" t="str">
        <f t="shared" si="53"/>
        <v>收回投资收到的现金</v>
      </c>
      <c r="F339" s="3089" t="s">
        <v>1964</v>
      </c>
      <c r="G339" s="3090">
        <f t="shared" si="54"/>
        <v>0</v>
      </c>
      <c r="H339" s="3091">
        <f t="shared" ca="1" si="47"/>
        <v>0</v>
      </c>
      <c r="I339" s="3093" t="s">
        <v>6810</v>
      </c>
      <c r="J339" s="3072"/>
      <c r="K339" s="3090">
        <f t="shared" si="45"/>
        <v>0</v>
      </c>
      <c r="L339" s="3071" t="s">
        <v>6806</v>
      </c>
      <c r="M339" s="3093" t="s">
        <v>6810</v>
      </c>
      <c r="N339" s="3072"/>
      <c r="O339" s="3099"/>
      <c r="P339" s="3100"/>
      <c r="Q339" s="3100"/>
      <c r="R339" s="3100"/>
      <c r="S339" s="3101" t="s">
        <v>295</v>
      </c>
      <c r="T339" s="3101" t="s">
        <v>213</v>
      </c>
      <c r="U339" s="3102"/>
      <c r="V339" s="3102" t="s">
        <v>295</v>
      </c>
      <c r="W339" s="3102" t="s">
        <v>6804</v>
      </c>
      <c r="X339" s="3102" t="s">
        <v>213</v>
      </c>
      <c r="Y339" s="3103" t="s">
        <v>164</v>
      </c>
    </row>
    <row r="340" spans="1:25" ht="24" hidden="1">
      <c r="A340" s="1304"/>
      <c r="B340" s="643">
        <v>7105</v>
      </c>
      <c r="C340" s="643" t="s">
        <v>1965</v>
      </c>
      <c r="D340" s="3087">
        <v>2</v>
      </c>
      <c r="E340" s="3088" t="str">
        <f t="shared" si="53"/>
        <v>取得投资收益收到的现金</v>
      </c>
      <c r="F340" s="3089" t="s">
        <v>1966</v>
      </c>
      <c r="G340" s="3090">
        <f t="shared" si="54"/>
        <v>0</v>
      </c>
      <c r="H340" s="3091">
        <f t="shared" ca="1" si="47"/>
        <v>0</v>
      </c>
      <c r="I340" s="3093" t="s">
        <v>6810</v>
      </c>
      <c r="J340" s="3072"/>
      <c r="K340" s="3090">
        <f t="shared" si="45"/>
        <v>300300</v>
      </c>
      <c r="L340" s="3071" t="s">
        <v>6806</v>
      </c>
      <c r="M340" s="3093" t="s">
        <v>6810</v>
      </c>
      <c r="N340" s="3072"/>
      <c r="O340" s="3099"/>
      <c r="P340" s="3100"/>
      <c r="Q340" s="3100"/>
      <c r="R340" s="3100"/>
      <c r="S340" s="3101" t="s">
        <v>295</v>
      </c>
      <c r="T340" s="3101" t="s">
        <v>213</v>
      </c>
      <c r="U340" s="3102"/>
      <c r="V340" s="3102" t="s">
        <v>295</v>
      </c>
      <c r="W340" s="3102" t="s">
        <v>6804</v>
      </c>
      <c r="X340" s="3102" t="s">
        <v>213</v>
      </c>
      <c r="Y340" s="3103" t="s">
        <v>164</v>
      </c>
    </row>
    <row r="341" spans="1:25" ht="36" hidden="1">
      <c r="A341" s="1304"/>
      <c r="B341" s="643">
        <v>7111</v>
      </c>
      <c r="C341" s="643" t="s">
        <v>1967</v>
      </c>
      <c r="D341" s="3087">
        <v>2</v>
      </c>
      <c r="E341" s="3088" t="str">
        <f t="shared" si="53"/>
        <v>处置固定资产无形资产长期资产收回的现金</v>
      </c>
      <c r="F341" s="3089" t="s">
        <v>1968</v>
      </c>
      <c r="G341" s="3090">
        <f t="shared" si="54"/>
        <v>4370781.55</v>
      </c>
      <c r="H341" s="3091">
        <f t="shared" ca="1" si="47"/>
        <v>0</v>
      </c>
      <c r="I341" s="3093" t="s">
        <v>6810</v>
      </c>
      <c r="J341" s="3072"/>
      <c r="K341" s="3090">
        <f t="shared" si="45"/>
        <v>206034.48</v>
      </c>
      <c r="L341" s="3071" t="s">
        <v>6806</v>
      </c>
      <c r="M341" s="3093" t="s">
        <v>6810</v>
      </c>
      <c r="N341" s="3072"/>
      <c r="O341" s="3099"/>
      <c r="P341" s="3100"/>
      <c r="Q341" s="3100"/>
      <c r="R341" s="3100"/>
      <c r="S341" s="3101" t="s">
        <v>295</v>
      </c>
      <c r="T341" s="3101" t="s">
        <v>213</v>
      </c>
      <c r="U341" s="3102"/>
      <c r="V341" s="3102" t="s">
        <v>295</v>
      </c>
      <c r="W341" s="3102" t="s">
        <v>6804</v>
      </c>
      <c r="X341" s="3102" t="s">
        <v>213</v>
      </c>
      <c r="Y341" s="3103" t="s">
        <v>164</v>
      </c>
    </row>
    <row r="342" spans="1:25" ht="36" hidden="1">
      <c r="A342" s="1304"/>
      <c r="B342" s="643">
        <v>7151</v>
      </c>
      <c r="C342" s="643" t="s">
        <v>1973</v>
      </c>
      <c r="D342" s="3087">
        <v>2</v>
      </c>
      <c r="E342" s="3088" t="str">
        <f t="shared" si="53"/>
        <v>购置固定资产无形资产长期资产支付的现金</v>
      </c>
      <c r="F342" s="3089" t="s">
        <v>1974</v>
      </c>
      <c r="G342" s="3090">
        <f t="shared" si="54"/>
        <v>13529178</v>
      </c>
      <c r="H342" s="3091">
        <f t="shared" ca="1" si="47"/>
        <v>0</v>
      </c>
      <c r="I342" s="3093" t="s">
        <v>6810</v>
      </c>
      <c r="J342" s="3072"/>
      <c r="K342" s="3090">
        <f t="shared" si="45"/>
        <v>5355857.1900000004</v>
      </c>
      <c r="L342" s="3071" t="s">
        <v>6806</v>
      </c>
      <c r="M342" s="3093" t="s">
        <v>6810</v>
      </c>
      <c r="N342" s="3072"/>
      <c r="O342" s="3099"/>
      <c r="P342" s="3100"/>
      <c r="Q342" s="3100"/>
      <c r="R342" s="3100"/>
      <c r="S342" s="3101" t="s">
        <v>295</v>
      </c>
      <c r="T342" s="3101" t="s">
        <v>213</v>
      </c>
      <c r="U342" s="3102"/>
      <c r="V342" s="3102" t="s">
        <v>295</v>
      </c>
      <c r="W342" s="3102" t="s">
        <v>6804</v>
      </c>
      <c r="X342" s="3102" t="s">
        <v>213</v>
      </c>
      <c r="Y342" s="3103" t="s">
        <v>164</v>
      </c>
    </row>
    <row r="343" spans="1:25" ht="18" hidden="1">
      <c r="A343" s="1304"/>
      <c r="B343" s="643">
        <v>7161</v>
      </c>
      <c r="C343" s="643" t="s">
        <v>1975</v>
      </c>
      <c r="D343" s="3087">
        <v>2</v>
      </c>
      <c r="E343" s="3088" t="str">
        <f t="shared" si="53"/>
        <v>投资支付的现金</v>
      </c>
      <c r="F343" s="3089" t="s">
        <v>1976</v>
      </c>
      <c r="G343" s="3090">
        <f t="shared" si="54"/>
        <v>0</v>
      </c>
      <c r="H343" s="3091">
        <f t="shared" ca="1" si="47"/>
        <v>0</v>
      </c>
      <c r="I343" s="3093" t="s">
        <v>6810</v>
      </c>
      <c r="J343" s="3072"/>
      <c r="K343" s="3090">
        <f t="shared" si="45"/>
        <v>0</v>
      </c>
      <c r="L343" s="3071" t="s">
        <v>6806</v>
      </c>
      <c r="M343" s="3093" t="s">
        <v>6810</v>
      </c>
      <c r="N343" s="3072"/>
      <c r="O343" s="3099"/>
      <c r="P343" s="3100"/>
      <c r="Q343" s="3100"/>
      <c r="R343" s="3100"/>
      <c r="S343" s="3101" t="s">
        <v>295</v>
      </c>
      <c r="T343" s="3101" t="s">
        <v>213</v>
      </c>
      <c r="U343" s="3102"/>
      <c r="V343" s="3102" t="s">
        <v>295</v>
      </c>
      <c r="W343" s="3102" t="s">
        <v>6804</v>
      </c>
      <c r="X343" s="3102" t="s">
        <v>213</v>
      </c>
      <c r="Y343" s="3103" t="s">
        <v>164</v>
      </c>
    </row>
    <row r="344" spans="1:25" ht="24" hidden="1">
      <c r="A344" s="1304"/>
      <c r="B344" s="643">
        <v>7211</v>
      </c>
      <c r="C344" s="643" t="s">
        <v>1980</v>
      </c>
      <c r="D344" s="3087">
        <v>2</v>
      </c>
      <c r="E344" s="3088" t="str">
        <f t="shared" si="53"/>
        <v>取得借款收到的现金</v>
      </c>
      <c r="F344" s="3089" t="s">
        <v>1981</v>
      </c>
      <c r="G344" s="3090">
        <f t="shared" si="54"/>
        <v>0</v>
      </c>
      <c r="H344" s="3091">
        <f t="shared" ca="1" si="47"/>
        <v>0</v>
      </c>
      <c r="I344" s="3093" t="s">
        <v>6810</v>
      </c>
      <c r="J344" s="3072"/>
      <c r="K344" s="3090">
        <f t="shared" si="45"/>
        <v>0</v>
      </c>
      <c r="L344" s="3071" t="s">
        <v>6806</v>
      </c>
      <c r="M344" s="3093" t="s">
        <v>6810</v>
      </c>
      <c r="N344" s="3072"/>
      <c r="O344" s="3099"/>
      <c r="P344" s="3100"/>
      <c r="Q344" s="3100"/>
      <c r="R344" s="3100"/>
      <c r="S344" s="3101" t="s">
        <v>295</v>
      </c>
      <c r="T344" s="3101" t="s">
        <v>213</v>
      </c>
      <c r="U344" s="3102"/>
      <c r="V344" s="3102" t="s">
        <v>295</v>
      </c>
      <c r="W344" s="3102" t="s">
        <v>6804</v>
      </c>
      <c r="X344" s="3102" t="s">
        <v>213</v>
      </c>
      <c r="Y344" s="3103" t="s">
        <v>164</v>
      </c>
    </row>
    <row r="345" spans="1:25" ht="24" hidden="1">
      <c r="A345" s="1304"/>
      <c r="B345" s="643">
        <v>7251</v>
      </c>
      <c r="C345" s="643" t="s">
        <v>1986</v>
      </c>
      <c r="D345" s="3087">
        <v>2</v>
      </c>
      <c r="E345" s="3088" t="str">
        <f t="shared" si="53"/>
        <v>偿还债务支付的现金</v>
      </c>
      <c r="F345" s="3089" t="s">
        <v>1987</v>
      </c>
      <c r="G345" s="3090">
        <f t="shared" si="54"/>
        <v>0</v>
      </c>
      <c r="H345" s="3091">
        <f t="shared" ca="1" si="47"/>
        <v>0</v>
      </c>
      <c r="I345" s="3093" t="s">
        <v>6810</v>
      </c>
      <c r="J345" s="3072"/>
      <c r="K345" s="3090">
        <f t="shared" si="45"/>
        <v>0</v>
      </c>
      <c r="L345" s="3071" t="s">
        <v>6806</v>
      </c>
      <c r="M345" s="3093" t="s">
        <v>6810</v>
      </c>
      <c r="N345" s="3072"/>
      <c r="O345" s="3099"/>
      <c r="P345" s="3100"/>
      <c r="Q345" s="3100"/>
      <c r="R345" s="3100"/>
      <c r="S345" s="3101" t="s">
        <v>295</v>
      </c>
      <c r="T345" s="3101" t="s">
        <v>213</v>
      </c>
      <c r="U345" s="3102"/>
      <c r="V345" s="3102" t="s">
        <v>295</v>
      </c>
      <c r="W345" s="3102" t="s">
        <v>6804</v>
      </c>
      <c r="X345" s="3102" t="s">
        <v>213</v>
      </c>
      <c r="Y345" s="3103" t="s">
        <v>164</v>
      </c>
    </row>
    <row r="346" spans="1:25" ht="24" hidden="1">
      <c r="A346" s="1304"/>
      <c r="B346" s="643">
        <v>7261</v>
      </c>
      <c r="C346" s="643" t="s">
        <v>1988</v>
      </c>
      <c r="D346" s="3087">
        <v>2</v>
      </c>
      <c r="E346" s="3088" t="str">
        <f t="shared" si="53"/>
        <v>分配利润偿付利息支付的现金</v>
      </c>
      <c r="F346" s="3089" t="s">
        <v>1989</v>
      </c>
      <c r="G346" s="3090">
        <f t="shared" si="54"/>
        <v>2094341.69</v>
      </c>
      <c r="H346" s="3091">
        <f t="shared" ca="1" si="47"/>
        <v>0</v>
      </c>
      <c r="I346" s="3093" t="s">
        <v>6810</v>
      </c>
      <c r="J346" s="3072"/>
      <c r="K346" s="3090">
        <f t="shared" si="45"/>
        <v>3327146.8</v>
      </c>
      <c r="L346" s="3071" t="s">
        <v>6806</v>
      </c>
      <c r="M346" s="3093" t="s">
        <v>6810</v>
      </c>
      <c r="N346" s="3072"/>
      <c r="O346" s="3099"/>
      <c r="P346" s="3100"/>
      <c r="Q346" s="3100"/>
      <c r="R346" s="3100"/>
      <c r="S346" s="3101" t="s">
        <v>295</v>
      </c>
      <c r="T346" s="3101" t="s">
        <v>213</v>
      </c>
      <c r="U346" s="3102"/>
      <c r="V346" s="3102" t="s">
        <v>295</v>
      </c>
      <c r="W346" s="3102" t="s">
        <v>6804</v>
      </c>
      <c r="X346" s="3102" t="s">
        <v>213</v>
      </c>
      <c r="Y346" s="3103" t="s">
        <v>164</v>
      </c>
    </row>
    <row r="347" spans="1:25" ht="24" hidden="1">
      <c r="A347" s="1304"/>
      <c r="B347" s="643"/>
      <c r="C347" s="643" t="s">
        <v>1993</v>
      </c>
      <c r="D347" s="3087">
        <v>3</v>
      </c>
      <c r="E347" s="3088" t="str">
        <f t="shared" si="53"/>
        <v xml:space="preserve">        ----</v>
      </c>
      <c r="F347" s="3089" t="s">
        <v>1994</v>
      </c>
      <c r="G347" s="3090" t="str">
        <f t="shared" si="54"/>
        <v xml:space="preserve">        ----</v>
      </c>
      <c r="H347" s="3091" t="s">
        <v>6806</v>
      </c>
      <c r="I347" s="3093" t="s">
        <v>6810</v>
      </c>
      <c r="J347" s="3072"/>
      <c r="K347" s="3090" t="str">
        <f t="shared" si="45"/>
        <v xml:space="preserve">        ----</v>
      </c>
      <c r="L347" s="3071" t="s">
        <v>6806</v>
      </c>
      <c r="M347" s="3093" t="s">
        <v>6810</v>
      </c>
      <c r="N347" s="3072"/>
      <c r="O347" s="3099"/>
      <c r="P347" s="3100"/>
      <c r="Q347" s="3100"/>
      <c r="R347" s="3100"/>
      <c r="S347" s="3101" t="s">
        <v>295</v>
      </c>
      <c r="T347" s="3101" t="s">
        <v>213</v>
      </c>
      <c r="U347" s="3102"/>
      <c r="V347" s="3102" t="s">
        <v>295</v>
      </c>
      <c r="W347" s="3102" t="s">
        <v>6804</v>
      </c>
      <c r="X347" s="3102" t="s">
        <v>6805</v>
      </c>
      <c r="Y347" s="3103" t="s">
        <v>164</v>
      </c>
    </row>
    <row r="348" spans="1:25" ht="24" hidden="1">
      <c r="A348" s="1304"/>
      <c r="B348" s="643"/>
      <c r="C348" s="643" t="s">
        <v>1996</v>
      </c>
      <c r="D348" s="3087">
        <v>3</v>
      </c>
      <c r="E348" s="3088" t="str">
        <f t="shared" si="53"/>
        <v xml:space="preserve">        ----</v>
      </c>
      <c r="F348" s="3089" t="s">
        <v>1997</v>
      </c>
      <c r="G348" s="3090" t="str">
        <f t="shared" si="54"/>
        <v xml:space="preserve">        ----</v>
      </c>
      <c r="H348" s="3091" t="s">
        <v>6806</v>
      </c>
      <c r="I348" s="3093" t="s">
        <v>6810</v>
      </c>
      <c r="J348" s="3072"/>
      <c r="K348" s="3090" t="str">
        <f t="shared" si="45"/>
        <v xml:space="preserve">        ----</v>
      </c>
      <c r="L348" s="3071" t="s">
        <v>6806</v>
      </c>
      <c r="M348" s="3093" t="s">
        <v>6810</v>
      </c>
      <c r="N348" s="3072"/>
      <c r="O348" s="3099"/>
      <c r="P348" s="3100"/>
      <c r="Q348" s="3100"/>
      <c r="R348" s="3100"/>
      <c r="S348" s="3101" t="s">
        <v>295</v>
      </c>
      <c r="T348" s="3101" t="s">
        <v>213</v>
      </c>
      <c r="U348" s="3102"/>
      <c r="V348" s="3102" t="s">
        <v>295</v>
      </c>
      <c r="W348" s="3102" t="s">
        <v>6804</v>
      </c>
      <c r="X348" s="3102" t="s">
        <v>6805</v>
      </c>
      <c r="Y348" s="3103" t="s">
        <v>164</v>
      </c>
    </row>
    <row r="349" spans="1:25" ht="24" hidden="1">
      <c r="A349" s="1304"/>
      <c r="B349" s="643"/>
      <c r="C349" s="643" t="s">
        <v>1998</v>
      </c>
      <c r="D349" s="3087">
        <v>3</v>
      </c>
      <c r="E349" s="3088" t="str">
        <f t="shared" si="53"/>
        <v xml:space="preserve">        ----</v>
      </c>
      <c r="F349" s="3089" t="s">
        <v>1999</v>
      </c>
      <c r="G349" s="3090" t="str">
        <f t="shared" si="54"/>
        <v xml:space="preserve">        ----</v>
      </c>
      <c r="H349" s="3091" t="s">
        <v>6806</v>
      </c>
      <c r="I349" s="3093" t="s">
        <v>6810</v>
      </c>
      <c r="J349" s="3072"/>
      <c r="K349" s="3090" t="str">
        <f t="shared" si="45"/>
        <v xml:space="preserve">        ----</v>
      </c>
      <c r="L349" s="3071" t="s">
        <v>6806</v>
      </c>
      <c r="M349" s="3093" t="s">
        <v>6810</v>
      </c>
      <c r="N349" s="3072"/>
      <c r="O349" s="3099"/>
      <c r="P349" s="3100"/>
      <c r="Q349" s="3100"/>
      <c r="R349" s="3100"/>
      <c r="S349" s="3101" t="s">
        <v>295</v>
      </c>
      <c r="T349" s="3101" t="s">
        <v>213</v>
      </c>
      <c r="U349" s="3102"/>
      <c r="V349" s="3102" t="s">
        <v>295</v>
      </c>
      <c r="W349" s="3102" t="s">
        <v>6804</v>
      </c>
      <c r="X349" s="3102" t="s">
        <v>6805</v>
      </c>
      <c r="Y349" s="3103" t="s">
        <v>164</v>
      </c>
    </row>
    <row r="350" spans="1:25" ht="24" hidden="1">
      <c r="A350" s="1304"/>
      <c r="B350" s="643"/>
      <c r="C350" s="643" t="s">
        <v>2008</v>
      </c>
      <c r="D350" s="3087">
        <v>3</v>
      </c>
      <c r="E350" s="3088" t="str">
        <f t="shared" si="53"/>
        <v xml:space="preserve">        ----</v>
      </c>
      <c r="F350" s="3089" t="s">
        <v>2009</v>
      </c>
      <c r="G350" s="3090" t="str">
        <f t="shared" si="54"/>
        <v xml:space="preserve">        ----</v>
      </c>
      <c r="H350" s="3091" t="s">
        <v>6806</v>
      </c>
      <c r="I350" s="3093" t="s">
        <v>6810</v>
      </c>
      <c r="J350" s="3072"/>
      <c r="K350" s="3090" t="str">
        <f t="shared" si="45"/>
        <v xml:space="preserve">        ----</v>
      </c>
      <c r="L350" s="3071" t="s">
        <v>6806</v>
      </c>
      <c r="M350" s="3093" t="s">
        <v>6810</v>
      </c>
      <c r="N350" s="3072"/>
      <c r="O350" s="3099"/>
      <c r="P350" s="3100"/>
      <c r="Q350" s="3100"/>
      <c r="R350" s="3100"/>
      <c r="S350" s="3101" t="s">
        <v>295</v>
      </c>
      <c r="T350" s="3101" t="s">
        <v>213</v>
      </c>
      <c r="U350" s="3102"/>
      <c r="V350" s="3102" t="s">
        <v>295</v>
      </c>
      <c r="W350" s="3102" t="s">
        <v>6804</v>
      </c>
      <c r="X350" s="3102" t="s">
        <v>6807</v>
      </c>
      <c r="Y350" s="3103" t="s">
        <v>164</v>
      </c>
    </row>
    <row r="351" spans="1:25" ht="24" hidden="1">
      <c r="A351" s="1304"/>
      <c r="B351" s="643"/>
      <c r="C351" s="643" t="s">
        <v>2010</v>
      </c>
      <c r="D351" s="3087">
        <v>3</v>
      </c>
      <c r="E351" s="3088" t="str">
        <f t="shared" si="53"/>
        <v xml:space="preserve">        ----</v>
      </c>
      <c r="F351" s="3089" t="s">
        <v>2011</v>
      </c>
      <c r="G351" s="3090" t="str">
        <f t="shared" si="54"/>
        <v xml:space="preserve">        ----</v>
      </c>
      <c r="H351" s="3091" t="s">
        <v>6806</v>
      </c>
      <c r="I351" s="3093" t="s">
        <v>6810</v>
      </c>
      <c r="J351" s="3072"/>
      <c r="K351" s="3090" t="str">
        <f t="shared" ref="K351:K408" si="55">IF(ISERROR(VLOOKUP($B351,Sheet_Trialbal,10,0)),"        ----",VLOOKUP($B351,Sheet_Trialbal,10,0))</f>
        <v xml:space="preserve">        ----</v>
      </c>
      <c r="L351" s="3071" t="s">
        <v>6806</v>
      </c>
      <c r="M351" s="3093" t="s">
        <v>6810</v>
      </c>
      <c r="N351" s="3072"/>
      <c r="O351" s="3099"/>
      <c r="P351" s="3100"/>
      <c r="Q351" s="3100"/>
      <c r="R351" s="3100"/>
      <c r="S351" s="3101" t="s">
        <v>295</v>
      </c>
      <c r="T351" s="3101" t="s">
        <v>213</v>
      </c>
      <c r="U351" s="3102"/>
      <c r="V351" s="3102" t="s">
        <v>295</v>
      </c>
      <c r="W351" s="3102" t="s">
        <v>6804</v>
      </c>
      <c r="X351" s="3102" t="s">
        <v>6807</v>
      </c>
      <c r="Y351" s="3103" t="s">
        <v>164</v>
      </c>
    </row>
    <row r="352" spans="1:25" ht="24" hidden="1">
      <c r="A352" s="1304"/>
      <c r="B352" s="643"/>
      <c r="C352" s="643" t="s">
        <v>2003</v>
      </c>
      <c r="D352" s="3087">
        <v>3</v>
      </c>
      <c r="E352" s="3088" t="str">
        <f t="shared" si="53"/>
        <v xml:space="preserve">        ----</v>
      </c>
      <c r="F352" s="3089" t="s">
        <v>2004</v>
      </c>
      <c r="G352" s="3090" t="str">
        <f t="shared" si="54"/>
        <v xml:space="preserve">        ----</v>
      </c>
      <c r="H352" s="3091" t="s">
        <v>6806</v>
      </c>
      <c r="I352" s="3093" t="s">
        <v>6810</v>
      </c>
      <c r="J352" s="3072"/>
      <c r="K352" s="3090" t="str">
        <f t="shared" si="55"/>
        <v xml:space="preserve">        ----</v>
      </c>
      <c r="L352" s="3071" t="s">
        <v>6806</v>
      </c>
      <c r="M352" s="3093" t="s">
        <v>6810</v>
      </c>
      <c r="N352" s="3072"/>
      <c r="O352" s="3099"/>
      <c r="P352" s="3100"/>
      <c r="Q352" s="3100"/>
      <c r="R352" s="3100"/>
      <c r="S352" s="3101" t="s">
        <v>295</v>
      </c>
      <c r="T352" s="3101" t="s">
        <v>213</v>
      </c>
      <c r="U352" s="3102"/>
      <c r="V352" s="3102" t="s">
        <v>295</v>
      </c>
      <c r="W352" s="3102" t="s">
        <v>6804</v>
      </c>
      <c r="X352" s="3102" t="s">
        <v>6805</v>
      </c>
      <c r="Y352" s="3103" t="s">
        <v>164</v>
      </c>
    </row>
    <row r="353" spans="1:25" ht="24" hidden="1">
      <c r="A353" s="1304"/>
      <c r="B353" s="643"/>
      <c r="C353" s="643" t="s">
        <v>2006</v>
      </c>
      <c r="D353" s="3087">
        <v>3</v>
      </c>
      <c r="E353" s="3088" t="str">
        <f t="shared" si="53"/>
        <v xml:space="preserve">        ----</v>
      </c>
      <c r="F353" s="3089" t="s">
        <v>2007</v>
      </c>
      <c r="G353" s="3090" t="str">
        <f t="shared" si="54"/>
        <v xml:space="preserve">        ----</v>
      </c>
      <c r="H353" s="3091" t="s">
        <v>6806</v>
      </c>
      <c r="I353" s="3093" t="s">
        <v>6810</v>
      </c>
      <c r="J353" s="3072"/>
      <c r="K353" s="3090" t="str">
        <f t="shared" si="55"/>
        <v xml:space="preserve">        ----</v>
      </c>
      <c r="L353" s="3071" t="s">
        <v>6806</v>
      </c>
      <c r="M353" s="3093" t="s">
        <v>6810</v>
      </c>
      <c r="N353" s="3072"/>
      <c r="O353" s="3099"/>
      <c r="P353" s="3100"/>
      <c r="Q353" s="3100"/>
      <c r="R353" s="3100"/>
      <c r="S353" s="3101" t="s">
        <v>295</v>
      </c>
      <c r="T353" s="3101" t="s">
        <v>213</v>
      </c>
      <c r="U353" s="3102"/>
      <c r="V353" s="3102" t="s">
        <v>295</v>
      </c>
      <c r="W353" s="3102" t="s">
        <v>6804</v>
      </c>
      <c r="X353" s="3102" t="s">
        <v>213</v>
      </c>
      <c r="Y353" s="3103" t="s">
        <v>164</v>
      </c>
    </row>
    <row r="354" spans="1:25" ht="36" hidden="1">
      <c r="A354" s="1304"/>
      <c r="B354" s="643"/>
      <c r="C354" s="643" t="s">
        <v>2012</v>
      </c>
      <c r="D354" s="3087">
        <v>3</v>
      </c>
      <c r="E354" s="3088" t="str">
        <f t="shared" si="53"/>
        <v xml:space="preserve">        ----</v>
      </c>
      <c r="F354" s="3089" t="s">
        <v>2013</v>
      </c>
      <c r="G354" s="3090" t="str">
        <f t="shared" si="54"/>
        <v xml:space="preserve">        ----</v>
      </c>
      <c r="H354" s="3091">
        <f t="shared" ref="H354:H368" ca="1" si="56">INDIRECT("Notes!CheckA"&amp;$C354)</f>
        <v>0</v>
      </c>
      <c r="I354" s="3093" t="s">
        <v>6810</v>
      </c>
      <c r="J354" s="3072"/>
      <c r="K354" s="3090" t="str">
        <f t="shared" si="55"/>
        <v xml:space="preserve">        ----</v>
      </c>
      <c r="L354" s="3071" t="s">
        <v>6806</v>
      </c>
      <c r="M354" s="3093" t="s">
        <v>6810</v>
      </c>
      <c r="N354" s="3072"/>
      <c r="O354" s="3099"/>
      <c r="P354" s="3100"/>
      <c r="Q354" s="3100"/>
      <c r="R354" s="3100"/>
      <c r="S354" s="3101" t="s">
        <v>295</v>
      </c>
      <c r="T354" s="3101" t="s">
        <v>213</v>
      </c>
      <c r="U354" s="3102"/>
      <c r="V354" s="3102" t="s">
        <v>295</v>
      </c>
      <c r="W354" s="3102" t="s">
        <v>6804</v>
      </c>
      <c r="X354" s="3102" t="s">
        <v>213</v>
      </c>
      <c r="Y354" s="3103" t="s">
        <v>164</v>
      </c>
    </row>
    <row r="355" spans="1:25" ht="48" hidden="1">
      <c r="A355" s="1304"/>
      <c r="B355" s="643"/>
      <c r="C355" s="643" t="s">
        <v>2015</v>
      </c>
      <c r="D355" s="3087">
        <v>3</v>
      </c>
      <c r="E355" s="3088" t="str">
        <f t="shared" si="53"/>
        <v xml:space="preserve">        ----</v>
      </c>
      <c r="F355" s="3089" t="s">
        <v>2016</v>
      </c>
      <c r="G355" s="3090" t="str">
        <f t="shared" si="54"/>
        <v xml:space="preserve">        ----</v>
      </c>
      <c r="H355" s="3091">
        <f t="shared" ca="1" si="56"/>
        <v>0</v>
      </c>
      <c r="I355" s="3093" t="s">
        <v>6810</v>
      </c>
      <c r="J355" s="3072"/>
      <c r="K355" s="3090" t="str">
        <f t="shared" si="55"/>
        <v xml:space="preserve">        ----</v>
      </c>
      <c r="L355" s="3071" t="s">
        <v>6806</v>
      </c>
      <c r="M355" s="3093" t="s">
        <v>6810</v>
      </c>
      <c r="N355" s="3072"/>
      <c r="O355" s="3099"/>
      <c r="P355" s="3100"/>
      <c r="Q355" s="3100"/>
      <c r="R355" s="3100"/>
      <c r="S355" s="3101" t="s">
        <v>295</v>
      </c>
      <c r="T355" s="3101" t="s">
        <v>213</v>
      </c>
      <c r="U355" s="3102"/>
      <c r="V355" s="3102" t="s">
        <v>295</v>
      </c>
      <c r="W355" s="3102" t="s">
        <v>6804</v>
      </c>
      <c r="X355" s="3102" t="s">
        <v>213</v>
      </c>
      <c r="Y355" s="3103" t="s">
        <v>164</v>
      </c>
    </row>
    <row r="356" spans="1:25" ht="36" hidden="1">
      <c r="A356" s="1304"/>
      <c r="B356" s="643"/>
      <c r="C356" s="643" t="s">
        <v>2018</v>
      </c>
      <c r="D356" s="3087">
        <v>3</v>
      </c>
      <c r="E356" s="3088" t="str">
        <f t="shared" si="53"/>
        <v xml:space="preserve">        ----</v>
      </c>
      <c r="F356" s="3089" t="s">
        <v>2019</v>
      </c>
      <c r="G356" s="3090" t="str">
        <f t="shared" si="54"/>
        <v xml:space="preserve">        ----</v>
      </c>
      <c r="H356" s="3091">
        <f t="shared" ca="1" si="56"/>
        <v>0</v>
      </c>
      <c r="I356" s="3093" t="s">
        <v>6810</v>
      </c>
      <c r="J356" s="3072"/>
      <c r="K356" s="3090" t="str">
        <f t="shared" si="55"/>
        <v xml:space="preserve">        ----</v>
      </c>
      <c r="L356" s="3071" t="s">
        <v>6806</v>
      </c>
      <c r="M356" s="3093" t="s">
        <v>6810</v>
      </c>
      <c r="N356" s="3072"/>
      <c r="O356" s="3099"/>
      <c r="P356" s="3100"/>
      <c r="Q356" s="3100"/>
      <c r="R356" s="3100"/>
      <c r="S356" s="3101" t="s">
        <v>295</v>
      </c>
      <c r="T356" s="3101" t="s">
        <v>213</v>
      </c>
      <c r="U356" s="3102"/>
      <c r="V356" s="3102" t="s">
        <v>295</v>
      </c>
      <c r="W356" s="3102" t="s">
        <v>6804</v>
      </c>
      <c r="X356" s="3102" t="s">
        <v>213</v>
      </c>
      <c r="Y356" s="3103" t="s">
        <v>164</v>
      </c>
    </row>
    <row r="357" spans="1:25" ht="36" hidden="1">
      <c r="A357" s="1304"/>
      <c r="B357" s="643"/>
      <c r="C357" s="643" t="s">
        <v>2022</v>
      </c>
      <c r="D357" s="3087">
        <v>3</v>
      </c>
      <c r="E357" s="3088" t="str">
        <f t="shared" si="53"/>
        <v xml:space="preserve">        ----</v>
      </c>
      <c r="F357" s="3089" t="s">
        <v>2023</v>
      </c>
      <c r="G357" s="3090" t="str">
        <f t="shared" si="54"/>
        <v xml:space="preserve">        ----</v>
      </c>
      <c r="H357" s="3091">
        <f t="shared" ca="1" si="56"/>
        <v>0</v>
      </c>
      <c r="I357" s="3093" t="s">
        <v>6810</v>
      </c>
      <c r="J357" s="3072"/>
      <c r="K357" s="3090" t="str">
        <f t="shared" si="55"/>
        <v xml:space="preserve">        ----</v>
      </c>
      <c r="L357" s="3071" t="s">
        <v>6806</v>
      </c>
      <c r="M357" s="3093" t="s">
        <v>6810</v>
      </c>
      <c r="N357" s="3072"/>
      <c r="O357" s="3099"/>
      <c r="P357" s="3100"/>
      <c r="Q357" s="3100"/>
      <c r="R357" s="3100"/>
      <c r="S357" s="3101" t="s">
        <v>295</v>
      </c>
      <c r="T357" s="3101" t="s">
        <v>213</v>
      </c>
      <c r="U357" s="3102"/>
      <c r="V357" s="3102" t="s">
        <v>295</v>
      </c>
      <c r="W357" s="3102" t="s">
        <v>6804</v>
      </c>
      <c r="X357" s="3102" t="s">
        <v>213</v>
      </c>
      <c r="Y357" s="3103" t="s">
        <v>164</v>
      </c>
    </row>
    <row r="358" spans="1:25" ht="48" hidden="1">
      <c r="A358" s="1304"/>
      <c r="B358" s="643"/>
      <c r="C358" s="643" t="s">
        <v>2026</v>
      </c>
      <c r="D358" s="3087">
        <v>3</v>
      </c>
      <c r="E358" s="3088" t="str">
        <f t="shared" si="53"/>
        <v xml:space="preserve">        ----</v>
      </c>
      <c r="F358" s="3089" t="s">
        <v>2027</v>
      </c>
      <c r="G358" s="3090" t="str">
        <f t="shared" si="54"/>
        <v xml:space="preserve">        ----</v>
      </c>
      <c r="H358" s="3091">
        <f t="shared" ca="1" si="56"/>
        <v>0</v>
      </c>
      <c r="I358" s="3093" t="s">
        <v>6810</v>
      </c>
      <c r="J358" s="3072"/>
      <c r="K358" s="3090" t="str">
        <f t="shared" si="55"/>
        <v xml:space="preserve">        ----</v>
      </c>
      <c r="L358" s="3071" t="s">
        <v>6806</v>
      </c>
      <c r="M358" s="3093" t="s">
        <v>6810</v>
      </c>
      <c r="N358" s="3072"/>
      <c r="O358" s="3099"/>
      <c r="P358" s="3100"/>
      <c r="Q358" s="3100"/>
      <c r="R358" s="3100"/>
      <c r="S358" s="3101" t="s">
        <v>295</v>
      </c>
      <c r="T358" s="3101" t="s">
        <v>213</v>
      </c>
      <c r="U358" s="3102"/>
      <c r="V358" s="3102" t="s">
        <v>295</v>
      </c>
      <c r="W358" s="3102" t="s">
        <v>6804</v>
      </c>
      <c r="X358" s="3102" t="s">
        <v>213</v>
      </c>
      <c r="Y358" s="3103" t="s">
        <v>164</v>
      </c>
    </row>
    <row r="359" spans="1:25" ht="36" hidden="1">
      <c r="A359" s="1304"/>
      <c r="B359" s="643"/>
      <c r="C359" s="643" t="s">
        <v>2030</v>
      </c>
      <c r="D359" s="3087">
        <v>3</v>
      </c>
      <c r="E359" s="3088" t="str">
        <f t="shared" si="53"/>
        <v xml:space="preserve">        ----</v>
      </c>
      <c r="F359" s="3089" t="s">
        <v>2031</v>
      </c>
      <c r="G359" s="3090" t="str">
        <f t="shared" si="54"/>
        <v xml:space="preserve">        ----</v>
      </c>
      <c r="H359" s="3091">
        <f t="shared" ca="1" si="56"/>
        <v>0</v>
      </c>
      <c r="I359" s="3093" t="s">
        <v>6810</v>
      </c>
      <c r="J359" s="3072"/>
      <c r="K359" s="3090" t="str">
        <f t="shared" si="55"/>
        <v xml:space="preserve">        ----</v>
      </c>
      <c r="L359" s="3071" t="s">
        <v>6806</v>
      </c>
      <c r="M359" s="3093" t="s">
        <v>6810</v>
      </c>
      <c r="N359" s="3072"/>
      <c r="O359" s="3099"/>
      <c r="P359" s="3100"/>
      <c r="Q359" s="3100"/>
      <c r="R359" s="3100"/>
      <c r="S359" s="3101" t="s">
        <v>295</v>
      </c>
      <c r="T359" s="3101" t="s">
        <v>213</v>
      </c>
      <c r="U359" s="3102"/>
      <c r="V359" s="3102" t="s">
        <v>295</v>
      </c>
      <c r="W359" s="3102" t="s">
        <v>6804</v>
      </c>
      <c r="X359" s="3102" t="s">
        <v>213</v>
      </c>
      <c r="Y359" s="3103" t="s">
        <v>164</v>
      </c>
    </row>
    <row r="360" spans="1:25" ht="36" hidden="1">
      <c r="A360" s="1304"/>
      <c r="B360" s="643"/>
      <c r="C360" s="643" t="s">
        <v>2035</v>
      </c>
      <c r="D360" s="3087">
        <v>3</v>
      </c>
      <c r="E360" s="3088" t="str">
        <f t="shared" si="53"/>
        <v xml:space="preserve">        ----</v>
      </c>
      <c r="F360" s="3089" t="s">
        <v>2036</v>
      </c>
      <c r="G360" s="3090" t="str">
        <f t="shared" si="54"/>
        <v xml:space="preserve">        ----</v>
      </c>
      <c r="H360" s="3091">
        <f t="shared" ca="1" si="56"/>
        <v>0</v>
      </c>
      <c r="I360" s="3093" t="s">
        <v>6810</v>
      </c>
      <c r="J360" s="3072"/>
      <c r="K360" s="3090" t="str">
        <f t="shared" si="55"/>
        <v xml:space="preserve">        ----</v>
      </c>
      <c r="L360" s="3071" t="s">
        <v>6806</v>
      </c>
      <c r="M360" s="3093" t="s">
        <v>6810</v>
      </c>
      <c r="N360" s="3072"/>
      <c r="O360" s="3099"/>
      <c r="P360" s="3100"/>
      <c r="Q360" s="3100"/>
      <c r="R360" s="3100"/>
      <c r="S360" s="3101" t="s">
        <v>295</v>
      </c>
      <c r="T360" s="3101" t="s">
        <v>213</v>
      </c>
      <c r="U360" s="3102"/>
      <c r="V360" s="3102" t="s">
        <v>295</v>
      </c>
      <c r="W360" s="3102" t="s">
        <v>6804</v>
      </c>
      <c r="X360" s="3102" t="s">
        <v>213</v>
      </c>
      <c r="Y360" s="3103" t="s">
        <v>164</v>
      </c>
    </row>
    <row r="361" spans="1:25" ht="36" hidden="1">
      <c r="A361" s="1304"/>
      <c r="B361" s="643"/>
      <c r="C361" s="643" t="s">
        <v>2038</v>
      </c>
      <c r="D361" s="3087">
        <v>3</v>
      </c>
      <c r="E361" s="3088" t="str">
        <f t="shared" si="53"/>
        <v xml:space="preserve">        ----</v>
      </c>
      <c r="F361" s="3089" t="s">
        <v>2039</v>
      </c>
      <c r="G361" s="3090" t="str">
        <f t="shared" si="54"/>
        <v xml:space="preserve">        ----</v>
      </c>
      <c r="H361" s="3091">
        <f t="shared" ca="1" si="56"/>
        <v>0</v>
      </c>
      <c r="I361" s="3093" t="s">
        <v>6810</v>
      </c>
      <c r="J361" s="3072"/>
      <c r="K361" s="3090" t="str">
        <f t="shared" si="55"/>
        <v xml:space="preserve">        ----</v>
      </c>
      <c r="L361" s="3071" t="s">
        <v>6806</v>
      </c>
      <c r="M361" s="3093" t="s">
        <v>6810</v>
      </c>
      <c r="N361" s="3072"/>
      <c r="O361" s="3099"/>
      <c r="P361" s="3100"/>
      <c r="Q361" s="3100"/>
      <c r="R361" s="3100"/>
      <c r="S361" s="3101" t="s">
        <v>295</v>
      </c>
      <c r="T361" s="3101" t="s">
        <v>213</v>
      </c>
      <c r="U361" s="3102"/>
      <c r="V361" s="3102" t="s">
        <v>295</v>
      </c>
      <c r="W361" s="3102" t="s">
        <v>6804</v>
      </c>
      <c r="X361" s="3102" t="s">
        <v>213</v>
      </c>
      <c r="Y361" s="3103" t="s">
        <v>164</v>
      </c>
    </row>
    <row r="362" spans="1:25" ht="24" hidden="1">
      <c r="A362" s="1304"/>
      <c r="B362" s="643"/>
      <c r="C362" s="643" t="s">
        <v>2042</v>
      </c>
      <c r="D362" s="3087">
        <v>3</v>
      </c>
      <c r="E362" s="3088" t="str">
        <f t="shared" si="53"/>
        <v xml:space="preserve">        ----</v>
      </c>
      <c r="F362" s="3089" t="s">
        <v>2043</v>
      </c>
      <c r="G362" s="3090" t="str">
        <f t="shared" si="54"/>
        <v xml:space="preserve">        ----</v>
      </c>
      <c r="H362" s="3091">
        <f t="shared" ca="1" si="56"/>
        <v>0</v>
      </c>
      <c r="I362" s="3093" t="s">
        <v>6810</v>
      </c>
      <c r="J362" s="3072"/>
      <c r="K362" s="3090" t="str">
        <f t="shared" si="55"/>
        <v xml:space="preserve">        ----</v>
      </c>
      <c r="L362" s="3071" t="s">
        <v>6806</v>
      </c>
      <c r="M362" s="3093" t="s">
        <v>6810</v>
      </c>
      <c r="N362" s="3072"/>
      <c r="O362" s="3099"/>
      <c r="P362" s="3100"/>
      <c r="Q362" s="3100"/>
      <c r="R362" s="3100"/>
      <c r="S362" s="3101" t="s">
        <v>295</v>
      </c>
      <c r="T362" s="3101" t="s">
        <v>213</v>
      </c>
      <c r="U362" s="3102"/>
      <c r="V362" s="3102" t="s">
        <v>295</v>
      </c>
      <c r="W362" s="3102" t="s">
        <v>6804</v>
      </c>
      <c r="X362" s="3102" t="s">
        <v>213</v>
      </c>
      <c r="Y362" s="3103" t="s">
        <v>164</v>
      </c>
    </row>
    <row r="363" spans="1:25" ht="36" hidden="1">
      <c r="A363" s="1304"/>
      <c r="B363" s="643"/>
      <c r="C363" s="643" t="s">
        <v>2045</v>
      </c>
      <c r="D363" s="3087">
        <v>3</v>
      </c>
      <c r="E363" s="3088" t="str">
        <f t="shared" si="53"/>
        <v xml:space="preserve">        ----</v>
      </c>
      <c r="F363" s="3089" t="s">
        <v>2046</v>
      </c>
      <c r="G363" s="3090" t="str">
        <f t="shared" si="54"/>
        <v xml:space="preserve">        ----</v>
      </c>
      <c r="H363" s="3091">
        <f t="shared" ca="1" si="56"/>
        <v>0</v>
      </c>
      <c r="I363" s="3093" t="s">
        <v>6810</v>
      </c>
      <c r="J363" s="3072"/>
      <c r="K363" s="3090" t="str">
        <f t="shared" si="55"/>
        <v xml:space="preserve">        ----</v>
      </c>
      <c r="L363" s="3071" t="s">
        <v>6806</v>
      </c>
      <c r="M363" s="3093" t="s">
        <v>6810</v>
      </c>
      <c r="N363" s="3072"/>
      <c r="O363" s="3099"/>
      <c r="P363" s="3100"/>
      <c r="Q363" s="3100"/>
      <c r="R363" s="3100"/>
      <c r="S363" s="3101" t="s">
        <v>295</v>
      </c>
      <c r="T363" s="3101" t="s">
        <v>213</v>
      </c>
      <c r="U363" s="3102"/>
      <c r="V363" s="3102" t="s">
        <v>295</v>
      </c>
      <c r="W363" s="3102" t="s">
        <v>6804</v>
      </c>
      <c r="X363" s="3102" t="s">
        <v>213</v>
      </c>
      <c r="Y363" s="3103" t="s">
        <v>164</v>
      </c>
    </row>
    <row r="364" spans="1:25" ht="36" hidden="1">
      <c r="A364" s="1304"/>
      <c r="B364" s="643"/>
      <c r="C364" s="643" t="s">
        <v>2048</v>
      </c>
      <c r="D364" s="3087">
        <v>3</v>
      </c>
      <c r="E364" s="3088" t="str">
        <f t="shared" si="53"/>
        <v xml:space="preserve">        ----</v>
      </c>
      <c r="F364" s="3089" t="s">
        <v>2049</v>
      </c>
      <c r="G364" s="3090" t="str">
        <f t="shared" si="54"/>
        <v xml:space="preserve">        ----</v>
      </c>
      <c r="H364" s="3091">
        <f t="shared" ca="1" si="56"/>
        <v>0</v>
      </c>
      <c r="I364" s="3093" t="s">
        <v>6810</v>
      </c>
      <c r="J364" s="3072"/>
      <c r="K364" s="3090" t="str">
        <f t="shared" si="55"/>
        <v xml:space="preserve">        ----</v>
      </c>
      <c r="L364" s="3071" t="s">
        <v>6806</v>
      </c>
      <c r="M364" s="3093" t="s">
        <v>6810</v>
      </c>
      <c r="N364" s="3072"/>
      <c r="O364" s="3099"/>
      <c r="P364" s="3100"/>
      <c r="Q364" s="3100"/>
      <c r="R364" s="3100"/>
      <c r="S364" s="3101" t="s">
        <v>295</v>
      </c>
      <c r="T364" s="3101" t="s">
        <v>213</v>
      </c>
      <c r="U364" s="3102"/>
      <c r="V364" s="3102" t="s">
        <v>295</v>
      </c>
      <c r="W364" s="3102" t="s">
        <v>6804</v>
      </c>
      <c r="X364" s="3102" t="s">
        <v>213</v>
      </c>
      <c r="Y364" s="3103" t="s">
        <v>164</v>
      </c>
    </row>
    <row r="365" spans="1:25" ht="36" hidden="1">
      <c r="A365" s="1304"/>
      <c r="B365" s="643"/>
      <c r="C365" s="643" t="s">
        <v>2051</v>
      </c>
      <c r="D365" s="3087">
        <v>3</v>
      </c>
      <c r="E365" s="3088" t="str">
        <f t="shared" si="53"/>
        <v xml:space="preserve">        ----</v>
      </c>
      <c r="F365" s="3089" t="s">
        <v>2052</v>
      </c>
      <c r="G365" s="3090" t="str">
        <f t="shared" si="54"/>
        <v xml:space="preserve">        ----</v>
      </c>
      <c r="H365" s="3091">
        <f t="shared" ca="1" si="56"/>
        <v>0</v>
      </c>
      <c r="I365" s="3093" t="s">
        <v>6810</v>
      </c>
      <c r="J365" s="3072"/>
      <c r="K365" s="3090" t="str">
        <f t="shared" si="55"/>
        <v xml:space="preserve">        ----</v>
      </c>
      <c r="L365" s="3071" t="s">
        <v>6806</v>
      </c>
      <c r="M365" s="3093" t="s">
        <v>6810</v>
      </c>
      <c r="N365" s="3072"/>
      <c r="O365" s="3099"/>
      <c r="P365" s="3100"/>
      <c r="Q365" s="3100"/>
      <c r="R365" s="3100"/>
      <c r="S365" s="3101" t="s">
        <v>295</v>
      </c>
      <c r="T365" s="3101" t="s">
        <v>213</v>
      </c>
      <c r="U365" s="3102"/>
      <c r="V365" s="3102" t="s">
        <v>295</v>
      </c>
      <c r="W365" s="3102" t="s">
        <v>6804</v>
      </c>
      <c r="X365" s="3102" t="s">
        <v>213</v>
      </c>
      <c r="Y365" s="3103" t="s">
        <v>164</v>
      </c>
    </row>
    <row r="366" spans="1:25" ht="36" hidden="1">
      <c r="A366" s="1304"/>
      <c r="B366" s="643"/>
      <c r="C366" s="643" t="s">
        <v>2055</v>
      </c>
      <c r="D366" s="3087">
        <v>3</v>
      </c>
      <c r="E366" s="3088" t="str">
        <f t="shared" si="53"/>
        <v xml:space="preserve">        ----</v>
      </c>
      <c r="F366" s="3089" t="s">
        <v>2056</v>
      </c>
      <c r="G366" s="3090" t="str">
        <f t="shared" si="54"/>
        <v xml:space="preserve">        ----</v>
      </c>
      <c r="H366" s="3091">
        <f t="shared" ca="1" si="56"/>
        <v>-17159161.23</v>
      </c>
      <c r="I366" s="3093" t="s">
        <v>6810</v>
      </c>
      <c r="J366" s="3072"/>
      <c r="K366" s="3090" t="str">
        <f t="shared" si="55"/>
        <v xml:space="preserve">        ----</v>
      </c>
      <c r="L366" s="3071" t="s">
        <v>6806</v>
      </c>
      <c r="M366" s="3093" t="s">
        <v>6810</v>
      </c>
      <c r="N366" s="3072"/>
      <c r="O366" s="3099"/>
      <c r="P366" s="3100"/>
      <c r="Q366" s="3100"/>
      <c r="R366" s="3100"/>
      <c r="S366" s="3101" t="s">
        <v>295</v>
      </c>
      <c r="T366" s="3101" t="s">
        <v>213</v>
      </c>
      <c r="U366" s="3102"/>
      <c r="V366" s="3102" t="s">
        <v>295</v>
      </c>
      <c r="W366" s="3102" t="s">
        <v>6804</v>
      </c>
      <c r="X366" s="3102" t="s">
        <v>213</v>
      </c>
      <c r="Y366" s="3103" t="s">
        <v>164</v>
      </c>
    </row>
    <row r="367" spans="1:25" ht="36" hidden="1">
      <c r="A367" s="1304"/>
      <c r="B367" s="643"/>
      <c r="C367" s="643" t="s">
        <v>2058</v>
      </c>
      <c r="D367" s="3087">
        <v>3</v>
      </c>
      <c r="E367" s="3088" t="str">
        <f t="shared" si="53"/>
        <v xml:space="preserve">        ----</v>
      </c>
      <c r="F367" s="3089" t="s">
        <v>2059</v>
      </c>
      <c r="G367" s="3090" t="str">
        <f t="shared" si="54"/>
        <v xml:space="preserve">        ----</v>
      </c>
      <c r="H367" s="3091">
        <f t="shared" ca="1" si="56"/>
        <v>-21087417.920000002</v>
      </c>
      <c r="I367" s="3093" t="s">
        <v>6810</v>
      </c>
      <c r="J367" s="3072"/>
      <c r="K367" s="3090" t="str">
        <f t="shared" si="55"/>
        <v xml:space="preserve">        ----</v>
      </c>
      <c r="L367" s="3071" t="s">
        <v>6806</v>
      </c>
      <c r="M367" s="3093" t="s">
        <v>6810</v>
      </c>
      <c r="N367" s="3072"/>
      <c r="O367" s="3099"/>
      <c r="P367" s="3100"/>
      <c r="Q367" s="3100"/>
      <c r="R367" s="3100"/>
      <c r="S367" s="3101" t="s">
        <v>295</v>
      </c>
      <c r="T367" s="3101" t="s">
        <v>213</v>
      </c>
      <c r="U367" s="3102"/>
      <c r="V367" s="3102" t="s">
        <v>295</v>
      </c>
      <c r="W367" s="3102" t="s">
        <v>6804</v>
      </c>
      <c r="X367" s="3102" t="s">
        <v>213</v>
      </c>
      <c r="Y367" s="3103" t="s">
        <v>164</v>
      </c>
    </row>
    <row r="368" spans="1:25" ht="24" hidden="1">
      <c r="A368" s="1304"/>
      <c r="B368" s="643"/>
      <c r="C368" s="643" t="s">
        <v>2061</v>
      </c>
      <c r="D368" s="3087">
        <v>3</v>
      </c>
      <c r="E368" s="3088" t="str">
        <f t="shared" si="53"/>
        <v xml:space="preserve">        ----</v>
      </c>
      <c r="F368" s="3089" t="s">
        <v>2062</v>
      </c>
      <c r="G368" s="3090" t="str">
        <f t="shared" si="54"/>
        <v xml:space="preserve">        ----</v>
      </c>
      <c r="H368" s="3091">
        <f t="shared" ca="1" si="56"/>
        <v>0</v>
      </c>
      <c r="I368" s="3093" t="s">
        <v>6810</v>
      </c>
      <c r="J368" s="3072"/>
      <c r="K368" s="3090" t="str">
        <f t="shared" si="55"/>
        <v xml:space="preserve">        ----</v>
      </c>
      <c r="L368" s="3071" t="s">
        <v>6806</v>
      </c>
      <c r="M368" s="3093" t="s">
        <v>6810</v>
      </c>
      <c r="N368" s="3072"/>
      <c r="O368" s="3099"/>
      <c r="P368" s="3100"/>
      <c r="Q368" s="3100"/>
      <c r="R368" s="3100"/>
      <c r="S368" s="3101" t="s">
        <v>295</v>
      </c>
      <c r="T368" s="3101" t="s">
        <v>213</v>
      </c>
      <c r="U368" s="3102"/>
      <c r="V368" s="3102" t="s">
        <v>295</v>
      </c>
      <c r="W368" s="3102" t="s">
        <v>6804</v>
      </c>
      <c r="X368" s="3102" t="s">
        <v>213</v>
      </c>
      <c r="Y368" s="3103" t="s">
        <v>164</v>
      </c>
    </row>
    <row r="369" spans="1:25" ht="24" hidden="1">
      <c r="A369" s="1304"/>
      <c r="B369" s="643"/>
      <c r="C369" s="643" t="s">
        <v>2100</v>
      </c>
      <c r="D369" s="3087">
        <v>3</v>
      </c>
      <c r="E369" s="3088" t="str">
        <f t="shared" si="53"/>
        <v xml:space="preserve">        ----</v>
      </c>
      <c r="F369" s="3089" t="s">
        <v>887</v>
      </c>
      <c r="G369" s="3090" t="str">
        <f t="shared" si="54"/>
        <v xml:space="preserve">        ----</v>
      </c>
      <c r="H369" s="3091" t="s">
        <v>6806</v>
      </c>
      <c r="I369" s="3093" t="s">
        <v>6810</v>
      </c>
      <c r="J369" s="3072"/>
      <c r="K369" s="3090" t="str">
        <f t="shared" si="55"/>
        <v xml:space="preserve">        ----</v>
      </c>
      <c r="L369" s="3071" t="s">
        <v>6806</v>
      </c>
      <c r="M369" s="3093" t="s">
        <v>6810</v>
      </c>
      <c r="N369" s="3072"/>
      <c r="O369" s="3099"/>
      <c r="P369" s="3100"/>
      <c r="Q369" s="3100"/>
      <c r="R369" s="3100"/>
      <c r="S369" s="3101" t="s">
        <v>295</v>
      </c>
      <c r="T369" s="3101" t="s">
        <v>213</v>
      </c>
      <c r="U369" s="3102"/>
      <c r="V369" s="3102" t="s">
        <v>295</v>
      </c>
      <c r="W369" s="3102" t="s">
        <v>6804</v>
      </c>
      <c r="X369" s="3102" t="s">
        <v>6805</v>
      </c>
      <c r="Y369" s="3103" t="s">
        <v>164</v>
      </c>
    </row>
    <row r="370" spans="1:25" ht="24" hidden="1">
      <c r="A370" s="1304"/>
      <c r="B370" s="643"/>
      <c r="C370" s="643" t="s">
        <v>1351</v>
      </c>
      <c r="D370" s="3087">
        <v>3</v>
      </c>
      <c r="E370" s="3088" t="str">
        <f t="shared" si="53"/>
        <v xml:space="preserve">        ----</v>
      </c>
      <c r="F370" s="3089" t="s">
        <v>1352</v>
      </c>
      <c r="G370" s="3090" t="str">
        <f t="shared" si="54"/>
        <v xml:space="preserve">        ----</v>
      </c>
      <c r="H370" s="3091" t="s">
        <v>6806</v>
      </c>
      <c r="I370" s="3093" t="s">
        <v>6810</v>
      </c>
      <c r="J370" s="3072"/>
      <c r="K370" s="3090" t="str">
        <f t="shared" si="55"/>
        <v xml:space="preserve">        ----</v>
      </c>
      <c r="L370" s="3071" t="s">
        <v>6806</v>
      </c>
      <c r="M370" s="3093" t="s">
        <v>6810</v>
      </c>
      <c r="N370" s="3072"/>
      <c r="O370" s="3099"/>
      <c r="P370" s="3100"/>
      <c r="Q370" s="3100"/>
      <c r="R370" s="3100"/>
      <c r="S370" s="3101" t="s">
        <v>295</v>
      </c>
      <c r="T370" s="3101" t="s">
        <v>213</v>
      </c>
      <c r="U370" s="3102"/>
      <c r="V370" s="3102" t="s">
        <v>295</v>
      </c>
      <c r="W370" s="3102" t="s">
        <v>6804</v>
      </c>
      <c r="X370" s="3102" t="s">
        <v>6805</v>
      </c>
      <c r="Y370" s="3103" t="s">
        <v>164</v>
      </c>
    </row>
    <row r="371" spans="1:25" ht="18" hidden="1">
      <c r="A371" s="1304"/>
      <c r="B371" s="643"/>
      <c r="C371" s="643" t="s">
        <v>1347</v>
      </c>
      <c r="D371" s="3087">
        <v>3</v>
      </c>
      <c r="E371" s="3088" t="str">
        <f t="shared" si="53"/>
        <v xml:space="preserve">        ----</v>
      </c>
      <c r="F371" s="3089" t="s">
        <v>6456</v>
      </c>
      <c r="G371" s="3090" t="str">
        <f t="shared" si="54"/>
        <v xml:space="preserve">        ----</v>
      </c>
      <c r="H371" s="3091" t="s">
        <v>6806</v>
      </c>
      <c r="I371" s="3093" t="s">
        <v>6810</v>
      </c>
      <c r="J371" s="3072"/>
      <c r="K371" s="3090" t="str">
        <f t="shared" si="55"/>
        <v xml:space="preserve">        ----</v>
      </c>
      <c r="L371" s="3071" t="s">
        <v>6806</v>
      </c>
      <c r="M371" s="3093" t="s">
        <v>6810</v>
      </c>
      <c r="N371" s="3072"/>
      <c r="O371" s="3099"/>
      <c r="P371" s="3100"/>
      <c r="Q371" s="3100"/>
      <c r="R371" s="3100"/>
      <c r="S371" s="3101" t="s">
        <v>295</v>
      </c>
      <c r="T371" s="3101" t="s">
        <v>213</v>
      </c>
      <c r="U371" s="3102"/>
      <c r="V371" s="3102" t="s">
        <v>295</v>
      </c>
      <c r="W371" s="3102" t="s">
        <v>6804</v>
      </c>
      <c r="X371" s="3102" t="s">
        <v>6807</v>
      </c>
      <c r="Y371" s="3103" t="s">
        <v>164</v>
      </c>
    </row>
    <row r="372" spans="1:25" ht="18" hidden="1">
      <c r="A372" s="1304"/>
      <c r="B372" s="643"/>
      <c r="C372" s="643" t="s">
        <v>2156</v>
      </c>
      <c r="D372" s="3087">
        <v>3</v>
      </c>
      <c r="E372" s="3088" t="str">
        <f t="shared" si="53"/>
        <v xml:space="preserve">        ----</v>
      </c>
      <c r="F372" s="3089" t="s">
        <v>2157</v>
      </c>
      <c r="G372" s="3090" t="str">
        <f t="shared" si="54"/>
        <v xml:space="preserve">        ----</v>
      </c>
      <c r="H372" s="3091">
        <f t="shared" ref="H372:H380" ca="1" si="57">INDIRECT("Notes!CheckA"&amp;$C372)</f>
        <v>0</v>
      </c>
      <c r="I372" s="3093" t="s">
        <v>6810</v>
      </c>
      <c r="J372" s="3072"/>
      <c r="K372" s="3090" t="str">
        <f t="shared" si="55"/>
        <v xml:space="preserve">        ----</v>
      </c>
      <c r="L372" s="3071">
        <f t="shared" ref="L372:L380" ca="1" si="58">INDIRECT("Notes!CheckB"&amp;$C372)</f>
        <v>0</v>
      </c>
      <c r="M372" s="3093" t="s">
        <v>6810</v>
      </c>
      <c r="N372" s="3072"/>
      <c r="O372" s="3099"/>
      <c r="P372" s="3100"/>
      <c r="Q372" s="3100"/>
      <c r="R372" s="3100"/>
      <c r="S372" s="3101" t="s">
        <v>295</v>
      </c>
      <c r="T372" s="3101" t="s">
        <v>213</v>
      </c>
      <c r="U372" s="3102"/>
      <c r="V372" s="3102" t="s">
        <v>295</v>
      </c>
      <c r="W372" s="3102" t="s">
        <v>6804</v>
      </c>
      <c r="X372" s="3102" t="s">
        <v>6805</v>
      </c>
      <c r="Y372" s="3103" t="s">
        <v>164</v>
      </c>
    </row>
    <row r="373" spans="1:25" ht="18" hidden="1">
      <c r="A373" s="1304"/>
      <c r="B373" s="643"/>
      <c r="C373" s="643" t="s">
        <v>2176</v>
      </c>
      <c r="D373" s="3087">
        <v>3</v>
      </c>
      <c r="E373" s="3088" t="str">
        <f t="shared" si="53"/>
        <v xml:space="preserve">        ----</v>
      </c>
      <c r="F373" s="3089" t="s">
        <v>2177</v>
      </c>
      <c r="G373" s="3090" t="str">
        <f t="shared" si="54"/>
        <v xml:space="preserve">        ----</v>
      </c>
      <c r="H373" s="3091">
        <f t="shared" ca="1" si="57"/>
        <v>0</v>
      </c>
      <c r="I373" s="3093" t="s">
        <v>6810</v>
      </c>
      <c r="J373" s="3072"/>
      <c r="K373" s="3090" t="str">
        <f t="shared" si="55"/>
        <v xml:space="preserve">        ----</v>
      </c>
      <c r="L373" s="3071">
        <f t="shared" ca="1" si="58"/>
        <v>0</v>
      </c>
      <c r="M373" s="3093" t="s">
        <v>6810</v>
      </c>
      <c r="N373" s="3072"/>
      <c r="O373" s="3099"/>
      <c r="P373" s="3100"/>
      <c r="Q373" s="3100"/>
      <c r="R373" s="3100"/>
      <c r="S373" s="3101" t="s">
        <v>295</v>
      </c>
      <c r="T373" s="3101" t="s">
        <v>213</v>
      </c>
      <c r="U373" s="3102"/>
      <c r="V373" s="3102" t="s">
        <v>295</v>
      </c>
      <c r="W373" s="3102" t="s">
        <v>6804</v>
      </c>
      <c r="X373" s="3102" t="s">
        <v>6805</v>
      </c>
      <c r="Y373" s="3103" t="s">
        <v>164</v>
      </c>
    </row>
    <row r="374" spans="1:25" ht="18" hidden="1">
      <c r="A374" s="1304"/>
      <c r="B374" s="643"/>
      <c r="C374" s="643" t="s">
        <v>2178</v>
      </c>
      <c r="D374" s="3087">
        <v>3</v>
      </c>
      <c r="E374" s="3088" t="str">
        <f t="shared" si="53"/>
        <v xml:space="preserve">        ----</v>
      </c>
      <c r="F374" s="3089" t="s">
        <v>2179</v>
      </c>
      <c r="G374" s="3090" t="str">
        <f t="shared" si="54"/>
        <v xml:space="preserve">        ----</v>
      </c>
      <c r="H374" s="3091">
        <f t="shared" ca="1" si="57"/>
        <v>0</v>
      </c>
      <c r="I374" s="3093" t="s">
        <v>6810</v>
      </c>
      <c r="J374" s="3072"/>
      <c r="K374" s="3090" t="str">
        <f t="shared" si="55"/>
        <v xml:space="preserve">        ----</v>
      </c>
      <c r="L374" s="3071">
        <f t="shared" ca="1" si="58"/>
        <v>0</v>
      </c>
      <c r="M374" s="3093" t="s">
        <v>6810</v>
      </c>
      <c r="N374" s="3072"/>
      <c r="O374" s="3099"/>
      <c r="P374" s="3100"/>
      <c r="Q374" s="3100"/>
      <c r="R374" s="3100"/>
      <c r="S374" s="3101" t="s">
        <v>295</v>
      </c>
      <c r="T374" s="3101" t="s">
        <v>213</v>
      </c>
      <c r="U374" s="3102"/>
      <c r="V374" s="3102" t="s">
        <v>295</v>
      </c>
      <c r="W374" s="3102" t="s">
        <v>6804</v>
      </c>
      <c r="X374" s="3102" t="s">
        <v>6805</v>
      </c>
      <c r="Y374" s="3103" t="s">
        <v>164</v>
      </c>
    </row>
    <row r="375" spans="1:25" ht="24" hidden="1">
      <c r="A375" s="1304"/>
      <c r="B375" s="643"/>
      <c r="C375" s="643" t="s">
        <v>2111</v>
      </c>
      <c r="D375" s="3087">
        <v>3</v>
      </c>
      <c r="E375" s="3088" t="str">
        <f t="shared" si="53"/>
        <v xml:space="preserve">        ----</v>
      </c>
      <c r="F375" s="3089" t="s">
        <v>2112</v>
      </c>
      <c r="G375" s="3090" t="str">
        <f t="shared" si="54"/>
        <v xml:space="preserve">        ----</v>
      </c>
      <c r="H375" s="3091">
        <f t="shared" ca="1" si="57"/>
        <v>0</v>
      </c>
      <c r="I375" s="3093" t="s">
        <v>6810</v>
      </c>
      <c r="J375" s="3072"/>
      <c r="K375" s="3090" t="str">
        <f t="shared" si="55"/>
        <v xml:space="preserve">        ----</v>
      </c>
      <c r="L375" s="3071">
        <f t="shared" ca="1" si="58"/>
        <v>0</v>
      </c>
      <c r="M375" s="3093" t="s">
        <v>6810</v>
      </c>
      <c r="N375" s="3072"/>
      <c r="O375" s="3099"/>
      <c r="P375" s="3100"/>
      <c r="Q375" s="3100"/>
      <c r="R375" s="3100"/>
      <c r="S375" s="3101" t="s">
        <v>295</v>
      </c>
      <c r="T375" s="3101" t="s">
        <v>213</v>
      </c>
      <c r="U375" s="3102"/>
      <c r="V375" s="3102" t="s">
        <v>295</v>
      </c>
      <c r="W375" s="3102" t="s">
        <v>6804</v>
      </c>
      <c r="X375" s="3102" t="s">
        <v>6805</v>
      </c>
      <c r="Y375" s="3103" t="s">
        <v>119</v>
      </c>
    </row>
    <row r="376" spans="1:25" ht="24" hidden="1">
      <c r="A376" s="1304"/>
      <c r="B376" s="643"/>
      <c r="C376" s="643" t="s">
        <v>2113</v>
      </c>
      <c r="D376" s="3087">
        <v>3</v>
      </c>
      <c r="E376" s="3088" t="str">
        <f t="shared" si="53"/>
        <v xml:space="preserve">        ----</v>
      </c>
      <c r="F376" s="3089" t="s">
        <v>2114</v>
      </c>
      <c r="G376" s="3090" t="str">
        <f t="shared" si="54"/>
        <v xml:space="preserve">        ----</v>
      </c>
      <c r="H376" s="3091">
        <f t="shared" ca="1" si="57"/>
        <v>0</v>
      </c>
      <c r="I376" s="3093" t="s">
        <v>6810</v>
      </c>
      <c r="J376" s="3072"/>
      <c r="K376" s="3090" t="str">
        <f t="shared" si="55"/>
        <v xml:space="preserve">        ----</v>
      </c>
      <c r="L376" s="3071">
        <f t="shared" ca="1" si="58"/>
        <v>0</v>
      </c>
      <c r="M376" s="3093" t="s">
        <v>6810</v>
      </c>
      <c r="N376" s="3072"/>
      <c r="O376" s="3099"/>
      <c r="P376" s="3100"/>
      <c r="Q376" s="3100"/>
      <c r="R376" s="3100"/>
      <c r="S376" s="3101" t="s">
        <v>295</v>
      </c>
      <c r="T376" s="3101" t="s">
        <v>213</v>
      </c>
      <c r="U376" s="3102"/>
      <c r="V376" s="3102" t="s">
        <v>295</v>
      </c>
      <c r="W376" s="3102" t="s">
        <v>6804</v>
      </c>
      <c r="X376" s="3102" t="s">
        <v>6805</v>
      </c>
      <c r="Y376" s="3103" t="s">
        <v>119</v>
      </c>
    </row>
    <row r="377" spans="1:25" ht="24" hidden="1">
      <c r="A377" s="1304"/>
      <c r="B377" s="643"/>
      <c r="C377" s="643" t="s">
        <v>2115</v>
      </c>
      <c r="D377" s="3087">
        <v>3</v>
      </c>
      <c r="E377" s="3088" t="str">
        <f t="shared" si="53"/>
        <v xml:space="preserve">        ----</v>
      </c>
      <c r="F377" s="3089" t="s">
        <v>2116</v>
      </c>
      <c r="G377" s="3090" t="str">
        <f t="shared" si="54"/>
        <v xml:space="preserve">        ----</v>
      </c>
      <c r="H377" s="3091">
        <f t="shared" ca="1" si="57"/>
        <v>0</v>
      </c>
      <c r="I377" s="3093" t="s">
        <v>6810</v>
      </c>
      <c r="J377" s="3072"/>
      <c r="K377" s="3090" t="str">
        <f t="shared" si="55"/>
        <v xml:space="preserve">        ----</v>
      </c>
      <c r="L377" s="3071">
        <f t="shared" ca="1" si="58"/>
        <v>0</v>
      </c>
      <c r="M377" s="3093" t="s">
        <v>6810</v>
      </c>
      <c r="N377" s="3072"/>
      <c r="O377" s="3099"/>
      <c r="P377" s="3100"/>
      <c r="Q377" s="3100"/>
      <c r="R377" s="3100"/>
      <c r="S377" s="3101" t="s">
        <v>295</v>
      </c>
      <c r="T377" s="3101" t="s">
        <v>213</v>
      </c>
      <c r="U377" s="3102"/>
      <c r="V377" s="3102" t="s">
        <v>295</v>
      </c>
      <c r="W377" s="3102" t="s">
        <v>6804</v>
      </c>
      <c r="X377" s="3102" t="s">
        <v>6805</v>
      </c>
      <c r="Y377" s="3103" t="s">
        <v>119</v>
      </c>
    </row>
    <row r="378" spans="1:25" ht="24" hidden="1">
      <c r="A378" s="1304"/>
      <c r="B378" s="643"/>
      <c r="C378" s="643" t="s">
        <v>2117</v>
      </c>
      <c r="D378" s="3087">
        <v>3</v>
      </c>
      <c r="E378" s="3088" t="str">
        <f t="shared" si="53"/>
        <v xml:space="preserve">        ----</v>
      </c>
      <c r="F378" s="3089" t="s">
        <v>2118</v>
      </c>
      <c r="G378" s="3090" t="str">
        <f t="shared" si="54"/>
        <v xml:space="preserve">        ----</v>
      </c>
      <c r="H378" s="3091">
        <f t="shared" ca="1" si="57"/>
        <v>0</v>
      </c>
      <c r="I378" s="3093" t="s">
        <v>6810</v>
      </c>
      <c r="J378" s="3072"/>
      <c r="K378" s="3090" t="str">
        <f t="shared" si="55"/>
        <v xml:space="preserve">        ----</v>
      </c>
      <c r="L378" s="3071">
        <f t="shared" ca="1" si="58"/>
        <v>0</v>
      </c>
      <c r="M378" s="3093" t="s">
        <v>6810</v>
      </c>
      <c r="N378" s="3072"/>
      <c r="O378" s="3099"/>
      <c r="P378" s="3100"/>
      <c r="Q378" s="3100"/>
      <c r="R378" s="3100"/>
      <c r="S378" s="3101" t="s">
        <v>295</v>
      </c>
      <c r="T378" s="3101" t="s">
        <v>213</v>
      </c>
      <c r="U378" s="3102"/>
      <c r="V378" s="3102" t="s">
        <v>295</v>
      </c>
      <c r="W378" s="3102" t="s">
        <v>6804</v>
      </c>
      <c r="X378" s="3102" t="s">
        <v>6805</v>
      </c>
      <c r="Y378" s="3103" t="s">
        <v>119</v>
      </c>
    </row>
    <row r="379" spans="1:25" ht="36" hidden="1">
      <c r="A379" s="1304"/>
      <c r="B379" s="643"/>
      <c r="C379" s="643" t="s">
        <v>2120</v>
      </c>
      <c r="D379" s="3087">
        <v>3</v>
      </c>
      <c r="E379" s="3088" t="str">
        <f t="shared" si="53"/>
        <v xml:space="preserve">        ----</v>
      </c>
      <c r="F379" s="3089" t="s">
        <v>2121</v>
      </c>
      <c r="G379" s="3090" t="str">
        <f t="shared" si="54"/>
        <v xml:space="preserve">        ----</v>
      </c>
      <c r="H379" s="3091">
        <f t="shared" ca="1" si="57"/>
        <v>0</v>
      </c>
      <c r="I379" s="3093" t="s">
        <v>6810</v>
      </c>
      <c r="J379" s="3072"/>
      <c r="K379" s="3090" t="str">
        <f t="shared" si="55"/>
        <v xml:space="preserve">        ----</v>
      </c>
      <c r="L379" s="3071">
        <f t="shared" ca="1" si="58"/>
        <v>0</v>
      </c>
      <c r="M379" s="3093" t="s">
        <v>6810</v>
      </c>
      <c r="N379" s="3072"/>
      <c r="O379" s="3099"/>
      <c r="P379" s="3100"/>
      <c r="Q379" s="3100"/>
      <c r="R379" s="3100"/>
      <c r="S379" s="3101" t="s">
        <v>295</v>
      </c>
      <c r="T379" s="3101" t="s">
        <v>213</v>
      </c>
      <c r="U379" s="3102"/>
      <c r="V379" s="3102" t="s">
        <v>295</v>
      </c>
      <c r="W379" s="3102" t="s">
        <v>6804</v>
      </c>
      <c r="X379" s="3102" t="s">
        <v>6805</v>
      </c>
      <c r="Y379" s="3103" t="s">
        <v>119</v>
      </c>
    </row>
    <row r="380" spans="1:25" ht="36" hidden="1">
      <c r="A380" s="1304"/>
      <c r="B380" s="643"/>
      <c r="C380" s="643" t="s">
        <v>2125</v>
      </c>
      <c r="D380" s="3087">
        <v>3</v>
      </c>
      <c r="E380" s="3088" t="str">
        <f t="shared" si="53"/>
        <v xml:space="preserve">        ----</v>
      </c>
      <c r="F380" s="3089" t="s">
        <v>2126</v>
      </c>
      <c r="G380" s="3090" t="str">
        <f t="shared" si="54"/>
        <v xml:space="preserve">        ----</v>
      </c>
      <c r="H380" s="3091">
        <f t="shared" ca="1" si="57"/>
        <v>0</v>
      </c>
      <c r="I380" s="3093" t="s">
        <v>6810</v>
      </c>
      <c r="J380" s="3072"/>
      <c r="K380" s="3090" t="str">
        <f t="shared" si="55"/>
        <v xml:space="preserve">        ----</v>
      </c>
      <c r="L380" s="3071">
        <f t="shared" ca="1" si="58"/>
        <v>0</v>
      </c>
      <c r="M380" s="3093" t="s">
        <v>6810</v>
      </c>
      <c r="N380" s="3072"/>
      <c r="O380" s="3099"/>
      <c r="P380" s="3100"/>
      <c r="Q380" s="3100"/>
      <c r="R380" s="3100"/>
      <c r="S380" s="3101" t="s">
        <v>295</v>
      </c>
      <c r="T380" s="3101" t="s">
        <v>213</v>
      </c>
      <c r="U380" s="3102"/>
      <c r="V380" s="3102" t="s">
        <v>295</v>
      </c>
      <c r="W380" s="3102" t="s">
        <v>6804</v>
      </c>
      <c r="X380" s="3102" t="s">
        <v>6805</v>
      </c>
      <c r="Y380" s="3103" t="s">
        <v>119</v>
      </c>
    </row>
    <row r="381" spans="1:25" ht="24" hidden="1">
      <c r="A381" s="1304"/>
      <c r="B381" s="643"/>
      <c r="C381" s="643" t="s">
        <v>2127</v>
      </c>
      <c r="D381" s="3087">
        <v>3</v>
      </c>
      <c r="E381" s="3088" t="str">
        <f t="shared" si="53"/>
        <v xml:space="preserve">        ----</v>
      </c>
      <c r="F381" s="3089" t="s">
        <v>2128</v>
      </c>
      <c r="G381" s="3090" t="str">
        <f t="shared" si="54"/>
        <v xml:space="preserve">        ----</v>
      </c>
      <c r="H381" s="3091" t="s">
        <v>6806</v>
      </c>
      <c r="I381" s="3093" t="s">
        <v>6810</v>
      </c>
      <c r="J381" s="3072"/>
      <c r="K381" s="3090" t="str">
        <f t="shared" si="55"/>
        <v xml:space="preserve">        ----</v>
      </c>
      <c r="L381" s="3071" t="s">
        <v>6806</v>
      </c>
      <c r="M381" s="3093" t="s">
        <v>6810</v>
      </c>
      <c r="N381" s="3072"/>
      <c r="O381" s="3099"/>
      <c r="P381" s="3100"/>
      <c r="Q381" s="3100"/>
      <c r="R381" s="3100"/>
      <c r="S381" s="3101" t="s">
        <v>295</v>
      </c>
      <c r="T381" s="3101" t="s">
        <v>213</v>
      </c>
      <c r="U381" s="3102"/>
      <c r="V381" s="3102" t="s">
        <v>295</v>
      </c>
      <c r="W381" s="3102" t="s">
        <v>145</v>
      </c>
      <c r="X381" s="3102" t="s">
        <v>6807</v>
      </c>
      <c r="Y381" s="3103" t="s">
        <v>119</v>
      </c>
    </row>
    <row r="382" spans="1:25" ht="48" hidden="1">
      <c r="A382" s="1304"/>
      <c r="B382" s="643"/>
      <c r="C382" s="643" t="s">
        <v>2149</v>
      </c>
      <c r="D382" s="3087">
        <v>3</v>
      </c>
      <c r="E382" s="3088" t="str">
        <f t="shared" si="53"/>
        <v xml:space="preserve">        ----</v>
      </c>
      <c r="F382" s="3089" t="s">
        <v>2159</v>
      </c>
      <c r="G382" s="3090" t="str">
        <f t="shared" si="54"/>
        <v xml:space="preserve">        ----</v>
      </c>
      <c r="H382" s="3091">
        <f ca="1">INDIRECT("Notes!CheckA"&amp;$C382)</f>
        <v>0</v>
      </c>
      <c r="I382" s="3093" t="s">
        <v>6810</v>
      </c>
      <c r="J382" s="3072"/>
      <c r="K382" s="3090" t="str">
        <f t="shared" si="55"/>
        <v xml:space="preserve">        ----</v>
      </c>
      <c r="L382" s="3071" t="s">
        <v>6806</v>
      </c>
      <c r="M382" s="3093" t="s">
        <v>6810</v>
      </c>
      <c r="N382" s="3072"/>
      <c r="O382" s="3099"/>
      <c r="P382" s="3100"/>
      <c r="Q382" s="3100"/>
      <c r="R382" s="3100"/>
      <c r="S382" s="3101" t="s">
        <v>295</v>
      </c>
      <c r="T382" s="3101" t="s">
        <v>213</v>
      </c>
      <c r="U382" s="3102"/>
      <c r="V382" s="3102" t="s">
        <v>295</v>
      </c>
      <c r="W382" s="3102" t="s">
        <v>6804</v>
      </c>
      <c r="X382" s="3102" t="s">
        <v>6807</v>
      </c>
      <c r="Y382" s="3103" t="s">
        <v>164</v>
      </c>
    </row>
    <row r="383" spans="1:25" ht="48" hidden="1">
      <c r="A383" s="1304"/>
      <c r="B383" s="643"/>
      <c r="C383" s="643" t="s">
        <v>2160</v>
      </c>
      <c r="D383" s="3087">
        <v>3</v>
      </c>
      <c r="E383" s="3088" t="str">
        <f t="shared" si="53"/>
        <v xml:space="preserve">        ----</v>
      </c>
      <c r="F383" s="3089" t="s">
        <v>2161</v>
      </c>
      <c r="G383" s="3090" t="str">
        <f t="shared" si="54"/>
        <v xml:space="preserve">        ----</v>
      </c>
      <c r="H383" s="3091">
        <f ca="1">INDIRECT("Notes!CheckA"&amp;$C383)</f>
        <v>0</v>
      </c>
      <c r="I383" s="3093" t="s">
        <v>6810</v>
      </c>
      <c r="J383" s="3072"/>
      <c r="K383" s="3090" t="str">
        <f t="shared" si="55"/>
        <v xml:space="preserve">        ----</v>
      </c>
      <c r="L383" s="3071" t="s">
        <v>6806</v>
      </c>
      <c r="M383" s="3093" t="s">
        <v>6810</v>
      </c>
      <c r="N383" s="3072"/>
      <c r="O383" s="3099"/>
      <c r="P383" s="3100"/>
      <c r="Q383" s="3100"/>
      <c r="R383" s="3100"/>
      <c r="S383" s="3101" t="s">
        <v>295</v>
      </c>
      <c r="T383" s="3101" t="s">
        <v>213</v>
      </c>
      <c r="U383" s="3102"/>
      <c r="V383" s="3102" t="s">
        <v>295</v>
      </c>
      <c r="W383" s="3102" t="s">
        <v>6804</v>
      </c>
      <c r="X383" s="3102" t="s">
        <v>6807</v>
      </c>
      <c r="Y383" s="3103" t="s">
        <v>164</v>
      </c>
    </row>
    <row r="384" spans="1:25" ht="60" hidden="1">
      <c r="A384" s="1304"/>
      <c r="B384" s="643"/>
      <c r="C384" s="643" t="s">
        <v>2144</v>
      </c>
      <c r="D384" s="3087">
        <v>3</v>
      </c>
      <c r="E384" s="3088" t="str">
        <f t="shared" si="53"/>
        <v xml:space="preserve">        ----</v>
      </c>
      <c r="F384" s="3089" t="s">
        <v>2145</v>
      </c>
      <c r="G384" s="3090" t="str">
        <f t="shared" si="54"/>
        <v xml:space="preserve">        ----</v>
      </c>
      <c r="H384" s="3091" t="s">
        <v>6806</v>
      </c>
      <c r="I384" s="3093" t="s">
        <v>6810</v>
      </c>
      <c r="J384" s="3072"/>
      <c r="K384" s="3090" t="str">
        <f t="shared" si="55"/>
        <v xml:space="preserve">        ----</v>
      </c>
      <c r="L384" s="3071" t="s">
        <v>6806</v>
      </c>
      <c r="M384" s="3093" t="s">
        <v>6810</v>
      </c>
      <c r="N384" s="3072"/>
      <c r="O384" s="3099"/>
      <c r="P384" s="3100"/>
      <c r="Q384" s="3100"/>
      <c r="R384" s="3100"/>
      <c r="S384" s="3101" t="s">
        <v>295</v>
      </c>
      <c r="T384" s="3101" t="s">
        <v>213</v>
      </c>
      <c r="U384" s="3102"/>
      <c r="V384" s="3102" t="s">
        <v>295</v>
      </c>
      <c r="W384" s="3102" t="s">
        <v>6804</v>
      </c>
      <c r="X384" s="3102" t="s">
        <v>6807</v>
      </c>
      <c r="Y384" s="3103" t="s">
        <v>164</v>
      </c>
    </row>
    <row r="385" spans="1:25" ht="36" hidden="1">
      <c r="A385" s="1304"/>
      <c r="B385" s="643"/>
      <c r="C385" s="643" t="s">
        <v>2130</v>
      </c>
      <c r="D385" s="3087">
        <v>3</v>
      </c>
      <c r="E385" s="3088" t="str">
        <f t="shared" si="53"/>
        <v xml:space="preserve">        ----</v>
      </c>
      <c r="F385" s="3089" t="s">
        <v>2131</v>
      </c>
      <c r="G385" s="3090" t="str">
        <f t="shared" si="54"/>
        <v xml:space="preserve">        ----</v>
      </c>
      <c r="H385" s="3091" t="s">
        <v>6806</v>
      </c>
      <c r="I385" s="3093" t="s">
        <v>6810</v>
      </c>
      <c r="J385" s="3072"/>
      <c r="K385" s="3090" t="str">
        <f t="shared" si="55"/>
        <v xml:space="preserve">        ----</v>
      </c>
      <c r="L385" s="3071" t="s">
        <v>6806</v>
      </c>
      <c r="M385" s="3093" t="s">
        <v>6810</v>
      </c>
      <c r="N385" s="3072"/>
      <c r="O385" s="3099"/>
      <c r="P385" s="3100"/>
      <c r="Q385" s="3100"/>
      <c r="R385" s="3100"/>
      <c r="S385" s="3101" t="s">
        <v>295</v>
      </c>
      <c r="T385" s="3101" t="s">
        <v>213</v>
      </c>
      <c r="U385" s="3102"/>
      <c r="V385" s="3102" t="s">
        <v>295</v>
      </c>
      <c r="W385" s="3102" t="s">
        <v>6804</v>
      </c>
      <c r="X385" s="3102" t="s">
        <v>6807</v>
      </c>
      <c r="Y385" s="3103" t="s">
        <v>164</v>
      </c>
    </row>
    <row r="386" spans="1:25" ht="24" hidden="1">
      <c r="A386" s="1304"/>
      <c r="B386" s="643"/>
      <c r="C386" s="643" t="s">
        <v>2064</v>
      </c>
      <c r="D386" s="3087">
        <v>3</v>
      </c>
      <c r="E386" s="3088" t="str">
        <f t="shared" si="53"/>
        <v xml:space="preserve">        ----</v>
      </c>
      <c r="F386" s="3089" t="s">
        <v>2065</v>
      </c>
      <c r="G386" s="3090" t="str">
        <f t="shared" si="54"/>
        <v xml:space="preserve">        ----</v>
      </c>
      <c r="H386" s="3091">
        <f ca="1">INDIRECT("Notes!CheckA"&amp;$C386)</f>
        <v>0</v>
      </c>
      <c r="I386" s="3093" t="s">
        <v>6810</v>
      </c>
      <c r="J386" s="3072"/>
      <c r="K386" s="3090" t="str">
        <f t="shared" si="55"/>
        <v xml:space="preserve">        ----</v>
      </c>
      <c r="L386" s="3071">
        <f ca="1">INDIRECT("Notes!CheckB"&amp;$C386)</f>
        <v>0</v>
      </c>
      <c r="M386" s="3093" t="s">
        <v>6810</v>
      </c>
      <c r="N386" s="3072"/>
      <c r="O386" s="3099"/>
      <c r="P386" s="3100"/>
      <c r="Q386" s="3100"/>
      <c r="R386" s="3100"/>
      <c r="S386" s="3101" t="s">
        <v>295</v>
      </c>
      <c r="T386" s="3101" t="s">
        <v>213</v>
      </c>
      <c r="U386" s="3102"/>
      <c r="V386" s="3102" t="s">
        <v>295</v>
      </c>
      <c r="W386" s="3102" t="s">
        <v>6804</v>
      </c>
      <c r="X386" s="3102" t="s">
        <v>6805</v>
      </c>
      <c r="Y386" s="3103" t="s">
        <v>164</v>
      </c>
    </row>
    <row r="387" spans="1:25" ht="24" hidden="1">
      <c r="A387" s="1304"/>
      <c r="B387" s="643"/>
      <c r="C387" s="643" t="s">
        <v>2067</v>
      </c>
      <c r="D387" s="3087">
        <v>3</v>
      </c>
      <c r="E387" s="3088" t="str">
        <f t="shared" si="53"/>
        <v xml:space="preserve">        ----</v>
      </c>
      <c r="F387" s="3089" t="s">
        <v>2068</v>
      </c>
      <c r="G387" s="3090" t="str">
        <f t="shared" si="54"/>
        <v xml:space="preserve">        ----</v>
      </c>
      <c r="H387" s="3091">
        <f ca="1">INDIRECT("Notes!CheckA"&amp;$C387)</f>
        <v>0</v>
      </c>
      <c r="I387" s="3093" t="s">
        <v>6810</v>
      </c>
      <c r="J387" s="3072"/>
      <c r="K387" s="3090" t="str">
        <f t="shared" si="55"/>
        <v xml:space="preserve">        ----</v>
      </c>
      <c r="L387" s="3071">
        <f ca="1">INDIRECT("Notes!CheckB"&amp;$C387)</f>
        <v>0</v>
      </c>
      <c r="M387" s="3093" t="s">
        <v>6810</v>
      </c>
      <c r="N387" s="3072"/>
      <c r="O387" s="3099"/>
      <c r="P387" s="3100"/>
      <c r="Q387" s="3100"/>
      <c r="R387" s="3100"/>
      <c r="S387" s="3101" t="s">
        <v>295</v>
      </c>
      <c r="T387" s="3101" t="s">
        <v>213</v>
      </c>
      <c r="U387" s="3102"/>
      <c r="V387" s="3102" t="s">
        <v>295</v>
      </c>
      <c r="W387" s="3102" t="s">
        <v>6804</v>
      </c>
      <c r="X387" s="3102" t="s">
        <v>6805</v>
      </c>
      <c r="Y387" s="3103" t="s">
        <v>164</v>
      </c>
    </row>
    <row r="388" spans="1:25" ht="18" hidden="1">
      <c r="A388" s="1304"/>
      <c r="B388" s="643"/>
      <c r="C388" s="643" t="s">
        <v>2069</v>
      </c>
      <c r="D388" s="3087">
        <v>3</v>
      </c>
      <c r="E388" s="3088" t="str">
        <f t="shared" si="53"/>
        <v xml:space="preserve">        ----</v>
      </c>
      <c r="F388" s="3089" t="s">
        <v>2070</v>
      </c>
      <c r="G388" s="3090" t="str">
        <f t="shared" si="54"/>
        <v xml:space="preserve">        ----</v>
      </c>
      <c r="H388" s="3091" t="s">
        <v>6806</v>
      </c>
      <c r="I388" s="3093" t="s">
        <v>6810</v>
      </c>
      <c r="J388" s="3072"/>
      <c r="K388" s="3090" t="str">
        <f t="shared" si="55"/>
        <v xml:space="preserve">        ----</v>
      </c>
      <c r="L388" s="3071" t="s">
        <v>6806</v>
      </c>
      <c r="M388" s="3093" t="s">
        <v>6810</v>
      </c>
      <c r="N388" s="3072"/>
      <c r="O388" s="3099"/>
      <c r="P388" s="3100"/>
      <c r="Q388" s="3100"/>
      <c r="R388" s="3100"/>
      <c r="S388" s="3101" t="s">
        <v>295</v>
      </c>
      <c r="T388" s="3101" t="s">
        <v>213</v>
      </c>
      <c r="U388" s="3102"/>
      <c r="V388" s="3102" t="s">
        <v>295</v>
      </c>
      <c r="W388" s="3102" t="s">
        <v>6804</v>
      </c>
      <c r="X388" s="3102" t="s">
        <v>6805</v>
      </c>
      <c r="Y388" s="3103" t="s">
        <v>164</v>
      </c>
    </row>
    <row r="389" spans="1:25" ht="18" hidden="1">
      <c r="A389" s="1304"/>
      <c r="B389" s="643"/>
      <c r="C389" s="643" t="s">
        <v>2072</v>
      </c>
      <c r="D389" s="3087">
        <v>3</v>
      </c>
      <c r="E389" s="3088" t="str">
        <f t="shared" si="53"/>
        <v xml:space="preserve">        ----</v>
      </c>
      <c r="F389" s="3089" t="s">
        <v>2073</v>
      </c>
      <c r="G389" s="3090" t="str">
        <f t="shared" si="54"/>
        <v xml:space="preserve">        ----</v>
      </c>
      <c r="H389" s="3091" t="s">
        <v>6806</v>
      </c>
      <c r="I389" s="3093" t="s">
        <v>6810</v>
      </c>
      <c r="J389" s="3072"/>
      <c r="K389" s="3090" t="str">
        <f t="shared" si="55"/>
        <v xml:space="preserve">        ----</v>
      </c>
      <c r="L389" s="3071" t="s">
        <v>6806</v>
      </c>
      <c r="M389" s="3093" t="s">
        <v>6810</v>
      </c>
      <c r="N389" s="3072"/>
      <c r="O389" s="3099"/>
      <c r="P389" s="3100"/>
      <c r="Q389" s="3100"/>
      <c r="R389" s="3100"/>
      <c r="S389" s="3101" t="s">
        <v>295</v>
      </c>
      <c r="T389" s="3101" t="s">
        <v>213</v>
      </c>
      <c r="U389" s="3102"/>
      <c r="V389" s="3102" t="s">
        <v>295</v>
      </c>
      <c r="W389" s="3102" t="s">
        <v>6804</v>
      </c>
      <c r="X389" s="3102" t="s">
        <v>6805</v>
      </c>
      <c r="Y389" s="3103" t="s">
        <v>164</v>
      </c>
    </row>
    <row r="390" spans="1:25" ht="24" hidden="1">
      <c r="A390" s="1304"/>
      <c r="B390" s="643"/>
      <c r="C390" s="643" t="s">
        <v>2075</v>
      </c>
      <c r="D390" s="3087">
        <v>3</v>
      </c>
      <c r="E390" s="3088" t="str">
        <f t="shared" si="53"/>
        <v xml:space="preserve">        ----</v>
      </c>
      <c r="F390" s="3089" t="s">
        <v>2076</v>
      </c>
      <c r="G390" s="3090" t="str">
        <f t="shared" si="54"/>
        <v xml:space="preserve">        ----</v>
      </c>
      <c r="H390" s="3091" t="s">
        <v>6806</v>
      </c>
      <c r="I390" s="3093" t="s">
        <v>6810</v>
      </c>
      <c r="J390" s="3072"/>
      <c r="K390" s="3090" t="str">
        <f t="shared" si="55"/>
        <v xml:space="preserve">        ----</v>
      </c>
      <c r="L390" s="3071" t="s">
        <v>6806</v>
      </c>
      <c r="M390" s="3093" t="s">
        <v>6810</v>
      </c>
      <c r="N390" s="3072"/>
      <c r="O390" s="3099"/>
      <c r="P390" s="3100"/>
      <c r="Q390" s="3100"/>
      <c r="R390" s="3100"/>
      <c r="S390" s="3101" t="s">
        <v>295</v>
      </c>
      <c r="T390" s="3101" t="s">
        <v>213</v>
      </c>
      <c r="U390" s="3102"/>
      <c r="V390" s="3102" t="s">
        <v>295</v>
      </c>
      <c r="W390" s="3102" t="s">
        <v>6804</v>
      </c>
      <c r="X390" s="3102" t="s">
        <v>6805</v>
      </c>
      <c r="Y390" s="3103" t="s">
        <v>164</v>
      </c>
    </row>
    <row r="391" spans="1:25" ht="24" hidden="1">
      <c r="A391" s="1304"/>
      <c r="B391" s="643"/>
      <c r="C391" s="643" t="s">
        <v>2077</v>
      </c>
      <c r="D391" s="3087">
        <v>3</v>
      </c>
      <c r="E391" s="3088" t="str">
        <f t="shared" si="53"/>
        <v xml:space="preserve">        ----</v>
      </c>
      <c r="F391" s="3089" t="s">
        <v>2078</v>
      </c>
      <c r="G391" s="3090" t="str">
        <f t="shared" si="54"/>
        <v xml:space="preserve">        ----</v>
      </c>
      <c r="H391" s="3091" t="s">
        <v>6806</v>
      </c>
      <c r="I391" s="3093" t="s">
        <v>6810</v>
      </c>
      <c r="J391" s="3072"/>
      <c r="K391" s="3090" t="str">
        <f t="shared" si="55"/>
        <v xml:space="preserve">        ----</v>
      </c>
      <c r="L391" s="3071" t="s">
        <v>6806</v>
      </c>
      <c r="M391" s="3093" t="s">
        <v>6810</v>
      </c>
      <c r="N391" s="3072"/>
      <c r="O391" s="3099"/>
      <c r="P391" s="3100"/>
      <c r="Q391" s="3100"/>
      <c r="R391" s="3100"/>
      <c r="S391" s="3101" t="s">
        <v>295</v>
      </c>
      <c r="T391" s="3101" t="s">
        <v>213</v>
      </c>
      <c r="U391" s="3102"/>
      <c r="V391" s="3102" t="s">
        <v>295</v>
      </c>
      <c r="W391" s="3102" t="s">
        <v>6804</v>
      </c>
      <c r="X391" s="3102" t="s">
        <v>6805</v>
      </c>
      <c r="Y391" s="3103" t="s">
        <v>164</v>
      </c>
    </row>
    <row r="392" spans="1:25" ht="24" hidden="1">
      <c r="A392" s="1304"/>
      <c r="B392" s="643"/>
      <c r="C392" s="643" t="s">
        <v>2079</v>
      </c>
      <c r="D392" s="3087">
        <v>3</v>
      </c>
      <c r="E392" s="3088" t="str">
        <f t="shared" si="53"/>
        <v xml:space="preserve">        ----</v>
      </c>
      <c r="F392" s="3089" t="s">
        <v>2080</v>
      </c>
      <c r="G392" s="3090" t="str">
        <f t="shared" si="54"/>
        <v xml:space="preserve">        ----</v>
      </c>
      <c r="H392" s="3091" t="s">
        <v>6806</v>
      </c>
      <c r="I392" s="3093" t="s">
        <v>6810</v>
      </c>
      <c r="J392" s="3072"/>
      <c r="K392" s="3090" t="str">
        <f t="shared" si="55"/>
        <v xml:space="preserve">        ----</v>
      </c>
      <c r="L392" s="3071" t="s">
        <v>6806</v>
      </c>
      <c r="M392" s="3093" t="s">
        <v>6810</v>
      </c>
      <c r="N392" s="3072"/>
      <c r="O392" s="3099"/>
      <c r="P392" s="3100"/>
      <c r="Q392" s="3100"/>
      <c r="R392" s="3100"/>
      <c r="S392" s="3101" t="s">
        <v>295</v>
      </c>
      <c r="T392" s="3101" t="s">
        <v>213</v>
      </c>
      <c r="U392" s="3102"/>
      <c r="V392" s="3102" t="s">
        <v>295</v>
      </c>
      <c r="W392" s="3102" t="s">
        <v>6804</v>
      </c>
      <c r="X392" s="3102" t="s">
        <v>6805</v>
      </c>
      <c r="Y392" s="3103" t="s">
        <v>164</v>
      </c>
    </row>
    <row r="393" spans="1:25" ht="24" hidden="1">
      <c r="A393" s="1304"/>
      <c r="B393" s="643"/>
      <c r="C393" s="643" t="s">
        <v>2081</v>
      </c>
      <c r="D393" s="3087">
        <v>3</v>
      </c>
      <c r="E393" s="3088" t="str">
        <f t="shared" ref="E393:E408" si="59">IF(ISERROR(VLOOKUP($B393,Sheet_Items,2,0)),"        ----",VLOOKUP($B393,Sheet_Items,2,0))</f>
        <v xml:space="preserve">        ----</v>
      </c>
      <c r="F393" s="3089" t="s">
        <v>2082</v>
      </c>
      <c r="G393" s="3090" t="str">
        <f t="shared" ref="G393:G408" si="60">IF(ISERROR(VLOOKUP($B393,Sheet_Trialbal,6,0)),"        ----",VLOOKUP($B393,Sheet_Trialbal,6,0))</f>
        <v xml:space="preserve">        ----</v>
      </c>
      <c r="H393" s="3091" t="s">
        <v>6806</v>
      </c>
      <c r="I393" s="3093" t="s">
        <v>6810</v>
      </c>
      <c r="J393" s="3072"/>
      <c r="K393" s="3090" t="str">
        <f t="shared" si="55"/>
        <v xml:space="preserve">        ----</v>
      </c>
      <c r="L393" s="3071" t="s">
        <v>6806</v>
      </c>
      <c r="M393" s="3093" t="s">
        <v>6810</v>
      </c>
      <c r="N393" s="3072"/>
      <c r="O393" s="3099"/>
      <c r="P393" s="3100"/>
      <c r="Q393" s="3100"/>
      <c r="R393" s="3100"/>
      <c r="S393" s="3101" t="s">
        <v>295</v>
      </c>
      <c r="T393" s="3101" t="s">
        <v>213</v>
      </c>
      <c r="U393" s="3102"/>
      <c r="V393" s="3102" t="s">
        <v>295</v>
      </c>
      <c r="W393" s="3102" t="s">
        <v>6804</v>
      </c>
      <c r="X393" s="3102" t="s">
        <v>6805</v>
      </c>
      <c r="Y393" s="3103" t="s">
        <v>164</v>
      </c>
    </row>
    <row r="394" spans="1:25" ht="24" hidden="1">
      <c r="A394" s="1304"/>
      <c r="B394" s="643"/>
      <c r="C394" s="643" t="s">
        <v>2083</v>
      </c>
      <c r="D394" s="3087">
        <v>3</v>
      </c>
      <c r="E394" s="3088" t="str">
        <f t="shared" si="59"/>
        <v xml:space="preserve">        ----</v>
      </c>
      <c r="F394" s="3089" t="s">
        <v>2084</v>
      </c>
      <c r="G394" s="3090" t="str">
        <f t="shared" si="60"/>
        <v xml:space="preserve">        ----</v>
      </c>
      <c r="H394" s="3091" t="s">
        <v>6806</v>
      </c>
      <c r="I394" s="3093" t="s">
        <v>6810</v>
      </c>
      <c r="J394" s="3072"/>
      <c r="K394" s="3090" t="str">
        <f t="shared" si="55"/>
        <v xml:space="preserve">        ----</v>
      </c>
      <c r="L394" s="3071" t="s">
        <v>6806</v>
      </c>
      <c r="M394" s="3093" t="s">
        <v>6810</v>
      </c>
      <c r="N394" s="3072"/>
      <c r="O394" s="3099"/>
      <c r="P394" s="3100"/>
      <c r="Q394" s="3100"/>
      <c r="R394" s="3100"/>
      <c r="S394" s="3101" t="s">
        <v>295</v>
      </c>
      <c r="T394" s="3101" t="s">
        <v>213</v>
      </c>
      <c r="U394" s="3102"/>
      <c r="V394" s="3102" t="s">
        <v>295</v>
      </c>
      <c r="W394" s="3102" t="s">
        <v>6804</v>
      </c>
      <c r="X394" s="3102" t="s">
        <v>6805</v>
      </c>
      <c r="Y394" s="3103" t="s">
        <v>164</v>
      </c>
    </row>
    <row r="395" spans="1:25" ht="24" hidden="1">
      <c r="A395" s="1304"/>
      <c r="B395" s="643"/>
      <c r="C395" s="643" t="s">
        <v>2085</v>
      </c>
      <c r="D395" s="3087">
        <v>3</v>
      </c>
      <c r="E395" s="3088" t="str">
        <f t="shared" si="59"/>
        <v xml:space="preserve">        ----</v>
      </c>
      <c r="F395" s="3089" t="s">
        <v>2086</v>
      </c>
      <c r="G395" s="3090" t="str">
        <f t="shared" si="60"/>
        <v xml:space="preserve">        ----</v>
      </c>
      <c r="H395" s="3091" t="s">
        <v>6806</v>
      </c>
      <c r="I395" s="3093" t="s">
        <v>6810</v>
      </c>
      <c r="J395" s="3072"/>
      <c r="K395" s="3090" t="str">
        <f t="shared" si="55"/>
        <v xml:space="preserve">        ----</v>
      </c>
      <c r="L395" s="3071" t="s">
        <v>6806</v>
      </c>
      <c r="M395" s="3093" t="s">
        <v>6810</v>
      </c>
      <c r="N395" s="3072"/>
      <c r="O395" s="3099"/>
      <c r="P395" s="3100"/>
      <c r="Q395" s="3100"/>
      <c r="R395" s="3100"/>
      <c r="S395" s="3101" t="s">
        <v>295</v>
      </c>
      <c r="T395" s="3101" t="s">
        <v>213</v>
      </c>
      <c r="U395" s="3102"/>
      <c r="V395" s="3102" t="s">
        <v>295</v>
      </c>
      <c r="W395" s="3102" t="s">
        <v>6804</v>
      </c>
      <c r="X395" s="3102" t="s">
        <v>6805</v>
      </c>
      <c r="Y395" s="3103" t="s">
        <v>164</v>
      </c>
    </row>
    <row r="396" spans="1:25" ht="24" hidden="1">
      <c r="A396" s="1304"/>
      <c r="B396" s="643"/>
      <c r="C396" s="643" t="s">
        <v>2088</v>
      </c>
      <c r="D396" s="3087">
        <v>3</v>
      </c>
      <c r="E396" s="3088" t="str">
        <f t="shared" si="59"/>
        <v xml:space="preserve">        ----</v>
      </c>
      <c r="F396" s="3089" t="s">
        <v>2089</v>
      </c>
      <c r="G396" s="3090" t="str">
        <f t="shared" si="60"/>
        <v xml:space="preserve">        ----</v>
      </c>
      <c r="H396" s="3091" t="s">
        <v>6806</v>
      </c>
      <c r="I396" s="3093" t="s">
        <v>6810</v>
      </c>
      <c r="J396" s="3072"/>
      <c r="K396" s="3090" t="str">
        <f t="shared" si="55"/>
        <v xml:space="preserve">        ----</v>
      </c>
      <c r="L396" s="3071" t="s">
        <v>6806</v>
      </c>
      <c r="M396" s="3093" t="s">
        <v>6810</v>
      </c>
      <c r="N396" s="3072"/>
      <c r="O396" s="3099"/>
      <c r="P396" s="3100"/>
      <c r="Q396" s="3100"/>
      <c r="R396" s="3100"/>
      <c r="S396" s="3101" t="s">
        <v>295</v>
      </c>
      <c r="T396" s="3101" t="s">
        <v>213</v>
      </c>
      <c r="U396" s="3102"/>
      <c r="V396" s="3102" t="s">
        <v>295</v>
      </c>
      <c r="W396" s="3102" t="s">
        <v>6804</v>
      </c>
      <c r="X396" s="3102" t="s">
        <v>6805</v>
      </c>
      <c r="Y396" s="3103" t="s">
        <v>164</v>
      </c>
    </row>
    <row r="397" spans="1:25" ht="18" hidden="1">
      <c r="A397" s="1304"/>
      <c r="B397" s="643"/>
      <c r="C397" s="643" t="s">
        <v>2091</v>
      </c>
      <c r="D397" s="3087">
        <v>3</v>
      </c>
      <c r="E397" s="3088" t="str">
        <f t="shared" si="59"/>
        <v xml:space="preserve">        ----</v>
      </c>
      <c r="F397" s="3089" t="s">
        <v>2092</v>
      </c>
      <c r="G397" s="3090" t="str">
        <f t="shared" si="60"/>
        <v xml:space="preserve">        ----</v>
      </c>
      <c r="H397" s="3091" t="s">
        <v>6806</v>
      </c>
      <c r="I397" s="3093" t="s">
        <v>6810</v>
      </c>
      <c r="J397" s="3072"/>
      <c r="K397" s="3090" t="str">
        <f t="shared" si="55"/>
        <v xml:space="preserve">        ----</v>
      </c>
      <c r="L397" s="3071" t="s">
        <v>6806</v>
      </c>
      <c r="M397" s="3093" t="s">
        <v>6810</v>
      </c>
      <c r="N397" s="3072"/>
      <c r="O397" s="3099"/>
      <c r="P397" s="3100"/>
      <c r="Q397" s="3100"/>
      <c r="R397" s="3100"/>
      <c r="S397" s="3101" t="s">
        <v>295</v>
      </c>
      <c r="T397" s="3101" t="s">
        <v>213</v>
      </c>
      <c r="U397" s="3102"/>
      <c r="V397" s="3102" t="s">
        <v>295</v>
      </c>
      <c r="W397" s="3102" t="s">
        <v>6804</v>
      </c>
      <c r="X397" s="3102" t="s">
        <v>6805</v>
      </c>
      <c r="Y397" s="3103" t="s">
        <v>164</v>
      </c>
    </row>
    <row r="398" spans="1:25" ht="24" hidden="1">
      <c r="A398" s="1304"/>
      <c r="B398" s="643"/>
      <c r="C398" s="643" t="s">
        <v>2094</v>
      </c>
      <c r="D398" s="3087">
        <v>3</v>
      </c>
      <c r="E398" s="3088" t="str">
        <f t="shared" si="59"/>
        <v xml:space="preserve">        ----</v>
      </c>
      <c r="F398" s="3089" t="s">
        <v>2095</v>
      </c>
      <c r="G398" s="3090" t="str">
        <f t="shared" si="60"/>
        <v xml:space="preserve">        ----</v>
      </c>
      <c r="H398" s="3091">
        <f ca="1">INDIRECT("Notes!CheckA"&amp;$C398)</f>
        <v>0</v>
      </c>
      <c r="I398" s="3093" t="s">
        <v>6810</v>
      </c>
      <c r="J398" s="3072"/>
      <c r="K398" s="3090" t="str">
        <f t="shared" si="55"/>
        <v xml:space="preserve">        ----</v>
      </c>
      <c r="L398" s="3071">
        <f ca="1">INDIRECT("Notes!CheckB"&amp;$C398)</f>
        <v>0</v>
      </c>
      <c r="M398" s="3093" t="s">
        <v>6810</v>
      </c>
      <c r="N398" s="3072"/>
      <c r="O398" s="3099"/>
      <c r="P398" s="3100"/>
      <c r="Q398" s="3100"/>
      <c r="R398" s="3100"/>
      <c r="S398" s="3101" t="s">
        <v>295</v>
      </c>
      <c r="T398" s="3101" t="s">
        <v>213</v>
      </c>
      <c r="U398" s="3102"/>
      <c r="V398" s="3102" t="s">
        <v>295</v>
      </c>
      <c r="W398" s="3102" t="s">
        <v>6804</v>
      </c>
      <c r="X398" s="3102" t="s">
        <v>6805</v>
      </c>
      <c r="Y398" s="3103" t="s">
        <v>164</v>
      </c>
    </row>
    <row r="399" spans="1:25" ht="24" hidden="1">
      <c r="A399" s="1304"/>
      <c r="B399" s="643"/>
      <c r="C399" s="643" t="s">
        <v>2096</v>
      </c>
      <c r="D399" s="3087">
        <v>3</v>
      </c>
      <c r="E399" s="3088" t="str">
        <f t="shared" si="59"/>
        <v xml:space="preserve">        ----</v>
      </c>
      <c r="F399" s="3089" t="s">
        <v>2097</v>
      </c>
      <c r="G399" s="3090" t="str">
        <f t="shared" si="60"/>
        <v xml:space="preserve">        ----</v>
      </c>
      <c r="H399" s="3091">
        <f ca="1">INDIRECT("Notes!CheckA"&amp;$C399)</f>
        <v>0</v>
      </c>
      <c r="I399" s="3093" t="s">
        <v>6810</v>
      </c>
      <c r="J399" s="3072"/>
      <c r="K399" s="3090" t="str">
        <f t="shared" si="55"/>
        <v xml:space="preserve">        ----</v>
      </c>
      <c r="L399" s="3071">
        <f ca="1">INDIRECT("Notes!CheckB"&amp;$C399)</f>
        <v>0</v>
      </c>
      <c r="M399" s="3093" t="s">
        <v>6810</v>
      </c>
      <c r="N399" s="3072"/>
      <c r="O399" s="3099"/>
      <c r="P399" s="3100"/>
      <c r="Q399" s="3100"/>
      <c r="R399" s="3100"/>
      <c r="S399" s="3101" t="s">
        <v>295</v>
      </c>
      <c r="T399" s="3101" t="s">
        <v>213</v>
      </c>
      <c r="U399" s="3102"/>
      <c r="V399" s="3102" t="s">
        <v>295</v>
      </c>
      <c r="W399" s="3102" t="s">
        <v>6804</v>
      </c>
      <c r="X399" s="3102" t="s">
        <v>6805</v>
      </c>
      <c r="Y399" s="3103" t="s">
        <v>164</v>
      </c>
    </row>
    <row r="400" spans="1:25" ht="24" hidden="1">
      <c r="A400" s="1304"/>
      <c r="B400" s="643"/>
      <c r="C400" s="643" t="s">
        <v>2153</v>
      </c>
      <c r="D400" s="3087">
        <v>3</v>
      </c>
      <c r="E400" s="3088" t="str">
        <f t="shared" si="59"/>
        <v xml:space="preserve">        ----</v>
      </c>
      <c r="F400" s="3089" t="s">
        <v>2154</v>
      </c>
      <c r="G400" s="3090" t="str">
        <f t="shared" si="60"/>
        <v xml:space="preserve">        ----</v>
      </c>
      <c r="H400" s="3091" t="s">
        <v>6806</v>
      </c>
      <c r="I400" s="3093" t="s">
        <v>6810</v>
      </c>
      <c r="J400" s="3072"/>
      <c r="K400" s="3090" t="str">
        <f t="shared" si="55"/>
        <v xml:space="preserve">        ----</v>
      </c>
      <c r="L400" s="3071" t="s">
        <v>6806</v>
      </c>
      <c r="M400" s="3093" t="s">
        <v>6810</v>
      </c>
      <c r="N400" s="3072"/>
      <c r="O400" s="3099"/>
      <c r="P400" s="3100"/>
      <c r="Q400" s="3100"/>
      <c r="R400" s="3100"/>
      <c r="S400" s="3101" t="s">
        <v>295</v>
      </c>
      <c r="T400" s="3101" t="s">
        <v>213</v>
      </c>
      <c r="U400" s="3102"/>
      <c r="V400" s="3102" t="s">
        <v>295</v>
      </c>
      <c r="W400" s="3102" t="s">
        <v>145</v>
      </c>
      <c r="X400" s="3102" t="s">
        <v>6807</v>
      </c>
      <c r="Y400" s="3103" t="s">
        <v>164</v>
      </c>
    </row>
    <row r="401" spans="1:25" ht="24" hidden="1">
      <c r="A401" s="1304"/>
      <c r="B401" s="643"/>
      <c r="C401" s="643" t="s">
        <v>6101</v>
      </c>
      <c r="D401" s="3087">
        <v>3</v>
      </c>
      <c r="E401" s="3088" t="str">
        <f t="shared" si="59"/>
        <v xml:space="preserve">        ----</v>
      </c>
      <c r="F401" s="3089" t="s">
        <v>6100</v>
      </c>
      <c r="G401" s="3090" t="str">
        <f t="shared" si="60"/>
        <v xml:space="preserve">        ----</v>
      </c>
      <c r="H401" s="3091">
        <f ca="1">INDIRECT("Notes!CheckA"&amp;$C401)</f>
        <v>0</v>
      </c>
      <c r="I401" s="3093" t="s">
        <v>6810</v>
      </c>
      <c r="J401" s="3072"/>
      <c r="K401" s="3090" t="str">
        <f t="shared" si="55"/>
        <v xml:space="preserve">        ----</v>
      </c>
      <c r="L401" s="3071">
        <f ca="1">INDIRECT("Notes!CheckB"&amp;$C401)</f>
        <v>0</v>
      </c>
      <c r="M401" s="3093" t="s">
        <v>6810</v>
      </c>
      <c r="N401" s="3072"/>
      <c r="O401" s="3099"/>
      <c r="P401" s="3100"/>
      <c r="Q401" s="3100"/>
      <c r="R401" s="3100"/>
      <c r="S401" s="3101" t="s">
        <v>213</v>
      </c>
      <c r="T401" s="3101" t="s">
        <v>213</v>
      </c>
      <c r="U401" s="3102"/>
      <c r="V401" s="3102" t="s">
        <v>295</v>
      </c>
      <c r="W401" s="3102" t="s">
        <v>6809</v>
      </c>
      <c r="X401" s="3102" t="s">
        <v>6808</v>
      </c>
      <c r="Y401" s="3103" t="s">
        <v>164</v>
      </c>
    </row>
    <row r="402" spans="1:25" ht="24" hidden="1">
      <c r="A402" s="1304"/>
      <c r="B402" s="643"/>
      <c r="C402" s="643" t="s">
        <v>2181</v>
      </c>
      <c r="D402" s="3087">
        <v>3</v>
      </c>
      <c r="E402" s="3088" t="str">
        <f t="shared" si="59"/>
        <v xml:space="preserve">        ----</v>
      </c>
      <c r="F402" s="3089" t="s">
        <v>912</v>
      </c>
      <c r="G402" s="3090" t="str">
        <f t="shared" si="60"/>
        <v xml:space="preserve">        ----</v>
      </c>
      <c r="H402" s="3091">
        <f ca="1">INDIRECT("Notes!CheckA"&amp;$C402)</f>
        <v>0</v>
      </c>
      <c r="I402" s="3093" t="s">
        <v>6810</v>
      </c>
      <c r="J402" s="3072"/>
      <c r="K402" s="3090" t="str">
        <f t="shared" si="55"/>
        <v xml:space="preserve">        ----</v>
      </c>
      <c r="L402" s="3071">
        <f ca="1">INDIRECT("Notes!CheckB"&amp;$C402)</f>
        <v>0</v>
      </c>
      <c r="M402" s="3093" t="s">
        <v>6810</v>
      </c>
      <c r="N402" s="3072"/>
      <c r="O402" s="3099"/>
      <c r="P402" s="3100"/>
      <c r="Q402" s="3100"/>
      <c r="R402" s="3100"/>
      <c r="S402" s="3101" t="s">
        <v>295</v>
      </c>
      <c r="T402" s="3101" t="s">
        <v>213</v>
      </c>
      <c r="U402" s="3102"/>
      <c r="V402" s="3102" t="s">
        <v>295</v>
      </c>
      <c r="W402" s="3102" t="s">
        <v>6804</v>
      </c>
      <c r="X402" s="3102" t="s">
        <v>6807</v>
      </c>
      <c r="Y402" s="3103" t="s">
        <v>164</v>
      </c>
    </row>
    <row r="403" spans="1:25" ht="72" hidden="1">
      <c r="A403" s="1304"/>
      <c r="B403" s="643"/>
      <c r="C403" s="643" t="s">
        <v>2187</v>
      </c>
      <c r="D403" s="150">
        <v>3</v>
      </c>
      <c r="E403" s="1310" t="str">
        <f t="shared" si="59"/>
        <v xml:space="preserve">        ----</v>
      </c>
      <c r="F403" s="163" t="s">
        <v>2188</v>
      </c>
      <c r="G403" s="1311" t="str">
        <f t="shared" si="60"/>
        <v xml:space="preserve">        ----</v>
      </c>
      <c r="H403" s="70" t="s">
        <v>6806</v>
      </c>
      <c r="I403" s="3092" t="s">
        <v>6810</v>
      </c>
      <c r="J403" s="1293"/>
      <c r="K403" s="1311" t="str">
        <f t="shared" si="55"/>
        <v xml:space="preserve">        ----</v>
      </c>
      <c r="L403" s="70" t="s">
        <v>6806</v>
      </c>
      <c r="M403" s="3092" t="s">
        <v>6810</v>
      </c>
      <c r="N403" s="1293"/>
      <c r="O403" s="3099"/>
      <c r="P403" s="3100"/>
      <c r="Q403" s="3100"/>
      <c r="R403" s="3100"/>
      <c r="S403" s="3101" t="s">
        <v>295</v>
      </c>
      <c r="T403" s="3101" t="s">
        <v>213</v>
      </c>
      <c r="U403" s="3102"/>
      <c r="V403" s="3102" t="s">
        <v>295</v>
      </c>
      <c r="W403" s="3102" t="s">
        <v>6804</v>
      </c>
      <c r="X403" s="3102" t="s">
        <v>6807</v>
      </c>
      <c r="Y403" s="3103" t="s">
        <v>164</v>
      </c>
    </row>
    <row r="404" spans="1:25" ht="24" hidden="1">
      <c r="A404" s="1304"/>
      <c r="B404" s="643"/>
      <c r="C404" s="643" t="s">
        <v>2184</v>
      </c>
      <c r="D404" s="150">
        <v>3</v>
      </c>
      <c r="E404" s="1310" t="str">
        <f t="shared" si="59"/>
        <v xml:space="preserve">        ----</v>
      </c>
      <c r="F404" s="163" t="s">
        <v>2185</v>
      </c>
      <c r="G404" s="1311" t="str">
        <f t="shared" si="60"/>
        <v xml:space="preserve">        ----</v>
      </c>
      <c r="H404" s="70" t="s">
        <v>6806</v>
      </c>
      <c r="I404" s="3092" t="s">
        <v>6810</v>
      </c>
      <c r="J404" s="1293"/>
      <c r="K404" s="1311" t="str">
        <f t="shared" si="55"/>
        <v xml:space="preserve">        ----</v>
      </c>
      <c r="L404" s="70" t="s">
        <v>6806</v>
      </c>
      <c r="M404" s="3092" t="s">
        <v>6810</v>
      </c>
      <c r="N404" s="1293"/>
      <c r="O404" s="3099"/>
      <c r="P404" s="3100"/>
      <c r="Q404" s="3100"/>
      <c r="R404" s="3100"/>
      <c r="S404" s="3101" t="s">
        <v>295</v>
      </c>
      <c r="T404" s="3101" t="s">
        <v>213</v>
      </c>
      <c r="U404" s="3102"/>
      <c r="V404" s="3102" t="s">
        <v>295</v>
      </c>
      <c r="W404" s="3102" t="s">
        <v>6804</v>
      </c>
      <c r="X404" s="3102" t="s">
        <v>213</v>
      </c>
      <c r="Y404" s="3103" t="s">
        <v>164</v>
      </c>
    </row>
    <row r="405" spans="1:25" ht="24" hidden="1">
      <c r="A405" s="1304"/>
      <c r="B405" s="643"/>
      <c r="C405" s="643" t="s">
        <v>2190</v>
      </c>
      <c r="D405" s="150">
        <v>3</v>
      </c>
      <c r="E405" s="1310" t="str">
        <f t="shared" si="59"/>
        <v xml:space="preserve">        ----</v>
      </c>
      <c r="F405" s="163" t="s">
        <v>2191</v>
      </c>
      <c r="G405" s="1311" t="str">
        <f t="shared" si="60"/>
        <v xml:space="preserve">        ----</v>
      </c>
      <c r="H405" s="70" t="s">
        <v>6806</v>
      </c>
      <c r="I405" s="3092" t="s">
        <v>6810</v>
      </c>
      <c r="J405" s="1293"/>
      <c r="K405" s="1311" t="str">
        <f t="shared" si="55"/>
        <v xml:space="preserve">        ----</v>
      </c>
      <c r="L405" s="70" t="s">
        <v>6806</v>
      </c>
      <c r="M405" s="3092" t="s">
        <v>6810</v>
      </c>
      <c r="N405" s="1293"/>
      <c r="O405" s="3099"/>
      <c r="P405" s="3100"/>
      <c r="Q405" s="3100"/>
      <c r="R405" s="3100"/>
      <c r="S405" s="3101" t="s">
        <v>295</v>
      </c>
      <c r="T405" s="3101" t="s">
        <v>213</v>
      </c>
      <c r="U405" s="3102"/>
      <c r="V405" s="3102" t="s">
        <v>295</v>
      </c>
      <c r="W405" s="3102" t="s">
        <v>6804</v>
      </c>
      <c r="X405" s="3102" t="s">
        <v>213</v>
      </c>
      <c r="Y405" s="3103"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2" t="s">
        <v>6810</v>
      </c>
      <c r="J406" s="1293"/>
      <c r="K406" s="1311" t="str">
        <f t="shared" si="55"/>
        <v xml:space="preserve">        ----</v>
      </c>
      <c r="L406" s="70">
        <f ca="1">INDIRECT("Notes!CheckB"&amp;$C406)</f>
        <v>0</v>
      </c>
      <c r="M406" s="3092" t="s">
        <v>6810</v>
      </c>
      <c r="N406" s="1293"/>
      <c r="O406" s="3099"/>
      <c r="P406" s="3100"/>
      <c r="Q406" s="3100"/>
      <c r="R406" s="3100"/>
      <c r="S406" s="3101" t="s">
        <v>295</v>
      </c>
      <c r="T406" s="3101" t="s">
        <v>213</v>
      </c>
      <c r="U406" s="3102"/>
      <c r="V406" s="3102" t="s">
        <v>295</v>
      </c>
      <c r="W406" s="3102" t="s">
        <v>6804</v>
      </c>
      <c r="X406" s="3102" t="s">
        <v>213</v>
      </c>
      <c r="Y406" s="3103" t="s">
        <v>164</v>
      </c>
    </row>
    <row r="407" spans="1:25" ht="18" hidden="1">
      <c r="A407" s="1304"/>
      <c r="B407" s="643"/>
      <c r="C407" s="643" t="s">
        <v>2197</v>
      </c>
      <c r="D407" s="150">
        <v>3</v>
      </c>
      <c r="E407" s="1310" t="str">
        <f t="shared" si="59"/>
        <v xml:space="preserve">        ----</v>
      </c>
      <c r="F407" s="163" t="s">
        <v>2198</v>
      </c>
      <c r="G407" s="1311" t="str">
        <f t="shared" si="60"/>
        <v xml:space="preserve">        ----</v>
      </c>
      <c r="H407" s="70" t="s">
        <v>6806</v>
      </c>
      <c r="I407" s="3092" t="s">
        <v>6810</v>
      </c>
      <c r="J407" s="1293"/>
      <c r="K407" s="1311" t="str">
        <f t="shared" si="55"/>
        <v xml:space="preserve">        ----</v>
      </c>
      <c r="L407" s="70" t="s">
        <v>6806</v>
      </c>
      <c r="M407" s="3092" t="s">
        <v>6810</v>
      </c>
      <c r="N407" s="1293"/>
      <c r="O407" s="3099"/>
      <c r="P407" s="3100"/>
      <c r="Q407" s="3100"/>
      <c r="R407" s="3100"/>
      <c r="S407" s="3101" t="s">
        <v>295</v>
      </c>
      <c r="T407" s="3101" t="s">
        <v>213</v>
      </c>
      <c r="U407" s="3102"/>
      <c r="V407" s="3102" t="s">
        <v>295</v>
      </c>
      <c r="W407" s="3102" t="s">
        <v>6804</v>
      </c>
      <c r="X407" s="3102" t="s">
        <v>213</v>
      </c>
      <c r="Y407" s="3103" t="s">
        <v>164</v>
      </c>
    </row>
    <row r="408" spans="1:25" ht="18" hidden="1">
      <c r="A408" s="1304"/>
      <c r="B408" s="643"/>
      <c r="C408" s="643" t="s">
        <v>2200</v>
      </c>
      <c r="D408" s="1313">
        <v>3</v>
      </c>
      <c r="E408" s="1310" t="str">
        <f t="shared" si="59"/>
        <v xml:space="preserve">        ----</v>
      </c>
      <c r="F408" s="163" t="s">
        <v>2201</v>
      </c>
      <c r="G408" s="1314" t="str">
        <f t="shared" si="60"/>
        <v xml:space="preserve">        ----</v>
      </c>
      <c r="H408" s="1315" t="s">
        <v>6806</v>
      </c>
      <c r="I408" s="3092" t="s">
        <v>6810</v>
      </c>
      <c r="J408" s="1293"/>
      <c r="K408" s="1314" t="str">
        <f t="shared" si="55"/>
        <v xml:space="preserve">        ----</v>
      </c>
      <c r="L408" s="1315" t="s">
        <v>6806</v>
      </c>
      <c r="M408" s="3092" t="s">
        <v>6810</v>
      </c>
      <c r="N408" s="1293"/>
      <c r="O408" s="3099"/>
      <c r="P408" s="3100"/>
      <c r="Q408" s="3100"/>
      <c r="R408" s="3100"/>
      <c r="S408" s="3101" t="s">
        <v>295</v>
      </c>
      <c r="T408" s="3101" t="s">
        <v>213</v>
      </c>
      <c r="U408" s="3102"/>
      <c r="V408" s="3102" t="s">
        <v>295</v>
      </c>
      <c r="W408" s="3102" t="s">
        <v>6804</v>
      </c>
      <c r="X408" s="3102" t="s">
        <v>213</v>
      </c>
      <c r="Y408" s="3103" t="s">
        <v>164</v>
      </c>
    </row>
    <row r="409" spans="1:25" ht="18.75" thickBot="1">
      <c r="A409" s="1304"/>
      <c r="B409" s="643"/>
      <c r="C409" s="643"/>
      <c r="D409" s="1316"/>
      <c r="E409" s="1316"/>
      <c r="F409" s="1316"/>
      <c r="G409" s="1316"/>
      <c r="H409" s="1316"/>
      <c r="I409" s="3094"/>
      <c r="J409" s="3094"/>
      <c r="K409" s="1316"/>
      <c r="L409" s="1316"/>
      <c r="M409" s="3094"/>
      <c r="N409" s="3094"/>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HphQOsn2iLkH10vUkeg1fBmCAo0V2q050DgJ2xNHGaP1FQWuMjHUuNmJ+v9K3mNvCXjAdFwEDRaE1PUdsQvK1Q==" saltValue="6UwEe2WOAHl+wTWr2ijdRA==" spinCount="100000" sheet="1" scenarios="1" formatCells="0" autoFilter="0"/>
  <autoFilter ref="B8:Y408">
    <filterColumn colId="2">
      <filters>
        <filter val="1"/>
      </filters>
    </filterColumn>
  </autoFilter>
  <phoneticPr fontId="163" type="noConversion"/>
  <conditionalFormatting sqref="I9:I408 M9:M408">
    <cfRule type="expression" dxfId="3850"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652"/>
  <sheetViews>
    <sheetView topLeftCell="A4941" workbookViewId="0">
      <selection activeCell="H4952" sqref="H4952"/>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山东天安化工股份有限公司</v>
      </c>
      <c r="I2" s="306"/>
      <c r="J2" s="321"/>
      <c r="K2" s="322"/>
      <c r="L2" s="323" t="s">
        <v>2521</v>
      </c>
      <c r="N2" s="324" t="s">
        <v>2501</v>
      </c>
      <c r="O2" s="322"/>
      <c r="P2" s="322"/>
      <c r="Q2" s="2740" t="str">
        <f ca="1">HYPERLINK("#'"&amp;$G$1&amp;"'!"&amp;ADDRESS(ROW(Notes!S12),COLUMN(Notes!S12),4),S12)</f>
        <v>操作提示：</v>
      </c>
      <c r="R2" s="322"/>
      <c r="S2" s="2738" t="s">
        <v>6580</v>
      </c>
      <c r="T2" s="2737" t="s">
        <v>6585</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陈彦良</v>
      </c>
      <c r="N3" s="329">
        <f>IF(Lead!$F$9="","",Lead!$F$9)</f>
        <v>43859</v>
      </c>
      <c r="O3" s="295" t="s">
        <v>2650</v>
      </c>
      <c r="P3" s="2741" t="s">
        <v>6586</v>
      </c>
      <c r="Q3" s="2740" t="str">
        <f ca="1">HYPERLINK("#'"&amp;$G$1&amp;"'!"&amp;ADDRESS(ROW(Notes!S2),COLUMN(Notes!S2),4),S2)</f>
        <v>自定义标识：</v>
      </c>
      <c r="R3" s="322"/>
      <c r="S3" s="364" t="s">
        <v>6581</v>
      </c>
      <c r="T3" s="2732" t="s">
        <v>6109</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6582</v>
      </c>
      <c r="T4" s="2732" t="s">
        <v>6110</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11221385.43</v>
      </c>
      <c r="I7" s="333">
        <f ca="1">SUMIF($J:$J,"附注列报*",$O:$O)</f>
        <v>283440323.33999997</v>
      </c>
      <c r="J7" s="334" t="s">
        <v>2729</v>
      </c>
      <c r="K7" s="335">
        <f ca="1">COUNTIF($L:$L,"#Logical!")+COUNTIF($O:$O,"#Logical!")</f>
        <v>2</v>
      </c>
      <c r="L7" s="336" t="s">
        <v>2730</v>
      </c>
      <c r="M7" s="337">
        <f>COUNTIF($D:$D,"&gt;1")</f>
        <v>18</v>
      </c>
      <c r="N7" s="338" t="s">
        <v>2731</v>
      </c>
      <c r="P7" s="337">
        <f ca="1">COUNTIF($K:$K,"请设置公式")+COUNTIF($N:$N,"请设置公式")</f>
        <v>0</v>
      </c>
      <c r="Q7" s="322"/>
      <c r="R7" s="322"/>
      <c r="S7" s="364" t="s">
        <v>6583</v>
      </c>
      <c r="T7" s="2739" t="s">
        <v>6584</v>
      </c>
      <c r="U7" s="2733"/>
      <c r="V7" s="340" t="s">
        <v>6577</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110</v>
      </c>
      <c r="Q8" s="366"/>
      <c r="R8" s="366"/>
      <c r="S8" s="364"/>
      <c r="U8" s="2734"/>
      <c r="V8" s="340" t="s">
        <v>6578</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7894317.0800000001</v>
      </c>
      <c r="L9" s="342"/>
      <c r="M9" s="306" t="s">
        <v>2741</v>
      </c>
      <c r="N9" s="341">
        <f>VLOOKUP($A9,Sheet_Trialbal,10,0)</f>
        <v>79452903</v>
      </c>
      <c r="O9" s="342"/>
      <c r="P9" s="301"/>
      <c r="S9" s="364"/>
      <c r="U9" s="2735"/>
      <c r="V9" s="2711" t="s">
        <v>6579</v>
      </c>
      <c r="Z9" s="609" t="s">
        <v>48</v>
      </c>
      <c r="AA9" s="609" t="s">
        <v>5647</v>
      </c>
    </row>
    <row r="10" spans="1:31" ht="18">
      <c r="A10" s="2712" t="s">
        <v>69</v>
      </c>
      <c r="B10" s="371">
        <v>1</v>
      </c>
      <c r="C10" s="371"/>
      <c r="D10" s="2714" t="str">
        <f>VLOOKUP($A10,Sheet_NoteList,2,0)</f>
        <v>货币资金明细项目</v>
      </c>
      <c r="E10" s="2714" t="s">
        <v>6528</v>
      </c>
      <c r="F10" s="294"/>
      <c r="G10" s="307" t="str">
        <f>"("&amp;B10&amp;")"&amp;D10</f>
        <v>(1)货币资金明细项目</v>
      </c>
      <c r="H10" s="1515" t="str">
        <f>$A10</f>
        <v>1015b</v>
      </c>
      <c r="I10" s="343" t="s">
        <v>5122</v>
      </c>
      <c r="J10" s="301" t="s">
        <v>5120</v>
      </c>
      <c r="K10" s="2208">
        <f>H17</f>
        <v>7894317.0800000001</v>
      </c>
      <c r="L10" s="345" t="str">
        <f>IF($I10="适用",IF(ROUND($K$9-K10,2)=0,"F/S",ROUND($K$9-K10,2)),"#N/A")</f>
        <v>F/S</v>
      </c>
      <c r="M10" s="301" t="s">
        <v>5121</v>
      </c>
      <c r="N10" s="2208">
        <f>I17</f>
        <v>79452903</v>
      </c>
      <c r="O10" s="345" t="str">
        <f>IF($I10="适用",IF(ROUND($N$9-N10,2)=0,"F/S",ROUND($N$9-N10,2)),"#N/A")</f>
        <v>F/S</v>
      </c>
      <c r="P10" s="301"/>
      <c r="Q10" s="290" t="str">
        <f>IF($I10="不适用","",IF(ROUND(SUM($H$13:$I$17),2)=0,"请输入",""))</f>
        <v/>
      </c>
      <c r="S10" s="364"/>
      <c r="U10" s="2736"/>
      <c r="V10" s="2711" t="s">
        <v>6576</v>
      </c>
      <c r="Z10" s="609" t="s">
        <v>48</v>
      </c>
      <c r="AA10" s="609" t="s">
        <v>5647</v>
      </c>
    </row>
    <row r="11" spans="1:31" ht="0.75" customHeight="1" thickBot="1">
      <c r="A11" s="2712"/>
      <c r="B11" s="371"/>
      <c r="C11" s="371"/>
      <c r="D11" s="371"/>
      <c r="F11" s="371"/>
      <c r="G11" s="371" t="s">
        <v>2746</v>
      </c>
      <c r="H11" s="371" t="s">
        <v>2747</v>
      </c>
      <c r="I11" s="371" t="s">
        <v>2748</v>
      </c>
      <c r="J11" s="291"/>
      <c r="K11" s="291"/>
      <c r="L11" s="291"/>
      <c r="M11" s="291"/>
      <c r="Z11" s="609" t="s">
        <v>48</v>
      </c>
      <c r="AA11" s="609" t="s">
        <v>5647</v>
      </c>
    </row>
    <row r="12" spans="1:31" ht="18.75" thickTop="1">
      <c r="A12" s="2712"/>
      <c r="B12" s="371"/>
      <c r="C12" s="371"/>
      <c r="D12" s="371"/>
      <c r="E12" s="2714" t="s">
        <v>2749</v>
      </c>
      <c r="F12" s="294"/>
      <c r="G12" s="1572" t="s">
        <v>47</v>
      </c>
      <c r="H12" s="1452" t="str">
        <f>$V$2&amp;""</f>
        <v>2019年12月31日</v>
      </c>
      <c r="I12" s="1453" t="str">
        <f>$V$3</f>
        <v>2018年12月31日</v>
      </c>
      <c r="J12" s="1530" t="s">
        <v>5263</v>
      </c>
      <c r="K12" s="1528" t="str">
        <f>""&amp;"&gt;期末:"&amp;""</f>
        <v>&gt;期末:</v>
      </c>
      <c r="L12" s="1528" t="str">
        <f>""&amp;"&gt;期初:"&amp;""</f>
        <v>&gt;期初:</v>
      </c>
      <c r="M12" s="291"/>
      <c r="S12" s="365" t="s">
        <v>2727</v>
      </c>
      <c r="Z12" s="609" t="s">
        <v>48</v>
      </c>
      <c r="AA12" s="609" t="s">
        <v>5647</v>
      </c>
    </row>
    <row r="13" spans="1:31" ht="18">
      <c r="A13" s="2712"/>
      <c r="B13" s="371">
        <v>101</v>
      </c>
      <c r="C13" s="371"/>
      <c r="D13" s="2714">
        <f t="shared" ref="D13:D17" si="0">IF(OR(G13="*",G13="",G13=0),0,COUNTIF($G$13:$G$17,G13))</f>
        <v>1</v>
      </c>
      <c r="E13" s="2719">
        <v>1</v>
      </c>
      <c r="F13" s="294"/>
      <c r="G13" s="308" t="s">
        <v>2750</v>
      </c>
      <c r="H13" s="309">
        <v>7579.77</v>
      </c>
      <c r="I13" s="346">
        <v>673.19</v>
      </c>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5647</v>
      </c>
    </row>
    <row r="14" spans="1:31" ht="18">
      <c r="A14" s="2712"/>
      <c r="B14" s="371">
        <v>102</v>
      </c>
      <c r="C14" s="371"/>
      <c r="D14" s="2714">
        <f t="shared" si="0"/>
        <v>1</v>
      </c>
      <c r="E14" s="2719">
        <v>1</v>
      </c>
      <c r="F14" s="294"/>
      <c r="G14" s="308" t="s">
        <v>66</v>
      </c>
      <c r="H14" s="309">
        <v>6674255.1399999997</v>
      </c>
      <c r="I14" s="346">
        <v>35725829.810000002</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5647</v>
      </c>
    </row>
    <row r="15" spans="1:31" ht="18">
      <c r="A15" s="2712"/>
      <c r="B15" s="371">
        <v>103</v>
      </c>
      <c r="C15" s="371"/>
      <c r="D15" s="2714">
        <f t="shared" si="0"/>
        <v>1</v>
      </c>
      <c r="E15" s="2719">
        <v>1</v>
      </c>
      <c r="F15" s="294"/>
      <c r="G15" s="308" t="s">
        <v>85</v>
      </c>
      <c r="H15" s="309">
        <f>1210000+2482.17</f>
        <v>1212482.17</v>
      </c>
      <c r="I15" s="346">
        <v>43726400</v>
      </c>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5647</v>
      </c>
    </row>
    <row r="16" spans="1:31" ht="18">
      <c r="A16" s="2712"/>
      <c r="B16" s="371">
        <v>104</v>
      </c>
      <c r="C16" s="371" t="s">
        <v>2791</v>
      </c>
      <c r="D16" s="2714">
        <f t="shared" si="0"/>
        <v>0</v>
      </c>
      <c r="E16" s="2719">
        <v>1</v>
      </c>
      <c r="F16" s="294"/>
      <c r="G16" s="1571" t="s">
        <v>2792</v>
      </c>
      <c r="H16" s="309"/>
      <c r="I16" s="346"/>
      <c r="J16" s="291"/>
      <c r="K16" s="456"/>
      <c r="L16" s="456"/>
      <c r="M16" s="291"/>
      <c r="N16" s="355"/>
      <c r="O16" s="291"/>
      <c r="P16" s="291"/>
      <c r="Q16" s="367"/>
      <c r="R16" s="367"/>
      <c r="S16" s="2725" t="s">
        <v>2805</v>
      </c>
      <c r="Z16" s="609" t="s">
        <v>48</v>
      </c>
      <c r="AA16" s="609" t="s">
        <v>5647</v>
      </c>
    </row>
    <row r="17" spans="1:27" ht="18.75" thickBot="1">
      <c r="A17" s="2712"/>
      <c r="B17" s="371"/>
      <c r="C17" s="371"/>
      <c r="D17" s="2714">
        <f t="shared" si="0"/>
        <v>1</v>
      </c>
      <c r="E17" s="2719" t="s">
        <v>2751</v>
      </c>
      <c r="F17" s="294"/>
      <c r="G17" s="374" t="s">
        <v>2752</v>
      </c>
      <c r="H17" s="1476">
        <f>SUMPRODUCT($E12:$E16,H12:H16)</f>
        <v>7894317.0800000001</v>
      </c>
      <c r="I17" s="1477">
        <f>SUMPRODUCT($E12:$E16,I12:I16)</f>
        <v>79452903</v>
      </c>
      <c r="J17" s="291"/>
      <c r="K17" s="1529">
        <f t="shared" ref="K17:L17" ca="1" si="1">SUM(K13:K16)</f>
        <v>0</v>
      </c>
      <c r="L17" s="1529">
        <f t="shared" ca="1" si="1"/>
        <v>0</v>
      </c>
      <c r="M17" s="291"/>
      <c r="S17" s="364"/>
      <c r="Z17" s="609" t="s">
        <v>48</v>
      </c>
      <c r="AA17" s="609" t="s">
        <v>5647</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5647</v>
      </c>
    </row>
    <row r="19" spans="1:27" ht="18">
      <c r="A19" s="2712"/>
      <c r="B19" s="371"/>
      <c r="C19" s="371" t="s">
        <v>2755</v>
      </c>
      <c r="D19" s="371"/>
      <c r="F19" s="294"/>
      <c r="G19" s="314"/>
      <c r="H19" s="315" t="s">
        <v>3002</v>
      </c>
      <c r="I19" s="315" t="s">
        <v>3002</v>
      </c>
      <c r="J19" s="350"/>
      <c r="K19" s="1537" t="s">
        <v>5364</v>
      </c>
      <c r="L19" s="354"/>
      <c r="M19" s="291"/>
      <c r="N19" s="291"/>
      <c r="S19" s="364"/>
      <c r="Z19" s="609" t="s">
        <v>48</v>
      </c>
      <c r="AA19" s="609" t="s">
        <v>5647</v>
      </c>
    </row>
    <row r="20" spans="1:27" ht="18">
      <c r="A20" s="2712" t="s">
        <v>45</v>
      </c>
      <c r="B20" s="371">
        <v>2</v>
      </c>
      <c r="C20" s="371"/>
      <c r="D20" s="2714" t="str">
        <f>VLOOKUP($A20,Sheet_NoteList,2,0)</f>
        <v>货币资金按币种列示</v>
      </c>
      <c r="E20" s="2714" t="s">
        <v>6529</v>
      </c>
      <c r="F20" s="294"/>
      <c r="G20" s="307" t="str">
        <f>"("&amp;B20&amp;")"&amp;D20</f>
        <v>(2)货币资金按币种列示</v>
      </c>
      <c r="H20" s="1515" t="str">
        <f>$A20</f>
        <v>1015a</v>
      </c>
      <c r="I20" s="343" t="s">
        <v>5361</v>
      </c>
      <c r="J20" s="301" t="s">
        <v>5359</v>
      </c>
      <c r="K20" s="2208">
        <f>J57</f>
        <v>7894317.0800000001</v>
      </c>
      <c r="L20" s="345" t="str">
        <f>IF($I20="适用",IF(ROUND(K9-K20,2)=0,"F/S",ROUND(K9-K20,2)),"#N/A")</f>
        <v>F/S</v>
      </c>
      <c r="M20" s="301" t="s">
        <v>5360</v>
      </c>
      <c r="N20" s="2208">
        <f>M57</f>
        <v>79452903</v>
      </c>
      <c r="O20" s="345" t="str">
        <f>IF($I20="适用",IF(ROUND(N9-N20,2)=0,"F/S",ROUND(N9-N20,2)),"#N/A")</f>
        <v>F/S</v>
      </c>
      <c r="P20" s="301"/>
      <c r="Q20" s="290" t="str">
        <f>IF($I20="不适用","",IF(ROUND(SUM($H$25:$M$57),2)=0,"请输入",""))</f>
        <v/>
      </c>
      <c r="S20" s="364"/>
      <c r="Z20" s="609" t="s">
        <v>48</v>
      </c>
      <c r="AA20" s="609" t="s">
        <v>5647</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5647</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5647</v>
      </c>
    </row>
    <row r="23" spans="1:27" ht="18">
      <c r="A23" s="2712"/>
      <c r="B23" s="371"/>
      <c r="C23" s="371"/>
      <c r="D23" s="371"/>
      <c r="E23" s="2714" t="s">
        <v>2749</v>
      </c>
      <c r="F23" s="294"/>
      <c r="G23" s="3512" t="s">
        <v>47</v>
      </c>
      <c r="H23" s="3510" t="str">
        <f>$V$2</f>
        <v>2019年12月31日</v>
      </c>
      <c r="I23" s="3511"/>
      <c r="J23" s="3512"/>
      <c r="K23" s="3510" t="str">
        <f>$V$3</f>
        <v>2018年12月31日</v>
      </c>
      <c r="L23" s="3511"/>
      <c r="M23" s="3511"/>
      <c r="N23" s="355" t="s">
        <v>5602</v>
      </c>
      <c r="O23" s="291"/>
      <c r="P23" s="291"/>
      <c r="Q23" s="367"/>
      <c r="R23" s="367"/>
      <c r="S23" s="364"/>
      <c r="Z23" s="609" t="s">
        <v>48</v>
      </c>
      <c r="AA23" s="609" t="s">
        <v>5647</v>
      </c>
    </row>
    <row r="24" spans="1:27" ht="18">
      <c r="A24" s="2712"/>
      <c r="B24" s="371"/>
      <c r="C24" s="371"/>
      <c r="D24" s="371"/>
      <c r="E24" s="2714" t="s">
        <v>2749</v>
      </c>
      <c r="F24" s="294"/>
      <c r="G24" s="3529"/>
      <c r="H24" s="1521" t="s">
        <v>2778</v>
      </c>
      <c r="I24" s="1521" t="s">
        <v>2779</v>
      </c>
      <c r="J24" s="1521" t="s">
        <v>2780</v>
      </c>
      <c r="K24" s="1521" t="s">
        <v>2778</v>
      </c>
      <c r="L24" s="1521" t="s">
        <v>2779</v>
      </c>
      <c r="M24" s="1522" t="s">
        <v>2780</v>
      </c>
      <c r="N24" s="355" t="s">
        <v>5362</v>
      </c>
      <c r="O24" s="1520" t="s">
        <v>5363</v>
      </c>
      <c r="P24" s="291"/>
      <c r="Q24" s="367"/>
      <c r="R24" s="367"/>
      <c r="S24" s="364"/>
      <c r="Z24" s="609" t="s">
        <v>48</v>
      </c>
      <c r="AA24" s="609" t="s">
        <v>5647</v>
      </c>
    </row>
    <row r="25" spans="1:27" ht="18">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6174</v>
      </c>
      <c r="O25" s="291"/>
      <c r="P25" s="291"/>
      <c r="Q25" s="367"/>
      <c r="R25" s="367"/>
      <c r="S25" s="2725" t="s">
        <v>6174</v>
      </c>
      <c r="Z25" s="609" t="s">
        <v>48</v>
      </c>
      <c r="AA25" s="609" t="s">
        <v>5647</v>
      </c>
    </row>
    <row r="26" spans="1:27" ht="18">
      <c r="A26" s="2712"/>
      <c r="B26" s="371">
        <v>101.001</v>
      </c>
      <c r="C26" s="371"/>
      <c r="D26" s="2714">
        <f t="shared" si="2"/>
        <v>1</v>
      </c>
      <c r="E26" s="2719" t="s">
        <v>2784</v>
      </c>
      <c r="F26" s="294"/>
      <c r="G26" s="308" t="s">
        <v>2785</v>
      </c>
      <c r="H26" s="309">
        <v>7579.77</v>
      </c>
      <c r="I26" s="360">
        <v>1</v>
      </c>
      <c r="J26" s="309">
        <f>H26*I26</f>
        <v>7579.77</v>
      </c>
      <c r="K26" s="309">
        <v>673.19</v>
      </c>
      <c r="L26" s="360">
        <v>1</v>
      </c>
      <c r="M26" s="346">
        <f>K26*L26</f>
        <v>673.19</v>
      </c>
      <c r="O26" s="291"/>
      <c r="P26" s="291"/>
      <c r="Q26" s="367"/>
      <c r="R26" s="367"/>
      <c r="S26" s="364"/>
      <c r="Z26" s="609" t="s">
        <v>48</v>
      </c>
      <c r="AA26" s="609" t="s">
        <v>5647</v>
      </c>
    </row>
    <row r="27" spans="1:27" ht="18">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5647</v>
      </c>
    </row>
    <row r="28" spans="1:27" ht="18">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5647</v>
      </c>
    </row>
    <row r="29" spans="1:27" ht="18">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5647</v>
      </c>
    </row>
    <row r="30" spans="1:27" ht="18">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5647</v>
      </c>
    </row>
    <row r="31" spans="1:27" ht="18">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5647</v>
      </c>
    </row>
    <row r="32" spans="1:27" ht="18">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5647</v>
      </c>
    </row>
    <row r="33" spans="1:29" ht="18">
      <c r="A33" s="2712"/>
      <c r="B33" s="371">
        <v>101.999</v>
      </c>
      <c r="C33" s="371" t="s">
        <v>2793</v>
      </c>
      <c r="D33" s="2714">
        <f t="shared" si="2"/>
        <v>1</v>
      </c>
      <c r="E33" s="2719">
        <v>1</v>
      </c>
      <c r="F33" s="294"/>
      <c r="G33" s="308" t="s">
        <v>2784</v>
      </c>
      <c r="H33" s="320"/>
      <c r="I33" s="360"/>
      <c r="J33" s="1474">
        <f>SUMIF($E$25:$E$57,$G33,J$25:J$57)</f>
        <v>7579.77</v>
      </c>
      <c r="K33" s="320"/>
      <c r="L33" s="360"/>
      <c r="M33" s="1475">
        <f>SUMIF($E$25:$E$57,$G33,M$25:M$57)</f>
        <v>673.19</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5647</v>
      </c>
      <c r="AC33" s="369" t="s">
        <v>6571</v>
      </c>
    </row>
    <row r="34" spans="1:29" ht="18">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5647</v>
      </c>
    </row>
    <row r="35" spans="1:29" ht="18">
      <c r="A35" s="2712"/>
      <c r="B35" s="371">
        <v>102.001</v>
      </c>
      <c r="C35" s="371"/>
      <c r="D35" s="2714">
        <f t="shared" si="2"/>
        <v>1</v>
      </c>
      <c r="E35" s="2719" t="s">
        <v>2797</v>
      </c>
      <c r="F35" s="294"/>
      <c r="G35" s="308" t="s">
        <v>2798</v>
      </c>
      <c r="H35" s="309">
        <v>4571589.9000000004</v>
      </c>
      <c r="I35" s="360">
        <v>1</v>
      </c>
      <c r="J35" s="309">
        <f>H35*I35</f>
        <v>4571589.9000000004</v>
      </c>
      <c r="K35" s="309">
        <v>6036261.6600000001</v>
      </c>
      <c r="L35" s="360">
        <v>1</v>
      </c>
      <c r="M35" s="346">
        <f>K35*L35</f>
        <v>6036261.6600000001</v>
      </c>
      <c r="N35" s="355" t="s">
        <v>2799</v>
      </c>
      <c r="O35" s="291"/>
      <c r="P35" s="291"/>
      <c r="Q35" s="367"/>
      <c r="R35" s="367"/>
      <c r="S35" s="364"/>
      <c r="Z35" s="609" t="s">
        <v>48</v>
      </c>
      <c r="AA35" s="609" t="s">
        <v>5647</v>
      </c>
    </row>
    <row r="36" spans="1:29" ht="18">
      <c r="A36" s="2712"/>
      <c r="B36" s="371">
        <v>102.002</v>
      </c>
      <c r="C36" s="371"/>
      <c r="D36" s="2714">
        <f t="shared" si="2"/>
        <v>1</v>
      </c>
      <c r="E36" s="2719" t="s">
        <v>2797</v>
      </c>
      <c r="F36" s="294"/>
      <c r="G36" s="308" t="s">
        <v>2800</v>
      </c>
      <c r="H36" s="309">
        <v>301405.53000000003</v>
      </c>
      <c r="I36" s="360">
        <v>6.9762000000000004</v>
      </c>
      <c r="J36" s="309">
        <v>2102665.2400000002</v>
      </c>
      <c r="K36" s="309">
        <v>4325907.47</v>
      </c>
      <c r="L36" s="360">
        <v>6.8632</v>
      </c>
      <c r="M36" s="346">
        <f>K36*L36</f>
        <v>29689568.149999999</v>
      </c>
      <c r="N36" s="291"/>
      <c r="O36" s="291"/>
      <c r="P36" s="291"/>
      <c r="Q36" s="367"/>
      <c r="R36" s="367"/>
      <c r="S36" s="364"/>
      <c r="Z36" s="609" t="s">
        <v>48</v>
      </c>
      <c r="AA36" s="609" t="s">
        <v>5647</v>
      </c>
    </row>
    <row r="37" spans="1:29" ht="18">
      <c r="A37" s="2712"/>
      <c r="B37" s="371">
        <v>102.003</v>
      </c>
      <c r="C37" s="371"/>
      <c r="D37" s="2714">
        <f t="shared" si="2"/>
        <v>1</v>
      </c>
      <c r="E37" s="2719" t="s">
        <v>2797</v>
      </c>
      <c r="F37" s="294"/>
      <c r="G37" s="308" t="s">
        <v>2801</v>
      </c>
      <c r="H37" s="309"/>
      <c r="I37" s="360"/>
      <c r="J37" s="309"/>
      <c r="K37" s="309"/>
      <c r="L37" s="360"/>
      <c r="M37" s="346"/>
      <c r="N37" s="291"/>
      <c r="O37" s="291"/>
      <c r="P37" s="291"/>
      <c r="Q37" s="367"/>
      <c r="R37" s="367"/>
      <c r="S37" s="364"/>
      <c r="Z37" s="609" t="s">
        <v>48</v>
      </c>
      <c r="AA37" s="609" t="s">
        <v>5647</v>
      </c>
    </row>
    <row r="38" spans="1:29" ht="18">
      <c r="A38" s="2712"/>
      <c r="B38" s="371">
        <v>102.004</v>
      </c>
      <c r="C38" s="371"/>
      <c r="D38" s="2714">
        <f t="shared" si="2"/>
        <v>1</v>
      </c>
      <c r="E38" s="2719" t="s">
        <v>2797</v>
      </c>
      <c r="F38" s="294"/>
      <c r="G38" s="308" t="s">
        <v>2802</v>
      </c>
      <c r="H38" s="309"/>
      <c r="I38" s="360"/>
      <c r="J38" s="309"/>
      <c r="K38" s="309"/>
      <c r="L38" s="360"/>
      <c r="M38" s="346"/>
      <c r="N38" s="291"/>
      <c r="O38" s="291"/>
      <c r="P38" s="291"/>
      <c r="Q38" s="367"/>
      <c r="R38" s="367"/>
      <c r="S38" s="364"/>
      <c r="Z38" s="609" t="s">
        <v>48</v>
      </c>
      <c r="AA38" s="609" t="s">
        <v>5647</v>
      </c>
    </row>
    <row r="39" spans="1:29" ht="18">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5647</v>
      </c>
    </row>
    <row r="40" spans="1:29" ht="18">
      <c r="A40" s="2712"/>
      <c r="B40" s="371">
        <v>102.006</v>
      </c>
      <c r="C40" s="371"/>
      <c r="D40" s="2714">
        <f t="shared" si="2"/>
        <v>1</v>
      </c>
      <c r="E40" s="2719" t="s">
        <v>2797</v>
      </c>
      <c r="F40" s="294"/>
      <c r="G40" s="308" t="s">
        <v>2804</v>
      </c>
      <c r="H40" s="309"/>
      <c r="I40" s="360"/>
      <c r="J40" s="309"/>
      <c r="K40" s="309"/>
      <c r="L40" s="360"/>
      <c r="M40" s="346"/>
      <c r="N40" s="291"/>
      <c r="O40" s="291"/>
      <c r="P40" s="291"/>
      <c r="Q40" s="367"/>
      <c r="R40" s="367"/>
      <c r="S40" s="364"/>
      <c r="Z40" s="609" t="s">
        <v>48</v>
      </c>
      <c r="AA40" s="609" t="s">
        <v>5647</v>
      </c>
    </row>
    <row r="41" spans="1:29" ht="18">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5647</v>
      </c>
    </row>
    <row r="42" spans="1:29" ht="18">
      <c r="A42" s="2712"/>
      <c r="B42" s="371">
        <v>102.999</v>
      </c>
      <c r="C42" s="371" t="s">
        <v>2793</v>
      </c>
      <c r="D42" s="2714">
        <f t="shared" si="2"/>
        <v>1</v>
      </c>
      <c r="E42" s="2719">
        <v>1</v>
      </c>
      <c r="F42" s="294"/>
      <c r="G42" s="308" t="s">
        <v>2797</v>
      </c>
      <c r="H42" s="320"/>
      <c r="I42" s="360"/>
      <c r="J42" s="1474">
        <f>SUMIF($E$25:$E$57,$G42,J$25:J$57)</f>
        <v>6674255.1399999997</v>
      </c>
      <c r="K42" s="320"/>
      <c r="L42" s="360"/>
      <c r="M42" s="1475">
        <f>SUMIF($E$25:$E$57,$G42,M$25:M$57)</f>
        <v>35725829.810000002</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5647</v>
      </c>
      <c r="AC42" s="369" t="s">
        <v>6571</v>
      </c>
    </row>
    <row r="43" spans="1:29" ht="18">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5647</v>
      </c>
    </row>
    <row r="44" spans="1:29" ht="18">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5647</v>
      </c>
    </row>
    <row r="45" spans="1:29" ht="18">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5647</v>
      </c>
    </row>
    <row r="46" spans="1:29" ht="18">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5647</v>
      </c>
    </row>
    <row r="47" spans="1:29" ht="18">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5647</v>
      </c>
    </row>
    <row r="48" spans="1:29" ht="18">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5647</v>
      </c>
    </row>
    <row r="49" spans="1:29" ht="18">
      <c r="A49" s="2712"/>
      <c r="B49" s="371">
        <v>104.001</v>
      </c>
      <c r="C49" s="371"/>
      <c r="D49" s="2714">
        <f t="shared" si="2"/>
        <v>1</v>
      </c>
      <c r="E49" s="2719" t="s">
        <v>2812</v>
      </c>
      <c r="F49" s="294"/>
      <c r="G49" s="308" t="s">
        <v>2813</v>
      </c>
      <c r="H49" s="309">
        <f>1210000+2482.17</f>
        <v>1212482.17</v>
      </c>
      <c r="I49" s="360">
        <v>1</v>
      </c>
      <c r="J49" s="309">
        <f>H49*I49</f>
        <v>1212482.17</v>
      </c>
      <c r="K49" s="309">
        <v>30000000</v>
      </c>
      <c r="L49" s="360">
        <v>1</v>
      </c>
      <c r="M49" s="346">
        <f>K49*L49</f>
        <v>30000000</v>
      </c>
      <c r="N49" s="291"/>
      <c r="O49" s="291"/>
      <c r="P49" s="291"/>
      <c r="Q49" s="367"/>
      <c r="R49" s="367"/>
      <c r="S49" s="364"/>
      <c r="Z49" s="609" t="s">
        <v>48</v>
      </c>
      <c r="AA49" s="609" t="s">
        <v>5647</v>
      </c>
    </row>
    <row r="50" spans="1:29" ht="18">
      <c r="A50" s="2712"/>
      <c r="B50" s="371">
        <v>104.002</v>
      </c>
      <c r="C50" s="371"/>
      <c r="D50" s="2714">
        <f t="shared" si="2"/>
        <v>1</v>
      </c>
      <c r="E50" s="2719" t="s">
        <v>2812</v>
      </c>
      <c r="F50" s="294"/>
      <c r="G50" s="308" t="s">
        <v>2814</v>
      </c>
      <c r="H50" s="309">
        <v>0</v>
      </c>
      <c r="I50" s="3277">
        <v>6.9762000000000004</v>
      </c>
      <c r="J50" s="309">
        <f>H50*I50</f>
        <v>0</v>
      </c>
      <c r="K50" s="309">
        <v>2000000</v>
      </c>
      <c r="L50" s="360">
        <v>6.8632</v>
      </c>
      <c r="M50" s="346">
        <f>K50*L50</f>
        <v>13726400</v>
      </c>
      <c r="N50" s="291"/>
      <c r="O50" s="291"/>
      <c r="P50" s="291"/>
      <c r="Q50" s="367"/>
      <c r="R50" s="367"/>
      <c r="S50" s="364"/>
      <c r="Z50" s="609" t="s">
        <v>48</v>
      </c>
      <c r="AA50" s="609" t="s">
        <v>5647</v>
      </c>
    </row>
    <row r="51" spans="1:29" ht="18">
      <c r="A51" s="2712"/>
      <c r="B51" s="371">
        <v>104.003</v>
      </c>
      <c r="C51" s="371"/>
      <c r="D51" s="2714">
        <f t="shared" si="2"/>
        <v>1</v>
      </c>
      <c r="E51" s="2719" t="s">
        <v>2812</v>
      </c>
      <c r="F51" s="294"/>
      <c r="G51" s="308" t="s">
        <v>2815</v>
      </c>
      <c r="H51" s="309"/>
      <c r="I51" s="360"/>
      <c r="J51" s="309"/>
      <c r="K51" s="309"/>
      <c r="L51" s="360"/>
      <c r="M51" s="346"/>
      <c r="N51" s="291"/>
      <c r="O51" s="291"/>
      <c r="P51" s="291"/>
      <c r="Q51" s="367"/>
      <c r="R51" s="367"/>
      <c r="S51" s="364"/>
      <c r="Z51" s="609" t="s">
        <v>48</v>
      </c>
      <c r="AA51" s="609" t="s">
        <v>5647</v>
      </c>
    </row>
    <row r="52" spans="1:29" ht="18">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5647</v>
      </c>
    </row>
    <row r="53" spans="1:29" ht="18">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5647</v>
      </c>
    </row>
    <row r="54" spans="1:29" ht="18">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5647</v>
      </c>
    </row>
    <row r="55" spans="1:29" ht="18">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5647</v>
      </c>
    </row>
    <row r="56" spans="1:29" ht="18">
      <c r="A56" s="2712"/>
      <c r="B56" s="371">
        <v>104.999</v>
      </c>
      <c r="C56" s="371" t="s">
        <v>2793</v>
      </c>
      <c r="D56" s="2714">
        <f t="shared" si="2"/>
        <v>1</v>
      </c>
      <c r="E56" s="2719">
        <v>1</v>
      </c>
      <c r="F56" s="294"/>
      <c r="G56" s="308" t="s">
        <v>2812</v>
      </c>
      <c r="H56" s="320"/>
      <c r="I56" s="360"/>
      <c r="J56" s="1474">
        <f>SUMIF($E$25:$E$57,$G56,J$25:J$57)</f>
        <v>1212482.17</v>
      </c>
      <c r="K56" s="320"/>
      <c r="L56" s="360"/>
      <c r="M56" s="1475">
        <f>SUMIF($E$25:$E$57,$G56,M$25:M$57)</f>
        <v>43726400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5647</v>
      </c>
      <c r="AC56" s="369" t="s">
        <v>6571</v>
      </c>
    </row>
    <row r="57" spans="1:29" ht="18.75" thickBot="1">
      <c r="A57" s="2712"/>
      <c r="B57" s="371"/>
      <c r="C57" s="371"/>
      <c r="D57" s="2714">
        <f t="shared" si="2"/>
        <v>1</v>
      </c>
      <c r="E57" s="2719" t="s">
        <v>2751</v>
      </c>
      <c r="F57" s="294"/>
      <c r="G57" s="1527" t="s">
        <v>2752</v>
      </c>
      <c r="H57" s="1523"/>
      <c r="I57" s="1524" t="s">
        <v>2783</v>
      </c>
      <c r="J57" s="1525">
        <f>SUMPRODUCT($E24:$E56,J24:J56)</f>
        <v>7894317.0800000001</v>
      </c>
      <c r="K57" s="1523"/>
      <c r="L57" s="1524"/>
      <c r="M57" s="1526">
        <f>SUMPRODUCT($E24:$E56,M24:M56)</f>
        <v>79452903</v>
      </c>
      <c r="N57" s="291"/>
      <c r="O57" s="291"/>
      <c r="P57" s="291"/>
      <c r="Q57" s="367"/>
      <c r="R57" s="367"/>
      <c r="S57" s="364"/>
      <c r="Z57" s="609" t="s">
        <v>48</v>
      </c>
      <c r="AA57" s="609" t="s">
        <v>5647</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5647</v>
      </c>
    </row>
    <row r="59" spans="1:29" ht="18">
      <c r="A59" s="2712" t="s">
        <v>88</v>
      </c>
      <c r="B59" s="371">
        <v>3</v>
      </c>
      <c r="C59" s="371"/>
      <c r="D59" s="2714" t="str">
        <f>VLOOKUP($A59,Sheet_NoteList,2,0)</f>
        <v>有回收风险的货币资金</v>
      </c>
      <c r="E59" s="2714" t="s">
        <v>6529</v>
      </c>
      <c r="F59" s="294"/>
      <c r="G59" s="307" t="str">
        <f>"("&amp;B59&amp;")"&amp;D59</f>
        <v>(3)有回收风险的货币资金</v>
      </c>
      <c r="H59" s="1515" t="str">
        <f>$A59</f>
        <v>1015c</v>
      </c>
      <c r="I59" s="343" t="s">
        <v>5569</v>
      </c>
      <c r="J59" s="301" t="s">
        <v>5568</v>
      </c>
      <c r="K59" s="2208">
        <f>H67</f>
        <v>0</v>
      </c>
      <c r="L59" s="345"/>
      <c r="M59" s="301"/>
      <c r="N59" s="391"/>
      <c r="O59" s="345" t="str">
        <f>IF($I59="适用",IF(ROUND(N9-N59,2)&gt;=0,"","#Logical!"),"#N/A")</f>
        <v/>
      </c>
      <c r="P59" s="301"/>
      <c r="S59" s="364"/>
      <c r="Z59" s="609" t="s">
        <v>48</v>
      </c>
      <c r="AA59" s="609" t="s">
        <v>5647</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5647</v>
      </c>
    </row>
    <row r="61" spans="1:29" ht="18">
      <c r="A61" s="2712"/>
      <c r="B61" s="371"/>
      <c r="C61" s="371"/>
      <c r="D61" s="371"/>
      <c r="E61" s="2714" t="s">
        <v>2749</v>
      </c>
      <c r="F61" s="294"/>
      <c r="G61" s="1619" t="s">
        <v>47</v>
      </c>
      <c r="H61" s="1617" t="str">
        <f>$V$2</f>
        <v>2019年12月31日</v>
      </c>
      <c r="I61" s="1618" t="s">
        <v>2508</v>
      </c>
      <c r="J61" s="355" t="s">
        <v>6174</v>
      </c>
      <c r="K61" s="291"/>
      <c r="L61" s="291"/>
      <c r="M61" s="291"/>
      <c r="N61" s="291"/>
      <c r="S61" s="364"/>
      <c r="Z61" s="609" t="s">
        <v>48</v>
      </c>
      <c r="AA61" s="609" t="s">
        <v>5647</v>
      </c>
    </row>
    <row r="62" spans="1:29" ht="18">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5647</v>
      </c>
    </row>
    <row r="63" spans="1:29" ht="18">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5647</v>
      </c>
    </row>
    <row r="64" spans="1:29" ht="18">
      <c r="A64" s="2712"/>
      <c r="B64" s="371">
        <v>103</v>
      </c>
      <c r="C64" s="371"/>
      <c r="D64" s="2714">
        <f t="shared" si="3"/>
        <v>1</v>
      </c>
      <c r="E64" s="2719">
        <v>1</v>
      </c>
      <c r="F64" s="294"/>
      <c r="G64" s="308" t="s">
        <v>2824</v>
      </c>
      <c r="H64" s="1474">
        <f>H18</f>
        <v>0</v>
      </c>
      <c r="I64" s="388"/>
      <c r="J64" s="389" t="s">
        <v>6108</v>
      </c>
      <c r="K64" s="291"/>
      <c r="L64" s="291"/>
      <c r="M64" s="291"/>
      <c r="N64" s="291"/>
      <c r="O64" s="291"/>
      <c r="P64" s="291"/>
      <c r="Q64" s="367"/>
      <c r="R64" s="367"/>
      <c r="S64" s="364"/>
      <c r="Z64" s="609" t="s">
        <v>48</v>
      </c>
      <c r="AA64" s="609" t="s">
        <v>5647</v>
      </c>
    </row>
    <row r="65" spans="1:27" ht="18">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5647</v>
      </c>
    </row>
    <row r="66" spans="1:27" ht="18">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5647</v>
      </c>
    </row>
    <row r="67" spans="1:27" ht="18.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5647</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5647</v>
      </c>
    </row>
    <row r="69" spans="1:27" ht="18">
      <c r="A69" s="2712"/>
      <c r="B69" s="371"/>
      <c r="C69" s="371" t="s">
        <v>2755</v>
      </c>
      <c r="D69" s="371"/>
      <c r="F69" s="294"/>
      <c r="G69" s="314"/>
      <c r="H69" s="315"/>
      <c r="I69" s="393"/>
      <c r="J69" s="350"/>
      <c r="K69" s="291"/>
      <c r="L69" s="291"/>
      <c r="M69" s="291"/>
      <c r="N69" s="291"/>
      <c r="S69" s="364"/>
      <c r="Z69" s="609" t="s">
        <v>48</v>
      </c>
      <c r="AA69" s="609" t="s">
        <v>5647</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5264</v>
      </c>
      <c r="K73" s="392"/>
      <c r="L73" s="393"/>
      <c r="M73" s="315"/>
      <c r="N73" s="392"/>
      <c r="O73" s="393"/>
      <c r="P73" s="315"/>
      <c r="S73" s="364"/>
      <c r="Z73" s="609" t="s">
        <v>137</v>
      </c>
      <c r="AA73" s="609" t="s">
        <v>2827</v>
      </c>
    </row>
    <row r="74" spans="1:27" ht="24">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4"/>
        <v>1</v>
      </c>
      <c r="E75" s="2719">
        <v>0</v>
      </c>
      <c r="F75" s="371"/>
      <c r="G75" s="2220" t="s">
        <v>5629</v>
      </c>
      <c r="H75" s="309"/>
      <c r="I75" s="394"/>
      <c r="J75" s="355" t="s">
        <v>5634</v>
      </c>
      <c r="K75" s="392"/>
      <c r="L75" s="393"/>
      <c r="M75" s="315"/>
      <c r="N75" s="392"/>
      <c r="O75" s="393"/>
      <c r="P75" s="315"/>
      <c r="S75" s="364"/>
      <c r="Z75" s="609" t="s">
        <v>137</v>
      </c>
      <c r="AA75" s="609" t="s">
        <v>2827</v>
      </c>
    </row>
    <row r="76" spans="1:27" ht="18">
      <c r="A76" s="2712"/>
      <c r="B76" s="371">
        <v>103</v>
      </c>
      <c r="C76" s="371" t="s">
        <v>6530</v>
      </c>
      <c r="D76" s="2714">
        <f t="shared" si="4"/>
        <v>1</v>
      </c>
      <c r="E76" s="2719">
        <v>0</v>
      </c>
      <c r="F76" s="371"/>
      <c r="G76" s="578" t="s">
        <v>5630</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4"/>
        <v>1</v>
      </c>
      <c r="E77" s="2719">
        <v>0</v>
      </c>
      <c r="F77" s="371"/>
      <c r="G77" s="578" t="s">
        <v>5631</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6530</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4"/>
        <v>1</v>
      </c>
      <c r="E80" s="2719">
        <v>0</v>
      </c>
      <c r="F80" s="371"/>
      <c r="G80" s="578" t="s">
        <v>5148</v>
      </c>
      <c r="H80" s="309"/>
      <c r="I80" s="394"/>
      <c r="J80" s="315"/>
      <c r="K80" s="392"/>
      <c r="L80" s="393"/>
      <c r="M80" s="315"/>
      <c r="N80" s="392"/>
      <c r="O80" s="393"/>
      <c r="P80" s="315"/>
      <c r="S80" s="364"/>
      <c r="Z80" s="609" t="s">
        <v>137</v>
      </c>
      <c r="AA80" s="609" t="s">
        <v>2827</v>
      </c>
    </row>
    <row r="81" spans="1:27" ht="24">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4"/>
        <v>1</v>
      </c>
      <c r="E82" s="2719">
        <v>0</v>
      </c>
      <c r="F82" s="371"/>
      <c r="G82" s="2220" t="s">
        <v>5632</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6530</v>
      </c>
      <c r="D85" s="2714">
        <f t="shared" si="4"/>
        <v>1</v>
      </c>
      <c r="E85" s="2719">
        <v>0</v>
      </c>
      <c r="F85" s="371"/>
      <c r="G85" s="578" t="s">
        <v>5633</v>
      </c>
      <c r="H85" s="309"/>
      <c r="I85" s="394"/>
      <c r="J85" s="355" t="s">
        <v>5636</v>
      </c>
      <c r="K85" s="392"/>
      <c r="L85" s="393"/>
      <c r="M85" s="315"/>
      <c r="N85" s="392"/>
      <c r="O85" s="393"/>
      <c r="P85" s="315"/>
      <c r="S85" s="364"/>
      <c r="Z85" s="609" t="s">
        <v>137</v>
      </c>
      <c r="AA85" s="609" t="s">
        <v>2827</v>
      </c>
    </row>
    <row r="86" spans="1:27" ht="18">
      <c r="A86" s="2712"/>
      <c r="B86" s="371">
        <v>113</v>
      </c>
      <c r="C86" s="371" t="s">
        <v>2791</v>
      </c>
      <c r="D86" s="2714">
        <f t="shared" si="4"/>
        <v>0</v>
      </c>
      <c r="E86" s="2719">
        <v>1</v>
      </c>
      <c r="F86" s="371"/>
      <c r="G86" s="625" t="s">
        <v>2792</v>
      </c>
      <c r="H86" s="309"/>
      <c r="I86" s="394"/>
      <c r="J86" s="355" t="s">
        <v>5635</v>
      </c>
      <c r="K86" s="392"/>
      <c r="L86" s="393"/>
      <c r="M86" s="315"/>
      <c r="N86" s="392"/>
      <c r="O86" s="393"/>
      <c r="P86" s="315"/>
      <c r="S86" s="364"/>
      <c r="Z86" s="609" t="s">
        <v>137</v>
      </c>
      <c r="AA86" s="609" t="s">
        <v>2827</v>
      </c>
    </row>
    <row r="87" spans="1:27" ht="18.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6572</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5648</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5648</v>
      </c>
    </row>
    <row r="92" spans="1:27" ht="18">
      <c r="A92" s="2712"/>
      <c r="B92" s="371"/>
      <c r="C92" s="371"/>
      <c r="D92" s="371"/>
      <c r="E92" s="2714" t="s">
        <v>2749</v>
      </c>
      <c r="F92" s="294"/>
      <c r="G92" s="2285" t="s">
        <v>47</v>
      </c>
      <c r="H92" s="1452" t="str">
        <f>$V$2</f>
        <v>2019年12月31日</v>
      </c>
      <c r="I92" s="1453" t="str">
        <f>$V$3</f>
        <v>2018年12月31日</v>
      </c>
      <c r="J92" s="355" t="s">
        <v>5265</v>
      </c>
      <c r="K92" s="291"/>
      <c r="L92" s="291"/>
      <c r="M92" s="291"/>
      <c r="S92" s="364"/>
      <c r="Z92" s="609" t="s">
        <v>108</v>
      </c>
      <c r="AA92" s="609" t="s">
        <v>5648</v>
      </c>
    </row>
    <row r="93" spans="1:27" ht="18">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5648</v>
      </c>
    </row>
    <row r="94" spans="1:27" ht="18">
      <c r="A94" s="2712"/>
      <c r="B94" s="371">
        <v>101.001</v>
      </c>
      <c r="C94" s="371"/>
      <c r="D94" s="2714">
        <f t="shared" si="5"/>
        <v>1</v>
      </c>
      <c r="E94" s="2719" t="s">
        <v>2835</v>
      </c>
      <c r="F94" s="294"/>
      <c r="G94" s="308" t="s">
        <v>2836</v>
      </c>
      <c r="H94" s="2275">
        <v>0</v>
      </c>
      <c r="I94" s="346"/>
      <c r="J94" s="355" t="s">
        <v>5123</v>
      </c>
      <c r="K94" s="291"/>
      <c r="L94" s="291"/>
      <c r="M94" s="291"/>
      <c r="N94" s="291"/>
      <c r="O94" s="291"/>
      <c r="P94" s="291"/>
      <c r="Q94" s="367"/>
      <c r="R94" s="367"/>
      <c r="S94" s="364"/>
      <c r="Z94" s="609" t="s">
        <v>108</v>
      </c>
      <c r="AA94" s="609" t="s">
        <v>5648</v>
      </c>
    </row>
    <row r="95" spans="1:27" ht="18">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5648</v>
      </c>
    </row>
    <row r="96" spans="1:27" ht="18">
      <c r="A96" s="2712"/>
      <c r="B96" s="371">
        <v>101.003</v>
      </c>
      <c r="C96" s="371" t="s">
        <v>2791</v>
      </c>
      <c r="D96" s="2714">
        <f t="shared" si="5"/>
        <v>1</v>
      </c>
      <c r="E96" s="2719" t="s">
        <v>2835</v>
      </c>
      <c r="F96" s="294"/>
      <c r="G96" s="578" t="s">
        <v>2838</v>
      </c>
      <c r="H96" s="2275">
        <v>0</v>
      </c>
      <c r="I96" s="346"/>
      <c r="J96" s="355" t="s">
        <v>6122</v>
      </c>
      <c r="K96" s="291"/>
      <c r="L96" s="291"/>
      <c r="M96" s="291"/>
      <c r="N96" s="291"/>
      <c r="O96" s="291"/>
      <c r="P96" s="291"/>
      <c r="Q96" s="367"/>
      <c r="R96" s="367"/>
      <c r="S96" s="364"/>
      <c r="Z96" s="609" t="s">
        <v>108</v>
      </c>
      <c r="AA96" s="609" t="s">
        <v>5648</v>
      </c>
    </row>
    <row r="97" spans="1:27" ht="18">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5648</v>
      </c>
    </row>
    <row r="98" spans="1:27" ht="18">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5648</v>
      </c>
    </row>
    <row r="99" spans="1:27" ht="18">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5648</v>
      </c>
    </row>
    <row r="100" spans="1:27" ht="24">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5648</v>
      </c>
    </row>
    <row r="101" spans="1:27" ht="18">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5648</v>
      </c>
    </row>
    <row r="102" spans="1:27" ht="18">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5648</v>
      </c>
    </row>
    <row r="103" spans="1:27" ht="18">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5648</v>
      </c>
    </row>
    <row r="104" spans="1:27" ht="18">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5648</v>
      </c>
    </row>
    <row r="105" spans="1:27" ht="36">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5648</v>
      </c>
    </row>
    <row r="106" spans="1:27" ht="18.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5648</v>
      </c>
    </row>
    <row r="107" spans="1:27" ht="18">
      <c r="A107" s="2712"/>
      <c r="B107" s="371"/>
      <c r="C107" s="371" t="s">
        <v>2755</v>
      </c>
      <c r="D107" s="371"/>
      <c r="F107" s="294"/>
      <c r="G107" s="301"/>
      <c r="H107" s="315"/>
      <c r="I107" s="315"/>
      <c r="J107" s="291"/>
      <c r="K107" s="291"/>
      <c r="L107" s="291"/>
      <c r="M107" s="291"/>
      <c r="S107" s="364"/>
      <c r="Z107" s="609" t="s">
        <v>108</v>
      </c>
      <c r="AA107" s="609" t="s">
        <v>5648</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5649</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5649</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5649</v>
      </c>
    </row>
    <row r="111" spans="1:27" ht="18">
      <c r="A111" s="2712"/>
      <c r="B111" s="371"/>
      <c r="C111" s="371"/>
      <c r="D111" s="371"/>
      <c r="E111" s="586" t="s">
        <v>2749</v>
      </c>
      <c r="F111" s="363"/>
      <c r="G111" s="2226" t="s">
        <v>47</v>
      </c>
      <c r="H111" s="2223" t="str">
        <f>$V$2</f>
        <v>2019年12月31日</v>
      </c>
      <c r="I111" s="2224" t="str">
        <f>$V$3</f>
        <v>2018年12月31日</v>
      </c>
      <c r="J111" s="355" t="s">
        <v>5266</v>
      </c>
      <c r="K111" s="291"/>
      <c r="L111" s="291"/>
      <c r="M111" s="291"/>
      <c r="O111" s="355" t="s">
        <v>2847</v>
      </c>
      <c r="P111" s="355"/>
      <c r="S111" s="364"/>
      <c r="Z111" s="609" t="s">
        <v>149</v>
      </c>
      <c r="AA111" s="609" t="s">
        <v>5649</v>
      </c>
    </row>
    <row r="112" spans="1:27" ht="18">
      <c r="A112" s="2712"/>
      <c r="B112" s="371">
        <v>101</v>
      </c>
      <c r="C112" s="371" t="s">
        <v>2791</v>
      </c>
      <c r="D112" s="2714">
        <f t="shared" ref="D112:D117" si="6">IF(OR(G112="*",G112="",G112=0),0,COUNTIF($G$112:$G$117,G112))</f>
        <v>1</v>
      </c>
      <c r="E112" s="2719">
        <v>1</v>
      </c>
      <c r="F112" s="294"/>
      <c r="G112" s="2220" t="s">
        <v>5637</v>
      </c>
      <c r="H112" s="309"/>
      <c r="I112" s="346"/>
      <c r="J112" s="291"/>
      <c r="K112" s="291"/>
      <c r="L112" s="291"/>
      <c r="M112" s="291"/>
      <c r="N112" s="291"/>
      <c r="O112" s="291"/>
      <c r="P112" s="291"/>
      <c r="Q112" s="367"/>
      <c r="R112" s="367"/>
      <c r="S112" s="364"/>
      <c r="Z112" s="609" t="s">
        <v>149</v>
      </c>
      <c r="AA112" s="609" t="s">
        <v>5649</v>
      </c>
    </row>
    <row r="113" spans="1:29" ht="18">
      <c r="A113" s="2712"/>
      <c r="B113" s="371">
        <v>102</v>
      </c>
      <c r="C113" s="371" t="s">
        <v>2791</v>
      </c>
      <c r="D113" s="2714">
        <f t="shared" si="6"/>
        <v>1</v>
      </c>
      <c r="E113" s="2719">
        <v>1</v>
      </c>
      <c r="F113" s="294"/>
      <c r="G113" s="2220" t="s">
        <v>5638</v>
      </c>
      <c r="H113" s="309"/>
      <c r="I113" s="346"/>
      <c r="J113" s="355" t="s">
        <v>5640</v>
      </c>
      <c r="K113" s="291"/>
      <c r="L113" s="291"/>
      <c r="M113" s="291"/>
      <c r="N113" s="291"/>
      <c r="O113" s="291"/>
      <c r="P113" s="291"/>
      <c r="Q113" s="367"/>
      <c r="R113" s="367"/>
      <c r="S113" s="364"/>
      <c r="Z113" s="609" t="s">
        <v>149</v>
      </c>
      <c r="AA113" s="609" t="s">
        <v>5649</v>
      </c>
    </row>
    <row r="114" spans="1:29" ht="18">
      <c r="A114" s="2712"/>
      <c r="B114" s="371">
        <v>103</v>
      </c>
      <c r="C114" s="371" t="s">
        <v>2791</v>
      </c>
      <c r="D114" s="2714">
        <f t="shared" si="6"/>
        <v>1</v>
      </c>
      <c r="E114" s="2719">
        <v>1</v>
      </c>
      <c r="F114" s="294"/>
      <c r="G114" s="2220" t="s">
        <v>5639</v>
      </c>
      <c r="H114" s="309"/>
      <c r="I114" s="346"/>
      <c r="J114" s="291"/>
      <c r="K114" s="291"/>
      <c r="L114" s="291"/>
      <c r="M114" s="291"/>
      <c r="N114" s="291"/>
      <c r="O114" s="291"/>
      <c r="P114" s="291"/>
      <c r="Q114" s="367"/>
      <c r="R114" s="367"/>
      <c r="S114" s="364"/>
      <c r="Z114" s="609" t="s">
        <v>149</v>
      </c>
      <c r="AA114" s="609" t="s">
        <v>5649</v>
      </c>
    </row>
    <row r="115" spans="1:29" ht="18">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5649</v>
      </c>
    </row>
    <row r="116" spans="1:29" ht="18">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5649</v>
      </c>
    </row>
    <row r="117" spans="1:29" ht="18.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5649</v>
      </c>
    </row>
    <row r="118" spans="1:29" ht="18">
      <c r="A118" s="2712"/>
      <c r="B118" s="371"/>
      <c r="C118" s="371" t="s">
        <v>2755</v>
      </c>
      <c r="D118" s="371"/>
      <c r="F118" s="294"/>
      <c r="G118" s="301"/>
      <c r="H118" s="315"/>
      <c r="I118" s="315"/>
      <c r="J118" s="291"/>
      <c r="K118" s="291"/>
      <c r="L118" s="291"/>
      <c r="M118" s="291"/>
      <c r="S118" s="364"/>
      <c r="Z118" s="609" t="s">
        <v>149</v>
      </c>
      <c r="AA118" s="609" t="s">
        <v>5649</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2024958.1</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2024958.1</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462" t="s">
        <v>5999</v>
      </c>
      <c r="H123" s="3493" t="str">
        <f>$V$2</f>
        <v>2019年12月31日</v>
      </c>
      <c r="I123" s="3466"/>
      <c r="J123" s="3466"/>
      <c r="K123" s="3513" t="str">
        <f>$V$3</f>
        <v>2018年12月31日</v>
      </c>
      <c r="L123" s="3496"/>
      <c r="M123" s="3474"/>
      <c r="N123" s="355" t="s">
        <v>5267</v>
      </c>
      <c r="O123" s="349"/>
      <c r="P123" s="301"/>
      <c r="S123" s="364"/>
      <c r="Z123" s="609" t="s">
        <v>161</v>
      </c>
      <c r="AA123" s="609" t="s">
        <v>2880</v>
      </c>
    </row>
    <row r="124" spans="1:29" ht="18">
      <c r="A124" s="2712"/>
      <c r="B124" s="371"/>
      <c r="C124" s="371"/>
      <c r="D124" s="2714"/>
      <c r="E124" s="586" t="s">
        <v>2749</v>
      </c>
      <c r="F124" s="586"/>
      <c r="G124" s="3463"/>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 t="shared" ref="D125:D128" si="7">IF(OR(G125="*",G125="",G125=0),0,COUNTIF($G$125:$G$128,G125))</f>
        <v>1</v>
      </c>
      <c r="E125" s="2719">
        <v>1</v>
      </c>
      <c r="F125" s="371"/>
      <c r="G125" s="1472" t="s">
        <v>2864</v>
      </c>
      <c r="H125" s="2273"/>
      <c r="I125" s="2273"/>
      <c r="J125" s="1474">
        <f>H125-I125</f>
        <v>0</v>
      </c>
      <c r="K125" s="2273">
        <v>2024958.1</v>
      </c>
      <c r="L125" s="2273"/>
      <c r="M125" s="1475">
        <f>K125-L125</f>
        <v>2024958.1</v>
      </c>
      <c r="N125" s="391"/>
      <c r="O125" s="349"/>
      <c r="P125" s="301"/>
      <c r="S125" s="364"/>
      <c r="Z125" s="609" t="s">
        <v>161</v>
      </c>
      <c r="AA125" s="609" t="s">
        <v>2880</v>
      </c>
    </row>
    <row r="126" spans="1:29" ht="18">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2024958.1</v>
      </c>
      <c r="L128" s="2233">
        <f t="shared" si="10"/>
        <v>0</v>
      </c>
      <c r="M128" s="2234">
        <f t="shared" si="10"/>
        <v>2024958.1</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6606</v>
      </c>
      <c r="F130" s="294"/>
      <c r="G130" s="307" t="str">
        <f>"("&amp;B130&amp;")"&amp;D130</f>
        <v>(1)应收票据分类</v>
      </c>
      <c r="H130" s="1515" t="str">
        <f>$A130</f>
        <v>1121a</v>
      </c>
      <c r="I130" s="343" t="s">
        <v>6609</v>
      </c>
      <c r="J130" s="301" t="s">
        <v>6607</v>
      </c>
      <c r="K130" s="344">
        <f>H136</f>
        <v>0</v>
      </c>
      <c r="L130" s="345" t="str">
        <f>IF($I130="适用",IF(ROUND($K$119-K130,2)=0,"F/S",ROUND($K$119-K130,2)),"#N/A")</f>
        <v>#N/A</v>
      </c>
      <c r="M130" s="301" t="s">
        <v>6608</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5988</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83"/>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6113</v>
      </c>
      <c r="H140" s="2533" t="s">
        <v>6114</v>
      </c>
      <c r="I140" s="355" t="s">
        <v>5267</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5139</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83"/>
      <c r="O146" s="315"/>
      <c r="P146" s="301"/>
      <c r="Q146" s="290" t="str">
        <f>IF($I146="不适用","",IF(ROUND(SUM($H$149:$I$158),2)=0,"请输入",""))</f>
        <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5125</v>
      </c>
      <c r="I148" s="2549" t="s">
        <v>5126</v>
      </c>
      <c r="J148" s="355" t="s">
        <v>5267</v>
      </c>
      <c r="K148" s="291"/>
      <c r="L148" s="291"/>
      <c r="M148" s="291"/>
      <c r="N148" s="291"/>
      <c r="O148" s="291"/>
      <c r="S148" s="364"/>
      <c r="Z148" s="609" t="s">
        <v>161</v>
      </c>
      <c r="AA148" s="609" t="s">
        <v>2880</v>
      </c>
    </row>
    <row r="149" spans="1:27" ht="18">
      <c r="A149" s="2712"/>
      <c r="B149" s="371">
        <v>101</v>
      </c>
      <c r="C149" s="371"/>
      <c r="D149" s="2714">
        <f t="shared" ref="D149:D158" si="11">IF(OR(G149="*",G149="",G149=0),0,COUNTIF($G$149:$G$158,G149))</f>
        <v>1</v>
      </c>
      <c r="E149" s="2719">
        <v>1</v>
      </c>
      <c r="F149" s="294"/>
      <c r="G149" s="308" t="s">
        <v>2864</v>
      </c>
      <c r="H149" s="309">
        <v>25575522.640000001</v>
      </c>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11"/>
        <v>1</v>
      </c>
      <c r="E153" s="2719" t="s">
        <v>41</v>
      </c>
      <c r="F153" s="294"/>
      <c r="G153" s="1457" t="s">
        <v>5124</v>
      </c>
      <c r="H153" s="309"/>
      <c r="I153" s="346"/>
      <c r="J153" s="355" t="s">
        <v>5140</v>
      </c>
      <c r="K153" s="291"/>
      <c r="L153" s="291"/>
      <c r="M153" s="291"/>
      <c r="N153" s="291"/>
      <c r="O153" s="291"/>
      <c r="P153" s="291"/>
      <c r="Q153" s="367"/>
      <c r="R153" s="367"/>
      <c r="S153" s="364"/>
      <c r="Z153" s="609" t="s">
        <v>161</v>
      </c>
      <c r="AA153" s="609" t="s">
        <v>2880</v>
      </c>
    </row>
    <row r="154" spans="1:27" ht="24">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11"/>
        <v>1</v>
      </c>
      <c r="E158" s="2719" t="s">
        <v>2751</v>
      </c>
      <c r="F158" s="294"/>
      <c r="G158" s="2232" t="s">
        <v>2752</v>
      </c>
      <c r="H158" s="2323">
        <f>SUMPRODUCT($E148:$E157,H148:H157)</f>
        <v>25575522.640000001</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83"/>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5989</v>
      </c>
      <c r="I162" s="355" t="s">
        <v>5267</v>
      </c>
      <c r="J162" s="291"/>
      <c r="K162" s="291"/>
      <c r="L162" s="291"/>
      <c r="M162" s="291"/>
      <c r="N162" s="291"/>
      <c r="O162" s="291"/>
      <c r="S162" s="364"/>
      <c r="Z162" s="609" t="s">
        <v>161</v>
      </c>
      <c r="AA162" s="609" t="s">
        <v>2880</v>
      </c>
    </row>
    <row r="163" spans="1:29" ht="18">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5368</v>
      </c>
      <c r="I171" s="371" t="s">
        <v>5369</v>
      </c>
      <c r="J171" s="371" t="s">
        <v>5370</v>
      </c>
      <c r="K171" s="371" t="s">
        <v>5371</v>
      </c>
      <c r="L171" s="371" t="s">
        <v>5372</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5373</v>
      </c>
      <c r="I172" s="547" t="s">
        <v>5374</v>
      </c>
      <c r="J172" s="371" t="s">
        <v>5375</v>
      </c>
      <c r="K172" s="547" t="s">
        <v>5376</v>
      </c>
      <c r="L172" s="371" t="s">
        <v>5377</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462" t="s">
        <v>47</v>
      </c>
      <c r="H173" s="3493" t="str">
        <f>$V$2</f>
        <v>2019年12月31日</v>
      </c>
      <c r="I173" s="3493"/>
      <c r="J173" s="3493"/>
      <c r="K173" s="3493"/>
      <c r="L173" s="3470"/>
      <c r="M173" s="355" t="s">
        <v>5267</v>
      </c>
      <c r="N173" s="426"/>
      <c r="O173" s="427"/>
      <c r="P173" s="425"/>
      <c r="Q173" s="442"/>
      <c r="R173" s="443"/>
      <c r="S173" s="364"/>
      <c r="Z173" s="609" t="s">
        <v>161</v>
      </c>
      <c r="AA173" s="609" t="s">
        <v>2880</v>
      </c>
    </row>
    <row r="174" spans="1:29" ht="18">
      <c r="A174" s="2712"/>
      <c r="B174" s="371"/>
      <c r="C174" s="371"/>
      <c r="D174" s="2714"/>
      <c r="E174" s="586" t="s">
        <v>2749</v>
      </c>
      <c r="F174" s="414"/>
      <c r="G174" s="3463"/>
      <c r="H174" s="2235" t="s">
        <v>5990</v>
      </c>
      <c r="I174" s="2235" t="s">
        <v>2888</v>
      </c>
      <c r="J174" s="2235" t="s">
        <v>5991</v>
      </c>
      <c r="K174" s="2237" t="s">
        <v>2889</v>
      </c>
      <c r="L174" s="2238" t="s">
        <v>5992</v>
      </c>
      <c r="M174" s="425"/>
      <c r="N174" s="426"/>
      <c r="O174" s="427"/>
      <c r="P174" s="425"/>
      <c r="Q174" s="442"/>
      <c r="R174" s="443"/>
      <c r="S174" s="364"/>
      <c r="Z174" s="609" t="s">
        <v>161</v>
      </c>
      <c r="AA174" s="609" t="s">
        <v>2880</v>
      </c>
    </row>
    <row r="175" spans="1:29" ht="18">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6134</v>
      </c>
      <c r="N176" s="426"/>
      <c r="O176" s="427"/>
      <c r="P176" s="425"/>
      <c r="Q176" s="442"/>
      <c r="R176" s="443"/>
      <c r="S176" s="364"/>
      <c r="Z176" s="609" t="s">
        <v>161</v>
      </c>
      <c r="AA176" s="609" t="s">
        <v>2880</v>
      </c>
    </row>
    <row r="177" spans="1:29" ht="18">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5994</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5365</v>
      </c>
      <c r="H185" s="1549" t="str">
        <f>G120</f>
        <v>(1)应收票据分类列示</v>
      </c>
      <c r="I185" s="1549"/>
      <c r="J185" s="1550"/>
      <c r="K185" s="1549"/>
      <c r="L185" s="1550"/>
      <c r="M185" s="1551" t="s">
        <v>5366</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5378</v>
      </c>
      <c r="I193" s="371" t="s">
        <v>5379</v>
      </c>
      <c r="J193" s="371" t="s">
        <v>5380</v>
      </c>
      <c r="K193" s="547" t="s">
        <v>5381</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5382</v>
      </c>
      <c r="I194" s="371" t="s">
        <v>5383</v>
      </c>
      <c r="J194" s="371" t="s">
        <v>5384</v>
      </c>
      <c r="K194" s="547" t="s">
        <v>5385</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462" t="s">
        <v>5134</v>
      </c>
      <c r="H195" s="3493" t="str">
        <f>$V$2</f>
        <v>2019年12月31日</v>
      </c>
      <c r="I195" s="3466"/>
      <c r="J195" s="3466"/>
      <c r="K195" s="3494"/>
      <c r="L195" s="355" t="s">
        <v>5267</v>
      </c>
      <c r="M195" s="433"/>
      <c r="N195" s="428"/>
      <c r="O195" s="428"/>
      <c r="P195" s="433"/>
      <c r="Q195" s="442"/>
      <c r="R195" s="443"/>
      <c r="S195" s="364"/>
      <c r="Z195" s="609" t="s">
        <v>161</v>
      </c>
      <c r="AA195" s="609" t="s">
        <v>2880</v>
      </c>
    </row>
    <row r="196" spans="1:27" ht="18">
      <c r="A196" s="2712"/>
      <c r="B196" s="371"/>
      <c r="C196" s="371"/>
      <c r="D196" s="2714"/>
      <c r="E196" s="586" t="s">
        <v>2749</v>
      </c>
      <c r="F196" s="414"/>
      <c r="G196" s="3463"/>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5365</v>
      </c>
      <c r="H207" s="1548" t="str">
        <f>G170</f>
        <v>(5)应收票据按坏账计提方法分类披露</v>
      </c>
      <c r="I207" s="1550"/>
      <c r="J207" s="1549"/>
      <c r="K207" s="1549"/>
      <c r="L207" s="1551" t="s">
        <v>5366</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462" t="s">
        <v>5134</v>
      </c>
      <c r="H217" s="3493" t="str">
        <f>$V$2</f>
        <v>2019年12月31日</v>
      </c>
      <c r="I217" s="3466"/>
      <c r="J217" s="3494"/>
      <c r="K217" s="355" t="s">
        <v>5267</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463"/>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5365</v>
      </c>
      <c r="H229" s="1548" t="str">
        <f>G170</f>
        <v>(5)应收票据按坏账计提方法分类披露</v>
      </c>
      <c r="I229" s="1550"/>
      <c r="J229" s="1549"/>
      <c r="K229" s="1551" t="s">
        <v>5366</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6115</v>
      </c>
      <c r="B236" s="371">
        <v>5.3</v>
      </c>
      <c r="C236" s="371"/>
      <c r="D236" s="2714" t="str">
        <f>VLOOKUP($A236,Sheet_NoteList,2,0)</f>
        <v>期末按按组合2计提坏账准备的应收票据</v>
      </c>
      <c r="E236" s="2714" t="s">
        <v>6531</v>
      </c>
      <c r="F236" s="293"/>
      <c r="G236" s="372" t="str">
        <f>"("&amp;B236&amp;")"&amp;D236</f>
        <v>(5.3)期末按按组合2计提坏账准备的应收票据</v>
      </c>
      <c r="H236" s="1515" t="str">
        <f>$A236</f>
        <v>1121n</v>
      </c>
      <c r="I236" s="343" t="s">
        <v>6117</v>
      </c>
      <c r="J236" s="301" t="s">
        <v>6118</v>
      </c>
      <c r="K236" s="2208">
        <f>H249</f>
        <v>0</v>
      </c>
      <c r="L236" s="349" t="str">
        <f>IF($I236="适用",IF(ROUND(K$119-K236,2)=0,"F/S",ROUND(K$119-K236,2)),"#N/A")</f>
        <v>F/S</v>
      </c>
      <c r="M236" s="301" t="s">
        <v>6119</v>
      </c>
      <c r="N236" s="2208">
        <f>I249</f>
        <v>0</v>
      </c>
      <c r="O236" s="349">
        <f>IF($I236="适用",IF(ROUND(N$119-N236,2)=0,"F/S",ROUND(N$119-N236,2)),"#N/A")</f>
        <v>2024958.1</v>
      </c>
      <c r="P236" s="301"/>
      <c r="S236" s="364"/>
      <c r="Z236" s="609" t="s">
        <v>161</v>
      </c>
      <c r="AA236" s="609" t="s">
        <v>2880</v>
      </c>
    </row>
    <row r="237" spans="1:27" ht="0.75" customHeight="1">
      <c r="A237" s="2712"/>
      <c r="B237" s="371"/>
      <c r="C237" s="371"/>
      <c r="D237" s="2714"/>
      <c r="E237" s="586"/>
      <c r="F237" s="586"/>
      <c r="G237" s="2222" t="s">
        <v>6120</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464" t="s">
        <v>5946</v>
      </c>
      <c r="H239" s="3460" t="str">
        <f>$V$2</f>
        <v>2019年12月31日</v>
      </c>
      <c r="I239" s="3514"/>
      <c r="J239" s="3515"/>
      <c r="K239" s="355" t="s">
        <v>5947</v>
      </c>
      <c r="L239" s="349"/>
      <c r="M239" s="301"/>
      <c r="N239" s="391"/>
      <c r="O239" s="349"/>
      <c r="P239" s="301"/>
      <c r="S239" s="364"/>
      <c r="Z239" s="609" t="s">
        <v>161</v>
      </c>
      <c r="AA239" s="609" t="s">
        <v>2880</v>
      </c>
    </row>
    <row r="240" spans="1:27" ht="18">
      <c r="A240" s="2712"/>
      <c r="B240" s="371"/>
      <c r="C240" s="371"/>
      <c r="D240" s="2714"/>
      <c r="E240" s="586" t="s">
        <v>2749</v>
      </c>
      <c r="F240" s="414"/>
      <c r="G240" s="3465"/>
      <c r="H240" s="2548" t="s">
        <v>2861</v>
      </c>
      <c r="I240" s="2548" t="s">
        <v>2862</v>
      </c>
      <c r="J240" s="2547" t="s">
        <v>2889</v>
      </c>
      <c r="K240" s="355" t="s">
        <v>6174</v>
      </c>
      <c r="L240" s="349"/>
      <c r="M240" s="301"/>
      <c r="N240" s="391"/>
      <c r="O240" s="349"/>
      <c r="P240" s="301"/>
      <c r="S240" s="364"/>
      <c r="Z240" s="609" t="s">
        <v>161</v>
      </c>
      <c r="AA240" s="609" t="s">
        <v>2880</v>
      </c>
    </row>
    <row r="241" spans="1:27" ht="18">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462" t="s">
        <v>5133</v>
      </c>
      <c r="H254" s="3493" t="str">
        <f>$V$3</f>
        <v>2018年12月31日</v>
      </c>
      <c r="I254" s="3466" t="s">
        <v>5207</v>
      </c>
      <c r="J254" s="3493" t="str">
        <f>$X$3</f>
        <v>2019年1月1日</v>
      </c>
      <c r="K254" s="3496" t="s">
        <v>2919</v>
      </c>
      <c r="L254" s="3496"/>
      <c r="M254" s="3496"/>
      <c r="N254" s="3582" t="str">
        <f>$V$2</f>
        <v>2019年12月31日</v>
      </c>
      <c r="O254" s="355" t="s">
        <v>5267</v>
      </c>
      <c r="P254" s="433"/>
      <c r="Q254" s="442"/>
      <c r="R254" s="443"/>
      <c r="S254" s="364"/>
      <c r="Z254" s="609" t="s">
        <v>161</v>
      </c>
      <c r="AA254" s="609" t="s">
        <v>2880</v>
      </c>
    </row>
    <row r="255" spans="1:27" ht="18">
      <c r="A255" s="2712"/>
      <c r="B255" s="371"/>
      <c r="C255" s="371"/>
      <c r="D255" s="2714"/>
      <c r="E255" s="586" t="s">
        <v>2749</v>
      </c>
      <c r="F255" s="414"/>
      <c r="G255" s="3463"/>
      <c r="H255" s="3467"/>
      <c r="I255" s="3467"/>
      <c r="J255" s="3467"/>
      <c r="K255" s="2237" t="s">
        <v>5208</v>
      </c>
      <c r="L255" s="2237" t="s">
        <v>5209</v>
      </c>
      <c r="M255" s="2235" t="s">
        <v>5210</v>
      </c>
      <c r="N255" s="3475"/>
      <c r="O255" s="434"/>
      <c r="P255" s="435"/>
      <c r="Q255" s="442"/>
      <c r="R255" s="443"/>
      <c r="S255" s="364"/>
      <c r="Z255" s="609" t="s">
        <v>161</v>
      </c>
      <c r="AA255" s="609" t="s">
        <v>2880</v>
      </c>
    </row>
    <row r="256" spans="1:27" ht="18">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5365</v>
      </c>
      <c r="H266" s="1548" t="str">
        <f>G120</f>
        <v>(1)应收票据分类列示</v>
      </c>
      <c r="I266" s="1549"/>
      <c r="J266" s="1549"/>
      <c r="K266" s="1549"/>
      <c r="L266" s="1549"/>
      <c r="M266" s="1549"/>
      <c r="N266" s="1550"/>
      <c r="O266" s="1551" t="s">
        <v>5366</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5267</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5267</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5993</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5267</v>
      </c>
      <c r="N295" s="434"/>
      <c r="O295" s="434"/>
      <c r="P295" s="435"/>
      <c r="Q295" s="442"/>
      <c r="R295" s="443"/>
      <c r="S295" s="364"/>
      <c r="Z295" s="609" t="s">
        <v>161</v>
      </c>
      <c r="AA295" s="609" t="s">
        <v>2880</v>
      </c>
    </row>
    <row r="296" spans="1:27" ht="18">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5583</v>
      </c>
      <c r="B306" s="371">
        <v>8</v>
      </c>
      <c r="C306" s="371"/>
      <c r="D306" s="2714" t="str">
        <f>VLOOKUP($A306,Sheet_NoteList,2,0)</f>
        <v>外币应收票据</v>
      </c>
      <c r="E306" s="2714" t="s">
        <v>6529</v>
      </c>
      <c r="F306" s="293"/>
      <c r="G306" s="372" t="str">
        <f>"("&amp;B306&amp;")"&amp;D306</f>
        <v>(8)外币应收票据</v>
      </c>
      <c r="H306" s="1515" t="str">
        <f>$A306</f>
        <v>1121m</v>
      </c>
      <c r="I306" s="343" t="s">
        <v>5589</v>
      </c>
      <c r="J306" s="301" t="s">
        <v>5590</v>
      </c>
      <c r="K306" s="2208">
        <f>H314</f>
        <v>0</v>
      </c>
      <c r="L306" s="349" t="str">
        <f>IF($I306="适用",IF(ROUND(K$119-K306,2)=0,"F/S",ROUND(K$119-K306,2)),"#N/A")</f>
        <v>F/S</v>
      </c>
      <c r="M306" s="301" t="s">
        <v>5591</v>
      </c>
      <c r="N306" s="2208">
        <f>I314</f>
        <v>0</v>
      </c>
      <c r="O306" s="349">
        <f>IF($I306="适用",IF(ROUND(N$119-N306,2)=0,"F/S",ROUND(N$119-N306,2)),"#N/A")</f>
        <v>2024958.1</v>
      </c>
      <c r="P306" s="301"/>
      <c r="S306" s="364"/>
      <c r="Z306" s="609" t="s">
        <v>161</v>
      </c>
      <c r="AA306" s="609" t="s">
        <v>2880</v>
      </c>
    </row>
    <row r="307" spans="1:27" ht="0.75" customHeight="1" thickBot="1">
      <c r="A307" s="2712"/>
      <c r="B307" s="371"/>
      <c r="C307" s="371"/>
      <c r="D307" s="2714"/>
      <c r="F307" s="371"/>
      <c r="G307" s="405" t="s">
        <v>5592</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5602</v>
      </c>
      <c r="L308" s="291"/>
      <c r="M308" s="301"/>
      <c r="N308" s="391"/>
      <c r="O308" s="349"/>
      <c r="P308" s="301"/>
      <c r="S308" s="364"/>
      <c r="Z308" s="609" t="s">
        <v>161</v>
      </c>
      <c r="AA308" s="609" t="s">
        <v>2880</v>
      </c>
    </row>
    <row r="309" spans="1:27" ht="18">
      <c r="A309" s="2712"/>
      <c r="B309" s="371">
        <v>101</v>
      </c>
      <c r="C309" s="371" t="s">
        <v>2791</v>
      </c>
      <c r="D309" s="2714">
        <f t="shared" ref="D309:D314" si="24">IF(OR(G309="*",G309="",G309=0),0,COUNTIF($G$309:$G$314,G309))</f>
        <v>1</v>
      </c>
      <c r="E309" s="2719">
        <v>1</v>
      </c>
      <c r="F309" s="293"/>
      <c r="G309" s="1624" t="s">
        <v>3079</v>
      </c>
      <c r="H309" s="1575"/>
      <c r="I309" s="430"/>
      <c r="J309" s="346"/>
      <c r="K309" s="355" t="s">
        <v>5362</v>
      </c>
      <c r="L309" s="1520" t="s">
        <v>5363</v>
      </c>
      <c r="M309" s="301"/>
      <c r="N309" s="391"/>
      <c r="O309" s="349"/>
      <c r="P309" s="301"/>
      <c r="S309" s="364"/>
      <c r="Z309" s="609" t="s">
        <v>161</v>
      </c>
      <c r="AA309" s="609" t="s">
        <v>2880</v>
      </c>
    </row>
    <row r="310" spans="1:27" ht="18">
      <c r="A310" s="2712"/>
      <c r="B310" s="371">
        <v>102</v>
      </c>
      <c r="C310" s="371" t="s">
        <v>2791</v>
      </c>
      <c r="D310" s="2714">
        <f t="shared" si="24"/>
        <v>1</v>
      </c>
      <c r="E310" s="2719">
        <v>1</v>
      </c>
      <c r="F310" s="293"/>
      <c r="G310" s="1624" t="s">
        <v>3080</v>
      </c>
      <c r="H310" s="1575"/>
      <c r="I310" s="430"/>
      <c r="J310" s="346"/>
      <c r="K310" s="355" t="s">
        <v>6174</v>
      </c>
      <c r="L310" s="349"/>
      <c r="M310" s="301"/>
      <c r="N310" s="391"/>
      <c r="O310" s="349"/>
      <c r="P310" s="301"/>
      <c r="S310" s="364"/>
      <c r="Z310" s="609" t="s">
        <v>161</v>
      </c>
      <c r="AA310" s="609" t="s">
        <v>2880</v>
      </c>
    </row>
    <row r="311" spans="1:27" ht="18">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52079975.609999999</v>
      </c>
      <c r="L316" s="342"/>
      <c r="M316" s="306" t="s">
        <v>2741</v>
      </c>
      <c r="N316" s="341">
        <f>VLOOKUP($A316,Sheet_Trialbal,10,0)</f>
        <v>43128210.229999997</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52079975.609999999</v>
      </c>
      <c r="L317" s="349" t="str">
        <f>IF($I317="适用",IF(ROUND(K$316-K317,2)=0,"F/S",ROUND(K$316-K317,2)),"#N/A")</f>
        <v>F/S</v>
      </c>
      <c r="M317" s="301" t="s">
        <v>2745</v>
      </c>
      <c r="N317" s="2208">
        <f>I332</f>
        <v>43055207.170000002</v>
      </c>
      <c r="O317" s="349">
        <f>IF($I317="适用",IF(ROUND(N$316-N317,2)=0,"F/S",ROUND(N$316-N317,2)),"#N/A")</f>
        <v>73003.06</v>
      </c>
      <c r="P317" s="301"/>
      <c r="S317" s="364"/>
      <c r="Z317" s="609" t="s">
        <v>273</v>
      </c>
      <c r="AA317" s="609" t="s">
        <v>2935</v>
      </c>
    </row>
    <row r="318" spans="1:27" ht="0.75" customHeight="1" thickBot="1">
      <c r="A318" s="2712"/>
      <c r="B318" s="371"/>
      <c r="C318" s="371"/>
      <c r="D318" s="2714"/>
      <c r="E318" s="586"/>
      <c r="F318" s="586"/>
      <c r="G318" s="2222" t="s">
        <v>2936</v>
      </c>
      <c r="H318" s="371" t="s">
        <v>5386</v>
      </c>
      <c r="I318" s="371" t="s">
        <v>5387</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5132</v>
      </c>
      <c r="H319" s="2230" t="str">
        <f>$V$2</f>
        <v>2019年12月31日</v>
      </c>
      <c r="I319" s="2231" t="str">
        <f>$V$3</f>
        <v>2018年12月31日</v>
      </c>
      <c r="J319" s="355" t="s">
        <v>5268</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5">IF(OR(G320="*",G320="",G320=0),0,COUNTIF($G$320:$G$332,G320))</f>
        <v>1</v>
      </c>
      <c r="E320" s="2719" t="s">
        <v>6532</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5"/>
        <v>1</v>
      </c>
      <c r="E321" s="2719" t="s">
        <v>2937</v>
      </c>
      <c r="F321" s="293"/>
      <c r="G321" s="2220" t="s">
        <v>5130</v>
      </c>
      <c r="H321" s="309">
        <v>51946592.039999999</v>
      </c>
      <c r="I321" s="394">
        <v>42385204.729999997</v>
      </c>
      <c r="J321" s="355" t="s">
        <v>5131</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5"/>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5"/>
        <v>1</v>
      </c>
      <c r="E323" s="2719" t="s">
        <v>2939</v>
      </c>
      <c r="F323" s="293"/>
      <c r="G323" s="1472" t="s">
        <v>2937</v>
      </c>
      <c r="H323" s="1474">
        <f>SUMIF($E$319:$E$331,$G323,H$319:H$331)</f>
        <v>51946592.039999999</v>
      </c>
      <c r="I323" s="1475">
        <f>SUMIF($E$319:$E$331,$G323,I$319:I$331)</f>
        <v>42385204.729999997</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5"/>
        <v>1</v>
      </c>
      <c r="E324" s="2719" t="s">
        <v>2939</v>
      </c>
      <c r="F324" s="293"/>
      <c r="G324" s="1472" t="s">
        <v>2940</v>
      </c>
      <c r="H324" s="309">
        <v>235953.91</v>
      </c>
      <c r="I324" s="394">
        <v>1483783.41</v>
      </c>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5"/>
        <v>1</v>
      </c>
      <c r="E325" s="2719" t="s">
        <v>2939</v>
      </c>
      <c r="F325" s="293"/>
      <c r="G325" s="1472" t="s">
        <v>2941</v>
      </c>
      <c r="H325" s="309">
        <v>1424863.86</v>
      </c>
      <c r="I325" s="394">
        <v>1001942.02</v>
      </c>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5"/>
        <v>1</v>
      </c>
      <c r="E326" s="2719" t="s">
        <v>2939</v>
      </c>
      <c r="F326" s="293"/>
      <c r="G326" s="2220" t="s">
        <v>2942</v>
      </c>
      <c r="H326" s="309">
        <v>975505.08</v>
      </c>
      <c r="I326" s="394">
        <v>1644775</v>
      </c>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5"/>
        <v>1</v>
      </c>
      <c r="E327" s="2719" t="s">
        <v>2939</v>
      </c>
      <c r="F327" s="293"/>
      <c r="G327" s="2220" t="s">
        <v>2943</v>
      </c>
      <c r="H327" s="309">
        <v>1610575</v>
      </c>
      <c r="I327" s="394">
        <v>1891943.1</v>
      </c>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5"/>
        <v>1</v>
      </c>
      <c r="E328" s="2719" t="s">
        <v>2939</v>
      </c>
      <c r="F328" s="293"/>
      <c r="G328" s="2220" t="s">
        <v>2944</v>
      </c>
      <c r="H328" s="309">
        <v>3296658.21</v>
      </c>
      <c r="I328" s="394">
        <v>1402272.64</v>
      </c>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5"/>
        <v>1</v>
      </c>
      <c r="E330" s="2719">
        <v>1</v>
      </c>
      <c r="F330" s="293"/>
      <c r="G330" s="1472" t="s">
        <v>2939</v>
      </c>
      <c r="H330" s="1474">
        <f>SUMIF($E$319:$E$331,$G330,H$319:H$331)</f>
        <v>59490148.100000001</v>
      </c>
      <c r="I330" s="1475">
        <f>SUMIF($E$319:$E$331,$G330,I$319:I$331)</f>
        <v>49809920.899999999</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5"/>
        <v>1</v>
      </c>
      <c r="E331" s="2719">
        <v>-1</v>
      </c>
      <c r="F331" s="293"/>
      <c r="G331" s="1472" t="s">
        <v>2945</v>
      </c>
      <c r="H331" s="309">
        <v>7410172.4900000002</v>
      </c>
      <c r="I331" s="346">
        <v>6754713.7300000004</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5"/>
        <v>1</v>
      </c>
      <c r="E332" s="2719" t="s">
        <v>2751</v>
      </c>
      <c r="F332" s="293"/>
      <c r="G332" s="2232" t="s">
        <v>2752</v>
      </c>
      <c r="H332" s="2233">
        <f>SUMPRODUCT($E319:$E331,H319:H331)</f>
        <v>52079975.609999999</v>
      </c>
      <c r="I332" s="2234">
        <f>SUMPRODUCT($E319:$E331,I319:I331)</f>
        <v>43055207.170000002</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52079975.609999999</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5388</v>
      </c>
      <c r="I335" s="547" t="s">
        <v>5389</v>
      </c>
      <c r="J335" s="371" t="s">
        <v>5390</v>
      </c>
      <c r="K335" s="547" t="s">
        <v>5391</v>
      </c>
      <c r="L335" s="371" t="s">
        <v>5392</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5373</v>
      </c>
      <c r="I336" s="371" t="s">
        <v>5374</v>
      </c>
      <c r="J336" s="371" t="s">
        <v>5375</v>
      </c>
      <c r="K336" s="547" t="s">
        <v>5376</v>
      </c>
      <c r="L336" s="547" t="s">
        <v>5377</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462" t="s">
        <v>5133</v>
      </c>
      <c r="H337" s="3493" t="str">
        <f>$V$2</f>
        <v>2019年12月31日</v>
      </c>
      <c r="I337" s="3493"/>
      <c r="J337" s="3493"/>
      <c r="K337" s="3493"/>
      <c r="L337" s="3470"/>
      <c r="M337" s="355" t="s">
        <v>5268</v>
      </c>
      <c r="N337" s="428"/>
      <c r="O337" s="428"/>
      <c r="P337" s="433"/>
      <c r="Q337" s="442"/>
      <c r="R337" s="443"/>
      <c r="S337" s="364"/>
      <c r="Z337" s="609" t="s">
        <v>273</v>
      </c>
      <c r="AA337" s="609" t="s">
        <v>2935</v>
      </c>
    </row>
    <row r="338" spans="1:29" ht="18">
      <c r="A338" s="2712"/>
      <c r="B338" s="371"/>
      <c r="C338" s="371"/>
      <c r="D338" s="2714"/>
      <c r="E338" s="586" t="s">
        <v>2749</v>
      </c>
      <c r="F338" s="414"/>
      <c r="G338" s="3463"/>
      <c r="H338" s="2235" t="s">
        <v>5128</v>
      </c>
      <c r="I338" s="2235" t="s">
        <v>2888</v>
      </c>
      <c r="J338" s="2235" t="s">
        <v>5129</v>
      </c>
      <c r="K338" s="2237" t="s">
        <v>2889</v>
      </c>
      <c r="L338" s="2238" t="s">
        <v>5127</v>
      </c>
      <c r="M338" s="435"/>
      <c r="N338" s="434"/>
      <c r="O338" s="434"/>
      <c r="P338" s="435"/>
      <c r="Q338" s="442"/>
      <c r="R338" s="443"/>
      <c r="S338" s="364"/>
      <c r="Z338" s="609" t="s">
        <v>273</v>
      </c>
      <c r="AA338" s="609" t="s">
        <v>2935</v>
      </c>
    </row>
    <row r="339" spans="1:29" ht="18">
      <c r="A339" s="2712"/>
      <c r="B339" s="371">
        <v>101</v>
      </c>
      <c r="C339" s="371"/>
      <c r="D339" s="2714">
        <f t="shared" ref="D339:D347" si="26">IF(OR(G339="*",G339="",G339=0),0,COUNTIF($G$339:$G$347,G339))</f>
        <v>1</v>
      </c>
      <c r="E339" s="2719">
        <v>1</v>
      </c>
      <c r="F339" s="293"/>
      <c r="G339" s="1472" t="s">
        <v>2890</v>
      </c>
      <c r="H339" s="309">
        <v>4478689.6500000004</v>
      </c>
      <c r="I339" s="3404">
        <v>7.53</v>
      </c>
      <c r="J339" s="309">
        <v>4478689.6500000004</v>
      </c>
      <c r="K339" s="431">
        <v>100</v>
      </c>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6571</v>
      </c>
    </row>
    <row r="340" spans="1:29" ht="18">
      <c r="A340" s="2712"/>
      <c r="B340" s="371">
        <v>102</v>
      </c>
      <c r="C340" s="371" t="s">
        <v>2791</v>
      </c>
      <c r="D340" s="2714">
        <f t="shared" si="26"/>
        <v>1</v>
      </c>
      <c r="E340" s="2719">
        <v>0</v>
      </c>
      <c r="F340" s="293"/>
      <c r="G340" s="2220" t="s">
        <v>2829</v>
      </c>
      <c r="H340" s="309"/>
      <c r="I340" s="3403"/>
      <c r="J340" s="309"/>
      <c r="K340" s="431"/>
      <c r="L340" s="1475">
        <f t="shared" ref="L340:L346" si="27">H340-J340</f>
        <v>0</v>
      </c>
      <c r="M340" s="355" t="s">
        <v>6134</v>
      </c>
      <c r="N340" s="439"/>
      <c r="O340" s="437"/>
      <c r="P340" s="438"/>
      <c r="Q340" s="442"/>
      <c r="R340" s="443"/>
      <c r="S340" s="364"/>
      <c r="Z340" s="609" t="s">
        <v>273</v>
      </c>
      <c r="AA340" s="609" t="s">
        <v>2935</v>
      </c>
    </row>
    <row r="341" spans="1:29" ht="18">
      <c r="A341" s="2712"/>
      <c r="B341" s="371">
        <v>103</v>
      </c>
      <c r="C341" s="371" t="s">
        <v>2791</v>
      </c>
      <c r="D341" s="2714">
        <f t="shared" si="26"/>
        <v>0</v>
      </c>
      <c r="E341" s="2719">
        <v>0</v>
      </c>
      <c r="F341" s="293"/>
      <c r="G341" s="2220"/>
      <c r="H341" s="309"/>
      <c r="I341" s="3404"/>
      <c r="J341" s="309"/>
      <c r="K341" s="431">
        <v>100</v>
      </c>
      <c r="L341" s="1475">
        <f t="shared" si="27"/>
        <v>0</v>
      </c>
      <c r="M341" s="438"/>
      <c r="N341" s="439"/>
      <c r="O341" s="437"/>
      <c r="P341" s="438"/>
      <c r="Q341" s="442"/>
      <c r="R341" s="443"/>
      <c r="S341" s="364"/>
      <c r="Z341" s="609" t="s">
        <v>273</v>
      </c>
      <c r="AA341" s="609" t="s">
        <v>2935</v>
      </c>
    </row>
    <row r="342" spans="1:29" ht="18">
      <c r="A342" s="2712"/>
      <c r="B342" s="371">
        <v>104</v>
      </c>
      <c r="C342" s="371" t="s">
        <v>2791</v>
      </c>
      <c r="D342" s="2714">
        <f t="shared" si="26"/>
        <v>0</v>
      </c>
      <c r="E342" s="2719">
        <v>0</v>
      </c>
      <c r="F342" s="293"/>
      <c r="G342" s="2220"/>
      <c r="H342" s="309"/>
      <c r="I342" s="3404"/>
      <c r="J342" s="309"/>
      <c r="K342" s="431">
        <v>100</v>
      </c>
      <c r="L342" s="1475">
        <f t="shared" si="27"/>
        <v>0</v>
      </c>
      <c r="M342" s="438"/>
      <c r="N342" s="439"/>
      <c r="O342" s="3402"/>
      <c r="P342" s="438"/>
      <c r="Q342" s="442"/>
      <c r="R342" s="443"/>
      <c r="S342" s="364"/>
      <c r="Z342" s="609" t="s">
        <v>273</v>
      </c>
      <c r="AA342" s="609" t="s">
        <v>2935</v>
      </c>
    </row>
    <row r="343" spans="1:29" ht="18">
      <c r="A343" s="2712"/>
      <c r="B343" s="371">
        <v>105</v>
      </c>
      <c r="C343" s="371"/>
      <c r="D343" s="2714">
        <f t="shared" si="26"/>
        <v>1</v>
      </c>
      <c r="E343" s="2719">
        <v>1</v>
      </c>
      <c r="F343" s="293"/>
      <c r="G343" s="1472" t="s">
        <v>2892</v>
      </c>
      <c r="H343" s="309">
        <f>SUM(H344:H346)</f>
        <v>55011458.450000003</v>
      </c>
      <c r="I343" s="3404">
        <v>92.47</v>
      </c>
      <c r="J343" s="309">
        <f>SUM(J344:J346)</f>
        <v>2931482.84</v>
      </c>
      <c r="K343" s="3294">
        <v>5.33</v>
      </c>
      <c r="L343" s="1475">
        <f t="shared" si="27"/>
        <v>52079975.609999999</v>
      </c>
      <c r="M343" s="438"/>
      <c r="N343" s="439"/>
      <c r="O343" s="437"/>
      <c r="P343" s="438"/>
      <c r="Q343" s="442"/>
      <c r="R343" s="443"/>
      <c r="S343" s="364"/>
      <c r="Z343" s="609" t="s">
        <v>273</v>
      </c>
      <c r="AA343" s="609" t="s">
        <v>2935</v>
      </c>
    </row>
    <row r="344" spans="1:29" ht="18">
      <c r="A344" s="2712"/>
      <c r="B344" s="371">
        <v>106</v>
      </c>
      <c r="C344" s="371" t="s">
        <v>2791</v>
      </c>
      <c r="D344" s="2714">
        <f t="shared" si="26"/>
        <v>1</v>
      </c>
      <c r="E344" s="2719">
        <v>0</v>
      </c>
      <c r="F344" s="293"/>
      <c r="G344" s="2623" t="s">
        <v>7822</v>
      </c>
      <c r="H344" s="309">
        <v>20438780.09</v>
      </c>
      <c r="I344" s="3404">
        <v>34.36</v>
      </c>
      <c r="J344" s="309">
        <v>2931482.84</v>
      </c>
      <c r="K344" s="431">
        <v>14.34</v>
      </c>
      <c r="L344" s="1475">
        <f t="shared" si="27"/>
        <v>17507297.25</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6571</v>
      </c>
    </row>
    <row r="345" spans="1:29" ht="18">
      <c r="A345" s="2712"/>
      <c r="B345" s="371">
        <v>107</v>
      </c>
      <c r="C345" s="371" t="s">
        <v>2791</v>
      </c>
      <c r="D345" s="2714">
        <f t="shared" si="26"/>
        <v>1</v>
      </c>
      <c r="E345" s="2719">
        <v>0</v>
      </c>
      <c r="F345" s="293"/>
      <c r="G345" s="2220" t="s">
        <v>7823</v>
      </c>
      <c r="H345" s="309">
        <v>34572678.359999999</v>
      </c>
      <c r="I345" s="3404">
        <v>58.11</v>
      </c>
      <c r="J345" s="309">
        <v>0</v>
      </c>
      <c r="K345" s="431">
        <v>0</v>
      </c>
      <c r="L345" s="1475">
        <f t="shared" si="27"/>
        <v>34572678.359999999</v>
      </c>
      <c r="M345" s="438"/>
      <c r="N345" s="439"/>
      <c r="O345" s="437"/>
      <c r="P345" s="438"/>
      <c r="Q345" s="442"/>
      <c r="R345" s="443"/>
      <c r="S345" s="364"/>
      <c r="Z345" s="609" t="s">
        <v>273</v>
      </c>
      <c r="AA345" s="609" t="s">
        <v>2935</v>
      </c>
    </row>
    <row r="346" spans="1:29" ht="18">
      <c r="A346" s="2712"/>
      <c r="B346" s="371">
        <v>108</v>
      </c>
      <c r="C346" s="371" t="s">
        <v>2791</v>
      </c>
      <c r="D346" s="2714">
        <f t="shared" si="26"/>
        <v>0</v>
      </c>
      <c r="E346" s="2719">
        <v>0</v>
      </c>
      <c r="F346" s="293"/>
      <c r="G346" s="2220" t="s">
        <v>2792</v>
      </c>
      <c r="H346" s="309"/>
      <c r="I346" s="430"/>
      <c r="J346" s="309"/>
      <c r="K346" s="431"/>
      <c r="L346" s="1475">
        <f t="shared" si="27"/>
        <v>0</v>
      </c>
      <c r="M346" s="438"/>
      <c r="N346" s="439"/>
      <c r="O346" s="437"/>
      <c r="P346" s="438"/>
      <c r="Q346" s="442"/>
      <c r="R346" s="443"/>
      <c r="S346" s="364"/>
      <c r="Z346" s="609" t="s">
        <v>273</v>
      </c>
      <c r="AA346" s="609" t="s">
        <v>2935</v>
      </c>
    </row>
    <row r="347" spans="1:29" ht="18.75" thickBot="1">
      <c r="A347" s="2712"/>
      <c r="B347" s="371"/>
      <c r="C347" s="371"/>
      <c r="D347" s="2714">
        <f t="shared" si="26"/>
        <v>1</v>
      </c>
      <c r="E347" s="2719" t="s">
        <v>2751</v>
      </c>
      <c r="F347" s="293"/>
      <c r="G347" s="2232" t="s">
        <v>2752</v>
      </c>
      <c r="H347" s="2233">
        <f>SUMPRODUCT($E338:$E346,H338:H346)</f>
        <v>59490148.100000001</v>
      </c>
      <c r="I347" s="2428">
        <f>SUMPRODUCT($E338:$E346,I338:I346)</f>
        <v>100</v>
      </c>
      <c r="J347" s="2233">
        <f>SUMPRODUCT($E338:$E346,J338:J346)</f>
        <v>7410172.4900000002</v>
      </c>
      <c r="K347" s="2428">
        <v>11.84</v>
      </c>
      <c r="L347" s="2234">
        <f>SUMPRODUCT($E338:$E346,L338:L346)</f>
        <v>52079975.609999999</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5365</v>
      </c>
      <c r="H349" s="1548" t="str">
        <f>G317</f>
        <v>(1)应收账款按账龄披露</v>
      </c>
      <c r="I349" s="1549"/>
      <c r="J349" s="1550"/>
      <c r="K349" s="1549"/>
      <c r="L349" s="1550"/>
      <c r="M349" s="1551" t="s">
        <v>5366</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59490148.100000001</v>
      </c>
      <c r="I350" s="351"/>
      <c r="J350" s="2250">
        <f ca="1">HYPERLINK("#'"&amp;$G$1&amp;"'!"&amp;ADDRESS(ROW(Notes!H331),COLUMN(Notes!H331),4),H331)</f>
        <v>7410172.4900000002</v>
      </c>
      <c r="K350" s="351"/>
      <c r="L350" s="2250">
        <f ca="1">HYPERLINK("#'"&amp;$G$1&amp;"'!"&amp;ADDRESS(ROW(Notes!H332),COLUMN(Notes!H332),4),H332)</f>
        <v>52079975.609999999</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59490148.100000001</v>
      </c>
      <c r="I351" s="351"/>
      <c r="J351" s="456">
        <f>J347</f>
        <v>7410172.4900000002</v>
      </c>
      <c r="K351" s="351"/>
      <c r="L351" s="456">
        <f>L347</f>
        <v>52079975.609999999</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H369</f>
        <v>4478689.6500000004</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462" t="s">
        <v>5995</v>
      </c>
      <c r="H359" s="3493" t="str">
        <f>$V$2</f>
        <v>2019年12月31日</v>
      </c>
      <c r="I359" s="3466"/>
      <c r="J359" s="3466"/>
      <c r="K359" s="3494"/>
      <c r="L359" s="355" t="s">
        <v>5268</v>
      </c>
      <c r="M359" s="433"/>
      <c r="N359" s="428"/>
      <c r="O359" s="428"/>
      <c r="P359" s="433"/>
      <c r="Q359" s="442"/>
      <c r="R359" s="443"/>
      <c r="S359" s="364"/>
      <c r="Z359" s="609" t="s">
        <v>273</v>
      </c>
      <c r="AA359" s="609" t="s">
        <v>2935</v>
      </c>
    </row>
    <row r="360" spans="1:27" ht="18">
      <c r="A360" s="2712"/>
      <c r="B360" s="371"/>
      <c r="C360" s="371"/>
      <c r="D360" s="2714"/>
      <c r="E360" s="586" t="s">
        <v>2749</v>
      </c>
      <c r="F360" s="414"/>
      <c r="G360" s="3463"/>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69" si="28">IF(OR(G361="*",G361="",G361=0),0,COUNTIF($G$361:$G$369,G361))</f>
        <v>1</v>
      </c>
      <c r="E361" s="2719">
        <v>1</v>
      </c>
      <c r="F361" s="293"/>
      <c r="G361" s="2220" t="s">
        <v>7416</v>
      </c>
      <c r="H361" s="309">
        <v>1065173</v>
      </c>
      <c r="I361" s="422">
        <v>1065173</v>
      </c>
      <c r="J361" s="360">
        <v>100</v>
      </c>
      <c r="K361" s="3292" t="s">
        <v>7798</v>
      </c>
      <c r="L361" s="437"/>
      <c r="M361" s="438"/>
      <c r="N361" s="439"/>
      <c r="O361" s="437"/>
      <c r="P361" s="438"/>
      <c r="Q361" s="442"/>
      <c r="R361" s="443"/>
      <c r="S361" s="364"/>
      <c r="Z361" s="609" t="s">
        <v>273</v>
      </c>
      <c r="AA361" s="609" t="s">
        <v>2935</v>
      </c>
    </row>
    <row r="362" spans="1:27" ht="18">
      <c r="A362" s="2712"/>
      <c r="B362" s="371">
        <v>102</v>
      </c>
      <c r="C362" s="371" t="s">
        <v>2791</v>
      </c>
      <c r="D362" s="2714">
        <f t="shared" si="28"/>
        <v>1</v>
      </c>
      <c r="E362" s="2719">
        <v>1</v>
      </c>
      <c r="F362" s="293"/>
      <c r="G362" s="2220" t="s">
        <v>7417</v>
      </c>
      <c r="H362" s="309">
        <v>1359200</v>
      </c>
      <c r="I362" s="422">
        <v>1359200</v>
      </c>
      <c r="J362" s="360">
        <v>100</v>
      </c>
      <c r="K362" s="3292" t="s">
        <v>7798</v>
      </c>
      <c r="L362" s="437"/>
      <c r="M362" s="438"/>
      <c r="N362" s="439"/>
      <c r="O362" s="437"/>
      <c r="P362" s="438"/>
      <c r="Q362" s="442"/>
      <c r="R362" s="443"/>
      <c r="S362" s="364"/>
      <c r="Z362" s="609" t="s">
        <v>273</v>
      </c>
      <c r="AA362" s="609" t="s">
        <v>2935</v>
      </c>
    </row>
    <row r="363" spans="1:27" ht="18">
      <c r="A363" s="2712"/>
      <c r="B363" s="371">
        <v>103</v>
      </c>
      <c r="C363" s="371" t="s">
        <v>2791</v>
      </c>
      <c r="D363" s="2714">
        <f t="shared" si="28"/>
        <v>1</v>
      </c>
      <c r="E363" s="2719">
        <v>1</v>
      </c>
      <c r="F363" s="293"/>
      <c r="G363" s="2220" t="s">
        <v>7418</v>
      </c>
      <c r="H363" s="309">
        <v>413617.5</v>
      </c>
      <c r="I363" s="422">
        <v>413617.5</v>
      </c>
      <c r="J363" s="360">
        <v>100</v>
      </c>
      <c r="K363" s="3292" t="s">
        <v>7798</v>
      </c>
      <c r="L363" s="437"/>
      <c r="M363" s="438"/>
      <c r="N363" s="439"/>
      <c r="O363" s="437"/>
      <c r="P363" s="438"/>
      <c r="Q363" s="442"/>
      <c r="R363" s="443"/>
      <c r="S363" s="364"/>
      <c r="Z363" s="609" t="s">
        <v>273</v>
      </c>
      <c r="AA363" s="609" t="s">
        <v>2935</v>
      </c>
    </row>
    <row r="364" spans="1:27" ht="24">
      <c r="A364" s="2712"/>
      <c r="B364" s="371">
        <v>104</v>
      </c>
      <c r="C364" s="371" t="s">
        <v>2791</v>
      </c>
      <c r="D364" s="2714">
        <f t="shared" si="28"/>
        <v>1</v>
      </c>
      <c r="E364" s="2719">
        <v>1</v>
      </c>
      <c r="F364" s="293"/>
      <c r="G364" s="2220" t="s">
        <v>7419</v>
      </c>
      <c r="H364" s="309">
        <v>92806.05</v>
      </c>
      <c r="I364" s="422">
        <v>92806.05</v>
      </c>
      <c r="J364" s="360">
        <v>100</v>
      </c>
      <c r="K364" s="3292" t="s">
        <v>7798</v>
      </c>
      <c r="L364" s="437"/>
      <c r="M364" s="438"/>
      <c r="N364" s="439"/>
      <c r="O364" s="437"/>
      <c r="P364" s="438"/>
      <c r="Q364" s="442"/>
      <c r="R364" s="443"/>
      <c r="S364" s="364"/>
      <c r="Z364" s="609" t="s">
        <v>273</v>
      </c>
      <c r="AA364" s="609" t="s">
        <v>2935</v>
      </c>
    </row>
    <row r="365" spans="1:27" ht="24">
      <c r="A365" s="2712"/>
      <c r="B365" s="371">
        <v>105</v>
      </c>
      <c r="C365" s="371" t="s">
        <v>2791</v>
      </c>
      <c r="D365" s="2714">
        <f t="shared" si="28"/>
        <v>1</v>
      </c>
      <c r="E365" s="2719">
        <v>1</v>
      </c>
      <c r="F365" s="293"/>
      <c r="G365" s="2220" t="s">
        <v>7420</v>
      </c>
      <c r="H365" s="309">
        <v>80000</v>
      </c>
      <c r="I365" s="422">
        <v>80000</v>
      </c>
      <c r="J365" s="360">
        <v>100</v>
      </c>
      <c r="K365" s="3292" t="s">
        <v>7798</v>
      </c>
      <c r="L365" s="437"/>
      <c r="M365" s="438"/>
      <c r="N365" s="439"/>
      <c r="O365" s="437"/>
      <c r="P365" s="438"/>
      <c r="Q365" s="442"/>
      <c r="R365" s="443"/>
      <c r="S365" s="364"/>
      <c r="Z365" s="609" t="s">
        <v>273</v>
      </c>
      <c r="AA365" s="609" t="s">
        <v>2935</v>
      </c>
    </row>
    <row r="366" spans="1:27" ht="18">
      <c r="A366" s="2712"/>
      <c r="B366" s="371">
        <v>106</v>
      </c>
      <c r="C366" s="371" t="s">
        <v>2791</v>
      </c>
      <c r="D366" s="2714">
        <f t="shared" si="28"/>
        <v>1</v>
      </c>
      <c r="E366" s="2719">
        <v>1</v>
      </c>
      <c r="F366" s="293"/>
      <c r="G366" s="2220" t="s">
        <v>7421</v>
      </c>
      <c r="H366" s="309">
        <v>298600</v>
      </c>
      <c r="I366" s="422">
        <v>298600</v>
      </c>
      <c r="J366" s="360">
        <v>100</v>
      </c>
      <c r="K366" s="3292" t="s">
        <v>7779</v>
      </c>
      <c r="L366" s="437"/>
      <c r="M366" s="438"/>
      <c r="N366" s="439"/>
      <c r="O366" s="437"/>
      <c r="P366" s="438"/>
      <c r="Q366" s="442"/>
      <c r="R366" s="443"/>
      <c r="S366" s="364"/>
      <c r="Z366" s="609" t="s">
        <v>273</v>
      </c>
      <c r="AA366" s="609" t="s">
        <v>2935</v>
      </c>
    </row>
    <row r="367" spans="1:27" ht="18">
      <c r="A367" s="2712"/>
      <c r="B367" s="371">
        <v>107</v>
      </c>
      <c r="C367" s="371" t="s">
        <v>2791</v>
      </c>
      <c r="D367" s="2714">
        <f t="shared" si="28"/>
        <v>1</v>
      </c>
      <c r="E367" s="2719">
        <v>1</v>
      </c>
      <c r="F367" s="293"/>
      <c r="G367" s="2220" t="s">
        <v>7422</v>
      </c>
      <c r="H367" s="309">
        <v>959143.1</v>
      </c>
      <c r="I367" s="422">
        <v>959143.1</v>
      </c>
      <c r="J367" s="360">
        <v>100</v>
      </c>
      <c r="K367" s="3292" t="s">
        <v>7779</v>
      </c>
      <c r="L367" s="437"/>
      <c r="M367" s="438"/>
      <c r="N367" s="439"/>
      <c r="O367" s="437"/>
      <c r="P367" s="438"/>
      <c r="Q367" s="442"/>
      <c r="R367" s="443"/>
      <c r="S367" s="364"/>
      <c r="Z367" s="609" t="s">
        <v>273</v>
      </c>
      <c r="AA367" s="609" t="s">
        <v>2935</v>
      </c>
    </row>
    <row r="368" spans="1:27" ht="18">
      <c r="A368" s="2712"/>
      <c r="B368" s="371">
        <v>108</v>
      </c>
      <c r="C368" s="371" t="s">
        <v>2791</v>
      </c>
      <c r="D368" s="2714">
        <f t="shared" si="28"/>
        <v>1</v>
      </c>
      <c r="E368" s="2719">
        <v>1</v>
      </c>
      <c r="F368" s="293"/>
      <c r="G368" s="2220" t="s">
        <v>7423</v>
      </c>
      <c r="H368" s="309">
        <v>210150</v>
      </c>
      <c r="I368" s="422">
        <v>210150</v>
      </c>
      <c r="J368" s="360">
        <v>100</v>
      </c>
      <c r="K368" s="3292" t="s">
        <v>7779</v>
      </c>
      <c r="L368" s="437"/>
      <c r="M368" s="438"/>
      <c r="N368" s="439"/>
      <c r="O368" s="437"/>
      <c r="P368" s="438"/>
      <c r="Q368" s="442"/>
      <c r="R368" s="443"/>
      <c r="S368" s="364"/>
      <c r="Z368" s="609" t="s">
        <v>273</v>
      </c>
      <c r="AA368" s="609" t="s">
        <v>2935</v>
      </c>
    </row>
    <row r="369" spans="1:27" ht="18.75" thickBot="1">
      <c r="A369" s="2712"/>
      <c r="B369" s="371"/>
      <c r="C369" s="371"/>
      <c r="D369" s="2714">
        <f t="shared" si="28"/>
        <v>1</v>
      </c>
      <c r="E369" s="2719" t="s">
        <v>2751</v>
      </c>
      <c r="F369" s="293"/>
      <c r="G369" s="2232" t="s">
        <v>2752</v>
      </c>
      <c r="H369" s="2233">
        <f>SUMPRODUCT($E360:$E368,H360:H368)</f>
        <v>4478689.6500000004</v>
      </c>
      <c r="I369" s="2233">
        <f>SUMPRODUCT($E360:$E368,I360:I368)</f>
        <v>4478689.6500000004</v>
      </c>
      <c r="J369" s="2239"/>
      <c r="K369" s="2242"/>
      <c r="L369" s="437"/>
      <c r="M369" s="440"/>
      <c r="N369" s="439"/>
      <c r="O369" s="437"/>
      <c r="P369" s="440"/>
      <c r="Q369" s="442"/>
      <c r="R369" s="443"/>
      <c r="S369" s="364"/>
      <c r="Z369" s="609" t="s">
        <v>273</v>
      </c>
      <c r="AA369" s="609" t="s">
        <v>2935</v>
      </c>
    </row>
    <row r="370" spans="1:27" ht="18.75" thickBot="1">
      <c r="A370" s="2712"/>
      <c r="B370" s="371"/>
      <c r="C370" s="371" t="s">
        <v>2755</v>
      </c>
      <c r="D370" s="2714"/>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8.75" thickTop="1">
      <c r="A371" s="2712"/>
      <c r="B371" s="371"/>
      <c r="C371" s="371" t="s">
        <v>2565</v>
      </c>
      <c r="D371" s="2714"/>
      <c r="F371" s="293"/>
      <c r="G371" s="1547" t="s">
        <v>5365</v>
      </c>
      <c r="H371" s="1548" t="str">
        <f>G334</f>
        <v>(2.1)应收账款按坏账计提方法分类披露（按简化模型计提）</v>
      </c>
      <c r="I371" s="1550"/>
      <c r="J371" s="1549"/>
      <c r="K371" s="1549"/>
      <c r="L371" s="1551" t="s">
        <v>5366</v>
      </c>
      <c r="M371" s="425"/>
      <c r="N371" s="426"/>
      <c r="O371" s="427"/>
      <c r="P371" s="425"/>
      <c r="Q371" s="442"/>
      <c r="R371" s="442"/>
      <c r="S371" s="364"/>
      <c r="Z371" s="609" t="s">
        <v>273</v>
      </c>
      <c r="AA371" s="609" t="s">
        <v>2935</v>
      </c>
    </row>
    <row r="372" spans="1:27" ht="18">
      <c r="A372" s="2712"/>
      <c r="B372" s="371"/>
      <c r="C372" s="371" t="s">
        <v>2565</v>
      </c>
      <c r="D372" s="2714"/>
      <c r="F372" s="293"/>
      <c r="G372" s="604" t="str">
        <f>"注释A:"&amp; G339</f>
        <v>注释A:按单项计提坏账准备</v>
      </c>
      <c r="H372" s="2250">
        <f ca="1">HYPERLINK("#'"&amp;$G$1&amp;"'!"&amp;ADDRESS(ROW(Notes!H339),COLUMN(Notes!H339),4),H339)</f>
        <v>4478689.6500000004</v>
      </c>
      <c r="I372" s="2250">
        <f ca="1">HYPERLINK("#'"&amp;$G$1&amp;"'!"&amp;ADDRESS(ROW(Notes!J339),COLUMN(Notes!J339),4),J339)</f>
        <v>4478689.6500000004</v>
      </c>
      <c r="J372" s="351"/>
      <c r="K372" s="351"/>
      <c r="L372" s="2249" t="str">
        <f>H334</f>
        <v>1122p</v>
      </c>
      <c r="M372" s="425"/>
      <c r="N372" s="426"/>
      <c r="O372" s="427"/>
      <c r="P372" s="425"/>
      <c r="Q372" s="442"/>
      <c r="R372" s="442"/>
      <c r="S372" s="364"/>
      <c r="Z372" s="609" t="s">
        <v>273</v>
      </c>
      <c r="AA372" s="609" t="s">
        <v>2935</v>
      </c>
    </row>
    <row r="373" spans="1:27" ht="18">
      <c r="A373" s="2712"/>
      <c r="B373" s="371"/>
      <c r="C373" s="371" t="s">
        <v>2565</v>
      </c>
      <c r="D373" s="2714"/>
      <c r="F373" s="293"/>
      <c r="G373" s="604" t="str">
        <f>"本注释B:"&amp; G369</f>
        <v>本注释B:合       计</v>
      </c>
      <c r="H373" s="456">
        <f>H369</f>
        <v>4478689.6500000004</v>
      </c>
      <c r="I373" s="456">
        <f>I369</f>
        <v>4478689.6500000004</v>
      </c>
      <c r="J373" s="351"/>
      <c r="K373" s="351"/>
      <c r="L373" s="1542" t="s">
        <v>302</v>
      </c>
      <c r="M373" s="425"/>
      <c r="N373" s="426"/>
      <c r="O373" s="427"/>
      <c r="P373" s="425"/>
      <c r="Q373" s="442"/>
      <c r="R373" s="442"/>
      <c r="S373" s="364"/>
      <c r="Z373" s="609" t="s">
        <v>273</v>
      </c>
      <c r="AA373" s="609" t="s">
        <v>2935</v>
      </c>
    </row>
    <row r="374" spans="1:27" ht="18.75" thickBot="1">
      <c r="A374" s="2712"/>
      <c r="B374" s="371"/>
      <c r="C374" s="371" t="s">
        <v>2565</v>
      </c>
      <c r="D374" s="2714"/>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8.75" thickTop="1">
      <c r="A375" s="2712"/>
      <c r="B375" s="371"/>
      <c r="C375" s="371" t="s">
        <v>2565</v>
      </c>
      <c r="D375" s="2714"/>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8">
      <c r="A376" s="2712"/>
      <c r="B376" s="371"/>
      <c r="C376" s="371" t="s">
        <v>2565</v>
      </c>
      <c r="D376" s="2714"/>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8">
      <c r="A377" s="2712"/>
      <c r="B377" s="371"/>
      <c r="C377" s="371" t="s">
        <v>2565</v>
      </c>
      <c r="D377" s="2714"/>
      <c r="F377" s="293"/>
      <c r="G377" s="1543"/>
      <c r="H377" s="461"/>
      <c r="I377" s="461"/>
      <c r="J377" s="317"/>
      <c r="K377" s="317"/>
      <c r="L377" s="1545"/>
      <c r="M377" s="425"/>
      <c r="N377" s="426"/>
      <c r="O377" s="427"/>
      <c r="P377" s="425"/>
      <c r="Q377" s="442"/>
      <c r="R377" s="442"/>
      <c r="S377" s="364"/>
      <c r="Z377" s="609" t="s">
        <v>273</v>
      </c>
      <c r="AA377" s="609" t="s">
        <v>2935</v>
      </c>
    </row>
    <row r="378" spans="1:27" ht="36">
      <c r="A378" s="2712" t="s">
        <v>310</v>
      </c>
      <c r="B378" s="371">
        <v>2.2200000000000002</v>
      </c>
      <c r="C378" s="371"/>
      <c r="D378" s="2714" t="str">
        <f>VLOOKUP($A378,Sheet_NoteList,2,0)</f>
        <v>期末按组合1计提坏账准备的应收账款（简化模型）</v>
      </c>
      <c r="E378" s="2714" t="s">
        <v>2742</v>
      </c>
      <c r="F378" s="293"/>
      <c r="G378" s="372" t="str">
        <f>"("&amp;B378&amp;")"&amp;D378</f>
        <v>(2.22)期末按组合1计提坏账准备的应收账款（简化模型）</v>
      </c>
      <c r="H378" s="1515" t="str">
        <f>$A378</f>
        <v>1122s</v>
      </c>
      <c r="I378" s="343" t="s">
        <v>2743</v>
      </c>
      <c r="J378" s="301" t="s">
        <v>2744</v>
      </c>
      <c r="K378" s="2208">
        <f>H391</f>
        <v>20438780.09</v>
      </c>
      <c r="L378" s="349"/>
      <c r="M378" s="301"/>
      <c r="N378" s="391"/>
      <c r="O378" s="349"/>
      <c r="P378" s="301"/>
      <c r="S378" s="364"/>
      <c r="Z378" s="609" t="s">
        <v>273</v>
      </c>
      <c r="AA378" s="609" t="s">
        <v>2935</v>
      </c>
    </row>
    <row r="379" spans="1:27" ht="0.75" customHeight="1">
      <c r="A379" s="2712"/>
      <c r="B379" s="371"/>
      <c r="C379" s="371"/>
      <c r="D379" s="2714"/>
      <c r="E379" s="586"/>
      <c r="F379" s="586"/>
      <c r="G379" s="2222" t="s">
        <v>2960</v>
      </c>
      <c r="H379" s="371" t="s">
        <v>5398</v>
      </c>
      <c r="I379" s="371" t="s">
        <v>5399</v>
      </c>
      <c r="J379" s="371" t="s">
        <v>5400</v>
      </c>
      <c r="K379" s="428"/>
      <c r="L379" s="428"/>
      <c r="M379" s="433"/>
      <c r="N379" s="428"/>
      <c r="O379" s="428"/>
      <c r="P379" s="433"/>
      <c r="Q379" s="442"/>
      <c r="R379" s="443"/>
      <c r="S379" s="364"/>
      <c r="Z379" s="609" t="s">
        <v>273</v>
      </c>
      <c r="AA379" s="609" t="s">
        <v>2935</v>
      </c>
    </row>
    <row r="380" spans="1:27" ht="0.75" customHeight="1" thickBot="1">
      <c r="A380" s="2712"/>
      <c r="B380" s="371"/>
      <c r="C380" s="371"/>
      <c r="D380" s="2714"/>
      <c r="E380" s="586"/>
      <c r="F380" s="586"/>
      <c r="G380" s="2222"/>
      <c r="H380" s="371" t="s">
        <v>5401</v>
      </c>
      <c r="I380" s="371" t="s">
        <v>5402</v>
      </c>
      <c r="J380" s="371" t="s">
        <v>5403</v>
      </c>
      <c r="K380" s="428"/>
      <c r="L380" s="428"/>
      <c r="M380" s="433"/>
      <c r="N380" s="428"/>
      <c r="O380" s="428"/>
      <c r="P380" s="433"/>
      <c r="Q380" s="442"/>
      <c r="R380" s="443"/>
      <c r="S380" s="364"/>
      <c r="Z380" s="609" t="s">
        <v>273</v>
      </c>
      <c r="AA380" s="609" t="s">
        <v>2935</v>
      </c>
    </row>
    <row r="381" spans="1:27" ht="18" customHeight="1">
      <c r="A381" s="2712"/>
      <c r="B381" s="371"/>
      <c r="C381" s="371"/>
      <c r="D381" s="2714"/>
      <c r="E381" s="586" t="s">
        <v>2749</v>
      </c>
      <c r="F381" s="414"/>
      <c r="G381" s="3462" t="s">
        <v>5135</v>
      </c>
      <c r="H381" s="3493" t="str">
        <f>$V$2</f>
        <v>2019年12月31日</v>
      </c>
      <c r="I381" s="3466"/>
      <c r="J381" s="3494"/>
      <c r="K381" s="355" t="s">
        <v>5268</v>
      </c>
      <c r="L381" s="428"/>
      <c r="M381" s="433"/>
      <c r="N381" s="428"/>
      <c r="O381" s="428"/>
      <c r="P381" s="433"/>
      <c r="Q381" s="442"/>
      <c r="R381" s="443"/>
      <c r="S381" s="364"/>
      <c r="Z381" s="609" t="s">
        <v>273</v>
      </c>
      <c r="AA381" s="609" t="s">
        <v>2935</v>
      </c>
    </row>
    <row r="382" spans="1:27" ht="18">
      <c r="A382" s="2712"/>
      <c r="B382" s="371"/>
      <c r="C382" s="371"/>
      <c r="D382" s="2714"/>
      <c r="E382" s="586" t="s">
        <v>2749</v>
      </c>
      <c r="F382" s="414"/>
      <c r="G382" s="3463"/>
      <c r="H382" s="2235" t="s">
        <v>2861</v>
      </c>
      <c r="I382" s="2235" t="s">
        <v>2862</v>
      </c>
      <c r="J382" s="2238" t="s">
        <v>2889</v>
      </c>
      <c r="K382" s="434"/>
      <c r="L382" s="434"/>
      <c r="M382" s="435"/>
      <c r="N382" s="434"/>
      <c r="O382" s="434"/>
      <c r="P382" s="435"/>
      <c r="Q382" s="442"/>
      <c r="R382" s="443"/>
      <c r="S382" s="364"/>
      <c r="Z382" s="609" t="s">
        <v>273</v>
      </c>
      <c r="AA382" s="609" t="s">
        <v>2935</v>
      </c>
    </row>
    <row r="383" spans="1:27" ht="18">
      <c r="A383" s="2712"/>
      <c r="B383" s="371">
        <v>101</v>
      </c>
      <c r="C383" s="371"/>
      <c r="D383" s="2714">
        <f t="shared" ref="D383:D391" si="29">IF(OR(G383="*",G383="",G383=0),0,COUNTIF($G$383:$G$391,G383))</f>
        <v>1</v>
      </c>
      <c r="E383" s="2719">
        <v>1</v>
      </c>
      <c r="F383" s="293"/>
      <c r="G383" s="1472" t="s">
        <v>2938</v>
      </c>
      <c r="H383" s="309">
        <v>17373913.68</v>
      </c>
      <c r="I383" s="422">
        <v>347478.27</v>
      </c>
      <c r="J383" s="3293">
        <v>2</v>
      </c>
      <c r="K383" s="439"/>
      <c r="L383" s="437"/>
      <c r="M383" s="438"/>
      <c r="N383" s="439"/>
      <c r="O383" s="437"/>
      <c r="P383" s="438"/>
      <c r="Q383" s="442"/>
      <c r="R383" s="443"/>
      <c r="S383" s="364"/>
      <c r="Z383" s="609" t="s">
        <v>273</v>
      </c>
      <c r="AA383" s="609" t="s">
        <v>2935</v>
      </c>
    </row>
    <row r="384" spans="1:27" ht="18">
      <c r="A384" s="2712"/>
      <c r="B384" s="371">
        <v>102</v>
      </c>
      <c r="C384" s="371"/>
      <c r="D384" s="2714">
        <f t="shared" si="29"/>
        <v>1</v>
      </c>
      <c r="E384" s="2719">
        <v>1</v>
      </c>
      <c r="F384" s="293"/>
      <c r="G384" s="1472" t="s">
        <v>2962</v>
      </c>
      <c r="H384" s="309">
        <v>235953.91</v>
      </c>
      <c r="I384" s="422">
        <v>47190.78</v>
      </c>
      <c r="J384" s="388">
        <v>20</v>
      </c>
      <c r="K384" s="439"/>
      <c r="L384" s="437"/>
      <c r="M384" s="438"/>
      <c r="N384" s="439"/>
      <c r="O384" s="437"/>
      <c r="P384" s="438"/>
      <c r="Q384" s="442"/>
      <c r="R384" s="443"/>
      <c r="S384" s="364"/>
      <c r="Z384" s="609" t="s">
        <v>273</v>
      </c>
      <c r="AA384" s="609" t="s">
        <v>2935</v>
      </c>
    </row>
    <row r="385" spans="1:27" ht="18">
      <c r="A385" s="2712"/>
      <c r="B385" s="371">
        <v>103</v>
      </c>
      <c r="C385" s="371"/>
      <c r="D385" s="2714">
        <f t="shared" si="29"/>
        <v>1</v>
      </c>
      <c r="E385" s="2719">
        <v>1</v>
      </c>
      <c r="F385" s="293"/>
      <c r="G385" s="1472" t="s">
        <v>2963</v>
      </c>
      <c r="H385" s="309">
        <v>359690.86</v>
      </c>
      <c r="I385" s="422">
        <v>107907.26</v>
      </c>
      <c r="J385" s="3293">
        <v>30</v>
      </c>
      <c r="K385" s="439"/>
      <c r="L385" s="437"/>
      <c r="M385" s="438"/>
      <c r="N385" s="439"/>
      <c r="O385" s="437"/>
      <c r="P385" s="438"/>
      <c r="Q385" s="442"/>
      <c r="R385" s="443"/>
      <c r="S385" s="364"/>
      <c r="Z385" s="609" t="s">
        <v>273</v>
      </c>
      <c r="AA385" s="609" t="s">
        <v>2935</v>
      </c>
    </row>
    <row r="386" spans="1:27" ht="18">
      <c r="A386" s="2712"/>
      <c r="B386" s="371">
        <v>104</v>
      </c>
      <c r="C386" s="371" t="s">
        <v>2791</v>
      </c>
      <c r="D386" s="2714">
        <f t="shared" si="29"/>
        <v>1</v>
      </c>
      <c r="E386" s="2719">
        <v>1</v>
      </c>
      <c r="F386" s="293"/>
      <c r="G386" s="2220" t="s">
        <v>2964</v>
      </c>
      <c r="H386" s="309">
        <v>90481.53</v>
      </c>
      <c r="I386" s="422">
        <v>54288.92</v>
      </c>
      <c r="J386" s="3293">
        <v>60</v>
      </c>
      <c r="K386" s="439"/>
      <c r="L386" s="437"/>
      <c r="M386" s="438"/>
      <c r="N386" s="439"/>
      <c r="O386" s="437"/>
      <c r="P386" s="438"/>
      <c r="Q386" s="442"/>
      <c r="R386" s="443"/>
      <c r="S386" s="364"/>
      <c r="Z386" s="609" t="s">
        <v>273</v>
      </c>
      <c r="AA386" s="609" t="s">
        <v>2935</v>
      </c>
    </row>
    <row r="387" spans="1:27" ht="18">
      <c r="A387" s="2712"/>
      <c r="B387" s="371">
        <v>105</v>
      </c>
      <c r="C387" s="371" t="s">
        <v>2791</v>
      </c>
      <c r="D387" s="2714">
        <f t="shared" si="29"/>
        <v>1</v>
      </c>
      <c r="E387" s="2719">
        <v>1</v>
      </c>
      <c r="F387" s="293"/>
      <c r="G387" s="2220" t="s">
        <v>2965</v>
      </c>
      <c r="H387" s="309">
        <v>41225</v>
      </c>
      <c r="I387" s="422">
        <v>37102.5</v>
      </c>
      <c r="J387" s="3293">
        <v>90</v>
      </c>
      <c r="K387" s="439"/>
      <c r="L387" s="437"/>
      <c r="M387" s="438"/>
      <c r="N387" s="439"/>
      <c r="O387" s="437"/>
      <c r="P387" s="438"/>
      <c r="Q387" s="442"/>
      <c r="R387" s="443"/>
      <c r="S387" s="364"/>
      <c r="Z387" s="609" t="s">
        <v>273</v>
      </c>
      <c r="AA387" s="609" t="s">
        <v>2935</v>
      </c>
    </row>
    <row r="388" spans="1:27" ht="18">
      <c r="A388" s="2712"/>
      <c r="B388" s="371">
        <v>106</v>
      </c>
      <c r="C388" s="371" t="s">
        <v>2791</v>
      </c>
      <c r="D388" s="2714">
        <f t="shared" si="29"/>
        <v>1</v>
      </c>
      <c r="E388" s="2719">
        <v>1</v>
      </c>
      <c r="F388" s="293"/>
      <c r="G388" s="2220" t="s">
        <v>2944</v>
      </c>
      <c r="H388" s="309">
        <v>2337515.11</v>
      </c>
      <c r="I388" s="422">
        <v>2337515.11</v>
      </c>
      <c r="J388" s="388">
        <v>100</v>
      </c>
      <c r="K388" s="439"/>
      <c r="L388" s="437"/>
      <c r="M388" s="438"/>
      <c r="N388" s="439"/>
      <c r="O388" s="437"/>
      <c r="P388" s="438"/>
      <c r="Q388" s="442"/>
      <c r="R388" s="443"/>
      <c r="S388" s="364"/>
      <c r="Z388" s="609" t="s">
        <v>273</v>
      </c>
      <c r="AA388" s="609" t="s">
        <v>2935</v>
      </c>
    </row>
    <row r="389" spans="1:27" ht="18">
      <c r="A389" s="2712"/>
      <c r="B389" s="371">
        <v>107</v>
      </c>
      <c r="C389" s="371" t="s">
        <v>2791</v>
      </c>
      <c r="D389" s="2714">
        <f t="shared" si="29"/>
        <v>0</v>
      </c>
      <c r="E389" s="2719">
        <v>1</v>
      </c>
      <c r="F389" s="293"/>
      <c r="G389" s="2220" t="s">
        <v>2792</v>
      </c>
      <c r="H389" s="309"/>
      <c r="I389" s="422"/>
      <c r="J389" s="388"/>
      <c r="K389" s="439"/>
      <c r="L389" s="437"/>
      <c r="M389" s="438"/>
      <c r="N389" s="439"/>
      <c r="O389" s="437"/>
      <c r="P389" s="438"/>
      <c r="Q389" s="442"/>
      <c r="R389" s="443"/>
      <c r="S389" s="364"/>
      <c r="Z389" s="609" t="s">
        <v>273</v>
      </c>
      <c r="AA389" s="609" t="s">
        <v>2935</v>
      </c>
    </row>
    <row r="390" spans="1:27" ht="18">
      <c r="A390" s="2712"/>
      <c r="B390" s="371">
        <v>108</v>
      </c>
      <c r="C390" s="371" t="s">
        <v>2791</v>
      </c>
      <c r="D390" s="2714">
        <f t="shared" si="29"/>
        <v>0</v>
      </c>
      <c r="E390" s="2719">
        <v>1</v>
      </c>
      <c r="F390" s="293"/>
      <c r="G390" s="2220" t="s">
        <v>2792</v>
      </c>
      <c r="H390" s="309"/>
      <c r="I390" s="422"/>
      <c r="J390" s="388"/>
      <c r="K390" s="439"/>
      <c r="L390" s="437"/>
      <c r="M390" s="438"/>
      <c r="N390" s="439"/>
      <c r="O390" s="437"/>
      <c r="P390" s="438"/>
      <c r="Q390" s="442"/>
      <c r="R390" s="443"/>
      <c r="S390" s="364"/>
      <c r="Z390" s="609" t="s">
        <v>273</v>
      </c>
      <c r="AA390" s="609" t="s">
        <v>2935</v>
      </c>
    </row>
    <row r="391" spans="1:27" ht="18.75" thickBot="1">
      <c r="A391" s="2712"/>
      <c r="B391" s="371"/>
      <c r="C391" s="371"/>
      <c r="D391" s="2714">
        <f t="shared" si="29"/>
        <v>1</v>
      </c>
      <c r="E391" s="2719" t="s">
        <v>2751</v>
      </c>
      <c r="F391" s="293"/>
      <c r="G391" s="2232" t="s">
        <v>2752</v>
      </c>
      <c r="H391" s="2233">
        <f>SUMPRODUCT($E382:$E390,H382:H390)</f>
        <v>20438780.09</v>
      </c>
      <c r="I391" s="2233">
        <f>SUMPRODUCT($E382:$E390,I382:I390)</f>
        <v>2931482.84</v>
      </c>
      <c r="J391" s="2242"/>
      <c r="K391" s="439"/>
      <c r="L391" s="437"/>
      <c r="M391" s="440"/>
      <c r="N391" s="439"/>
      <c r="O391" s="437"/>
      <c r="P391" s="440"/>
      <c r="Q391" s="442"/>
      <c r="R391" s="443"/>
      <c r="S391" s="364"/>
      <c r="Z391" s="609" t="s">
        <v>273</v>
      </c>
      <c r="AA391" s="609" t="s">
        <v>2935</v>
      </c>
    </row>
    <row r="392" spans="1:27" ht="18.75" thickBot="1">
      <c r="A392" s="2712"/>
      <c r="B392" s="371"/>
      <c r="C392" s="371" t="s">
        <v>2755</v>
      </c>
      <c r="D392" s="2714"/>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8.75" thickTop="1">
      <c r="A393" s="2712"/>
      <c r="B393" s="371"/>
      <c r="C393" s="371" t="s">
        <v>2565</v>
      </c>
      <c r="D393" s="2714"/>
      <c r="F393" s="293"/>
      <c r="G393" s="1547" t="s">
        <v>5365</v>
      </c>
      <c r="H393" s="1548" t="str">
        <f>G334</f>
        <v>(2.1)应收账款按坏账计提方法分类披露（按简化模型计提）</v>
      </c>
      <c r="I393" s="1550"/>
      <c r="J393" s="1549"/>
      <c r="K393" s="1551" t="s">
        <v>5366</v>
      </c>
      <c r="L393" s="427"/>
      <c r="M393" s="425"/>
      <c r="N393" s="426"/>
      <c r="O393" s="427"/>
      <c r="P393" s="425"/>
      <c r="Q393" s="442"/>
      <c r="R393" s="442"/>
      <c r="S393" s="364"/>
      <c r="Z393" s="609" t="s">
        <v>273</v>
      </c>
      <c r="AA393" s="609" t="s">
        <v>2935</v>
      </c>
    </row>
    <row r="394" spans="1:27" ht="18">
      <c r="A394" s="2712"/>
      <c r="B394" s="371"/>
      <c r="C394" s="371" t="s">
        <v>2565</v>
      </c>
      <c r="D394" s="2714"/>
      <c r="F394" s="293"/>
      <c r="G394" s="604" t="str">
        <f>"注释A:"&amp; G344</f>
        <v>注释A:应收化工业务客户</v>
      </c>
      <c r="H394" s="2250">
        <f ca="1">HYPERLINK("#'"&amp;$G$1&amp;"'!"&amp;ADDRESS(ROW(Notes!H344),COLUMN(Notes!H344),4),H344)</f>
        <v>20438780.09</v>
      </c>
      <c r="I394" s="2250">
        <f ca="1">HYPERLINK("#'"&amp;$G$1&amp;"'!"&amp;ADDRESS(ROW(Notes!J344),COLUMN(Notes!J344),4),J344)</f>
        <v>2931482.84</v>
      </c>
      <c r="J394" s="351"/>
      <c r="K394" s="2249" t="str">
        <f>H334</f>
        <v>1122p</v>
      </c>
      <c r="L394" s="427"/>
      <c r="M394" s="425"/>
      <c r="N394" s="426"/>
      <c r="O394" s="427"/>
      <c r="P394" s="425"/>
      <c r="Q394" s="442"/>
      <c r="R394" s="442"/>
      <c r="S394" s="364"/>
      <c r="Z394" s="609" t="s">
        <v>273</v>
      </c>
      <c r="AA394" s="609" t="s">
        <v>2935</v>
      </c>
    </row>
    <row r="395" spans="1:27" ht="18">
      <c r="A395" s="2712"/>
      <c r="B395" s="371"/>
      <c r="C395" s="371" t="s">
        <v>2565</v>
      </c>
      <c r="D395" s="2714"/>
      <c r="F395" s="293"/>
      <c r="G395" s="604" t="str">
        <f>"本注释B:"&amp; G391</f>
        <v>本注释B:合       计</v>
      </c>
      <c r="H395" s="456">
        <f>H391</f>
        <v>20438780.09</v>
      </c>
      <c r="I395" s="456">
        <f>I391</f>
        <v>2931482.84</v>
      </c>
      <c r="J395" s="351"/>
      <c r="K395" s="1542" t="s">
        <v>310</v>
      </c>
      <c r="L395" s="427"/>
      <c r="M395" s="425"/>
      <c r="N395" s="426"/>
      <c r="O395" s="427"/>
      <c r="P395" s="425"/>
      <c r="Q395" s="442"/>
      <c r="R395" s="442"/>
      <c r="S395" s="364"/>
      <c r="Z395" s="609" t="s">
        <v>273</v>
      </c>
      <c r="AA395" s="609" t="s">
        <v>2935</v>
      </c>
    </row>
    <row r="396" spans="1:27" ht="18.75" thickBot="1">
      <c r="A396" s="2712"/>
      <c r="B396" s="371"/>
      <c r="C396" s="371" t="s">
        <v>2565</v>
      </c>
      <c r="D396" s="2714"/>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8.75" thickTop="1">
      <c r="A397" s="2712"/>
      <c r="B397" s="371"/>
      <c r="C397" s="371" t="s">
        <v>2565</v>
      </c>
      <c r="D397" s="2714"/>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8">
      <c r="A398" s="2712"/>
      <c r="B398" s="371"/>
      <c r="C398" s="371" t="s">
        <v>2565</v>
      </c>
      <c r="D398" s="2714"/>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8">
      <c r="A399" s="2712"/>
      <c r="B399" s="371"/>
      <c r="C399" s="371" t="s">
        <v>2565</v>
      </c>
      <c r="D399" s="2714"/>
      <c r="F399" s="293"/>
      <c r="G399" s="1543"/>
      <c r="H399" s="461"/>
      <c r="I399" s="461"/>
      <c r="J399" s="317"/>
      <c r="K399" s="1545"/>
      <c r="L399" s="427"/>
      <c r="M399" s="425"/>
      <c r="N399" s="426"/>
      <c r="O399" s="427"/>
      <c r="P399" s="425"/>
      <c r="Q399" s="442"/>
      <c r="R399" s="442"/>
      <c r="S399" s="364"/>
      <c r="Z399" s="609" t="s">
        <v>273</v>
      </c>
      <c r="AA399" s="609" t="s">
        <v>2935</v>
      </c>
    </row>
    <row r="400" spans="1:27" ht="36">
      <c r="A400" s="2712" t="s">
        <v>316</v>
      </c>
      <c r="B400" s="371">
        <v>2.23</v>
      </c>
      <c r="C400" s="371"/>
      <c r="D400" s="2714" t="str">
        <f>VLOOKUP($A400,Sheet_NoteList,2,0)</f>
        <v>期末按组合2计提坏账准备的应收账款（简化模型）</v>
      </c>
      <c r="E400" s="2714" t="s">
        <v>2742</v>
      </c>
      <c r="F400" s="293"/>
      <c r="G400" s="372" t="str">
        <f>"("&amp;B400&amp;")"&amp;D400</f>
        <v>(2.23)期末按组合2计提坏账准备的应收账款（简化模型）</v>
      </c>
      <c r="H400" s="1515" t="str">
        <f>$A400</f>
        <v>1122t</v>
      </c>
      <c r="I400" s="343" t="s">
        <v>2743</v>
      </c>
      <c r="J400" s="301" t="s">
        <v>2744</v>
      </c>
      <c r="K400" s="2208">
        <f>H413</f>
        <v>34572678.359999999</v>
      </c>
      <c r="L400" s="349"/>
      <c r="M400" s="301"/>
      <c r="N400" s="391"/>
      <c r="O400" s="349"/>
      <c r="P400" s="301"/>
      <c r="S400" s="364"/>
      <c r="Z400" s="609" t="s">
        <v>273</v>
      </c>
      <c r="AA400" s="609" t="s">
        <v>2935</v>
      </c>
    </row>
    <row r="401" spans="1:27" ht="0.75" customHeight="1">
      <c r="A401" s="2712"/>
      <c r="B401" s="371"/>
      <c r="C401" s="371"/>
      <c r="D401" s="2714"/>
      <c r="F401" s="371"/>
      <c r="G401" s="405" t="s">
        <v>2966</v>
      </c>
      <c r="H401" s="371" t="s">
        <v>6176</v>
      </c>
      <c r="I401" s="371" t="s">
        <v>6177</v>
      </c>
      <c r="J401" s="371" t="s">
        <v>6178</v>
      </c>
      <c r="K401" s="428"/>
      <c r="L401" s="428"/>
      <c r="M401" s="433"/>
      <c r="N401" s="428"/>
      <c r="O401" s="428"/>
      <c r="P401" s="433"/>
      <c r="Q401" s="442"/>
      <c r="R401" s="443"/>
      <c r="S401" s="364"/>
      <c r="Z401" s="609" t="s">
        <v>273</v>
      </c>
      <c r="AA401" s="609" t="s">
        <v>2935</v>
      </c>
    </row>
    <row r="402" spans="1:27" ht="0.75" customHeight="1" thickBot="1">
      <c r="A402" s="2712"/>
      <c r="B402" s="371"/>
      <c r="C402" s="371"/>
      <c r="D402" s="2714"/>
      <c r="F402" s="371"/>
      <c r="G402" s="405"/>
      <c r="H402" s="371" t="s">
        <v>6179</v>
      </c>
      <c r="I402" s="371" t="s">
        <v>6180</v>
      </c>
      <c r="J402" s="371" t="s">
        <v>6181</v>
      </c>
      <c r="K402" s="428"/>
      <c r="L402" s="428"/>
      <c r="M402" s="433"/>
      <c r="N402" s="428"/>
      <c r="O402" s="428"/>
      <c r="P402" s="433"/>
      <c r="Q402" s="442"/>
      <c r="R402" s="443"/>
      <c r="S402" s="364"/>
      <c r="Z402" s="609" t="s">
        <v>273</v>
      </c>
      <c r="AA402" s="609" t="s">
        <v>2935</v>
      </c>
    </row>
    <row r="403" spans="1:27" ht="18" customHeight="1">
      <c r="A403" s="2712"/>
      <c r="B403" s="371"/>
      <c r="C403" s="371"/>
      <c r="D403" s="2714"/>
      <c r="E403" s="2714" t="s">
        <v>2749</v>
      </c>
      <c r="F403" s="293"/>
      <c r="G403" s="3530" t="s">
        <v>5960</v>
      </c>
      <c r="H403" s="3504" t="str">
        <f>$V$2</f>
        <v>2019年12月31日</v>
      </c>
      <c r="I403" s="3495"/>
      <c r="J403" s="3505"/>
      <c r="K403" s="355" t="s">
        <v>5947</v>
      </c>
      <c r="L403" s="428"/>
      <c r="M403" s="433"/>
      <c r="N403" s="428"/>
      <c r="O403" s="428"/>
      <c r="P403" s="433"/>
      <c r="Q403" s="442"/>
      <c r="R403" s="443"/>
      <c r="S403" s="364"/>
      <c r="Z403" s="609" t="s">
        <v>273</v>
      </c>
      <c r="AA403" s="609" t="s">
        <v>2935</v>
      </c>
    </row>
    <row r="404" spans="1:27" ht="18">
      <c r="A404" s="2712"/>
      <c r="B404" s="371"/>
      <c r="C404" s="371"/>
      <c r="D404" s="2714"/>
      <c r="E404" s="2714" t="s">
        <v>2749</v>
      </c>
      <c r="F404" s="293"/>
      <c r="G404" s="3531"/>
      <c r="H404" s="2205" t="s">
        <v>2861</v>
      </c>
      <c r="I404" s="2205" t="s">
        <v>2862</v>
      </c>
      <c r="J404" s="2206" t="s">
        <v>2889</v>
      </c>
      <c r="K404" s="355" t="s">
        <v>6174</v>
      </c>
      <c r="L404" s="434"/>
      <c r="M404" s="435"/>
      <c r="N404" s="434"/>
      <c r="O404" s="434"/>
      <c r="P404" s="435"/>
      <c r="Q404" s="442"/>
      <c r="R404" s="443"/>
      <c r="S404" s="364"/>
      <c r="Z404" s="609" t="s">
        <v>273</v>
      </c>
      <c r="AA404" s="609" t="s">
        <v>2935</v>
      </c>
    </row>
    <row r="405" spans="1:27" ht="18">
      <c r="A405" s="2712"/>
      <c r="B405" s="371">
        <v>101</v>
      </c>
      <c r="C405" s="371" t="s">
        <v>2791</v>
      </c>
      <c r="D405" s="2714">
        <f t="shared" ref="D405:D413" si="30">IF(OR(G405="*",G405="",G405=0),0,COUNTIF($G$405:$G$413,G405))</f>
        <v>1</v>
      </c>
      <c r="E405" s="2719">
        <v>1</v>
      </c>
      <c r="F405" s="293"/>
      <c r="G405" s="2214" t="s">
        <v>7424</v>
      </c>
      <c r="H405" s="309">
        <v>34572678.359999999</v>
      </c>
      <c r="I405" s="422">
        <v>0</v>
      </c>
      <c r="J405" s="388">
        <v>0</v>
      </c>
      <c r="K405" s="439"/>
      <c r="L405" s="437"/>
      <c r="M405" s="438"/>
      <c r="N405" s="439"/>
      <c r="O405" s="437"/>
      <c r="P405" s="438"/>
      <c r="Q405" s="442"/>
      <c r="R405" s="443"/>
      <c r="S405" s="364"/>
      <c r="Z405" s="609" t="s">
        <v>273</v>
      </c>
      <c r="AA405" s="609" t="s">
        <v>2935</v>
      </c>
    </row>
    <row r="406" spans="1:27" ht="18">
      <c r="A406" s="2712"/>
      <c r="B406" s="371">
        <v>102</v>
      </c>
      <c r="C406" s="371" t="s">
        <v>2791</v>
      </c>
      <c r="D406" s="2714">
        <f t="shared" si="30"/>
        <v>0</v>
      </c>
      <c r="E406" s="2719">
        <v>1</v>
      </c>
      <c r="F406" s="293"/>
      <c r="G406" s="2214"/>
      <c r="H406" s="309"/>
      <c r="I406" s="422"/>
      <c r="J406" s="388"/>
      <c r="K406" s="439"/>
      <c r="L406" s="437"/>
      <c r="M406" s="438"/>
      <c r="N406" s="439"/>
      <c r="O406" s="437"/>
      <c r="P406" s="438"/>
      <c r="Q406" s="442"/>
      <c r="R406" s="443"/>
      <c r="S406" s="364"/>
      <c r="Z406" s="609" t="s">
        <v>273</v>
      </c>
      <c r="AA406" s="609" t="s">
        <v>2935</v>
      </c>
    </row>
    <row r="407" spans="1:27" ht="18">
      <c r="A407" s="2712"/>
      <c r="B407" s="371">
        <v>103</v>
      </c>
      <c r="C407" s="371" t="s">
        <v>2791</v>
      </c>
      <c r="D407" s="2714">
        <f t="shared" si="30"/>
        <v>0</v>
      </c>
      <c r="E407" s="2719">
        <v>1</v>
      </c>
      <c r="F407" s="293"/>
      <c r="G407" s="2214"/>
      <c r="H407" s="309"/>
      <c r="I407" s="422"/>
      <c r="J407" s="388"/>
      <c r="K407" s="439"/>
      <c r="L407" s="437"/>
      <c r="M407" s="438"/>
      <c r="N407" s="439"/>
      <c r="O407" s="437"/>
      <c r="P407" s="438"/>
      <c r="Q407" s="442"/>
      <c r="R407" s="443"/>
      <c r="S407" s="364"/>
      <c r="Z407" s="609" t="s">
        <v>273</v>
      </c>
      <c r="AA407" s="609" t="s">
        <v>2935</v>
      </c>
    </row>
    <row r="408" spans="1:27" ht="18">
      <c r="A408" s="2712"/>
      <c r="B408" s="371">
        <v>104</v>
      </c>
      <c r="C408" s="371" t="s">
        <v>2791</v>
      </c>
      <c r="D408" s="2714">
        <f t="shared" si="30"/>
        <v>0</v>
      </c>
      <c r="E408" s="2719">
        <v>1</v>
      </c>
      <c r="F408" s="293"/>
      <c r="G408" s="2214"/>
      <c r="H408" s="309"/>
      <c r="I408" s="422"/>
      <c r="J408" s="388"/>
      <c r="K408" s="439"/>
      <c r="L408" s="437"/>
      <c r="M408" s="438"/>
      <c r="N408" s="439"/>
      <c r="O408" s="437"/>
      <c r="P408" s="438"/>
      <c r="Q408" s="442"/>
      <c r="R408" s="443"/>
      <c r="S408" s="364"/>
      <c r="Z408" s="609" t="s">
        <v>273</v>
      </c>
      <c r="AA408" s="609" t="s">
        <v>2935</v>
      </c>
    </row>
    <row r="409" spans="1:27" ht="18">
      <c r="A409" s="2712"/>
      <c r="B409" s="371">
        <v>105</v>
      </c>
      <c r="C409" s="371" t="s">
        <v>2791</v>
      </c>
      <c r="D409" s="2714">
        <f t="shared" si="30"/>
        <v>0</v>
      </c>
      <c r="E409" s="2719">
        <v>1</v>
      </c>
      <c r="F409" s="293"/>
      <c r="G409" s="2214"/>
      <c r="H409" s="309"/>
      <c r="I409" s="422"/>
      <c r="J409" s="388"/>
      <c r="K409" s="439"/>
      <c r="L409" s="437"/>
      <c r="M409" s="438"/>
      <c r="N409" s="439"/>
      <c r="O409" s="437"/>
      <c r="P409" s="438"/>
      <c r="Q409" s="442"/>
      <c r="R409" s="443"/>
      <c r="S409" s="364"/>
      <c r="Z409" s="609" t="s">
        <v>273</v>
      </c>
      <c r="AA409" s="609" t="s">
        <v>2935</v>
      </c>
    </row>
    <row r="410" spans="1:27" ht="18">
      <c r="A410" s="2712"/>
      <c r="B410" s="371">
        <v>106</v>
      </c>
      <c r="C410" s="371" t="s">
        <v>2791</v>
      </c>
      <c r="D410" s="2714">
        <f t="shared" si="30"/>
        <v>0</v>
      </c>
      <c r="E410" s="2719">
        <v>1</v>
      </c>
      <c r="F410" s="293"/>
      <c r="G410" s="2214"/>
      <c r="H410" s="309"/>
      <c r="I410" s="422"/>
      <c r="J410" s="388"/>
      <c r="K410" s="439"/>
      <c r="L410" s="437"/>
      <c r="M410" s="438"/>
      <c r="N410" s="439"/>
      <c r="O410" s="437"/>
      <c r="P410" s="438"/>
      <c r="Q410" s="442"/>
      <c r="R410" s="443"/>
      <c r="S410" s="364"/>
      <c r="Z410" s="609" t="s">
        <v>273</v>
      </c>
      <c r="AA410" s="609" t="s">
        <v>2935</v>
      </c>
    </row>
    <row r="411" spans="1:27" ht="18">
      <c r="A411" s="2712"/>
      <c r="B411" s="371">
        <v>107</v>
      </c>
      <c r="C411" s="371" t="s">
        <v>2791</v>
      </c>
      <c r="D411" s="2714">
        <f t="shared" si="30"/>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108</v>
      </c>
      <c r="C412" s="371" t="s">
        <v>2791</v>
      </c>
      <c r="D412" s="2714">
        <f t="shared" si="30"/>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75" thickBot="1">
      <c r="A413" s="2712"/>
      <c r="B413" s="371"/>
      <c r="C413" s="371"/>
      <c r="D413" s="2714">
        <f t="shared" si="30"/>
        <v>1</v>
      </c>
      <c r="E413" s="2719" t="s">
        <v>2751</v>
      </c>
      <c r="F413" s="293"/>
      <c r="G413" s="1527" t="s">
        <v>2752</v>
      </c>
      <c r="H413" s="1525">
        <f>SUMPRODUCT($E404:$E412,H404:H412)</f>
        <v>34572678.359999999</v>
      </c>
      <c r="I413" s="1525">
        <f>SUMPRODUCT($E404:$E412,I404:I412)</f>
        <v>0</v>
      </c>
      <c r="J413" s="2212"/>
      <c r="K413" s="439"/>
      <c r="L413" s="437"/>
      <c r="M413" s="440"/>
      <c r="N413" s="439"/>
      <c r="O413" s="437"/>
      <c r="P413" s="440"/>
      <c r="Q413" s="442"/>
      <c r="R413" s="443"/>
      <c r="S413" s="364"/>
      <c r="Z413" s="609" t="s">
        <v>273</v>
      </c>
      <c r="AA413" s="609" t="s">
        <v>2935</v>
      </c>
    </row>
    <row r="414" spans="1:27" ht="18">
      <c r="A414" s="2712"/>
      <c r="B414" s="371"/>
      <c r="C414" s="371" t="s">
        <v>2755</v>
      </c>
      <c r="D414" s="2714"/>
      <c r="F414" s="293"/>
      <c r="G414" s="376"/>
      <c r="H414" s="315"/>
      <c r="I414" s="396"/>
      <c r="J414" s="393"/>
      <c r="K414" s="426"/>
      <c r="L414" s="427"/>
      <c r="M414" s="425"/>
      <c r="N414" s="426"/>
      <c r="O414" s="427"/>
      <c r="P414" s="425"/>
      <c r="Q414" s="442"/>
      <c r="R414" s="443"/>
      <c r="S414" s="364"/>
      <c r="Z414" s="609" t="s">
        <v>273</v>
      </c>
      <c r="AA414" s="609" t="s">
        <v>2935</v>
      </c>
    </row>
    <row r="415" spans="1:27" ht="36">
      <c r="A415" s="2712">
        <v>112202</v>
      </c>
      <c r="B415" s="371">
        <v>2.2400000000000002</v>
      </c>
      <c r="C415" s="371"/>
      <c r="D415" s="2714" t="str">
        <f>VLOOKUP($A415,Sheet_NoteList,2,0)</f>
        <v>期末按组合3计提坏账准备的应收账款（简化模型）</v>
      </c>
      <c r="E415" s="2714" t="s">
        <v>6529</v>
      </c>
      <c r="F415" s="293"/>
      <c r="G415" s="372" t="str">
        <f>"("&amp;B415&amp;")"&amp;D415</f>
        <v>(2.24)期末按组合3计提坏账准备的应收账款（简化模型）</v>
      </c>
      <c r="H415" s="2313">
        <f>$A415</f>
        <v>112202</v>
      </c>
      <c r="I415" s="343" t="s">
        <v>5545</v>
      </c>
      <c r="J415" s="301" t="s">
        <v>5546</v>
      </c>
      <c r="K415" s="2208">
        <f>H428</f>
        <v>0</v>
      </c>
      <c r="L415" s="349"/>
      <c r="M415" s="301"/>
      <c r="N415" s="391"/>
      <c r="O415" s="349"/>
      <c r="P415" s="301"/>
      <c r="S415" s="364"/>
      <c r="Z415" s="609" t="s">
        <v>273</v>
      </c>
      <c r="AA415" s="609" t="s">
        <v>2935</v>
      </c>
    </row>
    <row r="416" spans="1:27" ht="0.75" customHeight="1">
      <c r="A416" s="2712"/>
      <c r="B416" s="371"/>
      <c r="C416" s="371"/>
      <c r="D416" s="2714"/>
      <c r="F416" s="371"/>
      <c r="G416" s="405" t="s">
        <v>5899</v>
      </c>
      <c r="H416" s="371" t="s">
        <v>5900</v>
      </c>
      <c r="I416" s="371" t="s">
        <v>5901</v>
      </c>
      <c r="J416" s="371" t="s">
        <v>5902</v>
      </c>
      <c r="K416" s="2208"/>
      <c r="L416" s="2209"/>
      <c r="M416" s="2210"/>
      <c r="N416" s="2208"/>
      <c r="O416" s="2209"/>
      <c r="P416" s="2210"/>
      <c r="Q416" s="442"/>
      <c r="R416" s="442"/>
      <c r="S416" s="364"/>
      <c r="Z416" s="609" t="s">
        <v>273</v>
      </c>
      <c r="AA416" s="609" t="s">
        <v>2935</v>
      </c>
    </row>
    <row r="417" spans="1:27" ht="0.75" customHeight="1" thickBot="1">
      <c r="A417" s="2712"/>
      <c r="B417" s="371"/>
      <c r="C417" s="371"/>
      <c r="D417" s="2714"/>
      <c r="F417" s="371"/>
      <c r="G417" s="405"/>
      <c r="H417" s="1615" t="s">
        <v>5558</v>
      </c>
      <c r="I417" s="371" t="s">
        <v>5548</v>
      </c>
      <c r="J417" s="371" t="s">
        <v>5549</v>
      </c>
      <c r="K417" s="2208"/>
      <c r="L417" s="2209"/>
      <c r="M417" s="2210"/>
      <c r="N417" s="2208"/>
      <c r="O417" s="2209"/>
      <c r="P417" s="2210"/>
      <c r="Q417" s="442"/>
      <c r="R417" s="442"/>
      <c r="S417" s="364"/>
      <c r="Z417" s="609" t="s">
        <v>273</v>
      </c>
      <c r="AA417" s="609" t="s">
        <v>2935</v>
      </c>
    </row>
    <row r="418" spans="1:27" ht="18" customHeight="1">
      <c r="A418" s="2712"/>
      <c r="B418" s="371"/>
      <c r="C418" s="371"/>
      <c r="D418" s="2714"/>
      <c r="E418" s="2714" t="s">
        <v>2749</v>
      </c>
      <c r="F418" s="293"/>
      <c r="G418" s="3530" t="s">
        <v>5946</v>
      </c>
      <c r="H418" s="3504" t="str">
        <f>$V$2</f>
        <v>2019年12月31日</v>
      </c>
      <c r="I418" s="3495"/>
      <c r="J418" s="3505"/>
      <c r="K418" s="355" t="s">
        <v>5947</v>
      </c>
      <c r="L418" s="2209"/>
      <c r="M418" s="2210"/>
      <c r="N418" s="2208"/>
      <c r="O418" s="2209"/>
      <c r="P418" s="2210"/>
      <c r="Q418" s="442"/>
      <c r="R418" s="442"/>
      <c r="S418" s="364"/>
      <c r="Z418" s="609" t="s">
        <v>273</v>
      </c>
      <c r="AA418" s="609" t="s">
        <v>2935</v>
      </c>
    </row>
    <row r="419" spans="1:27" ht="18">
      <c r="A419" s="2712"/>
      <c r="B419" s="371"/>
      <c r="C419" s="371"/>
      <c r="D419" s="2714"/>
      <c r="E419" s="2714" t="s">
        <v>2749</v>
      </c>
      <c r="F419" s="293"/>
      <c r="G419" s="3531"/>
      <c r="H419" s="2205" t="s">
        <v>2861</v>
      </c>
      <c r="I419" s="2205" t="s">
        <v>2862</v>
      </c>
      <c r="J419" s="2206" t="s">
        <v>2889</v>
      </c>
      <c r="K419" s="355" t="s">
        <v>6174</v>
      </c>
      <c r="L419" s="2209"/>
      <c r="M419" s="2210"/>
      <c r="N419" s="2208"/>
      <c r="O419" s="2209"/>
      <c r="P419" s="2210"/>
      <c r="Q419" s="442"/>
      <c r="R419" s="442"/>
      <c r="S419" s="364"/>
      <c r="Z419" s="609" t="s">
        <v>273</v>
      </c>
      <c r="AA419" s="609" t="s">
        <v>2935</v>
      </c>
    </row>
    <row r="420" spans="1:27" ht="18">
      <c r="A420" s="2712"/>
      <c r="B420" s="371">
        <v>101</v>
      </c>
      <c r="C420" s="371" t="s">
        <v>2791</v>
      </c>
      <c r="D420" s="2714">
        <f t="shared" ref="D420:D428" si="31">IF(OR(G420="*",G420="",G420=0),0,COUNTIF($G$420:$G$428,G420))</f>
        <v>0</v>
      </c>
      <c r="E420" s="2719">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8">
      <c r="A421" s="2712"/>
      <c r="B421" s="371">
        <v>102</v>
      </c>
      <c r="C421" s="371" t="s">
        <v>2791</v>
      </c>
      <c r="D421" s="2714">
        <f t="shared" si="31"/>
        <v>0</v>
      </c>
      <c r="E421" s="2719">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8">
      <c r="A422" s="2712"/>
      <c r="B422" s="371">
        <v>103</v>
      </c>
      <c r="C422" s="371" t="s">
        <v>2791</v>
      </c>
      <c r="D422" s="2714">
        <f t="shared" si="31"/>
        <v>0</v>
      </c>
      <c r="E422" s="2719">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8">
      <c r="A423" s="2712"/>
      <c r="B423" s="371">
        <v>104</v>
      </c>
      <c r="C423" s="371" t="s">
        <v>2791</v>
      </c>
      <c r="D423" s="2714">
        <f t="shared" si="31"/>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2"/>
      <c r="B424" s="371">
        <v>105</v>
      </c>
      <c r="C424" s="371" t="s">
        <v>2791</v>
      </c>
      <c r="D424" s="2714">
        <f t="shared" si="31"/>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2"/>
      <c r="B425" s="371">
        <v>106</v>
      </c>
      <c r="C425" s="371" t="s">
        <v>2791</v>
      </c>
      <c r="D425" s="2714">
        <f t="shared" si="31"/>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2"/>
      <c r="B426" s="371">
        <v>107</v>
      </c>
      <c r="C426" s="371" t="s">
        <v>2791</v>
      </c>
      <c r="D426" s="2714">
        <f t="shared" si="31"/>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108</v>
      </c>
      <c r="C427" s="371" t="s">
        <v>2791</v>
      </c>
      <c r="D427" s="2714">
        <f t="shared" si="31"/>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75" thickBot="1">
      <c r="A428" s="2712"/>
      <c r="B428" s="371"/>
      <c r="C428" s="371"/>
      <c r="D428" s="2714">
        <f t="shared" si="31"/>
        <v>1</v>
      </c>
      <c r="E428" s="2719"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8">
      <c r="A429" s="2712"/>
      <c r="B429" s="371"/>
      <c r="C429" s="371" t="s">
        <v>2755</v>
      </c>
      <c r="D429" s="2714"/>
      <c r="F429" s="293"/>
      <c r="G429" s="376"/>
      <c r="H429" s="1574"/>
      <c r="I429" s="396"/>
      <c r="J429" s="393"/>
      <c r="K429" s="2208"/>
      <c r="L429" s="2209"/>
      <c r="M429" s="2210"/>
      <c r="N429" s="2208"/>
      <c r="O429" s="2209"/>
      <c r="P429" s="2210"/>
      <c r="Q429" s="442"/>
      <c r="R429" s="442"/>
      <c r="S429" s="364"/>
      <c r="Z429" s="609" t="s">
        <v>273</v>
      </c>
      <c r="AA429" s="609" t="s">
        <v>2935</v>
      </c>
    </row>
    <row r="430" spans="1:27" ht="36">
      <c r="A430" s="2712" t="s">
        <v>292</v>
      </c>
      <c r="B430" s="371">
        <v>2.2000000000000002</v>
      </c>
      <c r="C430" s="371"/>
      <c r="D430" s="2714" t="str">
        <f>VLOOKUP($A430,Sheet_NoteList,2,0)</f>
        <v>应收账款按坏账计提方法分类披露（按已发生损失模型计提）</v>
      </c>
      <c r="E430" s="2714"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43055207.170000002</v>
      </c>
      <c r="O430" s="349">
        <f>IF($I430="适用",IF(ROUND(N$316-N430,2)=0,"F/S",ROUND(N$316-N430,2)),"#N/A")</f>
        <v>73003.06</v>
      </c>
      <c r="P430" s="301"/>
      <c r="S430" s="364"/>
      <c r="Z430" s="609" t="s">
        <v>273</v>
      </c>
      <c r="AA430" s="609" t="s">
        <v>2935</v>
      </c>
    </row>
    <row r="431" spans="1:27" ht="0.75" customHeight="1">
      <c r="A431" s="2712"/>
      <c r="B431" s="371"/>
      <c r="C431" s="371"/>
      <c r="D431" s="2714"/>
      <c r="E431" s="586"/>
      <c r="F431" s="586"/>
      <c r="G431" s="2222" t="s">
        <v>2952</v>
      </c>
      <c r="H431" s="371" t="s">
        <v>5388</v>
      </c>
      <c r="I431" s="547" t="s">
        <v>5389</v>
      </c>
      <c r="J431" s="371" t="s">
        <v>5390</v>
      </c>
      <c r="K431" s="547" t="s">
        <v>5391</v>
      </c>
      <c r="L431" s="371" t="s">
        <v>5392</v>
      </c>
      <c r="M431" s="433"/>
      <c r="N431" s="428"/>
      <c r="O431" s="428"/>
      <c r="P431" s="433"/>
      <c r="Q431" s="442"/>
      <c r="R431" s="443"/>
      <c r="S431" s="364"/>
      <c r="Z431" s="609" t="s">
        <v>273</v>
      </c>
      <c r="AA431" s="609" t="s">
        <v>2935</v>
      </c>
    </row>
    <row r="432" spans="1:27" ht="0.75" customHeight="1" thickBot="1">
      <c r="A432" s="2712"/>
      <c r="B432" s="371"/>
      <c r="C432" s="371"/>
      <c r="D432" s="2714"/>
      <c r="E432" s="586"/>
      <c r="F432" s="586"/>
      <c r="G432" s="2222"/>
      <c r="H432" s="371" t="s">
        <v>5393</v>
      </c>
      <c r="I432" s="371" t="s">
        <v>5394</v>
      </c>
      <c r="J432" s="371" t="s">
        <v>5395</v>
      </c>
      <c r="K432" s="547" t="s">
        <v>5396</v>
      </c>
      <c r="L432" s="547" t="s">
        <v>5397</v>
      </c>
      <c r="M432" s="433"/>
      <c r="N432" s="428"/>
      <c r="O432" s="428"/>
      <c r="P432" s="433"/>
      <c r="Q432" s="442"/>
      <c r="R432" s="443"/>
      <c r="S432" s="364"/>
      <c r="Z432" s="609" t="s">
        <v>273</v>
      </c>
      <c r="AA432" s="609" t="s">
        <v>2935</v>
      </c>
    </row>
    <row r="433" spans="1:29" ht="18" customHeight="1">
      <c r="A433" s="2712"/>
      <c r="B433" s="371"/>
      <c r="C433" s="371"/>
      <c r="D433" s="2714"/>
      <c r="E433" s="586" t="s">
        <v>2749</v>
      </c>
      <c r="F433" s="414"/>
      <c r="G433" s="3462" t="s">
        <v>5133</v>
      </c>
      <c r="H433" s="3493" t="str">
        <f>$V$3</f>
        <v>2018年12月31日</v>
      </c>
      <c r="I433" s="3493"/>
      <c r="J433" s="3493"/>
      <c r="K433" s="3493"/>
      <c r="L433" s="3470"/>
      <c r="M433" s="355" t="s">
        <v>5268</v>
      </c>
      <c r="N433" s="428"/>
      <c r="O433" s="428"/>
      <c r="P433" s="433"/>
      <c r="Q433" s="442"/>
      <c r="R433" s="443"/>
      <c r="S433" s="364"/>
      <c r="Z433" s="609" t="s">
        <v>273</v>
      </c>
      <c r="AA433" s="609" t="s">
        <v>2935</v>
      </c>
    </row>
    <row r="434" spans="1:29" ht="18">
      <c r="A434" s="2712"/>
      <c r="B434" s="371"/>
      <c r="C434" s="371"/>
      <c r="D434" s="2714"/>
      <c r="E434" s="586" t="s">
        <v>2749</v>
      </c>
      <c r="F434" s="414"/>
      <c r="G434" s="3463"/>
      <c r="H434" s="2235" t="s">
        <v>5128</v>
      </c>
      <c r="I434" s="2235" t="s">
        <v>2888</v>
      </c>
      <c r="J434" s="2235" t="s">
        <v>5129</v>
      </c>
      <c r="K434" s="2237" t="s">
        <v>2889</v>
      </c>
      <c r="L434" s="2238" t="s">
        <v>5127</v>
      </c>
      <c r="M434" s="435"/>
      <c r="N434" s="434"/>
      <c r="O434" s="434"/>
      <c r="P434" s="435"/>
      <c r="Q434" s="442"/>
      <c r="R434" s="443"/>
      <c r="S434" s="364"/>
      <c r="Z434" s="609" t="s">
        <v>273</v>
      </c>
      <c r="AA434" s="609" t="s">
        <v>2935</v>
      </c>
    </row>
    <row r="435" spans="1:29" ht="24">
      <c r="A435" s="2712"/>
      <c r="B435" s="371">
        <v>101</v>
      </c>
      <c r="C435" s="371"/>
      <c r="D435" s="2714">
        <f>IF(OR(G435="*",G435="",G435=0),0,COUNTIF($G$435:$G$439,G435))</f>
        <v>1</v>
      </c>
      <c r="E435" s="2719">
        <v>1</v>
      </c>
      <c r="F435" s="293"/>
      <c r="G435" s="1472" t="s">
        <v>2953</v>
      </c>
      <c r="H435" s="309">
        <v>2424373</v>
      </c>
      <c r="I435" s="430">
        <v>4.87</v>
      </c>
      <c r="J435" s="309">
        <v>2424373</v>
      </c>
      <c r="K435" s="431">
        <v>100</v>
      </c>
      <c r="L435" s="1475">
        <f t="shared" ref="L435:L438" si="32">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6571</v>
      </c>
    </row>
    <row r="436" spans="1:29" ht="24">
      <c r="A436" s="2712"/>
      <c r="B436" s="371">
        <v>102</v>
      </c>
      <c r="C436" s="371"/>
      <c r="D436" s="2714">
        <f>IF(OR(G436="*",G436="",G436=0),0,COUNTIF($G$435:$G$439,G436))</f>
        <v>1</v>
      </c>
      <c r="E436" s="2719">
        <v>1</v>
      </c>
      <c r="F436" s="293"/>
      <c r="G436" s="1472" t="s">
        <v>2954</v>
      </c>
      <c r="H436" s="309">
        <v>45883454.799999997</v>
      </c>
      <c r="I436" s="430">
        <v>92.12</v>
      </c>
      <c r="J436" s="309">
        <v>2828247.63</v>
      </c>
      <c r="K436" s="3294">
        <v>6.16</v>
      </c>
      <c r="L436" s="1475">
        <f t="shared" si="32"/>
        <v>43055207.170000002</v>
      </c>
      <c r="M436" s="438"/>
      <c r="N436" s="439"/>
      <c r="O436" s="437"/>
      <c r="P436" s="438"/>
      <c r="Q436" s="442"/>
      <c r="R436" s="443"/>
      <c r="S436" s="364"/>
      <c r="Z436" s="609" t="s">
        <v>273</v>
      </c>
      <c r="AA436" s="609" t="s">
        <v>2935</v>
      </c>
    </row>
    <row r="437" spans="1:29" ht="24">
      <c r="A437" s="2712"/>
      <c r="B437" s="371">
        <v>103</v>
      </c>
      <c r="C437" s="371"/>
      <c r="D437" s="2714">
        <f>IF(OR(G437="*",G437="",G437=0),0,COUNTIF($G$435:$G$439,G437))</f>
        <v>1</v>
      </c>
      <c r="E437" s="2719">
        <v>1</v>
      </c>
      <c r="F437" s="293"/>
      <c r="G437" s="1472" t="s">
        <v>2955</v>
      </c>
      <c r="H437" s="309">
        <v>1502093.1</v>
      </c>
      <c r="I437" s="430">
        <v>3.01</v>
      </c>
      <c r="J437" s="309">
        <v>1502093.1</v>
      </c>
      <c r="K437" s="431">
        <v>100</v>
      </c>
      <c r="L437" s="1475">
        <f t="shared" si="32"/>
        <v>0</v>
      </c>
      <c r="M437" s="438"/>
      <c r="N437" s="439"/>
      <c r="O437" s="437"/>
      <c r="P437" s="438"/>
      <c r="Q437" s="442"/>
      <c r="R437" s="443"/>
      <c r="S437" s="364"/>
      <c r="Z437" s="609" t="s">
        <v>273</v>
      </c>
      <c r="AA437" s="609" t="s">
        <v>2935</v>
      </c>
    </row>
    <row r="438" spans="1:29" ht="18">
      <c r="A438" s="2712"/>
      <c r="B438" s="371">
        <v>104</v>
      </c>
      <c r="C438" s="371" t="s">
        <v>2791</v>
      </c>
      <c r="D438" s="2714">
        <f>IF(OR(G438="*",G438="",G438=0),0,COUNTIF($G$435:$G$439,G438))</f>
        <v>0</v>
      </c>
      <c r="E438" s="2719">
        <v>1</v>
      </c>
      <c r="F438" s="293"/>
      <c r="G438" s="2220" t="s">
        <v>2792</v>
      </c>
      <c r="H438" s="309"/>
      <c r="I438" s="430"/>
      <c r="J438" s="309"/>
      <c r="K438" s="431"/>
      <c r="L438" s="1475">
        <f t="shared" si="32"/>
        <v>0</v>
      </c>
      <c r="M438" s="438"/>
      <c r="N438" s="439"/>
      <c r="O438" s="437"/>
      <c r="P438" s="438"/>
      <c r="Q438" s="442"/>
      <c r="R438" s="443"/>
      <c r="S438" s="364"/>
      <c r="Z438" s="609" t="s">
        <v>273</v>
      </c>
      <c r="AA438" s="609" t="s">
        <v>2935</v>
      </c>
    </row>
    <row r="439" spans="1:29" ht="18.75" thickBot="1">
      <c r="A439" s="2712"/>
      <c r="B439" s="371"/>
      <c r="C439" s="371"/>
      <c r="D439" s="2714">
        <f>IF(OR(G439="*",G439="",G439=0),0,COUNTIF($G$435:$G$439,G439))</f>
        <v>1</v>
      </c>
      <c r="E439" s="2719" t="s">
        <v>2751</v>
      </c>
      <c r="F439" s="293"/>
      <c r="G439" s="2232" t="s">
        <v>2752</v>
      </c>
      <c r="H439" s="2233">
        <f>SUMPRODUCT($E434:$E438,H434:H438)</f>
        <v>49809920.899999999</v>
      </c>
      <c r="I439" s="2428">
        <f>SUMPRODUCT($E434:$E438,I434:I438)</f>
        <v>100</v>
      </c>
      <c r="J439" s="2233">
        <f>SUMPRODUCT($E434:$E438,J434:J438)</f>
        <v>6754713.7300000004</v>
      </c>
      <c r="K439" s="2428">
        <f t="shared" ref="K439" si="33">IF(H439*J439=0,"",ROUND(J439*100/H439,2))</f>
        <v>13.56</v>
      </c>
      <c r="L439" s="2234">
        <f>SUMPRODUCT($E434:$E438,L434:L438)</f>
        <v>43055207.170000002</v>
      </c>
      <c r="M439" s="440"/>
      <c r="N439" s="439"/>
      <c r="O439" s="437"/>
      <c r="P439" s="440"/>
      <c r="Q439" s="442"/>
      <c r="R439" s="443"/>
      <c r="S439" s="364"/>
      <c r="Z439" s="609" t="s">
        <v>273</v>
      </c>
      <c r="AA439" s="609" t="s">
        <v>2935</v>
      </c>
    </row>
    <row r="440" spans="1:29" ht="18.75" thickBot="1">
      <c r="A440" s="2712"/>
      <c r="B440" s="371"/>
      <c r="C440" s="371" t="s">
        <v>2755</v>
      </c>
      <c r="D440" s="2714"/>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2"/>
      <c r="B441" s="371"/>
      <c r="C441" s="371" t="s">
        <v>2565</v>
      </c>
      <c r="D441" s="2714"/>
      <c r="F441" s="293"/>
      <c r="G441" s="1547" t="s">
        <v>5365</v>
      </c>
      <c r="H441" s="1548" t="str">
        <f>G317</f>
        <v>(1)应收账款按账龄披露</v>
      </c>
      <c r="I441" s="1549"/>
      <c r="J441" s="1550"/>
      <c r="K441" s="1549"/>
      <c r="L441" s="1550"/>
      <c r="M441" s="1551" t="s">
        <v>5366</v>
      </c>
      <c r="N441" s="426"/>
      <c r="O441" s="427"/>
      <c r="P441" s="425"/>
      <c r="Q441" s="442"/>
      <c r="R441" s="442"/>
      <c r="S441" s="364"/>
      <c r="Z441" s="609" t="s">
        <v>273</v>
      </c>
      <c r="AA441" s="609" t="s">
        <v>2935</v>
      </c>
    </row>
    <row r="442" spans="1:29" ht="18">
      <c r="A442" s="2712"/>
      <c r="B442" s="371"/>
      <c r="C442" s="371" t="s">
        <v>2565</v>
      </c>
      <c r="D442" s="2714"/>
      <c r="F442" s="293"/>
      <c r="G442" s="604" t="str">
        <f>"注释A:"&amp; ""</f>
        <v>注释A:</v>
      </c>
      <c r="H442" s="2250">
        <f ca="1">HYPERLINK("#'"&amp;$G$1&amp;"'!"&amp;ADDRESS(ROW(Notes!I330),COLUMN(Notes!I330),4),I330)</f>
        <v>49809920.899999999</v>
      </c>
      <c r="I442" s="351"/>
      <c r="J442" s="2250">
        <f ca="1">HYPERLINK("#'"&amp;$G$1&amp;"'!"&amp;ADDRESS(ROW(Notes!I331),COLUMN(Notes!I331),4),I331)</f>
        <v>6754713.7300000004</v>
      </c>
      <c r="K442" s="351"/>
      <c r="L442" s="2250">
        <f ca="1">HYPERLINK("#'"&amp;$G$1&amp;"'!"&amp;ADDRESS(ROW(Notes!I332),COLUMN(Notes!I332),4),I332)</f>
        <v>43055207.170000002</v>
      </c>
      <c r="M442" s="2249" t="str">
        <f>H317</f>
        <v>1122j</v>
      </c>
      <c r="N442" s="426"/>
      <c r="O442" s="427"/>
      <c r="P442" s="425"/>
      <c r="Q442" s="442"/>
      <c r="R442" s="442"/>
      <c r="S442" s="364"/>
      <c r="Z442" s="609" t="s">
        <v>273</v>
      </c>
      <c r="AA442" s="609" t="s">
        <v>2935</v>
      </c>
    </row>
    <row r="443" spans="1:29" ht="18">
      <c r="A443" s="2712"/>
      <c r="B443" s="371"/>
      <c r="C443" s="371" t="s">
        <v>2565</v>
      </c>
      <c r="D443" s="2714"/>
      <c r="F443" s="293"/>
      <c r="G443" s="604" t="str">
        <f>"本注释B:"&amp; G439</f>
        <v>本注释B:合       计</v>
      </c>
      <c r="H443" s="456">
        <f>H439</f>
        <v>49809920.899999999</v>
      </c>
      <c r="I443" s="351"/>
      <c r="J443" s="456">
        <f>J439</f>
        <v>6754713.7300000004</v>
      </c>
      <c r="K443" s="351"/>
      <c r="L443" s="456">
        <f>L439</f>
        <v>43055207.170000002</v>
      </c>
      <c r="M443" s="1542" t="s">
        <v>292</v>
      </c>
      <c r="N443" s="426"/>
      <c r="O443" s="427"/>
      <c r="P443" s="425"/>
      <c r="Q443" s="442"/>
      <c r="R443" s="442"/>
      <c r="S443" s="364"/>
      <c r="Z443" s="609" t="s">
        <v>273</v>
      </c>
      <c r="AA443" s="609" t="s">
        <v>2935</v>
      </c>
    </row>
    <row r="444" spans="1:29" ht="18.75" thickBot="1">
      <c r="A444" s="2712"/>
      <c r="B444" s="371"/>
      <c r="C444" s="371" t="s">
        <v>2565</v>
      </c>
      <c r="D444" s="2714"/>
      <c r="F444" s="293"/>
      <c r="G444" s="1552" t="s">
        <v>2757</v>
      </c>
      <c r="H444" s="1529">
        <f ca="1">IF(AND(H442="",H443=""),"",ROUND(H442-H443,2))</f>
        <v>0</v>
      </c>
      <c r="I444" s="1553"/>
      <c r="J444" s="1529">
        <f ca="1">IF(AND(J442="",J443=""),"",ROUND(J442-J443,2))</f>
        <v>0</v>
      </c>
      <c r="K444" s="1553"/>
      <c r="L444" s="1529">
        <f ca="1">IF(AND(L442="",L443=""),"",ROUND(L442-L443,2))</f>
        <v>0</v>
      </c>
      <c r="M444" s="1554"/>
      <c r="N444" s="426"/>
      <c r="O444" s="427"/>
      <c r="P444" s="425"/>
      <c r="Q444" s="442"/>
      <c r="R444" s="442"/>
      <c r="S444" s="364"/>
      <c r="Z444" s="609" t="s">
        <v>273</v>
      </c>
      <c r="AA444" s="609" t="s">
        <v>2935</v>
      </c>
    </row>
    <row r="445" spans="1:29" ht="18.75" thickTop="1">
      <c r="A445" s="2712"/>
      <c r="B445" s="371"/>
      <c r="C445" s="371" t="s">
        <v>2565</v>
      </c>
      <c r="D445" s="2714"/>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8">
      <c r="A446" s="2712"/>
      <c r="B446" s="371"/>
      <c r="C446" s="371" t="s">
        <v>2565</v>
      </c>
      <c r="D446" s="2714"/>
      <c r="F446" s="293"/>
      <c r="G446" s="1557" t="s">
        <v>2759</v>
      </c>
      <c r="H446" s="461"/>
      <c r="I446" s="317"/>
      <c r="J446" s="461"/>
      <c r="K446" s="352">
        <f ca="1">SUMIF($H$445:$M$445,"&lt;&gt;√",$H$444:$M$444)</f>
        <v>0</v>
      </c>
      <c r="L446" s="353" t="str">
        <f ca="1">IF(OR(K446=0,K446=""),"√","？")</f>
        <v>√</v>
      </c>
      <c r="M446" s="1545"/>
      <c r="N446" s="426"/>
      <c r="O446" s="427"/>
      <c r="P446" s="425"/>
      <c r="Q446" s="442"/>
      <c r="R446" s="442"/>
      <c r="S446" s="364"/>
      <c r="Z446" s="609" t="s">
        <v>273</v>
      </c>
      <c r="AA446" s="609" t="s">
        <v>2935</v>
      </c>
    </row>
    <row r="447" spans="1:29" ht="18">
      <c r="A447" s="2712"/>
      <c r="B447" s="371"/>
      <c r="C447" s="371" t="s">
        <v>2565</v>
      </c>
      <c r="D447" s="2714"/>
      <c r="F447" s="293"/>
      <c r="G447" s="1543"/>
      <c r="H447" s="461"/>
      <c r="I447" s="317"/>
      <c r="J447" s="461"/>
      <c r="K447" s="317"/>
      <c r="L447" s="461"/>
      <c r="M447" s="1545"/>
      <c r="N447" s="426"/>
      <c r="O447" s="427"/>
      <c r="P447" s="425"/>
      <c r="Q447" s="442"/>
      <c r="R447" s="442"/>
      <c r="S447" s="364"/>
      <c r="Z447" s="609" t="s">
        <v>273</v>
      </c>
      <c r="AA447" s="609" t="s">
        <v>2935</v>
      </c>
    </row>
    <row r="448" spans="1:29" ht="36">
      <c r="A448" s="2712" t="s">
        <v>5107</v>
      </c>
      <c r="B448" s="371">
        <v>3.1</v>
      </c>
      <c r="C448" s="371"/>
      <c r="D448" s="2714" t="str">
        <f>VLOOKUP($A448,Sheet_NoteList,2,0)</f>
        <v>上期末单项金额重大并单项计提坏账准备的应收账款（已发生损失模型）</v>
      </c>
      <c r="E448" s="2714" t="s">
        <v>6531</v>
      </c>
      <c r="F448" s="293"/>
      <c r="G448" s="372" t="str">
        <f>"("&amp;B448&amp;")"&amp;D448</f>
        <v>(3.1)上期末单项金额重大并单项计提坏账准备的应收账款（已发生损失模型）</v>
      </c>
      <c r="H448" s="1515" t="str">
        <f>$A448</f>
        <v>1122y</v>
      </c>
      <c r="I448" s="343" t="s">
        <v>5122</v>
      </c>
      <c r="J448" s="301"/>
      <c r="K448" s="391"/>
      <c r="L448" s="349"/>
      <c r="M448" s="301" t="s">
        <v>5121</v>
      </c>
      <c r="N448" s="2208">
        <f>H459</f>
        <v>2424373</v>
      </c>
      <c r="O448" s="349"/>
      <c r="P448" s="301"/>
      <c r="S448" s="364"/>
      <c r="Z448" s="609" t="s">
        <v>273</v>
      </c>
      <c r="AA448" s="609" t="s">
        <v>2935</v>
      </c>
    </row>
    <row r="449" spans="1:27" ht="0.75" customHeight="1">
      <c r="A449" s="2712"/>
      <c r="B449" s="371"/>
      <c r="C449" s="371"/>
      <c r="D449" s="2714"/>
      <c r="E449" s="586"/>
      <c r="F449" s="586"/>
      <c r="G449" s="2222" t="s">
        <v>5461</v>
      </c>
      <c r="H449" s="371" t="s">
        <v>5550</v>
      </c>
      <c r="I449" s="371" t="s">
        <v>5551</v>
      </c>
      <c r="J449" s="371" t="s">
        <v>5552</v>
      </c>
      <c r="K449" s="371" t="s">
        <v>5553</v>
      </c>
      <c r="L449" s="428"/>
      <c r="M449" s="433"/>
      <c r="N449" s="428"/>
      <c r="O449" s="428"/>
      <c r="P449" s="433"/>
      <c r="Q449" s="442"/>
      <c r="R449" s="443"/>
      <c r="S449" s="364"/>
      <c r="Z449" s="609" t="s">
        <v>273</v>
      </c>
      <c r="AA449" s="609" t="s">
        <v>2935</v>
      </c>
    </row>
    <row r="450" spans="1:27" ht="0.75" customHeight="1" thickBot="1">
      <c r="A450" s="2712"/>
      <c r="B450" s="371"/>
      <c r="C450" s="371"/>
      <c r="D450" s="2714"/>
      <c r="E450" s="586"/>
      <c r="F450" s="586"/>
      <c r="G450" s="2222"/>
      <c r="H450" s="371" t="s">
        <v>5554</v>
      </c>
      <c r="I450" s="371" t="s">
        <v>5555</v>
      </c>
      <c r="J450" s="371" t="s">
        <v>5556</v>
      </c>
      <c r="K450" s="371" t="s">
        <v>5557</v>
      </c>
      <c r="L450" s="428"/>
      <c r="M450" s="433"/>
      <c r="N450" s="428"/>
      <c r="O450" s="428"/>
      <c r="P450" s="433"/>
      <c r="Q450" s="442"/>
      <c r="R450" s="443"/>
      <c r="S450" s="364"/>
      <c r="Z450" s="609" t="s">
        <v>273</v>
      </c>
      <c r="AA450" s="609" t="s">
        <v>2935</v>
      </c>
    </row>
    <row r="451" spans="1:27" ht="18" customHeight="1">
      <c r="A451" s="2712"/>
      <c r="B451" s="371"/>
      <c r="C451" s="371"/>
      <c r="D451" s="2714"/>
      <c r="E451" s="586" t="s">
        <v>2749</v>
      </c>
      <c r="F451" s="414"/>
      <c r="G451" s="3462" t="s">
        <v>3000</v>
      </c>
      <c r="H451" s="3493" t="str">
        <f>$V$3</f>
        <v>2018年12月31日</v>
      </c>
      <c r="I451" s="3466"/>
      <c r="J451" s="3466"/>
      <c r="K451" s="3494"/>
      <c r="L451" s="355" t="s">
        <v>5268</v>
      </c>
      <c r="M451" s="433"/>
      <c r="N451" s="428"/>
      <c r="O451" s="428"/>
      <c r="P451" s="433"/>
      <c r="Q451" s="442"/>
      <c r="R451" s="443"/>
      <c r="S451" s="364"/>
      <c r="Z451" s="609" t="s">
        <v>273</v>
      </c>
      <c r="AA451" s="609" t="s">
        <v>2935</v>
      </c>
    </row>
    <row r="452" spans="1:27" ht="18">
      <c r="A452" s="2712"/>
      <c r="B452" s="371"/>
      <c r="C452" s="371"/>
      <c r="D452" s="2714"/>
      <c r="E452" s="586" t="s">
        <v>2749</v>
      </c>
      <c r="F452" s="414"/>
      <c r="G452" s="3463"/>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8">
      <c r="A453" s="2712"/>
      <c r="B453" s="371">
        <v>101</v>
      </c>
      <c r="C453" s="371" t="s">
        <v>2791</v>
      </c>
      <c r="D453" s="2714">
        <f t="shared" ref="D453:D459" si="34">IF(OR(G453="*",G453="",G453=0),0,COUNTIF($G$453:$G$459,G453))</f>
        <v>1</v>
      </c>
      <c r="E453" s="2719">
        <v>1</v>
      </c>
      <c r="F453" s="293"/>
      <c r="G453" s="2220" t="s">
        <v>7416</v>
      </c>
      <c r="H453" s="1575">
        <v>1065173</v>
      </c>
      <c r="I453" s="422">
        <v>1065173</v>
      </c>
      <c r="J453" s="360">
        <v>100</v>
      </c>
      <c r="K453" s="3292" t="s">
        <v>7799</v>
      </c>
      <c r="L453" s="437"/>
      <c r="M453" s="438"/>
      <c r="N453" s="439"/>
      <c r="O453" s="437"/>
      <c r="P453" s="438"/>
      <c r="Q453" s="442"/>
      <c r="R453" s="443"/>
      <c r="S453" s="364"/>
      <c r="Z453" s="609" t="s">
        <v>273</v>
      </c>
      <c r="AA453" s="609" t="s">
        <v>2935</v>
      </c>
    </row>
    <row r="454" spans="1:27" ht="18">
      <c r="A454" s="2712"/>
      <c r="B454" s="371">
        <v>102</v>
      </c>
      <c r="C454" s="371" t="s">
        <v>2791</v>
      </c>
      <c r="D454" s="2714">
        <f t="shared" si="34"/>
        <v>1</v>
      </c>
      <c r="E454" s="2719">
        <v>1</v>
      </c>
      <c r="F454" s="293"/>
      <c r="G454" s="2220" t="s">
        <v>7417</v>
      </c>
      <c r="H454" s="1575">
        <v>1359200</v>
      </c>
      <c r="I454" s="422">
        <v>1359200</v>
      </c>
      <c r="J454" s="360">
        <v>100</v>
      </c>
      <c r="K454" s="3292" t="s">
        <v>7799</v>
      </c>
      <c r="L454" s="437"/>
      <c r="M454" s="438"/>
      <c r="N454" s="439"/>
      <c r="O454" s="437"/>
      <c r="P454" s="438"/>
      <c r="Q454" s="442"/>
      <c r="R454" s="443"/>
      <c r="S454" s="364"/>
      <c r="Z454" s="609" t="s">
        <v>273</v>
      </c>
      <c r="AA454" s="609" t="s">
        <v>2935</v>
      </c>
    </row>
    <row r="455" spans="1:27" ht="18">
      <c r="A455" s="2712"/>
      <c r="B455" s="371">
        <v>103</v>
      </c>
      <c r="C455" s="371" t="s">
        <v>2791</v>
      </c>
      <c r="D455" s="2714">
        <f t="shared" si="34"/>
        <v>0</v>
      </c>
      <c r="E455" s="2719">
        <v>1</v>
      </c>
      <c r="F455" s="293"/>
      <c r="G455" s="2220"/>
      <c r="H455" s="1575"/>
      <c r="I455" s="422"/>
      <c r="J455" s="360"/>
      <c r="K455" s="3292"/>
      <c r="L455" s="437"/>
      <c r="M455" s="438"/>
      <c r="N455" s="439"/>
      <c r="O455" s="437"/>
      <c r="P455" s="438"/>
      <c r="Q455" s="442"/>
      <c r="R455" s="443"/>
      <c r="S455" s="364"/>
      <c r="Z455" s="609" t="s">
        <v>273</v>
      </c>
      <c r="AA455" s="609" t="s">
        <v>2935</v>
      </c>
    </row>
    <row r="456" spans="1:27" ht="18">
      <c r="A456" s="2712"/>
      <c r="B456" s="371">
        <v>104</v>
      </c>
      <c r="C456" s="371" t="s">
        <v>2791</v>
      </c>
      <c r="D456" s="2714">
        <f t="shared" si="34"/>
        <v>0</v>
      </c>
      <c r="E456" s="2719">
        <v>1</v>
      </c>
      <c r="F456" s="293"/>
      <c r="G456" s="2220"/>
      <c r="H456" s="1575"/>
      <c r="I456" s="422"/>
      <c r="J456" s="360"/>
      <c r="K456" s="3292"/>
      <c r="L456" s="437"/>
      <c r="M456" s="438"/>
      <c r="N456" s="439"/>
      <c r="O456" s="437"/>
      <c r="P456" s="438"/>
      <c r="Q456" s="442"/>
      <c r="R456" s="443"/>
      <c r="S456" s="364"/>
      <c r="Z456" s="609" t="s">
        <v>273</v>
      </c>
      <c r="AA456" s="609" t="s">
        <v>2935</v>
      </c>
    </row>
    <row r="457" spans="1:27" ht="18">
      <c r="A457" s="2712"/>
      <c r="B457" s="371">
        <v>105</v>
      </c>
      <c r="C457" s="371" t="s">
        <v>2791</v>
      </c>
      <c r="D457" s="2714">
        <f t="shared" si="34"/>
        <v>0</v>
      </c>
      <c r="E457" s="2719">
        <v>1</v>
      </c>
      <c r="F457" s="293"/>
      <c r="G457" s="2220"/>
      <c r="H457" s="1575"/>
      <c r="I457" s="422"/>
      <c r="J457" s="360"/>
      <c r="K457" s="3292"/>
      <c r="L457" s="437"/>
      <c r="M457" s="438"/>
      <c r="N457" s="439"/>
      <c r="O457" s="437"/>
      <c r="P457" s="438"/>
      <c r="Q457" s="442"/>
      <c r="R457" s="443"/>
      <c r="S457" s="364"/>
      <c r="Z457" s="609" t="s">
        <v>273</v>
      </c>
      <c r="AA457" s="609" t="s">
        <v>2935</v>
      </c>
    </row>
    <row r="458" spans="1:27" ht="18">
      <c r="A458" s="2712"/>
      <c r="B458" s="371">
        <v>106</v>
      </c>
      <c r="C458" s="371" t="s">
        <v>2791</v>
      </c>
      <c r="D458" s="2714">
        <f t="shared" si="34"/>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8.75" thickBot="1">
      <c r="A459" s="2712"/>
      <c r="B459" s="371"/>
      <c r="C459" s="371"/>
      <c r="D459" s="2714">
        <f t="shared" si="34"/>
        <v>1</v>
      </c>
      <c r="E459" s="2719" t="s">
        <v>2751</v>
      </c>
      <c r="F459" s="293"/>
      <c r="G459" s="2232" t="s">
        <v>2752</v>
      </c>
      <c r="H459" s="2233">
        <f>SUMPRODUCT($E452:$E458,H452:H458)</f>
        <v>2424373</v>
      </c>
      <c r="I459" s="2233">
        <f>SUMPRODUCT($E452:$E458,I452:I458)</f>
        <v>2424373</v>
      </c>
      <c r="J459" s="2240"/>
      <c r="K459" s="2242"/>
      <c r="L459" s="437"/>
      <c r="M459" s="1506"/>
      <c r="N459" s="439"/>
      <c r="O459" s="437"/>
      <c r="P459" s="1506"/>
      <c r="Q459" s="442"/>
      <c r="R459" s="443"/>
      <c r="S459" s="364"/>
      <c r="Z459" s="609" t="s">
        <v>273</v>
      </c>
      <c r="AA459" s="609" t="s">
        <v>2935</v>
      </c>
    </row>
    <row r="460" spans="1:27" ht="18.75" thickBot="1">
      <c r="A460" s="2712"/>
      <c r="B460" s="371"/>
      <c r="C460" s="371" t="s">
        <v>2755</v>
      </c>
      <c r="D460" s="2714"/>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8.75" thickTop="1">
      <c r="A461" s="2712"/>
      <c r="B461" s="371"/>
      <c r="C461" s="371" t="s">
        <v>2565</v>
      </c>
      <c r="D461" s="2714"/>
      <c r="F461" s="293"/>
      <c r="G461" s="1547" t="s">
        <v>5365</v>
      </c>
      <c r="H461" s="1548" t="str">
        <f>G430</f>
        <v>(2.2)应收账款按坏账计提方法分类披露（按已发生损失模型计提）</v>
      </c>
      <c r="I461" s="1550"/>
      <c r="J461" s="1549"/>
      <c r="K461" s="1549"/>
      <c r="L461" s="1551" t="s">
        <v>5366</v>
      </c>
      <c r="M461" s="425"/>
      <c r="N461" s="426"/>
      <c r="O461" s="427"/>
      <c r="P461" s="425"/>
      <c r="Q461" s="442"/>
      <c r="R461" s="442"/>
      <c r="S461" s="364"/>
      <c r="Z461" s="609" t="s">
        <v>273</v>
      </c>
      <c r="AA461" s="609" t="s">
        <v>2935</v>
      </c>
    </row>
    <row r="462" spans="1:27" ht="24">
      <c r="A462" s="2712"/>
      <c r="B462" s="371"/>
      <c r="C462" s="371" t="s">
        <v>2565</v>
      </c>
      <c r="D462" s="2714"/>
      <c r="F462" s="293"/>
      <c r="G462" s="604" t="str">
        <f>"注释A:"&amp; G435</f>
        <v>注释A:单项金额重大并单独计提坏账准备的应收账款</v>
      </c>
      <c r="H462" s="2250">
        <f ca="1">HYPERLINK("#'"&amp;$G$1&amp;"'!"&amp;ADDRESS(ROW(Notes!H435),COLUMN(Notes!H435),4),H435)</f>
        <v>2424373</v>
      </c>
      <c r="I462" s="2250">
        <f ca="1">HYPERLINK("#'"&amp;$G$1&amp;"'!"&amp;ADDRESS(ROW(Notes!J435),COLUMN(Notes!J435),4),J435)</f>
        <v>2424373</v>
      </c>
      <c r="J462" s="351"/>
      <c r="K462" s="351"/>
      <c r="L462" s="2249" t="str">
        <f>H430</f>
        <v>1122q</v>
      </c>
      <c r="M462" s="425"/>
      <c r="N462" s="426"/>
      <c r="O462" s="427"/>
      <c r="P462" s="425"/>
      <c r="Q462" s="442"/>
      <c r="R462" s="442"/>
      <c r="S462" s="364"/>
      <c r="Z462" s="609" t="s">
        <v>273</v>
      </c>
      <c r="AA462" s="609" t="s">
        <v>2935</v>
      </c>
    </row>
    <row r="463" spans="1:27" ht="18">
      <c r="A463" s="2712"/>
      <c r="B463" s="371"/>
      <c r="C463" s="371" t="s">
        <v>2565</v>
      </c>
      <c r="D463" s="2714"/>
      <c r="F463" s="293"/>
      <c r="G463" s="604" t="str">
        <f>"本注释B:"&amp; G459</f>
        <v>本注释B:合       计</v>
      </c>
      <c r="H463" s="456">
        <f>H459</f>
        <v>2424373</v>
      </c>
      <c r="I463" s="456">
        <f>I459</f>
        <v>2424373</v>
      </c>
      <c r="J463" s="351"/>
      <c r="K463" s="351"/>
      <c r="L463" s="1542" t="s">
        <v>5107</v>
      </c>
      <c r="M463" s="425"/>
      <c r="N463" s="426"/>
      <c r="O463" s="427"/>
      <c r="P463" s="425"/>
      <c r="Q463" s="442"/>
      <c r="R463" s="442"/>
      <c r="S463" s="364"/>
      <c r="Z463" s="609" t="s">
        <v>273</v>
      </c>
      <c r="AA463" s="609" t="s">
        <v>2935</v>
      </c>
    </row>
    <row r="464" spans="1:27" ht="18.75" thickBot="1">
      <c r="A464" s="2712"/>
      <c r="B464" s="371"/>
      <c r="C464" s="371" t="s">
        <v>2565</v>
      </c>
      <c r="D464" s="2714"/>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8.75" thickTop="1">
      <c r="A465" s="2712"/>
      <c r="B465" s="371"/>
      <c r="C465" s="371" t="s">
        <v>2565</v>
      </c>
      <c r="D465" s="2714"/>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8">
      <c r="A466" s="2712"/>
      <c r="B466" s="371"/>
      <c r="C466" s="371" t="s">
        <v>2565</v>
      </c>
      <c r="D466" s="2714"/>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8">
      <c r="A467" s="2712"/>
      <c r="B467" s="371"/>
      <c r="C467" s="371" t="s">
        <v>2565</v>
      </c>
      <c r="D467" s="2714"/>
      <c r="F467" s="293"/>
      <c r="G467" s="1543"/>
      <c r="H467" s="461"/>
      <c r="I467" s="461"/>
      <c r="J467" s="317"/>
      <c r="K467" s="317"/>
      <c r="L467" s="1545"/>
      <c r="M467" s="425"/>
      <c r="N467" s="426"/>
      <c r="O467" s="427"/>
      <c r="P467" s="425"/>
      <c r="Q467" s="442"/>
      <c r="R467" s="442"/>
      <c r="S467" s="364"/>
      <c r="Z467" s="609" t="s">
        <v>273</v>
      </c>
      <c r="AA467" s="609" t="s">
        <v>2935</v>
      </c>
    </row>
    <row r="468" spans="1:27" ht="36">
      <c r="A468" s="2712" t="s">
        <v>5108</v>
      </c>
      <c r="B468" s="371">
        <v>3.2</v>
      </c>
      <c r="C468" s="371"/>
      <c r="D468" s="2714" t="str">
        <f>VLOOKUP($A468,Sheet_NoteList,2,0)</f>
        <v>上期末组合中按账龄分析法计提坏账准备的应收账款（已发生损失模型）</v>
      </c>
      <c r="E468" s="2714" t="s">
        <v>6531</v>
      </c>
      <c r="F468" s="293"/>
      <c r="G468" s="372" t="str">
        <f>"("&amp;B468&amp;")"&amp;D468</f>
        <v>(3.2)上期末组合中按账龄分析法计提坏账准备的应收账款（已发生损失模型）</v>
      </c>
      <c r="H468" s="1515" t="str">
        <f>$A468</f>
        <v>1122z</v>
      </c>
      <c r="I468" s="343" t="s">
        <v>5122</v>
      </c>
      <c r="J468" s="301"/>
      <c r="K468" s="391"/>
      <c r="L468" s="349"/>
      <c r="M468" s="301" t="s">
        <v>5121</v>
      </c>
      <c r="N468" s="2208">
        <f>H483</f>
        <v>9064854.1500000004</v>
      </c>
      <c r="O468" s="349"/>
      <c r="P468" s="301"/>
      <c r="S468" s="364"/>
      <c r="Z468" s="609" t="s">
        <v>273</v>
      </c>
      <c r="AA468" s="609" t="s">
        <v>2935</v>
      </c>
    </row>
    <row r="469" spans="1:27" ht="0.75" customHeight="1">
      <c r="A469" s="2712"/>
      <c r="B469" s="371"/>
      <c r="C469" s="371"/>
      <c r="D469" s="2714"/>
      <c r="E469" s="586"/>
      <c r="F469" s="586"/>
      <c r="G469" s="2222" t="s">
        <v>5464</v>
      </c>
      <c r="H469" s="371" t="s">
        <v>6316</v>
      </c>
      <c r="I469" s="371" t="s">
        <v>6317</v>
      </c>
      <c r="J469" s="371" t="s">
        <v>6318</v>
      </c>
      <c r="K469" s="428"/>
      <c r="L469" s="428"/>
      <c r="M469" s="433"/>
      <c r="N469" s="428"/>
      <c r="O469" s="428"/>
      <c r="P469" s="433"/>
      <c r="Q469" s="442"/>
      <c r="R469" s="443"/>
      <c r="S469" s="364"/>
      <c r="Z469" s="609" t="s">
        <v>273</v>
      </c>
      <c r="AA469" s="609" t="s">
        <v>2935</v>
      </c>
    </row>
    <row r="470" spans="1:27" ht="0.75" customHeight="1" thickBot="1">
      <c r="A470" s="2712"/>
      <c r="B470" s="371"/>
      <c r="C470" s="371"/>
      <c r="D470" s="2714"/>
      <c r="E470" s="586"/>
      <c r="F470" s="586"/>
      <c r="G470" s="2222"/>
      <c r="H470" s="1615" t="s">
        <v>5462</v>
      </c>
      <c r="I470" s="371" t="s">
        <v>5463</v>
      </c>
      <c r="J470" s="371" t="s">
        <v>5465</v>
      </c>
      <c r="K470" s="428"/>
      <c r="L470" s="428"/>
      <c r="M470" s="433"/>
      <c r="N470" s="428"/>
      <c r="O470" s="428"/>
      <c r="P470" s="433"/>
      <c r="Q470" s="442"/>
      <c r="R470" s="443"/>
      <c r="S470" s="364"/>
      <c r="Z470" s="609" t="s">
        <v>273</v>
      </c>
      <c r="AA470" s="609" t="s">
        <v>2935</v>
      </c>
    </row>
    <row r="471" spans="1:27" ht="18" customHeight="1">
      <c r="A471" s="2712"/>
      <c r="B471" s="371"/>
      <c r="C471" s="371"/>
      <c r="D471" s="2714"/>
      <c r="E471" s="586" t="s">
        <v>2749</v>
      </c>
      <c r="F471" s="414"/>
      <c r="G471" s="3462" t="s">
        <v>5996</v>
      </c>
      <c r="H471" s="3493" t="str">
        <f>$V$3</f>
        <v>2018年12月31日</v>
      </c>
      <c r="I471" s="3466"/>
      <c r="J471" s="3494"/>
      <c r="K471" s="355" t="s">
        <v>5268</v>
      </c>
      <c r="L471" s="428"/>
      <c r="M471" s="433"/>
      <c r="N471" s="428"/>
      <c r="O471" s="428"/>
      <c r="P471" s="433"/>
      <c r="Q471" s="442"/>
      <c r="R471" s="443"/>
      <c r="S471" s="364"/>
      <c r="Z471" s="609" t="s">
        <v>273</v>
      </c>
      <c r="AA471" s="609" t="s">
        <v>2935</v>
      </c>
    </row>
    <row r="472" spans="1:27" ht="18">
      <c r="A472" s="2712"/>
      <c r="B472" s="371"/>
      <c r="C472" s="371"/>
      <c r="D472" s="2714"/>
      <c r="E472" s="586" t="s">
        <v>2749</v>
      </c>
      <c r="F472" s="414"/>
      <c r="G472" s="3463"/>
      <c r="H472" s="2235" t="s">
        <v>2861</v>
      </c>
      <c r="I472" s="2235" t="s">
        <v>2862</v>
      </c>
      <c r="J472" s="2238" t="s">
        <v>2889</v>
      </c>
      <c r="K472" s="434"/>
      <c r="L472" s="434"/>
      <c r="M472" s="1509"/>
      <c r="N472" s="434"/>
      <c r="O472" s="434"/>
      <c r="P472" s="1509"/>
      <c r="Q472" s="442"/>
      <c r="R472" s="443"/>
      <c r="S472" s="364"/>
      <c r="Z472" s="609" t="s">
        <v>273</v>
      </c>
      <c r="AA472" s="609" t="s">
        <v>2935</v>
      </c>
    </row>
    <row r="473" spans="1:27" ht="18">
      <c r="A473" s="2712"/>
      <c r="B473" s="371">
        <v>101</v>
      </c>
      <c r="C473" s="371"/>
      <c r="D473" s="2714">
        <f t="shared" ref="D473:D483" si="35">IF(OR(G473="*",G473="",G473=0),0,COUNTIF($G$473:$G$483,G473))</f>
        <v>1</v>
      </c>
      <c r="E473" s="2719" t="s">
        <v>6532</v>
      </c>
      <c r="F473" s="294"/>
      <c r="G473" s="1472" t="s">
        <v>2938</v>
      </c>
      <c r="H473" s="1575"/>
      <c r="I473" s="422"/>
      <c r="J473" s="388"/>
      <c r="K473" s="439"/>
      <c r="L473" s="437"/>
      <c r="M473" s="438"/>
      <c r="N473" s="439"/>
      <c r="O473" s="437"/>
      <c r="P473" s="438"/>
      <c r="Q473" s="442"/>
      <c r="R473" s="443"/>
      <c r="S473" s="364"/>
      <c r="Z473" s="609" t="s">
        <v>273</v>
      </c>
      <c r="AA473" s="609" t="s">
        <v>2935</v>
      </c>
    </row>
    <row r="474" spans="1:27" ht="18">
      <c r="A474" s="2712"/>
      <c r="B474" s="371">
        <v>101.001</v>
      </c>
      <c r="C474" s="371" t="s">
        <v>2791</v>
      </c>
      <c r="D474" s="2714">
        <f t="shared" si="35"/>
        <v>1</v>
      </c>
      <c r="E474" s="2719" t="s">
        <v>2937</v>
      </c>
      <c r="F474" s="294"/>
      <c r="G474" s="2220" t="s">
        <v>5130</v>
      </c>
      <c r="H474" s="1575">
        <v>4770919.25</v>
      </c>
      <c r="I474" s="422">
        <v>95418.39</v>
      </c>
      <c r="J474" s="388">
        <v>2</v>
      </c>
      <c r="K474" s="439"/>
      <c r="L474" s="437"/>
      <c r="M474" s="438"/>
      <c r="N474" s="439"/>
      <c r="O474" s="437"/>
      <c r="P474" s="438"/>
      <c r="Q474" s="442"/>
      <c r="R474" s="443"/>
      <c r="S474" s="364"/>
      <c r="Z474" s="609" t="s">
        <v>273</v>
      </c>
      <c r="AA474" s="609" t="s">
        <v>2935</v>
      </c>
    </row>
    <row r="475" spans="1:27" ht="18">
      <c r="A475" s="2712"/>
      <c r="B475" s="371">
        <v>101.002</v>
      </c>
      <c r="C475" s="371" t="s">
        <v>2791</v>
      </c>
      <c r="D475" s="2714">
        <f t="shared" si="35"/>
        <v>0</v>
      </c>
      <c r="E475" s="2719"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8">
      <c r="A476" s="2712"/>
      <c r="B476" s="371">
        <v>101.999</v>
      </c>
      <c r="C476" s="371" t="s">
        <v>2793</v>
      </c>
      <c r="D476" s="2714">
        <f t="shared" si="35"/>
        <v>1</v>
      </c>
      <c r="E476" s="2719">
        <v>1</v>
      </c>
      <c r="F476" s="294"/>
      <c r="G476" s="1472" t="s">
        <v>2937</v>
      </c>
      <c r="H476" s="1474">
        <f>SUMIF($E$472:$E$482,$G476,H$472:H$482)</f>
        <v>4770919.25</v>
      </c>
      <c r="I476" s="1474">
        <f>SUMIF($E$472:$E$482,$G476,I$472:I$482)</f>
        <v>95418.39</v>
      </c>
      <c r="J476" s="388"/>
      <c r="K476" s="439"/>
      <c r="L476" s="437"/>
      <c r="M476" s="438"/>
      <c r="N476" s="439"/>
      <c r="O476" s="437"/>
      <c r="P476" s="438"/>
      <c r="Q476" s="442"/>
      <c r="R476" s="443"/>
      <c r="S476" s="364"/>
      <c r="Z476" s="609" t="s">
        <v>273</v>
      </c>
      <c r="AA476" s="609" t="s">
        <v>2935</v>
      </c>
    </row>
    <row r="477" spans="1:27" ht="18">
      <c r="A477" s="2712"/>
      <c r="B477" s="371">
        <v>102</v>
      </c>
      <c r="C477" s="371"/>
      <c r="D477" s="2714">
        <f t="shared" si="35"/>
        <v>1</v>
      </c>
      <c r="E477" s="2719">
        <v>1</v>
      </c>
      <c r="F477" s="294"/>
      <c r="G477" s="1472" t="s">
        <v>2940</v>
      </c>
      <c r="H477" s="1575">
        <v>1187281.31</v>
      </c>
      <c r="I477" s="422">
        <v>237456.26</v>
      </c>
      <c r="J477" s="388">
        <v>20</v>
      </c>
      <c r="K477" s="439"/>
      <c r="L477" s="437"/>
      <c r="M477" s="438"/>
      <c r="N477" s="439"/>
      <c r="O477" s="437"/>
      <c r="P477" s="438"/>
      <c r="Q477" s="442"/>
      <c r="R477" s="443"/>
      <c r="S477" s="364"/>
      <c r="Z477" s="609" t="s">
        <v>273</v>
      </c>
      <c r="AA477" s="609" t="s">
        <v>2935</v>
      </c>
    </row>
    <row r="478" spans="1:27" ht="18">
      <c r="A478" s="2712"/>
      <c r="B478" s="371">
        <v>103</v>
      </c>
      <c r="C478" s="371"/>
      <c r="D478" s="2714">
        <f t="shared" si="35"/>
        <v>1</v>
      </c>
      <c r="E478" s="2719">
        <v>1</v>
      </c>
      <c r="F478" s="294"/>
      <c r="G478" s="1472" t="s">
        <v>2941</v>
      </c>
      <c r="H478" s="1575">
        <v>716443.73</v>
      </c>
      <c r="I478" s="422">
        <v>214933.12</v>
      </c>
      <c r="J478" s="388">
        <v>30</v>
      </c>
      <c r="K478" s="439"/>
      <c r="L478" s="437"/>
      <c r="M478" s="438"/>
      <c r="N478" s="439"/>
      <c r="O478" s="437"/>
      <c r="P478" s="438"/>
      <c r="Q478" s="442"/>
      <c r="R478" s="443"/>
      <c r="S478" s="364"/>
      <c r="Z478" s="609" t="s">
        <v>273</v>
      </c>
      <c r="AA478" s="609" t="s">
        <v>2935</v>
      </c>
    </row>
    <row r="479" spans="1:27" ht="18">
      <c r="A479" s="2712"/>
      <c r="B479" s="371">
        <v>104</v>
      </c>
      <c r="C479" s="371" t="s">
        <v>2791</v>
      </c>
      <c r="D479" s="2714">
        <f t="shared" si="35"/>
        <v>1</v>
      </c>
      <c r="E479" s="2719">
        <v>1</v>
      </c>
      <c r="F479" s="294"/>
      <c r="G479" s="2220" t="s">
        <v>2942</v>
      </c>
      <c r="H479" s="1575">
        <v>41225</v>
      </c>
      <c r="I479" s="422">
        <v>24735</v>
      </c>
      <c r="J479" s="388">
        <v>60</v>
      </c>
      <c r="K479" s="439"/>
      <c r="L479" s="437"/>
      <c r="M479" s="438"/>
      <c r="N479" s="439"/>
      <c r="O479" s="437"/>
      <c r="P479" s="438"/>
      <c r="Q479" s="442"/>
      <c r="R479" s="443"/>
      <c r="S479" s="364"/>
      <c r="Z479" s="609" t="s">
        <v>273</v>
      </c>
      <c r="AA479" s="609" t="s">
        <v>2935</v>
      </c>
    </row>
    <row r="480" spans="1:27" ht="18">
      <c r="A480" s="2712"/>
      <c r="B480" s="371">
        <v>105</v>
      </c>
      <c r="C480" s="371" t="s">
        <v>2791</v>
      </c>
      <c r="D480" s="2714">
        <f t="shared" si="35"/>
        <v>1</v>
      </c>
      <c r="E480" s="2719">
        <v>1</v>
      </c>
      <c r="F480" s="294"/>
      <c r="G480" s="2220" t="s">
        <v>2943</v>
      </c>
      <c r="H480" s="1575">
        <v>932800</v>
      </c>
      <c r="I480" s="422">
        <v>839520</v>
      </c>
      <c r="J480" s="388">
        <v>90</v>
      </c>
      <c r="K480" s="439"/>
      <c r="L480" s="437"/>
      <c r="M480" s="438"/>
      <c r="N480" s="439"/>
      <c r="O480" s="437"/>
      <c r="P480" s="438"/>
      <c r="Q480" s="442"/>
      <c r="R480" s="443"/>
      <c r="S480" s="364"/>
      <c r="Z480" s="609" t="s">
        <v>273</v>
      </c>
      <c r="AA480" s="609" t="s">
        <v>2935</v>
      </c>
    </row>
    <row r="481" spans="1:31" ht="18">
      <c r="A481" s="2712"/>
      <c r="B481" s="371">
        <v>106</v>
      </c>
      <c r="C481" s="371" t="s">
        <v>2791</v>
      </c>
      <c r="D481" s="2714">
        <f t="shared" si="35"/>
        <v>1</v>
      </c>
      <c r="E481" s="2719">
        <v>1</v>
      </c>
      <c r="F481" s="294"/>
      <c r="G481" s="2220" t="s">
        <v>2944</v>
      </c>
      <c r="H481" s="1575">
        <v>1416184.86</v>
      </c>
      <c r="I481" s="422">
        <v>1416184.86</v>
      </c>
      <c r="J481" s="388">
        <v>100</v>
      </c>
      <c r="K481" s="439"/>
      <c r="L481" s="437"/>
      <c r="M481" s="438"/>
      <c r="N481" s="439"/>
      <c r="O481" s="437"/>
      <c r="P481" s="438"/>
      <c r="Q481" s="442"/>
      <c r="R481" s="443"/>
      <c r="S481" s="364"/>
      <c r="Z481" s="609" t="s">
        <v>273</v>
      </c>
      <c r="AA481" s="609" t="s">
        <v>2935</v>
      </c>
    </row>
    <row r="482" spans="1:31" ht="18">
      <c r="A482" s="2712"/>
      <c r="B482" s="371">
        <v>107</v>
      </c>
      <c r="C482" s="371" t="s">
        <v>2791</v>
      </c>
      <c r="D482" s="2714">
        <f t="shared" si="35"/>
        <v>0</v>
      </c>
      <c r="E482" s="2719">
        <v>1</v>
      </c>
      <c r="F482" s="294"/>
      <c r="G482" s="2220" t="s">
        <v>2792</v>
      </c>
      <c r="H482" s="1575"/>
      <c r="I482" s="422"/>
      <c r="J482" s="388"/>
      <c r="K482" s="439"/>
      <c r="L482" s="437"/>
      <c r="M482" s="438"/>
      <c r="N482" s="439"/>
      <c r="O482" s="437"/>
      <c r="P482" s="438"/>
      <c r="Q482" s="442"/>
      <c r="R482" s="443"/>
      <c r="S482" s="364"/>
      <c r="Z482" s="609" t="s">
        <v>273</v>
      </c>
      <c r="AA482" s="609" t="s">
        <v>2935</v>
      </c>
    </row>
    <row r="483" spans="1:31" ht="18.75" thickBot="1">
      <c r="A483" s="2712"/>
      <c r="B483" s="371"/>
      <c r="C483" s="371"/>
      <c r="D483" s="2714">
        <f t="shared" si="35"/>
        <v>1</v>
      </c>
      <c r="E483" s="2719" t="s">
        <v>2751</v>
      </c>
      <c r="F483" s="293"/>
      <c r="G483" s="2232" t="s">
        <v>2752</v>
      </c>
      <c r="H483" s="2233">
        <f>SUMPRODUCT($E472:$E482,H472:H482)</f>
        <v>9064854.1500000004</v>
      </c>
      <c r="I483" s="2233">
        <f>SUMPRODUCT($E472:$E482,I472:I482)</f>
        <v>2828247.63</v>
      </c>
      <c r="J483" s="2242"/>
      <c r="K483" s="439"/>
      <c r="L483" s="437"/>
      <c r="M483" s="1506"/>
      <c r="N483" s="439"/>
      <c r="O483" s="437"/>
      <c r="P483" s="1506"/>
      <c r="Q483" s="442"/>
      <c r="R483" s="443"/>
      <c r="S483" s="364"/>
      <c r="Z483" s="609" t="s">
        <v>273</v>
      </c>
      <c r="AA483" s="609" t="s">
        <v>2935</v>
      </c>
    </row>
    <row r="484" spans="1:31" ht="18.75" thickBot="1">
      <c r="A484" s="2712"/>
      <c r="B484" s="371"/>
      <c r="C484" s="371" t="s">
        <v>2755</v>
      </c>
      <c r="D484" s="2714"/>
      <c r="F484" s="293"/>
      <c r="G484" s="376"/>
      <c r="H484" s="1574"/>
      <c r="I484" s="396"/>
      <c r="J484" s="393"/>
      <c r="K484" s="426"/>
      <c r="L484" s="427"/>
      <c r="M484" s="425"/>
      <c r="N484" s="426"/>
      <c r="O484" s="427"/>
      <c r="P484" s="425"/>
      <c r="Q484" s="442"/>
      <c r="R484" s="443"/>
      <c r="S484" s="364"/>
      <c r="Z484" s="609" t="s">
        <v>273</v>
      </c>
      <c r="AA484" s="609" t="s">
        <v>2935</v>
      </c>
    </row>
    <row r="485" spans="1:31" ht="18" hidden="1">
      <c r="A485" s="2712" t="s">
        <v>386</v>
      </c>
      <c r="B485" s="371">
        <v>1</v>
      </c>
      <c r="C485" s="371"/>
      <c r="D485" s="2714" t="str">
        <f>VLOOKUP($A485,Sheet_NoteList,2,0)</f>
        <v>应收账款按种类列示</v>
      </c>
      <c r="E485" s="2714" t="s">
        <v>6611</v>
      </c>
      <c r="F485" s="294"/>
      <c r="G485" s="307" t="str">
        <f>"("&amp;B485&amp;")"&amp;D485</f>
        <v>(1)应收账款按种类列示</v>
      </c>
      <c r="H485" s="1515" t="str">
        <f>$A485</f>
        <v>1122a</v>
      </c>
      <c r="I485" s="343" t="s">
        <v>6614</v>
      </c>
      <c r="J485" s="301" t="s">
        <v>6612</v>
      </c>
      <c r="K485" s="344">
        <f>L498</f>
        <v>0</v>
      </c>
      <c r="L485" s="345" t="str">
        <f>IF($I485="适用",IF(ROUND($K$316-K485,2)=0,"F/S",ROUND($K$316-K485,2)),"#N/A")</f>
        <v>#N/A</v>
      </c>
      <c r="M485" s="301" t="s">
        <v>6613</v>
      </c>
      <c r="N485" s="344">
        <f>N500</f>
        <v>0</v>
      </c>
      <c r="O485" s="315"/>
      <c r="P485" s="301"/>
      <c r="Q485" s="290" t="str">
        <f>IF($I485="不适用","",IF(ROUND(SUM($H$490:$L$498),2)=0,"请输入",""))</f>
        <v/>
      </c>
      <c r="S485" s="364"/>
      <c r="Z485" s="609" t="s">
        <v>273</v>
      </c>
      <c r="AA485" s="609" t="s">
        <v>2935</v>
      </c>
      <c r="AE485" s="369" t="s">
        <v>2761</v>
      </c>
    </row>
    <row r="486" spans="1:31" ht="0.75" hidden="1" customHeight="1">
      <c r="A486" s="2712"/>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2"/>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2"/>
      <c r="B488" s="371"/>
      <c r="C488" s="371"/>
      <c r="D488" s="371"/>
      <c r="E488" s="2714" t="s">
        <v>2749</v>
      </c>
      <c r="F488" s="294"/>
      <c r="G488" s="3502" t="s">
        <v>2973</v>
      </c>
      <c r="H488" s="3498" t="str">
        <f>$V$2</f>
        <v>2019年12月31日</v>
      </c>
      <c r="I488" s="3506"/>
      <c r="J488" s="3506"/>
      <c r="K488" s="3506"/>
      <c r="L488" s="3507"/>
      <c r="M488" s="424" t="s">
        <v>5988</v>
      </c>
      <c r="N488" s="291"/>
      <c r="O488" s="291"/>
      <c r="P488" s="291"/>
      <c r="S488" s="364"/>
      <c r="Z488" s="609" t="s">
        <v>273</v>
      </c>
      <c r="AA488" s="609" t="s">
        <v>2935</v>
      </c>
      <c r="AE488" s="369" t="s">
        <v>2761</v>
      </c>
    </row>
    <row r="489" spans="1:31" ht="24.75" hidden="1">
      <c r="A489" s="2712"/>
      <c r="B489" s="371"/>
      <c r="C489" s="371"/>
      <c r="D489" s="371"/>
      <c r="E489" s="2714" t="s">
        <v>2749</v>
      </c>
      <c r="F489" s="294"/>
      <c r="G489" s="3503"/>
      <c r="H489" s="448" t="s">
        <v>2861</v>
      </c>
      <c r="I489" s="2571" t="s">
        <v>6123</v>
      </c>
      <c r="J489" s="448" t="s">
        <v>2974</v>
      </c>
      <c r="K489" s="462" t="s">
        <v>2975</v>
      </c>
      <c r="L489" s="463" t="s">
        <v>2994</v>
      </c>
      <c r="M489" s="291"/>
      <c r="N489" s="291"/>
      <c r="O489" s="291"/>
      <c r="P489" s="291"/>
      <c r="S489" s="364"/>
      <c r="Z489" s="609" t="s">
        <v>273</v>
      </c>
      <c r="AA489" s="609" t="s">
        <v>2935</v>
      </c>
      <c r="AE489" s="369" t="s">
        <v>2761</v>
      </c>
    </row>
    <row r="490" spans="1:31" ht="24" hidden="1">
      <c r="A490" s="2712"/>
      <c r="B490" s="371">
        <v>101</v>
      </c>
      <c r="C490" s="371"/>
      <c r="D490" s="2714">
        <f t="shared" ref="D490:D498" si="36">IF(OR(G490="*",G490="",G490=0),0,COUNTIF($G$490:$G$498,G490))</f>
        <v>1</v>
      </c>
      <c r="E490" s="2719">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6571</v>
      </c>
      <c r="AE490" s="369" t="s">
        <v>2761</v>
      </c>
    </row>
    <row r="491" spans="1:31" ht="24" hidden="1">
      <c r="A491" s="2712"/>
      <c r="B491" s="371">
        <v>102</v>
      </c>
      <c r="C491" s="371"/>
      <c r="D491" s="2714">
        <f t="shared" si="36"/>
        <v>1</v>
      </c>
      <c r="E491" s="2719"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2"/>
      <c r="B492" s="371">
        <v>102.001</v>
      </c>
      <c r="C492" s="371" t="s">
        <v>2791</v>
      </c>
      <c r="D492" s="2714">
        <f t="shared" si="36"/>
        <v>1</v>
      </c>
      <c r="E492" s="2719"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6571</v>
      </c>
      <c r="AE492" s="369" t="s">
        <v>2761</v>
      </c>
    </row>
    <row r="493" spans="1:31" ht="18" hidden="1">
      <c r="A493" s="2712"/>
      <c r="B493" s="371">
        <v>102.002</v>
      </c>
      <c r="C493" s="371" t="s">
        <v>2791</v>
      </c>
      <c r="D493" s="2714">
        <f t="shared" si="36"/>
        <v>1</v>
      </c>
      <c r="E493" s="2719" t="s">
        <v>2978</v>
      </c>
      <c r="F493" s="294"/>
      <c r="G493" s="319" t="s">
        <v>2980</v>
      </c>
      <c r="H493" s="309"/>
      <c r="I493" s="360" t="str">
        <f>IF(H$498*H493=0,"",ROUND(H493*100/H$498,2))</f>
        <v/>
      </c>
      <c r="J493" s="309"/>
      <c r="K493" s="360" t="str">
        <f t="shared" ref="K493:K498" si="37">IF(H493*J493=0,"",ROUND(J493*100/H493,2))</f>
        <v/>
      </c>
      <c r="L493" s="346">
        <f>H493-J493</f>
        <v>0</v>
      </c>
      <c r="M493" s="291"/>
      <c r="N493" s="291"/>
      <c r="O493" s="291"/>
      <c r="P493" s="291"/>
      <c r="S493" s="364"/>
      <c r="Z493" s="609" t="s">
        <v>273</v>
      </c>
      <c r="AA493" s="609" t="s">
        <v>2935</v>
      </c>
      <c r="AE493" s="369" t="s">
        <v>2761</v>
      </c>
    </row>
    <row r="494" spans="1:31" ht="18" hidden="1">
      <c r="A494" s="2712"/>
      <c r="B494" s="371">
        <v>102.003</v>
      </c>
      <c r="C494" s="371" t="s">
        <v>2791</v>
      </c>
      <c r="D494" s="2714">
        <f t="shared" si="36"/>
        <v>0</v>
      </c>
      <c r="E494" s="2719" t="s">
        <v>2978</v>
      </c>
      <c r="F494" s="294"/>
      <c r="G494" s="319" t="s">
        <v>2792</v>
      </c>
      <c r="H494" s="309"/>
      <c r="I494" s="360" t="str">
        <f>IF(H$498*H494=0,"",ROUND(H494*100/H$498,2))</f>
        <v/>
      </c>
      <c r="J494" s="309"/>
      <c r="K494" s="360" t="str">
        <f t="shared" si="37"/>
        <v/>
      </c>
      <c r="L494" s="346">
        <f>H494-J494</f>
        <v>0</v>
      </c>
      <c r="M494" s="355" t="s">
        <v>2981</v>
      </c>
      <c r="N494" s="291"/>
      <c r="O494" s="291"/>
      <c r="P494" s="291"/>
      <c r="S494" s="364"/>
      <c r="Z494" s="609" t="s">
        <v>273</v>
      </c>
      <c r="AA494" s="609" t="s">
        <v>2935</v>
      </c>
      <c r="AE494" s="369" t="s">
        <v>2761</v>
      </c>
    </row>
    <row r="495" spans="1:31" ht="18" hidden="1">
      <c r="A495" s="2712"/>
      <c r="B495" s="371">
        <v>102.999</v>
      </c>
      <c r="C495" s="371" t="s">
        <v>2793</v>
      </c>
      <c r="D495" s="2714">
        <f t="shared" si="36"/>
        <v>1</v>
      </c>
      <c r="E495" s="2719">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2"/>
      <c r="B496" s="371">
        <v>103</v>
      </c>
      <c r="C496" s="371"/>
      <c r="D496" s="2714">
        <f t="shared" si="36"/>
        <v>1</v>
      </c>
      <c r="E496" s="2719">
        <v>1</v>
      </c>
      <c r="F496" s="294"/>
      <c r="G496" s="308" t="s">
        <v>2982</v>
      </c>
      <c r="H496" s="309"/>
      <c r="I496" s="360" t="str">
        <f>IF(H$498*H496=0,"",ROUND(H496*100/H$498,2))</f>
        <v/>
      </c>
      <c r="J496" s="309"/>
      <c r="K496" s="360" t="str">
        <f t="shared" si="37"/>
        <v/>
      </c>
      <c r="L496" s="346">
        <f>H496-J496</f>
        <v>0</v>
      </c>
      <c r="M496" s="291"/>
      <c r="N496" s="291"/>
      <c r="O496" s="291"/>
      <c r="P496" s="291"/>
      <c r="S496" s="364"/>
      <c r="Z496" s="609" t="s">
        <v>273</v>
      </c>
      <c r="AA496" s="609" t="s">
        <v>2935</v>
      </c>
      <c r="AE496" s="369" t="s">
        <v>2761</v>
      </c>
    </row>
    <row r="497" spans="1:31" ht="18" hidden="1">
      <c r="A497" s="2712"/>
      <c r="B497" s="371">
        <v>104</v>
      </c>
      <c r="C497" s="371" t="s">
        <v>2791</v>
      </c>
      <c r="D497" s="2714">
        <f t="shared" si="36"/>
        <v>0</v>
      </c>
      <c r="E497" s="2719">
        <v>1</v>
      </c>
      <c r="F497" s="294"/>
      <c r="G497" s="319" t="s">
        <v>2792</v>
      </c>
      <c r="H497" s="309"/>
      <c r="I497" s="360" t="str">
        <f>IF(H$498*H497=0,"",ROUND(H497*100/H$498,2))</f>
        <v/>
      </c>
      <c r="J497" s="309"/>
      <c r="K497" s="360" t="str">
        <f t="shared" si="37"/>
        <v/>
      </c>
      <c r="L497" s="346">
        <f>H497-J497</f>
        <v>0</v>
      </c>
      <c r="M497" s="291"/>
      <c r="N497" s="291"/>
      <c r="O497" s="291"/>
      <c r="P497" s="291"/>
      <c r="S497" s="364"/>
      <c r="Z497" s="609" t="s">
        <v>273</v>
      </c>
      <c r="AA497" s="609" t="s">
        <v>2935</v>
      </c>
      <c r="AE497" s="369" t="s">
        <v>2761</v>
      </c>
    </row>
    <row r="498" spans="1:31" ht="18.75" hidden="1" thickBot="1">
      <c r="A498" s="2712"/>
      <c r="B498" s="371"/>
      <c r="C498" s="371"/>
      <c r="D498" s="2714">
        <f t="shared" si="36"/>
        <v>1</v>
      </c>
      <c r="E498" s="2719" t="s">
        <v>2751</v>
      </c>
      <c r="F498" s="294"/>
      <c r="G498" s="310" t="s">
        <v>2752</v>
      </c>
      <c r="H498" s="311">
        <f>SUMPRODUCT($E489:$E497,H489:H497)</f>
        <v>0</v>
      </c>
      <c r="I498" s="465"/>
      <c r="J498" s="311">
        <f>SUMPRODUCT($E489:$E497,J489:J497)</f>
        <v>0</v>
      </c>
      <c r="K498" s="466" t="str">
        <f t="shared" si="37"/>
        <v/>
      </c>
      <c r="L498" s="347">
        <f>SUMPRODUCT($E489:$E497,L489:L497)</f>
        <v>0</v>
      </c>
      <c r="M498" s="357"/>
      <c r="N498" s="291"/>
      <c r="O498" s="291"/>
      <c r="P498" s="291"/>
      <c r="S498" s="364"/>
      <c r="Z498" s="609" t="s">
        <v>273</v>
      </c>
      <c r="AA498" s="609" t="s">
        <v>2935</v>
      </c>
      <c r="AC498" s="369" t="s">
        <v>2794</v>
      </c>
      <c r="AE498" s="369" t="s">
        <v>2761</v>
      </c>
    </row>
    <row r="499" spans="1:31" ht="18" hidden="1">
      <c r="A499" s="2712"/>
      <c r="B499" s="371"/>
      <c r="C499" s="371" t="s">
        <v>2755</v>
      </c>
      <c r="D499" s="2714"/>
      <c r="E499" s="2719"/>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2" t="s">
        <v>392</v>
      </c>
      <c r="B500" s="371">
        <v>1</v>
      </c>
      <c r="C500" s="371"/>
      <c r="D500" s="2714" t="str">
        <f>VLOOKUP($A500,Sheet_NoteList,2,0)</f>
        <v>应收账款按种类列示（续）</v>
      </c>
      <c r="E500" s="2714" t="s">
        <v>6606</v>
      </c>
      <c r="F500" s="294"/>
      <c r="G500" s="372" t="str">
        <f>"("&amp;B500&amp;")"&amp;D500</f>
        <v>(1)应收账款按种类列示（续）</v>
      </c>
      <c r="H500" s="1515" t="str">
        <f>$A500</f>
        <v>1122b</v>
      </c>
      <c r="I500" s="343" t="s">
        <v>6614</v>
      </c>
      <c r="J500" s="301" t="s">
        <v>6613</v>
      </c>
      <c r="K500" s="423"/>
      <c r="L500" s="315"/>
      <c r="M500" s="301" t="s">
        <v>6616</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2"/>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2"/>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2"/>
      <c r="B503" s="371"/>
      <c r="C503" s="371"/>
      <c r="D503" s="371"/>
      <c r="E503" s="2714" t="s">
        <v>2749</v>
      </c>
      <c r="F503" s="294"/>
      <c r="G503" s="3532" t="s">
        <v>2973</v>
      </c>
      <c r="H503" s="3498" t="str">
        <f>$V$3</f>
        <v>2018年12月31日</v>
      </c>
      <c r="I503" s="3506"/>
      <c r="J503" s="3506"/>
      <c r="K503" s="3506"/>
      <c r="L503" s="3507"/>
      <c r="M503" s="424" t="s">
        <v>5988</v>
      </c>
      <c r="N503" s="291"/>
      <c r="O503" s="291"/>
      <c r="P503" s="291"/>
      <c r="S503" s="364"/>
      <c r="Z503" s="609" t="s">
        <v>273</v>
      </c>
      <c r="AA503" s="609" t="s">
        <v>2935</v>
      </c>
      <c r="AE503" s="369" t="s">
        <v>2761</v>
      </c>
    </row>
    <row r="504" spans="1:31" ht="24.75" hidden="1">
      <c r="A504" s="2712"/>
      <c r="B504" s="371"/>
      <c r="C504" s="371"/>
      <c r="D504" s="371"/>
      <c r="E504" s="2714" t="s">
        <v>2749</v>
      </c>
      <c r="F504" s="294"/>
      <c r="G504" s="3503"/>
      <c r="H504" s="451" t="s">
        <v>2861</v>
      </c>
      <c r="I504" s="467" t="s">
        <v>6124</v>
      </c>
      <c r="J504" s="451" t="s">
        <v>2974</v>
      </c>
      <c r="K504" s="467" t="s">
        <v>2975</v>
      </c>
      <c r="L504" s="468" t="s">
        <v>2994</v>
      </c>
      <c r="M504" s="291"/>
      <c r="N504" s="291"/>
      <c r="O504" s="291"/>
      <c r="P504" s="291"/>
      <c r="S504" s="364"/>
      <c r="Z504" s="609" t="s">
        <v>273</v>
      </c>
      <c r="AA504" s="609" t="s">
        <v>2935</v>
      </c>
      <c r="AE504" s="369" t="s">
        <v>2761</v>
      </c>
    </row>
    <row r="505" spans="1:31" ht="24" hidden="1">
      <c r="A505" s="2712"/>
      <c r="B505" s="371">
        <v>101</v>
      </c>
      <c r="C505" s="371"/>
      <c r="D505" s="2714">
        <f t="shared" ref="D505:D513" si="38">IF(OR(G505="*",G505="",G505=0),0,COUNTIF($G$505:$G$513,G505))</f>
        <v>1</v>
      </c>
      <c r="E505" s="2719">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2"/>
      <c r="B506" s="371">
        <v>102</v>
      </c>
      <c r="C506" s="371"/>
      <c r="D506" s="2714">
        <f t="shared" si="38"/>
        <v>1</v>
      </c>
      <c r="E506" s="2719"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2"/>
      <c r="B507" s="371">
        <v>102.001</v>
      </c>
      <c r="C507" s="371" t="s">
        <v>2791</v>
      </c>
      <c r="D507" s="2714">
        <f t="shared" si="38"/>
        <v>1</v>
      </c>
      <c r="E507" s="2719" t="s">
        <v>2978</v>
      </c>
      <c r="F507" s="294"/>
      <c r="G507" s="409" t="s">
        <v>2979</v>
      </c>
      <c r="H507" s="383"/>
      <c r="I507" s="469" t="str">
        <f>IF(H$513*H507=0,"",ROUND(H507*100/H$513,2))</f>
        <v/>
      </c>
      <c r="J507" s="383"/>
      <c r="K507" s="469" t="str">
        <f t="shared" ref="K507:K513" si="39">IF(H507*J507=0,"",ROUND(J507*100/H507,2))</f>
        <v/>
      </c>
      <c r="L507" s="401">
        <f>H507-J507</f>
        <v>0</v>
      </c>
      <c r="M507" s="357"/>
      <c r="N507" s="291"/>
      <c r="O507" s="291"/>
      <c r="P507" s="291"/>
      <c r="S507" s="364"/>
      <c r="Z507" s="609" t="s">
        <v>273</v>
      </c>
      <c r="AA507" s="609" t="s">
        <v>2935</v>
      </c>
      <c r="AC507" s="369" t="s">
        <v>2794</v>
      </c>
      <c r="AE507" s="369" t="s">
        <v>2761</v>
      </c>
    </row>
    <row r="508" spans="1:31" ht="18" hidden="1">
      <c r="A508" s="2712"/>
      <c r="B508" s="371">
        <v>102.002</v>
      </c>
      <c r="C508" s="371" t="s">
        <v>2791</v>
      </c>
      <c r="D508" s="2714">
        <f t="shared" si="38"/>
        <v>1</v>
      </c>
      <c r="E508" s="2719" t="s">
        <v>2978</v>
      </c>
      <c r="F508" s="294"/>
      <c r="G508" s="409" t="s">
        <v>2980</v>
      </c>
      <c r="H508" s="383"/>
      <c r="I508" s="469" t="str">
        <f>IF(H$513*H508=0,"",ROUND(H508*100/H$513,2))</f>
        <v/>
      </c>
      <c r="J508" s="383"/>
      <c r="K508" s="469" t="str">
        <f t="shared" si="39"/>
        <v/>
      </c>
      <c r="L508" s="401">
        <f>H508-J508</f>
        <v>0</v>
      </c>
      <c r="M508" s="291"/>
      <c r="N508" s="291"/>
      <c r="O508" s="291"/>
      <c r="P508" s="291"/>
      <c r="S508" s="364"/>
      <c r="Z508" s="609" t="s">
        <v>273</v>
      </c>
      <c r="AA508" s="609" t="s">
        <v>2935</v>
      </c>
      <c r="AE508" s="369" t="s">
        <v>2761</v>
      </c>
    </row>
    <row r="509" spans="1:31" ht="18" hidden="1">
      <c r="A509" s="2712"/>
      <c r="B509" s="371">
        <v>102.003</v>
      </c>
      <c r="C509" s="371" t="s">
        <v>2791</v>
      </c>
      <c r="D509" s="2714">
        <f t="shared" si="38"/>
        <v>0</v>
      </c>
      <c r="E509" s="2719" t="s">
        <v>2978</v>
      </c>
      <c r="F509" s="294"/>
      <c r="G509" s="409" t="s">
        <v>2792</v>
      </c>
      <c r="H509" s="383"/>
      <c r="I509" s="469" t="str">
        <f>IF(H$513*H509=0,"",ROUND(H509*100/H$513,2))</f>
        <v/>
      </c>
      <c r="J509" s="383"/>
      <c r="K509" s="469" t="str">
        <f t="shared" si="39"/>
        <v/>
      </c>
      <c r="L509" s="401">
        <f>H509-J509</f>
        <v>0</v>
      </c>
      <c r="M509" s="355" t="s">
        <v>2981</v>
      </c>
      <c r="N509" s="291"/>
      <c r="O509" s="291"/>
      <c r="P509" s="291"/>
      <c r="S509" s="364"/>
      <c r="Z509" s="609" t="s">
        <v>273</v>
      </c>
      <c r="AA509" s="609" t="s">
        <v>2935</v>
      </c>
      <c r="AE509" s="369" t="s">
        <v>2761</v>
      </c>
    </row>
    <row r="510" spans="1:31" ht="18" hidden="1">
      <c r="A510" s="2712"/>
      <c r="B510" s="371">
        <v>102.999</v>
      </c>
      <c r="C510" s="371" t="s">
        <v>2793</v>
      </c>
      <c r="D510" s="2714">
        <f t="shared" si="38"/>
        <v>1</v>
      </c>
      <c r="E510" s="2719">
        <v>1</v>
      </c>
      <c r="F510" s="294"/>
      <c r="G510" s="380" t="s">
        <v>2978</v>
      </c>
      <c r="H510" s="381">
        <f>SUMIF($E$505:$E$513,$G510,H$505:H$513)</f>
        <v>0</v>
      </c>
      <c r="I510" s="381"/>
      <c r="J510" s="381">
        <f>SUMIF($E$505:$E$513,$G510,J$505:J$513)</f>
        <v>0</v>
      </c>
      <c r="K510" s="469" t="str">
        <f t="shared" si="39"/>
        <v/>
      </c>
      <c r="L510" s="400">
        <f>SUMIF($E$505:$E$513,$G510,L$505:L$513)</f>
        <v>0</v>
      </c>
      <c r="M510" s="291"/>
      <c r="N510" s="291"/>
      <c r="O510" s="291"/>
      <c r="P510" s="291"/>
      <c r="S510" s="364"/>
      <c r="Z510" s="609" t="s">
        <v>273</v>
      </c>
      <c r="AA510" s="609" t="s">
        <v>2935</v>
      </c>
      <c r="AE510" s="369" t="s">
        <v>2761</v>
      </c>
    </row>
    <row r="511" spans="1:31" ht="24" hidden="1">
      <c r="A511" s="2712"/>
      <c r="B511" s="371">
        <v>103</v>
      </c>
      <c r="C511" s="371"/>
      <c r="D511" s="2714">
        <f t="shared" si="38"/>
        <v>1</v>
      </c>
      <c r="E511" s="2719">
        <v>1</v>
      </c>
      <c r="F511" s="294"/>
      <c r="G511" s="380" t="s">
        <v>2982</v>
      </c>
      <c r="H511" s="383"/>
      <c r="I511" s="469" t="str">
        <f>IF(H$513*H511=0,"",ROUND(H511*100/H$513,2))</f>
        <v/>
      </c>
      <c r="J511" s="383"/>
      <c r="K511" s="469" t="str">
        <f t="shared" si="39"/>
        <v/>
      </c>
      <c r="L511" s="401">
        <f>H511-J511</f>
        <v>0</v>
      </c>
      <c r="M511" s="291"/>
      <c r="N511" s="291"/>
      <c r="O511" s="291"/>
      <c r="P511" s="291"/>
      <c r="S511" s="364"/>
      <c r="Z511" s="609" t="s">
        <v>273</v>
      </c>
      <c r="AA511" s="609" t="s">
        <v>2935</v>
      </c>
      <c r="AE511" s="369" t="s">
        <v>2761</v>
      </c>
    </row>
    <row r="512" spans="1:31" ht="18" hidden="1">
      <c r="A512" s="2712"/>
      <c r="B512" s="371">
        <v>104</v>
      </c>
      <c r="C512" s="371" t="s">
        <v>2791</v>
      </c>
      <c r="D512" s="2714">
        <f t="shared" si="38"/>
        <v>0</v>
      </c>
      <c r="E512" s="2719">
        <v>1</v>
      </c>
      <c r="F512" s="294"/>
      <c r="G512" s="409" t="s">
        <v>2792</v>
      </c>
      <c r="H512" s="383"/>
      <c r="I512" s="469" t="str">
        <f>IF(H$513*H512=0,"",ROUND(H512*100/H$513,2))</f>
        <v/>
      </c>
      <c r="J512" s="383"/>
      <c r="K512" s="469" t="str">
        <f t="shared" si="39"/>
        <v/>
      </c>
      <c r="L512" s="401">
        <f>H512-J512</f>
        <v>0</v>
      </c>
      <c r="M512" s="291"/>
      <c r="N512" s="291"/>
      <c r="O512" s="291"/>
      <c r="P512" s="291"/>
      <c r="S512" s="364"/>
      <c r="Z512" s="609" t="s">
        <v>273</v>
      </c>
      <c r="AA512" s="609" t="s">
        <v>2935</v>
      </c>
      <c r="AE512" s="369" t="s">
        <v>2761</v>
      </c>
    </row>
    <row r="513" spans="1:31" ht="18.75" hidden="1" thickBot="1">
      <c r="A513" s="2712"/>
      <c r="B513" s="371"/>
      <c r="C513" s="371"/>
      <c r="D513" s="2714">
        <f t="shared" si="38"/>
        <v>1</v>
      </c>
      <c r="E513" s="2719" t="s">
        <v>2751</v>
      </c>
      <c r="F513" s="294"/>
      <c r="G513" s="452" t="s">
        <v>2752</v>
      </c>
      <c r="H513" s="453">
        <f>SUMPRODUCT($E504:$E512,H504:H512)</f>
        <v>0</v>
      </c>
      <c r="I513" s="453">
        <f>SUMPRODUCT($E504:$E512,I504:I512)</f>
        <v>0</v>
      </c>
      <c r="J513" s="453">
        <f>SUMPRODUCT($E504:$E512,J504:J512)</f>
        <v>0</v>
      </c>
      <c r="K513" s="470" t="str">
        <f t="shared" si="39"/>
        <v/>
      </c>
      <c r="L513" s="471">
        <f>SUMPRODUCT($E504:$E512,L504:L512)</f>
        <v>0</v>
      </c>
      <c r="M513" s="357"/>
      <c r="N513" s="291"/>
      <c r="O513" s="291"/>
      <c r="P513" s="291"/>
      <c r="S513" s="364"/>
      <c r="Z513" s="609" t="s">
        <v>273</v>
      </c>
      <c r="AA513" s="609" t="s">
        <v>2935</v>
      </c>
      <c r="AC513" s="369" t="s">
        <v>2794</v>
      </c>
      <c r="AE513" s="369" t="s">
        <v>2761</v>
      </c>
    </row>
    <row r="514" spans="1:31" ht="18" hidden="1">
      <c r="A514" s="2712"/>
      <c r="B514" s="371"/>
      <c r="C514" s="371" t="s">
        <v>2755</v>
      </c>
      <c r="D514" s="2714"/>
      <c r="E514" s="2719"/>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2" t="s">
        <v>322</v>
      </c>
      <c r="B515" s="371">
        <v>2</v>
      </c>
      <c r="C515" s="371"/>
      <c r="D515" s="2714" t="str">
        <f>VLOOKUP($A515,Sheet_NoteList,2,0)</f>
        <v>期末单项金额重大并单项计提坏账准备的应收账款</v>
      </c>
      <c r="E515" s="2714" t="s">
        <v>6606</v>
      </c>
      <c r="F515" s="294"/>
      <c r="G515" s="372" t="str">
        <f>"("&amp;B515&amp;")"&amp;D515</f>
        <v>(2)期末单项金额重大并单项计提坏账准备的应收账款</v>
      </c>
      <c r="H515" s="1515" t="str">
        <f>$A515</f>
        <v>1122g</v>
      </c>
      <c r="I515" s="343" t="s">
        <v>6614</v>
      </c>
      <c r="J515" s="301" t="s">
        <v>6612</v>
      </c>
      <c r="K515" s="344">
        <f>H526</f>
        <v>0</v>
      </c>
      <c r="L515" s="345"/>
      <c r="M515" s="301" t="s">
        <v>6613</v>
      </c>
      <c r="N515" s="423"/>
      <c r="O515" s="345"/>
      <c r="P515" s="301"/>
      <c r="Q515" s="290" t="str">
        <f>IF($I515="不适用","",IF(ROUND(SUM($H$520:$K$526),2)=0,"请输入",""))</f>
        <v/>
      </c>
      <c r="S515" s="364"/>
      <c r="Z515" s="609" t="s">
        <v>273</v>
      </c>
      <c r="AA515" s="609" t="s">
        <v>2935</v>
      </c>
      <c r="AE515" s="369" t="s">
        <v>2761</v>
      </c>
    </row>
    <row r="516" spans="1:31" ht="0.75" hidden="1" customHeight="1">
      <c r="A516" s="2712"/>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2"/>
      <c r="B517" s="371"/>
      <c r="C517" s="371"/>
      <c r="D517" s="371"/>
      <c r="F517" s="371"/>
      <c r="G517" s="371"/>
      <c r="H517" s="371" t="s">
        <v>6182</v>
      </c>
      <c r="I517" s="371" t="s">
        <v>6183</v>
      </c>
      <c r="J517" s="371" t="s">
        <v>6184</v>
      </c>
      <c r="K517" s="371" t="s">
        <v>6185</v>
      </c>
      <c r="L517" s="472"/>
      <c r="M517" s="472"/>
      <c r="N517" s="472"/>
      <c r="O517" s="472"/>
      <c r="P517" s="442"/>
      <c r="Q517" s="442"/>
      <c r="R517" s="443"/>
      <c r="S517" s="364"/>
      <c r="Z517" s="609" t="s">
        <v>273</v>
      </c>
      <c r="AA517" s="609" t="s">
        <v>2935</v>
      </c>
      <c r="AE517" s="369" t="s">
        <v>2761</v>
      </c>
    </row>
    <row r="518" spans="1:31" ht="17.25" hidden="1" customHeight="1">
      <c r="A518" s="2712"/>
      <c r="B518" s="371"/>
      <c r="C518" s="371"/>
      <c r="D518" s="371"/>
      <c r="E518" s="2714" t="s">
        <v>2749</v>
      </c>
      <c r="F518" s="304"/>
      <c r="G518" s="3502" t="s">
        <v>3000</v>
      </c>
      <c r="H518" s="3508" t="str">
        <f>$V$2</f>
        <v>2019年12月31日</v>
      </c>
      <c r="I518" s="3508"/>
      <c r="J518" s="3508"/>
      <c r="K518" s="3509"/>
      <c r="L518" s="424" t="s">
        <v>5988</v>
      </c>
      <c r="M518" s="472"/>
      <c r="N518" s="472"/>
      <c r="O518" s="472"/>
      <c r="P518" s="442"/>
      <c r="Q518" s="442"/>
      <c r="R518" s="443"/>
      <c r="S518" s="364"/>
      <c r="Z518" s="609" t="s">
        <v>273</v>
      </c>
      <c r="AA518" s="609" t="s">
        <v>2935</v>
      </c>
      <c r="AE518" s="369" t="s">
        <v>2761</v>
      </c>
    </row>
    <row r="519" spans="1:31" ht="18" hidden="1">
      <c r="A519" s="2712"/>
      <c r="B519" s="371"/>
      <c r="C519" s="371"/>
      <c r="D519" s="371"/>
      <c r="E519" s="2714" t="s">
        <v>2749</v>
      </c>
      <c r="F519" s="294"/>
      <c r="G519" s="3533"/>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2"/>
      <c r="B520" s="371">
        <v>101</v>
      </c>
      <c r="C520" s="371" t="s">
        <v>2791</v>
      </c>
      <c r="D520" s="2714">
        <f t="shared" ref="D520:D526" si="40">IF(OR(G520="*",G520="",G520=0),0,COUNTIF($G$520:$G$526,G520))</f>
        <v>0</v>
      </c>
      <c r="E520" s="2719">
        <v>1</v>
      </c>
      <c r="F520" s="294"/>
      <c r="G520" s="319" t="s">
        <v>2792</v>
      </c>
      <c r="H520" s="309"/>
      <c r="I520" s="309"/>
      <c r="J520" s="360" t="str">
        <f t="shared" ref="J520:J526" si="41">IF(H520*I520=0,"",ROUND(I520*100/H520,2))</f>
        <v/>
      </c>
      <c r="K520" s="388"/>
      <c r="L520" s="473"/>
      <c r="M520" s="472"/>
      <c r="N520" s="472"/>
      <c r="O520" s="472"/>
      <c r="P520" s="442"/>
      <c r="Q520" s="442"/>
      <c r="R520" s="443"/>
      <c r="S520" s="364"/>
      <c r="Z520" s="609" t="s">
        <v>273</v>
      </c>
      <c r="AA520" s="609" t="s">
        <v>2935</v>
      </c>
      <c r="AE520" s="369" t="s">
        <v>2761</v>
      </c>
    </row>
    <row r="521" spans="1:31" ht="18" hidden="1">
      <c r="A521" s="2712"/>
      <c r="B521" s="371">
        <v>102</v>
      </c>
      <c r="C521" s="371" t="s">
        <v>2791</v>
      </c>
      <c r="D521" s="2714">
        <f t="shared" si="40"/>
        <v>0</v>
      </c>
      <c r="E521" s="2719">
        <v>1</v>
      </c>
      <c r="F521" s="294"/>
      <c r="G521" s="319" t="s">
        <v>2792</v>
      </c>
      <c r="H521" s="309"/>
      <c r="I521" s="309"/>
      <c r="J521" s="360" t="str">
        <f t="shared" si="41"/>
        <v/>
      </c>
      <c r="K521" s="388"/>
      <c r="L521" s="472"/>
      <c r="M521" s="472"/>
      <c r="N521" s="472"/>
      <c r="O521" s="472"/>
      <c r="P521" s="442"/>
      <c r="Q521" s="442"/>
      <c r="R521" s="443"/>
      <c r="S521" s="364"/>
      <c r="Z521" s="609" t="s">
        <v>273</v>
      </c>
      <c r="AA521" s="609" t="s">
        <v>2935</v>
      </c>
      <c r="AE521" s="369" t="s">
        <v>2761</v>
      </c>
    </row>
    <row r="522" spans="1:31" ht="18" hidden="1">
      <c r="A522" s="2712"/>
      <c r="B522" s="371">
        <v>103</v>
      </c>
      <c r="C522" s="371" t="s">
        <v>2791</v>
      </c>
      <c r="D522" s="2714">
        <f t="shared" si="40"/>
        <v>0</v>
      </c>
      <c r="E522" s="2719">
        <v>1</v>
      </c>
      <c r="F522" s="294"/>
      <c r="G522" s="319" t="s">
        <v>2792</v>
      </c>
      <c r="H522" s="309"/>
      <c r="I522" s="309"/>
      <c r="J522" s="360" t="str">
        <f t="shared" si="41"/>
        <v/>
      </c>
      <c r="K522" s="388"/>
      <c r="L522" s="472"/>
      <c r="M522" s="472"/>
      <c r="N522" s="472"/>
      <c r="O522" s="472"/>
      <c r="P522" s="442"/>
      <c r="Q522" s="442"/>
      <c r="R522" s="443"/>
      <c r="S522" s="364"/>
      <c r="Z522" s="609" t="s">
        <v>273</v>
      </c>
      <c r="AA522" s="609" t="s">
        <v>2935</v>
      </c>
      <c r="AE522" s="369" t="s">
        <v>2761</v>
      </c>
    </row>
    <row r="523" spans="1:31" ht="18" hidden="1">
      <c r="A523" s="2712"/>
      <c r="B523" s="371">
        <v>104</v>
      </c>
      <c r="C523" s="371" t="s">
        <v>2791</v>
      </c>
      <c r="D523" s="2714">
        <f t="shared" si="40"/>
        <v>0</v>
      </c>
      <c r="E523" s="2719">
        <v>1</v>
      </c>
      <c r="F523" s="294"/>
      <c r="G523" s="319" t="s">
        <v>2792</v>
      </c>
      <c r="H523" s="309"/>
      <c r="I523" s="309"/>
      <c r="J523" s="360" t="str">
        <f t="shared" si="41"/>
        <v/>
      </c>
      <c r="K523" s="388"/>
      <c r="L523" s="472"/>
      <c r="M523" s="472"/>
      <c r="N523" s="472"/>
      <c r="O523" s="472"/>
      <c r="P523" s="442"/>
      <c r="Q523" s="442"/>
      <c r="R523" s="443"/>
      <c r="S523" s="364"/>
      <c r="Z523" s="609" t="s">
        <v>273</v>
      </c>
      <c r="AA523" s="609" t="s">
        <v>2935</v>
      </c>
      <c r="AE523" s="369" t="s">
        <v>2761</v>
      </c>
    </row>
    <row r="524" spans="1:31" ht="18" hidden="1">
      <c r="A524" s="2712"/>
      <c r="B524" s="371">
        <v>105</v>
      </c>
      <c r="C524" s="371" t="s">
        <v>2791</v>
      </c>
      <c r="D524" s="2714">
        <f t="shared" si="40"/>
        <v>0</v>
      </c>
      <c r="E524" s="2719">
        <v>1</v>
      </c>
      <c r="F524" s="294"/>
      <c r="G524" s="319" t="s">
        <v>2792</v>
      </c>
      <c r="H524" s="309"/>
      <c r="I524" s="309"/>
      <c r="J524" s="360" t="str">
        <f t="shared" si="41"/>
        <v/>
      </c>
      <c r="K524" s="388"/>
      <c r="L524" s="472"/>
      <c r="M524" s="472"/>
      <c r="N524" s="472"/>
      <c r="O524" s="472"/>
      <c r="P524" s="442"/>
      <c r="Q524" s="442"/>
      <c r="R524" s="443"/>
      <c r="S524" s="364"/>
      <c r="Z524" s="609" t="s">
        <v>273</v>
      </c>
      <c r="AA524" s="609" t="s">
        <v>2935</v>
      </c>
      <c r="AE524" s="369" t="s">
        <v>2761</v>
      </c>
    </row>
    <row r="525" spans="1:31" ht="18" hidden="1">
      <c r="A525" s="2712"/>
      <c r="B525" s="371">
        <v>106</v>
      </c>
      <c r="C525" s="371" t="s">
        <v>2791</v>
      </c>
      <c r="D525" s="2714">
        <f t="shared" si="40"/>
        <v>0</v>
      </c>
      <c r="E525" s="2719">
        <v>1</v>
      </c>
      <c r="F525" s="294"/>
      <c r="G525" s="319" t="s">
        <v>2792</v>
      </c>
      <c r="H525" s="309"/>
      <c r="I525" s="309"/>
      <c r="J525" s="360" t="str">
        <f t="shared" ref="J525" si="42">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2"/>
      <c r="B526" s="371"/>
      <c r="C526" s="371"/>
      <c r="D526" s="2714">
        <f t="shared" si="40"/>
        <v>1</v>
      </c>
      <c r="E526" s="2719" t="s">
        <v>2751</v>
      </c>
      <c r="F526" s="294"/>
      <c r="G526" s="310" t="s">
        <v>2752</v>
      </c>
      <c r="H526" s="311">
        <f>SUMPRODUCT($E519:$E525,H519:H525)</f>
        <v>0</v>
      </c>
      <c r="I526" s="311">
        <f>SUMPRODUCT($E519:$E525,I519:I525)</f>
        <v>0</v>
      </c>
      <c r="J526" s="466" t="str">
        <f t="shared" si="41"/>
        <v/>
      </c>
      <c r="K526" s="447"/>
      <c r="L526" s="472"/>
      <c r="M526" s="472"/>
      <c r="N526" s="472"/>
      <c r="O526" s="472"/>
      <c r="P526" s="442"/>
      <c r="Q526" s="442"/>
      <c r="R526" s="443"/>
      <c r="S526" s="364"/>
      <c r="Z526" s="609" t="s">
        <v>273</v>
      </c>
      <c r="AA526" s="609" t="s">
        <v>2935</v>
      </c>
      <c r="AE526" s="369" t="s">
        <v>2761</v>
      </c>
    </row>
    <row r="527" spans="1:31" ht="18.75" hidden="1" thickBot="1">
      <c r="A527" s="2712"/>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thickTop="1">
      <c r="A528" s="2712"/>
      <c r="B528" s="371"/>
      <c r="C528" s="371" t="s">
        <v>2565</v>
      </c>
      <c r="D528" s="371"/>
      <c r="F528" s="294"/>
      <c r="G528" s="1559" t="s">
        <v>5365</v>
      </c>
      <c r="H528" s="1548" t="str">
        <f>G485</f>
        <v>(1)应收账款按种类列示</v>
      </c>
      <c r="I528" s="1550"/>
      <c r="J528" s="1549"/>
      <c r="K528" s="1549"/>
      <c r="L528" s="1551" t="s">
        <v>5366</v>
      </c>
      <c r="M528" s="472"/>
      <c r="N528" s="472"/>
      <c r="O528" s="472"/>
      <c r="P528" s="442"/>
      <c r="Q528" s="442"/>
      <c r="R528" s="442"/>
      <c r="S528" s="364"/>
      <c r="Z528" s="609" t="s">
        <v>273</v>
      </c>
      <c r="AA528" s="609" t="s">
        <v>2935</v>
      </c>
    </row>
    <row r="529" spans="1:31" ht="24">
      <c r="A529" s="2712"/>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8">
      <c r="A530" s="2712"/>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8.75" thickBot="1">
      <c r="A531" s="2712"/>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8.75" thickTop="1">
      <c r="A532" s="2712"/>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8">
      <c r="A533" s="2712"/>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8.75" thickBot="1">
      <c r="A534" s="2712"/>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4" hidden="1">
      <c r="A535" s="2712" t="s">
        <v>328</v>
      </c>
      <c r="B535" s="371">
        <v>3</v>
      </c>
      <c r="C535" s="371"/>
      <c r="D535" s="2714" t="str">
        <f>VLOOKUP($A535,Sheet_NoteList,2,0)</f>
        <v>组合中按账龄分析法计提坏账准备的应收账款</v>
      </c>
      <c r="E535" s="2714" t="s">
        <v>6606</v>
      </c>
      <c r="F535" s="294"/>
      <c r="G535" s="372" t="str">
        <f>"("&amp;B535&amp;")"&amp;D535</f>
        <v>(3)组合中按账龄分析法计提坏账准备的应收账款</v>
      </c>
      <c r="H535" s="1515" t="str">
        <f>$A535</f>
        <v>1122d</v>
      </c>
      <c r="I535" s="343" t="s">
        <v>6614</v>
      </c>
      <c r="J535" s="301" t="s">
        <v>6613</v>
      </c>
      <c r="K535" s="344"/>
      <c r="L535" s="345"/>
      <c r="M535" s="301" t="s">
        <v>6616</v>
      </c>
      <c r="N535" s="344">
        <f>Q550</f>
        <v>0</v>
      </c>
      <c r="O535" s="345"/>
      <c r="P535" s="301"/>
      <c r="Q535" s="290" t="str">
        <f>IF($I535="不适用","",IF(ROUND(SUM($H$540:$Q$550),2)=0,"请输入",""))</f>
        <v/>
      </c>
      <c r="S535" s="364"/>
      <c r="Z535" s="609" t="s">
        <v>273</v>
      </c>
      <c r="AA535" s="609" t="s">
        <v>2935</v>
      </c>
      <c r="AE535" s="369" t="s">
        <v>2761</v>
      </c>
    </row>
    <row r="536" spans="1:31" ht="0.75" hidden="1" customHeight="1">
      <c r="A536" s="2712"/>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2"/>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2"/>
      <c r="B538" s="371"/>
      <c r="C538" s="371"/>
      <c r="D538" s="371"/>
      <c r="E538" s="2714" t="s">
        <v>2749</v>
      </c>
      <c r="F538" s="294"/>
      <c r="G538" s="3502" t="s">
        <v>3005</v>
      </c>
      <c r="H538" s="3497" t="str">
        <f>$V$2</f>
        <v>2019年12月31日</v>
      </c>
      <c r="I538" s="3498"/>
      <c r="J538" s="3499"/>
      <c r="K538" s="424" t="s">
        <v>5988</v>
      </c>
      <c r="L538" s="477"/>
      <c r="M538" s="1573"/>
      <c r="N538" s="1573"/>
      <c r="O538" s="1573"/>
      <c r="P538" s="1573"/>
      <c r="Q538" s="1573"/>
      <c r="R538" s="443"/>
      <c r="S538" s="364"/>
      <c r="Z538" s="609" t="s">
        <v>273</v>
      </c>
      <c r="AA538" s="609" t="s">
        <v>2935</v>
      </c>
      <c r="AE538" s="369" t="s">
        <v>2761</v>
      </c>
    </row>
    <row r="539" spans="1:31" ht="18" hidden="1">
      <c r="A539" s="2712"/>
      <c r="B539" s="371"/>
      <c r="C539" s="371"/>
      <c r="D539" s="371"/>
      <c r="E539" s="2714" t="s">
        <v>2749</v>
      </c>
      <c r="F539" s="294"/>
      <c r="G539" s="3503"/>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2"/>
      <c r="B540" s="371">
        <v>101</v>
      </c>
      <c r="C540" s="371"/>
      <c r="D540" s="2714">
        <f t="shared" ref="D540:D550" si="43">IF(OR(G540="*",G540="",G540=0),0,COUNTIF($G$540:$G$550,G540))</f>
        <v>1</v>
      </c>
      <c r="E540" s="2719" t="s">
        <v>6532</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2"/>
      <c r="B541" s="371">
        <v>101.001</v>
      </c>
      <c r="C541" s="371" t="s">
        <v>2791</v>
      </c>
      <c r="D541" s="2714">
        <f t="shared" si="43"/>
        <v>1</v>
      </c>
      <c r="E541" s="2719" t="s">
        <v>2937</v>
      </c>
      <c r="F541" s="294"/>
      <c r="G541" s="1458" t="s">
        <v>5137</v>
      </c>
      <c r="H541" s="309"/>
      <c r="I541" s="309"/>
      <c r="J541" s="388"/>
      <c r="K541" s="355" t="s">
        <v>5131</v>
      </c>
      <c r="L541" s="438"/>
      <c r="M541" s="438"/>
      <c r="N541" s="437"/>
      <c r="O541" s="438"/>
      <c r="P541" s="437"/>
      <c r="Q541" s="438"/>
      <c r="R541" s="443"/>
      <c r="S541" s="364"/>
      <c r="Z541" s="609" t="s">
        <v>273</v>
      </c>
      <c r="AA541" s="609" t="s">
        <v>2935</v>
      </c>
      <c r="AE541" s="369" t="s">
        <v>2761</v>
      </c>
    </row>
    <row r="542" spans="1:31" ht="18" hidden="1">
      <c r="A542" s="2712"/>
      <c r="B542" s="371">
        <v>101.002</v>
      </c>
      <c r="C542" s="371" t="s">
        <v>2791</v>
      </c>
      <c r="D542" s="2714">
        <f t="shared" si="43"/>
        <v>0</v>
      </c>
      <c r="E542" s="2719"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2"/>
      <c r="B543" s="371">
        <v>101.999</v>
      </c>
      <c r="C543" s="371" t="s">
        <v>2793</v>
      </c>
      <c r="D543" s="2714">
        <f t="shared" si="43"/>
        <v>1</v>
      </c>
      <c r="E543" s="2719">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2"/>
      <c r="B544" s="371">
        <v>102</v>
      </c>
      <c r="C544" s="371"/>
      <c r="D544" s="2714">
        <f t="shared" si="43"/>
        <v>1</v>
      </c>
      <c r="E544" s="2719">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2"/>
      <c r="B545" s="371">
        <v>103</v>
      </c>
      <c r="C545" s="371"/>
      <c r="D545" s="2714">
        <f t="shared" si="43"/>
        <v>1</v>
      </c>
      <c r="E545" s="2719">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2"/>
      <c r="B546" s="371">
        <v>104</v>
      </c>
      <c r="C546" s="371" t="s">
        <v>2791</v>
      </c>
      <c r="D546" s="2714">
        <f t="shared" si="43"/>
        <v>1</v>
      </c>
      <c r="E546" s="2719">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2"/>
      <c r="B547" s="371">
        <v>105</v>
      </c>
      <c r="C547" s="371" t="s">
        <v>2791</v>
      </c>
      <c r="D547" s="2714">
        <f t="shared" si="43"/>
        <v>1</v>
      </c>
      <c r="E547" s="2719">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2"/>
      <c r="B548" s="371">
        <v>106</v>
      </c>
      <c r="C548" s="371" t="s">
        <v>2791</v>
      </c>
      <c r="D548" s="2714">
        <f t="shared" si="43"/>
        <v>1</v>
      </c>
      <c r="E548" s="2719">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107</v>
      </c>
      <c r="C549" s="371" t="s">
        <v>2791</v>
      </c>
      <c r="D549" s="2714">
        <f t="shared" si="43"/>
        <v>0</v>
      </c>
      <c r="E549" s="2719">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2"/>
      <c r="B550" s="371"/>
      <c r="C550" s="371"/>
      <c r="D550" s="2714">
        <f t="shared" si="43"/>
        <v>1</v>
      </c>
      <c r="E550" s="2719"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75" hidden="1" thickBot="1">
      <c r="A551" s="2712"/>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thickTop="1">
      <c r="A552" s="2712"/>
      <c r="B552" s="371"/>
      <c r="C552" s="371" t="s">
        <v>2565</v>
      </c>
      <c r="D552" s="371"/>
      <c r="F552" s="294"/>
      <c r="G552" s="1559" t="s">
        <v>5365</v>
      </c>
      <c r="H552" s="1548" t="str">
        <f>G485</f>
        <v>(1)应收账款按种类列示</v>
      </c>
      <c r="I552" s="1550"/>
      <c r="J552" s="1549"/>
      <c r="K552" s="1551" t="s">
        <v>5366</v>
      </c>
      <c r="L552" s="486"/>
      <c r="M552" s="486"/>
      <c r="N552" s="427"/>
      <c r="O552" s="486"/>
      <c r="P552" s="427"/>
      <c r="Q552" s="486"/>
      <c r="R552" s="442"/>
      <c r="S552" s="364"/>
      <c r="Z552" s="609" t="s">
        <v>273</v>
      </c>
      <c r="AA552" s="609" t="s">
        <v>2935</v>
      </c>
    </row>
    <row r="553" spans="1:31" ht="18">
      <c r="A553" s="2712"/>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8">
      <c r="A554" s="2712"/>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8.75" thickBot="1">
      <c r="A555" s="2712"/>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8.75" thickTop="1">
      <c r="A556" s="2712"/>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8">
      <c r="A557" s="2712"/>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8">
      <c r="A558" s="2712"/>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4" hidden="1">
      <c r="A559" s="2712" t="s">
        <v>399</v>
      </c>
      <c r="B559" s="371">
        <v>4</v>
      </c>
      <c r="C559" s="371"/>
      <c r="D559" s="2714" t="str">
        <f>VLOOKUP($A559,Sheet_NoteList,2,0)</f>
        <v>组合中采用余额百分比法计提坏账准备的应收账款</v>
      </c>
      <c r="E559" s="2714" t="s">
        <v>6620</v>
      </c>
      <c r="F559" s="294"/>
      <c r="G559" s="372" t="str">
        <f>"("&amp;B559&amp;")"&amp;D559</f>
        <v>(4)组合中采用余额百分比法计提坏账准备的应收账款</v>
      </c>
      <c r="H559" s="1515" t="str">
        <f>$A559</f>
        <v>1122e</v>
      </c>
      <c r="I559" s="343" t="s">
        <v>6614</v>
      </c>
      <c r="J559" s="301" t="s">
        <v>6612</v>
      </c>
      <c r="K559" s="344">
        <f>H567-I567</f>
        <v>0</v>
      </c>
      <c r="L559" s="345" t="str">
        <f>IF($I559="适用",IF(ROUND(K316-K559,2)&gt;=0,"","#Logical!"),"#N/A")</f>
        <v>#N/A</v>
      </c>
      <c r="M559" s="301" t="s">
        <v>6613</v>
      </c>
      <c r="N559" s="423"/>
      <c r="O559" s="345" t="str">
        <f>IF(ROUND(N498-N559,2)&gt;=0,"","#Logical!")</f>
        <v/>
      </c>
      <c r="P559" s="301"/>
      <c r="Q559" s="497"/>
      <c r="S559" s="364"/>
      <c r="Z559" s="609" t="s">
        <v>273</v>
      </c>
      <c r="AA559" s="609" t="s">
        <v>2935</v>
      </c>
      <c r="AE559" s="369" t="s">
        <v>2761</v>
      </c>
    </row>
    <row r="560" spans="1:31" ht="0.75" hidden="1" customHeight="1" thickBot="1">
      <c r="A560" s="2712"/>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2"/>
      <c r="B561" s="371"/>
      <c r="C561" s="371"/>
      <c r="D561" s="371"/>
      <c r="E561" s="586" t="s">
        <v>2749</v>
      </c>
      <c r="F561" s="363"/>
      <c r="G561" s="2219" t="s">
        <v>3008</v>
      </c>
      <c r="H561" s="2217" t="s">
        <v>2861</v>
      </c>
      <c r="I561" s="2217" t="s">
        <v>2862</v>
      </c>
      <c r="J561" s="2217" t="s">
        <v>3001</v>
      </c>
      <c r="K561" s="2218" t="s">
        <v>2994</v>
      </c>
      <c r="L561" s="424" t="s">
        <v>5988</v>
      </c>
      <c r="M561" s="291"/>
      <c r="N561" s="291"/>
      <c r="O561" s="291"/>
      <c r="Q561" s="497"/>
      <c r="S561" s="364"/>
      <c r="Z561" s="609" t="s">
        <v>273</v>
      </c>
      <c r="AA561" s="609" t="s">
        <v>2935</v>
      </c>
      <c r="AE561" s="369" t="s">
        <v>2761</v>
      </c>
    </row>
    <row r="562" spans="1:31" ht="18" hidden="1">
      <c r="A562" s="2712"/>
      <c r="B562" s="371">
        <v>101</v>
      </c>
      <c r="C562" s="371" t="s">
        <v>2791</v>
      </c>
      <c r="D562" s="2714">
        <f t="shared" ref="D562:D567" si="44">IF(OR(G562="*",G562="",G562=0),0,COUNTIF($G$562:$G$567,G562))</f>
        <v>1</v>
      </c>
      <c r="E562" s="2719">
        <v>1</v>
      </c>
      <c r="F562" s="294"/>
      <c r="G562" s="2220" t="s">
        <v>3009</v>
      </c>
      <c r="H562" s="309"/>
      <c r="I562" s="309"/>
      <c r="J562" s="2263" t="str">
        <f t="shared" ref="J562:J567" si="45">IF(H562*I562=0,"",ROUND(I562*100/H562,2))</f>
        <v/>
      </c>
      <c r="K562" s="1475">
        <f>H562-I562</f>
        <v>0</v>
      </c>
      <c r="L562" s="355" t="s">
        <v>6174</v>
      </c>
      <c r="M562" s="291"/>
      <c r="N562" s="291"/>
      <c r="O562" s="291"/>
      <c r="Q562" s="497"/>
      <c r="S562" s="364"/>
      <c r="Z562" s="609" t="s">
        <v>273</v>
      </c>
      <c r="AA562" s="609" t="s">
        <v>2935</v>
      </c>
      <c r="AE562" s="369" t="s">
        <v>2761</v>
      </c>
    </row>
    <row r="563" spans="1:31" ht="18" hidden="1">
      <c r="A563" s="2712"/>
      <c r="B563" s="371">
        <v>102</v>
      </c>
      <c r="C563" s="371" t="s">
        <v>2791</v>
      </c>
      <c r="D563" s="2714">
        <f t="shared" si="44"/>
        <v>1</v>
      </c>
      <c r="E563" s="2719">
        <v>1</v>
      </c>
      <c r="F563" s="294"/>
      <c r="G563" s="2220" t="s">
        <v>3010</v>
      </c>
      <c r="H563" s="309"/>
      <c r="I563" s="309"/>
      <c r="J563" s="2263" t="str">
        <f t="shared" si="45"/>
        <v/>
      </c>
      <c r="K563" s="1475">
        <f>H563-I563</f>
        <v>0</v>
      </c>
      <c r="M563" s="291"/>
      <c r="N563" s="291"/>
      <c r="O563" s="291"/>
      <c r="Q563" s="497"/>
      <c r="S563" s="364"/>
      <c r="Z563" s="609" t="s">
        <v>273</v>
      </c>
      <c r="AA563" s="609" t="s">
        <v>2935</v>
      </c>
      <c r="AE563" s="369" t="s">
        <v>2761</v>
      </c>
    </row>
    <row r="564" spans="1:31" ht="18" hidden="1">
      <c r="A564" s="2712"/>
      <c r="B564" s="371">
        <v>103</v>
      </c>
      <c r="C564" s="371" t="s">
        <v>2791</v>
      </c>
      <c r="D564" s="2714">
        <f t="shared" si="44"/>
        <v>1</v>
      </c>
      <c r="E564" s="2719">
        <v>1</v>
      </c>
      <c r="F564" s="294"/>
      <c r="G564" s="2220" t="s">
        <v>3011</v>
      </c>
      <c r="H564" s="309"/>
      <c r="I564" s="309"/>
      <c r="J564" s="2263" t="str">
        <f t="shared" si="45"/>
        <v/>
      </c>
      <c r="K564" s="1475">
        <f>H564-I564</f>
        <v>0</v>
      </c>
      <c r="M564" s="291"/>
      <c r="N564" s="291"/>
      <c r="O564" s="291"/>
      <c r="Q564" s="497"/>
      <c r="S564" s="364"/>
      <c r="Z564" s="609" t="s">
        <v>273</v>
      </c>
      <c r="AA564" s="609" t="s">
        <v>2935</v>
      </c>
      <c r="AE564" s="369" t="s">
        <v>2761</v>
      </c>
    </row>
    <row r="565" spans="1:31" ht="18" hidden="1">
      <c r="A565" s="2712"/>
      <c r="B565" s="371">
        <v>104</v>
      </c>
      <c r="C565" s="371" t="s">
        <v>2791</v>
      </c>
      <c r="D565" s="2714">
        <f t="shared" si="44"/>
        <v>1</v>
      </c>
      <c r="E565" s="2719">
        <v>1</v>
      </c>
      <c r="F565" s="294"/>
      <c r="G565" s="2220" t="s">
        <v>3012</v>
      </c>
      <c r="H565" s="309"/>
      <c r="I565" s="309"/>
      <c r="J565" s="2263" t="str">
        <f t="shared" si="45"/>
        <v/>
      </c>
      <c r="K565" s="1475">
        <f>H565-I565</f>
        <v>0</v>
      </c>
      <c r="M565" s="291"/>
      <c r="N565" s="291"/>
      <c r="O565" s="291"/>
      <c r="Q565" s="497"/>
      <c r="S565" s="364"/>
      <c r="Z565" s="609" t="s">
        <v>273</v>
      </c>
      <c r="AA565" s="609" t="s">
        <v>2935</v>
      </c>
      <c r="AE565" s="369" t="s">
        <v>2761</v>
      </c>
    </row>
    <row r="566" spans="1:31" ht="18" hidden="1">
      <c r="A566" s="2712"/>
      <c r="B566" s="371">
        <v>105</v>
      </c>
      <c r="C566" s="371" t="s">
        <v>2791</v>
      </c>
      <c r="D566" s="2714">
        <f t="shared" si="44"/>
        <v>1</v>
      </c>
      <c r="E566" s="2719">
        <v>1</v>
      </c>
      <c r="F566" s="294"/>
      <c r="G566" s="2220" t="s">
        <v>3013</v>
      </c>
      <c r="H566" s="309"/>
      <c r="I566" s="309"/>
      <c r="J566" s="2263" t="str">
        <f t="shared" si="45"/>
        <v/>
      </c>
      <c r="K566" s="1475">
        <f>H566-I566</f>
        <v>0</v>
      </c>
      <c r="M566" s="291"/>
      <c r="N566" s="291"/>
      <c r="O566" s="291"/>
      <c r="Q566" s="497"/>
      <c r="S566" s="364"/>
      <c r="Z566" s="609" t="s">
        <v>273</v>
      </c>
      <c r="AA566" s="609" t="s">
        <v>2935</v>
      </c>
      <c r="AE566" s="369" t="s">
        <v>2761</v>
      </c>
    </row>
    <row r="567" spans="1:31" ht="18.75" hidden="1" thickBot="1">
      <c r="A567" s="2712"/>
      <c r="B567" s="371"/>
      <c r="C567" s="371"/>
      <c r="D567" s="2714">
        <f t="shared" si="44"/>
        <v>1</v>
      </c>
      <c r="E567" s="2719" t="s">
        <v>2751</v>
      </c>
      <c r="F567" s="294"/>
      <c r="G567" s="1527" t="s">
        <v>2752</v>
      </c>
      <c r="H567" s="1525">
        <f>SUMPRODUCT($E561:$E566,H561:H566)</f>
        <v>0</v>
      </c>
      <c r="I567" s="1525">
        <f>SUMPRODUCT($E561:$E566,I561:I566)</f>
        <v>0</v>
      </c>
      <c r="J567" s="1565" t="str">
        <f t="shared" si="45"/>
        <v/>
      </c>
      <c r="K567" s="1526">
        <f>SUMPRODUCT($E561:$E566,K561:K566)</f>
        <v>0</v>
      </c>
      <c r="M567" s="291"/>
      <c r="N567" s="291"/>
      <c r="O567" s="291"/>
      <c r="Q567" s="497"/>
      <c r="S567" s="364"/>
      <c r="Z567" s="609" t="s">
        <v>273</v>
      </c>
      <c r="AA567" s="609" t="s">
        <v>2935</v>
      </c>
      <c r="AE567" s="369" t="s">
        <v>2761</v>
      </c>
    </row>
    <row r="568" spans="1:31" ht="18" hidden="1">
      <c r="A568" s="2712"/>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2" t="s">
        <v>405</v>
      </c>
      <c r="B569" s="371">
        <v>5</v>
      </c>
      <c r="C569" s="371"/>
      <c r="D569" s="2714" t="str">
        <f>VLOOKUP($A569,Sheet_NoteList,2,0)</f>
        <v>组合中采用其他方法计提坏账准备的应收账款</v>
      </c>
      <c r="E569" s="2714" t="s">
        <v>6611</v>
      </c>
      <c r="F569" s="294"/>
      <c r="G569" s="372" t="str">
        <f>"("&amp;B569&amp;")"&amp;D569</f>
        <v>(5)组合中采用其他方法计提坏账准备的应收账款</v>
      </c>
      <c r="H569" s="1515" t="str">
        <f>$A569</f>
        <v>1122f</v>
      </c>
      <c r="I569" s="343" t="s">
        <v>6614</v>
      </c>
      <c r="J569" s="301" t="s">
        <v>6612</v>
      </c>
      <c r="K569" s="344">
        <f>H577-I577</f>
        <v>0</v>
      </c>
      <c r="L569" s="345" t="str">
        <f>IF($I569="适用",IF(ROUND(K$316-K569,2)&gt;=0,"","#Logical!"),"#N/A")</f>
        <v>#N/A</v>
      </c>
      <c r="M569" s="301" t="s">
        <v>6613</v>
      </c>
      <c r="N569" s="423"/>
      <c r="O569" s="345"/>
      <c r="P569" s="301"/>
      <c r="Q569" s="497"/>
      <c r="S569" s="364"/>
      <c r="Z569" s="609" t="s">
        <v>273</v>
      </c>
      <c r="AA569" s="609" t="s">
        <v>2935</v>
      </c>
      <c r="AE569" s="369" t="s">
        <v>2761</v>
      </c>
    </row>
    <row r="570" spans="1:31" ht="0.75" hidden="1" customHeight="1" thickBot="1">
      <c r="A570" s="2712"/>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2"/>
      <c r="B571" s="371"/>
      <c r="C571" s="371"/>
      <c r="D571" s="371"/>
      <c r="E571" s="586" t="s">
        <v>2749</v>
      </c>
      <c r="F571" s="363"/>
      <c r="G571" s="2219" t="s">
        <v>3008</v>
      </c>
      <c r="H571" s="2217" t="s">
        <v>2861</v>
      </c>
      <c r="I571" s="2217" t="s">
        <v>2862</v>
      </c>
      <c r="J571" s="2217" t="s">
        <v>2994</v>
      </c>
      <c r="K571" s="2217" t="s">
        <v>3001</v>
      </c>
      <c r="L571" s="2218" t="s">
        <v>2899</v>
      </c>
      <c r="M571" s="424" t="s">
        <v>5988</v>
      </c>
      <c r="N571" s="291"/>
      <c r="Q571" s="497"/>
      <c r="S571" s="364"/>
      <c r="Z571" s="609" t="s">
        <v>273</v>
      </c>
      <c r="AA571" s="609" t="s">
        <v>2935</v>
      </c>
      <c r="AE571" s="369" t="s">
        <v>2761</v>
      </c>
    </row>
    <row r="572" spans="1:31" ht="18" hidden="1">
      <c r="A572" s="2712"/>
      <c r="B572" s="371">
        <v>101</v>
      </c>
      <c r="C572" s="371" t="s">
        <v>2791</v>
      </c>
      <c r="D572" s="2714">
        <f t="shared" ref="D572:D577" si="46">IF(OR(G572="*",G572="",G572=0),0,COUNTIF($G$572:$G$577,G572))</f>
        <v>1</v>
      </c>
      <c r="E572" s="2719">
        <v>1</v>
      </c>
      <c r="F572" s="294"/>
      <c r="G572" s="2220" t="s">
        <v>3009</v>
      </c>
      <c r="H572" s="309"/>
      <c r="I572" s="309"/>
      <c r="J572" s="1474">
        <f>H572-I572</f>
        <v>0</v>
      </c>
      <c r="K572" s="2263" t="str">
        <f t="shared" ref="K572:K577" si="47">IF(H572*I572=0,"",ROUND(I572*100/H572,2))</f>
        <v/>
      </c>
      <c r="L572" s="388"/>
      <c r="M572" s="355" t="s">
        <v>6174</v>
      </c>
      <c r="N572" s="291"/>
      <c r="S572" s="364"/>
      <c r="Z572" s="609" t="s">
        <v>273</v>
      </c>
      <c r="AA572" s="609" t="s">
        <v>2935</v>
      </c>
      <c r="AE572" s="369" t="s">
        <v>2761</v>
      </c>
    </row>
    <row r="573" spans="1:31" ht="18" hidden="1">
      <c r="A573" s="2712"/>
      <c r="B573" s="371">
        <v>102</v>
      </c>
      <c r="C573" s="371" t="s">
        <v>2791</v>
      </c>
      <c r="D573" s="2714">
        <f t="shared" si="46"/>
        <v>1</v>
      </c>
      <c r="E573" s="2719">
        <v>1</v>
      </c>
      <c r="F573" s="294"/>
      <c r="G573" s="2220" t="s">
        <v>3010</v>
      </c>
      <c r="H573" s="309"/>
      <c r="I573" s="309"/>
      <c r="J573" s="1474">
        <f>H573-I573</f>
        <v>0</v>
      </c>
      <c r="K573" s="2263" t="str">
        <f t="shared" si="47"/>
        <v/>
      </c>
      <c r="L573" s="388"/>
      <c r="M573" s="355" t="s">
        <v>3018</v>
      </c>
      <c r="N573" s="291"/>
      <c r="S573" s="364"/>
      <c r="Z573" s="609" t="s">
        <v>273</v>
      </c>
      <c r="AA573" s="609" t="s">
        <v>2935</v>
      </c>
      <c r="AE573" s="369" t="s">
        <v>2761</v>
      </c>
    </row>
    <row r="574" spans="1:31" ht="18" hidden="1">
      <c r="A574" s="2712"/>
      <c r="B574" s="371">
        <v>103</v>
      </c>
      <c r="C574" s="371" t="s">
        <v>2791</v>
      </c>
      <c r="D574" s="2714">
        <f t="shared" si="46"/>
        <v>1</v>
      </c>
      <c r="E574" s="2719">
        <v>1</v>
      </c>
      <c r="F574" s="294"/>
      <c r="G574" s="2220" t="s">
        <v>3011</v>
      </c>
      <c r="H574" s="309"/>
      <c r="I574" s="309"/>
      <c r="J574" s="1474">
        <f>H574-I574</f>
        <v>0</v>
      </c>
      <c r="K574" s="2263" t="str">
        <f t="shared" si="47"/>
        <v/>
      </c>
      <c r="L574" s="388"/>
      <c r="M574" s="291"/>
      <c r="N574" s="291"/>
      <c r="S574" s="364"/>
      <c r="Z574" s="609" t="s">
        <v>273</v>
      </c>
      <c r="AA574" s="609" t="s">
        <v>2935</v>
      </c>
      <c r="AE574" s="369" t="s">
        <v>2761</v>
      </c>
    </row>
    <row r="575" spans="1:31" ht="18" hidden="1">
      <c r="A575" s="2712"/>
      <c r="B575" s="371">
        <v>104</v>
      </c>
      <c r="C575" s="371" t="s">
        <v>2791</v>
      </c>
      <c r="D575" s="2714">
        <f t="shared" si="46"/>
        <v>1</v>
      </c>
      <c r="E575" s="2719">
        <v>1</v>
      </c>
      <c r="F575" s="294"/>
      <c r="G575" s="2220" t="s">
        <v>3012</v>
      </c>
      <c r="H575" s="309"/>
      <c r="I575" s="309"/>
      <c r="J575" s="1474">
        <f>H575-I575</f>
        <v>0</v>
      </c>
      <c r="K575" s="2263" t="str">
        <f t="shared" si="47"/>
        <v/>
      </c>
      <c r="L575" s="388"/>
      <c r="M575" s="291"/>
      <c r="N575" s="291"/>
      <c r="S575" s="364"/>
      <c r="Z575" s="609" t="s">
        <v>273</v>
      </c>
      <c r="AA575" s="609" t="s">
        <v>2935</v>
      </c>
      <c r="AE575" s="369" t="s">
        <v>2761</v>
      </c>
    </row>
    <row r="576" spans="1:31" ht="18" hidden="1">
      <c r="A576" s="2712"/>
      <c r="B576" s="371">
        <v>105</v>
      </c>
      <c r="C576" s="371" t="s">
        <v>2791</v>
      </c>
      <c r="D576" s="2714">
        <f t="shared" si="46"/>
        <v>1</v>
      </c>
      <c r="E576" s="2719">
        <v>1</v>
      </c>
      <c r="F576" s="294"/>
      <c r="G576" s="2220" t="s">
        <v>3013</v>
      </c>
      <c r="H576" s="309"/>
      <c r="I576" s="309"/>
      <c r="J576" s="1474">
        <f>H576-I576</f>
        <v>0</v>
      </c>
      <c r="K576" s="2263" t="str">
        <f t="shared" si="47"/>
        <v/>
      </c>
      <c r="L576" s="388"/>
      <c r="M576" s="291"/>
      <c r="N576" s="291"/>
      <c r="S576" s="364"/>
      <c r="Z576" s="609" t="s">
        <v>273</v>
      </c>
      <c r="AA576" s="609" t="s">
        <v>2935</v>
      </c>
      <c r="AE576" s="369" t="s">
        <v>2761</v>
      </c>
    </row>
    <row r="577" spans="1:31" ht="18.75" hidden="1" thickBot="1">
      <c r="A577" s="2712"/>
      <c r="B577" s="371"/>
      <c r="C577" s="371"/>
      <c r="D577" s="2714">
        <f t="shared" si="46"/>
        <v>1</v>
      </c>
      <c r="E577" s="2719" t="s">
        <v>2751</v>
      </c>
      <c r="F577" s="294"/>
      <c r="G577" s="1527" t="s">
        <v>2752</v>
      </c>
      <c r="H577" s="1525">
        <f>SUMPRODUCT($E571:$E576,H571:H576)</f>
        <v>0</v>
      </c>
      <c r="I577" s="1525">
        <f>SUMPRODUCT($E571:$E576,I571:I576)</f>
        <v>0</v>
      </c>
      <c r="J577" s="1525">
        <f>SUMPRODUCT($E571:$E576,J571:J576)</f>
        <v>0</v>
      </c>
      <c r="K577" s="1565" t="str">
        <f t="shared" si="47"/>
        <v/>
      </c>
      <c r="L577" s="2264"/>
      <c r="M577" s="291"/>
      <c r="N577" s="291"/>
      <c r="S577" s="364"/>
      <c r="Z577" s="609" t="s">
        <v>273</v>
      </c>
      <c r="AA577" s="609" t="s">
        <v>2935</v>
      </c>
      <c r="AE577" s="369" t="s">
        <v>2761</v>
      </c>
    </row>
    <row r="578" spans="1:31" ht="18" hidden="1">
      <c r="A578" s="2712"/>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2" t="s">
        <v>335</v>
      </c>
      <c r="B579" s="371">
        <v>3</v>
      </c>
      <c r="C579" s="371"/>
      <c r="D579" s="2714" t="str">
        <f>VLOOKUP($A579,Sheet_NoteList,2,0)</f>
        <v>本期应收账款坏账准备的变动情况</v>
      </c>
      <c r="E579" s="2714" t="s">
        <v>2742</v>
      </c>
      <c r="F579" s="293"/>
      <c r="G579" s="372" t="str">
        <f>"("&amp;B579&amp;")"&amp;D579</f>
        <v>(3)本期应收账款坏账准备的变动情况</v>
      </c>
      <c r="H579" s="1515" t="str">
        <f>$A579</f>
        <v>1122u</v>
      </c>
      <c r="I579" s="343" t="s">
        <v>2743</v>
      </c>
      <c r="J579" s="301" t="s">
        <v>2744</v>
      </c>
      <c r="K579" s="2208">
        <f>N592</f>
        <v>0</v>
      </c>
      <c r="L579" s="349"/>
      <c r="M579" s="301" t="s">
        <v>2745</v>
      </c>
      <c r="N579" s="2208">
        <f>H592</f>
        <v>0</v>
      </c>
      <c r="O579" s="349"/>
      <c r="P579" s="301"/>
      <c r="S579" s="364"/>
      <c r="Z579" s="609" t="s">
        <v>273</v>
      </c>
      <c r="AA579" s="609" t="s">
        <v>2935</v>
      </c>
    </row>
    <row r="580" spans="1:31" ht="0.75" customHeight="1">
      <c r="A580" s="2712"/>
      <c r="B580" s="371"/>
      <c r="C580" s="371"/>
      <c r="D580" s="2714"/>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2"/>
      <c r="B581" s="371"/>
      <c r="C581" s="371"/>
      <c r="D581" s="2714"/>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2"/>
      <c r="B582" s="371"/>
      <c r="C582" s="371"/>
      <c r="D582" s="2714"/>
      <c r="E582" s="586" t="s">
        <v>2749</v>
      </c>
      <c r="F582" s="414"/>
      <c r="G582" s="3462" t="s">
        <v>5133</v>
      </c>
      <c r="H582" s="3493" t="str">
        <f>$V$3</f>
        <v>2018年12月31日</v>
      </c>
      <c r="I582" s="3466" t="s">
        <v>5207</v>
      </c>
      <c r="J582" s="3493" t="str">
        <f>$X$3</f>
        <v>2019年1月1日</v>
      </c>
      <c r="K582" s="3496" t="s">
        <v>2919</v>
      </c>
      <c r="L582" s="3496"/>
      <c r="M582" s="3496"/>
      <c r="N582" s="3582" t="str">
        <f>$V$2</f>
        <v>2019年12月31日</v>
      </c>
      <c r="O582" s="355" t="s">
        <v>5268</v>
      </c>
      <c r="P582" s="433"/>
      <c r="Q582" s="442"/>
      <c r="R582" s="443"/>
      <c r="S582" s="364"/>
      <c r="Z582" s="609" t="s">
        <v>273</v>
      </c>
      <c r="AA582" s="609" t="s">
        <v>2935</v>
      </c>
    </row>
    <row r="583" spans="1:31" ht="18">
      <c r="A583" s="2712"/>
      <c r="B583" s="371"/>
      <c r="C583" s="371"/>
      <c r="D583" s="2714"/>
      <c r="E583" s="586" t="s">
        <v>2749</v>
      </c>
      <c r="F583" s="414"/>
      <c r="G583" s="3463"/>
      <c r="H583" s="3467"/>
      <c r="I583" s="3467"/>
      <c r="J583" s="3467"/>
      <c r="K583" s="2237" t="s">
        <v>5208</v>
      </c>
      <c r="L583" s="2237" t="s">
        <v>5209</v>
      </c>
      <c r="M583" s="2235" t="s">
        <v>5210</v>
      </c>
      <c r="N583" s="3475"/>
      <c r="O583" s="434"/>
      <c r="P583" s="435"/>
      <c r="Q583" s="442"/>
      <c r="R583" s="443"/>
      <c r="S583" s="364"/>
      <c r="Z583" s="609" t="s">
        <v>273</v>
      </c>
      <c r="AA583" s="609" t="s">
        <v>2935</v>
      </c>
    </row>
    <row r="584" spans="1:31" ht="18">
      <c r="A584" s="2712"/>
      <c r="B584" s="371">
        <v>101</v>
      </c>
      <c r="C584" s="371" t="s">
        <v>2791</v>
      </c>
      <c r="D584" s="2714">
        <f t="shared" ref="D584:D592" si="48">IF(OR(G584="*",G584="",G584=0),0,COUNTIF($G$584:$G$592,G584))</f>
        <v>0</v>
      </c>
      <c r="E584" s="2719">
        <v>1</v>
      </c>
      <c r="F584" s="293"/>
      <c r="G584" s="2220"/>
      <c r="H584" s="309"/>
      <c r="I584" s="422"/>
      <c r="J584" s="1474">
        <f>SUM(H584:I584)</f>
        <v>0</v>
      </c>
      <c r="K584" s="320"/>
      <c r="L584" s="309"/>
      <c r="M584" s="309"/>
      <c r="N584" s="1475">
        <f>SUM(J584:K584,-L584,-M584)</f>
        <v>0</v>
      </c>
      <c r="O584" s="437"/>
      <c r="P584" s="438"/>
      <c r="Q584" s="442"/>
      <c r="R584" s="443"/>
      <c r="S584" s="364"/>
      <c r="Z584" s="609" t="s">
        <v>273</v>
      </c>
      <c r="AA584" s="609" t="s">
        <v>2935</v>
      </c>
    </row>
    <row r="585" spans="1:31" ht="18">
      <c r="A585" s="2712"/>
      <c r="B585" s="371">
        <v>102</v>
      </c>
      <c r="C585" s="371" t="s">
        <v>2791</v>
      </c>
      <c r="D585" s="2714">
        <f t="shared" si="48"/>
        <v>0</v>
      </c>
      <c r="E585" s="2719">
        <v>1</v>
      </c>
      <c r="F585" s="293"/>
      <c r="G585" s="2220" t="s">
        <v>2792</v>
      </c>
      <c r="H585" s="309"/>
      <c r="I585" s="422"/>
      <c r="J585" s="1474">
        <f t="shared" ref="J585:J591" si="49">SUM(H585:I585)</f>
        <v>0</v>
      </c>
      <c r="K585" s="320"/>
      <c r="L585" s="309"/>
      <c r="M585" s="309"/>
      <c r="N585" s="1475">
        <f t="shared" ref="N585:N591" si="50">SUM(J585:K585,-L585,-M585)</f>
        <v>0</v>
      </c>
      <c r="O585" s="437"/>
      <c r="P585" s="438"/>
      <c r="Q585" s="442"/>
      <c r="R585" s="443"/>
      <c r="S585" s="364"/>
      <c r="Z585" s="609" t="s">
        <v>273</v>
      </c>
      <c r="AA585" s="609" t="s">
        <v>2935</v>
      </c>
    </row>
    <row r="586" spans="1:31" ht="18">
      <c r="A586" s="2712"/>
      <c r="B586" s="371">
        <v>103</v>
      </c>
      <c r="C586" s="371" t="s">
        <v>2791</v>
      </c>
      <c r="D586" s="2714">
        <f t="shared" si="48"/>
        <v>0</v>
      </c>
      <c r="E586" s="2719">
        <v>1</v>
      </c>
      <c r="F586" s="293"/>
      <c r="G586" s="2220" t="s">
        <v>2792</v>
      </c>
      <c r="H586" s="309"/>
      <c r="I586" s="422"/>
      <c r="J586" s="1474">
        <f t="shared" si="49"/>
        <v>0</v>
      </c>
      <c r="K586" s="320"/>
      <c r="L586" s="309"/>
      <c r="M586" s="309"/>
      <c r="N586" s="1475">
        <f t="shared" si="50"/>
        <v>0</v>
      </c>
      <c r="O586" s="437"/>
      <c r="P586" s="438"/>
      <c r="Q586" s="442"/>
      <c r="R586" s="443"/>
      <c r="S586" s="364"/>
      <c r="Z586" s="609" t="s">
        <v>273</v>
      </c>
      <c r="AA586" s="609" t="s">
        <v>2935</v>
      </c>
    </row>
    <row r="587" spans="1:31" ht="18">
      <c r="A587" s="2712"/>
      <c r="B587" s="371">
        <v>104</v>
      </c>
      <c r="C587" s="371" t="s">
        <v>2791</v>
      </c>
      <c r="D587" s="2714">
        <f t="shared" si="48"/>
        <v>0</v>
      </c>
      <c r="E587" s="2719">
        <v>1</v>
      </c>
      <c r="F587" s="293"/>
      <c r="G587" s="2220" t="s">
        <v>2792</v>
      </c>
      <c r="H587" s="309"/>
      <c r="I587" s="422"/>
      <c r="J587" s="1474">
        <f t="shared" si="49"/>
        <v>0</v>
      </c>
      <c r="K587" s="320"/>
      <c r="L587" s="309"/>
      <c r="M587" s="309"/>
      <c r="N587" s="1475">
        <f t="shared" si="50"/>
        <v>0</v>
      </c>
      <c r="O587" s="437"/>
      <c r="P587" s="438"/>
      <c r="Q587" s="442"/>
      <c r="R587" s="443"/>
      <c r="S587" s="364"/>
      <c r="Z587" s="609" t="s">
        <v>273</v>
      </c>
      <c r="AA587" s="609" t="s">
        <v>2935</v>
      </c>
    </row>
    <row r="588" spans="1:31" ht="18">
      <c r="A588" s="2712"/>
      <c r="B588" s="371">
        <v>105</v>
      </c>
      <c r="C588" s="371" t="s">
        <v>2791</v>
      </c>
      <c r="D588" s="2714">
        <f t="shared" si="48"/>
        <v>0</v>
      </c>
      <c r="E588" s="2719">
        <v>1</v>
      </c>
      <c r="F588" s="293"/>
      <c r="G588" s="2220" t="s">
        <v>2792</v>
      </c>
      <c r="H588" s="309"/>
      <c r="I588" s="422"/>
      <c r="J588" s="1474">
        <f t="shared" si="49"/>
        <v>0</v>
      </c>
      <c r="K588" s="320"/>
      <c r="L588" s="309"/>
      <c r="M588" s="309"/>
      <c r="N588" s="1475">
        <f t="shared" si="50"/>
        <v>0</v>
      </c>
      <c r="O588" s="437"/>
      <c r="P588" s="438"/>
      <c r="Q588" s="442"/>
      <c r="R588" s="443"/>
      <c r="S588" s="364"/>
      <c r="Z588" s="609" t="s">
        <v>273</v>
      </c>
      <c r="AA588" s="609" t="s">
        <v>2935</v>
      </c>
    </row>
    <row r="589" spans="1:31" ht="18">
      <c r="A589" s="2712"/>
      <c r="B589" s="371">
        <v>106</v>
      </c>
      <c r="C589" s="371" t="s">
        <v>2791</v>
      </c>
      <c r="D589" s="2714">
        <f t="shared" si="48"/>
        <v>0</v>
      </c>
      <c r="E589" s="2719">
        <v>1</v>
      </c>
      <c r="F589" s="293"/>
      <c r="G589" s="2220" t="s">
        <v>2792</v>
      </c>
      <c r="H589" s="309"/>
      <c r="I589" s="422"/>
      <c r="J589" s="1474">
        <f t="shared" si="49"/>
        <v>0</v>
      </c>
      <c r="K589" s="320"/>
      <c r="L589" s="309"/>
      <c r="M589" s="309"/>
      <c r="N589" s="1475">
        <f t="shared" si="50"/>
        <v>0</v>
      </c>
      <c r="O589" s="437"/>
      <c r="P589" s="438"/>
      <c r="Q589" s="442"/>
      <c r="R589" s="443"/>
      <c r="S589" s="364"/>
      <c r="Z589" s="609" t="s">
        <v>273</v>
      </c>
      <c r="AA589" s="609" t="s">
        <v>2935</v>
      </c>
    </row>
    <row r="590" spans="1:31" ht="18">
      <c r="A590" s="2712"/>
      <c r="B590" s="371">
        <v>107</v>
      </c>
      <c r="C590" s="371" t="s">
        <v>2791</v>
      </c>
      <c r="D590" s="2714">
        <f t="shared" si="48"/>
        <v>0</v>
      </c>
      <c r="E590" s="2719">
        <v>1</v>
      </c>
      <c r="F590" s="293"/>
      <c r="G590" s="2220" t="s">
        <v>2792</v>
      </c>
      <c r="H590" s="309"/>
      <c r="I590" s="422"/>
      <c r="J590" s="1474">
        <f t="shared" si="49"/>
        <v>0</v>
      </c>
      <c r="K590" s="320"/>
      <c r="L590" s="309"/>
      <c r="M590" s="309"/>
      <c r="N590" s="1475">
        <f t="shared" si="50"/>
        <v>0</v>
      </c>
      <c r="O590" s="437"/>
      <c r="P590" s="438"/>
      <c r="Q590" s="442"/>
      <c r="R590" s="443"/>
      <c r="S590" s="364"/>
      <c r="Z590" s="609" t="s">
        <v>273</v>
      </c>
      <c r="AA590" s="609" t="s">
        <v>2935</v>
      </c>
    </row>
    <row r="591" spans="1:31" ht="18">
      <c r="A591" s="2712"/>
      <c r="B591" s="371">
        <v>108</v>
      </c>
      <c r="C591" s="371" t="s">
        <v>2791</v>
      </c>
      <c r="D591" s="2714">
        <f t="shared" si="48"/>
        <v>0</v>
      </c>
      <c r="E591" s="2719">
        <v>1</v>
      </c>
      <c r="F591" s="293"/>
      <c r="G591" s="2220" t="s">
        <v>2792</v>
      </c>
      <c r="H591" s="309"/>
      <c r="I591" s="422"/>
      <c r="J591" s="1474">
        <f t="shared" si="49"/>
        <v>0</v>
      </c>
      <c r="K591" s="320"/>
      <c r="L591" s="309"/>
      <c r="M591" s="309"/>
      <c r="N591" s="1475">
        <f t="shared" si="50"/>
        <v>0</v>
      </c>
      <c r="O591" s="437"/>
      <c r="P591" s="438"/>
      <c r="Q591" s="442"/>
      <c r="R591" s="443"/>
      <c r="S591" s="364"/>
      <c r="Z591" s="609" t="s">
        <v>273</v>
      </c>
      <c r="AA591" s="609" t="s">
        <v>2935</v>
      </c>
    </row>
    <row r="592" spans="1:31" ht="18.75" thickBot="1">
      <c r="A592" s="2712"/>
      <c r="B592" s="371"/>
      <c r="C592" s="371"/>
      <c r="D592" s="2714">
        <f t="shared" si="48"/>
        <v>1</v>
      </c>
      <c r="E592" s="2719" t="s">
        <v>2751</v>
      </c>
      <c r="F592" s="293"/>
      <c r="G592" s="2232" t="s">
        <v>5139</v>
      </c>
      <c r="H592" s="2233">
        <f t="shared" ref="H592:N592" si="51">SUMPRODUCT($E583:$E591,H583:H591)</f>
        <v>0</v>
      </c>
      <c r="I592" s="2233">
        <f t="shared" si="51"/>
        <v>0</v>
      </c>
      <c r="J592" s="2233">
        <f t="shared" si="51"/>
        <v>0</v>
      </c>
      <c r="K592" s="2233">
        <f t="shared" si="51"/>
        <v>0</v>
      </c>
      <c r="L592" s="2233">
        <f t="shared" si="51"/>
        <v>0</v>
      </c>
      <c r="M592" s="2233">
        <f t="shared" si="51"/>
        <v>0</v>
      </c>
      <c r="N592" s="2234">
        <f t="shared" si="51"/>
        <v>0</v>
      </c>
      <c r="O592" s="437"/>
      <c r="P592" s="440"/>
      <c r="Q592" s="442"/>
      <c r="R592" s="443"/>
      <c r="S592" s="364"/>
      <c r="Z592" s="609" t="s">
        <v>273</v>
      </c>
      <c r="AA592" s="609" t="s">
        <v>2935</v>
      </c>
    </row>
    <row r="593" spans="1:27" ht="18.75" thickBot="1">
      <c r="A593" s="2712"/>
      <c r="B593" s="371"/>
      <c r="C593" s="371" t="s">
        <v>2755</v>
      </c>
      <c r="D593" s="2714"/>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8.75" thickTop="1">
      <c r="A594" s="2712"/>
      <c r="B594" s="371"/>
      <c r="C594" s="371" t="s">
        <v>2565</v>
      </c>
      <c r="D594" s="2714"/>
      <c r="F594" s="293"/>
      <c r="G594" s="1547" t="s">
        <v>5365</v>
      </c>
      <c r="H594" s="1548" t="str">
        <f>G317</f>
        <v>(1)应收账款按账龄披露</v>
      </c>
      <c r="I594" s="1549"/>
      <c r="J594" s="1549"/>
      <c r="K594" s="1549"/>
      <c r="L594" s="1549"/>
      <c r="M594" s="1549"/>
      <c r="N594" s="1550"/>
      <c r="O594" s="1551" t="s">
        <v>5366</v>
      </c>
      <c r="P594" s="425"/>
      <c r="Q594" s="442"/>
      <c r="R594" s="442"/>
      <c r="S594" s="364"/>
      <c r="Z594" s="609" t="s">
        <v>273</v>
      </c>
      <c r="AA594" s="609" t="s">
        <v>2935</v>
      </c>
    </row>
    <row r="595" spans="1:27" ht="18">
      <c r="A595" s="2712"/>
      <c r="B595" s="371"/>
      <c r="C595" s="371" t="s">
        <v>2565</v>
      </c>
      <c r="D595" s="2714"/>
      <c r="F595" s="293"/>
      <c r="G595" s="604" t="str">
        <f>"注释A:"&amp; G331</f>
        <v>注释A:减：坏账准备</v>
      </c>
      <c r="H595" s="2250">
        <f ca="1">HYPERLINK("#'"&amp;$G$1&amp;"'!"&amp;ADDRESS(ROW(Notes!I331),COLUMN(Notes!I331),4),I331)</f>
        <v>6754713.7300000004</v>
      </c>
      <c r="I595" s="351"/>
      <c r="J595" s="351"/>
      <c r="K595" s="351"/>
      <c r="L595" s="351"/>
      <c r="M595" s="351"/>
      <c r="N595" s="2250">
        <f ca="1">HYPERLINK("#'"&amp;$G$1&amp;"'!"&amp;ADDRESS(ROW(Notes!H331),COLUMN(Notes!H331),4),H331)</f>
        <v>7410172.4900000002</v>
      </c>
      <c r="O595" s="2249" t="str">
        <f>H317</f>
        <v>1122j</v>
      </c>
      <c r="P595" s="425"/>
      <c r="Q595" s="442"/>
      <c r="R595" s="442"/>
      <c r="S595" s="364"/>
      <c r="Z595" s="609" t="s">
        <v>273</v>
      </c>
      <c r="AA595" s="609" t="s">
        <v>2935</v>
      </c>
    </row>
    <row r="596" spans="1:27" ht="18">
      <c r="A596" s="2712"/>
      <c r="B596" s="371"/>
      <c r="C596" s="371" t="s">
        <v>2565</v>
      </c>
      <c r="D596" s="2714"/>
      <c r="F596" s="293"/>
      <c r="G596" s="604" t="str">
        <f>"本注释B:"&amp; G592</f>
        <v>本注释B:合       计</v>
      </c>
      <c r="H596" s="456">
        <f>H592</f>
        <v>0</v>
      </c>
      <c r="I596" s="351"/>
      <c r="J596" s="351"/>
      <c r="K596" s="351"/>
      <c r="L596" s="351"/>
      <c r="M596" s="351"/>
      <c r="N596" s="456">
        <f>N592</f>
        <v>0</v>
      </c>
      <c r="O596" s="1542" t="s">
        <v>335</v>
      </c>
      <c r="P596" s="425"/>
      <c r="Q596" s="442"/>
      <c r="R596" s="442"/>
      <c r="S596" s="364"/>
      <c r="Z596" s="609" t="s">
        <v>273</v>
      </c>
      <c r="AA596" s="609" t="s">
        <v>2935</v>
      </c>
    </row>
    <row r="597" spans="1:27" ht="18.75" thickBot="1">
      <c r="A597" s="2712"/>
      <c r="B597" s="371"/>
      <c r="C597" s="371" t="s">
        <v>2565</v>
      </c>
      <c r="D597" s="2714"/>
      <c r="F597" s="293"/>
      <c r="G597" s="1552" t="s">
        <v>2757</v>
      </c>
      <c r="H597" s="1529">
        <f ca="1">IF(AND(H595="",H596=""),"",ROUND(H595-H596,2))</f>
        <v>6754713.7300000004</v>
      </c>
      <c r="I597" s="1553"/>
      <c r="J597" s="1553"/>
      <c r="K597" s="1553"/>
      <c r="L597" s="1553"/>
      <c r="M597" s="1553"/>
      <c r="N597" s="1529">
        <f ca="1">IF(AND(N595="",N596=""),"",ROUND(N595-N596,2))</f>
        <v>7410172.4900000002</v>
      </c>
      <c r="O597" s="1554"/>
      <c r="P597" s="425"/>
      <c r="Q597" s="442"/>
      <c r="R597" s="442"/>
      <c r="S597" s="364"/>
      <c r="Z597" s="609" t="s">
        <v>273</v>
      </c>
      <c r="AA597" s="609" t="s">
        <v>2935</v>
      </c>
    </row>
    <row r="598" spans="1:27" ht="18.75" thickTop="1">
      <c r="A598" s="2712"/>
      <c r="B598" s="371"/>
      <c r="C598" s="371" t="s">
        <v>2565</v>
      </c>
      <c r="D598" s="2714"/>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8">
      <c r="A599" s="2712"/>
      <c r="B599" s="371"/>
      <c r="C599" s="371" t="s">
        <v>2565</v>
      </c>
      <c r="D599" s="2714"/>
      <c r="F599" s="293"/>
      <c r="G599" s="1557" t="s">
        <v>2759</v>
      </c>
      <c r="H599" s="461"/>
      <c r="I599" s="317"/>
      <c r="J599" s="317"/>
      <c r="K599" s="352">
        <f ca="1">SUMIF($H$598:$O$598,"&lt;&gt;√",$H$597:$O$597)</f>
        <v>14164886.220000001</v>
      </c>
      <c r="L599" s="353" t="str">
        <f ca="1">IF(OR(K599=0,K599=""),"√","？")</f>
        <v>？</v>
      </c>
      <c r="M599" s="317"/>
      <c r="N599" s="461"/>
      <c r="O599" s="1545"/>
      <c r="P599" s="425"/>
      <c r="Q599" s="442"/>
      <c r="R599" s="442"/>
      <c r="S599" s="364"/>
      <c r="Z599" s="609" t="s">
        <v>273</v>
      </c>
      <c r="AA599" s="609" t="s">
        <v>2935</v>
      </c>
    </row>
    <row r="600" spans="1:27" ht="18">
      <c r="A600" s="2712"/>
      <c r="B600" s="371"/>
      <c r="C600" s="371" t="s">
        <v>2565</v>
      </c>
      <c r="D600" s="2714"/>
      <c r="F600" s="293"/>
      <c r="G600" s="1543"/>
      <c r="H600" s="461"/>
      <c r="I600" s="317"/>
      <c r="J600" s="317"/>
      <c r="K600" s="317"/>
      <c r="L600" s="317"/>
      <c r="M600" s="317"/>
      <c r="N600" s="461"/>
      <c r="O600" s="1545"/>
      <c r="P600" s="425"/>
      <c r="Q600" s="442"/>
      <c r="R600" s="442"/>
      <c r="S600" s="364"/>
      <c r="Z600" s="609" t="s">
        <v>273</v>
      </c>
      <c r="AA600" s="609" t="s">
        <v>2935</v>
      </c>
    </row>
    <row r="601" spans="1:27" ht="24">
      <c r="A601" s="2712" t="s">
        <v>342</v>
      </c>
      <c r="B601" s="371">
        <v>3.1</v>
      </c>
      <c r="C601" s="371"/>
      <c r="D601" s="2714" t="str">
        <f>VLOOKUP($A601,Sheet_NoteList,2,0)</f>
        <v>本期应收账款坏账准备转回或收回金额重要的</v>
      </c>
      <c r="E601" s="2714"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083"/>
      <c r="O601" s="315"/>
      <c r="P601" s="301"/>
      <c r="Q601" s="290" t="str">
        <f>IF($I601="不适用","",IF(ROUND(SUM($H$604:$K$609),2)=0,"请输入",""))</f>
        <v>请输入</v>
      </c>
      <c r="S601" s="364"/>
      <c r="Z601" s="609" t="s">
        <v>273</v>
      </c>
      <c r="AA601" s="609" t="s">
        <v>2935</v>
      </c>
    </row>
    <row r="602" spans="1:27" ht="0.75" customHeight="1" thickBot="1">
      <c r="A602" s="2712"/>
      <c r="B602" s="371"/>
      <c r="C602" s="371"/>
      <c r="D602" s="371"/>
      <c r="E602" s="586"/>
      <c r="F602" s="586"/>
      <c r="G602" s="586" t="s">
        <v>3039</v>
      </c>
      <c r="H602" s="371" t="s">
        <v>6186</v>
      </c>
      <c r="I602" s="371" t="s">
        <v>6187</v>
      </c>
      <c r="J602" s="433"/>
      <c r="K602" s="433"/>
      <c r="L602" s="472"/>
      <c r="M602" s="472"/>
      <c r="N602" s="472"/>
      <c r="O602" s="472"/>
      <c r="P602" s="442"/>
      <c r="Q602" s="442"/>
      <c r="R602" s="443"/>
      <c r="S602" s="364"/>
      <c r="Z602" s="609" t="s">
        <v>273</v>
      </c>
      <c r="AA602" s="609" t="s">
        <v>2935</v>
      </c>
    </row>
    <row r="603" spans="1:27" ht="24">
      <c r="A603" s="2712"/>
      <c r="B603" s="371"/>
      <c r="C603" s="371"/>
      <c r="D603" s="371"/>
      <c r="E603" s="586" t="s">
        <v>2749</v>
      </c>
      <c r="F603" s="363"/>
      <c r="G603" s="2531" t="s">
        <v>1465</v>
      </c>
      <c r="H603" s="2532" t="s">
        <v>2922</v>
      </c>
      <c r="I603" s="2533" t="s">
        <v>5997</v>
      </c>
      <c r="J603" s="355" t="s">
        <v>5268</v>
      </c>
      <c r="K603" s="479"/>
      <c r="L603" s="472"/>
      <c r="M603" s="472"/>
      <c r="N603" s="472"/>
      <c r="O603" s="472"/>
      <c r="P603" s="442"/>
      <c r="Q603" s="442"/>
      <c r="R603" s="443"/>
      <c r="S603" s="364"/>
      <c r="Z603" s="609" t="s">
        <v>273</v>
      </c>
      <c r="AA603" s="609" t="s">
        <v>2935</v>
      </c>
    </row>
    <row r="604" spans="1:27" ht="18">
      <c r="A604" s="2712"/>
      <c r="B604" s="371">
        <v>101</v>
      </c>
      <c r="C604" s="371" t="s">
        <v>2791</v>
      </c>
      <c r="D604" s="2714">
        <f t="shared" ref="D604:D609" si="52">IF(OR(G604="*",G604="",G604=0),0,COUNTIF($G$604:$G$609,G604))</f>
        <v>0</v>
      </c>
      <c r="E604" s="2719">
        <v>1</v>
      </c>
      <c r="F604" s="294"/>
      <c r="G604" s="2536" t="s">
        <v>2792</v>
      </c>
      <c r="H604" s="2273"/>
      <c r="I604" s="2274"/>
      <c r="J604" s="437"/>
      <c r="K604" s="438"/>
      <c r="L604" s="472"/>
      <c r="M604" s="472"/>
      <c r="N604" s="472"/>
      <c r="O604" s="472"/>
      <c r="P604" s="442"/>
      <c r="Q604" s="442"/>
      <c r="R604" s="443"/>
      <c r="S604" s="364"/>
      <c r="Z604" s="609" t="s">
        <v>273</v>
      </c>
      <c r="AA604" s="609" t="s">
        <v>2935</v>
      </c>
    </row>
    <row r="605" spans="1:27" ht="18">
      <c r="A605" s="2712"/>
      <c r="B605" s="371">
        <v>102</v>
      </c>
      <c r="C605" s="371" t="s">
        <v>2791</v>
      </c>
      <c r="D605" s="2714">
        <f t="shared" si="52"/>
        <v>0</v>
      </c>
      <c r="E605" s="2719">
        <v>1</v>
      </c>
      <c r="F605" s="294"/>
      <c r="G605" s="2536" t="s">
        <v>2792</v>
      </c>
      <c r="H605" s="2273"/>
      <c r="I605" s="2274"/>
      <c r="J605" s="437"/>
      <c r="K605" s="438"/>
      <c r="L605" s="472"/>
      <c r="M605" s="472"/>
      <c r="N605" s="472"/>
      <c r="O605" s="472"/>
      <c r="P605" s="442"/>
      <c r="Q605" s="442"/>
      <c r="R605" s="443"/>
      <c r="S605" s="364"/>
      <c r="Z605" s="609" t="s">
        <v>273</v>
      </c>
      <c r="AA605" s="609" t="s">
        <v>2935</v>
      </c>
    </row>
    <row r="606" spans="1:27" ht="18">
      <c r="A606" s="2712"/>
      <c r="B606" s="371">
        <v>103</v>
      </c>
      <c r="C606" s="371" t="s">
        <v>2791</v>
      </c>
      <c r="D606" s="2714">
        <f t="shared" si="52"/>
        <v>0</v>
      </c>
      <c r="E606" s="2719">
        <v>1</v>
      </c>
      <c r="F606" s="294"/>
      <c r="G606" s="2536" t="s">
        <v>2792</v>
      </c>
      <c r="H606" s="2273"/>
      <c r="I606" s="2274"/>
      <c r="J606" s="437"/>
      <c r="K606" s="438"/>
      <c r="L606" s="472"/>
      <c r="M606" s="472"/>
      <c r="N606" s="472"/>
      <c r="O606" s="472"/>
      <c r="P606" s="442"/>
      <c r="Q606" s="442"/>
      <c r="R606" s="443"/>
      <c r="S606" s="364"/>
      <c r="Z606" s="609" t="s">
        <v>273</v>
      </c>
      <c r="AA606" s="609" t="s">
        <v>2935</v>
      </c>
    </row>
    <row r="607" spans="1:27" ht="18">
      <c r="A607" s="2712"/>
      <c r="B607" s="371">
        <v>104</v>
      </c>
      <c r="C607" s="371" t="s">
        <v>2791</v>
      </c>
      <c r="D607" s="2714">
        <f t="shared" si="52"/>
        <v>0</v>
      </c>
      <c r="E607" s="2719">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8">
      <c r="A608" s="2712"/>
      <c r="B608" s="371">
        <v>105</v>
      </c>
      <c r="C608" s="371" t="s">
        <v>2791</v>
      </c>
      <c r="D608" s="2714">
        <f t="shared" si="52"/>
        <v>0</v>
      </c>
      <c r="E608" s="2719">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8.75" thickBot="1">
      <c r="A609" s="2712"/>
      <c r="B609" s="371"/>
      <c r="C609" s="371"/>
      <c r="D609" s="2714">
        <f t="shared" si="52"/>
        <v>1</v>
      </c>
      <c r="E609" s="2719"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8">
      <c r="A610" s="2712"/>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2" t="s">
        <v>349</v>
      </c>
      <c r="B611" s="371">
        <v>4</v>
      </c>
      <c r="C611" s="371"/>
      <c r="D611" s="2714" t="str">
        <f>VLOOKUP($A611,Sheet_NoteList,2,0)</f>
        <v>本期实际核销的应收账款情况</v>
      </c>
      <c r="E611" s="2714"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2"/>
      <c r="B612" s="371"/>
      <c r="C612" s="371"/>
      <c r="D612" s="2714"/>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8">
      <c r="A613" s="2712"/>
      <c r="B613" s="371"/>
      <c r="C613" s="371"/>
      <c r="D613" s="2714"/>
      <c r="E613" s="586" t="s">
        <v>2749</v>
      </c>
      <c r="F613" s="414"/>
      <c r="G613" s="2710" t="s">
        <v>6413</v>
      </c>
      <c r="H613" s="2533" t="s">
        <v>2925</v>
      </c>
      <c r="I613" s="355" t="s">
        <v>5268</v>
      </c>
      <c r="J613" s="435"/>
      <c r="K613" s="434"/>
      <c r="L613" s="434"/>
      <c r="M613" s="435"/>
      <c r="N613" s="434"/>
      <c r="O613" s="434"/>
      <c r="P613" s="435"/>
      <c r="Q613" s="442"/>
      <c r="R613" s="443"/>
      <c r="S613" s="364"/>
      <c r="Z613" s="609" t="s">
        <v>273</v>
      </c>
      <c r="AA613" s="609" t="s">
        <v>2935</v>
      </c>
    </row>
    <row r="614" spans="1:27" ht="18">
      <c r="A614" s="2712"/>
      <c r="B614" s="371">
        <v>101</v>
      </c>
      <c r="C614" s="371"/>
      <c r="D614" s="2714">
        <f t="shared" ref="D614:D616" si="53">IF(OR(G614="*",G614="",G614=0),0,COUNTIF($G$614:$G$616,G614))</f>
        <v>1</v>
      </c>
      <c r="E614" s="2719">
        <v>1</v>
      </c>
      <c r="F614" s="293"/>
      <c r="G614" s="1472" t="s">
        <v>3041</v>
      </c>
      <c r="H614" s="2294"/>
      <c r="I614" s="445"/>
      <c r="J614" s="438"/>
      <c r="K614" s="439"/>
      <c r="L614" s="437"/>
      <c r="M614" s="438"/>
      <c r="N614" s="439"/>
      <c r="O614" s="437"/>
      <c r="P614" s="438"/>
      <c r="Q614" s="442"/>
      <c r="R614" s="443"/>
      <c r="S614" s="364"/>
      <c r="Z614" s="609" t="s">
        <v>273</v>
      </c>
      <c r="AA614" s="609" t="s">
        <v>2935</v>
      </c>
    </row>
    <row r="615" spans="1:27" ht="18">
      <c r="A615" s="2712"/>
      <c r="B615" s="371">
        <v>102</v>
      </c>
      <c r="C615" s="371" t="s">
        <v>6533</v>
      </c>
      <c r="D615" s="2714">
        <f t="shared" si="53"/>
        <v>0</v>
      </c>
      <c r="E615" s="2719">
        <v>1</v>
      </c>
      <c r="F615" s="293"/>
      <c r="G615" s="2536" t="s">
        <v>2792</v>
      </c>
      <c r="H615" s="2294"/>
      <c r="I615" s="445"/>
      <c r="J615" s="438"/>
      <c r="K615" s="439"/>
      <c r="L615" s="437"/>
      <c r="M615" s="438"/>
      <c r="N615" s="439"/>
      <c r="O615" s="437"/>
      <c r="P615" s="438"/>
      <c r="Q615" s="442"/>
      <c r="R615" s="443"/>
      <c r="S615" s="364"/>
      <c r="Z615" s="609" t="s">
        <v>273</v>
      </c>
      <c r="AA615" s="609" t="s">
        <v>2935</v>
      </c>
    </row>
    <row r="616" spans="1:27" ht="18.75" thickBot="1">
      <c r="A616" s="2712"/>
      <c r="B616" s="371"/>
      <c r="C616" s="371"/>
      <c r="D616" s="2714">
        <f t="shared" si="53"/>
        <v>1</v>
      </c>
      <c r="E616" s="2719"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8">
      <c r="A617" s="2712"/>
      <c r="B617" s="371"/>
      <c r="C617" s="371" t="s">
        <v>2755</v>
      </c>
      <c r="D617" s="2714"/>
      <c r="F617" s="293"/>
      <c r="G617" s="376"/>
      <c r="H617" s="315"/>
      <c r="I617" s="446"/>
      <c r="J617" s="425"/>
      <c r="K617" s="426"/>
      <c r="L617" s="427"/>
      <c r="M617" s="425"/>
      <c r="N617" s="426"/>
      <c r="O617" s="427"/>
      <c r="P617" s="425"/>
      <c r="Q617" s="442"/>
      <c r="R617" s="443"/>
      <c r="S617" s="364"/>
      <c r="Z617" s="609" t="s">
        <v>273</v>
      </c>
      <c r="AA617" s="609" t="s">
        <v>2935</v>
      </c>
    </row>
    <row r="618" spans="1:27" ht="24">
      <c r="A618" s="2712" t="s">
        <v>357</v>
      </c>
      <c r="B618" s="371">
        <v>4.0999999999999996</v>
      </c>
      <c r="C618" s="371"/>
      <c r="D618" s="2714" t="str">
        <f>VLOOKUP($A618,Sheet_NoteList,2,0)</f>
        <v>本期重要的应收账款核销情况</v>
      </c>
      <c r="E618" s="2714" t="s">
        <v>2742</v>
      </c>
      <c r="F618" s="294"/>
      <c r="G618" s="372" t="str">
        <f>"("&amp;B618&amp;")"&amp;D618</f>
        <v>(4.1)本期重要的应收账款核销情况</v>
      </c>
      <c r="H618" s="1515" t="str">
        <f>$A618</f>
        <v>1122i</v>
      </c>
      <c r="I618" s="343" t="s">
        <v>2743</v>
      </c>
      <c r="J618" s="301" t="s">
        <v>2744</v>
      </c>
      <c r="K618" s="2208">
        <f>I626</f>
        <v>0</v>
      </c>
      <c r="L618" s="315"/>
      <c r="M618" s="301"/>
      <c r="N618" s="3083"/>
      <c r="O618" s="345" t="str">
        <f>IF(ROUND(N551-N618,2)&gt;=0,"","#Logical!")</f>
        <v/>
      </c>
      <c r="P618" s="301"/>
      <c r="Q618" s="290" t="str">
        <f>IF($I618="不适用","",IF(ROUND(SUM($H$621:$L$626),2)=0,"请输入",""))</f>
        <v>请输入</v>
      </c>
      <c r="S618" s="364"/>
      <c r="Z618" s="609" t="s">
        <v>273</v>
      </c>
      <c r="AA618" s="609" t="s">
        <v>2935</v>
      </c>
    </row>
    <row r="619" spans="1:27" ht="0.75" customHeight="1" thickBot="1">
      <c r="A619" s="2712"/>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2"/>
      <c r="B620" s="371"/>
      <c r="C620" s="371"/>
      <c r="D620" s="371"/>
      <c r="E620" s="586" t="s">
        <v>2749</v>
      </c>
      <c r="F620" s="363"/>
      <c r="G620" s="2531" t="s">
        <v>1465</v>
      </c>
      <c r="H620" s="2532" t="s">
        <v>3048</v>
      </c>
      <c r="I620" s="2532" t="s">
        <v>2925</v>
      </c>
      <c r="J620" s="2532" t="s">
        <v>2932</v>
      </c>
      <c r="K620" s="2532" t="s">
        <v>2933</v>
      </c>
      <c r="L620" s="2533" t="s">
        <v>2934</v>
      </c>
      <c r="M620" s="355" t="s">
        <v>5268</v>
      </c>
      <c r="N620" s="291"/>
      <c r="O620" s="291"/>
      <c r="S620" s="364"/>
      <c r="Z620" s="609" t="s">
        <v>273</v>
      </c>
      <c r="AA620" s="609" t="s">
        <v>2935</v>
      </c>
    </row>
    <row r="621" spans="1:27" ht="18">
      <c r="A621" s="2712"/>
      <c r="B621" s="371">
        <v>101</v>
      </c>
      <c r="C621" s="371" t="s">
        <v>2791</v>
      </c>
      <c r="D621" s="2714">
        <f t="shared" ref="D621:D626" si="54">IF(OR(G621="*",G621="",G621=0),0,COUNTIF($G$621:$G$626,G621))</f>
        <v>0</v>
      </c>
      <c r="E621" s="2719">
        <v>1</v>
      </c>
      <c r="F621" s="294"/>
      <c r="G621" s="2536" t="s">
        <v>2792</v>
      </c>
      <c r="H621" s="2296"/>
      <c r="I621" s="2273"/>
      <c r="J621" s="2296"/>
      <c r="K621" s="2296"/>
      <c r="L621" s="2274"/>
      <c r="M621" s="291"/>
      <c r="N621" s="291"/>
      <c r="O621" s="291"/>
      <c r="S621" s="364"/>
      <c r="Z621" s="609" t="s">
        <v>273</v>
      </c>
      <c r="AA621" s="609" t="s">
        <v>2935</v>
      </c>
    </row>
    <row r="622" spans="1:27" ht="18">
      <c r="A622" s="2712"/>
      <c r="B622" s="371">
        <v>102</v>
      </c>
      <c r="C622" s="371" t="s">
        <v>2791</v>
      </c>
      <c r="D622" s="2714">
        <f t="shared" si="54"/>
        <v>0</v>
      </c>
      <c r="E622" s="2719">
        <v>1</v>
      </c>
      <c r="F622" s="294"/>
      <c r="G622" s="2536" t="s">
        <v>2792</v>
      </c>
      <c r="H622" s="2296"/>
      <c r="I622" s="2273"/>
      <c r="J622" s="2296"/>
      <c r="K622" s="2296"/>
      <c r="L622" s="2274"/>
      <c r="M622" s="291"/>
      <c r="N622" s="291"/>
      <c r="O622" s="291"/>
      <c r="S622" s="364"/>
      <c r="Z622" s="609" t="s">
        <v>273</v>
      </c>
      <c r="AA622" s="609" t="s">
        <v>2935</v>
      </c>
    </row>
    <row r="623" spans="1:27" ht="18">
      <c r="A623" s="2712"/>
      <c r="B623" s="371">
        <v>103</v>
      </c>
      <c r="C623" s="371" t="s">
        <v>2791</v>
      </c>
      <c r="D623" s="2714">
        <f t="shared" si="54"/>
        <v>0</v>
      </c>
      <c r="E623" s="2719">
        <v>1</v>
      </c>
      <c r="F623" s="294"/>
      <c r="G623" s="2536" t="s">
        <v>2792</v>
      </c>
      <c r="H623" s="2296"/>
      <c r="I623" s="2273"/>
      <c r="J623" s="2296"/>
      <c r="K623" s="2296"/>
      <c r="L623" s="2274"/>
      <c r="M623" s="291"/>
      <c r="N623" s="291"/>
      <c r="O623" s="291"/>
      <c r="S623" s="364"/>
      <c r="Z623" s="609" t="s">
        <v>273</v>
      </c>
      <c r="AA623" s="609" t="s">
        <v>2935</v>
      </c>
    </row>
    <row r="624" spans="1:27" ht="18">
      <c r="A624" s="2712"/>
      <c r="B624" s="371">
        <v>104</v>
      </c>
      <c r="C624" s="371" t="s">
        <v>2791</v>
      </c>
      <c r="D624" s="2714">
        <f t="shared" si="54"/>
        <v>0</v>
      </c>
      <c r="E624" s="2719">
        <v>1</v>
      </c>
      <c r="F624" s="294"/>
      <c r="G624" s="2536" t="s">
        <v>2792</v>
      </c>
      <c r="H624" s="2296"/>
      <c r="I624" s="2273"/>
      <c r="J624" s="2296"/>
      <c r="K624" s="2296"/>
      <c r="L624" s="2274"/>
      <c r="M624" s="291"/>
      <c r="N624" s="291"/>
      <c r="O624" s="291"/>
      <c r="S624" s="364"/>
      <c r="Z624" s="609" t="s">
        <v>273</v>
      </c>
      <c r="AA624" s="609" t="s">
        <v>2935</v>
      </c>
    </row>
    <row r="625" spans="1:27" ht="18">
      <c r="A625" s="2712"/>
      <c r="B625" s="371">
        <v>105</v>
      </c>
      <c r="C625" s="371" t="s">
        <v>2791</v>
      </c>
      <c r="D625" s="2714">
        <f t="shared" si="54"/>
        <v>0</v>
      </c>
      <c r="E625" s="2719">
        <v>1</v>
      </c>
      <c r="F625" s="294"/>
      <c r="G625" s="2536" t="s">
        <v>2792</v>
      </c>
      <c r="H625" s="2296"/>
      <c r="I625" s="2273"/>
      <c r="J625" s="2296"/>
      <c r="K625" s="2296"/>
      <c r="L625" s="2274"/>
      <c r="M625" s="291"/>
      <c r="N625" s="291"/>
      <c r="O625" s="291"/>
      <c r="S625" s="364"/>
      <c r="Z625" s="609" t="s">
        <v>273</v>
      </c>
      <c r="AA625" s="609" t="s">
        <v>2935</v>
      </c>
    </row>
    <row r="626" spans="1:27" ht="18.75" thickBot="1">
      <c r="A626" s="2712"/>
      <c r="B626" s="371"/>
      <c r="C626" s="371"/>
      <c r="D626" s="2714">
        <f t="shared" si="54"/>
        <v>1</v>
      </c>
      <c r="E626" s="2719"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8.75" thickBot="1">
      <c r="A627" s="2712"/>
      <c r="B627" s="371">
        <v>901</v>
      </c>
      <c r="C627" s="371"/>
      <c r="D627" s="371"/>
      <c r="E627" s="2714" t="s">
        <v>2753</v>
      </c>
      <c r="F627" s="294"/>
      <c r="G627" s="2260" t="s">
        <v>3049</v>
      </c>
      <c r="H627" s="350"/>
      <c r="I627" s="348"/>
      <c r="J627" s="530"/>
      <c r="K627" s="350"/>
      <c r="L627" s="350"/>
      <c r="M627" s="291"/>
      <c r="N627" s="291"/>
      <c r="O627" s="291"/>
      <c r="P627" s="291"/>
      <c r="S627" s="364"/>
      <c r="Z627" s="609" t="s">
        <v>273</v>
      </c>
      <c r="AA627" s="609" t="s">
        <v>2935</v>
      </c>
    </row>
    <row r="628" spans="1:27" ht="18">
      <c r="A628" s="2712"/>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4">
      <c r="A629" s="2712" t="s">
        <v>365</v>
      </c>
      <c r="B629" s="371">
        <v>5</v>
      </c>
      <c r="C629" s="371"/>
      <c r="D629" s="2714" t="str">
        <f>VLOOKUP($A629,Sheet_NoteList,2,0)</f>
        <v>按欠款方归集的期末余额前五名的应收账款情况</v>
      </c>
      <c r="E629" s="2714" t="s">
        <v>2742</v>
      </c>
      <c r="F629" s="294"/>
      <c r="G629" s="372" t="str">
        <f>"("&amp;B629&amp;")"&amp;D629</f>
        <v>(5)按欠款方归集的期末余额前五名的应收账款情况</v>
      </c>
      <c r="H629" s="1515" t="str">
        <f>$A629</f>
        <v>1122k</v>
      </c>
      <c r="I629" s="343" t="s">
        <v>2743</v>
      </c>
      <c r="J629" s="301" t="s">
        <v>2744</v>
      </c>
      <c r="K629" s="2208">
        <f>H646-J646</f>
        <v>37009510.659999996</v>
      </c>
      <c r="L629" s="345"/>
      <c r="M629" s="301"/>
      <c r="N629" s="3083"/>
      <c r="O629" s="345" t="str">
        <f>IF(ROUND(N516-N629,2)&gt;=0,"","#Logical!")</f>
        <v/>
      </c>
      <c r="P629" s="301"/>
      <c r="Q629" s="290" t="str">
        <f>IF($I629="不适用","",IF(ROUND(SUM($H$632:$J$646),2)=0,"请输入",""))</f>
        <v/>
      </c>
      <c r="S629" s="364"/>
      <c r="Z629" s="609" t="s">
        <v>273</v>
      </c>
      <c r="AA629" s="609" t="s">
        <v>2935</v>
      </c>
    </row>
    <row r="630" spans="1:27" ht="0.75" customHeight="1" thickBot="1">
      <c r="A630" s="2712"/>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2"/>
      <c r="B631" s="371"/>
      <c r="C631" s="371"/>
      <c r="D631" s="371"/>
      <c r="E631" s="586" t="s">
        <v>2749</v>
      </c>
      <c r="F631" s="363"/>
      <c r="G631" s="2531" t="s">
        <v>1465</v>
      </c>
      <c r="H631" s="2532" t="s">
        <v>3053</v>
      </c>
      <c r="I631" s="2532" t="s">
        <v>3054</v>
      </c>
      <c r="J631" s="2533" t="s">
        <v>3055</v>
      </c>
      <c r="K631" s="355" t="s">
        <v>5268</v>
      </c>
      <c r="L631" s="291"/>
      <c r="M631" s="291"/>
      <c r="N631" s="291"/>
      <c r="O631" s="291"/>
      <c r="S631" s="364"/>
      <c r="Z631" s="609" t="s">
        <v>273</v>
      </c>
      <c r="AA631" s="609" t="s">
        <v>2935</v>
      </c>
    </row>
    <row r="632" spans="1:27" ht="24">
      <c r="A632" s="2712"/>
      <c r="B632" s="371">
        <v>101</v>
      </c>
      <c r="C632" s="371"/>
      <c r="D632" s="2714">
        <f t="shared" ref="D632:D646" si="55">IF(OR(G632="*",G632="",G632=0),0,COUNTIF($G$632:$G$646,G632))</f>
        <v>1</v>
      </c>
      <c r="E632" s="2719" t="s">
        <v>41</v>
      </c>
      <c r="F632" s="294"/>
      <c r="G632" s="1472" t="s">
        <v>3056</v>
      </c>
      <c r="H632" s="309"/>
      <c r="I632" s="360" t="s">
        <v>19</v>
      </c>
      <c r="J632" s="346"/>
      <c r="L632" s="291"/>
      <c r="M632" s="291"/>
      <c r="N632" s="291"/>
      <c r="O632" s="291"/>
      <c r="S632" s="364"/>
      <c r="Z632" s="609" t="s">
        <v>273</v>
      </c>
      <c r="AA632" s="609" t="s">
        <v>2935</v>
      </c>
    </row>
    <row r="633" spans="1:27" ht="24">
      <c r="A633" s="2712"/>
      <c r="B633" s="371">
        <v>101.001</v>
      </c>
      <c r="C633" s="371" t="s">
        <v>2791</v>
      </c>
      <c r="D633" s="2714">
        <f t="shared" si="55"/>
        <v>1</v>
      </c>
      <c r="E633" s="2719" t="s">
        <v>3057</v>
      </c>
      <c r="F633" s="294"/>
      <c r="G633" s="2220" t="s">
        <v>7429</v>
      </c>
      <c r="H633" s="309">
        <v>12158278.390000001</v>
      </c>
      <c r="I633" s="360">
        <v>20.440000000000001</v>
      </c>
      <c r="J633" s="346">
        <v>0</v>
      </c>
      <c r="L633" s="291"/>
      <c r="M633" s="291"/>
      <c r="N633" s="291"/>
      <c r="O633" s="291"/>
      <c r="S633" s="364"/>
      <c r="Z633" s="609" t="s">
        <v>273</v>
      </c>
      <c r="AA633" s="609" t="s">
        <v>2935</v>
      </c>
    </row>
    <row r="634" spans="1:27" ht="18">
      <c r="A634" s="2712"/>
      <c r="B634" s="371">
        <v>101.002</v>
      </c>
      <c r="C634" s="371" t="s">
        <v>2791</v>
      </c>
      <c r="D634" s="2714">
        <f t="shared" si="55"/>
        <v>1</v>
      </c>
      <c r="E634" s="2719" t="s">
        <v>3057</v>
      </c>
      <c r="F634" s="294"/>
      <c r="G634" s="2220" t="s">
        <v>7427</v>
      </c>
      <c r="H634" s="309">
        <v>10767111.5</v>
      </c>
      <c r="I634" s="3405">
        <v>18.100000000000001</v>
      </c>
      <c r="J634" s="346">
        <v>0</v>
      </c>
      <c r="L634" s="291"/>
      <c r="M634" s="291"/>
      <c r="N634" s="291"/>
      <c r="O634" s="291"/>
      <c r="S634" s="364"/>
      <c r="Z634" s="609" t="s">
        <v>273</v>
      </c>
      <c r="AA634" s="609" t="s">
        <v>2935</v>
      </c>
    </row>
    <row r="635" spans="1:27" ht="18">
      <c r="A635" s="2712"/>
      <c r="B635" s="371">
        <v>101.003</v>
      </c>
      <c r="C635" s="371" t="s">
        <v>2791</v>
      </c>
      <c r="D635" s="2714">
        <f t="shared" si="55"/>
        <v>1</v>
      </c>
      <c r="E635" s="2719" t="s">
        <v>3057</v>
      </c>
      <c r="F635" s="294"/>
      <c r="G635" s="2220" t="s">
        <v>7425</v>
      </c>
      <c r="H635" s="309">
        <v>9970491.9600000009</v>
      </c>
      <c r="I635" s="360">
        <v>16.760000000000002</v>
      </c>
      <c r="J635" s="346">
        <v>0</v>
      </c>
      <c r="L635" s="291"/>
      <c r="M635" s="291"/>
      <c r="N635" s="291"/>
      <c r="O635" s="291"/>
      <c r="S635" s="364"/>
      <c r="Z635" s="609" t="s">
        <v>273</v>
      </c>
      <c r="AA635" s="609" t="s">
        <v>2935</v>
      </c>
    </row>
    <row r="636" spans="1:27" ht="18">
      <c r="A636" s="2712"/>
      <c r="B636" s="371">
        <v>101.004</v>
      </c>
      <c r="C636" s="371" t="s">
        <v>2791</v>
      </c>
      <c r="D636" s="2714">
        <f t="shared" si="55"/>
        <v>1</v>
      </c>
      <c r="E636" s="2719" t="s">
        <v>3057</v>
      </c>
      <c r="F636" s="294"/>
      <c r="G636" s="2220" t="s">
        <v>7432</v>
      </c>
      <c r="H636" s="309">
        <v>2397580.42</v>
      </c>
      <c r="I636" s="360">
        <v>4.03</v>
      </c>
      <c r="J636" s="346">
        <v>47951.61</v>
      </c>
      <c r="L636" s="291"/>
      <c r="M636" s="291"/>
      <c r="N636" s="291"/>
      <c r="O636" s="291"/>
      <c r="S636" s="364"/>
      <c r="Z636" s="609" t="s">
        <v>273</v>
      </c>
      <c r="AA636" s="609" t="s">
        <v>2935</v>
      </c>
    </row>
    <row r="637" spans="1:27" ht="18">
      <c r="A637" s="2712"/>
      <c r="B637" s="371">
        <v>101.005</v>
      </c>
      <c r="C637" s="371" t="s">
        <v>2791</v>
      </c>
      <c r="D637" s="2714">
        <f t="shared" si="55"/>
        <v>1</v>
      </c>
      <c r="E637" s="2719" t="s">
        <v>3057</v>
      </c>
      <c r="F637" s="294"/>
      <c r="G637" s="2220" t="s">
        <v>7792</v>
      </c>
      <c r="H637" s="309">
        <v>1800000</v>
      </c>
      <c r="I637" s="360">
        <v>3.03</v>
      </c>
      <c r="J637" s="346">
        <v>36000</v>
      </c>
      <c r="K637" s="355" t="s">
        <v>2867</v>
      </c>
      <c r="L637" s="291"/>
      <c r="M637" s="291"/>
      <c r="N637" s="291"/>
      <c r="O637" s="291"/>
      <c r="S637" s="364"/>
      <c r="Z637" s="609" t="s">
        <v>273</v>
      </c>
      <c r="AA637" s="609" t="s">
        <v>2935</v>
      </c>
    </row>
    <row r="638" spans="1:27" ht="24">
      <c r="A638" s="2712"/>
      <c r="B638" s="371">
        <v>101.999</v>
      </c>
      <c r="C638" s="371" t="s">
        <v>2793</v>
      </c>
      <c r="D638" s="2714">
        <f t="shared" si="55"/>
        <v>1</v>
      </c>
      <c r="E638" s="2719">
        <v>1</v>
      </c>
      <c r="F638" s="294"/>
      <c r="G638" s="1472" t="s">
        <v>3057</v>
      </c>
      <c r="H638" s="1474">
        <f>SUMIF($E$631:$E$645,$G638,H$631:H$645)</f>
        <v>37093462.270000003</v>
      </c>
      <c r="I638" s="1474">
        <f>SUMIF($E$631:$E$645,$G638,I$631:I$645)</f>
        <v>62.36</v>
      </c>
      <c r="J638" s="1475">
        <f>SUMIF($E$631:$E$645,$G638,J$631:J$645)</f>
        <v>83951.61</v>
      </c>
      <c r="L638" s="291"/>
      <c r="M638" s="291"/>
      <c r="N638" s="291"/>
      <c r="O638" s="291"/>
      <c r="S638" s="364"/>
      <c r="Z638" s="609" t="s">
        <v>273</v>
      </c>
      <c r="AA638" s="609" t="s">
        <v>2935</v>
      </c>
    </row>
    <row r="639" spans="1:27" ht="36">
      <c r="A639" s="2712"/>
      <c r="B639" s="371">
        <v>102</v>
      </c>
      <c r="C639" s="371"/>
      <c r="D639" s="2714">
        <f t="shared" si="55"/>
        <v>1</v>
      </c>
      <c r="E639" s="2719" t="s">
        <v>41</v>
      </c>
      <c r="F639" s="294"/>
      <c r="G639" s="1457" t="s">
        <v>3058</v>
      </c>
      <c r="H639" s="309"/>
      <c r="I639" s="360"/>
      <c r="J639" s="346"/>
      <c r="K639" s="355" t="s">
        <v>5140</v>
      </c>
      <c r="L639" s="291"/>
      <c r="M639" s="291"/>
      <c r="N639" s="291"/>
      <c r="O639" s="291"/>
      <c r="S639" s="364"/>
      <c r="Z639" s="609" t="s">
        <v>273</v>
      </c>
      <c r="AA639" s="609" t="s">
        <v>2935</v>
      </c>
    </row>
    <row r="640" spans="1:27" ht="18">
      <c r="A640" s="2712"/>
      <c r="B640" s="371">
        <v>102.001</v>
      </c>
      <c r="C640" s="371" t="s">
        <v>2791</v>
      </c>
      <c r="D640" s="2714">
        <f t="shared" si="55"/>
        <v>0</v>
      </c>
      <c r="E640" s="2719" t="s">
        <v>2875</v>
      </c>
      <c r="F640" s="294"/>
      <c r="G640" s="2220" t="s">
        <v>2792</v>
      </c>
      <c r="H640" s="309"/>
      <c r="I640" s="360"/>
      <c r="J640" s="346"/>
      <c r="L640" s="291"/>
      <c r="M640" s="291"/>
      <c r="N640" s="291"/>
      <c r="O640" s="291"/>
      <c r="S640" s="364"/>
      <c r="Z640" s="609" t="s">
        <v>273</v>
      </c>
      <c r="AA640" s="609" t="s">
        <v>2935</v>
      </c>
    </row>
    <row r="641" spans="1:27" ht="18">
      <c r="A641" s="2712"/>
      <c r="B641" s="371">
        <v>102.002</v>
      </c>
      <c r="C641" s="371" t="s">
        <v>2791</v>
      </c>
      <c r="D641" s="2714">
        <f t="shared" si="55"/>
        <v>0</v>
      </c>
      <c r="E641" s="2719" t="s">
        <v>2875</v>
      </c>
      <c r="F641" s="294"/>
      <c r="G641" s="2220" t="s">
        <v>2792</v>
      </c>
      <c r="H641" s="309"/>
      <c r="I641" s="360"/>
      <c r="J641" s="346"/>
      <c r="L641" s="291"/>
      <c r="M641" s="291"/>
      <c r="N641" s="291"/>
      <c r="O641" s="291"/>
      <c r="S641" s="364"/>
      <c r="Z641" s="609" t="s">
        <v>273</v>
      </c>
      <c r="AA641" s="609" t="s">
        <v>2935</v>
      </c>
    </row>
    <row r="642" spans="1:27" ht="18">
      <c r="A642" s="2712"/>
      <c r="B642" s="371">
        <v>102.003</v>
      </c>
      <c r="C642" s="371" t="s">
        <v>2791</v>
      </c>
      <c r="D642" s="2714">
        <f t="shared" si="55"/>
        <v>0</v>
      </c>
      <c r="E642" s="2719" t="s">
        <v>2875</v>
      </c>
      <c r="F642" s="294"/>
      <c r="G642" s="2220" t="s">
        <v>2792</v>
      </c>
      <c r="H642" s="309"/>
      <c r="I642" s="360"/>
      <c r="J642" s="346"/>
      <c r="L642" s="291"/>
      <c r="M642" s="291"/>
      <c r="N642" s="291"/>
      <c r="O642" s="291"/>
      <c r="S642" s="364"/>
      <c r="Z642" s="609" t="s">
        <v>273</v>
      </c>
      <c r="AA642" s="609" t="s">
        <v>2935</v>
      </c>
    </row>
    <row r="643" spans="1:27" ht="18">
      <c r="A643" s="2712"/>
      <c r="B643" s="371">
        <v>102.004</v>
      </c>
      <c r="C643" s="371" t="s">
        <v>2791</v>
      </c>
      <c r="D643" s="2714">
        <f t="shared" si="55"/>
        <v>0</v>
      </c>
      <c r="E643" s="2719" t="s">
        <v>2875</v>
      </c>
      <c r="F643" s="294"/>
      <c r="G643" s="2220" t="s">
        <v>2792</v>
      </c>
      <c r="H643" s="309"/>
      <c r="I643" s="360" t="s">
        <v>19</v>
      </c>
      <c r="J643" s="346"/>
      <c r="L643" s="291"/>
      <c r="M643" s="291"/>
      <c r="N643" s="291"/>
      <c r="O643" s="291"/>
      <c r="S643" s="364"/>
      <c r="Z643" s="609" t="s">
        <v>273</v>
      </c>
      <c r="AA643" s="609" t="s">
        <v>2935</v>
      </c>
    </row>
    <row r="644" spans="1:27" ht="18">
      <c r="A644" s="2712"/>
      <c r="B644" s="371">
        <v>102.005</v>
      </c>
      <c r="C644" s="371" t="s">
        <v>2791</v>
      </c>
      <c r="D644" s="2714">
        <f t="shared" si="55"/>
        <v>0</v>
      </c>
      <c r="E644" s="2719" t="s">
        <v>2875</v>
      </c>
      <c r="F644" s="294"/>
      <c r="G644" s="2220" t="s">
        <v>2792</v>
      </c>
      <c r="H644" s="309"/>
      <c r="I644" s="360" t="s">
        <v>19</v>
      </c>
      <c r="J644" s="346"/>
      <c r="L644" s="291"/>
      <c r="M644" s="291"/>
      <c r="N644" s="291"/>
      <c r="O644" s="291"/>
      <c r="S644" s="364"/>
      <c r="Z644" s="609" t="s">
        <v>273</v>
      </c>
      <c r="AA644" s="609" t="s">
        <v>2935</v>
      </c>
    </row>
    <row r="645" spans="1:27" ht="18">
      <c r="A645" s="2712"/>
      <c r="B645" s="371">
        <v>102.999</v>
      </c>
      <c r="C645" s="371" t="s">
        <v>2793</v>
      </c>
      <c r="D645" s="2714">
        <f t="shared" si="55"/>
        <v>1</v>
      </c>
      <c r="E645" s="2719">
        <v>0</v>
      </c>
      <c r="F645" s="294"/>
      <c r="G645" s="1457" t="s">
        <v>2875</v>
      </c>
      <c r="H645" s="1474">
        <f>SUMIF($E$631:$E$645,$G645,H$631:H$645)</f>
        <v>0</v>
      </c>
      <c r="I645" s="360" t="s">
        <v>19</v>
      </c>
      <c r="J645" s="1475">
        <f>SUMIF($E$631:$E$645,$G645,J$631:J$645)</f>
        <v>0</v>
      </c>
      <c r="K645" s="2262" t="s">
        <v>5998</v>
      </c>
      <c r="L645" s="291"/>
      <c r="M645" s="291"/>
      <c r="N645" s="291"/>
      <c r="O645" s="291"/>
      <c r="S645" s="364"/>
      <c r="Z645" s="609" t="s">
        <v>273</v>
      </c>
      <c r="AA645" s="609" t="s">
        <v>2935</v>
      </c>
    </row>
    <row r="646" spans="1:27" ht="18.75" thickBot="1">
      <c r="A646" s="2712"/>
      <c r="B646" s="371"/>
      <c r="C646" s="371"/>
      <c r="D646" s="2714">
        <f t="shared" si="55"/>
        <v>1</v>
      </c>
      <c r="E646" s="2719" t="s">
        <v>3032</v>
      </c>
      <c r="F646" s="294"/>
      <c r="G646" s="2232" t="s">
        <v>2752</v>
      </c>
      <c r="H646" s="2233">
        <f>SUMPRODUCT($E631:$E645,H631:H645)</f>
        <v>37093462.270000003</v>
      </c>
      <c r="I646" s="2239"/>
      <c r="J646" s="2234">
        <f>SUMPRODUCT($E631:$E645,J631:J645)</f>
        <v>83951.61</v>
      </c>
      <c r="L646" s="291"/>
      <c r="M646" s="291"/>
      <c r="N646" s="291"/>
      <c r="O646" s="291"/>
      <c r="S646" s="364"/>
      <c r="Z646" s="609" t="s">
        <v>273</v>
      </c>
      <c r="AA646" s="609" t="s">
        <v>2935</v>
      </c>
    </row>
    <row r="647" spans="1:27" ht="18">
      <c r="A647" s="2712"/>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2" t="s">
        <v>372</v>
      </c>
      <c r="B648" s="371">
        <v>6</v>
      </c>
      <c r="C648" s="371"/>
      <c r="D648" s="2714" t="str">
        <f>VLOOKUP($A648,Sheet_NoteList,2,0)</f>
        <v>因金融资产转移而终止确认的应收账款</v>
      </c>
      <c r="E648" s="2714" t="s">
        <v>2742</v>
      </c>
      <c r="F648" s="294"/>
      <c r="G648" s="372" t="str">
        <f>"("&amp;B648&amp;")"&amp;D648</f>
        <v>(6)因金融资产转移而终止确认的应收账款</v>
      </c>
      <c r="H648" s="1515" t="str">
        <f>$A648</f>
        <v>1122m</v>
      </c>
      <c r="I648" s="343" t="s">
        <v>2743</v>
      </c>
      <c r="J648" s="301" t="s">
        <v>2744</v>
      </c>
      <c r="K648" s="2208">
        <f>I656</f>
        <v>0</v>
      </c>
      <c r="L648" s="315"/>
      <c r="M648" s="301"/>
      <c r="N648" s="3083"/>
      <c r="O648" s="345" t="str">
        <f>IF(ROUND(N619-N648,2)&gt;=0,"","#Logical!")</f>
        <v/>
      </c>
      <c r="P648" s="301"/>
      <c r="Q648" s="290" t="str">
        <f>IF($I648="不适用","",IF(ROUND(SUM($H$651:$J$656),2)=0,"请输入",""))</f>
        <v>请输入</v>
      </c>
      <c r="S648" s="364"/>
      <c r="Z648" s="609" t="s">
        <v>273</v>
      </c>
      <c r="AA648" s="609" t="s">
        <v>2935</v>
      </c>
    </row>
    <row r="649" spans="1:27" ht="0.75" customHeight="1" thickBot="1">
      <c r="A649" s="2712"/>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2"/>
      <c r="B650" s="371"/>
      <c r="C650" s="371"/>
      <c r="D650" s="371"/>
      <c r="E650" s="586" t="s">
        <v>2749</v>
      </c>
      <c r="F650" s="363"/>
      <c r="G650" s="2531" t="s">
        <v>47</v>
      </c>
      <c r="H650" s="2532" t="s">
        <v>3063</v>
      </c>
      <c r="I650" s="2532" t="s">
        <v>3064</v>
      </c>
      <c r="J650" s="2533" t="s">
        <v>3065</v>
      </c>
      <c r="K650" s="355" t="s">
        <v>5268</v>
      </c>
      <c r="L650" s="291"/>
      <c r="M650" s="291"/>
      <c r="S650" s="364"/>
      <c r="Z650" s="609" t="s">
        <v>273</v>
      </c>
      <c r="AA650" s="609" t="s">
        <v>2935</v>
      </c>
    </row>
    <row r="651" spans="1:27" ht="18">
      <c r="A651" s="2712"/>
      <c r="B651" s="371">
        <v>101</v>
      </c>
      <c r="C651" s="371" t="s">
        <v>2791</v>
      </c>
      <c r="D651" s="2714">
        <f t="shared" ref="D651:D656" si="56">IF(OR(G651="*",G651="",G651=0),0,COUNTIF($G$651:$G$656,G651))</f>
        <v>0</v>
      </c>
      <c r="E651" s="2719">
        <v>1</v>
      </c>
      <c r="F651" s="294"/>
      <c r="G651" s="2536" t="s">
        <v>2792</v>
      </c>
      <c r="H651" s="2296"/>
      <c r="I651" s="2273"/>
      <c r="J651" s="2294"/>
      <c r="K651" s="291"/>
      <c r="L651" s="291"/>
      <c r="M651" s="291"/>
      <c r="S651" s="364"/>
      <c r="Z651" s="609" t="s">
        <v>273</v>
      </c>
      <c r="AA651" s="609" t="s">
        <v>2935</v>
      </c>
    </row>
    <row r="652" spans="1:27" ht="18">
      <c r="A652" s="2712"/>
      <c r="B652" s="371">
        <v>102</v>
      </c>
      <c r="C652" s="371" t="s">
        <v>2791</v>
      </c>
      <c r="D652" s="2714">
        <f t="shared" si="56"/>
        <v>0</v>
      </c>
      <c r="E652" s="2719">
        <v>1</v>
      </c>
      <c r="F652" s="294"/>
      <c r="G652" s="2536" t="s">
        <v>2792</v>
      </c>
      <c r="H652" s="2296"/>
      <c r="I652" s="2273"/>
      <c r="J652" s="2294"/>
      <c r="K652" s="291"/>
      <c r="L652" s="291"/>
      <c r="M652" s="291"/>
      <c r="S652" s="364"/>
      <c r="Z652" s="609" t="s">
        <v>273</v>
      </c>
      <c r="AA652" s="609" t="s">
        <v>2935</v>
      </c>
    </row>
    <row r="653" spans="1:27" ht="18">
      <c r="A653" s="2712"/>
      <c r="B653" s="371">
        <v>103</v>
      </c>
      <c r="C653" s="371" t="s">
        <v>2791</v>
      </c>
      <c r="D653" s="2714">
        <f t="shared" si="56"/>
        <v>0</v>
      </c>
      <c r="E653" s="2719">
        <v>1</v>
      </c>
      <c r="F653" s="294"/>
      <c r="G653" s="2536" t="s">
        <v>2792</v>
      </c>
      <c r="H653" s="2296"/>
      <c r="I653" s="2273"/>
      <c r="J653" s="2294"/>
      <c r="K653" s="291"/>
      <c r="L653" s="291"/>
      <c r="M653" s="291"/>
      <c r="S653" s="364"/>
      <c r="Z653" s="609" t="s">
        <v>273</v>
      </c>
      <c r="AA653" s="609" t="s">
        <v>2935</v>
      </c>
    </row>
    <row r="654" spans="1:27" ht="18">
      <c r="A654" s="2712"/>
      <c r="B654" s="371">
        <v>104</v>
      </c>
      <c r="C654" s="371" t="s">
        <v>2791</v>
      </c>
      <c r="D654" s="2714">
        <f t="shared" si="56"/>
        <v>0</v>
      </c>
      <c r="E654" s="2719">
        <v>1</v>
      </c>
      <c r="F654" s="294"/>
      <c r="G654" s="2536" t="s">
        <v>2792</v>
      </c>
      <c r="H654" s="2296"/>
      <c r="I654" s="2273"/>
      <c r="J654" s="2294"/>
      <c r="K654" s="291"/>
      <c r="L654" s="291"/>
      <c r="M654" s="291"/>
      <c r="S654" s="364"/>
      <c r="Z654" s="609" t="s">
        <v>273</v>
      </c>
      <c r="AA654" s="609" t="s">
        <v>2935</v>
      </c>
    </row>
    <row r="655" spans="1:27" ht="18">
      <c r="A655" s="2712"/>
      <c r="B655" s="371">
        <v>105</v>
      </c>
      <c r="C655" s="371" t="s">
        <v>2791</v>
      </c>
      <c r="D655" s="2714">
        <f t="shared" si="56"/>
        <v>0</v>
      </c>
      <c r="E655" s="2719">
        <v>1</v>
      </c>
      <c r="F655" s="294"/>
      <c r="G655" s="2536" t="s">
        <v>2792</v>
      </c>
      <c r="H655" s="2296"/>
      <c r="I655" s="2273"/>
      <c r="J655" s="2294"/>
      <c r="K655" s="291"/>
      <c r="L655" s="291"/>
      <c r="M655" s="291"/>
      <c r="S655" s="364"/>
      <c r="Z655" s="609" t="s">
        <v>273</v>
      </c>
      <c r="AA655" s="609" t="s">
        <v>2935</v>
      </c>
    </row>
    <row r="656" spans="1:27" ht="18.75" thickBot="1">
      <c r="A656" s="2712"/>
      <c r="B656" s="371"/>
      <c r="C656" s="371"/>
      <c r="D656" s="2714">
        <f t="shared" si="56"/>
        <v>1</v>
      </c>
      <c r="E656" s="2719"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8">
      <c r="A657" s="2712"/>
      <c r="B657" s="371"/>
      <c r="C657" s="371" t="s">
        <v>2755</v>
      </c>
      <c r="D657" s="371"/>
      <c r="F657" s="294"/>
      <c r="G657" s="301"/>
      <c r="H657" s="393"/>
      <c r="I657" s="315"/>
      <c r="J657" s="315"/>
      <c r="K657" s="291"/>
      <c r="L657" s="291"/>
      <c r="M657" s="291"/>
      <c r="S657" s="364"/>
      <c r="Z657" s="609" t="s">
        <v>273</v>
      </c>
      <c r="AA657" s="609" t="s">
        <v>2935</v>
      </c>
    </row>
    <row r="658" spans="1:27" ht="24">
      <c r="A658" s="2712" t="s">
        <v>379</v>
      </c>
      <c r="B658" s="371">
        <v>7</v>
      </c>
      <c r="C658" s="371"/>
      <c r="D658" s="2714" t="str">
        <f>VLOOKUP($A658,Sheet_NoteList,2,0)</f>
        <v>转移应收账款且继续涉入形成的资产、负债金额</v>
      </c>
      <c r="E658" s="2714" t="s">
        <v>2742</v>
      </c>
      <c r="F658" s="294"/>
      <c r="G658" s="372" t="str">
        <f>"("&amp;B658&amp;")"&amp;D658</f>
        <v>(7)转移应收账款且继续涉入形成的资产、负债金额</v>
      </c>
      <c r="H658" s="1515" t="str">
        <f>$A658</f>
        <v>1122n</v>
      </c>
      <c r="I658" s="343" t="s">
        <v>2743</v>
      </c>
      <c r="J658" s="301" t="s">
        <v>2744</v>
      </c>
      <c r="K658" s="2208">
        <f>H666</f>
        <v>0</v>
      </c>
      <c r="L658" s="315"/>
      <c r="M658" s="301"/>
      <c r="N658" s="3083"/>
      <c r="O658" s="345"/>
      <c r="P658" s="301"/>
      <c r="Q658" s="290" t="str">
        <f>IF($I658="不适用","",IF(ROUND(SUM($H$661:$I$666),2)=0,"请输入",""))</f>
        <v>请输入</v>
      </c>
      <c r="S658" s="364"/>
      <c r="Z658" s="609" t="s">
        <v>273</v>
      </c>
      <c r="AA658" s="609" t="s">
        <v>2935</v>
      </c>
    </row>
    <row r="659" spans="1:27" ht="0.75" customHeight="1" thickBot="1">
      <c r="A659" s="2712"/>
      <c r="B659" s="371"/>
      <c r="C659" s="371"/>
      <c r="D659" s="371"/>
      <c r="E659" s="586"/>
      <c r="F659" s="586"/>
      <c r="G659" s="586" t="s">
        <v>3066</v>
      </c>
      <c r="H659" s="371" t="s">
        <v>6188</v>
      </c>
      <c r="I659" s="371" t="s">
        <v>6189</v>
      </c>
      <c r="J659" s="371" t="s">
        <v>3052</v>
      </c>
      <c r="K659" s="472"/>
      <c r="L659" s="472"/>
      <c r="M659" s="472"/>
      <c r="N659" s="442"/>
      <c r="O659" s="442"/>
      <c r="P659" s="442"/>
      <c r="Q659" s="442"/>
      <c r="R659" s="443"/>
      <c r="S659" s="364"/>
      <c r="Z659" s="609" t="s">
        <v>273</v>
      </c>
      <c r="AA659" s="609" t="s">
        <v>2935</v>
      </c>
    </row>
    <row r="660" spans="1:27" ht="24">
      <c r="A660" s="2712"/>
      <c r="B660" s="371"/>
      <c r="C660" s="371"/>
      <c r="D660" s="371"/>
      <c r="E660" s="586" t="s">
        <v>2749</v>
      </c>
      <c r="F660" s="363"/>
      <c r="G660" s="2531" t="s">
        <v>47</v>
      </c>
      <c r="H660" s="2532" t="s">
        <v>3068</v>
      </c>
      <c r="I660" s="2532" t="s">
        <v>3069</v>
      </c>
      <c r="J660" s="2533" t="s">
        <v>3070</v>
      </c>
      <c r="K660" s="355" t="s">
        <v>5268</v>
      </c>
      <c r="L660" s="472"/>
      <c r="M660" s="472"/>
      <c r="N660" s="442"/>
      <c r="O660" s="442"/>
      <c r="P660" s="442"/>
      <c r="Q660" s="442"/>
      <c r="R660" s="443"/>
      <c r="S660" s="364"/>
      <c r="Z660" s="609" t="s">
        <v>273</v>
      </c>
      <c r="AA660" s="609" t="s">
        <v>2935</v>
      </c>
    </row>
    <row r="661" spans="1:27" ht="18">
      <c r="A661" s="2712"/>
      <c r="B661" s="371">
        <v>101</v>
      </c>
      <c r="C661" s="371" t="s">
        <v>2791</v>
      </c>
      <c r="D661" s="2714">
        <f t="shared" ref="D661:D666" si="57">IF(OR(G661="*",G661="",G661=0),0,COUNTIF($G$661:$G$666,G661))</f>
        <v>0</v>
      </c>
      <c r="E661" s="2719">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8">
      <c r="A662" s="2712"/>
      <c r="B662" s="371">
        <v>102</v>
      </c>
      <c r="C662" s="371" t="s">
        <v>2791</v>
      </c>
      <c r="D662" s="2714">
        <f t="shared" si="57"/>
        <v>0</v>
      </c>
      <c r="E662" s="2719">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8">
      <c r="A663" s="2712"/>
      <c r="B663" s="371">
        <v>103</v>
      </c>
      <c r="C663" s="371" t="s">
        <v>2791</v>
      </c>
      <c r="D663" s="2714">
        <f t="shared" si="57"/>
        <v>0</v>
      </c>
      <c r="E663" s="2719">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8">
      <c r="A664" s="2712"/>
      <c r="B664" s="371">
        <v>104</v>
      </c>
      <c r="C664" s="371" t="s">
        <v>2791</v>
      </c>
      <c r="D664" s="2714">
        <f t="shared" si="57"/>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2"/>
      <c r="B665" s="371">
        <v>105</v>
      </c>
      <c r="C665" s="371" t="s">
        <v>2791</v>
      </c>
      <c r="D665" s="2714">
        <f t="shared" si="57"/>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75" thickBot="1">
      <c r="A666" s="2712"/>
      <c r="B666" s="371"/>
      <c r="C666" s="371"/>
      <c r="D666" s="2714">
        <f t="shared" si="57"/>
        <v>1</v>
      </c>
      <c r="E666" s="2719"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8">
      <c r="A667" s="2712"/>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2" t="s">
        <v>419</v>
      </c>
      <c r="B668" s="371">
        <v>8</v>
      </c>
      <c r="C668" s="371"/>
      <c r="D668" s="2714" t="str">
        <f>VLOOKUP($A668,Sheet_NoteList,2,0)</f>
        <v>外币应收账款</v>
      </c>
      <c r="E668" s="2714" t="s">
        <v>6529</v>
      </c>
      <c r="F668" s="294"/>
      <c r="G668" s="372" t="str">
        <f>"("&amp;B668&amp;")"&amp;D668</f>
        <v>(8)外币应收账款</v>
      </c>
      <c r="H668" s="1515" t="str">
        <f>$A668</f>
        <v>1122c</v>
      </c>
      <c r="I668" s="343" t="s">
        <v>5571</v>
      </c>
      <c r="J668" s="301" t="s">
        <v>5570</v>
      </c>
      <c r="K668" s="2208">
        <f>J676</f>
        <v>23375549.879999999</v>
      </c>
      <c r="L668" s="345" t="str">
        <f>IF($I668="适用",IF(ROUND(K$316-K668,2)&gt;=0,"","#Logical!"),"#N/A")</f>
        <v/>
      </c>
      <c r="M668" s="301"/>
      <c r="N668" s="391"/>
      <c r="O668" s="345"/>
      <c r="P668" s="301"/>
      <c r="Q668" s="290" t="str">
        <f>IF($I668="不适用","",IF(ROUND(SUM($H$671:$J$676),2)=0,"请输入",""))</f>
        <v/>
      </c>
      <c r="S668" s="364"/>
      <c r="Z668" s="609" t="s">
        <v>273</v>
      </c>
      <c r="AA668" s="609" t="s">
        <v>2935</v>
      </c>
    </row>
    <row r="669" spans="1:27" ht="0.75" customHeight="1" thickBot="1">
      <c r="A669" s="2712"/>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2"/>
      <c r="B670" s="371"/>
      <c r="C670" s="371"/>
      <c r="D670" s="371"/>
      <c r="E670" s="2714" t="s">
        <v>2749</v>
      </c>
      <c r="F670" s="294"/>
      <c r="G670" s="1619" t="s">
        <v>1371</v>
      </c>
      <c r="H670" s="1617" t="s">
        <v>3076</v>
      </c>
      <c r="I670" s="1617" t="s">
        <v>3077</v>
      </c>
      <c r="J670" s="1618" t="s">
        <v>3078</v>
      </c>
      <c r="K670" s="355" t="s">
        <v>5602</v>
      </c>
      <c r="L670" s="291"/>
      <c r="M670" s="291"/>
      <c r="N670" s="291"/>
      <c r="O670" s="291"/>
      <c r="P670" s="291"/>
      <c r="Q670" s="367"/>
      <c r="R670" s="367"/>
      <c r="S670" s="364"/>
      <c r="Z670" s="609" t="s">
        <v>273</v>
      </c>
      <c r="AA670" s="609" t="s">
        <v>2935</v>
      </c>
    </row>
    <row r="671" spans="1:27" ht="18">
      <c r="A671" s="2712"/>
      <c r="B671" s="371">
        <v>101</v>
      </c>
      <c r="C671" s="371" t="s">
        <v>2791</v>
      </c>
      <c r="D671" s="2714">
        <f t="shared" ref="D671:D676" si="58">IF(OR(G671="*",G671="",G671=0),0,COUNTIF($G$671:$G$676,G671))</f>
        <v>1</v>
      </c>
      <c r="E671" s="2719">
        <v>1</v>
      </c>
      <c r="F671" s="294"/>
      <c r="G671" s="1616" t="s">
        <v>3079</v>
      </c>
      <c r="H671" s="309">
        <v>3350756.84</v>
      </c>
      <c r="I671" s="360">
        <v>6.9762000000000004</v>
      </c>
      <c r="J671" s="346">
        <v>23375549.879999999</v>
      </c>
      <c r="K671" s="355" t="s">
        <v>5362</v>
      </c>
      <c r="L671" s="1520" t="s">
        <v>5363</v>
      </c>
      <c r="M671" s="291"/>
      <c r="N671" s="291"/>
      <c r="O671" s="291"/>
      <c r="P671" s="291"/>
      <c r="Q671" s="367"/>
      <c r="R671" s="367"/>
      <c r="S671" s="364"/>
      <c r="Z671" s="609" t="s">
        <v>273</v>
      </c>
      <c r="AA671" s="609" t="s">
        <v>2935</v>
      </c>
    </row>
    <row r="672" spans="1:27" ht="18">
      <c r="A672" s="2712"/>
      <c r="B672" s="371">
        <v>102</v>
      </c>
      <c r="C672" s="371" t="s">
        <v>2791</v>
      </c>
      <c r="D672" s="2714">
        <f t="shared" si="58"/>
        <v>1</v>
      </c>
      <c r="E672" s="2719">
        <v>1</v>
      </c>
      <c r="F672" s="294"/>
      <c r="G672" s="1616" t="s">
        <v>3080</v>
      </c>
      <c r="H672" s="309"/>
      <c r="I672" s="360"/>
      <c r="J672" s="346"/>
      <c r="K672" s="355" t="s">
        <v>6174</v>
      </c>
      <c r="L672" s="291"/>
      <c r="M672" s="291"/>
      <c r="N672" s="291"/>
      <c r="O672" s="291"/>
      <c r="P672" s="291"/>
      <c r="Q672" s="367"/>
      <c r="R672" s="367"/>
      <c r="S672" s="364"/>
      <c r="Z672" s="609" t="s">
        <v>273</v>
      </c>
      <c r="AA672" s="609" t="s">
        <v>2935</v>
      </c>
    </row>
    <row r="673" spans="1:27" ht="18">
      <c r="A673" s="2712"/>
      <c r="B673" s="371">
        <v>103</v>
      </c>
      <c r="C673" s="371" t="s">
        <v>2791</v>
      </c>
      <c r="D673" s="2714">
        <f t="shared" si="58"/>
        <v>1</v>
      </c>
      <c r="E673" s="2719">
        <v>1</v>
      </c>
      <c r="F673" s="294"/>
      <c r="G673" s="1616" t="s">
        <v>3081</v>
      </c>
      <c r="H673" s="309"/>
      <c r="I673" s="360"/>
      <c r="J673" s="346"/>
      <c r="K673" s="291"/>
      <c r="L673" s="291"/>
      <c r="M673" s="291"/>
      <c r="N673" s="291"/>
      <c r="O673" s="291"/>
      <c r="P673" s="291"/>
      <c r="Q673" s="367"/>
      <c r="R673" s="367"/>
      <c r="S673" s="364"/>
      <c r="Z673" s="609" t="s">
        <v>273</v>
      </c>
      <c r="AA673" s="609" t="s">
        <v>2935</v>
      </c>
    </row>
    <row r="674" spans="1:27" ht="18">
      <c r="A674" s="2712"/>
      <c r="B674" s="371">
        <v>104</v>
      </c>
      <c r="C674" s="371" t="s">
        <v>2791</v>
      </c>
      <c r="D674" s="2714">
        <f t="shared" si="58"/>
        <v>0</v>
      </c>
      <c r="E674" s="2719">
        <v>1</v>
      </c>
      <c r="F674" s="294"/>
      <c r="G674" s="1616" t="s">
        <v>2792</v>
      </c>
      <c r="H674" s="309"/>
      <c r="I674" s="360"/>
      <c r="J674" s="346"/>
      <c r="K674" s="291"/>
      <c r="L674" s="291"/>
      <c r="M674" s="291"/>
      <c r="N674" s="291"/>
      <c r="O674" s="291"/>
      <c r="P674" s="291"/>
      <c r="Q674" s="367"/>
      <c r="R674" s="367"/>
      <c r="S674" s="364"/>
      <c r="Z674" s="609" t="s">
        <v>273</v>
      </c>
      <c r="AA674" s="609" t="s">
        <v>2935</v>
      </c>
    </row>
    <row r="675" spans="1:27" ht="18">
      <c r="A675" s="2712"/>
      <c r="B675" s="371">
        <v>105</v>
      </c>
      <c r="C675" s="371" t="s">
        <v>2791</v>
      </c>
      <c r="D675" s="2714">
        <f t="shared" si="58"/>
        <v>0</v>
      </c>
      <c r="E675" s="2719">
        <v>1</v>
      </c>
      <c r="F675" s="294"/>
      <c r="G675" s="1616" t="s">
        <v>2792</v>
      </c>
      <c r="H675" s="309"/>
      <c r="I675" s="360"/>
      <c r="J675" s="346"/>
      <c r="K675" s="291"/>
      <c r="L675" s="291"/>
      <c r="M675" s="291"/>
      <c r="N675" s="291"/>
      <c r="O675" s="291"/>
      <c r="P675" s="291"/>
      <c r="Q675" s="367"/>
      <c r="R675" s="367"/>
      <c r="S675" s="364"/>
      <c r="Z675" s="609" t="s">
        <v>273</v>
      </c>
      <c r="AA675" s="609" t="s">
        <v>2935</v>
      </c>
    </row>
    <row r="676" spans="1:27" ht="18.75" thickBot="1">
      <c r="A676" s="2712"/>
      <c r="B676" s="371"/>
      <c r="C676" s="371"/>
      <c r="D676" s="2714">
        <f t="shared" si="58"/>
        <v>1</v>
      </c>
      <c r="E676" s="2719" t="s">
        <v>2751</v>
      </c>
      <c r="F676" s="294"/>
      <c r="G676" s="1527" t="s">
        <v>2752</v>
      </c>
      <c r="H676" s="1523"/>
      <c r="I676" s="1524"/>
      <c r="J676" s="1526">
        <f>SUMPRODUCT($E670:$E675,J670:J675)</f>
        <v>23375549.879999999</v>
      </c>
      <c r="K676" s="291"/>
      <c r="L676" s="291"/>
      <c r="M676" s="291"/>
      <c r="N676" s="291"/>
      <c r="O676" s="291"/>
      <c r="P676" s="291"/>
      <c r="Q676" s="367"/>
      <c r="R676" s="367"/>
      <c r="S676" s="364"/>
      <c r="Z676" s="609" t="s">
        <v>273</v>
      </c>
      <c r="AA676" s="609" t="s">
        <v>2935</v>
      </c>
    </row>
    <row r="677" spans="1:27" ht="18">
      <c r="A677" s="2712"/>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2" t="s">
        <v>425</v>
      </c>
      <c r="B678" s="371">
        <v>9</v>
      </c>
      <c r="C678" s="371"/>
      <c r="D678" s="2714" t="str">
        <f>VLOOKUP($A678,Sheet_NoteList,2,0)</f>
        <v>关联方应收应付款项——应收账款</v>
      </c>
      <c r="E678" s="2714" t="s">
        <v>6529</v>
      </c>
      <c r="F678" s="294"/>
      <c r="G678" s="372" t="str">
        <f>"("&amp;B678&amp;")"&amp;D678</f>
        <v>(9)关联方应收应付款项——应收账款</v>
      </c>
      <c r="H678" s="1515" t="str">
        <f>$A678</f>
        <v>1122l</v>
      </c>
      <c r="I678" s="343" t="s">
        <v>5600</v>
      </c>
      <c r="J678" s="301" t="s">
        <v>5598</v>
      </c>
      <c r="K678" s="2208">
        <f>H687-I687</f>
        <v>34572678.359999999</v>
      </c>
      <c r="L678" s="345"/>
      <c r="M678" s="301" t="s">
        <v>5599</v>
      </c>
      <c r="N678" s="2208">
        <f>J687-K687</f>
        <v>36818600.649999999</v>
      </c>
      <c r="O678" s="345"/>
      <c r="P678" s="301"/>
      <c r="Q678" s="290" t="str">
        <f>IF($I678="不适用","",IF(ROUND(SUM($H$681:$K$687),2)=0,"请输入",""))</f>
        <v/>
      </c>
      <c r="S678" s="364"/>
      <c r="Z678" s="609" t="s">
        <v>273</v>
      </c>
      <c r="AA678" s="609" t="s">
        <v>2935</v>
      </c>
    </row>
    <row r="679" spans="1:27" ht="0.75" customHeight="1" thickBot="1">
      <c r="A679" s="2712"/>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2"/>
      <c r="B680" s="371"/>
      <c r="C680" s="371"/>
      <c r="D680" s="371"/>
      <c r="E680" s="2714" t="s">
        <v>2749</v>
      </c>
      <c r="F680" s="294"/>
      <c r="G680" s="1631" t="s">
        <v>1423</v>
      </c>
      <c r="H680" s="1629" t="s">
        <v>3086</v>
      </c>
      <c r="I680" s="1629" t="s">
        <v>3055</v>
      </c>
      <c r="J680" s="1629" t="s">
        <v>3087</v>
      </c>
      <c r="K680" s="1630" t="s">
        <v>3088</v>
      </c>
      <c r="L680" s="343" t="s">
        <v>5601</v>
      </c>
      <c r="M680" s="291"/>
      <c r="N680" s="291"/>
      <c r="S680" s="364"/>
      <c r="Z680" s="609" t="s">
        <v>273</v>
      </c>
      <c r="AA680" s="609" t="s">
        <v>2935</v>
      </c>
    </row>
    <row r="681" spans="1:27" ht="18">
      <c r="A681" s="2712"/>
      <c r="B681" s="371">
        <v>101</v>
      </c>
      <c r="C681" s="371" t="s">
        <v>2791</v>
      </c>
      <c r="D681" s="2714">
        <f t="shared" ref="D681:D687" si="59">IF(OR(G681="*",G681="",G681=0),0,COUNTIF($G$681:$G$687,G681))</f>
        <v>1</v>
      </c>
      <c r="E681" s="2719">
        <v>1</v>
      </c>
      <c r="F681" s="294"/>
      <c r="G681" s="1632" t="s">
        <v>7425</v>
      </c>
      <c r="H681" s="309">
        <v>9970491.9600000009</v>
      </c>
      <c r="I681" s="309">
        <v>0</v>
      </c>
      <c r="J681" s="309">
        <v>0</v>
      </c>
      <c r="K681" s="346">
        <v>0</v>
      </c>
      <c r="L681" s="355" t="s">
        <v>5362</v>
      </c>
      <c r="M681" s="1520" t="s">
        <v>5603</v>
      </c>
      <c r="N681" s="291"/>
      <c r="S681" s="364"/>
      <c r="Z681" s="609" t="s">
        <v>273</v>
      </c>
      <c r="AA681" s="609" t="s">
        <v>2935</v>
      </c>
    </row>
    <row r="682" spans="1:27" ht="18">
      <c r="A682" s="2712"/>
      <c r="B682" s="371">
        <v>102</v>
      </c>
      <c r="C682" s="371" t="s">
        <v>2791</v>
      </c>
      <c r="D682" s="2714">
        <f t="shared" si="59"/>
        <v>1</v>
      </c>
      <c r="E682" s="2719">
        <v>1</v>
      </c>
      <c r="F682" s="294"/>
      <c r="G682" s="1632" t="s">
        <v>7426</v>
      </c>
      <c r="H682" s="309">
        <v>522100</v>
      </c>
      <c r="I682" s="309">
        <v>0</v>
      </c>
      <c r="J682" s="309">
        <v>522100</v>
      </c>
      <c r="K682" s="346">
        <v>0</v>
      </c>
      <c r="L682" s="355" t="s">
        <v>6174</v>
      </c>
      <c r="M682" s="291"/>
      <c r="N682" s="291"/>
      <c r="S682" s="364"/>
      <c r="Z682" s="609" t="s">
        <v>273</v>
      </c>
      <c r="AA682" s="609" t="s">
        <v>2935</v>
      </c>
    </row>
    <row r="683" spans="1:27" ht="18">
      <c r="A683" s="2712"/>
      <c r="B683" s="371">
        <v>103</v>
      </c>
      <c r="C683" s="371" t="s">
        <v>2791</v>
      </c>
      <c r="D683" s="2714">
        <f t="shared" si="59"/>
        <v>1</v>
      </c>
      <c r="E683" s="2719">
        <v>1</v>
      </c>
      <c r="F683" s="294"/>
      <c r="G683" s="1632" t="s">
        <v>7427</v>
      </c>
      <c r="H683" s="309">
        <v>10767111.5</v>
      </c>
      <c r="I683" s="309">
        <v>0</v>
      </c>
      <c r="J683" s="309">
        <v>0</v>
      </c>
      <c r="K683" s="346">
        <v>0</v>
      </c>
      <c r="L683" s="291"/>
      <c r="M683" s="291"/>
      <c r="N683" s="291"/>
      <c r="S683" s="364"/>
      <c r="Z683" s="609" t="s">
        <v>273</v>
      </c>
      <c r="AA683" s="609" t="s">
        <v>2935</v>
      </c>
    </row>
    <row r="684" spans="1:27" ht="18">
      <c r="A684" s="2712"/>
      <c r="B684" s="371">
        <v>104</v>
      </c>
      <c r="C684" s="371" t="s">
        <v>7430</v>
      </c>
      <c r="D684" s="2714">
        <f t="shared" si="59"/>
        <v>1</v>
      </c>
      <c r="E684" s="2719">
        <v>1</v>
      </c>
      <c r="F684" s="294"/>
      <c r="G684" s="3281" t="s">
        <v>7431</v>
      </c>
      <c r="H684" s="309">
        <v>847743.71</v>
      </c>
      <c r="I684" s="309">
        <v>0</v>
      </c>
      <c r="J684" s="309">
        <v>7155732.6399999997</v>
      </c>
      <c r="K684" s="346">
        <v>0</v>
      </c>
      <c r="L684" s="291"/>
      <c r="M684" s="291"/>
      <c r="N684" s="291"/>
      <c r="S684" s="364"/>
      <c r="Z684" s="609" t="s">
        <v>273</v>
      </c>
      <c r="AA684" s="609" t="s">
        <v>2935</v>
      </c>
    </row>
    <row r="685" spans="1:27" ht="18">
      <c r="A685" s="2712"/>
      <c r="B685" s="371">
        <v>105</v>
      </c>
      <c r="C685" s="371" t="s">
        <v>2791</v>
      </c>
      <c r="D685" s="2714">
        <f t="shared" si="59"/>
        <v>1</v>
      </c>
      <c r="E685" s="2719">
        <v>1</v>
      </c>
      <c r="F685" s="294"/>
      <c r="G685" s="1632" t="s">
        <v>7428</v>
      </c>
      <c r="H685" s="309">
        <v>306952.8</v>
      </c>
      <c r="I685" s="309">
        <v>0</v>
      </c>
      <c r="J685" s="309">
        <v>301980.79999999999</v>
      </c>
      <c r="K685" s="346">
        <v>0</v>
      </c>
      <c r="L685" s="291"/>
      <c r="M685" s="291"/>
      <c r="N685" s="291"/>
      <c r="S685" s="364"/>
      <c r="Z685" s="609" t="s">
        <v>273</v>
      </c>
      <c r="AA685" s="609" t="s">
        <v>2935</v>
      </c>
    </row>
    <row r="686" spans="1:27" ht="24">
      <c r="A686" s="2712"/>
      <c r="B686" s="371">
        <v>106</v>
      </c>
      <c r="C686" s="371" t="s">
        <v>2791</v>
      </c>
      <c r="D686" s="2714">
        <f t="shared" si="59"/>
        <v>1</v>
      </c>
      <c r="E686" s="2719">
        <v>1</v>
      </c>
      <c r="F686" s="294"/>
      <c r="G686" s="1632" t="s">
        <v>7429</v>
      </c>
      <c r="H686" s="309">
        <v>12158278.390000001</v>
      </c>
      <c r="I686" s="309">
        <v>0</v>
      </c>
      <c r="J686" s="309">
        <v>28838787.210000001</v>
      </c>
      <c r="K686" s="346">
        <v>0</v>
      </c>
      <c r="L686" s="291"/>
      <c r="M686" s="291"/>
      <c r="N686" s="291"/>
      <c r="S686" s="364"/>
      <c r="Z686" s="609" t="s">
        <v>273</v>
      </c>
      <c r="AA686" s="609" t="s">
        <v>2935</v>
      </c>
    </row>
    <row r="687" spans="1:27" ht="18.75" thickBot="1">
      <c r="A687" s="2712"/>
      <c r="B687" s="371"/>
      <c r="C687" s="371"/>
      <c r="D687" s="2714">
        <f t="shared" si="59"/>
        <v>1</v>
      </c>
      <c r="E687" s="2719" t="s">
        <v>3032</v>
      </c>
      <c r="F687" s="294"/>
      <c r="G687" s="1527" t="s">
        <v>2752</v>
      </c>
      <c r="H687" s="1525">
        <f>SUMPRODUCT($E680:$E686,H680:H686)</f>
        <v>34572678.359999999</v>
      </c>
      <c r="I687" s="1525">
        <f>SUMPRODUCT($E680:$E686,I680:I686)</f>
        <v>0</v>
      </c>
      <c r="J687" s="1525">
        <f>SUMPRODUCT($E680:$E686,J680:J686)</f>
        <v>36818600.649999999</v>
      </c>
      <c r="K687" s="1526">
        <f>SUMPRODUCT($E680:$E686,K680:K686)</f>
        <v>0</v>
      </c>
      <c r="L687" s="291"/>
      <c r="M687" s="291"/>
      <c r="N687" s="291"/>
      <c r="S687" s="364"/>
      <c r="Z687" s="609" t="s">
        <v>273</v>
      </c>
      <c r="AA687" s="609" t="s">
        <v>2935</v>
      </c>
    </row>
    <row r="688" spans="1:27" ht="18">
      <c r="A688" s="2712"/>
      <c r="B688" s="371"/>
      <c r="C688" s="371" t="s">
        <v>2755</v>
      </c>
      <c r="D688" s="371"/>
      <c r="F688" s="294"/>
      <c r="G688" s="301"/>
      <c r="H688" s="315"/>
      <c r="I688" s="315"/>
      <c r="J688" s="315"/>
      <c r="K688" s="315"/>
      <c r="L688" s="291"/>
      <c r="M688" s="291"/>
      <c r="N688" s="291"/>
      <c r="S688" s="364"/>
      <c r="Z688" s="609" t="s">
        <v>273</v>
      </c>
      <c r="AA688" s="609" t="s">
        <v>2935</v>
      </c>
    </row>
    <row r="689" spans="1:27" ht="18">
      <c r="A689" s="2712" t="s">
        <v>432</v>
      </c>
      <c r="B689" s="371">
        <v>10</v>
      </c>
      <c r="C689" s="371"/>
      <c r="D689" s="2714" t="str">
        <f>VLOOKUP($A689,Sheet_NoteList,2,0)</f>
        <v>应收账款补充资料</v>
      </c>
      <c r="E689" s="2714" t="s">
        <v>6529</v>
      </c>
      <c r="F689" s="294"/>
      <c r="G689" s="483" t="str">
        <f>"("&amp;B689&amp;")"&amp;D689</f>
        <v>(10)应收账款补充资料</v>
      </c>
      <c r="H689" s="1515" t="str">
        <f>$A689</f>
        <v>1122x</v>
      </c>
      <c r="I689" s="343" t="s">
        <v>5963</v>
      </c>
      <c r="J689" s="301" t="s">
        <v>5961</v>
      </c>
      <c r="K689" s="2208">
        <f>N696</f>
        <v>0</v>
      </c>
      <c r="L689" s="345"/>
      <c r="M689" s="301" t="s">
        <v>5962</v>
      </c>
      <c r="N689" s="2208">
        <f>H696</f>
        <v>0</v>
      </c>
      <c r="O689" s="345"/>
      <c r="P689" s="301"/>
      <c r="Q689" s="290" t="str">
        <f>IF($I689="不适用","",IF(ROUND(SUM($H$694:$N$696),2)=0,"请输入",""))</f>
        <v>请输入</v>
      </c>
      <c r="S689" s="364"/>
      <c r="Z689" s="609" t="s">
        <v>273</v>
      </c>
      <c r="AA689" s="609" t="s">
        <v>2935</v>
      </c>
    </row>
    <row r="690" spans="1:27" ht="0.75" customHeight="1">
      <c r="A690" s="2712"/>
      <c r="B690" s="371"/>
      <c r="C690" s="371"/>
      <c r="D690" s="371"/>
      <c r="E690" s="586"/>
      <c r="F690" s="414"/>
      <c r="G690" s="414" t="s">
        <v>3019</v>
      </c>
      <c r="H690" s="293" t="s">
        <v>2904</v>
      </c>
      <c r="I690" s="293" t="s">
        <v>2905</v>
      </c>
      <c r="J690" s="293" t="s">
        <v>2906</v>
      </c>
      <c r="K690" s="293" t="s">
        <v>2907</v>
      </c>
      <c r="L690" s="293" t="s">
        <v>2908</v>
      </c>
      <c r="M690" s="293" t="s">
        <v>2909</v>
      </c>
      <c r="N690" s="293" t="s">
        <v>2910</v>
      </c>
      <c r="O690" s="291"/>
      <c r="P690" s="291"/>
      <c r="S690" s="364"/>
      <c r="Z690" s="609" t="s">
        <v>273</v>
      </c>
      <c r="AA690" s="609" t="s">
        <v>2935</v>
      </c>
    </row>
    <row r="691" spans="1:27" ht="0.75" customHeight="1" thickBot="1">
      <c r="A691" s="2712"/>
      <c r="B691" s="371"/>
      <c r="C691" s="371"/>
      <c r="D691" s="371"/>
      <c r="E691" s="586"/>
      <c r="F691" s="414"/>
      <c r="G691" s="414"/>
      <c r="H691" s="293" t="s">
        <v>3020</v>
      </c>
      <c r="I691" s="293" t="s">
        <v>3021</v>
      </c>
      <c r="J691" s="293" t="s">
        <v>3022</v>
      </c>
      <c r="K691" s="293" t="s">
        <v>3023</v>
      </c>
      <c r="L691" s="293" t="s">
        <v>3024</v>
      </c>
      <c r="M691" s="293" t="s">
        <v>3025</v>
      </c>
      <c r="N691" s="293" t="s">
        <v>3026</v>
      </c>
      <c r="O691" s="291"/>
      <c r="P691" s="291"/>
      <c r="S691" s="364"/>
      <c r="Z691" s="609" t="s">
        <v>273</v>
      </c>
      <c r="AA691" s="609" t="s">
        <v>2935</v>
      </c>
    </row>
    <row r="692" spans="1:27" ht="18">
      <c r="A692" s="2712"/>
      <c r="B692" s="371"/>
      <c r="C692" s="371"/>
      <c r="D692" s="371"/>
      <c r="E692" s="586" t="s">
        <v>2749</v>
      </c>
      <c r="F692" s="363"/>
      <c r="G692" s="3464" t="s">
        <v>47</v>
      </c>
      <c r="H692" s="3500" t="str">
        <f>$V$3</f>
        <v>2018年12月31日</v>
      </c>
      <c r="I692" s="3495" t="s">
        <v>3027</v>
      </c>
      <c r="J692" s="3495"/>
      <c r="K692" s="3495" t="s">
        <v>3028</v>
      </c>
      <c r="L692" s="3495"/>
      <c r="M692" s="3495"/>
      <c r="N692" s="3587" t="str">
        <f>$V$2</f>
        <v>2019年12月31日</v>
      </c>
      <c r="O692" s="355" t="s">
        <v>6174</v>
      </c>
      <c r="P692" s="291"/>
      <c r="S692" s="364"/>
      <c r="Z692" s="609" t="s">
        <v>273</v>
      </c>
      <c r="AA692" s="609" t="s">
        <v>2935</v>
      </c>
    </row>
    <row r="693" spans="1:27" ht="18">
      <c r="A693" s="2712"/>
      <c r="B693" s="371"/>
      <c r="C693" s="371"/>
      <c r="D693" s="371"/>
      <c r="E693" s="586" t="s">
        <v>2749</v>
      </c>
      <c r="F693" s="363"/>
      <c r="G693" s="3465"/>
      <c r="H693" s="3501"/>
      <c r="I693" s="2205" t="s">
        <v>2920</v>
      </c>
      <c r="J693" s="2205" t="s">
        <v>932</v>
      </c>
      <c r="K693" s="2205" t="s">
        <v>3029</v>
      </c>
      <c r="L693" s="2205" t="s">
        <v>3030</v>
      </c>
      <c r="M693" s="2205" t="s">
        <v>932</v>
      </c>
      <c r="N693" s="3588"/>
      <c r="P693" s="291"/>
      <c r="S693" s="364"/>
      <c r="Z693" s="609" t="s">
        <v>273</v>
      </c>
      <c r="AA693" s="609" t="s">
        <v>2935</v>
      </c>
    </row>
    <row r="694" spans="1:27" ht="18">
      <c r="A694" s="2712"/>
      <c r="B694" s="371">
        <v>101</v>
      </c>
      <c r="C694" s="371"/>
      <c r="D694" s="2714">
        <f>IF(OR(G694="*",G694="",G694=0),0,COUNTIF($G$694:$G$696,G694))</f>
        <v>1</v>
      </c>
      <c r="E694" s="2719">
        <v>1</v>
      </c>
      <c r="F694" s="294"/>
      <c r="G694" s="1472" t="s">
        <v>3031</v>
      </c>
      <c r="H694" s="309"/>
      <c r="I694" s="309"/>
      <c r="J694" s="309"/>
      <c r="K694" s="309"/>
      <c r="L694" s="309"/>
      <c r="M694" s="309"/>
      <c r="N694" s="1475">
        <f>SUM(H694:J694)-SUM(K694:M694)</f>
        <v>0</v>
      </c>
      <c r="O694" s="291"/>
      <c r="P694" s="291"/>
      <c r="S694" s="364"/>
      <c r="Z694" s="609" t="s">
        <v>273</v>
      </c>
      <c r="AA694" s="609" t="s">
        <v>2935</v>
      </c>
    </row>
    <row r="695" spans="1:27" ht="18">
      <c r="A695" s="2712"/>
      <c r="B695" s="371">
        <v>102</v>
      </c>
      <c r="C695" s="371" t="s">
        <v>2791</v>
      </c>
      <c r="D695" s="2714">
        <f>IF(OR(G695="*",G695="",G695=0),0,COUNTIF($G$694:$G$696,G695))</f>
        <v>0</v>
      </c>
      <c r="E695" s="2719">
        <v>1</v>
      </c>
      <c r="F695" s="294"/>
      <c r="G695" s="2220" t="s">
        <v>2792</v>
      </c>
      <c r="H695" s="309"/>
      <c r="I695" s="309"/>
      <c r="J695" s="309"/>
      <c r="K695" s="309"/>
      <c r="L695" s="309"/>
      <c r="M695" s="309"/>
      <c r="N695" s="1475">
        <f>SUM(H695:J695)-SUM(K695:M695)</f>
        <v>0</v>
      </c>
      <c r="O695" s="291"/>
      <c r="P695" s="291"/>
      <c r="S695" s="364"/>
      <c r="Z695" s="609" t="s">
        <v>273</v>
      </c>
      <c r="AA695" s="609" t="s">
        <v>2935</v>
      </c>
    </row>
    <row r="696" spans="1:27" ht="18.75" thickBot="1">
      <c r="A696" s="2712"/>
      <c r="B696" s="371"/>
      <c r="C696" s="371"/>
      <c r="D696" s="2714">
        <f>IF(OR(G696="*",G696="",G696=0),0,COUNTIF($G$694:$G$696,G696))</f>
        <v>1</v>
      </c>
      <c r="E696" s="2719" t="s">
        <v>3032</v>
      </c>
      <c r="F696" s="294"/>
      <c r="G696" s="1527" t="s">
        <v>2752</v>
      </c>
      <c r="H696" s="1525">
        <f t="shared" ref="H696:N696" si="60">SUMPRODUCT($E693:$E695,H693:H695)</f>
        <v>0</v>
      </c>
      <c r="I696" s="1525">
        <f t="shared" si="60"/>
        <v>0</v>
      </c>
      <c r="J696" s="1525">
        <f t="shared" si="60"/>
        <v>0</v>
      </c>
      <c r="K696" s="1525">
        <f t="shared" si="60"/>
        <v>0</v>
      </c>
      <c r="L696" s="1525">
        <f t="shared" si="60"/>
        <v>0</v>
      </c>
      <c r="M696" s="1525">
        <f t="shared" si="60"/>
        <v>0</v>
      </c>
      <c r="N696" s="1526">
        <f t="shared" si="60"/>
        <v>0</v>
      </c>
      <c r="O696" s="291"/>
      <c r="P696" s="291"/>
      <c r="S696" s="364"/>
      <c r="Z696" s="609" t="s">
        <v>273</v>
      </c>
      <c r="AA696" s="609" t="s">
        <v>2935</v>
      </c>
    </row>
    <row r="697" spans="1:27" ht="18">
      <c r="A697" s="2712"/>
      <c r="B697" s="371"/>
      <c r="C697" s="371" t="s">
        <v>2755</v>
      </c>
      <c r="D697" s="371"/>
      <c r="F697" s="294"/>
      <c r="G697" s="301"/>
      <c r="H697" s="315" t="s">
        <v>3002</v>
      </c>
      <c r="I697" s="315"/>
      <c r="J697" s="315"/>
      <c r="K697" s="315"/>
      <c r="L697" s="315"/>
      <c r="M697" s="315"/>
      <c r="N697" s="315" t="s">
        <v>3002</v>
      </c>
      <c r="O697" s="291"/>
      <c r="P697" s="291"/>
      <c r="S697" s="364"/>
      <c r="Z697" s="609" t="s">
        <v>273</v>
      </c>
      <c r="AA697" s="609" t="s">
        <v>2935</v>
      </c>
    </row>
    <row r="698" spans="1:27" ht="17.25">
      <c r="A698" s="2713">
        <v>1124</v>
      </c>
      <c r="B698" s="371">
        <v>7</v>
      </c>
      <c r="C698" s="2714" t="str">
        <f>VLOOKUP($A698,Sheet_Items,2,0)</f>
        <v>应收款项融资</v>
      </c>
      <c r="D698" s="371"/>
      <c r="E698" s="2714" t="s">
        <v>2739</v>
      </c>
      <c r="F698" s="293"/>
      <c r="G698" s="305" t="str">
        <f>B698&amp;" "&amp;C698</f>
        <v>7 应收款项融资</v>
      </c>
      <c r="H698" s="306"/>
      <c r="I698" s="306"/>
      <c r="J698" s="306" t="s">
        <v>2740</v>
      </c>
      <c r="K698" s="341">
        <f>VLOOKUP($A698,Sheet_Trialbal,6,0)</f>
        <v>3532481.3</v>
      </c>
      <c r="L698" s="342"/>
      <c r="M698" s="306" t="s">
        <v>2741</v>
      </c>
      <c r="N698" s="341">
        <f>VLOOKUP($A698,Sheet_Trialbal,10,0)</f>
        <v>0</v>
      </c>
      <c r="O698" s="342"/>
      <c r="P698" s="301"/>
      <c r="S698" s="364"/>
      <c r="Z698" s="609" t="s">
        <v>448</v>
      </c>
      <c r="AA698" s="609" t="s">
        <v>3090</v>
      </c>
    </row>
    <row r="699" spans="1:27" ht="18">
      <c r="A699" s="2712" t="s">
        <v>446</v>
      </c>
      <c r="B699" s="371">
        <v>1</v>
      </c>
      <c r="C699" s="371"/>
      <c r="D699" s="2714" t="str">
        <f>VLOOKUP($A699,Sheet_NoteList,2,0)</f>
        <v>应收款项融资分类列示</v>
      </c>
      <c r="E699" s="2714" t="s">
        <v>2742</v>
      </c>
      <c r="F699" s="293"/>
      <c r="G699" s="372" t="str">
        <f>"("&amp;B699&amp;")"&amp;D699</f>
        <v>(1)应收款项融资分类列示</v>
      </c>
      <c r="H699" s="1515" t="str">
        <f>$A699</f>
        <v>1124a</v>
      </c>
      <c r="I699" s="343" t="s">
        <v>2743</v>
      </c>
      <c r="J699" s="301" t="s">
        <v>2744</v>
      </c>
      <c r="K699" s="2208">
        <f>H705</f>
        <v>3532481.3</v>
      </c>
      <c r="L699" s="349" t="str">
        <f>IF($I699="适用",IF(ROUND(K$698-K699,2)=0,"F/S",ROUND(K$698-K699,2)),"#N/A")</f>
        <v>F/S</v>
      </c>
      <c r="M699" s="301" t="s">
        <v>2745</v>
      </c>
      <c r="N699" s="2208">
        <f>I705</f>
        <v>0</v>
      </c>
      <c r="O699" s="349" t="str">
        <f>IF($I699="适用",IF(ROUND(N$698-N699,2)=0,"F/S",ROUND(N$698-N699,2)),"#N/A")</f>
        <v>F/S</v>
      </c>
      <c r="P699" s="301"/>
      <c r="S699" s="364"/>
      <c r="Z699" s="609" t="s">
        <v>448</v>
      </c>
      <c r="AA699" s="609" t="s">
        <v>3090</v>
      </c>
    </row>
    <row r="700" spans="1:27" ht="0.75" customHeight="1" thickBot="1">
      <c r="A700" s="2712"/>
      <c r="B700" s="371"/>
      <c r="C700" s="371"/>
      <c r="D700" s="2714"/>
      <c r="E700" s="586"/>
      <c r="F700" s="586"/>
      <c r="G700" s="2222" t="s">
        <v>3091</v>
      </c>
      <c r="H700" s="371" t="s">
        <v>2747</v>
      </c>
      <c r="I700" s="371" t="s">
        <v>2748</v>
      </c>
      <c r="J700" s="433"/>
      <c r="K700" s="428"/>
      <c r="L700" s="428"/>
      <c r="M700" s="433"/>
      <c r="N700" s="428"/>
      <c r="O700" s="428"/>
      <c r="P700" s="433"/>
      <c r="Q700" s="442"/>
      <c r="R700" s="443"/>
      <c r="S700" s="364"/>
      <c r="Z700" s="609" t="s">
        <v>448</v>
      </c>
      <c r="AA700" s="609" t="s">
        <v>3090</v>
      </c>
    </row>
    <row r="701" spans="1:27" ht="24">
      <c r="A701" s="2712"/>
      <c r="B701" s="371"/>
      <c r="C701" s="371"/>
      <c r="D701" s="2714"/>
      <c r="E701" s="586" t="s">
        <v>2749</v>
      </c>
      <c r="F701" s="414"/>
      <c r="G701" s="2267" t="s">
        <v>47</v>
      </c>
      <c r="H701" s="2265" t="str">
        <f>$W$2&amp;"公允价值"</f>
        <v>2019年12月31日公允价值</v>
      </c>
      <c r="I701" s="2266" t="str">
        <f>$W$3&amp;"公允价值"</f>
        <v>2018年12月31日公允价值</v>
      </c>
      <c r="J701" s="355" t="s">
        <v>5269</v>
      </c>
      <c r="K701" s="434"/>
      <c r="L701" s="434"/>
      <c r="M701" s="435"/>
      <c r="N701" s="434"/>
      <c r="O701" s="434"/>
      <c r="P701" s="435"/>
      <c r="Q701" s="442"/>
      <c r="R701" s="443"/>
      <c r="S701" s="364"/>
      <c r="Z701" s="609" t="s">
        <v>448</v>
      </c>
      <c r="AA701" s="609" t="s">
        <v>3090</v>
      </c>
    </row>
    <row r="702" spans="1:27" ht="18">
      <c r="A702" s="2712"/>
      <c r="B702" s="371">
        <v>101</v>
      </c>
      <c r="C702" s="371"/>
      <c r="D702" s="2714">
        <f>IF(OR(G702="*",G702="",G702=0),0,COUNTIF($G$702:$G$705,G702))</f>
        <v>1</v>
      </c>
      <c r="E702" s="2719">
        <v>1</v>
      </c>
      <c r="F702" s="293"/>
      <c r="G702" s="1472" t="s">
        <v>109</v>
      </c>
      <c r="H702" s="2273">
        <v>3532481.3</v>
      </c>
      <c r="I702" s="2295">
        <v>0</v>
      </c>
      <c r="J702" s="438"/>
      <c r="K702" s="439"/>
      <c r="L702" s="437"/>
      <c r="M702" s="438"/>
      <c r="N702" s="439"/>
      <c r="O702" s="437"/>
      <c r="P702" s="438"/>
      <c r="Q702" s="442"/>
      <c r="R702" s="443"/>
      <c r="S702" s="364"/>
      <c r="Z702" s="609" t="s">
        <v>448</v>
      </c>
      <c r="AA702" s="609" t="s">
        <v>3090</v>
      </c>
    </row>
    <row r="703" spans="1:27" ht="18">
      <c r="A703" s="2712"/>
      <c r="B703" s="371">
        <v>102</v>
      </c>
      <c r="C703" s="371"/>
      <c r="D703" s="2714">
        <f>IF(OR(G703="*",G703="",G703=0),0,COUNTIF($G$702:$G$705,G703))</f>
        <v>1</v>
      </c>
      <c r="E703" s="2719">
        <v>1</v>
      </c>
      <c r="F703" s="293"/>
      <c r="G703" s="1472" t="s">
        <v>124</v>
      </c>
      <c r="H703" s="2273"/>
      <c r="I703" s="2295">
        <v>0</v>
      </c>
      <c r="J703" s="438"/>
      <c r="K703" s="439"/>
      <c r="L703" s="437"/>
      <c r="M703" s="438"/>
      <c r="N703" s="439"/>
      <c r="O703" s="437"/>
      <c r="P703" s="438"/>
      <c r="Q703" s="442"/>
      <c r="R703" s="443"/>
      <c r="S703" s="364"/>
      <c r="Z703" s="609" t="s">
        <v>448</v>
      </c>
      <c r="AA703" s="609" t="s">
        <v>3090</v>
      </c>
    </row>
    <row r="704" spans="1:27" ht="18">
      <c r="A704" s="2712"/>
      <c r="B704" s="371">
        <v>103</v>
      </c>
      <c r="C704" s="371" t="s">
        <v>2791</v>
      </c>
      <c r="D704" s="2714">
        <f>IF(OR(G704="*",G704="",G704=0),0,COUNTIF($G$702:$G$705,G704))</f>
        <v>0</v>
      </c>
      <c r="E704" s="2719">
        <v>1</v>
      </c>
      <c r="F704" s="293"/>
      <c r="G704" s="2272" t="s">
        <v>2792</v>
      </c>
      <c r="H704" s="2273"/>
      <c r="I704" s="2295">
        <v>0</v>
      </c>
      <c r="J704" s="438"/>
      <c r="K704" s="439"/>
      <c r="L704" s="437"/>
      <c r="M704" s="438"/>
      <c r="N704" s="439"/>
      <c r="O704" s="437"/>
      <c r="P704" s="438"/>
      <c r="Q704" s="442"/>
      <c r="R704" s="443"/>
      <c r="S704" s="364"/>
      <c r="Z704" s="609" t="s">
        <v>448</v>
      </c>
      <c r="AA704" s="609" t="s">
        <v>3090</v>
      </c>
    </row>
    <row r="705" spans="1:29" ht="18.75" thickBot="1">
      <c r="A705" s="2712"/>
      <c r="B705" s="371"/>
      <c r="C705" s="371"/>
      <c r="D705" s="2714">
        <f>IF(OR(G705="*",G705="",G705=0),0,COUNTIF($G$702:$G$705,G705))</f>
        <v>1</v>
      </c>
      <c r="E705" s="2719" t="s">
        <v>2751</v>
      </c>
      <c r="F705" s="293"/>
      <c r="G705" s="2232" t="s">
        <v>2752</v>
      </c>
      <c r="H705" s="2233">
        <f>SUMPRODUCT($E701:$E704,H701:H704)</f>
        <v>3532481.3</v>
      </c>
      <c r="I705" s="2234">
        <f>SUMPRODUCT($E701:$E704,I701:I704)</f>
        <v>0</v>
      </c>
      <c r="J705" s="440"/>
      <c r="K705" s="439"/>
      <c r="L705" s="437"/>
      <c r="M705" s="440"/>
      <c r="N705" s="439"/>
      <c r="O705" s="437"/>
      <c r="P705" s="440"/>
      <c r="Q705" s="442"/>
      <c r="R705" s="443"/>
      <c r="S705" s="364"/>
      <c r="Z705" s="609" t="s">
        <v>448</v>
      </c>
      <c r="AA705" s="609" t="s">
        <v>3090</v>
      </c>
    </row>
    <row r="706" spans="1:29" ht="18">
      <c r="A706" s="2712"/>
      <c r="B706" s="371"/>
      <c r="C706" s="371" t="s">
        <v>2755</v>
      </c>
      <c r="D706" s="2714"/>
      <c r="F706" s="293"/>
      <c r="G706" s="376"/>
      <c r="H706" s="315"/>
      <c r="I706" s="396"/>
      <c r="J706" s="425"/>
      <c r="K706" s="426"/>
      <c r="L706" s="427"/>
      <c r="M706" s="425"/>
      <c r="N706" s="426"/>
      <c r="O706" s="427"/>
      <c r="P706" s="425"/>
      <c r="Q706" s="442"/>
      <c r="R706" s="443"/>
      <c r="S706" s="364"/>
      <c r="Z706" s="609" t="s">
        <v>448</v>
      </c>
      <c r="AA706" s="609" t="s">
        <v>3090</v>
      </c>
    </row>
    <row r="707" spans="1:29" ht="24">
      <c r="A707" s="2712" t="s">
        <v>453</v>
      </c>
      <c r="B707" s="371">
        <v>2</v>
      </c>
      <c r="C707" s="371"/>
      <c r="D707" s="2714" t="str">
        <f>VLOOKUP($A707,Sheet_NoteList,2,0)</f>
        <v>应收款项融资——应收票据按减值计提方法分类</v>
      </c>
      <c r="E707" s="2714" t="s">
        <v>2742</v>
      </c>
      <c r="F707" s="293"/>
      <c r="G707" s="372" t="str">
        <f>"("&amp;B707&amp;")"&amp;D707</f>
        <v>(2)应收款项融资——应收票据按减值计提方法分类</v>
      </c>
      <c r="H707" s="1515" t="str">
        <f>$A707</f>
        <v>1124b</v>
      </c>
      <c r="I707" s="343" t="s">
        <v>2743</v>
      </c>
      <c r="J707" s="301" t="s">
        <v>2744</v>
      </c>
      <c r="K707" s="2208">
        <f>J720</f>
        <v>0</v>
      </c>
      <c r="L707" s="349"/>
      <c r="M707" s="301"/>
      <c r="N707" s="391"/>
      <c r="O707" s="349"/>
      <c r="P707" s="301"/>
      <c r="S707" s="364"/>
      <c r="Z707" s="609" t="s">
        <v>448</v>
      </c>
      <c r="AA707" s="609" t="s">
        <v>3090</v>
      </c>
    </row>
    <row r="708" spans="1:29" ht="0.75" customHeight="1">
      <c r="A708" s="2712"/>
      <c r="B708" s="371"/>
      <c r="C708" s="371"/>
      <c r="D708" s="2714"/>
      <c r="E708" s="586"/>
      <c r="F708" s="586"/>
      <c r="G708" s="2222" t="s">
        <v>3092</v>
      </c>
      <c r="H708" s="371" t="s">
        <v>6457</v>
      </c>
      <c r="I708" s="371" t="s">
        <v>6458</v>
      </c>
      <c r="J708" s="371" t="s">
        <v>6459</v>
      </c>
      <c r="K708" s="547" t="s">
        <v>6460</v>
      </c>
      <c r="L708" s="1602"/>
      <c r="M708" s="1602"/>
      <c r="N708" s="1602"/>
      <c r="O708" s="1602"/>
      <c r="P708" s="1602"/>
      <c r="Q708" s="1602"/>
      <c r="R708" s="1602"/>
      <c r="S708" s="364"/>
      <c r="Z708" s="609" t="s">
        <v>448</v>
      </c>
      <c r="AA708" s="609" t="s">
        <v>3090</v>
      </c>
    </row>
    <row r="709" spans="1:29" ht="0.75" customHeight="1" thickBot="1">
      <c r="A709" s="2712"/>
      <c r="B709" s="371"/>
      <c r="C709" s="371"/>
      <c r="D709" s="2714"/>
      <c r="E709" s="586"/>
      <c r="F709" s="586"/>
      <c r="G709" s="2222"/>
      <c r="H709" s="371" t="s">
        <v>6461</v>
      </c>
      <c r="I709" s="371" t="s">
        <v>6462</v>
      </c>
      <c r="J709" s="371" t="s">
        <v>6463</v>
      </c>
      <c r="K709" s="547" t="s">
        <v>6464</v>
      </c>
      <c r="L709" s="1602"/>
      <c r="M709" s="1602"/>
      <c r="N709" s="1602"/>
      <c r="O709" s="1602"/>
      <c r="P709" s="1602"/>
      <c r="Q709" s="1602"/>
      <c r="R709" s="1602"/>
      <c r="S709" s="364"/>
      <c r="Z709" s="609" t="s">
        <v>448</v>
      </c>
      <c r="AA709" s="609" t="s">
        <v>3090</v>
      </c>
    </row>
    <row r="710" spans="1:29" ht="18" customHeight="1">
      <c r="A710" s="2712"/>
      <c r="B710" s="371"/>
      <c r="C710" s="371"/>
      <c r="D710" s="2714"/>
      <c r="E710" s="586" t="s">
        <v>2749</v>
      </c>
      <c r="F710" s="414"/>
      <c r="G710" s="3462" t="s">
        <v>5133</v>
      </c>
      <c r="H710" s="3458" t="str">
        <f>$V$2</f>
        <v>2019年12月31日</v>
      </c>
      <c r="I710" s="3458"/>
      <c r="J710" s="3458"/>
      <c r="K710" s="3459"/>
      <c r="L710" s="355" t="s">
        <v>5269</v>
      </c>
      <c r="M710" s="1602"/>
      <c r="N710" s="1602"/>
      <c r="O710" s="1602"/>
      <c r="P710" s="1602"/>
      <c r="Q710" s="1602"/>
      <c r="R710" s="1602"/>
      <c r="S710" s="364"/>
      <c r="Z710" s="609" t="s">
        <v>448</v>
      </c>
      <c r="AA710" s="609" t="s">
        <v>3090</v>
      </c>
    </row>
    <row r="711" spans="1:29" ht="36">
      <c r="A711" s="2712"/>
      <c r="B711" s="371"/>
      <c r="C711" s="371"/>
      <c r="D711" s="2714"/>
      <c r="E711" s="586" t="s">
        <v>2749</v>
      </c>
      <c r="F711" s="414"/>
      <c r="G711" s="3463"/>
      <c r="H711" s="2686" t="s">
        <v>6393</v>
      </c>
      <c r="I711" s="2686" t="s">
        <v>6391</v>
      </c>
      <c r="J711" s="2686" t="s">
        <v>5143</v>
      </c>
      <c r="K711" s="2688" t="s">
        <v>6392</v>
      </c>
      <c r="L711" s="1602"/>
      <c r="M711" s="1602"/>
      <c r="N711" s="1602"/>
      <c r="O711" s="1602"/>
      <c r="P711" s="1602"/>
      <c r="Q711" s="1602"/>
      <c r="R711" s="1602"/>
      <c r="S711" s="364"/>
      <c r="Z711" s="609" t="s">
        <v>448</v>
      </c>
      <c r="AA711" s="609" t="s">
        <v>3090</v>
      </c>
    </row>
    <row r="712" spans="1:29" ht="18">
      <c r="A712" s="2712"/>
      <c r="B712" s="371">
        <v>101</v>
      </c>
      <c r="C712" s="371"/>
      <c r="D712" s="2714">
        <f t="shared" ref="D712:D720" si="61">IF(OR(G712="*",G712="",G712=0),0,COUNTIF($G$712:$G$720,G712))</f>
        <v>1</v>
      </c>
      <c r="E712" s="2719">
        <v>1</v>
      </c>
      <c r="F712" s="293"/>
      <c r="G712" s="1472" t="s">
        <v>3093</v>
      </c>
      <c r="H712" s="2296"/>
      <c r="I712" s="2296"/>
      <c r="J712" s="1474">
        <f>SUM(J713:J715)</f>
        <v>0</v>
      </c>
      <c r="K712" s="2274"/>
      <c r="L712" s="2674" t="str">
        <f ca="1">HYPERLINK("#'"&amp;$G$1&amp;"'!"&amp;ADDRESS(ROW(Notes!J735),COLUMN(Notes!J735),4),"* 请勿删除此行！点击往勾稽单元格，F5+Enter返回")</f>
        <v>* 请勿删除此行！点击往勾稽单元格，F5+Enter返回</v>
      </c>
      <c r="M712" s="1602"/>
      <c r="N712" s="1602"/>
      <c r="O712" s="1602"/>
      <c r="P712" s="1602"/>
      <c r="Q712" s="1602"/>
      <c r="R712" s="1602"/>
      <c r="S712" s="364"/>
      <c r="Z712" s="609" t="s">
        <v>448</v>
      </c>
      <c r="AA712" s="609" t="s">
        <v>3090</v>
      </c>
      <c r="AC712" s="369" t="s">
        <v>6571</v>
      </c>
    </row>
    <row r="713" spans="1:29" ht="18">
      <c r="A713" s="2712"/>
      <c r="B713" s="371">
        <v>102</v>
      </c>
      <c r="C713" s="371" t="s">
        <v>2791</v>
      </c>
      <c r="D713" s="2714">
        <f t="shared" si="61"/>
        <v>1</v>
      </c>
      <c r="E713" s="2719">
        <v>0</v>
      </c>
      <c r="F713" s="293"/>
      <c r="G713" s="2690" t="s">
        <v>2891</v>
      </c>
      <c r="H713" s="2296"/>
      <c r="I713" s="2296"/>
      <c r="J713" s="2273"/>
      <c r="K713" s="2274"/>
      <c r="L713" s="1602"/>
      <c r="M713" s="1602"/>
      <c r="N713" s="1602"/>
      <c r="O713" s="1602"/>
      <c r="P713" s="1602"/>
      <c r="Q713" s="1602"/>
      <c r="R713" s="1602"/>
      <c r="S713" s="364"/>
      <c r="Z713" s="609" t="s">
        <v>448</v>
      </c>
      <c r="AA713" s="609" t="s">
        <v>3090</v>
      </c>
    </row>
    <row r="714" spans="1:29" ht="18">
      <c r="A714" s="2712"/>
      <c r="B714" s="371">
        <v>103</v>
      </c>
      <c r="C714" s="371" t="s">
        <v>2791</v>
      </c>
      <c r="D714" s="2714">
        <f t="shared" si="61"/>
        <v>0</v>
      </c>
      <c r="E714" s="2719">
        <v>0</v>
      </c>
      <c r="F714" s="293"/>
      <c r="G714" s="2690" t="s">
        <v>2792</v>
      </c>
      <c r="H714" s="2296"/>
      <c r="I714" s="2296"/>
      <c r="J714" s="2273"/>
      <c r="K714" s="2274"/>
      <c r="L714" s="1602"/>
      <c r="M714" s="1602"/>
      <c r="N714" s="1602"/>
      <c r="O714" s="1602"/>
      <c r="P714" s="1602"/>
      <c r="Q714" s="1602"/>
      <c r="R714" s="1602"/>
      <c r="S714" s="364"/>
      <c r="Z714" s="609" t="s">
        <v>448</v>
      </c>
      <c r="AA714" s="609" t="s">
        <v>3090</v>
      </c>
    </row>
    <row r="715" spans="1:29" ht="18">
      <c r="A715" s="2712"/>
      <c r="B715" s="371">
        <v>104</v>
      </c>
      <c r="C715" s="371" t="s">
        <v>2791</v>
      </c>
      <c r="D715" s="2714">
        <f t="shared" si="61"/>
        <v>0</v>
      </c>
      <c r="E715" s="2719">
        <v>0</v>
      </c>
      <c r="F715" s="293"/>
      <c r="G715" s="2690" t="s">
        <v>2792</v>
      </c>
      <c r="H715" s="2296"/>
      <c r="I715" s="2296"/>
      <c r="J715" s="2273"/>
      <c r="K715" s="2274"/>
      <c r="L715" s="1602"/>
      <c r="M715" s="1602"/>
      <c r="N715" s="1602"/>
      <c r="O715" s="1602"/>
      <c r="P715" s="1602"/>
      <c r="Q715" s="1602"/>
      <c r="R715" s="1602"/>
      <c r="S715" s="364"/>
      <c r="Z715" s="609" t="s">
        <v>448</v>
      </c>
      <c r="AA715" s="609" t="s">
        <v>3090</v>
      </c>
    </row>
    <row r="716" spans="1:29" ht="18">
      <c r="A716" s="2712"/>
      <c r="B716" s="371">
        <v>105</v>
      </c>
      <c r="C716" s="371"/>
      <c r="D716" s="2714">
        <f t="shared" si="61"/>
        <v>1</v>
      </c>
      <c r="E716" s="2719">
        <v>1</v>
      </c>
      <c r="F716" s="293"/>
      <c r="G716" s="1472" t="s">
        <v>3094</v>
      </c>
      <c r="H716" s="2296"/>
      <c r="I716" s="2296"/>
      <c r="J716" s="1474">
        <f>SUM(J717:J719)</f>
        <v>0</v>
      </c>
      <c r="K716" s="2274"/>
      <c r="L716" s="1602"/>
      <c r="M716" s="1602"/>
      <c r="N716" s="1602"/>
      <c r="O716" s="1602"/>
      <c r="P716" s="1602"/>
      <c r="Q716" s="1602"/>
      <c r="R716" s="1602"/>
      <c r="S716" s="364"/>
      <c r="Z716" s="609" t="s">
        <v>448</v>
      </c>
      <c r="AA716" s="609" t="s">
        <v>3090</v>
      </c>
    </row>
    <row r="717" spans="1:29" ht="18">
      <c r="A717" s="2712"/>
      <c r="B717" s="371">
        <v>106</v>
      </c>
      <c r="C717" s="371" t="s">
        <v>2791</v>
      </c>
      <c r="D717" s="2714">
        <f t="shared" si="61"/>
        <v>1</v>
      </c>
      <c r="E717" s="2719">
        <v>0</v>
      </c>
      <c r="F717" s="293"/>
      <c r="G717" s="2690" t="s">
        <v>2893</v>
      </c>
      <c r="H717" s="2296"/>
      <c r="I717" s="2296"/>
      <c r="J717" s="2273"/>
      <c r="K717" s="2274"/>
      <c r="L717" s="2674" t="str">
        <f ca="1">HYPERLINK("#'"&amp;$G$1&amp;"'!"&amp;ADDRESS(ROW(Notes!J757),COLUMN(Notes!J757),4),"* 请勿删除此行！点击往勾稽单元格，F5+Enter返回")</f>
        <v>* 请勿删除此行！点击往勾稽单元格，F5+Enter返回</v>
      </c>
      <c r="M717" s="1602"/>
      <c r="N717" s="1602"/>
      <c r="O717" s="1602"/>
      <c r="P717" s="1602"/>
      <c r="Q717" s="1602"/>
      <c r="R717" s="1602"/>
      <c r="S717" s="364"/>
      <c r="Z717" s="609" t="s">
        <v>448</v>
      </c>
      <c r="AA717" s="609" t="s">
        <v>3090</v>
      </c>
      <c r="AC717" s="369" t="s">
        <v>6571</v>
      </c>
    </row>
    <row r="718" spans="1:29" ht="18">
      <c r="A718" s="2712"/>
      <c r="B718" s="371">
        <v>107</v>
      </c>
      <c r="C718" s="371" t="s">
        <v>2791</v>
      </c>
      <c r="D718" s="2714">
        <f t="shared" si="61"/>
        <v>1</v>
      </c>
      <c r="E718" s="2719">
        <v>0</v>
      </c>
      <c r="F718" s="293"/>
      <c r="G718" s="2690" t="s">
        <v>2894</v>
      </c>
      <c r="H718" s="2296"/>
      <c r="I718" s="2296"/>
      <c r="J718" s="2273"/>
      <c r="K718" s="2274"/>
      <c r="L718" s="1602"/>
      <c r="M718" s="1602"/>
      <c r="N718" s="1602"/>
      <c r="O718" s="1602"/>
      <c r="P718" s="1602"/>
      <c r="Q718" s="1602"/>
      <c r="R718" s="1602"/>
      <c r="S718" s="364"/>
      <c r="Z718" s="609" t="s">
        <v>448</v>
      </c>
      <c r="AA718" s="609" t="s">
        <v>3090</v>
      </c>
    </row>
    <row r="719" spans="1:29" ht="18">
      <c r="A719" s="2712"/>
      <c r="B719" s="371">
        <v>108</v>
      </c>
      <c r="C719" s="371" t="s">
        <v>2791</v>
      </c>
      <c r="D719" s="2714">
        <f t="shared" si="61"/>
        <v>0</v>
      </c>
      <c r="E719" s="2719">
        <v>0</v>
      </c>
      <c r="F719" s="293"/>
      <c r="G719" s="2690" t="s">
        <v>2792</v>
      </c>
      <c r="H719" s="2296"/>
      <c r="I719" s="2296"/>
      <c r="J719" s="2273"/>
      <c r="K719" s="2274"/>
      <c r="L719" s="1602"/>
      <c r="M719" s="1602"/>
      <c r="N719" s="1602"/>
      <c r="O719" s="1602"/>
      <c r="P719" s="1602"/>
      <c r="Q719" s="1602"/>
      <c r="R719" s="1602"/>
      <c r="S719" s="364"/>
      <c r="Z719" s="609" t="s">
        <v>448</v>
      </c>
      <c r="AA719" s="609" t="s">
        <v>3090</v>
      </c>
    </row>
    <row r="720" spans="1:29" ht="18.75" thickBot="1">
      <c r="A720" s="2712"/>
      <c r="B720" s="371"/>
      <c r="C720" s="371"/>
      <c r="D720" s="2714">
        <f t="shared" si="61"/>
        <v>1</v>
      </c>
      <c r="E720" s="2719" t="s">
        <v>2751</v>
      </c>
      <c r="F720" s="293"/>
      <c r="G720" s="2232" t="s">
        <v>5139</v>
      </c>
      <c r="H720" s="2239"/>
      <c r="I720" s="2239"/>
      <c r="J720" s="2233">
        <f>SUMPRODUCT($E711:$E719,J711:J719)</f>
        <v>0</v>
      </c>
      <c r="K720" s="2242"/>
      <c r="L720" s="2674" t="str">
        <f ca="1">HYPERLINK("#'"&amp;$G$1&amp;"'!"&amp;ADDRESS(ROW(Notes!P854),COLUMN(Notes!P854),4),"* 请勿删除此行！点击往勾稽单元格，F5+Enter返回")</f>
        <v>* 请勿删除此行！点击往勾稽单元格，F5+Enter返回</v>
      </c>
      <c r="M720" s="1602"/>
      <c r="N720" s="1602"/>
      <c r="O720" s="1602"/>
      <c r="P720" s="1602"/>
      <c r="Q720" s="1602"/>
      <c r="R720" s="1602"/>
      <c r="S720" s="364"/>
      <c r="Z720" s="609" t="s">
        <v>448</v>
      </c>
      <c r="AA720" s="609" t="s">
        <v>3090</v>
      </c>
      <c r="AC720" s="369" t="s">
        <v>6571</v>
      </c>
    </row>
    <row r="721" spans="1:27" ht="18">
      <c r="A721" s="2712"/>
      <c r="B721" s="371"/>
      <c r="C721" s="371" t="s">
        <v>2755</v>
      </c>
      <c r="D721" s="2714"/>
      <c r="F721" s="293"/>
      <c r="G721" s="376"/>
      <c r="H721" s="393"/>
      <c r="I721" s="432"/>
      <c r="J721" s="315"/>
      <c r="K721" s="392"/>
      <c r="L721" s="1602"/>
      <c r="M721" s="1602"/>
      <c r="N721" s="1602"/>
      <c r="O721" s="1602"/>
      <c r="P721" s="1602"/>
      <c r="Q721" s="1602"/>
      <c r="R721" s="1602"/>
      <c r="S721" s="364"/>
      <c r="Z721" s="609" t="s">
        <v>448</v>
      </c>
      <c r="AA721" s="609" t="s">
        <v>3090</v>
      </c>
    </row>
    <row r="722" spans="1:27" ht="36">
      <c r="A722" s="2712" t="s">
        <v>456</v>
      </c>
      <c r="B722" s="371">
        <v>2.1</v>
      </c>
      <c r="C722" s="371"/>
      <c r="D722" s="2714" t="str">
        <f>VLOOKUP($A722,Sheet_NoteList,2,0)</f>
        <v>期末按单项计提减值准备的应收款项融资——应收票据</v>
      </c>
      <c r="E722" s="2714" t="s">
        <v>2742</v>
      </c>
      <c r="F722" s="293"/>
      <c r="G722" s="372" t="str">
        <f>"("&amp;B722&amp;")"&amp;D722</f>
        <v>(2.1)期末按单项计提减值准备的应收款项融资——应收票据</v>
      </c>
      <c r="H722" s="1515" t="str">
        <f>$A722</f>
        <v>1124c</v>
      </c>
      <c r="I722" s="343" t="s">
        <v>2743</v>
      </c>
      <c r="J722" s="301" t="s">
        <v>2744</v>
      </c>
      <c r="K722" s="2208">
        <f>J732</f>
        <v>0</v>
      </c>
      <c r="L722" s="349"/>
      <c r="M722" s="301"/>
      <c r="N722" s="391"/>
      <c r="O722" s="349"/>
      <c r="P722" s="301"/>
      <c r="S722" s="364"/>
      <c r="Z722" s="609" t="s">
        <v>448</v>
      </c>
      <c r="AA722" s="609" t="s">
        <v>3090</v>
      </c>
    </row>
    <row r="723" spans="1:27" ht="0.75" customHeight="1">
      <c r="A723" s="2712"/>
      <c r="B723" s="371"/>
      <c r="C723" s="371"/>
      <c r="D723" s="2714"/>
      <c r="E723" s="586"/>
      <c r="F723" s="586"/>
      <c r="G723" s="2222" t="s">
        <v>3095</v>
      </c>
      <c r="H723" s="371" t="s">
        <v>6465</v>
      </c>
      <c r="I723" s="371" t="s">
        <v>6466</v>
      </c>
      <c r="J723" s="371" t="s">
        <v>6467</v>
      </c>
      <c r="K723" s="547" t="s">
        <v>6468</v>
      </c>
      <c r="L723" s="428"/>
      <c r="M723" s="433"/>
      <c r="N723" s="428"/>
      <c r="O723" s="428"/>
      <c r="P723" s="433"/>
      <c r="Q723" s="442"/>
      <c r="R723" s="443"/>
      <c r="S723" s="364"/>
      <c r="Z723" s="609" t="s">
        <v>448</v>
      </c>
      <c r="AA723" s="609" t="s">
        <v>3090</v>
      </c>
    </row>
    <row r="724" spans="1:27" ht="0.75" customHeight="1" thickBot="1">
      <c r="A724" s="2712"/>
      <c r="B724" s="371"/>
      <c r="C724" s="371"/>
      <c r="D724" s="2714"/>
      <c r="E724" s="586"/>
      <c r="F724" s="586"/>
      <c r="G724" s="2222"/>
      <c r="H724" s="371" t="s">
        <v>6469</v>
      </c>
      <c r="I724" s="371" t="s">
        <v>6470</v>
      </c>
      <c r="J724" s="371" t="s">
        <v>6471</v>
      </c>
      <c r="K724" s="547" t="s">
        <v>6472</v>
      </c>
      <c r="L724" s="428"/>
      <c r="M724" s="433"/>
      <c r="N724" s="428"/>
      <c r="O724" s="428"/>
      <c r="P724" s="433"/>
      <c r="Q724" s="442"/>
      <c r="R724" s="443"/>
      <c r="S724" s="364"/>
      <c r="Z724" s="609" t="s">
        <v>448</v>
      </c>
      <c r="AA724" s="609" t="s">
        <v>3090</v>
      </c>
    </row>
    <row r="725" spans="1:27" ht="18" customHeight="1">
      <c r="A725" s="2712"/>
      <c r="B725" s="371"/>
      <c r="C725" s="371"/>
      <c r="D725" s="2714"/>
      <c r="E725" s="586" t="s">
        <v>2749</v>
      </c>
      <c r="F725" s="414"/>
      <c r="G725" s="3462" t="s">
        <v>6394</v>
      </c>
      <c r="H725" s="3458" t="str">
        <f>$V$2</f>
        <v>2019年12月31日</v>
      </c>
      <c r="I725" s="3458"/>
      <c r="J725" s="3458"/>
      <c r="K725" s="3459"/>
      <c r="L725" s="355" t="s">
        <v>5269</v>
      </c>
      <c r="M725" s="433"/>
      <c r="N725" s="428"/>
      <c r="O725" s="428"/>
      <c r="P725" s="433"/>
      <c r="Q725" s="442"/>
      <c r="R725" s="443"/>
      <c r="S725" s="364"/>
      <c r="Z725" s="609" t="s">
        <v>448</v>
      </c>
      <c r="AA725" s="609" t="s">
        <v>3090</v>
      </c>
    </row>
    <row r="726" spans="1:27" ht="36">
      <c r="A726" s="2712"/>
      <c r="B726" s="371"/>
      <c r="C726" s="371"/>
      <c r="D726" s="2714"/>
      <c r="E726" s="586" t="s">
        <v>2749</v>
      </c>
      <c r="F726" s="414"/>
      <c r="G726" s="3463"/>
      <c r="H726" s="2686" t="s">
        <v>6395</v>
      </c>
      <c r="I726" s="2686" t="s">
        <v>6396</v>
      </c>
      <c r="J726" s="2686" t="s">
        <v>6397</v>
      </c>
      <c r="K726" s="2688" t="s">
        <v>6398</v>
      </c>
      <c r="L726" s="434"/>
      <c r="M726" s="435"/>
      <c r="N726" s="434"/>
      <c r="O726" s="434"/>
      <c r="P726" s="435"/>
      <c r="Q726" s="442"/>
      <c r="R726" s="443"/>
      <c r="S726" s="364"/>
      <c r="Z726" s="609" t="s">
        <v>448</v>
      </c>
      <c r="AA726" s="609" t="s">
        <v>3090</v>
      </c>
    </row>
    <row r="727" spans="1:27" ht="18">
      <c r="A727" s="2712"/>
      <c r="B727" s="371">
        <v>101</v>
      </c>
      <c r="C727" s="371" t="s">
        <v>2791</v>
      </c>
      <c r="D727" s="2714">
        <f t="shared" ref="D727:D732" si="62">IF(OR(G727="*",G727="",G727=0),0,COUNTIF($G$727:$G$732,G727))</f>
        <v>0</v>
      </c>
      <c r="E727" s="2719">
        <v>1</v>
      </c>
      <c r="F727" s="293"/>
      <c r="G727" s="2690" t="s">
        <v>2792</v>
      </c>
      <c r="H727" s="2296"/>
      <c r="I727" s="2296"/>
      <c r="J727" s="2273"/>
      <c r="K727" s="2274"/>
      <c r="L727" s="437"/>
      <c r="M727" s="438"/>
      <c r="N727" s="439"/>
      <c r="O727" s="437"/>
      <c r="P727" s="438"/>
      <c r="Q727" s="442"/>
      <c r="R727" s="443"/>
      <c r="S727" s="364"/>
      <c r="Z727" s="609" t="s">
        <v>448</v>
      </c>
      <c r="AA727" s="609" t="s">
        <v>3090</v>
      </c>
    </row>
    <row r="728" spans="1:27" ht="18">
      <c r="A728" s="2712"/>
      <c r="B728" s="371">
        <v>102</v>
      </c>
      <c r="C728" s="371" t="s">
        <v>2791</v>
      </c>
      <c r="D728" s="2714">
        <f t="shared" si="62"/>
        <v>0</v>
      </c>
      <c r="E728" s="2719">
        <v>1</v>
      </c>
      <c r="F728" s="293"/>
      <c r="G728" s="2690" t="s">
        <v>2792</v>
      </c>
      <c r="H728" s="2296"/>
      <c r="I728" s="2296"/>
      <c r="J728" s="2273"/>
      <c r="K728" s="2274"/>
      <c r="L728" s="437"/>
      <c r="M728" s="438"/>
      <c r="N728" s="439"/>
      <c r="O728" s="437"/>
      <c r="P728" s="438"/>
      <c r="Q728" s="442"/>
      <c r="R728" s="443"/>
      <c r="S728" s="364"/>
      <c r="Z728" s="609" t="s">
        <v>448</v>
      </c>
      <c r="AA728" s="609" t="s">
        <v>3090</v>
      </c>
    </row>
    <row r="729" spans="1:27" ht="18">
      <c r="A729" s="2712"/>
      <c r="B729" s="371">
        <v>103</v>
      </c>
      <c r="C729" s="371" t="s">
        <v>2791</v>
      </c>
      <c r="D729" s="2714">
        <f t="shared" si="62"/>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7" ht="18">
      <c r="A730" s="2712"/>
      <c r="B730" s="371">
        <v>104</v>
      </c>
      <c r="C730" s="371" t="s">
        <v>2791</v>
      </c>
      <c r="D730" s="2714">
        <f t="shared" si="62"/>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7" ht="18">
      <c r="A731" s="2712"/>
      <c r="B731" s="371">
        <v>105</v>
      </c>
      <c r="C731" s="371" t="s">
        <v>2791</v>
      </c>
      <c r="D731" s="2714">
        <f t="shared" si="62"/>
        <v>0</v>
      </c>
      <c r="E731" s="2719">
        <v>1</v>
      </c>
      <c r="F731" s="293"/>
      <c r="G731" s="2690" t="s">
        <v>2792</v>
      </c>
      <c r="H731" s="2296"/>
      <c r="I731" s="2296"/>
      <c r="J731" s="2273"/>
      <c r="K731" s="2274"/>
      <c r="L731" s="437"/>
      <c r="M731" s="438"/>
      <c r="N731" s="439"/>
      <c r="O731" s="437"/>
      <c r="P731" s="438"/>
      <c r="Q731" s="442"/>
      <c r="R731" s="443"/>
      <c r="S731" s="364"/>
      <c r="Z731" s="609" t="s">
        <v>448</v>
      </c>
      <c r="AA731" s="609" t="s">
        <v>3090</v>
      </c>
    </row>
    <row r="732" spans="1:27" ht="18.75" thickBot="1">
      <c r="A732" s="2712"/>
      <c r="B732" s="371"/>
      <c r="C732" s="371"/>
      <c r="D732" s="2714">
        <f t="shared" si="62"/>
        <v>1</v>
      </c>
      <c r="E732" s="2719" t="s">
        <v>2751</v>
      </c>
      <c r="F732" s="293"/>
      <c r="G732" s="2232" t="s">
        <v>2752</v>
      </c>
      <c r="H732" s="2239"/>
      <c r="I732" s="2239"/>
      <c r="J732" s="2233">
        <f>SUMPRODUCT($E726:$E731,J726:J731)</f>
        <v>0</v>
      </c>
      <c r="K732" s="2242"/>
      <c r="L732" s="437"/>
      <c r="M732" s="440"/>
      <c r="N732" s="439"/>
      <c r="O732" s="437"/>
      <c r="P732" s="440"/>
      <c r="Q732" s="442"/>
      <c r="R732" s="443"/>
      <c r="S732" s="364"/>
      <c r="Z732" s="609" t="s">
        <v>448</v>
      </c>
      <c r="AA732" s="609" t="s">
        <v>3090</v>
      </c>
    </row>
    <row r="733" spans="1:27" ht="18.75" thickBot="1">
      <c r="A733" s="2712"/>
      <c r="B733" s="371"/>
      <c r="C733" s="371" t="s">
        <v>2755</v>
      </c>
      <c r="D733" s="2714"/>
      <c r="F733" s="293"/>
      <c r="G733" s="376"/>
      <c r="H733" s="393"/>
      <c r="I733" s="432"/>
      <c r="J733" s="527" t="s">
        <v>3002</v>
      </c>
      <c r="K733" s="392"/>
      <c r="L733" s="427"/>
      <c r="M733" s="425"/>
      <c r="N733" s="426"/>
      <c r="O733" s="427"/>
      <c r="P733" s="425"/>
      <c r="Q733" s="442"/>
      <c r="R733" s="443"/>
      <c r="S733" s="364"/>
      <c r="Z733" s="609" t="s">
        <v>448</v>
      </c>
      <c r="AA733" s="609" t="s">
        <v>3090</v>
      </c>
    </row>
    <row r="734" spans="1:27" ht="18.75" thickTop="1">
      <c r="A734" s="2712"/>
      <c r="B734" s="371"/>
      <c r="C734" s="371" t="s">
        <v>2565</v>
      </c>
      <c r="D734" s="2714"/>
      <c r="F734" s="293"/>
      <c r="G734" s="1547" t="s">
        <v>5365</v>
      </c>
      <c r="H734" s="1548" t="str">
        <f>G707</f>
        <v>(2)应收款项融资——应收票据按减值计提方法分类</v>
      </c>
      <c r="I734" s="1549"/>
      <c r="J734" s="1550"/>
      <c r="K734" s="1549"/>
      <c r="L734" s="1551" t="s">
        <v>5366</v>
      </c>
      <c r="M734" s="425"/>
      <c r="N734" s="426"/>
      <c r="O734" s="427"/>
      <c r="P734" s="425"/>
      <c r="Q734" s="442"/>
      <c r="R734" s="442"/>
      <c r="S734" s="364"/>
      <c r="Z734" s="609" t="s">
        <v>448</v>
      </c>
      <c r="AA734" s="609" t="s">
        <v>3090</v>
      </c>
    </row>
    <row r="735" spans="1:27" ht="18">
      <c r="A735" s="2712"/>
      <c r="B735" s="371"/>
      <c r="C735" s="371" t="s">
        <v>2565</v>
      </c>
      <c r="D735" s="2714"/>
      <c r="F735" s="293"/>
      <c r="G735" s="604" t="str">
        <f>"注释A:"&amp; G712</f>
        <v>注释A:按单项计提减值准备</v>
      </c>
      <c r="H735" s="351"/>
      <c r="I735" s="351"/>
      <c r="J735" s="2250">
        <f ca="1">HYPERLINK("#'"&amp;$G$1&amp;"'!"&amp;ADDRESS(ROW(Notes!J712),COLUMN(Notes!J712),4),J712)</f>
        <v>0</v>
      </c>
      <c r="K735" s="351"/>
      <c r="L735" s="2634" t="str">
        <f>H707</f>
        <v>1124b</v>
      </c>
      <c r="M735" s="425"/>
      <c r="N735" s="426"/>
      <c r="O735" s="427"/>
      <c r="P735" s="425"/>
      <c r="Q735" s="442"/>
      <c r="R735" s="442"/>
      <c r="S735" s="364"/>
      <c r="Z735" s="609" t="s">
        <v>448</v>
      </c>
      <c r="AA735" s="609" t="s">
        <v>3090</v>
      </c>
    </row>
    <row r="736" spans="1:27" ht="18">
      <c r="A736" s="2712"/>
      <c r="B736" s="371"/>
      <c r="C736" s="371" t="s">
        <v>2565</v>
      </c>
      <c r="D736" s="2714"/>
      <c r="F736" s="293"/>
      <c r="G736" s="604" t="str">
        <f>"本注释B:"&amp; G732</f>
        <v>本注释B:合       计</v>
      </c>
      <c r="H736" s="351"/>
      <c r="I736" s="351"/>
      <c r="J736" s="456">
        <f>J732</f>
        <v>0</v>
      </c>
      <c r="K736" s="351"/>
      <c r="L736" s="2637" t="s">
        <v>456</v>
      </c>
      <c r="M736" s="425"/>
      <c r="N736" s="426"/>
      <c r="O736" s="427"/>
      <c r="P736" s="425"/>
      <c r="Q736" s="442"/>
      <c r="R736" s="442"/>
      <c r="S736" s="364"/>
      <c r="Z736" s="609" t="s">
        <v>448</v>
      </c>
      <c r="AA736" s="609" t="s">
        <v>3090</v>
      </c>
    </row>
    <row r="737" spans="1:27" ht="18.75" thickBot="1">
      <c r="A737" s="2712"/>
      <c r="B737" s="371"/>
      <c r="C737" s="371" t="s">
        <v>2565</v>
      </c>
      <c r="D737" s="2714"/>
      <c r="F737" s="293"/>
      <c r="G737" s="1552" t="s">
        <v>2757</v>
      </c>
      <c r="H737" s="1553"/>
      <c r="I737" s="1553"/>
      <c r="J737" s="1529">
        <f ca="1">IF(AND(J735="",J736=""),"",ROUND(J735-J736,2))</f>
        <v>0</v>
      </c>
      <c r="K737" s="1553"/>
      <c r="L737" s="1554"/>
      <c r="M737" s="425"/>
      <c r="N737" s="426"/>
      <c r="O737" s="427"/>
      <c r="P737" s="425"/>
      <c r="Q737" s="442"/>
      <c r="R737" s="442"/>
      <c r="S737" s="364"/>
      <c r="Z737" s="609" t="s">
        <v>448</v>
      </c>
      <c r="AA737" s="609" t="s">
        <v>3090</v>
      </c>
    </row>
    <row r="738" spans="1:27" ht="18.75" thickTop="1">
      <c r="A738" s="2712"/>
      <c r="B738" s="371"/>
      <c r="C738" s="371" t="s">
        <v>2565</v>
      </c>
      <c r="D738" s="2714"/>
      <c r="F738" s="293"/>
      <c r="G738" s="1543"/>
      <c r="H738" s="317"/>
      <c r="I738" s="317"/>
      <c r="J738" s="459" t="str">
        <f ca="1">IF(OR(J737=0,J737=""),"√","？")</f>
        <v>√</v>
      </c>
      <c r="K738" s="317"/>
      <c r="L738" s="1545"/>
      <c r="M738" s="425"/>
      <c r="N738" s="426"/>
      <c r="O738" s="427"/>
      <c r="P738" s="425"/>
      <c r="Q738" s="442"/>
      <c r="R738" s="442"/>
      <c r="S738" s="364"/>
      <c r="Z738" s="609" t="s">
        <v>448</v>
      </c>
      <c r="AA738" s="609" t="s">
        <v>3090</v>
      </c>
    </row>
    <row r="739" spans="1:27" ht="18">
      <c r="A739" s="2712"/>
      <c r="B739" s="371"/>
      <c r="C739" s="371" t="s">
        <v>2565</v>
      </c>
      <c r="D739" s="2714"/>
      <c r="F739" s="293"/>
      <c r="G739" s="1557" t="s">
        <v>2759</v>
      </c>
      <c r="H739" s="317"/>
      <c r="I739" s="317"/>
      <c r="J739" s="461"/>
      <c r="K739" s="352">
        <f ca="1">SUMIF($H$738:$L$738,"&lt;&gt;√",$H$737:$L$737)</f>
        <v>0</v>
      </c>
      <c r="L739" s="2252" t="str">
        <f ca="1">IF(OR(K739=0,K739=""),"√","？")</f>
        <v>√</v>
      </c>
      <c r="M739" s="425"/>
      <c r="N739" s="426"/>
      <c r="O739" s="427"/>
      <c r="P739" s="425"/>
      <c r="Q739" s="442"/>
      <c r="R739" s="442"/>
      <c r="S739" s="364"/>
      <c r="Z739" s="609" t="s">
        <v>448</v>
      </c>
      <c r="AA739" s="609" t="s">
        <v>3090</v>
      </c>
    </row>
    <row r="740" spans="1:27" ht="18">
      <c r="A740" s="2712"/>
      <c r="B740" s="371"/>
      <c r="C740" s="371" t="s">
        <v>2565</v>
      </c>
      <c r="D740" s="2714"/>
      <c r="F740" s="293"/>
      <c r="G740" s="1543"/>
      <c r="H740" s="317"/>
      <c r="I740" s="317"/>
      <c r="J740" s="461"/>
      <c r="K740" s="317"/>
      <c r="L740" s="1545"/>
      <c r="M740" s="425"/>
      <c r="N740" s="426"/>
      <c r="O740" s="427"/>
      <c r="P740" s="425"/>
      <c r="Q740" s="442"/>
      <c r="R740" s="442"/>
      <c r="S740" s="364"/>
      <c r="Z740" s="609" t="s">
        <v>448</v>
      </c>
      <c r="AA740" s="609" t="s">
        <v>3090</v>
      </c>
    </row>
    <row r="741" spans="1:27" ht="36">
      <c r="A741" s="2712" t="s">
        <v>461</v>
      </c>
      <c r="B741" s="371">
        <v>2.2000000000000002</v>
      </c>
      <c r="C741" s="371"/>
      <c r="D741" s="2714" t="str">
        <f>VLOOKUP($A741,Sheet_NoteList,2,0)</f>
        <v>期末按按组合1计提减值准备的应收款项融资——应收票据</v>
      </c>
      <c r="E741" s="2714" t="s">
        <v>2742</v>
      </c>
      <c r="F741" s="293"/>
      <c r="G741" s="372" t="str">
        <f>"("&amp;B741&amp;")"&amp;D741</f>
        <v>(2.2)期末按按组合1计提减值准备的应收款项融资——应收票据</v>
      </c>
      <c r="H741" s="1515" t="str">
        <f>$A741</f>
        <v>1124d</v>
      </c>
      <c r="I741" s="343" t="s">
        <v>2743</v>
      </c>
      <c r="J741" s="301" t="s">
        <v>2744</v>
      </c>
      <c r="K741" s="2208">
        <f>J754</f>
        <v>0</v>
      </c>
      <c r="L741" s="349"/>
      <c r="M741" s="301"/>
      <c r="N741" s="391"/>
      <c r="O741" s="349"/>
      <c r="P741" s="301"/>
      <c r="S741" s="364"/>
      <c r="Z741" s="609" t="s">
        <v>448</v>
      </c>
      <c r="AA741" s="609" t="s">
        <v>3090</v>
      </c>
    </row>
    <row r="742" spans="1:27" ht="0.75" customHeight="1">
      <c r="A742" s="2712"/>
      <c r="B742" s="371"/>
      <c r="C742" s="371"/>
      <c r="D742" s="2714"/>
      <c r="E742" s="586"/>
      <c r="F742" s="586"/>
      <c r="G742" s="2222" t="s">
        <v>3098</v>
      </c>
      <c r="H742" s="371" t="s">
        <v>6473</v>
      </c>
      <c r="I742" s="371" t="s">
        <v>6474</v>
      </c>
      <c r="J742" s="371" t="s">
        <v>6475</v>
      </c>
      <c r="K742" s="547" t="s">
        <v>6476</v>
      </c>
      <c r="L742" s="428"/>
      <c r="M742" s="433"/>
      <c r="N742" s="428"/>
      <c r="O742" s="428"/>
      <c r="P742" s="433"/>
      <c r="Q742" s="442"/>
      <c r="R742" s="443"/>
      <c r="S742" s="364"/>
      <c r="Z742" s="609" t="s">
        <v>448</v>
      </c>
      <c r="AA742" s="609" t="s">
        <v>3090</v>
      </c>
    </row>
    <row r="743" spans="1:27" ht="0.75" customHeight="1" thickBot="1">
      <c r="A743" s="2712"/>
      <c r="B743" s="371"/>
      <c r="C743" s="371"/>
      <c r="D743" s="2714"/>
      <c r="E743" s="586"/>
      <c r="F743" s="586"/>
      <c r="G743" s="2222"/>
      <c r="H743" s="371" t="s">
        <v>6477</v>
      </c>
      <c r="I743" s="371" t="s">
        <v>6478</v>
      </c>
      <c r="J743" s="371" t="s">
        <v>6479</v>
      </c>
      <c r="K743" s="547" t="s">
        <v>6480</v>
      </c>
      <c r="L743" s="428"/>
      <c r="M743" s="433"/>
      <c r="N743" s="428"/>
      <c r="O743" s="428"/>
      <c r="P743" s="433"/>
      <c r="Q743" s="442"/>
      <c r="R743" s="443"/>
      <c r="S743" s="364"/>
      <c r="Z743" s="609" t="s">
        <v>448</v>
      </c>
      <c r="AA743" s="609" t="s">
        <v>3090</v>
      </c>
    </row>
    <row r="744" spans="1:27" ht="18" customHeight="1">
      <c r="A744" s="2712"/>
      <c r="B744" s="371"/>
      <c r="C744" s="371"/>
      <c r="D744" s="2714"/>
      <c r="E744" s="586" t="s">
        <v>2749</v>
      </c>
      <c r="F744" s="414"/>
      <c r="G744" s="3462" t="s">
        <v>5134</v>
      </c>
      <c r="H744" s="3458" t="str">
        <f>$V$2</f>
        <v>2019年12月31日</v>
      </c>
      <c r="I744" s="3458"/>
      <c r="J744" s="3458"/>
      <c r="K744" s="3459"/>
      <c r="L744" s="355" t="s">
        <v>5269</v>
      </c>
      <c r="M744" s="433"/>
      <c r="N744" s="428"/>
      <c r="O744" s="428"/>
      <c r="P744" s="433"/>
      <c r="Q744" s="442"/>
      <c r="R744" s="443"/>
      <c r="S744" s="364"/>
      <c r="Z744" s="609" t="s">
        <v>448</v>
      </c>
      <c r="AA744" s="609" t="s">
        <v>3090</v>
      </c>
    </row>
    <row r="745" spans="1:27" ht="36">
      <c r="A745" s="2712"/>
      <c r="B745" s="371"/>
      <c r="C745" s="371"/>
      <c r="D745" s="2714"/>
      <c r="E745" s="586" t="s">
        <v>2749</v>
      </c>
      <c r="F745" s="414"/>
      <c r="G745" s="3463"/>
      <c r="H745" s="2686" t="s">
        <v>6393</v>
      </c>
      <c r="I745" s="2686" t="s">
        <v>6391</v>
      </c>
      <c r="J745" s="2686" t="s">
        <v>5143</v>
      </c>
      <c r="K745" s="2688" t="s">
        <v>6392</v>
      </c>
      <c r="L745" s="355" t="s">
        <v>6389</v>
      </c>
      <c r="M745" s="435"/>
      <c r="N745" s="434"/>
      <c r="O745" s="434"/>
      <c r="P745" s="435"/>
      <c r="Q745" s="442"/>
      <c r="R745" s="443"/>
      <c r="S745" s="364"/>
      <c r="Z745" s="609" t="s">
        <v>448</v>
      </c>
      <c r="AA745" s="609" t="s">
        <v>3090</v>
      </c>
    </row>
    <row r="746" spans="1:27" ht="18">
      <c r="A746" s="2712"/>
      <c r="B746" s="371">
        <v>101</v>
      </c>
      <c r="C746" s="371" t="s">
        <v>2791</v>
      </c>
      <c r="D746" s="2714">
        <f t="shared" ref="D746:D754" si="63">IF(OR(G746="*",G746="",G746=0),0,COUNTIF($G$746:$G$754,G746))</f>
        <v>0</v>
      </c>
      <c r="E746" s="2719">
        <v>1</v>
      </c>
      <c r="F746" s="293"/>
      <c r="G746" s="2690" t="s">
        <v>2792</v>
      </c>
      <c r="H746" s="2296"/>
      <c r="I746" s="2296"/>
      <c r="J746" s="2273"/>
      <c r="K746" s="2274"/>
      <c r="L746" s="437"/>
      <c r="M746" s="438"/>
      <c r="N746" s="439"/>
      <c r="O746" s="437"/>
      <c r="P746" s="438"/>
      <c r="Q746" s="442"/>
      <c r="R746" s="443"/>
      <c r="S746" s="364"/>
      <c r="Z746" s="609" t="s">
        <v>448</v>
      </c>
      <c r="AA746" s="609" t="s">
        <v>3090</v>
      </c>
    </row>
    <row r="747" spans="1:27" ht="18">
      <c r="A747" s="2712"/>
      <c r="B747" s="371">
        <v>102</v>
      </c>
      <c r="C747" s="371" t="s">
        <v>2791</v>
      </c>
      <c r="D747" s="2714">
        <f t="shared" si="63"/>
        <v>0</v>
      </c>
      <c r="E747" s="2719">
        <v>1</v>
      </c>
      <c r="F747" s="293"/>
      <c r="G747" s="2690" t="s">
        <v>2792</v>
      </c>
      <c r="H747" s="2296"/>
      <c r="I747" s="2296"/>
      <c r="J747" s="2273"/>
      <c r="K747" s="2274"/>
      <c r="L747" s="437"/>
      <c r="M747" s="438"/>
      <c r="N747" s="439"/>
      <c r="O747" s="437"/>
      <c r="P747" s="438"/>
      <c r="Q747" s="442"/>
      <c r="R747" s="443"/>
      <c r="S747" s="364"/>
      <c r="Z747" s="609" t="s">
        <v>448</v>
      </c>
      <c r="AA747" s="609" t="s">
        <v>3090</v>
      </c>
    </row>
    <row r="748" spans="1:27" ht="18">
      <c r="A748" s="2712"/>
      <c r="B748" s="371">
        <v>103</v>
      </c>
      <c r="C748" s="371" t="s">
        <v>2791</v>
      </c>
      <c r="D748" s="2714">
        <f t="shared" si="63"/>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8">
      <c r="A749" s="2712"/>
      <c r="B749" s="371">
        <v>104</v>
      </c>
      <c r="C749" s="371" t="s">
        <v>2791</v>
      </c>
      <c r="D749" s="2714">
        <f t="shared" si="63"/>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8">
      <c r="A750" s="2712"/>
      <c r="B750" s="371">
        <v>105</v>
      </c>
      <c r="C750" s="371" t="s">
        <v>2791</v>
      </c>
      <c r="D750" s="2714">
        <f t="shared" si="63"/>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8">
      <c r="A751" s="2712"/>
      <c r="B751" s="371">
        <v>106</v>
      </c>
      <c r="C751" s="371" t="s">
        <v>2791</v>
      </c>
      <c r="D751" s="2714">
        <f t="shared" si="63"/>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107</v>
      </c>
      <c r="C752" s="371" t="s">
        <v>2791</v>
      </c>
      <c r="D752" s="2714">
        <f t="shared" si="63"/>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
      <c r="A753" s="2712"/>
      <c r="B753" s="371">
        <v>108</v>
      </c>
      <c r="C753" s="371" t="s">
        <v>2791</v>
      </c>
      <c r="D753" s="2714">
        <f t="shared" si="63"/>
        <v>0</v>
      </c>
      <c r="E753" s="2719">
        <v>1</v>
      </c>
      <c r="F753" s="293"/>
      <c r="G753" s="2690" t="s">
        <v>2792</v>
      </c>
      <c r="H753" s="2296"/>
      <c r="I753" s="2296"/>
      <c r="J753" s="2273"/>
      <c r="K753" s="2274"/>
      <c r="L753" s="437"/>
      <c r="M753" s="438"/>
      <c r="N753" s="439"/>
      <c r="O753" s="437"/>
      <c r="P753" s="438"/>
      <c r="Q753" s="442"/>
      <c r="R753" s="443"/>
      <c r="S753" s="364"/>
      <c r="Z753" s="609" t="s">
        <v>448</v>
      </c>
      <c r="AA753" s="609" t="s">
        <v>3090</v>
      </c>
    </row>
    <row r="754" spans="1:27" ht="18.75" thickBot="1">
      <c r="A754" s="2712"/>
      <c r="B754" s="371"/>
      <c r="C754" s="371"/>
      <c r="D754" s="2714">
        <f t="shared" si="63"/>
        <v>1</v>
      </c>
      <c r="E754" s="2719" t="s">
        <v>2751</v>
      </c>
      <c r="F754" s="293"/>
      <c r="G754" s="2232" t="s">
        <v>2752</v>
      </c>
      <c r="H754" s="2239"/>
      <c r="I754" s="2239"/>
      <c r="J754" s="2233">
        <f>SUMPRODUCT($E745:$E753,J745:J753)</f>
        <v>0</v>
      </c>
      <c r="K754" s="2242"/>
      <c r="L754" s="437"/>
      <c r="M754" s="440"/>
      <c r="N754" s="439"/>
      <c r="O754" s="437"/>
      <c r="P754" s="440"/>
      <c r="Q754" s="442"/>
      <c r="R754" s="443"/>
      <c r="S754" s="364"/>
      <c r="Z754" s="609" t="s">
        <v>448</v>
      </c>
      <c r="AA754" s="609" t="s">
        <v>3090</v>
      </c>
    </row>
    <row r="755" spans="1:27" ht="18.75" thickBot="1">
      <c r="A755" s="2712"/>
      <c r="B755" s="371"/>
      <c r="C755" s="371" t="s">
        <v>2755</v>
      </c>
      <c r="D755" s="2714"/>
      <c r="F755" s="293"/>
      <c r="G755" s="376"/>
      <c r="H755" s="393"/>
      <c r="I755" s="432"/>
      <c r="J755" s="527" t="s">
        <v>3002</v>
      </c>
      <c r="K755" s="426"/>
      <c r="L755" s="427"/>
      <c r="M755" s="425"/>
      <c r="N755" s="426"/>
      <c r="O755" s="427"/>
      <c r="P755" s="425"/>
      <c r="Q755" s="442"/>
      <c r="R755" s="443"/>
      <c r="S755" s="364"/>
      <c r="Z755" s="609" t="s">
        <v>448</v>
      </c>
      <c r="AA755" s="609" t="s">
        <v>3090</v>
      </c>
    </row>
    <row r="756" spans="1:27" ht="18.75" thickTop="1">
      <c r="A756" s="2712"/>
      <c r="B756" s="371"/>
      <c r="C756" s="371" t="s">
        <v>2565</v>
      </c>
      <c r="D756" s="2714"/>
      <c r="F756" s="293"/>
      <c r="G756" s="1547" t="s">
        <v>5365</v>
      </c>
      <c r="H756" s="1548" t="str">
        <f>G707</f>
        <v>(2)应收款项融资——应收票据按减值计提方法分类</v>
      </c>
      <c r="I756" s="1549"/>
      <c r="J756" s="1550"/>
      <c r="K756" s="1549"/>
      <c r="L756" s="1551" t="s">
        <v>5366</v>
      </c>
      <c r="M756" s="425"/>
      <c r="N756" s="426"/>
      <c r="O756" s="427"/>
      <c r="P756" s="425"/>
      <c r="Q756" s="442"/>
      <c r="R756" s="442"/>
      <c r="S756" s="364"/>
      <c r="Z756" s="609" t="s">
        <v>448</v>
      </c>
      <c r="AA756" s="609" t="s">
        <v>3090</v>
      </c>
    </row>
    <row r="757" spans="1:27" ht="18">
      <c r="A757" s="2712"/>
      <c r="B757" s="371"/>
      <c r="C757" s="371" t="s">
        <v>2565</v>
      </c>
      <c r="D757" s="2714"/>
      <c r="F757" s="293"/>
      <c r="G757" s="604" t="str">
        <f>"注释A:"&amp; G717</f>
        <v>注释A:其中：组合1</v>
      </c>
      <c r="H757" s="351"/>
      <c r="I757" s="351"/>
      <c r="J757" s="2250">
        <f ca="1">HYPERLINK("#'"&amp;$G$1&amp;"'!"&amp;ADDRESS(ROW(Notes!J717),COLUMN(Notes!J717),4),J717)</f>
        <v>0</v>
      </c>
      <c r="K757" s="1541"/>
      <c r="L757" s="2634" t="str">
        <f>H707</f>
        <v>1124b</v>
      </c>
      <c r="M757" s="425"/>
      <c r="N757" s="426"/>
      <c r="O757" s="427"/>
      <c r="P757" s="425"/>
      <c r="Q757" s="442"/>
      <c r="R757" s="442"/>
      <c r="S757" s="364"/>
      <c r="Z757" s="609" t="s">
        <v>448</v>
      </c>
      <c r="AA757" s="609" t="s">
        <v>3090</v>
      </c>
    </row>
    <row r="758" spans="1:27" ht="18">
      <c r="A758" s="2712"/>
      <c r="B758" s="371"/>
      <c r="C758" s="371" t="s">
        <v>2565</v>
      </c>
      <c r="D758" s="2714"/>
      <c r="F758" s="293"/>
      <c r="G758" s="604" t="str">
        <f>"本注释B:"&amp; G754</f>
        <v>本注释B:合       计</v>
      </c>
      <c r="H758" s="351"/>
      <c r="I758" s="351"/>
      <c r="J758" s="456">
        <f>J754</f>
        <v>0</v>
      </c>
      <c r="K758" s="1541"/>
      <c r="L758" s="2637" t="s">
        <v>461</v>
      </c>
      <c r="M758" s="425"/>
      <c r="N758" s="426"/>
      <c r="O758" s="427"/>
      <c r="P758" s="425"/>
      <c r="Q758" s="442"/>
      <c r="R758" s="442"/>
      <c r="S758" s="364"/>
      <c r="Z758" s="609" t="s">
        <v>448</v>
      </c>
      <c r="AA758" s="609" t="s">
        <v>3090</v>
      </c>
    </row>
    <row r="759" spans="1:27" ht="18.75" thickBot="1">
      <c r="A759" s="2712"/>
      <c r="B759" s="371"/>
      <c r="C759" s="371" t="s">
        <v>2565</v>
      </c>
      <c r="D759" s="2714"/>
      <c r="F759" s="293"/>
      <c r="G759" s="1552" t="s">
        <v>2757</v>
      </c>
      <c r="H759" s="1553"/>
      <c r="I759" s="1553"/>
      <c r="J759" s="1529">
        <f ca="1">IF(AND(J757="",J758=""),"",ROUND(J757-J758,2))</f>
        <v>0</v>
      </c>
      <c r="K759" s="1554"/>
      <c r="L759" s="1554"/>
      <c r="M759" s="425"/>
      <c r="N759" s="426"/>
      <c r="O759" s="427"/>
      <c r="P759" s="425"/>
      <c r="Q759" s="442"/>
      <c r="R759" s="442"/>
      <c r="S759" s="364"/>
      <c r="Z759" s="609" t="s">
        <v>448</v>
      </c>
      <c r="AA759" s="609" t="s">
        <v>3090</v>
      </c>
    </row>
    <row r="760" spans="1:27" ht="18.75" thickTop="1">
      <c r="A760" s="2712"/>
      <c r="B760" s="371"/>
      <c r="C760" s="371" t="s">
        <v>2565</v>
      </c>
      <c r="D760" s="2714"/>
      <c r="F760" s="293"/>
      <c r="G760" s="1543"/>
      <c r="H760" s="317"/>
      <c r="I760" s="317"/>
      <c r="J760" s="459" t="str">
        <f ca="1">IF(OR(J759=0,J759=""),"√","？")</f>
        <v>√</v>
      </c>
      <c r="K760" s="1545"/>
      <c r="L760" s="1545"/>
      <c r="M760" s="425"/>
      <c r="N760" s="426"/>
      <c r="O760" s="427"/>
      <c r="P760" s="425"/>
      <c r="Q760" s="442"/>
      <c r="R760" s="442"/>
      <c r="S760" s="364"/>
      <c r="Z760" s="609" t="s">
        <v>448</v>
      </c>
      <c r="AA760" s="609" t="s">
        <v>3090</v>
      </c>
    </row>
    <row r="761" spans="1:27" ht="18">
      <c r="A761" s="2712"/>
      <c r="B761" s="371"/>
      <c r="C761" s="371" t="s">
        <v>2565</v>
      </c>
      <c r="D761" s="2714"/>
      <c r="F761" s="293"/>
      <c r="G761" s="1557" t="s">
        <v>2759</v>
      </c>
      <c r="H761" s="317"/>
      <c r="I761" s="317"/>
      <c r="J761" s="461"/>
      <c r="K761" s="2255">
        <f ca="1">SUMIF($H$760:$L$760,"&lt;&gt;√",$H$759:$L$759)</f>
        <v>0</v>
      </c>
      <c r="L761" s="2252" t="str">
        <f ca="1">IF(OR(K761=0,K761=""),"√","？")</f>
        <v>√</v>
      </c>
      <c r="M761" s="425"/>
      <c r="N761" s="426"/>
      <c r="O761" s="427"/>
      <c r="P761" s="425"/>
      <c r="Q761" s="442"/>
      <c r="R761" s="442"/>
      <c r="S761" s="364"/>
      <c r="Z761" s="609" t="s">
        <v>448</v>
      </c>
      <c r="AA761" s="609" t="s">
        <v>3090</v>
      </c>
    </row>
    <row r="762" spans="1:27" ht="18">
      <c r="A762" s="2712"/>
      <c r="B762" s="371"/>
      <c r="C762" s="371" t="s">
        <v>2565</v>
      </c>
      <c r="D762" s="2714"/>
      <c r="F762" s="293"/>
      <c r="G762" s="1543"/>
      <c r="H762" s="317"/>
      <c r="I762" s="317"/>
      <c r="J762" s="461"/>
      <c r="K762" s="1545"/>
      <c r="L762" s="1545"/>
      <c r="M762" s="425"/>
      <c r="N762" s="426"/>
      <c r="O762" s="427"/>
      <c r="P762" s="425"/>
      <c r="Q762" s="442"/>
      <c r="R762" s="442"/>
      <c r="S762" s="364"/>
      <c r="Z762" s="609" t="s">
        <v>448</v>
      </c>
      <c r="AA762" s="609" t="s">
        <v>3090</v>
      </c>
    </row>
    <row r="763" spans="1:27" ht="36">
      <c r="A763" s="2712" t="s">
        <v>466</v>
      </c>
      <c r="B763" s="371">
        <v>2.2999999999999998</v>
      </c>
      <c r="C763" s="371"/>
      <c r="D763" s="2714" t="str">
        <f>VLOOKUP($A763,Sheet_NoteList,2,0)</f>
        <v>期末按按组合2计提减值准备的应收款项融资——应收票据</v>
      </c>
      <c r="E763" s="2714" t="s">
        <v>6531</v>
      </c>
      <c r="F763" s="293"/>
      <c r="G763" s="372" t="str">
        <f>"("&amp;B763&amp;")"&amp;D763</f>
        <v>(2.3)期末按按组合2计提减值准备的应收款项融资——应收票据</v>
      </c>
      <c r="H763" s="1515" t="str">
        <f>$A763</f>
        <v>1124e</v>
      </c>
      <c r="I763" s="343" t="s">
        <v>5122</v>
      </c>
      <c r="J763" s="301" t="s">
        <v>5120</v>
      </c>
      <c r="K763" s="2208">
        <f>J776</f>
        <v>0</v>
      </c>
      <c r="L763" s="349"/>
      <c r="M763" s="301" t="s">
        <v>5121</v>
      </c>
      <c r="N763" s="2208">
        <f>I776</f>
        <v>0</v>
      </c>
      <c r="O763" s="349"/>
      <c r="P763" s="301"/>
      <c r="S763" s="364"/>
      <c r="Z763" s="609" t="s">
        <v>448</v>
      </c>
      <c r="AA763" s="609" t="s">
        <v>3090</v>
      </c>
    </row>
    <row r="764" spans="1:27" ht="0.75" customHeight="1">
      <c r="A764" s="2712"/>
      <c r="B764" s="371"/>
      <c r="C764" s="371"/>
      <c r="D764" s="2714"/>
      <c r="E764" s="586"/>
      <c r="F764" s="586"/>
      <c r="G764" s="2222" t="s">
        <v>5466</v>
      </c>
      <c r="H764" s="371" t="s">
        <v>6481</v>
      </c>
      <c r="I764" s="371" t="s">
        <v>6482</v>
      </c>
      <c r="J764" s="371" t="s">
        <v>6483</v>
      </c>
      <c r="K764" s="547" t="s">
        <v>6484</v>
      </c>
      <c r="L764" s="428"/>
      <c r="M764" s="433"/>
      <c r="N764" s="428"/>
      <c r="O764" s="428"/>
      <c r="P764" s="433"/>
      <c r="Q764" s="442"/>
      <c r="R764" s="443"/>
      <c r="S764" s="364"/>
      <c r="Z764" s="609" t="s">
        <v>448</v>
      </c>
      <c r="AA764" s="609" t="s">
        <v>3090</v>
      </c>
    </row>
    <row r="765" spans="1:27" ht="0.75" customHeight="1" thickBot="1">
      <c r="A765" s="2712"/>
      <c r="B765" s="371"/>
      <c r="C765" s="371"/>
      <c r="D765" s="2714"/>
      <c r="E765" s="586"/>
      <c r="F765" s="586"/>
      <c r="G765" s="2222"/>
      <c r="H765" s="371" t="s">
        <v>6485</v>
      </c>
      <c r="I765" s="371" t="s">
        <v>6486</v>
      </c>
      <c r="J765" s="371" t="s">
        <v>6487</v>
      </c>
      <c r="K765" s="547" t="s">
        <v>6488</v>
      </c>
      <c r="L765" s="428"/>
      <c r="M765" s="433"/>
      <c r="N765" s="428"/>
      <c r="O765" s="428"/>
      <c r="P765" s="433"/>
      <c r="Q765" s="442"/>
      <c r="R765" s="443"/>
      <c r="S765" s="364"/>
      <c r="Z765" s="609" t="s">
        <v>448</v>
      </c>
      <c r="AA765" s="609" t="s">
        <v>3090</v>
      </c>
    </row>
    <row r="766" spans="1:27" ht="18" customHeight="1">
      <c r="A766" s="2712"/>
      <c r="B766" s="371"/>
      <c r="C766" s="371"/>
      <c r="D766" s="2714"/>
      <c r="E766" s="586" t="s">
        <v>2749</v>
      </c>
      <c r="F766" s="414"/>
      <c r="G766" s="3464" t="s">
        <v>5946</v>
      </c>
      <c r="H766" s="3460" t="str">
        <f>$V$2</f>
        <v>2019年12月31日</v>
      </c>
      <c r="I766" s="3460"/>
      <c r="J766" s="3460"/>
      <c r="K766" s="3461"/>
      <c r="L766" s="355" t="s">
        <v>5947</v>
      </c>
      <c r="M766" s="433"/>
      <c r="N766" s="428"/>
      <c r="O766" s="428"/>
      <c r="P766" s="433"/>
      <c r="Q766" s="442"/>
      <c r="R766" s="443"/>
      <c r="S766" s="364"/>
      <c r="Z766" s="609" t="s">
        <v>448</v>
      </c>
      <c r="AA766" s="609" t="s">
        <v>3090</v>
      </c>
    </row>
    <row r="767" spans="1:27" ht="36">
      <c r="A767" s="2712"/>
      <c r="B767" s="371"/>
      <c r="C767" s="371"/>
      <c r="D767" s="2714"/>
      <c r="E767" s="586" t="s">
        <v>2749</v>
      </c>
      <c r="F767" s="414"/>
      <c r="G767" s="3465"/>
      <c r="H767" s="2691" t="s">
        <v>6393</v>
      </c>
      <c r="I767" s="2691" t="s">
        <v>6391</v>
      </c>
      <c r="J767" s="2691" t="s">
        <v>5143</v>
      </c>
      <c r="K767" s="2695" t="s">
        <v>6392</v>
      </c>
      <c r="L767" s="355" t="s">
        <v>6174</v>
      </c>
      <c r="M767" s="1509"/>
      <c r="N767" s="434"/>
      <c r="O767" s="434"/>
      <c r="P767" s="1509"/>
      <c r="Q767" s="442"/>
      <c r="R767" s="443"/>
      <c r="S767" s="364"/>
      <c r="Z767" s="609" t="s">
        <v>448</v>
      </c>
      <c r="AA767" s="609" t="s">
        <v>3090</v>
      </c>
    </row>
    <row r="768" spans="1:27" ht="18">
      <c r="A768" s="2712"/>
      <c r="B768" s="371">
        <v>101</v>
      </c>
      <c r="C768" s="371" t="s">
        <v>2791</v>
      </c>
      <c r="D768" s="2714">
        <f t="shared" ref="D768:D776" si="64">IF(OR(G768="*",G768="",G768=0),0,COUNTIF($G$768:$G$776,G768))</f>
        <v>0</v>
      </c>
      <c r="E768" s="2719">
        <v>1</v>
      </c>
      <c r="F768" s="293"/>
      <c r="G768" s="2690" t="s">
        <v>2792</v>
      </c>
      <c r="H768" s="2296"/>
      <c r="I768" s="2296"/>
      <c r="J768" s="2273"/>
      <c r="K768" s="2274"/>
      <c r="L768" s="437"/>
      <c r="M768" s="438"/>
      <c r="N768" s="439"/>
      <c r="O768" s="437"/>
      <c r="P768" s="438"/>
      <c r="Q768" s="442"/>
      <c r="R768" s="443"/>
      <c r="S768" s="364"/>
      <c r="Z768" s="609" t="s">
        <v>448</v>
      </c>
      <c r="AA768" s="609" t="s">
        <v>3090</v>
      </c>
    </row>
    <row r="769" spans="1:29" ht="18">
      <c r="A769" s="2712"/>
      <c r="B769" s="371">
        <v>102</v>
      </c>
      <c r="C769" s="371" t="s">
        <v>2791</v>
      </c>
      <c r="D769" s="2714">
        <f t="shared" si="64"/>
        <v>0</v>
      </c>
      <c r="E769" s="2719">
        <v>1</v>
      </c>
      <c r="F769" s="293"/>
      <c r="G769" s="2690" t="s">
        <v>2792</v>
      </c>
      <c r="H769" s="2296"/>
      <c r="I769" s="2296"/>
      <c r="J769" s="2273"/>
      <c r="K769" s="2274"/>
      <c r="L769" s="437"/>
      <c r="M769" s="438"/>
      <c r="N769" s="439"/>
      <c r="O769" s="437"/>
      <c r="P769" s="438"/>
      <c r="Q769" s="442"/>
      <c r="R769" s="443"/>
      <c r="S769" s="364"/>
      <c r="Z769" s="609" t="s">
        <v>448</v>
      </c>
      <c r="AA769" s="609" t="s">
        <v>3090</v>
      </c>
    </row>
    <row r="770" spans="1:29" ht="18">
      <c r="A770" s="2712"/>
      <c r="B770" s="371">
        <v>103</v>
      </c>
      <c r="C770" s="371" t="s">
        <v>2791</v>
      </c>
      <c r="D770" s="2714">
        <f t="shared" si="64"/>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9" ht="18">
      <c r="A771" s="2712"/>
      <c r="B771" s="371">
        <v>104</v>
      </c>
      <c r="C771" s="371" t="s">
        <v>2791</v>
      </c>
      <c r="D771" s="2714">
        <f t="shared" si="64"/>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9" ht="18">
      <c r="A772" s="2712"/>
      <c r="B772" s="371">
        <v>105</v>
      </c>
      <c r="C772" s="371" t="s">
        <v>2791</v>
      </c>
      <c r="D772" s="2714">
        <f t="shared" si="64"/>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9" ht="18">
      <c r="A773" s="2712"/>
      <c r="B773" s="371">
        <v>106</v>
      </c>
      <c r="C773" s="371" t="s">
        <v>2791</v>
      </c>
      <c r="D773" s="2714">
        <f t="shared" si="64"/>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9" ht="18">
      <c r="A774" s="2712"/>
      <c r="B774" s="371">
        <v>107</v>
      </c>
      <c r="C774" s="371" t="s">
        <v>2791</v>
      </c>
      <c r="D774" s="2714">
        <f t="shared" si="64"/>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9" ht="18">
      <c r="A775" s="2712"/>
      <c r="B775" s="371">
        <v>108</v>
      </c>
      <c r="C775" s="371" t="s">
        <v>2791</v>
      </c>
      <c r="D775" s="2714">
        <f t="shared" si="64"/>
        <v>0</v>
      </c>
      <c r="E775" s="2719">
        <v>1</v>
      </c>
      <c r="F775" s="293"/>
      <c r="G775" s="2690" t="s">
        <v>2792</v>
      </c>
      <c r="H775" s="2296"/>
      <c r="I775" s="2296"/>
      <c r="J775" s="2273"/>
      <c r="K775" s="2274"/>
      <c r="L775" s="437"/>
      <c r="M775" s="438"/>
      <c r="N775" s="439"/>
      <c r="O775" s="437"/>
      <c r="P775" s="438"/>
      <c r="Q775" s="442"/>
      <c r="R775" s="443"/>
      <c r="S775" s="364"/>
      <c r="Z775" s="609" t="s">
        <v>448</v>
      </c>
      <c r="AA775" s="609" t="s">
        <v>3090</v>
      </c>
    </row>
    <row r="776" spans="1:29" ht="18.75" thickBot="1">
      <c r="A776" s="2712"/>
      <c r="B776" s="371"/>
      <c r="C776" s="371"/>
      <c r="D776" s="2714">
        <f t="shared" si="64"/>
        <v>1</v>
      </c>
      <c r="E776" s="2719" t="s">
        <v>2751</v>
      </c>
      <c r="F776" s="293"/>
      <c r="G776" s="1527" t="s">
        <v>2752</v>
      </c>
      <c r="H776" s="2314"/>
      <c r="I776" s="2314"/>
      <c r="J776" s="1525">
        <f>SUMPRODUCT($E767:$E775,J767:J775)</f>
        <v>0</v>
      </c>
      <c r="K776" s="2264"/>
      <c r="L776" s="437"/>
      <c r="M776" s="1506"/>
      <c r="N776" s="439"/>
      <c r="O776" s="437"/>
      <c r="P776" s="1506"/>
      <c r="Q776" s="442"/>
      <c r="R776" s="443"/>
      <c r="S776" s="364"/>
      <c r="Z776" s="609" t="s">
        <v>448</v>
      </c>
      <c r="AA776" s="609" t="s">
        <v>3090</v>
      </c>
    </row>
    <row r="777" spans="1:29" ht="18">
      <c r="A777" s="2712"/>
      <c r="B777" s="371"/>
      <c r="C777" s="371" t="s">
        <v>2755</v>
      </c>
      <c r="D777" s="2714"/>
      <c r="F777" s="293"/>
      <c r="G777" s="376"/>
      <c r="H777" s="2696"/>
      <c r="I777" s="432"/>
      <c r="J777" s="315"/>
      <c r="K777" s="426"/>
      <c r="L777" s="427"/>
      <c r="M777" s="425"/>
      <c r="N777" s="426"/>
      <c r="O777" s="427"/>
      <c r="P777" s="425"/>
      <c r="Q777" s="442"/>
      <c r="R777" s="443"/>
      <c r="S777" s="364"/>
      <c r="Z777" s="609" t="s">
        <v>448</v>
      </c>
      <c r="AA777" s="609" t="s">
        <v>3090</v>
      </c>
    </row>
    <row r="778" spans="1:29" ht="24">
      <c r="A778" s="2712" t="s">
        <v>6368</v>
      </c>
      <c r="B778" s="371">
        <v>3</v>
      </c>
      <c r="C778" s="371"/>
      <c r="D778" s="2714" t="str">
        <f>VLOOKUP($A778,Sheet_NoteList,2,0)</f>
        <v>应收款项融资——应收账款按减值计提方法分类</v>
      </c>
      <c r="E778" s="2714" t="s">
        <v>6529</v>
      </c>
      <c r="F778" s="293"/>
      <c r="G778" s="372" t="str">
        <f>"("&amp;B778&amp;")"&amp;D778</f>
        <v>(3)应收款项融资——应收账款按减值计提方法分类</v>
      </c>
      <c r="H778" s="1515" t="str">
        <f>$A778</f>
        <v>1124g</v>
      </c>
      <c r="I778" s="343" t="s">
        <v>6381</v>
      </c>
      <c r="J778" s="301" t="s">
        <v>6382</v>
      </c>
      <c r="K778" s="2208">
        <f>J791</f>
        <v>0</v>
      </c>
      <c r="L778" s="349"/>
      <c r="M778" s="301"/>
      <c r="N778" s="391"/>
      <c r="O778" s="349"/>
      <c r="P778" s="301"/>
      <c r="S778" s="364"/>
      <c r="Z778" s="609" t="s">
        <v>448</v>
      </c>
      <c r="AA778" s="609" t="s">
        <v>3090</v>
      </c>
    </row>
    <row r="779" spans="1:29" ht="0.75" customHeight="1">
      <c r="A779" s="2712"/>
      <c r="B779" s="371"/>
      <c r="C779" s="371"/>
      <c r="D779" s="2714"/>
      <c r="E779" s="586"/>
      <c r="F779" s="586"/>
      <c r="G779" s="2222" t="s">
        <v>6383</v>
      </c>
      <c r="H779" s="371" t="s">
        <v>6489</v>
      </c>
      <c r="I779" s="371" t="s">
        <v>6490</v>
      </c>
      <c r="J779" s="371" t="s">
        <v>6491</v>
      </c>
      <c r="K779" s="547" t="s">
        <v>6492</v>
      </c>
      <c r="L779" s="1602"/>
      <c r="M779" s="1602"/>
      <c r="N779" s="1602"/>
      <c r="O779" s="1602"/>
      <c r="P779" s="1602"/>
      <c r="Q779" s="1602"/>
      <c r="R779" s="1602"/>
      <c r="S779" s="364"/>
      <c r="Z779" s="609" t="s">
        <v>448</v>
      </c>
      <c r="AA779" s="609" t="s">
        <v>3090</v>
      </c>
    </row>
    <row r="780" spans="1:29" ht="0.75" customHeight="1" thickBot="1">
      <c r="A780" s="2712"/>
      <c r="B780" s="371"/>
      <c r="C780" s="371"/>
      <c r="D780" s="2714"/>
      <c r="E780" s="586"/>
      <c r="F780" s="586"/>
      <c r="G780" s="2222"/>
      <c r="H780" s="371" t="s">
        <v>6493</v>
      </c>
      <c r="I780" s="371" t="s">
        <v>6494</v>
      </c>
      <c r="J780" s="371" t="s">
        <v>6495</v>
      </c>
      <c r="K780" s="547" t="s">
        <v>6496</v>
      </c>
      <c r="L780" s="1602"/>
      <c r="M780" s="1602"/>
      <c r="N780" s="1602"/>
      <c r="O780" s="1602"/>
      <c r="P780" s="1602"/>
      <c r="Q780" s="1602"/>
      <c r="R780" s="1602"/>
      <c r="S780" s="364"/>
      <c r="Z780" s="609" t="s">
        <v>448</v>
      </c>
      <c r="AA780" s="609" t="s">
        <v>3090</v>
      </c>
    </row>
    <row r="781" spans="1:29" ht="18" customHeight="1">
      <c r="A781" s="2712"/>
      <c r="B781" s="371"/>
      <c r="C781" s="371"/>
      <c r="D781" s="2714"/>
      <c r="E781" s="586" t="s">
        <v>2749</v>
      </c>
      <c r="F781" s="414"/>
      <c r="G781" s="3462" t="s">
        <v>5133</v>
      </c>
      <c r="H781" s="3458" t="str">
        <f>$V$2</f>
        <v>2019年12月31日</v>
      </c>
      <c r="I781" s="3458"/>
      <c r="J781" s="3458"/>
      <c r="K781" s="3459"/>
      <c r="L781" s="355" t="s">
        <v>5269</v>
      </c>
      <c r="M781" s="1602"/>
      <c r="N781" s="1602"/>
      <c r="O781" s="1602"/>
      <c r="P781" s="1602"/>
      <c r="Q781" s="1602"/>
      <c r="R781" s="1602"/>
      <c r="S781" s="364"/>
      <c r="Z781" s="609" t="s">
        <v>448</v>
      </c>
      <c r="AA781" s="609" t="s">
        <v>3090</v>
      </c>
    </row>
    <row r="782" spans="1:29" ht="36">
      <c r="A782" s="2712"/>
      <c r="B782" s="371"/>
      <c r="C782" s="371"/>
      <c r="D782" s="2714"/>
      <c r="E782" s="586" t="s">
        <v>2749</v>
      </c>
      <c r="F782" s="414"/>
      <c r="G782" s="3463"/>
      <c r="H782" s="2686" t="s">
        <v>6393</v>
      </c>
      <c r="I782" s="2686" t="s">
        <v>6391</v>
      </c>
      <c r="J782" s="2686" t="s">
        <v>5143</v>
      </c>
      <c r="K782" s="2688" t="s">
        <v>6392</v>
      </c>
      <c r="L782" s="1602"/>
      <c r="M782" s="1602"/>
      <c r="N782" s="1602"/>
      <c r="O782" s="1602"/>
      <c r="P782" s="1602"/>
      <c r="Q782" s="1602"/>
      <c r="R782" s="1602"/>
      <c r="S782" s="364"/>
      <c r="Z782" s="609" t="s">
        <v>448</v>
      </c>
      <c r="AA782" s="609" t="s">
        <v>3090</v>
      </c>
    </row>
    <row r="783" spans="1:29" ht="18">
      <c r="A783" s="2712"/>
      <c r="B783" s="371">
        <v>101</v>
      </c>
      <c r="C783" s="371"/>
      <c r="D783" s="2714">
        <f t="shared" ref="D783:D791" si="65">IF(OR(G783="*",G783="",G783=0),0,COUNTIF($G$783:$G$791,G783))</f>
        <v>1</v>
      </c>
      <c r="E783" s="2719">
        <v>1</v>
      </c>
      <c r="F783" s="293"/>
      <c r="G783" s="1472" t="s">
        <v>3093</v>
      </c>
      <c r="H783" s="2296"/>
      <c r="I783" s="2296"/>
      <c r="J783" s="1474">
        <f>SUM(J784:J786)</f>
        <v>0</v>
      </c>
      <c r="K783" s="2274"/>
      <c r="L783" s="2674" t="str">
        <f ca="1">HYPERLINK("#'"&amp;$G$1&amp;"'!"&amp;ADDRESS(ROW(Notes!J806),COLUMN(Notes!J806),4),"* 请勿删除此行！点击往勾稽单元格，F5+Enter返回")</f>
        <v>* 请勿删除此行！点击往勾稽单元格，F5+Enter返回</v>
      </c>
      <c r="M783" s="1602"/>
      <c r="N783" s="1602"/>
      <c r="O783" s="1602"/>
      <c r="P783" s="1602"/>
      <c r="Q783" s="1602"/>
      <c r="R783" s="1602"/>
      <c r="S783" s="364"/>
      <c r="Z783" s="609" t="s">
        <v>448</v>
      </c>
      <c r="AA783" s="609" t="s">
        <v>3090</v>
      </c>
      <c r="AC783" s="369" t="s">
        <v>6571</v>
      </c>
    </row>
    <row r="784" spans="1:29" ht="18">
      <c r="A784" s="2712"/>
      <c r="B784" s="371">
        <v>102</v>
      </c>
      <c r="C784" s="371" t="s">
        <v>2791</v>
      </c>
      <c r="D784" s="2714">
        <f t="shared" si="65"/>
        <v>1</v>
      </c>
      <c r="E784" s="2719">
        <v>0</v>
      </c>
      <c r="F784" s="293"/>
      <c r="G784" s="2690" t="s">
        <v>2891</v>
      </c>
      <c r="H784" s="2296"/>
      <c r="I784" s="2296"/>
      <c r="J784" s="2273"/>
      <c r="K784" s="2274"/>
      <c r="L784" s="1602"/>
      <c r="M784" s="1602"/>
      <c r="N784" s="1602"/>
      <c r="O784" s="1602"/>
      <c r="P784" s="1602"/>
      <c r="Q784" s="1602"/>
      <c r="R784" s="1602"/>
      <c r="S784" s="364"/>
      <c r="Z784" s="609" t="s">
        <v>448</v>
      </c>
      <c r="AA784" s="609" t="s">
        <v>3090</v>
      </c>
    </row>
    <row r="785" spans="1:29" ht="18">
      <c r="A785" s="2712"/>
      <c r="B785" s="371">
        <v>103</v>
      </c>
      <c r="C785" s="371" t="s">
        <v>2791</v>
      </c>
      <c r="D785" s="2714">
        <f t="shared" si="65"/>
        <v>0</v>
      </c>
      <c r="E785" s="2719">
        <v>0</v>
      </c>
      <c r="F785" s="293"/>
      <c r="G785" s="2690" t="s">
        <v>2792</v>
      </c>
      <c r="H785" s="2296"/>
      <c r="I785" s="2296"/>
      <c r="J785" s="2273"/>
      <c r="K785" s="2274"/>
      <c r="L785" s="1602"/>
      <c r="M785" s="1602"/>
      <c r="N785" s="1602"/>
      <c r="O785" s="1602"/>
      <c r="P785" s="1602"/>
      <c r="Q785" s="1602"/>
      <c r="R785" s="1602"/>
      <c r="S785" s="364"/>
      <c r="Z785" s="609" t="s">
        <v>448</v>
      </c>
      <c r="AA785" s="609" t="s">
        <v>3090</v>
      </c>
    </row>
    <row r="786" spans="1:29" ht="18">
      <c r="A786" s="2712"/>
      <c r="B786" s="371">
        <v>104</v>
      </c>
      <c r="C786" s="371" t="s">
        <v>2791</v>
      </c>
      <c r="D786" s="2714">
        <f t="shared" si="65"/>
        <v>0</v>
      </c>
      <c r="E786" s="2719">
        <v>0</v>
      </c>
      <c r="F786" s="293"/>
      <c r="G786" s="2690" t="s">
        <v>2792</v>
      </c>
      <c r="H786" s="2296"/>
      <c r="I786" s="2296"/>
      <c r="J786" s="2273"/>
      <c r="K786" s="2274"/>
      <c r="L786" s="1602"/>
      <c r="M786" s="1602"/>
      <c r="N786" s="1602"/>
      <c r="O786" s="1602"/>
      <c r="P786" s="1602"/>
      <c r="Q786" s="1602"/>
      <c r="R786" s="1602"/>
      <c r="S786" s="364"/>
      <c r="Z786" s="609" t="s">
        <v>448</v>
      </c>
      <c r="AA786" s="609" t="s">
        <v>3090</v>
      </c>
    </row>
    <row r="787" spans="1:29" ht="18">
      <c r="A787" s="2712"/>
      <c r="B787" s="371">
        <v>105</v>
      </c>
      <c r="C787" s="371"/>
      <c r="D787" s="2714">
        <f t="shared" si="65"/>
        <v>1</v>
      </c>
      <c r="E787" s="2719">
        <v>1</v>
      </c>
      <c r="F787" s="293"/>
      <c r="G787" s="1472" t="s">
        <v>3094</v>
      </c>
      <c r="H787" s="2296"/>
      <c r="I787" s="2296"/>
      <c r="J787" s="1474">
        <f>SUM(J788:J790)</f>
        <v>0</v>
      </c>
      <c r="K787" s="2274"/>
      <c r="L787" s="1602"/>
      <c r="M787" s="1602"/>
      <c r="N787" s="1602"/>
      <c r="O787" s="1602"/>
      <c r="P787" s="1602"/>
      <c r="Q787" s="1602"/>
      <c r="R787" s="1602"/>
      <c r="S787" s="364"/>
      <c r="Z787" s="609" t="s">
        <v>448</v>
      </c>
      <c r="AA787" s="609" t="s">
        <v>3090</v>
      </c>
    </row>
    <row r="788" spans="1:29" ht="18">
      <c r="A788" s="2712"/>
      <c r="B788" s="371">
        <v>106</v>
      </c>
      <c r="C788" s="371" t="s">
        <v>2791</v>
      </c>
      <c r="D788" s="2714">
        <f t="shared" si="65"/>
        <v>1</v>
      </c>
      <c r="E788" s="2719">
        <v>0</v>
      </c>
      <c r="F788" s="293"/>
      <c r="G788" s="2690" t="s">
        <v>2893</v>
      </c>
      <c r="H788" s="2296"/>
      <c r="I788" s="2296"/>
      <c r="J788" s="2273"/>
      <c r="K788" s="2274"/>
      <c r="L788" s="2674" t="str">
        <f ca="1">HYPERLINK("#'"&amp;$G$1&amp;"'!"&amp;ADDRESS(ROW(Notes!J828),COLUMN(Notes!J828),4),"* 请勿删除此行！点击往勾稽单元格，F5+Enter返回")</f>
        <v>* 请勿删除此行！点击往勾稽单元格，F5+Enter返回</v>
      </c>
      <c r="M788" s="1602"/>
      <c r="N788" s="1602"/>
      <c r="O788" s="1602"/>
      <c r="P788" s="1602"/>
      <c r="Q788" s="1602"/>
      <c r="R788" s="1602"/>
      <c r="S788" s="364"/>
      <c r="Z788" s="609" t="s">
        <v>448</v>
      </c>
      <c r="AA788" s="609" t="s">
        <v>3090</v>
      </c>
      <c r="AC788" s="369" t="s">
        <v>6571</v>
      </c>
    </row>
    <row r="789" spans="1:29" ht="18">
      <c r="A789" s="2712"/>
      <c r="B789" s="371">
        <v>107</v>
      </c>
      <c r="C789" s="371" t="s">
        <v>2791</v>
      </c>
      <c r="D789" s="2714">
        <f t="shared" si="65"/>
        <v>1</v>
      </c>
      <c r="E789" s="2719">
        <v>0</v>
      </c>
      <c r="F789" s="293"/>
      <c r="G789" s="2690" t="s">
        <v>2894</v>
      </c>
      <c r="H789" s="2296"/>
      <c r="I789" s="2296"/>
      <c r="J789" s="2273"/>
      <c r="K789" s="2274"/>
      <c r="L789" s="1602"/>
      <c r="M789" s="1602"/>
      <c r="N789" s="1602"/>
      <c r="O789" s="1602"/>
      <c r="P789" s="1602"/>
      <c r="Q789" s="1602"/>
      <c r="R789" s="1602"/>
      <c r="S789" s="364"/>
      <c r="Z789" s="609" t="s">
        <v>448</v>
      </c>
      <c r="AA789" s="609" t="s">
        <v>3090</v>
      </c>
    </row>
    <row r="790" spans="1:29" ht="18">
      <c r="A790" s="2712"/>
      <c r="B790" s="371">
        <v>108</v>
      </c>
      <c r="C790" s="371" t="s">
        <v>2791</v>
      </c>
      <c r="D790" s="2714">
        <f t="shared" si="65"/>
        <v>0</v>
      </c>
      <c r="E790" s="2719">
        <v>0</v>
      </c>
      <c r="F790" s="293"/>
      <c r="G790" s="2690" t="s">
        <v>2792</v>
      </c>
      <c r="H790" s="2296"/>
      <c r="I790" s="2296"/>
      <c r="J790" s="2273"/>
      <c r="K790" s="2274"/>
      <c r="L790" s="1602"/>
      <c r="M790" s="1602"/>
      <c r="N790" s="1602"/>
      <c r="O790" s="1602"/>
      <c r="P790" s="1602"/>
      <c r="Q790" s="1602"/>
      <c r="R790" s="1602"/>
      <c r="S790" s="364"/>
      <c r="Z790" s="609" t="s">
        <v>448</v>
      </c>
      <c r="AA790" s="609" t="s">
        <v>3090</v>
      </c>
    </row>
    <row r="791" spans="1:29" ht="18.75" thickBot="1">
      <c r="A791" s="2712"/>
      <c r="B791" s="371"/>
      <c r="C791" s="371"/>
      <c r="D791" s="2714">
        <f t="shared" si="65"/>
        <v>1</v>
      </c>
      <c r="E791" s="2719" t="s">
        <v>2751</v>
      </c>
      <c r="F791" s="293"/>
      <c r="G791" s="2232" t="s">
        <v>2752</v>
      </c>
      <c r="H791" s="2239"/>
      <c r="I791" s="2239"/>
      <c r="J791" s="2233">
        <f>SUMPRODUCT($E782:$E790,J782:J790)</f>
        <v>0</v>
      </c>
      <c r="K791" s="2242"/>
      <c r="L791" s="2674" t="str">
        <f ca="1">HYPERLINK("#'"&amp;$G$1&amp;"'!"&amp;ADDRESS(ROW(Notes!P855),COLUMN(Notes!P855),4),"* 请勿删除此行！点击往勾稽单元格，F5+Enter返回")</f>
        <v>* 请勿删除此行！点击往勾稽单元格，F5+Enter返回</v>
      </c>
      <c r="M791" s="1602"/>
      <c r="N791" s="1602"/>
      <c r="O791" s="1602"/>
      <c r="P791" s="1602"/>
      <c r="Q791" s="1602"/>
      <c r="R791" s="1602"/>
      <c r="S791" s="364"/>
      <c r="Z791" s="609" t="s">
        <v>448</v>
      </c>
      <c r="AA791" s="609" t="s">
        <v>3090</v>
      </c>
      <c r="AC791" s="369" t="s">
        <v>2794</v>
      </c>
    </row>
    <row r="792" spans="1:29" ht="18">
      <c r="A792" s="2712"/>
      <c r="B792" s="371"/>
      <c r="C792" s="371" t="s">
        <v>2755</v>
      </c>
      <c r="D792" s="2714"/>
      <c r="F792" s="293"/>
      <c r="G792" s="376"/>
      <c r="H792" s="2697"/>
      <c r="I792" s="432"/>
      <c r="J792" s="315"/>
      <c r="K792" s="392"/>
      <c r="L792" s="1602"/>
      <c r="M792" s="1602"/>
      <c r="N792" s="1602"/>
      <c r="O792" s="1602"/>
      <c r="P792" s="1602"/>
      <c r="Q792" s="1602"/>
      <c r="R792" s="1602"/>
      <c r="S792" s="364"/>
      <c r="Z792" s="609" t="s">
        <v>448</v>
      </c>
      <c r="AA792" s="609" t="s">
        <v>3090</v>
      </c>
    </row>
    <row r="793" spans="1:29" ht="36">
      <c r="A793" s="2712" t="s">
        <v>6369</v>
      </c>
      <c r="B793" s="371">
        <v>3.1</v>
      </c>
      <c r="C793" s="371"/>
      <c r="D793" s="2714" t="str">
        <f>VLOOKUP($A793,Sheet_NoteList,2,0)</f>
        <v>期末按单项计提减值准备的应收款项融资——应收账款</v>
      </c>
      <c r="E793" s="2714" t="s">
        <v>6529</v>
      </c>
      <c r="F793" s="293"/>
      <c r="G793" s="372" t="str">
        <f>"("&amp;B793&amp;")"&amp;D793</f>
        <v>(3.1)期末按单项计提减值准备的应收款项融资——应收账款</v>
      </c>
      <c r="H793" s="1515" t="str">
        <f>$A793</f>
        <v>1124h</v>
      </c>
      <c r="I793" s="343" t="s">
        <v>6381</v>
      </c>
      <c r="J793" s="301" t="s">
        <v>6382</v>
      </c>
      <c r="K793" s="2208">
        <f>H803</f>
        <v>0</v>
      </c>
      <c r="L793" s="349"/>
      <c r="M793" s="301"/>
      <c r="N793" s="391"/>
      <c r="O793" s="349"/>
      <c r="P793" s="301"/>
      <c r="S793" s="364"/>
      <c r="Z793" s="609" t="s">
        <v>448</v>
      </c>
      <c r="AA793" s="609" t="s">
        <v>3090</v>
      </c>
    </row>
    <row r="794" spans="1:29" ht="0.75" customHeight="1">
      <c r="A794" s="2712"/>
      <c r="B794" s="371"/>
      <c r="C794" s="371"/>
      <c r="D794" s="2714"/>
      <c r="E794" s="586"/>
      <c r="F794" s="586"/>
      <c r="G794" s="2222" t="s">
        <v>6384</v>
      </c>
      <c r="H794" s="371" t="s">
        <v>6497</v>
      </c>
      <c r="I794" s="371" t="s">
        <v>6498</v>
      </c>
      <c r="J794" s="371" t="s">
        <v>6499</v>
      </c>
      <c r="K794" s="547" t="s">
        <v>6500</v>
      </c>
      <c r="L794" s="349"/>
      <c r="M794" s="301"/>
      <c r="N794" s="391"/>
      <c r="O794" s="349"/>
      <c r="P794" s="301"/>
      <c r="S794" s="364"/>
      <c r="Z794" s="609" t="s">
        <v>448</v>
      </c>
      <c r="AA794" s="609" t="s">
        <v>3090</v>
      </c>
    </row>
    <row r="795" spans="1:29" ht="0.75" customHeight="1" thickBot="1">
      <c r="A795" s="2712"/>
      <c r="B795" s="371"/>
      <c r="C795" s="371"/>
      <c r="D795" s="2714"/>
      <c r="E795" s="586"/>
      <c r="F795" s="586"/>
      <c r="G795" s="2222"/>
      <c r="H795" s="371" t="s">
        <v>6501</v>
      </c>
      <c r="I795" s="371" t="s">
        <v>6502</v>
      </c>
      <c r="J795" s="371" t="s">
        <v>6503</v>
      </c>
      <c r="K795" s="547" t="s">
        <v>6504</v>
      </c>
      <c r="L795" s="349"/>
      <c r="M795" s="301"/>
      <c r="N795" s="391"/>
      <c r="O795" s="349"/>
      <c r="P795" s="301"/>
      <c r="S795" s="364"/>
      <c r="Z795" s="609" t="s">
        <v>448</v>
      </c>
      <c r="AA795" s="609" t="s">
        <v>3090</v>
      </c>
    </row>
    <row r="796" spans="1:29" ht="18" customHeight="1">
      <c r="A796" s="2712"/>
      <c r="B796" s="371"/>
      <c r="C796" s="371"/>
      <c r="D796" s="2714"/>
      <c r="E796" s="586" t="s">
        <v>2749</v>
      </c>
      <c r="F796" s="414"/>
      <c r="G796" s="3462" t="s">
        <v>5134</v>
      </c>
      <c r="H796" s="3458" t="str">
        <f>$V$2</f>
        <v>2019年12月31日</v>
      </c>
      <c r="I796" s="3458"/>
      <c r="J796" s="3458"/>
      <c r="K796" s="3459"/>
      <c r="L796" s="355" t="s">
        <v>5269</v>
      </c>
      <c r="M796" s="301"/>
      <c r="N796" s="391"/>
      <c r="O796" s="349"/>
      <c r="P796" s="301"/>
      <c r="S796" s="364"/>
      <c r="Z796" s="609" t="s">
        <v>448</v>
      </c>
      <c r="AA796" s="609" t="s">
        <v>3090</v>
      </c>
    </row>
    <row r="797" spans="1:29" ht="36">
      <c r="A797" s="2712"/>
      <c r="B797" s="371"/>
      <c r="C797" s="371"/>
      <c r="D797" s="2714"/>
      <c r="E797" s="586" t="s">
        <v>2749</v>
      </c>
      <c r="F797" s="414"/>
      <c r="G797" s="3463"/>
      <c r="H797" s="2686" t="s">
        <v>6393</v>
      </c>
      <c r="I797" s="2686" t="s">
        <v>6391</v>
      </c>
      <c r="J797" s="2686" t="s">
        <v>5143</v>
      </c>
      <c r="K797" s="2688" t="s">
        <v>6392</v>
      </c>
      <c r="L797" s="349"/>
      <c r="M797" s="301"/>
      <c r="N797" s="391"/>
      <c r="O797" s="349"/>
      <c r="P797" s="301"/>
      <c r="S797" s="364"/>
      <c r="Z797" s="609" t="s">
        <v>448</v>
      </c>
      <c r="AA797" s="609" t="s">
        <v>3090</v>
      </c>
    </row>
    <row r="798" spans="1:29" ht="18">
      <c r="A798" s="2712"/>
      <c r="B798" s="371">
        <v>101</v>
      </c>
      <c r="C798" s="371" t="s">
        <v>2791</v>
      </c>
      <c r="D798" s="2714">
        <f t="shared" ref="D798:D803" si="66">IF(OR(G798="*",G798="",G798=0),0,COUNTIF($G$798:$G$803,G798))</f>
        <v>0</v>
      </c>
      <c r="E798" s="2719">
        <v>1</v>
      </c>
      <c r="F798" s="293"/>
      <c r="G798" s="2690" t="s">
        <v>2792</v>
      </c>
      <c r="H798" s="2296"/>
      <c r="I798" s="2296"/>
      <c r="J798" s="2273"/>
      <c r="K798" s="2274"/>
      <c r="L798" s="349"/>
      <c r="M798" s="301"/>
      <c r="N798" s="391"/>
      <c r="O798" s="349"/>
      <c r="P798" s="301"/>
      <c r="S798" s="364"/>
      <c r="Z798" s="609" t="s">
        <v>448</v>
      </c>
      <c r="AA798" s="609" t="s">
        <v>3090</v>
      </c>
    </row>
    <row r="799" spans="1:29" ht="18">
      <c r="A799" s="2712"/>
      <c r="B799" s="371">
        <v>102</v>
      </c>
      <c r="C799" s="371" t="s">
        <v>2791</v>
      </c>
      <c r="D799" s="2714">
        <f t="shared" si="66"/>
        <v>0</v>
      </c>
      <c r="E799" s="2719">
        <v>1</v>
      </c>
      <c r="F799" s="293"/>
      <c r="G799" s="2690" t="s">
        <v>2792</v>
      </c>
      <c r="H799" s="2296"/>
      <c r="I799" s="2296"/>
      <c r="J799" s="2273"/>
      <c r="K799" s="2274"/>
      <c r="L799" s="349"/>
      <c r="M799" s="301"/>
      <c r="N799" s="391"/>
      <c r="O799" s="349"/>
      <c r="P799" s="301"/>
      <c r="S799" s="364"/>
      <c r="Z799" s="609" t="s">
        <v>448</v>
      </c>
      <c r="AA799" s="609" t="s">
        <v>3090</v>
      </c>
    </row>
    <row r="800" spans="1:29" ht="18">
      <c r="A800" s="2712"/>
      <c r="B800" s="371">
        <v>103</v>
      </c>
      <c r="C800" s="371" t="s">
        <v>2791</v>
      </c>
      <c r="D800" s="2714">
        <f t="shared" si="66"/>
        <v>0</v>
      </c>
      <c r="E800" s="2719">
        <v>1</v>
      </c>
      <c r="F800" s="293"/>
      <c r="G800" s="2690" t="s">
        <v>2792</v>
      </c>
      <c r="H800" s="2296"/>
      <c r="I800" s="2296"/>
      <c r="J800" s="2273"/>
      <c r="K800" s="2274"/>
      <c r="L800" s="349"/>
      <c r="M800" s="301"/>
      <c r="N800" s="391"/>
      <c r="O800" s="349"/>
      <c r="P800" s="301"/>
      <c r="S800" s="364"/>
      <c r="Z800" s="609" t="s">
        <v>448</v>
      </c>
      <c r="AA800" s="609" t="s">
        <v>3090</v>
      </c>
    </row>
    <row r="801" spans="1:27" ht="18">
      <c r="A801" s="2712"/>
      <c r="B801" s="371">
        <v>104</v>
      </c>
      <c r="C801" s="371" t="s">
        <v>2791</v>
      </c>
      <c r="D801" s="2714">
        <f t="shared" si="66"/>
        <v>0</v>
      </c>
      <c r="E801" s="2719">
        <v>1</v>
      </c>
      <c r="F801" s="293"/>
      <c r="G801" s="2690" t="s">
        <v>2792</v>
      </c>
      <c r="H801" s="2296"/>
      <c r="I801" s="2296"/>
      <c r="J801" s="2273"/>
      <c r="K801" s="2274"/>
      <c r="L801" s="349"/>
      <c r="M801" s="301"/>
      <c r="N801" s="391"/>
      <c r="O801" s="349"/>
      <c r="P801" s="301"/>
      <c r="S801" s="364"/>
      <c r="Z801" s="609" t="s">
        <v>448</v>
      </c>
      <c r="AA801" s="609" t="s">
        <v>3090</v>
      </c>
    </row>
    <row r="802" spans="1:27" ht="18">
      <c r="A802" s="2712"/>
      <c r="B802" s="371">
        <v>105</v>
      </c>
      <c r="C802" s="371" t="s">
        <v>2791</v>
      </c>
      <c r="D802" s="2714">
        <f t="shared" si="66"/>
        <v>0</v>
      </c>
      <c r="E802" s="2719">
        <v>1</v>
      </c>
      <c r="F802" s="293"/>
      <c r="G802" s="2690" t="s">
        <v>2792</v>
      </c>
      <c r="H802" s="2296"/>
      <c r="I802" s="2296"/>
      <c r="J802" s="2273"/>
      <c r="K802" s="2274"/>
      <c r="L802" s="349"/>
      <c r="M802" s="301"/>
      <c r="N802" s="391"/>
      <c r="O802" s="349"/>
      <c r="P802" s="301"/>
      <c r="S802" s="364"/>
      <c r="Z802" s="609" t="s">
        <v>448</v>
      </c>
      <c r="AA802" s="609" t="s">
        <v>3090</v>
      </c>
    </row>
    <row r="803" spans="1:27" ht="18.75" thickBot="1">
      <c r="A803" s="2712"/>
      <c r="B803" s="371"/>
      <c r="C803" s="371"/>
      <c r="D803" s="2714">
        <f t="shared" si="66"/>
        <v>1</v>
      </c>
      <c r="E803" s="2719" t="s">
        <v>2751</v>
      </c>
      <c r="F803" s="293"/>
      <c r="G803" s="2232" t="s">
        <v>2752</v>
      </c>
      <c r="H803" s="2239"/>
      <c r="I803" s="2239"/>
      <c r="J803" s="2233">
        <f>SUMPRODUCT($E797:$E802,J797:J802)</f>
        <v>0</v>
      </c>
      <c r="K803" s="2242"/>
      <c r="L803" s="349"/>
      <c r="M803" s="301"/>
      <c r="N803" s="391"/>
      <c r="O803" s="349"/>
      <c r="P803" s="301"/>
      <c r="S803" s="364"/>
      <c r="Z803" s="609" t="s">
        <v>448</v>
      </c>
      <c r="AA803" s="609" t="s">
        <v>3090</v>
      </c>
    </row>
    <row r="804" spans="1:27" ht="18.75" thickBot="1">
      <c r="A804" s="2712"/>
      <c r="B804" s="371"/>
      <c r="C804" s="371" t="s">
        <v>2755</v>
      </c>
      <c r="D804" s="2714"/>
      <c r="F804" s="293"/>
      <c r="G804" s="376"/>
      <c r="H804" s="2697"/>
      <c r="I804" s="432"/>
      <c r="J804" s="527" t="s">
        <v>3002</v>
      </c>
      <c r="K804" s="392"/>
      <c r="L804" s="349"/>
      <c r="M804" s="301"/>
      <c r="N804" s="391"/>
      <c r="O804" s="349"/>
      <c r="P804" s="301"/>
      <c r="S804" s="364"/>
      <c r="Z804" s="609" t="s">
        <v>448</v>
      </c>
      <c r="AA804" s="609" t="s">
        <v>3090</v>
      </c>
    </row>
    <row r="805" spans="1:27" ht="18.75" thickTop="1">
      <c r="A805" s="2712"/>
      <c r="B805" s="371"/>
      <c r="C805" s="371" t="s">
        <v>2565</v>
      </c>
      <c r="D805" s="2714"/>
      <c r="F805" s="293"/>
      <c r="G805" s="1547" t="s">
        <v>5365</v>
      </c>
      <c r="H805" s="1548" t="str">
        <f>G778</f>
        <v>(3)应收款项融资——应收账款按减值计提方法分类</v>
      </c>
      <c r="I805" s="1549"/>
      <c r="J805" s="1550"/>
      <c r="K805" s="1549"/>
      <c r="L805" s="1551" t="s">
        <v>5366</v>
      </c>
      <c r="M805" s="301"/>
      <c r="N805" s="391"/>
      <c r="O805" s="349"/>
      <c r="P805" s="301"/>
      <c r="S805" s="364"/>
      <c r="Z805" s="609" t="s">
        <v>448</v>
      </c>
      <c r="AA805" s="609" t="s">
        <v>3090</v>
      </c>
    </row>
    <row r="806" spans="1:27" ht="18">
      <c r="A806" s="2712"/>
      <c r="B806" s="371"/>
      <c r="C806" s="371" t="s">
        <v>2565</v>
      </c>
      <c r="D806" s="2714"/>
      <c r="F806" s="293"/>
      <c r="G806" s="604" t="str">
        <f>"注释A:"&amp; G783</f>
        <v>注释A:按单项计提减值准备</v>
      </c>
      <c r="H806" s="351"/>
      <c r="I806" s="351"/>
      <c r="J806" s="2250">
        <f ca="1">HYPERLINK("#'"&amp;$G$1&amp;"'!"&amp;ADDRESS(ROW(Notes!J783),COLUMN(Notes!J783),4),J783)</f>
        <v>0</v>
      </c>
      <c r="K806" s="351"/>
      <c r="L806" s="2630" t="str">
        <f>H778</f>
        <v>1124g</v>
      </c>
      <c r="M806" s="301"/>
      <c r="N806" s="391"/>
      <c r="O806" s="349"/>
      <c r="P806" s="301"/>
      <c r="S806" s="364"/>
      <c r="Z806" s="609" t="s">
        <v>448</v>
      </c>
      <c r="AA806" s="609" t="s">
        <v>3090</v>
      </c>
    </row>
    <row r="807" spans="1:27" ht="18">
      <c r="A807" s="2712"/>
      <c r="B807" s="371"/>
      <c r="C807" s="371" t="s">
        <v>2565</v>
      </c>
      <c r="D807" s="2714"/>
      <c r="F807" s="293"/>
      <c r="G807" s="604" t="str">
        <f>"本注释B:"&amp; G803</f>
        <v>本注释B:合       计</v>
      </c>
      <c r="H807" s="351"/>
      <c r="I807" s="351"/>
      <c r="J807" s="456">
        <f>J803</f>
        <v>0</v>
      </c>
      <c r="K807" s="351"/>
      <c r="L807" s="2636" t="s">
        <v>6369</v>
      </c>
      <c r="M807" s="301"/>
      <c r="N807" s="391"/>
      <c r="O807" s="349"/>
      <c r="P807" s="301"/>
      <c r="S807" s="364"/>
      <c r="Z807" s="609" t="s">
        <v>448</v>
      </c>
      <c r="AA807" s="609" t="s">
        <v>3090</v>
      </c>
    </row>
    <row r="808" spans="1:27" ht="18.75" thickBot="1">
      <c r="A808" s="2712"/>
      <c r="B808" s="371"/>
      <c r="C808" s="371" t="s">
        <v>2565</v>
      </c>
      <c r="D808" s="2714"/>
      <c r="F808" s="293"/>
      <c r="G808" s="1552" t="s">
        <v>2757</v>
      </c>
      <c r="H808" s="1553"/>
      <c r="I808" s="1553"/>
      <c r="J808" s="1529">
        <f ca="1">IF(AND(J806="",J807=""),"",ROUND(J806-J807,2))</f>
        <v>0</v>
      </c>
      <c r="K808" s="1553"/>
      <c r="L808" s="1553"/>
      <c r="M808" s="301"/>
      <c r="N808" s="391"/>
      <c r="O808" s="349"/>
      <c r="P808" s="301"/>
      <c r="S808" s="364"/>
      <c r="Z808" s="609" t="s">
        <v>448</v>
      </c>
      <c r="AA808" s="609" t="s">
        <v>3090</v>
      </c>
    </row>
    <row r="809" spans="1:27" ht="18.75" thickTop="1">
      <c r="A809" s="2712"/>
      <c r="B809" s="371"/>
      <c r="C809" s="371" t="s">
        <v>2565</v>
      </c>
      <c r="D809" s="2714"/>
      <c r="F809" s="293"/>
      <c r="G809" s="1543"/>
      <c r="H809" s="317"/>
      <c r="I809" s="317"/>
      <c r="J809" s="459" t="str">
        <f ca="1">IF(OR(J808=0,J808=""),"√","？")</f>
        <v>√</v>
      </c>
      <c r="K809" s="317"/>
      <c r="L809" s="317"/>
      <c r="M809" s="301"/>
      <c r="N809" s="391"/>
      <c r="O809" s="349"/>
      <c r="P809" s="301"/>
      <c r="S809" s="364"/>
      <c r="Z809" s="609" t="s">
        <v>448</v>
      </c>
      <c r="AA809" s="609" t="s">
        <v>3090</v>
      </c>
    </row>
    <row r="810" spans="1:27" ht="18">
      <c r="A810" s="2712"/>
      <c r="B810" s="371"/>
      <c r="C810" s="371" t="s">
        <v>2565</v>
      </c>
      <c r="D810" s="2714"/>
      <c r="F810" s="293"/>
      <c r="G810" s="1557" t="s">
        <v>2759</v>
      </c>
      <c r="H810" s="317"/>
      <c r="I810" s="317"/>
      <c r="J810" s="461"/>
      <c r="K810" s="352">
        <f ca="1">SUMIF($H$809:$L$809,"&lt;&gt;√",$H$808:$L$808)</f>
        <v>0</v>
      </c>
      <c r="L810" s="353" t="str">
        <f ca="1">IF(OR(K810=0,K810=""),"√","？")</f>
        <v>√</v>
      </c>
      <c r="M810" s="301"/>
      <c r="N810" s="391"/>
      <c r="O810" s="349"/>
      <c r="P810" s="301"/>
      <c r="S810" s="364"/>
      <c r="Z810" s="609" t="s">
        <v>448</v>
      </c>
      <c r="AA810" s="609" t="s">
        <v>3090</v>
      </c>
    </row>
    <row r="811" spans="1:27" ht="18">
      <c r="A811" s="2712"/>
      <c r="B811" s="371"/>
      <c r="C811" s="371" t="s">
        <v>2565</v>
      </c>
      <c r="D811" s="2714"/>
      <c r="F811" s="293"/>
      <c r="G811" s="1543"/>
      <c r="H811" s="317"/>
      <c r="I811" s="317"/>
      <c r="J811" s="461"/>
      <c r="K811" s="317"/>
      <c r="L811" s="317"/>
      <c r="M811" s="301"/>
      <c r="N811" s="391"/>
      <c r="O811" s="349"/>
      <c r="P811" s="301"/>
      <c r="S811" s="364"/>
      <c r="Z811" s="609" t="s">
        <v>448</v>
      </c>
      <c r="AA811" s="609" t="s">
        <v>3090</v>
      </c>
    </row>
    <row r="812" spans="1:27" ht="36">
      <c r="A812" s="2712" t="s">
        <v>6370</v>
      </c>
      <c r="B812" s="371">
        <v>3.2</v>
      </c>
      <c r="C812" s="371"/>
      <c r="D812" s="2714" t="str">
        <f>VLOOKUP($A812,Sheet_NoteList,2,0)</f>
        <v>期末按按组合1计提减值准备的应收款项融资——应收账款</v>
      </c>
      <c r="E812" s="2714" t="s">
        <v>6531</v>
      </c>
      <c r="F812" s="293"/>
      <c r="G812" s="372" t="str">
        <f>"("&amp;B812&amp;")"&amp;D812</f>
        <v>(3.2)期末按按组合1计提减值准备的应收款项融资——应收账款</v>
      </c>
      <c r="H812" s="1515" t="str">
        <f>$A812</f>
        <v>1124i</v>
      </c>
      <c r="I812" s="343" t="s">
        <v>6385</v>
      </c>
      <c r="J812" s="301" t="s">
        <v>6386</v>
      </c>
      <c r="K812" s="2208">
        <f>H825</f>
        <v>0</v>
      </c>
      <c r="L812" s="349"/>
      <c r="M812" s="301"/>
      <c r="N812" s="391"/>
      <c r="O812" s="349"/>
      <c r="P812" s="301"/>
      <c r="S812" s="364"/>
      <c r="Z812" s="609" t="s">
        <v>448</v>
      </c>
      <c r="AA812" s="609" t="s">
        <v>3090</v>
      </c>
    </row>
    <row r="813" spans="1:27" ht="0.75" customHeight="1">
      <c r="A813" s="2712"/>
      <c r="B813" s="371"/>
      <c r="C813" s="371"/>
      <c r="D813" s="2714"/>
      <c r="E813" s="586"/>
      <c r="F813" s="586"/>
      <c r="G813" s="2222" t="s">
        <v>6387</v>
      </c>
      <c r="H813" s="371" t="s">
        <v>6505</v>
      </c>
      <c r="I813" s="371" t="s">
        <v>6506</v>
      </c>
      <c r="J813" s="371" t="s">
        <v>6507</v>
      </c>
      <c r="K813" s="547" t="s">
        <v>6508</v>
      </c>
      <c r="L813" s="349"/>
      <c r="M813" s="301"/>
      <c r="N813" s="391"/>
      <c r="O813" s="349"/>
      <c r="P813" s="301"/>
      <c r="S813" s="364"/>
      <c r="Z813" s="609" t="s">
        <v>448</v>
      </c>
      <c r="AA813" s="609" t="s">
        <v>3090</v>
      </c>
    </row>
    <row r="814" spans="1:27" ht="0.75" customHeight="1" thickBot="1">
      <c r="A814" s="2712"/>
      <c r="B814" s="371"/>
      <c r="C814" s="371"/>
      <c r="D814" s="2714"/>
      <c r="E814" s="586"/>
      <c r="F814" s="586"/>
      <c r="G814" s="2222"/>
      <c r="H814" s="371" t="s">
        <v>6509</v>
      </c>
      <c r="I814" s="371" t="s">
        <v>6510</v>
      </c>
      <c r="J814" s="371" t="s">
        <v>6511</v>
      </c>
      <c r="K814" s="547" t="s">
        <v>6512</v>
      </c>
      <c r="L814" s="349"/>
      <c r="M814" s="301"/>
      <c r="N814" s="391"/>
      <c r="O814" s="349"/>
      <c r="P814" s="301"/>
      <c r="S814" s="364"/>
      <c r="Z814" s="609" t="s">
        <v>448</v>
      </c>
      <c r="AA814" s="609" t="s">
        <v>3090</v>
      </c>
    </row>
    <row r="815" spans="1:27" ht="18" customHeight="1">
      <c r="A815" s="2712"/>
      <c r="B815" s="371"/>
      <c r="C815" s="371"/>
      <c r="D815" s="2714"/>
      <c r="E815" s="586" t="s">
        <v>2749</v>
      </c>
      <c r="F815" s="414"/>
      <c r="G815" s="3462" t="s">
        <v>5134</v>
      </c>
      <c r="H815" s="3458" t="str">
        <f>$V$2</f>
        <v>2019年12月31日</v>
      </c>
      <c r="I815" s="3458"/>
      <c r="J815" s="3458"/>
      <c r="K815" s="3459"/>
      <c r="L815" s="355" t="s">
        <v>5269</v>
      </c>
      <c r="M815" s="301"/>
      <c r="N815" s="391"/>
      <c r="O815" s="349"/>
      <c r="P815" s="301"/>
      <c r="S815" s="364"/>
      <c r="Z815" s="609" t="s">
        <v>448</v>
      </c>
      <c r="AA815" s="609" t="s">
        <v>3090</v>
      </c>
    </row>
    <row r="816" spans="1:27" ht="36">
      <c r="A816" s="2712"/>
      <c r="B816" s="371"/>
      <c r="C816" s="371"/>
      <c r="D816" s="2714"/>
      <c r="E816" s="586" t="s">
        <v>2749</v>
      </c>
      <c r="F816" s="414"/>
      <c r="G816" s="3463"/>
      <c r="H816" s="2686" t="s">
        <v>6393</v>
      </c>
      <c r="I816" s="2686" t="s">
        <v>6391</v>
      </c>
      <c r="J816" s="2686" t="s">
        <v>5143</v>
      </c>
      <c r="K816" s="2688" t="s">
        <v>6392</v>
      </c>
      <c r="L816" s="355" t="s">
        <v>6389</v>
      </c>
      <c r="M816" s="301"/>
      <c r="N816" s="391"/>
      <c r="O816" s="349"/>
      <c r="P816" s="301"/>
      <c r="S816" s="364"/>
      <c r="Z816" s="609" t="s">
        <v>448</v>
      </c>
      <c r="AA816" s="609" t="s">
        <v>3090</v>
      </c>
    </row>
    <row r="817" spans="1:27" ht="18">
      <c r="A817" s="2712"/>
      <c r="B817" s="371">
        <v>101</v>
      </c>
      <c r="C817" s="371" t="s">
        <v>2791</v>
      </c>
      <c r="D817" s="2714">
        <f t="shared" ref="D817:D825" si="67">IF(OR(G817="*",G817="",G817=0),0,COUNTIF($G$817:$G$825,G817))</f>
        <v>0</v>
      </c>
      <c r="E817" s="2719">
        <v>1</v>
      </c>
      <c r="F817" s="293"/>
      <c r="G817" s="2690" t="s">
        <v>2792</v>
      </c>
      <c r="H817" s="2296"/>
      <c r="I817" s="2296"/>
      <c r="J817" s="2273"/>
      <c r="K817" s="2274"/>
      <c r="L817" s="349"/>
      <c r="M817" s="301"/>
      <c r="N817" s="391"/>
      <c r="O817" s="349"/>
      <c r="P817" s="301"/>
      <c r="S817" s="364"/>
      <c r="Z817" s="609" t="s">
        <v>448</v>
      </c>
      <c r="AA817" s="609" t="s">
        <v>3090</v>
      </c>
    </row>
    <row r="818" spans="1:27" ht="18">
      <c r="A818" s="2712"/>
      <c r="B818" s="371">
        <v>102</v>
      </c>
      <c r="C818" s="371" t="s">
        <v>2791</v>
      </c>
      <c r="D818" s="2714">
        <f t="shared" si="67"/>
        <v>0</v>
      </c>
      <c r="E818" s="2719">
        <v>1</v>
      </c>
      <c r="F818" s="293"/>
      <c r="G818" s="2690" t="s">
        <v>2792</v>
      </c>
      <c r="H818" s="2296"/>
      <c r="I818" s="2296"/>
      <c r="J818" s="2273"/>
      <c r="K818" s="2274"/>
      <c r="L818" s="349"/>
      <c r="M818" s="301"/>
      <c r="N818" s="391"/>
      <c r="O818" s="349"/>
      <c r="P818" s="301"/>
      <c r="S818" s="364"/>
      <c r="Z818" s="609" t="s">
        <v>448</v>
      </c>
      <c r="AA818" s="609" t="s">
        <v>3090</v>
      </c>
    </row>
    <row r="819" spans="1:27" ht="18">
      <c r="A819" s="2712"/>
      <c r="B819" s="371">
        <v>103</v>
      </c>
      <c r="C819" s="371" t="s">
        <v>2791</v>
      </c>
      <c r="D819" s="2714">
        <f t="shared" si="67"/>
        <v>0</v>
      </c>
      <c r="E819" s="2719">
        <v>1</v>
      </c>
      <c r="F819" s="293"/>
      <c r="G819" s="2690" t="s">
        <v>2792</v>
      </c>
      <c r="H819" s="2296"/>
      <c r="I819" s="2296"/>
      <c r="J819" s="2273"/>
      <c r="K819" s="2274"/>
      <c r="L819" s="349"/>
      <c r="M819" s="301"/>
      <c r="N819" s="391"/>
      <c r="O819" s="349"/>
      <c r="P819" s="301"/>
      <c r="S819" s="364"/>
      <c r="Z819" s="609" t="s">
        <v>448</v>
      </c>
      <c r="AA819" s="609" t="s">
        <v>3090</v>
      </c>
    </row>
    <row r="820" spans="1:27" ht="18">
      <c r="A820" s="2712"/>
      <c r="B820" s="371">
        <v>104</v>
      </c>
      <c r="C820" s="371" t="s">
        <v>2791</v>
      </c>
      <c r="D820" s="2714">
        <f t="shared" si="67"/>
        <v>0</v>
      </c>
      <c r="E820" s="2719">
        <v>1</v>
      </c>
      <c r="F820" s="293"/>
      <c r="G820" s="2690" t="s">
        <v>2792</v>
      </c>
      <c r="H820" s="2296"/>
      <c r="I820" s="2296"/>
      <c r="J820" s="2273"/>
      <c r="K820" s="2274"/>
      <c r="L820" s="349"/>
      <c r="M820" s="301"/>
      <c r="N820" s="391"/>
      <c r="O820" s="349"/>
      <c r="P820" s="301"/>
      <c r="S820" s="364"/>
      <c r="Z820" s="609" t="s">
        <v>448</v>
      </c>
      <c r="AA820" s="609" t="s">
        <v>3090</v>
      </c>
    </row>
    <row r="821" spans="1:27" ht="18">
      <c r="A821" s="2712"/>
      <c r="B821" s="371">
        <v>105</v>
      </c>
      <c r="C821" s="371" t="s">
        <v>2791</v>
      </c>
      <c r="D821" s="2714">
        <f t="shared" si="67"/>
        <v>0</v>
      </c>
      <c r="E821" s="2719">
        <v>1</v>
      </c>
      <c r="F821" s="293"/>
      <c r="G821" s="2690" t="s">
        <v>2792</v>
      </c>
      <c r="H821" s="2296"/>
      <c r="I821" s="2296"/>
      <c r="J821" s="2273"/>
      <c r="K821" s="2274"/>
      <c r="L821" s="349"/>
      <c r="M821" s="301"/>
      <c r="N821" s="391"/>
      <c r="O821" s="349"/>
      <c r="P821" s="301"/>
      <c r="S821" s="364"/>
      <c r="Z821" s="609" t="s">
        <v>448</v>
      </c>
      <c r="AA821" s="609" t="s">
        <v>3090</v>
      </c>
    </row>
    <row r="822" spans="1:27" ht="18">
      <c r="A822" s="2712"/>
      <c r="B822" s="371">
        <v>106</v>
      </c>
      <c r="C822" s="371" t="s">
        <v>2791</v>
      </c>
      <c r="D822" s="2714">
        <f t="shared" si="67"/>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107</v>
      </c>
      <c r="C823" s="371" t="s">
        <v>2791</v>
      </c>
      <c r="D823" s="2714">
        <f t="shared" si="67"/>
        <v>0</v>
      </c>
      <c r="E823" s="2719">
        <v>1</v>
      </c>
      <c r="F823" s="293"/>
      <c r="G823" s="2690" t="s">
        <v>2792</v>
      </c>
      <c r="H823" s="2296"/>
      <c r="I823" s="2296"/>
      <c r="J823" s="2273"/>
      <c r="K823" s="2274"/>
      <c r="L823" s="349"/>
      <c r="M823" s="301"/>
      <c r="N823" s="391"/>
      <c r="O823" s="349"/>
      <c r="P823" s="301"/>
      <c r="S823" s="364"/>
      <c r="Z823" s="609" t="s">
        <v>448</v>
      </c>
      <c r="AA823" s="609" t="s">
        <v>3090</v>
      </c>
    </row>
    <row r="824" spans="1:27" ht="18">
      <c r="A824" s="2712"/>
      <c r="B824" s="371">
        <v>108</v>
      </c>
      <c r="C824" s="371" t="s">
        <v>2791</v>
      </c>
      <c r="D824" s="2714">
        <f t="shared" si="67"/>
        <v>0</v>
      </c>
      <c r="E824" s="2719">
        <v>1</v>
      </c>
      <c r="F824" s="293"/>
      <c r="G824" s="2690" t="s">
        <v>2792</v>
      </c>
      <c r="H824" s="2296"/>
      <c r="I824" s="2296"/>
      <c r="J824" s="2273"/>
      <c r="K824" s="2274"/>
      <c r="L824" s="349"/>
      <c r="M824" s="301"/>
      <c r="N824" s="391"/>
      <c r="O824" s="349"/>
      <c r="P824" s="301"/>
      <c r="S824" s="364"/>
      <c r="Z824" s="609" t="s">
        <v>448</v>
      </c>
      <c r="AA824" s="609" t="s">
        <v>3090</v>
      </c>
    </row>
    <row r="825" spans="1:27" ht="18.75" thickBot="1">
      <c r="A825" s="2712"/>
      <c r="B825" s="371"/>
      <c r="C825" s="371"/>
      <c r="D825" s="2714">
        <f t="shared" si="67"/>
        <v>1</v>
      </c>
      <c r="E825" s="2719" t="s">
        <v>2751</v>
      </c>
      <c r="F825" s="293"/>
      <c r="G825" s="2232" t="s">
        <v>2752</v>
      </c>
      <c r="H825" s="2239"/>
      <c r="I825" s="2239"/>
      <c r="J825" s="2233">
        <f>SUMPRODUCT($E816:$E824,J816:J824)</f>
        <v>0</v>
      </c>
      <c r="K825" s="2242"/>
      <c r="L825" s="349"/>
      <c r="M825" s="301"/>
      <c r="N825" s="391"/>
      <c r="O825" s="349"/>
      <c r="P825" s="301"/>
      <c r="S825" s="364"/>
      <c r="Z825" s="609" t="s">
        <v>448</v>
      </c>
      <c r="AA825" s="609" t="s">
        <v>3090</v>
      </c>
    </row>
    <row r="826" spans="1:27" ht="18.75" thickBot="1">
      <c r="A826" s="2712"/>
      <c r="B826" s="371"/>
      <c r="C826" s="371" t="s">
        <v>2755</v>
      </c>
      <c r="D826" s="2714"/>
      <c r="F826" s="293"/>
      <c r="G826" s="376"/>
      <c r="H826" s="2697"/>
      <c r="I826" s="432"/>
      <c r="J826" s="527" t="s">
        <v>3002</v>
      </c>
      <c r="K826" s="392"/>
      <c r="L826" s="349"/>
      <c r="M826" s="301"/>
      <c r="N826" s="391"/>
      <c r="O826" s="349"/>
      <c r="P826" s="301"/>
      <c r="S826" s="364"/>
      <c r="Z826" s="609" t="s">
        <v>448</v>
      </c>
      <c r="AA826" s="609" t="s">
        <v>3090</v>
      </c>
    </row>
    <row r="827" spans="1:27" ht="18.75" thickTop="1">
      <c r="A827" s="2712"/>
      <c r="B827" s="371"/>
      <c r="C827" s="371" t="s">
        <v>2565</v>
      </c>
      <c r="D827" s="2714"/>
      <c r="F827" s="293"/>
      <c r="G827" s="1547" t="s">
        <v>5365</v>
      </c>
      <c r="H827" s="1548" t="str">
        <f>G778</f>
        <v>(3)应收款项融资——应收账款按减值计提方法分类</v>
      </c>
      <c r="I827" s="1549"/>
      <c r="J827" s="1550"/>
      <c r="K827" s="1549"/>
      <c r="L827" s="1551" t="s">
        <v>5366</v>
      </c>
      <c r="M827" s="301"/>
      <c r="N827" s="391"/>
      <c r="O827" s="349"/>
      <c r="P827" s="301"/>
      <c r="S827" s="364"/>
      <c r="Z827" s="609" t="s">
        <v>448</v>
      </c>
      <c r="AA827" s="609" t="s">
        <v>3090</v>
      </c>
    </row>
    <row r="828" spans="1:27" ht="18">
      <c r="A828" s="2712"/>
      <c r="B828" s="371"/>
      <c r="C828" s="371" t="s">
        <v>2565</v>
      </c>
      <c r="D828" s="2714"/>
      <c r="F828" s="293"/>
      <c r="G828" s="604" t="str">
        <f>"注释A:"&amp; G788</f>
        <v>注释A:其中：组合1</v>
      </c>
      <c r="H828" s="351"/>
      <c r="I828" s="351"/>
      <c r="J828" s="2250">
        <f ca="1">HYPERLINK("#'"&amp;$G$1&amp;"'!"&amp;ADDRESS(ROW(Notes!J788),COLUMN(Notes!J788),4),J788)</f>
        <v>0</v>
      </c>
      <c r="K828" s="351"/>
      <c r="L828" s="2630" t="str">
        <f>H778</f>
        <v>1124g</v>
      </c>
      <c r="M828" s="301"/>
      <c r="N828" s="391"/>
      <c r="O828" s="349"/>
      <c r="P828" s="301"/>
      <c r="S828" s="364"/>
      <c r="Z828" s="609" t="s">
        <v>448</v>
      </c>
      <c r="AA828" s="609" t="s">
        <v>3090</v>
      </c>
    </row>
    <row r="829" spans="1:27" ht="18">
      <c r="A829" s="2712"/>
      <c r="B829" s="371"/>
      <c r="C829" s="371" t="s">
        <v>2565</v>
      </c>
      <c r="D829" s="2714"/>
      <c r="F829" s="293"/>
      <c r="G829" s="604" t="str">
        <f>"本注释B:"&amp; G825</f>
        <v>本注释B:合       计</v>
      </c>
      <c r="H829" s="351"/>
      <c r="I829" s="351"/>
      <c r="J829" s="456">
        <f>J825</f>
        <v>0</v>
      </c>
      <c r="K829" s="351"/>
      <c r="L829" s="2636" t="s">
        <v>6370</v>
      </c>
      <c r="M829" s="301"/>
      <c r="N829" s="391"/>
      <c r="O829" s="349"/>
      <c r="P829" s="301"/>
      <c r="S829" s="364"/>
      <c r="Z829" s="609" t="s">
        <v>448</v>
      </c>
      <c r="AA829" s="609" t="s">
        <v>3090</v>
      </c>
    </row>
    <row r="830" spans="1:27" ht="18.75" thickBot="1">
      <c r="A830" s="2712"/>
      <c r="B830" s="371"/>
      <c r="C830" s="371" t="s">
        <v>2565</v>
      </c>
      <c r="D830" s="2714"/>
      <c r="F830" s="293"/>
      <c r="G830" s="1552" t="s">
        <v>2757</v>
      </c>
      <c r="H830" s="1553"/>
      <c r="I830" s="1553"/>
      <c r="J830" s="1529">
        <f ca="1">IF(AND(J828="",J829=""),"",ROUND(J828-J829,2))</f>
        <v>0</v>
      </c>
      <c r="K830" s="1553"/>
      <c r="L830" s="1553"/>
      <c r="M830" s="301"/>
      <c r="N830" s="391"/>
      <c r="O830" s="349"/>
      <c r="P830" s="301"/>
      <c r="S830" s="364"/>
      <c r="Z830" s="609" t="s">
        <v>448</v>
      </c>
      <c r="AA830" s="609" t="s">
        <v>3090</v>
      </c>
    </row>
    <row r="831" spans="1:27" ht="18.75" thickTop="1">
      <c r="A831" s="2712"/>
      <c r="B831" s="371"/>
      <c r="C831" s="371" t="s">
        <v>2565</v>
      </c>
      <c r="D831" s="2714"/>
      <c r="F831" s="293"/>
      <c r="G831" s="1543"/>
      <c r="H831" s="317"/>
      <c r="I831" s="317"/>
      <c r="J831" s="459" t="str">
        <f ca="1">IF(OR(J830=0,J830=""),"√","？")</f>
        <v>√</v>
      </c>
      <c r="K831" s="317"/>
      <c r="L831" s="317"/>
      <c r="M831" s="301"/>
      <c r="N831" s="391"/>
      <c r="O831" s="349"/>
      <c r="P831" s="301"/>
      <c r="S831" s="364"/>
      <c r="Z831" s="609" t="s">
        <v>448</v>
      </c>
      <c r="AA831" s="609" t="s">
        <v>3090</v>
      </c>
    </row>
    <row r="832" spans="1:27" ht="18">
      <c r="A832" s="2712"/>
      <c r="B832" s="371"/>
      <c r="C832" s="371" t="s">
        <v>2565</v>
      </c>
      <c r="D832" s="2714"/>
      <c r="F832" s="293"/>
      <c r="G832" s="1557" t="s">
        <v>2759</v>
      </c>
      <c r="H832" s="317"/>
      <c r="I832" s="317"/>
      <c r="J832" s="461"/>
      <c r="K832" s="352">
        <f ca="1">SUMIF($H$831:$L$831,"&lt;&gt;√",$H$830:$L$830)</f>
        <v>0</v>
      </c>
      <c r="L832" s="353" t="str">
        <f ca="1">IF(OR(K832=0,K832=""),"√","？")</f>
        <v>√</v>
      </c>
      <c r="M832" s="301"/>
      <c r="N832" s="391"/>
      <c r="O832" s="349"/>
      <c r="P832" s="301"/>
      <c r="S832" s="364"/>
      <c r="Z832" s="609" t="s">
        <v>448</v>
      </c>
      <c r="AA832" s="609" t="s">
        <v>3090</v>
      </c>
    </row>
    <row r="833" spans="1:27" ht="18">
      <c r="A833" s="2712"/>
      <c r="B833" s="371"/>
      <c r="C833" s="371" t="s">
        <v>2565</v>
      </c>
      <c r="D833" s="2714"/>
      <c r="F833" s="293"/>
      <c r="G833" s="1543"/>
      <c r="H833" s="317"/>
      <c r="I833" s="317"/>
      <c r="J833" s="461"/>
      <c r="K833" s="317"/>
      <c r="L833" s="317"/>
      <c r="M833" s="301"/>
      <c r="N833" s="391"/>
      <c r="O833" s="349"/>
      <c r="P833" s="301"/>
      <c r="S833" s="364"/>
      <c r="Z833" s="609" t="s">
        <v>448</v>
      </c>
      <c r="AA833" s="609" t="s">
        <v>3090</v>
      </c>
    </row>
    <row r="834" spans="1:27" ht="36">
      <c r="A834" s="2712" t="s">
        <v>6371</v>
      </c>
      <c r="B834" s="371">
        <v>3.3</v>
      </c>
      <c r="C834" s="371"/>
      <c r="D834" s="2714" t="str">
        <f>VLOOKUP($A834,Sheet_NoteList,2,0)</f>
        <v>期末按按组合2计提减值准备的应收款项融资——应收账款</v>
      </c>
      <c r="E834" s="2714" t="s">
        <v>6531</v>
      </c>
      <c r="F834" s="293"/>
      <c r="G834" s="372" t="str">
        <f>"("&amp;B834&amp;")"&amp;D834</f>
        <v>(3.3)期末按按组合2计提减值准备的应收款项融资——应收账款</v>
      </c>
      <c r="H834" s="1515" t="str">
        <f>$A834</f>
        <v>1124j</v>
      </c>
      <c r="I834" s="343" t="s">
        <v>6381</v>
      </c>
      <c r="J834" s="301" t="s">
        <v>6382</v>
      </c>
      <c r="K834" s="2208">
        <f>H847</f>
        <v>0</v>
      </c>
      <c r="L834" s="349"/>
      <c r="M834" s="301"/>
      <c r="N834" s="391"/>
      <c r="O834" s="349"/>
      <c r="P834" s="301"/>
      <c r="S834" s="364"/>
      <c r="Z834" s="609" t="s">
        <v>448</v>
      </c>
      <c r="AA834" s="609" t="s">
        <v>3090</v>
      </c>
    </row>
    <row r="835" spans="1:27" ht="0.75" customHeight="1">
      <c r="A835" s="2712"/>
      <c r="B835" s="371"/>
      <c r="C835" s="371"/>
      <c r="D835" s="2714"/>
      <c r="E835" s="586"/>
      <c r="F835" s="586"/>
      <c r="G835" s="2222" t="s">
        <v>6388</v>
      </c>
      <c r="H835" s="371" t="s">
        <v>6513</v>
      </c>
      <c r="I835" s="371" t="s">
        <v>6514</v>
      </c>
      <c r="J835" s="371" t="s">
        <v>6515</v>
      </c>
      <c r="K835" s="547" t="s">
        <v>6516</v>
      </c>
      <c r="L835" s="349"/>
      <c r="M835" s="301"/>
      <c r="N835" s="391"/>
      <c r="O835" s="349"/>
      <c r="P835" s="301"/>
      <c r="S835" s="364"/>
      <c r="Z835" s="609" t="s">
        <v>448</v>
      </c>
      <c r="AA835" s="609" t="s">
        <v>3090</v>
      </c>
    </row>
    <row r="836" spans="1:27" ht="0.75" customHeight="1" thickBot="1">
      <c r="A836" s="2712"/>
      <c r="B836" s="371"/>
      <c r="C836" s="371"/>
      <c r="D836" s="2714"/>
      <c r="E836" s="586"/>
      <c r="F836" s="586"/>
      <c r="G836" s="2222"/>
      <c r="H836" s="371" t="s">
        <v>6517</v>
      </c>
      <c r="I836" s="371" t="s">
        <v>6518</v>
      </c>
      <c r="J836" s="371" t="s">
        <v>6519</v>
      </c>
      <c r="K836" s="547" t="s">
        <v>6520</v>
      </c>
      <c r="L836" s="349"/>
      <c r="M836" s="301"/>
      <c r="N836" s="391"/>
      <c r="O836" s="349"/>
      <c r="P836" s="301"/>
      <c r="S836" s="364"/>
      <c r="Z836" s="609" t="s">
        <v>448</v>
      </c>
      <c r="AA836" s="609" t="s">
        <v>3090</v>
      </c>
    </row>
    <row r="837" spans="1:27" ht="18" customHeight="1">
      <c r="A837" s="2712"/>
      <c r="B837" s="371"/>
      <c r="C837" s="371"/>
      <c r="D837" s="2714"/>
      <c r="E837" s="586" t="s">
        <v>2749</v>
      </c>
      <c r="F837" s="414"/>
      <c r="G837" s="3464" t="s">
        <v>5946</v>
      </c>
      <c r="H837" s="3460" t="str">
        <f>$V$2</f>
        <v>2019年12月31日</v>
      </c>
      <c r="I837" s="3460"/>
      <c r="J837" s="3460"/>
      <c r="K837" s="3461"/>
      <c r="L837" s="355" t="s">
        <v>5947</v>
      </c>
      <c r="M837" s="301"/>
      <c r="N837" s="391"/>
      <c r="O837" s="349"/>
      <c r="P837" s="301"/>
      <c r="S837" s="364"/>
      <c r="Z837" s="609" t="s">
        <v>448</v>
      </c>
      <c r="AA837" s="609" t="s">
        <v>3090</v>
      </c>
    </row>
    <row r="838" spans="1:27" ht="36">
      <c r="A838" s="2712"/>
      <c r="B838" s="371"/>
      <c r="C838" s="371"/>
      <c r="D838" s="2714"/>
      <c r="E838" s="586" t="s">
        <v>2749</v>
      </c>
      <c r="F838" s="414"/>
      <c r="G838" s="3465"/>
      <c r="H838" s="2691" t="s">
        <v>6393</v>
      </c>
      <c r="I838" s="2691" t="s">
        <v>6391</v>
      </c>
      <c r="J838" s="2691" t="s">
        <v>5143</v>
      </c>
      <c r="K838" s="2695" t="s">
        <v>6392</v>
      </c>
      <c r="L838" s="355" t="s">
        <v>6174</v>
      </c>
      <c r="M838" s="301"/>
      <c r="N838" s="391"/>
      <c r="O838" s="349"/>
      <c r="P838" s="301"/>
      <c r="S838" s="364"/>
      <c r="Z838" s="609" t="s">
        <v>448</v>
      </c>
      <c r="AA838" s="609" t="s">
        <v>3090</v>
      </c>
    </row>
    <row r="839" spans="1:27" ht="18">
      <c r="A839" s="2712"/>
      <c r="B839" s="371">
        <v>101</v>
      </c>
      <c r="C839" s="371" t="s">
        <v>2791</v>
      </c>
      <c r="D839" s="2714">
        <f t="shared" ref="D839:D847" si="68">IF(OR(G839="*",G839="",G839=0),0,COUNTIF($G$839:$G$847,G839))</f>
        <v>0</v>
      </c>
      <c r="E839" s="2719">
        <v>1</v>
      </c>
      <c r="F839" s="293"/>
      <c r="G839" s="2690" t="s">
        <v>2792</v>
      </c>
      <c r="H839" s="2296"/>
      <c r="I839" s="2296"/>
      <c r="J839" s="2273"/>
      <c r="K839" s="2274"/>
      <c r="L839" s="349"/>
      <c r="M839" s="301"/>
      <c r="N839" s="391"/>
      <c r="O839" s="349"/>
      <c r="P839" s="301"/>
      <c r="S839" s="364"/>
      <c r="Z839" s="609" t="s">
        <v>448</v>
      </c>
      <c r="AA839" s="609" t="s">
        <v>3090</v>
      </c>
    </row>
    <row r="840" spans="1:27" ht="18">
      <c r="A840" s="2712"/>
      <c r="B840" s="371">
        <v>102</v>
      </c>
      <c r="C840" s="371" t="s">
        <v>2791</v>
      </c>
      <c r="D840" s="2714">
        <f t="shared" si="68"/>
        <v>0</v>
      </c>
      <c r="E840" s="2719">
        <v>1</v>
      </c>
      <c r="F840" s="293"/>
      <c r="G840" s="2690" t="s">
        <v>2792</v>
      </c>
      <c r="H840" s="2296"/>
      <c r="I840" s="2296"/>
      <c r="J840" s="2273"/>
      <c r="K840" s="2274"/>
      <c r="L840" s="349"/>
      <c r="M840" s="301"/>
      <c r="N840" s="391"/>
      <c r="O840" s="349"/>
      <c r="P840" s="301"/>
      <c r="S840" s="364"/>
      <c r="Z840" s="609" t="s">
        <v>448</v>
      </c>
      <c r="AA840" s="609" t="s">
        <v>3090</v>
      </c>
    </row>
    <row r="841" spans="1:27" ht="18">
      <c r="A841" s="2712"/>
      <c r="B841" s="371">
        <v>103</v>
      </c>
      <c r="C841" s="371" t="s">
        <v>2791</v>
      </c>
      <c r="D841" s="2714">
        <f t="shared" si="68"/>
        <v>0</v>
      </c>
      <c r="E841" s="2719">
        <v>1</v>
      </c>
      <c r="F841" s="293"/>
      <c r="G841" s="2690" t="s">
        <v>2792</v>
      </c>
      <c r="H841" s="2296"/>
      <c r="I841" s="2296"/>
      <c r="J841" s="2273"/>
      <c r="K841" s="2274"/>
      <c r="L841" s="349"/>
      <c r="M841" s="301"/>
      <c r="N841" s="391"/>
      <c r="O841" s="349"/>
      <c r="P841" s="301"/>
      <c r="S841" s="364"/>
      <c r="Z841" s="609" t="s">
        <v>448</v>
      </c>
      <c r="AA841" s="609" t="s">
        <v>3090</v>
      </c>
    </row>
    <row r="842" spans="1:27" ht="18">
      <c r="A842" s="2712"/>
      <c r="B842" s="371">
        <v>104</v>
      </c>
      <c r="C842" s="371" t="s">
        <v>2791</v>
      </c>
      <c r="D842" s="2714">
        <f t="shared" si="68"/>
        <v>0</v>
      </c>
      <c r="E842" s="2719">
        <v>1</v>
      </c>
      <c r="F842" s="293"/>
      <c r="G842" s="2690" t="s">
        <v>2792</v>
      </c>
      <c r="H842" s="2296"/>
      <c r="I842" s="2296"/>
      <c r="J842" s="2273"/>
      <c r="K842" s="2274"/>
      <c r="L842" s="349"/>
      <c r="M842" s="301"/>
      <c r="N842" s="391"/>
      <c r="O842" s="349"/>
      <c r="P842" s="301"/>
      <c r="S842" s="364"/>
      <c r="Z842" s="609" t="s">
        <v>448</v>
      </c>
      <c r="AA842" s="609" t="s">
        <v>3090</v>
      </c>
    </row>
    <row r="843" spans="1:27" ht="18">
      <c r="A843" s="2712"/>
      <c r="B843" s="371">
        <v>105</v>
      </c>
      <c r="C843" s="371" t="s">
        <v>2791</v>
      </c>
      <c r="D843" s="2714">
        <f t="shared" si="68"/>
        <v>0</v>
      </c>
      <c r="E843" s="2719">
        <v>1</v>
      </c>
      <c r="F843" s="293"/>
      <c r="G843" s="2690" t="s">
        <v>2792</v>
      </c>
      <c r="H843" s="2296"/>
      <c r="I843" s="2296"/>
      <c r="J843" s="2273"/>
      <c r="K843" s="2274"/>
      <c r="L843" s="349"/>
      <c r="M843" s="301"/>
      <c r="N843" s="391"/>
      <c r="O843" s="349"/>
      <c r="P843" s="301"/>
      <c r="S843" s="364"/>
      <c r="Z843" s="609" t="s">
        <v>448</v>
      </c>
      <c r="AA843" s="609" t="s">
        <v>3090</v>
      </c>
    </row>
    <row r="844" spans="1:27" ht="18">
      <c r="A844" s="2712"/>
      <c r="B844" s="371">
        <v>106</v>
      </c>
      <c r="C844" s="371" t="s">
        <v>2791</v>
      </c>
      <c r="D844" s="2714">
        <f t="shared" si="68"/>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107</v>
      </c>
      <c r="C845" s="371" t="s">
        <v>2791</v>
      </c>
      <c r="D845" s="2714">
        <f t="shared" si="68"/>
        <v>0</v>
      </c>
      <c r="E845" s="2719">
        <v>1</v>
      </c>
      <c r="F845" s="293"/>
      <c r="G845" s="2690" t="s">
        <v>2792</v>
      </c>
      <c r="H845" s="2296"/>
      <c r="I845" s="2296"/>
      <c r="J845" s="2273"/>
      <c r="K845" s="2274"/>
      <c r="L845" s="349"/>
      <c r="M845" s="301"/>
      <c r="N845" s="391"/>
      <c r="O845" s="349"/>
      <c r="P845" s="301"/>
      <c r="S845" s="364"/>
      <c r="Z845" s="609" t="s">
        <v>448</v>
      </c>
      <c r="AA845" s="609" t="s">
        <v>3090</v>
      </c>
    </row>
    <row r="846" spans="1:27" ht="18">
      <c r="A846" s="2712"/>
      <c r="B846" s="371">
        <v>108</v>
      </c>
      <c r="C846" s="371" t="s">
        <v>2791</v>
      </c>
      <c r="D846" s="2714">
        <f t="shared" si="68"/>
        <v>0</v>
      </c>
      <c r="E846" s="2719">
        <v>1</v>
      </c>
      <c r="F846" s="293"/>
      <c r="G846" s="2690" t="s">
        <v>2792</v>
      </c>
      <c r="H846" s="2296"/>
      <c r="I846" s="2296"/>
      <c r="J846" s="2273"/>
      <c r="K846" s="2274"/>
      <c r="L846" s="349"/>
      <c r="M846" s="301"/>
      <c r="N846" s="391"/>
      <c r="O846" s="349"/>
      <c r="P846" s="301"/>
      <c r="S846" s="364"/>
      <c r="Z846" s="609" t="s">
        <v>448</v>
      </c>
      <c r="AA846" s="609" t="s">
        <v>3090</v>
      </c>
    </row>
    <row r="847" spans="1:27" ht="18.75" thickBot="1">
      <c r="A847" s="2712"/>
      <c r="B847" s="371"/>
      <c r="C847" s="371"/>
      <c r="D847" s="2714">
        <f t="shared" si="68"/>
        <v>1</v>
      </c>
      <c r="E847" s="2719" t="s">
        <v>2751</v>
      </c>
      <c r="F847" s="293"/>
      <c r="G847" s="1527" t="s">
        <v>2752</v>
      </c>
      <c r="H847" s="2314"/>
      <c r="I847" s="2314"/>
      <c r="J847" s="1525">
        <f>SUMPRODUCT($E838:$E846,J838:J846)</f>
        <v>0</v>
      </c>
      <c r="K847" s="2264"/>
      <c r="L847" s="349"/>
      <c r="M847" s="301"/>
      <c r="N847" s="391"/>
      <c r="O847" s="349"/>
      <c r="P847" s="301"/>
      <c r="S847" s="364"/>
      <c r="Z847" s="609" t="s">
        <v>448</v>
      </c>
      <c r="AA847" s="609" t="s">
        <v>3090</v>
      </c>
    </row>
    <row r="848" spans="1:27" ht="18">
      <c r="A848" s="2712"/>
      <c r="B848" s="371"/>
      <c r="C848" s="371" t="s">
        <v>2755</v>
      </c>
      <c r="D848" s="2714"/>
      <c r="F848" s="293"/>
      <c r="G848" s="376"/>
      <c r="H848" s="2697"/>
      <c r="I848" s="432"/>
      <c r="J848" s="315"/>
      <c r="K848" s="392"/>
      <c r="L848" s="349"/>
      <c r="M848" s="301"/>
      <c r="N848" s="391"/>
      <c r="O848" s="349"/>
      <c r="P848" s="301"/>
      <c r="S848" s="364"/>
      <c r="Z848" s="609" t="s">
        <v>448</v>
      </c>
      <c r="AA848" s="609" t="s">
        <v>3090</v>
      </c>
    </row>
    <row r="849" spans="1:27" ht="24">
      <c r="A849" s="2712" t="s">
        <v>470</v>
      </c>
      <c r="B849" s="371">
        <v>4</v>
      </c>
      <c r="C849" s="371"/>
      <c r="D849" s="2714" t="str">
        <f>VLOOKUP($A849,Sheet_NoteList,2,0)</f>
        <v>应收款项融资减值准备的变动情况</v>
      </c>
      <c r="E849" s="2714" t="s">
        <v>2742</v>
      </c>
      <c r="F849" s="293"/>
      <c r="G849" s="372" t="str">
        <f>"("&amp;B849&amp;")"&amp;D849</f>
        <v>(4)应收款项融资减值准备的变动情况</v>
      </c>
      <c r="H849" s="1515" t="str">
        <f>$A849</f>
        <v>1124f</v>
      </c>
      <c r="I849" s="343" t="s">
        <v>2743</v>
      </c>
      <c r="J849" s="301" t="s">
        <v>2744</v>
      </c>
      <c r="K849" s="2208">
        <f>N857</f>
        <v>0</v>
      </c>
      <c r="L849" s="349">
        <f>IF($I849="适用",IF(ROUND(K$698-K849,2)=0,"F/S",ROUND(K$698-K849,2)),"#N/A")</f>
        <v>3532481.3</v>
      </c>
      <c r="M849" s="301" t="s">
        <v>2745</v>
      </c>
      <c r="N849" s="2208">
        <f>H857</f>
        <v>0</v>
      </c>
      <c r="O849" s="349"/>
      <c r="P849" s="301"/>
      <c r="S849" s="364"/>
      <c r="Z849" s="609" t="s">
        <v>448</v>
      </c>
      <c r="AA849" s="609" t="s">
        <v>3090</v>
      </c>
    </row>
    <row r="850" spans="1:27" ht="0.75" customHeight="1">
      <c r="A850" s="2712"/>
      <c r="B850" s="371"/>
      <c r="C850" s="371"/>
      <c r="D850" s="2714"/>
      <c r="E850" s="586"/>
      <c r="F850" s="586"/>
      <c r="G850" s="2222" t="s">
        <v>3100</v>
      </c>
      <c r="H850" s="371" t="s">
        <v>2747</v>
      </c>
      <c r="I850" s="371" t="s">
        <v>2748</v>
      </c>
      <c r="J850" s="371" t="s">
        <v>2948</v>
      </c>
      <c r="K850" s="547" t="s">
        <v>3034</v>
      </c>
      <c r="L850" s="547" t="s">
        <v>3035</v>
      </c>
      <c r="M850" s="371" t="s">
        <v>3036</v>
      </c>
      <c r="N850" s="547" t="s">
        <v>3037</v>
      </c>
      <c r="O850" s="428"/>
      <c r="P850" s="433"/>
      <c r="Q850" s="442"/>
      <c r="R850" s="443"/>
      <c r="S850" s="364"/>
      <c r="Z850" s="609" t="s">
        <v>448</v>
      </c>
      <c r="AA850" s="609" t="s">
        <v>3090</v>
      </c>
    </row>
    <row r="851" spans="1:27" ht="0.75" customHeight="1" thickBot="1">
      <c r="A851" s="2712"/>
      <c r="B851" s="371"/>
      <c r="C851" s="371"/>
      <c r="D851" s="2714"/>
      <c r="E851" s="586"/>
      <c r="F851" s="586"/>
      <c r="G851" s="2222"/>
      <c r="H851" s="371" t="s">
        <v>2911</v>
      </c>
      <c r="I851" s="371" t="s">
        <v>2912</v>
      </c>
      <c r="J851" s="371" t="s">
        <v>3038</v>
      </c>
      <c r="K851" s="547" t="s">
        <v>2914</v>
      </c>
      <c r="L851" s="547" t="s">
        <v>2915</v>
      </c>
      <c r="M851" s="371" t="s">
        <v>2916</v>
      </c>
      <c r="N851" s="547" t="s">
        <v>2917</v>
      </c>
      <c r="O851" s="428"/>
      <c r="P851" s="433"/>
      <c r="Q851" s="442"/>
      <c r="R851" s="443"/>
      <c r="S851" s="364"/>
      <c r="Z851" s="609" t="s">
        <v>448</v>
      </c>
      <c r="AA851" s="609" t="s">
        <v>3090</v>
      </c>
    </row>
    <row r="852" spans="1:27" ht="18" customHeight="1" thickTop="1">
      <c r="A852" s="2712"/>
      <c r="B852" s="371"/>
      <c r="C852" s="371"/>
      <c r="D852" s="2714"/>
      <c r="E852" s="586" t="s">
        <v>2749</v>
      </c>
      <c r="F852" s="414"/>
      <c r="G852" s="3462" t="s">
        <v>5133</v>
      </c>
      <c r="H852" s="3468" t="str">
        <f>$V$3</f>
        <v>2018年12月31日</v>
      </c>
      <c r="I852" s="3466" t="s">
        <v>5207</v>
      </c>
      <c r="J852" s="3468" t="str">
        <f>$X$3</f>
        <v>2019年1月1日</v>
      </c>
      <c r="K852" s="3496" t="s">
        <v>2919</v>
      </c>
      <c r="L852" s="3496"/>
      <c r="M852" s="3496"/>
      <c r="N852" s="3579" t="str">
        <f>$V$2</f>
        <v>2019年12月31日</v>
      </c>
      <c r="O852" s="355" t="s">
        <v>5269</v>
      </c>
      <c r="P852" s="2700" t="str">
        <f>""&amp;"&gt;期末:"&amp;""</f>
        <v>&gt;期末:</v>
      </c>
      <c r="Q852" s="2700"/>
      <c r="R852" s="2701" t="str">
        <f>""&amp;"NoteID"&amp;""</f>
        <v>NoteID</v>
      </c>
      <c r="S852" s="367"/>
      <c r="Z852" s="609" t="s">
        <v>448</v>
      </c>
      <c r="AA852" s="609" t="s">
        <v>3090</v>
      </c>
    </row>
    <row r="853" spans="1:27" ht="18">
      <c r="A853" s="2712"/>
      <c r="B853" s="371"/>
      <c r="C853" s="371"/>
      <c r="D853" s="2714"/>
      <c r="E853" s="586" t="s">
        <v>2749</v>
      </c>
      <c r="F853" s="414"/>
      <c r="G853" s="3463"/>
      <c r="H853" s="3469"/>
      <c r="I853" s="3467"/>
      <c r="J853" s="3469"/>
      <c r="K853" s="2237" t="s">
        <v>5208</v>
      </c>
      <c r="L853" s="2237" t="s">
        <v>5209</v>
      </c>
      <c r="M853" s="2269" t="s">
        <v>5210</v>
      </c>
      <c r="N853" s="3580"/>
      <c r="O853" s="434"/>
      <c r="P853" s="2702"/>
      <c r="Q853" s="2703"/>
      <c r="R853" s="2704"/>
      <c r="S853" s="367"/>
      <c r="Z853" s="609" t="s">
        <v>448</v>
      </c>
      <c r="AA853" s="609" t="s">
        <v>3090</v>
      </c>
    </row>
    <row r="854" spans="1:27" ht="18">
      <c r="A854" s="2712"/>
      <c r="B854" s="371">
        <v>101</v>
      </c>
      <c r="C854" s="371"/>
      <c r="D854" s="2714">
        <f>IF(OR(G854="*",G854="",G854=0),0,COUNTIF($G$854:$G$857,G854))</f>
        <v>1</v>
      </c>
      <c r="E854" s="2719">
        <v>1</v>
      </c>
      <c r="F854" s="293"/>
      <c r="G854" s="1472" t="s">
        <v>109</v>
      </c>
      <c r="H854" s="2297">
        <v>0</v>
      </c>
      <c r="I854" s="2273"/>
      <c r="J854" s="1474">
        <f>SUM(H854:I854)</f>
        <v>0</v>
      </c>
      <c r="K854" s="2273"/>
      <c r="L854" s="2273"/>
      <c r="M854" s="2273"/>
      <c r="N854" s="1475">
        <f>SUM(J854:K854,-L854,-M854)</f>
        <v>0</v>
      </c>
      <c r="O854" s="437"/>
      <c r="P854" s="2653">
        <f ca="1">HYPERLINK("#'"&amp;$G$1&amp;"'!"&amp;ADDRESS(ROW(Notes!J720),COLUMN(Notes!J720),4),J720-N854)</f>
        <v>0</v>
      </c>
      <c r="Q854" s="1542"/>
      <c r="R854" s="2706" t="str">
        <f>H707</f>
        <v>1124b</v>
      </c>
      <c r="S854" s="364"/>
      <c r="Z854" s="609" t="s">
        <v>448</v>
      </c>
      <c r="AA854" s="609" t="s">
        <v>3090</v>
      </c>
    </row>
    <row r="855" spans="1:27" ht="18">
      <c r="A855" s="2712"/>
      <c r="B855" s="371">
        <v>102</v>
      </c>
      <c r="C855" s="371"/>
      <c r="D855" s="2714">
        <f>IF(OR(G855="*",G855="",G855=0),0,COUNTIF($G$854:$G$857,G855))</f>
        <v>1</v>
      </c>
      <c r="E855" s="2719">
        <v>1</v>
      </c>
      <c r="F855" s="293"/>
      <c r="G855" s="1472" t="s">
        <v>124</v>
      </c>
      <c r="H855" s="2297">
        <v>0</v>
      </c>
      <c r="I855" s="2273"/>
      <c r="J855" s="1474">
        <f t="shared" ref="J855:J856" si="69">SUM(H855:I855)</f>
        <v>0</v>
      </c>
      <c r="K855" s="2273"/>
      <c r="L855" s="2273"/>
      <c r="M855" s="2273"/>
      <c r="N855" s="1475">
        <f t="shared" ref="N855:N856" si="70">SUM(J855:K855,-L855,-M855)</f>
        <v>0</v>
      </c>
      <c r="O855" s="437"/>
      <c r="P855" s="2653">
        <f ca="1">HYPERLINK("#'"&amp;$G$1&amp;"'!"&amp;ADDRESS(ROW(Notes!J791),COLUMN(Notes!J791),4),J791-N855)</f>
        <v>0</v>
      </c>
      <c r="Q855" s="1542"/>
      <c r="R855" s="2706" t="str">
        <f>H778</f>
        <v>1124g</v>
      </c>
      <c r="S855" s="364"/>
      <c r="Z855" s="609" t="s">
        <v>448</v>
      </c>
      <c r="AA855" s="609" t="s">
        <v>3090</v>
      </c>
    </row>
    <row r="856" spans="1:27" ht="18">
      <c r="A856" s="2712"/>
      <c r="B856" s="371">
        <v>103</v>
      </c>
      <c r="C856" s="371" t="s">
        <v>2791</v>
      </c>
      <c r="D856" s="2714">
        <f>IF(OR(G856="*",G856="",G856=0),0,COUNTIF($G$854:$G$857,G856))</f>
        <v>0</v>
      </c>
      <c r="E856" s="2719">
        <v>1</v>
      </c>
      <c r="F856" s="293"/>
      <c r="G856" s="2272" t="s">
        <v>2792</v>
      </c>
      <c r="H856" s="2297">
        <v>0</v>
      </c>
      <c r="I856" s="2273"/>
      <c r="J856" s="1474">
        <f t="shared" si="69"/>
        <v>0</v>
      </c>
      <c r="K856" s="2273"/>
      <c r="L856" s="2273"/>
      <c r="M856" s="2273"/>
      <c r="N856" s="1475">
        <f t="shared" si="70"/>
        <v>0</v>
      </c>
      <c r="O856" s="437"/>
      <c r="P856" s="1542"/>
      <c r="Q856" s="1542"/>
      <c r="R856" s="2699"/>
      <c r="S856" s="364"/>
      <c r="Z856" s="609" t="s">
        <v>448</v>
      </c>
      <c r="AA856" s="609" t="s">
        <v>3090</v>
      </c>
    </row>
    <row r="857" spans="1:27" ht="18.75" thickBot="1">
      <c r="A857" s="2712"/>
      <c r="B857" s="371"/>
      <c r="C857" s="371"/>
      <c r="D857" s="2714">
        <f>IF(OR(G857="*",G857="",G857=0),0,COUNTIF($G$854:$G$857,G857))</f>
        <v>1</v>
      </c>
      <c r="E857" s="2719" t="s">
        <v>2751</v>
      </c>
      <c r="F857" s="293"/>
      <c r="G857" s="2232" t="s">
        <v>2752</v>
      </c>
      <c r="H857" s="2233">
        <f t="shared" ref="H857:N857" si="71">SUMPRODUCT($E853:$E856,H853:H856)</f>
        <v>0</v>
      </c>
      <c r="I857" s="2233">
        <f t="shared" si="71"/>
        <v>0</v>
      </c>
      <c r="J857" s="2233">
        <f t="shared" si="71"/>
        <v>0</v>
      </c>
      <c r="K857" s="2233">
        <f t="shared" si="71"/>
        <v>0</v>
      </c>
      <c r="L857" s="2233">
        <f t="shared" si="71"/>
        <v>0</v>
      </c>
      <c r="M857" s="2233">
        <f t="shared" si="71"/>
        <v>0</v>
      </c>
      <c r="N857" s="2234">
        <f t="shared" si="71"/>
        <v>0</v>
      </c>
      <c r="O857" s="437"/>
      <c r="P857" s="1555">
        <f t="shared" ref="P857:Q857" ca="1" si="72">SUM(P854:P856)</f>
        <v>0</v>
      </c>
      <c r="Q857" s="1555">
        <f t="shared" si="72"/>
        <v>0</v>
      </c>
      <c r="R857" s="2705"/>
      <c r="S857" s="367"/>
      <c r="Z857" s="609" t="s">
        <v>448</v>
      </c>
      <c r="AA857" s="609" t="s">
        <v>3090</v>
      </c>
    </row>
    <row r="858" spans="1:27" ht="18">
      <c r="A858" s="2712"/>
      <c r="B858" s="371"/>
      <c r="C858" s="371" t="s">
        <v>2755</v>
      </c>
      <c r="D858" s="2714"/>
      <c r="F858" s="293"/>
      <c r="G858" s="376"/>
      <c r="H858" s="315"/>
      <c r="I858" s="396"/>
      <c r="J858" s="315"/>
      <c r="K858" s="423"/>
      <c r="L858" s="315"/>
      <c r="M858" s="315"/>
      <c r="N858" s="2257" t="s">
        <v>3002</v>
      </c>
      <c r="O858" s="427"/>
      <c r="P858" s="1583" t="s">
        <v>5493</v>
      </c>
      <c r="Q858" s="1544"/>
      <c r="R858" s="2698"/>
      <c r="S858" s="364"/>
      <c r="Z858" s="609" t="s">
        <v>448</v>
      </c>
      <c r="AA858" s="609" t="s">
        <v>3090</v>
      </c>
    </row>
    <row r="859" spans="1:27" ht="18">
      <c r="A859" s="2712">
        <v>1125</v>
      </c>
      <c r="B859" s="371">
        <v>8</v>
      </c>
      <c r="C859" s="2714" t="str">
        <f>VLOOKUP($A859,Sheet_Items,2,0)</f>
        <v>预付款项</v>
      </c>
      <c r="D859" s="371"/>
      <c r="E859" s="2714" t="s">
        <v>2739</v>
      </c>
      <c r="F859" s="294"/>
      <c r="G859" s="305" t="str">
        <f>B859&amp;" "&amp;C859</f>
        <v>8 预付款项</v>
      </c>
      <c r="H859" s="306"/>
      <c r="I859" s="306"/>
      <c r="J859" s="306" t="s">
        <v>2740</v>
      </c>
      <c r="K859" s="341">
        <f>VLOOKUP($A859,Sheet_Trialbal,6,0)</f>
        <v>1491719.74</v>
      </c>
      <c r="L859" s="342"/>
      <c r="M859" s="306" t="s">
        <v>2741</v>
      </c>
      <c r="N859" s="341">
        <f>VLOOKUP($A859,Sheet_Trialbal,10,0)</f>
        <v>2419762.12</v>
      </c>
      <c r="O859" s="306"/>
      <c r="P859" s="301"/>
      <c r="S859" s="364"/>
      <c r="Z859" s="609" t="s">
        <v>475</v>
      </c>
      <c r="AA859" s="609" t="s">
        <v>5650</v>
      </c>
    </row>
    <row r="860" spans="1:27" ht="18">
      <c r="A860" s="2712" t="s">
        <v>473</v>
      </c>
      <c r="B860" s="371">
        <v>1</v>
      </c>
      <c r="C860" s="371"/>
      <c r="D860" s="2714" t="str">
        <f>VLOOKUP($A860,Sheet_NoteList,2,0)</f>
        <v>预付款项按账龄列示</v>
      </c>
      <c r="E860" s="2714" t="s">
        <v>2742</v>
      </c>
      <c r="F860" s="294"/>
      <c r="G860" s="307" t="str">
        <f>"("&amp;B860&amp;")"&amp;D860</f>
        <v>(1)预付款项按账龄列示</v>
      </c>
      <c r="H860" s="1515" t="str">
        <f>$A860</f>
        <v>1125a</v>
      </c>
      <c r="I860" s="343" t="s">
        <v>2743</v>
      </c>
      <c r="J860" s="301" t="s">
        <v>2744</v>
      </c>
      <c r="K860" s="2208">
        <f>H870</f>
        <v>1491719.74</v>
      </c>
      <c r="L860" s="345" t="str">
        <f>IF($I860="适用",IF(ROUND(K$859-K860,2)=0,"F/S",ROUND(K$859-K860,2)),"#N/A")</f>
        <v>F/S</v>
      </c>
      <c r="M860" s="301" t="s">
        <v>2745</v>
      </c>
      <c r="N860" s="2208">
        <f>J870</f>
        <v>2419762.12</v>
      </c>
      <c r="O860" s="345" t="str">
        <f>IF($I860="适用",IF(ROUND(N$859-N860,2)=0,"F/S",ROUND(N$859-N860,2)),"#N/A")</f>
        <v>F/S</v>
      </c>
      <c r="P860" s="301"/>
      <c r="Q860" s="290" t="str">
        <f>IF($I860="不适用","",IF(ROUND(SUM($H$865:$M$870),2)=0,"请输入",""))</f>
        <v/>
      </c>
      <c r="S860" s="364"/>
      <c r="Z860" s="609" t="s">
        <v>475</v>
      </c>
      <c r="AA860" s="609" t="s">
        <v>5650</v>
      </c>
    </row>
    <row r="861" spans="1:27" ht="0.75" customHeight="1">
      <c r="A861" s="2712"/>
      <c r="B861" s="371"/>
      <c r="C861" s="371"/>
      <c r="D861" s="371"/>
      <c r="F861" s="371"/>
      <c r="G861" s="371" t="s">
        <v>3101</v>
      </c>
      <c r="H861" s="371" t="s">
        <v>2882</v>
      </c>
      <c r="I861" s="371" t="s">
        <v>3102</v>
      </c>
      <c r="J861" s="371" t="s">
        <v>6190</v>
      </c>
      <c r="K861" s="371" t="s">
        <v>6191</v>
      </c>
      <c r="L861" s="433"/>
      <c r="M861" s="505"/>
      <c r="N861" s="472"/>
      <c r="O861" s="472"/>
      <c r="P861" s="442"/>
      <c r="Q861" s="442"/>
      <c r="R861" s="443"/>
      <c r="S861" s="364"/>
      <c r="Z861" s="609" t="s">
        <v>475</v>
      </c>
      <c r="AA861" s="609" t="s">
        <v>5650</v>
      </c>
    </row>
    <row r="862" spans="1:27" ht="0.75" customHeight="1" thickBot="1">
      <c r="A862" s="2712"/>
      <c r="B862" s="371"/>
      <c r="C862" s="371"/>
      <c r="D862" s="371"/>
      <c r="F862" s="371"/>
      <c r="G862" s="371"/>
      <c r="H862" s="371" t="s">
        <v>3103</v>
      </c>
      <c r="I862" s="371" t="s">
        <v>3104</v>
      </c>
      <c r="J862" s="371" t="s">
        <v>3105</v>
      </c>
      <c r="K862" s="371" t="s">
        <v>3106</v>
      </c>
      <c r="L862" s="433"/>
      <c r="M862" s="505"/>
      <c r="N862" s="472"/>
      <c r="O862" s="472"/>
      <c r="P862" s="442"/>
      <c r="Q862" s="442"/>
      <c r="R862" s="443"/>
      <c r="S862" s="364"/>
      <c r="Z862" s="609" t="s">
        <v>475</v>
      </c>
      <c r="AA862" s="609" t="s">
        <v>5650</v>
      </c>
    </row>
    <row r="863" spans="1:27" ht="18">
      <c r="A863" s="2712"/>
      <c r="B863" s="371"/>
      <c r="C863" s="371"/>
      <c r="D863" s="371"/>
      <c r="E863" s="2714" t="s">
        <v>2749</v>
      </c>
      <c r="F863" s="294"/>
      <c r="G863" s="3527" t="s">
        <v>1439</v>
      </c>
      <c r="H863" s="3556" t="str">
        <f>$V$2</f>
        <v>2019年12月31日</v>
      </c>
      <c r="I863" s="3557"/>
      <c r="J863" s="3556" t="str">
        <f>$V$3</f>
        <v>2018年12月31日</v>
      </c>
      <c r="K863" s="3590"/>
      <c r="L863" s="355" t="s">
        <v>5270</v>
      </c>
      <c r="M863" s="438"/>
      <c r="N863" s="473"/>
      <c r="O863" s="472"/>
      <c r="P863" s="442"/>
      <c r="Q863" s="442"/>
      <c r="R863" s="443"/>
      <c r="S863" s="364"/>
      <c r="Z863" s="609" t="s">
        <v>475</v>
      </c>
      <c r="AA863" s="609" t="s">
        <v>5650</v>
      </c>
    </row>
    <row r="864" spans="1:27" ht="18">
      <c r="A864" s="2712"/>
      <c r="B864" s="371"/>
      <c r="C864" s="371"/>
      <c r="D864" s="371"/>
      <c r="E864" s="2714" t="s">
        <v>2749</v>
      </c>
      <c r="F864" s="294"/>
      <c r="G864" s="3528"/>
      <c r="H864" s="502" t="s">
        <v>2887</v>
      </c>
      <c r="I864" s="502" t="s">
        <v>3107</v>
      </c>
      <c r="J864" s="502" t="s">
        <v>2887</v>
      </c>
      <c r="K864" s="508" t="s">
        <v>3107</v>
      </c>
      <c r="L864" s="442"/>
      <c r="M864" s="438"/>
      <c r="N864" s="472"/>
      <c r="O864" s="472"/>
      <c r="P864" s="442"/>
      <c r="Q864" s="442"/>
      <c r="R864" s="443"/>
      <c r="S864" s="364"/>
      <c r="Z864" s="609" t="s">
        <v>475</v>
      </c>
      <c r="AA864" s="609" t="s">
        <v>5650</v>
      </c>
    </row>
    <row r="865" spans="1:27" ht="18">
      <c r="A865" s="2712"/>
      <c r="B865" s="371">
        <v>101</v>
      </c>
      <c r="C865" s="371" t="s">
        <v>2791</v>
      </c>
      <c r="D865" s="2714">
        <f t="shared" ref="D865:D870" si="73">IF(OR(G865="*",G865="",G865=0),0,COUNTIF($G$865:$G$870,G865))</f>
        <v>1</v>
      </c>
      <c r="E865" s="2719">
        <v>1</v>
      </c>
      <c r="F865" s="294"/>
      <c r="G865" s="2546" t="s">
        <v>2938</v>
      </c>
      <c r="H865" s="309">
        <v>1101818.31</v>
      </c>
      <c r="I865" s="360">
        <f>IF(H$870*H865=0,"",ROUND(H865*100/H$870,2))</f>
        <v>73.86</v>
      </c>
      <c r="J865" s="309">
        <v>2186325.7200000002</v>
      </c>
      <c r="K865" s="388">
        <f>IF(J$870*J865=0,"",ROUND(J865*100/J$870,2))</f>
        <v>90.35</v>
      </c>
      <c r="L865" s="442"/>
      <c r="M865" s="438"/>
      <c r="N865" s="472"/>
      <c r="O865" s="472"/>
      <c r="P865" s="442"/>
      <c r="Q865" s="442"/>
      <c r="R865" s="443"/>
      <c r="S865" s="364"/>
      <c r="Z865" s="609" t="s">
        <v>475</v>
      </c>
      <c r="AA865" s="609" t="s">
        <v>5650</v>
      </c>
    </row>
    <row r="866" spans="1:27" ht="18">
      <c r="A866" s="2712"/>
      <c r="B866" s="371">
        <v>102</v>
      </c>
      <c r="C866" s="371" t="s">
        <v>2791</v>
      </c>
      <c r="D866" s="2714">
        <f t="shared" si="73"/>
        <v>1</v>
      </c>
      <c r="E866" s="2719">
        <v>1</v>
      </c>
      <c r="F866" s="294"/>
      <c r="G866" s="2546" t="s">
        <v>2940</v>
      </c>
      <c r="H866" s="309">
        <v>171927.59</v>
      </c>
      <c r="I866" s="360">
        <f>IF(H$870*H866=0,"",ROUND(H866*100/H$870,2))</f>
        <v>11.53</v>
      </c>
      <c r="J866" s="309">
        <v>1367</v>
      </c>
      <c r="K866" s="388">
        <f>IF(J$870*J866=0,"",ROUND(J866*100/J$870,2))</f>
        <v>0.06</v>
      </c>
      <c r="L866" s="442"/>
      <c r="M866" s="438"/>
      <c r="N866" s="472"/>
      <c r="O866" s="472"/>
      <c r="P866" s="442"/>
      <c r="Q866" s="442"/>
      <c r="R866" s="443"/>
      <c r="S866" s="364"/>
      <c r="Z866" s="609" t="s">
        <v>475</v>
      </c>
      <c r="AA866" s="609" t="s">
        <v>5650</v>
      </c>
    </row>
    <row r="867" spans="1:27" ht="18">
      <c r="A867" s="2712"/>
      <c r="B867" s="371">
        <v>103</v>
      </c>
      <c r="C867" s="371" t="s">
        <v>2791</v>
      </c>
      <c r="D867" s="2714">
        <f t="shared" si="73"/>
        <v>1</v>
      </c>
      <c r="E867" s="2719">
        <v>1</v>
      </c>
      <c r="F867" s="294"/>
      <c r="G867" s="1504" t="s">
        <v>2941</v>
      </c>
      <c r="H867" s="309">
        <v>1367</v>
      </c>
      <c r="I867" s="360">
        <f>IF(H$870*H867=0,"",ROUND(H867*100/H$870,2))</f>
        <v>0.09</v>
      </c>
      <c r="J867" s="309">
        <v>1005.68</v>
      </c>
      <c r="K867" s="388">
        <f>IF(J$870*J867=0,"",ROUND(J867*100/J$870,2))</f>
        <v>0.04</v>
      </c>
      <c r="L867" s="442"/>
      <c r="M867" s="438"/>
      <c r="N867" s="472"/>
      <c r="O867" s="472"/>
      <c r="P867" s="442"/>
      <c r="Q867" s="442"/>
      <c r="R867" s="443"/>
      <c r="S867" s="364"/>
      <c r="Z867" s="609" t="s">
        <v>475</v>
      </c>
      <c r="AA867" s="609" t="s">
        <v>5650</v>
      </c>
    </row>
    <row r="868" spans="1:27" ht="18">
      <c r="A868" s="2712"/>
      <c r="B868" s="371">
        <v>104</v>
      </c>
      <c r="C868" s="371" t="s">
        <v>2791</v>
      </c>
      <c r="D868" s="2714">
        <f t="shared" si="73"/>
        <v>1</v>
      </c>
      <c r="E868" s="2719">
        <v>1</v>
      </c>
      <c r="F868" s="294"/>
      <c r="G868" s="1504" t="s">
        <v>3108</v>
      </c>
      <c r="H868" s="309">
        <v>216606.84</v>
      </c>
      <c r="I868" s="360">
        <f>IF(H$870*H868=0,"",ROUND(H868*100/H$870,2))</f>
        <v>14.52</v>
      </c>
      <c r="J868" s="309">
        <v>231063.72</v>
      </c>
      <c r="K868" s="388">
        <f>IF(J$870*J868=0,"",ROUND(J868*100/J$870,2))</f>
        <v>9.5500000000000007</v>
      </c>
      <c r="L868" s="442"/>
      <c r="M868" s="438"/>
      <c r="N868" s="472"/>
      <c r="O868" s="472"/>
      <c r="P868" s="442"/>
      <c r="Q868" s="442"/>
      <c r="R868" s="443"/>
      <c r="S868" s="364"/>
      <c r="Z868" s="609" t="s">
        <v>475</v>
      </c>
      <c r="AA868" s="609" t="s">
        <v>5650</v>
      </c>
    </row>
    <row r="869" spans="1:27" ht="18">
      <c r="A869" s="2712"/>
      <c r="B869" s="371">
        <v>105</v>
      </c>
      <c r="C869" s="371" t="s">
        <v>2791</v>
      </c>
      <c r="D869" s="2714">
        <f t="shared" si="73"/>
        <v>0</v>
      </c>
      <c r="E869" s="2719">
        <v>1</v>
      </c>
      <c r="F869" s="294"/>
      <c r="G869" s="319" t="s">
        <v>2792</v>
      </c>
      <c r="H869" s="309"/>
      <c r="I869" s="360" t="str">
        <f>IF(H$870*H869=0,"",ROUND(H869*100/H$870,2))</f>
        <v/>
      </c>
      <c r="J869" s="309"/>
      <c r="K869" s="388" t="str">
        <f>IF(J$870*J869=0,"",ROUND(J869*100/J$870,2))</f>
        <v/>
      </c>
      <c r="L869" s="442"/>
      <c r="M869" s="438"/>
      <c r="N869" s="472"/>
      <c r="O869" s="472"/>
      <c r="P869" s="442"/>
      <c r="Q869" s="442"/>
      <c r="R869" s="443"/>
      <c r="S869" s="364"/>
      <c r="Z869" s="609" t="s">
        <v>475</v>
      </c>
      <c r="AA869" s="609" t="s">
        <v>5650</v>
      </c>
    </row>
    <row r="870" spans="1:27" ht="18.75" thickBot="1">
      <c r="A870" s="2712"/>
      <c r="B870" s="371"/>
      <c r="C870" s="371"/>
      <c r="D870" s="2714">
        <f t="shared" si="73"/>
        <v>1</v>
      </c>
      <c r="E870" s="2719" t="s">
        <v>2751</v>
      </c>
      <c r="F870" s="294"/>
      <c r="G870" s="374" t="s">
        <v>2752</v>
      </c>
      <c r="H870" s="375">
        <f>SUMPRODUCT($E864:$E869,H864:H869)</f>
        <v>1491719.74</v>
      </c>
      <c r="I870" s="509">
        <f t="shared" ref="I870:K870" si="74">SUMPRODUCT($E864:$E869,I864:I869)</f>
        <v>100</v>
      </c>
      <c r="J870" s="375">
        <f t="shared" si="74"/>
        <v>2419762.12</v>
      </c>
      <c r="K870" s="510">
        <f t="shared" si="74"/>
        <v>100</v>
      </c>
      <c r="L870" s="442"/>
      <c r="M870" s="438"/>
      <c r="N870" s="472"/>
      <c r="O870" s="472"/>
      <c r="P870" s="442"/>
      <c r="Q870" s="442"/>
      <c r="R870" s="443"/>
      <c r="S870" s="364"/>
      <c r="Z870" s="609" t="s">
        <v>475</v>
      </c>
      <c r="AA870" s="609" t="s">
        <v>5650</v>
      </c>
    </row>
    <row r="871" spans="1:27" ht="18">
      <c r="A871" s="2712"/>
      <c r="B871" s="371"/>
      <c r="C871" s="371" t="s">
        <v>2755</v>
      </c>
      <c r="D871" s="371"/>
      <c r="F871" s="294"/>
      <c r="G871" s="301"/>
      <c r="H871" s="315"/>
      <c r="I871" s="393"/>
      <c r="J871" s="315"/>
      <c r="K871" s="393"/>
      <c r="L871" s="437"/>
      <c r="M871" s="438"/>
      <c r="N871" s="472"/>
      <c r="O871" s="472"/>
      <c r="P871" s="442"/>
      <c r="Q871" s="442"/>
      <c r="R871" s="443"/>
      <c r="S871" s="364"/>
      <c r="Z871" s="609" t="s">
        <v>475</v>
      </c>
      <c r="AA871" s="609" t="s">
        <v>5650</v>
      </c>
    </row>
    <row r="872" spans="1:27" ht="24">
      <c r="A872" s="2712" t="s">
        <v>478</v>
      </c>
      <c r="B872" s="371">
        <v>2</v>
      </c>
      <c r="C872" s="371"/>
      <c r="D872" s="2714" t="str">
        <f>VLOOKUP($A872,Sheet_NoteList,2,0)</f>
        <v>按预付对象归集的期末余额前五名的预付款项情况</v>
      </c>
      <c r="E872" s="2714" t="s">
        <v>2742</v>
      </c>
      <c r="F872" s="294"/>
      <c r="G872" s="372" t="str">
        <f>"("&amp;B872&amp;")"&amp;D872</f>
        <v>(2)按预付对象归集的期末余额前五名的预付款项情况</v>
      </c>
      <c r="H872" s="1515" t="str">
        <f>$A872</f>
        <v>1125c</v>
      </c>
      <c r="I872" s="343" t="s">
        <v>2743</v>
      </c>
      <c r="J872" s="301" t="s">
        <v>2744</v>
      </c>
      <c r="K872" s="2208">
        <f>H889</f>
        <v>710637.92</v>
      </c>
      <c r="L872" s="345" t="str">
        <f>IF($I872="适用",IF(ROUND(K$859-K872,2)&gt;=0,"","#Logical!"),"#N/A")</f>
        <v/>
      </c>
      <c r="M872" s="301"/>
      <c r="N872" s="3083"/>
      <c r="O872" s="345" t="str">
        <f>IF(ROUND(N$859-N872,2)&gt;=0,"","#Logical!")</f>
        <v/>
      </c>
      <c r="P872" s="301"/>
      <c r="Q872" s="290" t="str">
        <f>IF($I872="不适用","",IF(ROUND(SUM($H$875:$I$889),2)=0,"请输入",""))</f>
        <v/>
      </c>
      <c r="S872" s="364"/>
      <c r="Z872" s="609" t="s">
        <v>475</v>
      </c>
      <c r="AA872" s="609" t="s">
        <v>5650</v>
      </c>
    </row>
    <row r="873" spans="1:27" ht="0.75" customHeight="1" thickBot="1">
      <c r="A873" s="2712"/>
      <c r="B873" s="371"/>
      <c r="C873" s="371"/>
      <c r="D873" s="371"/>
      <c r="F873" s="304"/>
      <c r="G873" s="304" t="s">
        <v>3113</v>
      </c>
      <c r="H873" s="304" t="s">
        <v>2849</v>
      </c>
      <c r="I873" s="304" t="s">
        <v>3051</v>
      </c>
      <c r="J873" s="291"/>
      <c r="K873" s="291"/>
      <c r="L873" s="291"/>
      <c r="M873" s="291"/>
      <c r="N873" s="291"/>
      <c r="O873" s="291"/>
      <c r="P873" s="291"/>
      <c r="S873" s="364"/>
      <c r="Z873" s="609" t="s">
        <v>475</v>
      </c>
      <c r="AA873" s="609" t="s">
        <v>5650</v>
      </c>
    </row>
    <row r="874" spans="1:27" ht="36">
      <c r="A874" s="2712"/>
      <c r="B874" s="371"/>
      <c r="C874" s="371"/>
      <c r="D874" s="371"/>
      <c r="E874" s="2714" t="s">
        <v>2749</v>
      </c>
      <c r="F874" s="294"/>
      <c r="G874" s="2480" t="s">
        <v>1465</v>
      </c>
      <c r="H874" s="2481" t="str">
        <f>$W$2&amp;"余额"</f>
        <v>2019年12月31日余额</v>
      </c>
      <c r="I874" s="2482" t="s">
        <v>3114</v>
      </c>
      <c r="J874" s="355" t="s">
        <v>5270</v>
      </c>
      <c r="K874" s="291"/>
      <c r="L874" s="291"/>
      <c r="M874" s="291"/>
      <c r="N874" s="291"/>
      <c r="O874" s="291"/>
      <c r="P874" s="291"/>
      <c r="S874" s="364"/>
      <c r="Z874" s="609" t="s">
        <v>475</v>
      </c>
      <c r="AA874" s="609" t="s">
        <v>5650</v>
      </c>
    </row>
    <row r="875" spans="1:27" ht="24">
      <c r="A875" s="2712"/>
      <c r="B875" s="371">
        <v>101</v>
      </c>
      <c r="C875" s="371"/>
      <c r="D875" s="2714">
        <f t="shared" ref="D875:D889" si="75">IF(OR(G875="*",G875="",G875=0),0,COUNTIF($G$875:$G$889,G875))</f>
        <v>1</v>
      </c>
      <c r="E875" s="2719" t="s">
        <v>41</v>
      </c>
      <c r="F875" s="294"/>
      <c r="G875" s="308" t="s">
        <v>3115</v>
      </c>
      <c r="H875" s="309"/>
      <c r="I875" s="388"/>
      <c r="J875" s="291"/>
      <c r="K875" s="291"/>
      <c r="L875" s="291"/>
      <c r="M875" s="291"/>
      <c r="N875" s="291"/>
      <c r="O875" s="291"/>
      <c r="P875" s="291"/>
      <c r="S875" s="364"/>
      <c r="Z875" s="609" t="s">
        <v>475</v>
      </c>
      <c r="AA875" s="609" t="s">
        <v>5650</v>
      </c>
    </row>
    <row r="876" spans="1:27" ht="18">
      <c r="A876" s="2712"/>
      <c r="B876" s="371">
        <v>101.001</v>
      </c>
      <c r="C876" s="371" t="s">
        <v>2791</v>
      </c>
      <c r="D876" s="2714">
        <f t="shared" si="75"/>
        <v>1</v>
      </c>
      <c r="E876" s="2719" t="s">
        <v>3116</v>
      </c>
      <c r="F876" s="294"/>
      <c r="G876" s="1458" t="s">
        <v>7381</v>
      </c>
      <c r="H876" s="309">
        <v>309346.45</v>
      </c>
      <c r="I876" s="3295">
        <f>H876/$H$870*100</f>
        <v>20.74</v>
      </c>
      <c r="J876" s="291"/>
      <c r="K876" s="291"/>
      <c r="L876" s="291"/>
      <c r="M876" s="291"/>
      <c r="N876" s="291"/>
      <c r="O876" s="291"/>
      <c r="P876" s="291"/>
      <c r="S876" s="364"/>
      <c r="Z876" s="609" t="s">
        <v>475</v>
      </c>
      <c r="AA876" s="609" t="s">
        <v>5650</v>
      </c>
    </row>
    <row r="877" spans="1:27" ht="18">
      <c r="A877" s="2712"/>
      <c r="B877" s="371">
        <v>101.002</v>
      </c>
      <c r="C877" s="371" t="s">
        <v>2791</v>
      </c>
      <c r="D877" s="2714">
        <f t="shared" si="75"/>
        <v>1</v>
      </c>
      <c r="E877" s="2719" t="s">
        <v>3116</v>
      </c>
      <c r="F877" s="294"/>
      <c r="G877" s="1458" t="s">
        <v>7445</v>
      </c>
      <c r="H877" s="309">
        <v>165628.47</v>
      </c>
      <c r="I877" s="3295">
        <f t="shared" ref="I877:I880" si="76">H877/$H$870*100</f>
        <v>11.1</v>
      </c>
      <c r="J877" s="291"/>
      <c r="K877" s="291"/>
      <c r="L877" s="291"/>
      <c r="M877" s="291"/>
      <c r="N877" s="291"/>
      <c r="O877" s="291"/>
      <c r="P877" s="291"/>
      <c r="S877" s="364"/>
      <c r="Z877" s="609" t="s">
        <v>475</v>
      </c>
      <c r="AA877" s="609" t="s">
        <v>5650</v>
      </c>
    </row>
    <row r="878" spans="1:27" ht="18">
      <c r="A878" s="2712"/>
      <c r="B878" s="371">
        <v>101.003</v>
      </c>
      <c r="C878" s="371" t="s">
        <v>2791</v>
      </c>
      <c r="D878" s="2714">
        <f t="shared" si="75"/>
        <v>1</v>
      </c>
      <c r="E878" s="2719" t="s">
        <v>3116</v>
      </c>
      <c r="F878" s="294"/>
      <c r="G878" s="1458" t="s">
        <v>7446</v>
      </c>
      <c r="H878" s="309">
        <v>91663</v>
      </c>
      <c r="I878" s="3295">
        <f t="shared" si="76"/>
        <v>6.14</v>
      </c>
      <c r="J878" s="291"/>
      <c r="K878" s="291"/>
      <c r="L878" s="291"/>
      <c r="M878" s="291"/>
      <c r="N878" s="291"/>
      <c r="O878" s="291"/>
      <c r="P878" s="291"/>
      <c r="S878" s="364"/>
      <c r="Z878" s="609" t="s">
        <v>475</v>
      </c>
      <c r="AA878" s="609" t="s">
        <v>5650</v>
      </c>
    </row>
    <row r="879" spans="1:27" ht="18">
      <c r="A879" s="2712"/>
      <c r="B879" s="371">
        <v>101.004</v>
      </c>
      <c r="C879" s="371" t="s">
        <v>2791</v>
      </c>
      <c r="D879" s="2714">
        <f t="shared" si="75"/>
        <v>1</v>
      </c>
      <c r="E879" s="2719" t="s">
        <v>3116</v>
      </c>
      <c r="F879" s="294"/>
      <c r="G879" s="1458" t="s">
        <v>7447</v>
      </c>
      <c r="H879" s="309">
        <v>80000</v>
      </c>
      <c r="I879" s="3295">
        <f t="shared" si="76"/>
        <v>5.36</v>
      </c>
      <c r="J879" s="291"/>
      <c r="K879" s="291"/>
      <c r="L879" s="291"/>
      <c r="M879" s="291"/>
      <c r="N879" s="291"/>
      <c r="O879" s="291"/>
      <c r="P879" s="291"/>
      <c r="S879" s="364"/>
      <c r="Z879" s="609" t="s">
        <v>475</v>
      </c>
      <c r="AA879" s="609" t="s">
        <v>5650</v>
      </c>
    </row>
    <row r="880" spans="1:27" ht="18">
      <c r="A880" s="2712"/>
      <c r="B880" s="371">
        <v>101.005</v>
      </c>
      <c r="C880" s="371" t="s">
        <v>2791</v>
      </c>
      <c r="D880" s="2714">
        <f t="shared" si="75"/>
        <v>1</v>
      </c>
      <c r="E880" s="2719" t="s">
        <v>3116</v>
      </c>
      <c r="F880" s="294"/>
      <c r="G880" s="1458" t="s">
        <v>7448</v>
      </c>
      <c r="H880" s="309">
        <v>64000</v>
      </c>
      <c r="I880" s="3295">
        <f t="shared" si="76"/>
        <v>4.29</v>
      </c>
      <c r="J880" s="291"/>
      <c r="K880" s="291"/>
      <c r="L880" s="291"/>
      <c r="M880" s="291"/>
      <c r="N880" s="291"/>
      <c r="O880" s="291"/>
      <c r="P880" s="291"/>
      <c r="S880" s="364"/>
      <c r="Z880" s="609" t="s">
        <v>475</v>
      </c>
      <c r="AA880" s="609" t="s">
        <v>5650</v>
      </c>
    </row>
    <row r="881" spans="1:27" ht="24">
      <c r="A881" s="2712"/>
      <c r="B881" s="371">
        <v>101.999</v>
      </c>
      <c r="C881" s="371" t="s">
        <v>2793</v>
      </c>
      <c r="D881" s="2714">
        <f t="shared" si="75"/>
        <v>1</v>
      </c>
      <c r="E881" s="2719">
        <v>1</v>
      </c>
      <c r="F881" s="294"/>
      <c r="G881" s="308" t="s">
        <v>3116</v>
      </c>
      <c r="H881" s="377">
        <f>SUMIF($E$874:$E$888,$G881,H$874:H$888)</f>
        <v>710637.92</v>
      </c>
      <c r="I881" s="388"/>
      <c r="J881" s="291"/>
      <c r="K881" s="291"/>
      <c r="L881" s="291"/>
      <c r="M881" s="291"/>
      <c r="N881" s="291"/>
      <c r="O881" s="291"/>
      <c r="P881" s="291"/>
      <c r="S881" s="364"/>
      <c r="Z881" s="609" t="s">
        <v>475</v>
      </c>
      <c r="AA881" s="609" t="s">
        <v>5650</v>
      </c>
    </row>
    <row r="882" spans="1:27" ht="36">
      <c r="A882" s="2712"/>
      <c r="B882" s="371">
        <v>102</v>
      </c>
      <c r="C882" s="371"/>
      <c r="D882" s="2714">
        <f t="shared" si="75"/>
        <v>1</v>
      </c>
      <c r="E882" s="2719" t="s">
        <v>41</v>
      </c>
      <c r="F882" s="294"/>
      <c r="G882" s="1457" t="s">
        <v>3058</v>
      </c>
      <c r="H882" s="309"/>
      <c r="I882" s="388"/>
      <c r="J882" s="355" t="s">
        <v>5140</v>
      </c>
      <c r="K882" s="291"/>
      <c r="L882" s="291"/>
      <c r="M882" s="291"/>
      <c r="N882" s="291"/>
      <c r="O882" s="291"/>
      <c r="P882" s="291"/>
      <c r="S882" s="364"/>
      <c r="Z882" s="609" t="s">
        <v>475</v>
      </c>
      <c r="AA882" s="609" t="s">
        <v>5650</v>
      </c>
    </row>
    <row r="883" spans="1:27" ht="18">
      <c r="A883" s="2712"/>
      <c r="B883" s="371">
        <v>102.001</v>
      </c>
      <c r="C883" s="371" t="s">
        <v>2791</v>
      </c>
      <c r="D883" s="2714">
        <f t="shared" si="75"/>
        <v>0</v>
      </c>
      <c r="E883" s="2719" t="s">
        <v>2875</v>
      </c>
      <c r="F883" s="294"/>
      <c r="G883" s="1458" t="s">
        <v>2792</v>
      </c>
      <c r="H883" s="309"/>
      <c r="I883" s="388"/>
      <c r="J883" s="291"/>
      <c r="K883" s="291"/>
      <c r="L883" s="291"/>
      <c r="M883" s="291"/>
      <c r="N883" s="291"/>
      <c r="O883" s="291"/>
      <c r="P883" s="291"/>
      <c r="S883" s="364"/>
      <c r="Z883" s="609" t="s">
        <v>475</v>
      </c>
      <c r="AA883" s="609" t="s">
        <v>5650</v>
      </c>
    </row>
    <row r="884" spans="1:27" ht="18">
      <c r="A884" s="2712"/>
      <c r="B884" s="371">
        <v>102.002</v>
      </c>
      <c r="C884" s="371" t="s">
        <v>2791</v>
      </c>
      <c r="D884" s="2714">
        <f t="shared" si="75"/>
        <v>0</v>
      </c>
      <c r="E884" s="2719" t="s">
        <v>2875</v>
      </c>
      <c r="F884" s="294"/>
      <c r="G884" s="1458" t="s">
        <v>2792</v>
      </c>
      <c r="H884" s="309"/>
      <c r="I884" s="388"/>
      <c r="J884" s="291"/>
      <c r="K884" s="291"/>
      <c r="L884" s="291"/>
      <c r="M884" s="291"/>
      <c r="N884" s="291"/>
      <c r="O884" s="291"/>
      <c r="P884" s="291"/>
      <c r="S884" s="364"/>
      <c r="Z884" s="609" t="s">
        <v>475</v>
      </c>
      <c r="AA884" s="609" t="s">
        <v>5650</v>
      </c>
    </row>
    <row r="885" spans="1:27" ht="18">
      <c r="A885" s="2712"/>
      <c r="B885" s="371">
        <v>102.003</v>
      </c>
      <c r="C885" s="371" t="s">
        <v>2791</v>
      </c>
      <c r="D885" s="2714">
        <f t="shared" si="75"/>
        <v>0</v>
      </c>
      <c r="E885" s="2719" t="s">
        <v>2875</v>
      </c>
      <c r="F885" s="294"/>
      <c r="G885" s="1458" t="s">
        <v>2792</v>
      </c>
      <c r="H885" s="309"/>
      <c r="I885" s="388"/>
      <c r="J885" s="291"/>
      <c r="K885" s="291"/>
      <c r="L885" s="291"/>
      <c r="M885" s="291"/>
      <c r="N885" s="291"/>
      <c r="O885" s="291"/>
      <c r="P885" s="291"/>
      <c r="S885" s="364"/>
      <c r="Z885" s="609" t="s">
        <v>475</v>
      </c>
      <c r="AA885" s="609" t="s">
        <v>5650</v>
      </c>
    </row>
    <row r="886" spans="1:27" ht="18">
      <c r="A886" s="2712"/>
      <c r="B886" s="371">
        <v>102.004</v>
      </c>
      <c r="C886" s="371" t="s">
        <v>2791</v>
      </c>
      <c r="D886" s="2714">
        <f t="shared" si="75"/>
        <v>0</v>
      </c>
      <c r="E886" s="2719" t="s">
        <v>2875</v>
      </c>
      <c r="F886" s="294"/>
      <c r="G886" s="1458" t="s">
        <v>2792</v>
      </c>
      <c r="H886" s="309"/>
      <c r="I886" s="388"/>
      <c r="J886" s="291"/>
      <c r="K886" s="291"/>
      <c r="L886" s="291"/>
      <c r="M886" s="291"/>
      <c r="N886" s="291"/>
      <c r="O886" s="291"/>
      <c r="P886" s="291"/>
      <c r="S886" s="364"/>
      <c r="Z886" s="609" t="s">
        <v>475</v>
      </c>
      <c r="AA886" s="609" t="s">
        <v>5650</v>
      </c>
    </row>
    <row r="887" spans="1:27" ht="18">
      <c r="A887" s="2712"/>
      <c r="B887" s="371">
        <v>102.005</v>
      </c>
      <c r="C887" s="371" t="s">
        <v>2791</v>
      </c>
      <c r="D887" s="2714">
        <f t="shared" si="75"/>
        <v>0</v>
      </c>
      <c r="E887" s="2719" t="s">
        <v>2875</v>
      </c>
      <c r="F887" s="294"/>
      <c r="G887" s="1458" t="s">
        <v>2792</v>
      </c>
      <c r="H887" s="309"/>
      <c r="I887" s="388"/>
      <c r="J887" s="291"/>
      <c r="K887" s="291"/>
      <c r="L887" s="291"/>
      <c r="M887" s="291"/>
      <c r="N887" s="291"/>
      <c r="O887" s="291"/>
      <c r="P887" s="291"/>
      <c r="S887" s="364"/>
      <c r="Z887" s="609" t="s">
        <v>475</v>
      </c>
      <c r="AA887" s="609" t="s">
        <v>5650</v>
      </c>
    </row>
    <row r="888" spans="1:27" ht="18">
      <c r="A888" s="2712"/>
      <c r="B888" s="371">
        <v>102.999</v>
      </c>
      <c r="C888" s="371" t="s">
        <v>2793</v>
      </c>
      <c r="D888" s="2714">
        <f t="shared" si="75"/>
        <v>1</v>
      </c>
      <c r="E888" s="2719">
        <v>0</v>
      </c>
      <c r="F888" s="294"/>
      <c r="G888" s="308" t="s">
        <v>2875</v>
      </c>
      <c r="H888" s="377">
        <f>SUMIF($E$874:$E$888,$G888,H$874:H$888)</f>
        <v>0</v>
      </c>
      <c r="I888" s="388"/>
      <c r="J888" s="291"/>
      <c r="K888" s="291"/>
      <c r="L888" s="291"/>
      <c r="M888" s="291"/>
      <c r="N888" s="291"/>
      <c r="O888" s="291"/>
      <c r="P888" s="291"/>
      <c r="S888" s="364"/>
      <c r="Z888" s="609" t="s">
        <v>475</v>
      </c>
      <c r="AA888" s="609" t="s">
        <v>5650</v>
      </c>
    </row>
    <row r="889" spans="1:27" ht="18.75" thickBot="1">
      <c r="A889" s="2712"/>
      <c r="B889" s="371"/>
      <c r="C889" s="371"/>
      <c r="D889" s="2714">
        <f t="shared" si="75"/>
        <v>1</v>
      </c>
      <c r="E889" s="2719" t="s">
        <v>2751</v>
      </c>
      <c r="F889" s="294"/>
      <c r="G889" s="2232" t="s">
        <v>2752</v>
      </c>
      <c r="H889" s="2323">
        <f>SUMPRODUCT($E874:$E888,H874:H888)</f>
        <v>710637.92</v>
      </c>
      <c r="I889" s="2494"/>
      <c r="J889" s="291"/>
      <c r="K889" s="291"/>
      <c r="L889" s="291"/>
      <c r="M889" s="291"/>
      <c r="N889" s="291"/>
      <c r="O889" s="291"/>
      <c r="P889" s="291"/>
      <c r="S889" s="364"/>
      <c r="Z889" s="609" t="s">
        <v>475</v>
      </c>
      <c r="AA889" s="609" t="s">
        <v>5650</v>
      </c>
    </row>
    <row r="890" spans="1:27" ht="18">
      <c r="A890" s="2712"/>
      <c r="B890" s="371"/>
      <c r="C890" s="371" t="s">
        <v>2755</v>
      </c>
      <c r="D890" s="371"/>
      <c r="F890" s="294"/>
      <c r="G890" s="301"/>
      <c r="H890" s="315"/>
      <c r="I890" s="393"/>
      <c r="J890" s="291"/>
      <c r="K890" s="291"/>
      <c r="L890" s="291"/>
      <c r="M890" s="291"/>
      <c r="N890" s="291"/>
      <c r="O890" s="291"/>
      <c r="P890" s="291"/>
      <c r="S890" s="364"/>
      <c r="Z890" s="609" t="s">
        <v>475</v>
      </c>
      <c r="AA890" s="609" t="s">
        <v>5650</v>
      </c>
    </row>
    <row r="891" spans="1:27" ht="24">
      <c r="A891" s="2712" t="s">
        <v>482</v>
      </c>
      <c r="B891" s="371">
        <v>3</v>
      </c>
      <c r="C891" s="371"/>
      <c r="D891" s="2714" t="str">
        <f>VLOOKUP($A891,Sheet_NoteList,2,0)</f>
        <v>账龄超过1年的金额重要的预付账款</v>
      </c>
      <c r="E891" s="2714" t="s">
        <v>6529</v>
      </c>
      <c r="F891" s="294"/>
      <c r="G891" s="372" t="str">
        <f>"("&amp;B891&amp;")"&amp;D891</f>
        <v>(3)账龄超过1年的金额重要的预付账款</v>
      </c>
      <c r="H891" s="1515" t="str">
        <f>$A891</f>
        <v>1125d</v>
      </c>
      <c r="I891" s="343" t="s">
        <v>5543</v>
      </c>
      <c r="J891" s="301" t="s">
        <v>5542</v>
      </c>
      <c r="K891" s="2208">
        <f>H899</f>
        <v>0</v>
      </c>
      <c r="L891" s="1533">
        <f>IF($I891="适用",IF(ROUND(K859-K891,2)&gt;=0,IF(K859&lt;&gt;0,K891/K859,""),"#Logical!"),"#N/A")</f>
        <v>0</v>
      </c>
      <c r="M891" s="301"/>
      <c r="N891" s="3083"/>
      <c r="O891" s="345" t="str">
        <f>IF(ROUND(N$859-N891,2)&gt;=0,"","#Logical!")</f>
        <v/>
      </c>
      <c r="P891" s="301"/>
      <c r="Q891" s="290" t="str">
        <f>IF($I891="不适用","",IF(ROUND(SUM($H$894:$J$899),2)=0,"请输入",""))</f>
        <v>请输入</v>
      </c>
      <c r="S891" s="364"/>
      <c r="Z891" s="609" t="s">
        <v>475</v>
      </c>
      <c r="AA891" s="609" t="s">
        <v>5650</v>
      </c>
    </row>
    <row r="892" spans="1:27" ht="0.75" customHeight="1" thickBot="1">
      <c r="A892" s="2712"/>
      <c r="B892" s="371"/>
      <c r="C892" s="371"/>
      <c r="D892" s="371"/>
      <c r="F892" s="294"/>
      <c r="G892" s="294" t="s">
        <v>3109</v>
      </c>
      <c r="H892" s="294" t="s">
        <v>2747</v>
      </c>
      <c r="I892" s="294" t="s">
        <v>3110</v>
      </c>
      <c r="J892" s="294" t="s">
        <v>3111</v>
      </c>
      <c r="K892" s="291"/>
      <c r="L892" s="291"/>
      <c r="M892" s="291"/>
      <c r="N892" s="291"/>
      <c r="S892" s="364"/>
      <c r="Z892" s="609" t="s">
        <v>475</v>
      </c>
      <c r="AA892" s="609" t="s">
        <v>5650</v>
      </c>
    </row>
    <row r="893" spans="1:27" ht="24">
      <c r="A893" s="2712"/>
      <c r="B893" s="371"/>
      <c r="C893" s="371"/>
      <c r="D893" s="371"/>
      <c r="E893" s="2714" t="s">
        <v>2749</v>
      </c>
      <c r="F893" s="294"/>
      <c r="G893" s="1607" t="s">
        <v>1465</v>
      </c>
      <c r="H893" s="1605" t="s">
        <v>3086</v>
      </c>
      <c r="I893" s="1605" t="s">
        <v>2961</v>
      </c>
      <c r="J893" s="1606" t="s">
        <v>3112</v>
      </c>
      <c r="K893" s="355" t="s">
        <v>6174</v>
      </c>
      <c r="L893" s="291"/>
      <c r="M893" s="291"/>
      <c r="N893" s="291"/>
      <c r="S893" s="364"/>
      <c r="Z893" s="609" t="s">
        <v>475</v>
      </c>
      <c r="AA893" s="609" t="s">
        <v>5650</v>
      </c>
    </row>
    <row r="894" spans="1:27" ht="18">
      <c r="A894" s="2712"/>
      <c r="B894" s="371">
        <v>101</v>
      </c>
      <c r="C894" s="371" t="s">
        <v>2791</v>
      </c>
      <c r="D894" s="2714">
        <f t="shared" ref="D894:D899" si="77">IF(OR(G894="*",G894="",G894=0),0,COUNTIF($G$894:$G$899,G894))</f>
        <v>0</v>
      </c>
      <c r="E894" s="2719">
        <v>1</v>
      </c>
      <c r="F894" s="294"/>
      <c r="G894" s="1608" t="s">
        <v>2792</v>
      </c>
      <c r="H894" s="309"/>
      <c r="I894" s="360"/>
      <c r="J894" s="388"/>
      <c r="K894" s="291"/>
      <c r="L894" s="291"/>
      <c r="M894" s="291"/>
      <c r="N894" s="291"/>
      <c r="S894" s="364"/>
      <c r="Z894" s="609" t="s">
        <v>475</v>
      </c>
      <c r="AA894" s="609" t="s">
        <v>5650</v>
      </c>
    </row>
    <row r="895" spans="1:27" ht="18">
      <c r="A895" s="2712"/>
      <c r="B895" s="371">
        <v>102</v>
      </c>
      <c r="C895" s="371" t="s">
        <v>2791</v>
      </c>
      <c r="D895" s="2714">
        <f t="shared" si="77"/>
        <v>0</v>
      </c>
      <c r="E895" s="2719">
        <v>1</v>
      </c>
      <c r="F895" s="294"/>
      <c r="G895" s="1608" t="s">
        <v>2792</v>
      </c>
      <c r="H895" s="309"/>
      <c r="I895" s="360"/>
      <c r="J895" s="388"/>
      <c r="K895" s="291"/>
      <c r="L895" s="291"/>
      <c r="M895" s="291"/>
      <c r="N895" s="291"/>
      <c r="S895" s="364"/>
      <c r="Z895" s="609" t="s">
        <v>475</v>
      </c>
      <c r="AA895" s="609" t="s">
        <v>5650</v>
      </c>
    </row>
    <row r="896" spans="1:27" ht="18">
      <c r="A896" s="2712"/>
      <c r="B896" s="371">
        <v>103</v>
      </c>
      <c r="C896" s="371" t="s">
        <v>2791</v>
      </c>
      <c r="D896" s="2714">
        <f t="shared" si="77"/>
        <v>0</v>
      </c>
      <c r="E896" s="2719">
        <v>1</v>
      </c>
      <c r="F896" s="294"/>
      <c r="G896" s="1608" t="s">
        <v>2792</v>
      </c>
      <c r="H896" s="309"/>
      <c r="I896" s="360"/>
      <c r="J896" s="388"/>
      <c r="K896" s="291"/>
      <c r="L896" s="291"/>
      <c r="M896" s="291"/>
      <c r="N896" s="291"/>
      <c r="S896" s="364"/>
      <c r="Z896" s="609" t="s">
        <v>475</v>
      </c>
      <c r="AA896" s="609" t="s">
        <v>5650</v>
      </c>
    </row>
    <row r="897" spans="1:27" ht="18">
      <c r="A897" s="2712"/>
      <c r="B897" s="371">
        <v>104</v>
      </c>
      <c r="C897" s="371" t="s">
        <v>2791</v>
      </c>
      <c r="D897" s="2714">
        <f t="shared" si="77"/>
        <v>0</v>
      </c>
      <c r="E897" s="2719">
        <v>1</v>
      </c>
      <c r="F897" s="294"/>
      <c r="G897" s="1608" t="s">
        <v>2792</v>
      </c>
      <c r="H897" s="309"/>
      <c r="I897" s="360"/>
      <c r="J897" s="388"/>
      <c r="K897" s="291"/>
      <c r="L897" s="291"/>
      <c r="M897" s="291"/>
      <c r="N897" s="291"/>
      <c r="S897" s="364"/>
      <c r="Z897" s="609" t="s">
        <v>475</v>
      </c>
      <c r="AA897" s="609" t="s">
        <v>5650</v>
      </c>
    </row>
    <row r="898" spans="1:27" ht="18">
      <c r="A898" s="2712"/>
      <c r="B898" s="371">
        <v>105</v>
      </c>
      <c r="C898" s="371" t="s">
        <v>2791</v>
      </c>
      <c r="D898" s="2714">
        <f t="shared" si="77"/>
        <v>0</v>
      </c>
      <c r="E898" s="2719">
        <v>1</v>
      </c>
      <c r="F898" s="294"/>
      <c r="G898" s="1608" t="s">
        <v>2792</v>
      </c>
      <c r="H898" s="309"/>
      <c r="I898" s="360"/>
      <c r="J898" s="388"/>
      <c r="K898" s="291"/>
      <c r="L898" s="291"/>
      <c r="M898" s="291"/>
      <c r="N898" s="291"/>
      <c r="S898" s="364"/>
      <c r="Z898" s="609" t="s">
        <v>475</v>
      </c>
      <c r="AA898" s="609" t="s">
        <v>5650</v>
      </c>
    </row>
    <row r="899" spans="1:27" ht="18.75" thickBot="1">
      <c r="A899" s="2712"/>
      <c r="B899" s="371"/>
      <c r="C899" s="371"/>
      <c r="D899" s="2714">
        <f t="shared" si="77"/>
        <v>1</v>
      </c>
      <c r="E899" s="2719" t="s">
        <v>2751</v>
      </c>
      <c r="F899" s="294"/>
      <c r="G899" s="1527" t="s">
        <v>2752</v>
      </c>
      <c r="H899" s="1525">
        <f>SUMPRODUCT($E893:$E898,H893:H898)</f>
        <v>0</v>
      </c>
      <c r="I899" s="1524"/>
      <c r="J899" s="1610"/>
      <c r="K899" s="291"/>
      <c r="L899" s="291"/>
      <c r="M899" s="291"/>
      <c r="N899" s="291"/>
      <c r="S899" s="364"/>
      <c r="Z899" s="609" t="s">
        <v>475</v>
      </c>
      <c r="AA899" s="609" t="s">
        <v>5650</v>
      </c>
    </row>
    <row r="900" spans="1:27" ht="18">
      <c r="A900" s="2712"/>
      <c r="B900" s="371"/>
      <c r="C900" s="371" t="s">
        <v>2755</v>
      </c>
      <c r="D900" s="371"/>
      <c r="F900" s="294"/>
      <c r="G900" s="301"/>
      <c r="H900" s="315"/>
      <c r="I900" s="393"/>
      <c r="J900" s="393"/>
      <c r="K900" s="291"/>
      <c r="L900" s="291"/>
      <c r="M900" s="291"/>
      <c r="N900" s="291"/>
      <c r="S900" s="364"/>
      <c r="Z900" s="609" t="s">
        <v>475</v>
      </c>
      <c r="AA900" s="609" t="s">
        <v>5650</v>
      </c>
    </row>
    <row r="901" spans="1:27" ht="18">
      <c r="A901" s="2712" t="s">
        <v>497</v>
      </c>
      <c r="B901" s="371">
        <v>4</v>
      </c>
      <c r="C901" s="371"/>
      <c r="D901" s="2714" t="str">
        <f>VLOOKUP($A901,Sheet_NoteList,2,0)</f>
        <v>预付款项按项目列示</v>
      </c>
      <c r="E901" s="2714" t="s">
        <v>6529</v>
      </c>
      <c r="F901" s="294"/>
      <c r="G901" s="372" t="str">
        <f>"("&amp;B901&amp;")"&amp;D901</f>
        <v>(4)预付款项按项目列示</v>
      </c>
      <c r="H901" s="1515" t="str">
        <f>$A901</f>
        <v>1125f</v>
      </c>
      <c r="I901" s="343" t="s">
        <v>5963</v>
      </c>
      <c r="J901" s="301" t="s">
        <v>5961</v>
      </c>
      <c r="K901" s="2208">
        <f>H909</f>
        <v>0</v>
      </c>
      <c r="L901" s="345"/>
      <c r="M901" s="301" t="s">
        <v>5968</v>
      </c>
      <c r="N901" s="2208">
        <f>I909</f>
        <v>0</v>
      </c>
      <c r="O901" s="345"/>
      <c r="P901" s="301"/>
      <c r="S901" s="364"/>
      <c r="Z901" s="609" t="s">
        <v>475</v>
      </c>
      <c r="AA901" s="609" t="s">
        <v>5650</v>
      </c>
    </row>
    <row r="902" spans="1:27" ht="0.75" customHeight="1" thickBot="1">
      <c r="A902" s="2712"/>
      <c r="B902" s="371"/>
      <c r="C902" s="371"/>
      <c r="D902" s="371"/>
      <c r="E902" s="586"/>
      <c r="F902" s="586"/>
      <c r="G902" s="586" t="s">
        <v>3118</v>
      </c>
      <c r="H902" s="371" t="s">
        <v>2849</v>
      </c>
      <c r="I902" s="371" t="s">
        <v>3084</v>
      </c>
      <c r="J902" s="1602"/>
      <c r="K902" s="1602"/>
      <c r="L902" s="1602"/>
      <c r="M902" s="1602"/>
      <c r="N902" s="1602"/>
      <c r="O902" s="1602"/>
      <c r="P902" s="1602"/>
      <c r="Q902" s="1602"/>
      <c r="R902" s="1602"/>
      <c r="S902" s="364"/>
      <c r="Z902" s="609" t="s">
        <v>475</v>
      </c>
      <c r="AA902" s="609" t="s">
        <v>5650</v>
      </c>
    </row>
    <row r="903" spans="1:27" ht="18">
      <c r="A903" s="2712"/>
      <c r="B903" s="371"/>
      <c r="C903" s="371"/>
      <c r="D903" s="371"/>
      <c r="E903" s="586" t="s">
        <v>2749</v>
      </c>
      <c r="F903" s="363"/>
      <c r="G903" s="2270" t="s">
        <v>47</v>
      </c>
      <c r="H903" s="2268" t="s">
        <v>3086</v>
      </c>
      <c r="I903" s="2271" t="s">
        <v>3087</v>
      </c>
      <c r="J903" s="355" t="s">
        <v>6174</v>
      </c>
      <c r="K903" s="1602"/>
      <c r="L903" s="1602"/>
      <c r="M903" s="1602"/>
      <c r="N903" s="1602"/>
      <c r="O903" s="1602"/>
      <c r="P903" s="1602"/>
      <c r="Q903" s="1602"/>
      <c r="R903" s="1602"/>
      <c r="S903" s="364"/>
      <c r="Z903" s="609" t="s">
        <v>475</v>
      </c>
      <c r="AA903" s="609" t="s">
        <v>5650</v>
      </c>
    </row>
    <row r="904" spans="1:27" ht="18">
      <c r="A904" s="2712"/>
      <c r="B904" s="371">
        <v>101</v>
      </c>
      <c r="C904" s="371" t="s">
        <v>2791</v>
      </c>
      <c r="D904" s="2714">
        <f t="shared" ref="D904:D909" si="78">IF(OR(G904="*",G904="",G904=0),0,COUNTIF($G$904:$G$909,G904))</f>
        <v>0</v>
      </c>
      <c r="E904" s="2719">
        <v>1</v>
      </c>
      <c r="F904" s="294"/>
      <c r="G904" s="2272" t="s">
        <v>2792</v>
      </c>
      <c r="H904" s="2273"/>
      <c r="I904" s="2294"/>
      <c r="J904" s="1602"/>
      <c r="K904" s="1602"/>
      <c r="L904" s="1602"/>
      <c r="M904" s="1602"/>
      <c r="N904" s="1602"/>
      <c r="O904" s="1602"/>
      <c r="P904" s="1602"/>
      <c r="Q904" s="1602"/>
      <c r="R904" s="1602"/>
      <c r="S904" s="364"/>
      <c r="Z904" s="609" t="s">
        <v>475</v>
      </c>
      <c r="AA904" s="609" t="s">
        <v>5650</v>
      </c>
    </row>
    <row r="905" spans="1:27" ht="18">
      <c r="A905" s="2712"/>
      <c r="B905" s="371">
        <v>102</v>
      </c>
      <c r="C905" s="371" t="s">
        <v>2791</v>
      </c>
      <c r="D905" s="2714">
        <f t="shared" si="78"/>
        <v>0</v>
      </c>
      <c r="E905" s="2719">
        <v>1</v>
      </c>
      <c r="F905" s="294"/>
      <c r="G905" s="2272" t="s">
        <v>2792</v>
      </c>
      <c r="H905" s="2273"/>
      <c r="I905" s="2294"/>
      <c r="J905" s="1602"/>
      <c r="K905" s="1602"/>
      <c r="L905" s="1602"/>
      <c r="M905" s="1602"/>
      <c r="N905" s="1602"/>
      <c r="O905" s="1602"/>
      <c r="P905" s="1602"/>
      <c r="Q905" s="1602"/>
      <c r="R905" s="1602"/>
      <c r="S905" s="364"/>
      <c r="Z905" s="609" t="s">
        <v>475</v>
      </c>
      <c r="AA905" s="609" t="s">
        <v>5650</v>
      </c>
    </row>
    <row r="906" spans="1:27" ht="18">
      <c r="A906" s="2712"/>
      <c r="B906" s="371">
        <v>103</v>
      </c>
      <c r="C906" s="371" t="s">
        <v>2791</v>
      </c>
      <c r="D906" s="2714">
        <f t="shared" si="78"/>
        <v>0</v>
      </c>
      <c r="E906" s="2719">
        <v>1</v>
      </c>
      <c r="F906" s="294"/>
      <c r="G906" s="2272" t="s">
        <v>2792</v>
      </c>
      <c r="H906" s="2273"/>
      <c r="I906" s="2294"/>
      <c r="J906" s="1602"/>
      <c r="K906" s="1602"/>
      <c r="L906" s="1602"/>
      <c r="M906" s="1602"/>
      <c r="N906" s="1602"/>
      <c r="O906" s="1602"/>
      <c r="P906" s="1602"/>
      <c r="Q906" s="1602"/>
      <c r="R906" s="1602"/>
      <c r="S906" s="364"/>
      <c r="Z906" s="609" t="s">
        <v>475</v>
      </c>
      <c r="AA906" s="609" t="s">
        <v>5650</v>
      </c>
    </row>
    <row r="907" spans="1:27" ht="18">
      <c r="A907" s="2712"/>
      <c r="B907" s="371">
        <v>104</v>
      </c>
      <c r="C907" s="371" t="s">
        <v>2791</v>
      </c>
      <c r="D907" s="2714">
        <f t="shared" si="78"/>
        <v>0</v>
      </c>
      <c r="E907" s="2719">
        <v>1</v>
      </c>
      <c r="F907" s="294"/>
      <c r="G907" s="2272" t="s">
        <v>2792</v>
      </c>
      <c r="H907" s="2273"/>
      <c r="I907" s="2294"/>
      <c r="J907" s="1602"/>
      <c r="K907" s="1602"/>
      <c r="L907" s="1602"/>
      <c r="M907" s="1602"/>
      <c r="N907" s="1602"/>
      <c r="O907" s="1602"/>
      <c r="P907" s="1602"/>
      <c r="Q907" s="1602"/>
      <c r="R907" s="1602"/>
      <c r="S907" s="364"/>
      <c r="Z907" s="609" t="s">
        <v>475</v>
      </c>
      <c r="AA907" s="609" t="s">
        <v>5650</v>
      </c>
    </row>
    <row r="908" spans="1:27" ht="18">
      <c r="A908" s="2712"/>
      <c r="B908" s="371">
        <v>105</v>
      </c>
      <c r="C908" s="371" t="s">
        <v>2791</v>
      </c>
      <c r="D908" s="2714">
        <f t="shared" si="78"/>
        <v>0</v>
      </c>
      <c r="E908" s="2719">
        <v>1</v>
      </c>
      <c r="F908" s="294"/>
      <c r="G908" s="2272" t="s">
        <v>2792</v>
      </c>
      <c r="H908" s="2273"/>
      <c r="I908" s="2294"/>
      <c r="J908" s="1602"/>
      <c r="K908" s="1602"/>
      <c r="L908" s="1602"/>
      <c r="M908" s="1602"/>
      <c r="N908" s="1602"/>
      <c r="O908" s="1602"/>
      <c r="P908" s="1602"/>
      <c r="Q908" s="1602"/>
      <c r="R908" s="1602"/>
      <c r="S908" s="364"/>
      <c r="Z908" s="609" t="s">
        <v>475</v>
      </c>
      <c r="AA908" s="609" t="s">
        <v>5650</v>
      </c>
    </row>
    <row r="909" spans="1:27" ht="18.75" thickBot="1">
      <c r="A909" s="2712"/>
      <c r="B909" s="371"/>
      <c r="C909" s="371"/>
      <c r="D909" s="2714">
        <f t="shared" si="78"/>
        <v>1</v>
      </c>
      <c r="E909" s="2719" t="s">
        <v>3032</v>
      </c>
      <c r="F909" s="294"/>
      <c r="G909" s="1527" t="s">
        <v>2752</v>
      </c>
      <c r="H909" s="1525">
        <f>SUMPRODUCT($E903:$E908,H903:H908)</f>
        <v>0</v>
      </c>
      <c r="I909" s="1526">
        <f>SUMPRODUCT($E903:$E908,I903:I908)</f>
        <v>0</v>
      </c>
      <c r="J909" s="1602"/>
      <c r="K909" s="1602"/>
      <c r="L909" s="1602"/>
      <c r="M909" s="1602"/>
      <c r="N909" s="1602"/>
      <c r="O909" s="1602"/>
      <c r="P909" s="1602"/>
      <c r="Q909" s="1602"/>
      <c r="R909" s="1602"/>
      <c r="S909" s="364"/>
      <c r="Z909" s="609" t="s">
        <v>475</v>
      </c>
      <c r="AA909" s="609" t="s">
        <v>5650</v>
      </c>
    </row>
    <row r="910" spans="1:27" ht="18">
      <c r="A910" s="2712"/>
      <c r="B910" s="371"/>
      <c r="C910" s="371" t="s">
        <v>2755</v>
      </c>
      <c r="D910" s="371"/>
      <c r="F910" s="294"/>
      <c r="G910" s="301"/>
      <c r="H910" s="315"/>
      <c r="I910" s="315"/>
      <c r="J910" s="1602"/>
      <c r="K910" s="1602"/>
      <c r="L910" s="1602"/>
      <c r="M910" s="1602"/>
      <c r="N910" s="1602"/>
      <c r="O910" s="1602"/>
      <c r="P910" s="1602"/>
      <c r="Q910" s="1602"/>
      <c r="R910" s="1602"/>
      <c r="S910" s="364"/>
      <c r="Z910" s="609" t="s">
        <v>475</v>
      </c>
      <c r="AA910" s="609" t="s">
        <v>5650</v>
      </c>
    </row>
    <row r="911" spans="1:27" ht="24">
      <c r="A911" s="2712" t="s">
        <v>492</v>
      </c>
      <c r="B911" s="371">
        <v>5</v>
      </c>
      <c r="C911" s="371"/>
      <c r="D911" s="2714" t="str">
        <f>VLOOKUP($A911,Sheet_NoteList,2,0)</f>
        <v>关联方应收应付款项——预付款项</v>
      </c>
      <c r="E911" s="2714" t="s">
        <v>6529</v>
      </c>
      <c r="F911" s="294"/>
      <c r="G911" s="372" t="str">
        <f>"("&amp;B911&amp;")"&amp;D911</f>
        <v>(5)关联方应收应付款项——预付款项</v>
      </c>
      <c r="H911" s="1515" t="str">
        <f>$A911</f>
        <v>1125e</v>
      </c>
      <c r="I911" s="343" t="s">
        <v>5606</v>
      </c>
      <c r="J911" s="301" t="s">
        <v>5604</v>
      </c>
      <c r="K911" s="2208">
        <f>H919</f>
        <v>0</v>
      </c>
      <c r="L911" s="345"/>
      <c r="M911" s="301" t="s">
        <v>5605</v>
      </c>
      <c r="N911" s="2208">
        <f>I919</f>
        <v>0</v>
      </c>
      <c r="O911" s="345"/>
      <c r="P911" s="301"/>
      <c r="Q911" s="290" t="str">
        <f>IF($I911="不适用","",IF(ROUND(SUM($H$914:$K$919),2)=0,"请输入",""))</f>
        <v>请输入</v>
      </c>
      <c r="S911" s="364"/>
      <c r="Z911" s="609" t="s">
        <v>475</v>
      </c>
      <c r="AA911" s="609" t="s">
        <v>5650</v>
      </c>
    </row>
    <row r="912" spans="1:27" ht="0.75" customHeight="1" thickBot="1">
      <c r="A912" s="2712"/>
      <c r="B912" s="371"/>
      <c r="C912" s="371"/>
      <c r="D912" s="371"/>
      <c r="E912" s="586"/>
      <c r="F912" s="586"/>
      <c r="G912" s="586" t="s">
        <v>3117</v>
      </c>
      <c r="H912" s="371" t="s">
        <v>2849</v>
      </c>
      <c r="I912" s="371" t="s">
        <v>3084</v>
      </c>
      <c r="J912" s="291"/>
      <c r="K912" s="291"/>
      <c r="L912" s="291"/>
      <c r="O912" s="291"/>
      <c r="S912" s="364"/>
      <c r="Z912" s="609" t="s">
        <v>475</v>
      </c>
      <c r="AA912" s="609" t="s">
        <v>5650</v>
      </c>
    </row>
    <row r="913" spans="1:27" ht="18">
      <c r="A913" s="2712"/>
      <c r="B913" s="371"/>
      <c r="C913" s="371"/>
      <c r="D913" s="371"/>
      <c r="E913" s="586" t="s">
        <v>2749</v>
      </c>
      <c r="F913" s="363"/>
      <c r="G913" s="2270" t="s">
        <v>1423</v>
      </c>
      <c r="H913" s="2268" t="s">
        <v>3086</v>
      </c>
      <c r="I913" s="2271" t="s">
        <v>3087</v>
      </c>
      <c r="J913" s="343" t="s">
        <v>3089</v>
      </c>
      <c r="K913" s="291"/>
      <c r="L913" s="291"/>
      <c r="O913" s="291"/>
      <c r="S913" s="364"/>
      <c r="Z913" s="609" t="s">
        <v>475</v>
      </c>
      <c r="AA913" s="609" t="s">
        <v>5650</v>
      </c>
    </row>
    <row r="914" spans="1:27" ht="18">
      <c r="A914" s="2712"/>
      <c r="B914" s="371">
        <v>101</v>
      </c>
      <c r="C914" s="371" t="s">
        <v>2791</v>
      </c>
      <c r="D914" s="2714">
        <f t="shared" ref="D914:D919" si="79">IF(OR(G914="*",G914="",G914=0),0,COUNTIF($G$914:$G$919,G914))</f>
        <v>0</v>
      </c>
      <c r="E914" s="2719">
        <v>1</v>
      </c>
      <c r="F914" s="294"/>
      <c r="G914" s="2272" t="s">
        <v>2792</v>
      </c>
      <c r="H914" s="2273"/>
      <c r="I914" s="2294"/>
      <c r="J914" s="355" t="s">
        <v>5362</v>
      </c>
      <c r="K914" s="1520" t="s">
        <v>5603</v>
      </c>
      <c r="L914" s="291"/>
      <c r="O914" s="291"/>
      <c r="S914" s="364"/>
      <c r="Z914" s="609" t="s">
        <v>475</v>
      </c>
      <c r="AA914" s="609" t="s">
        <v>5650</v>
      </c>
    </row>
    <row r="915" spans="1:27" ht="18">
      <c r="A915" s="2712"/>
      <c r="B915" s="371">
        <v>102</v>
      </c>
      <c r="C915" s="371" t="s">
        <v>2791</v>
      </c>
      <c r="D915" s="2714">
        <f t="shared" si="79"/>
        <v>0</v>
      </c>
      <c r="E915" s="2719">
        <v>1</v>
      </c>
      <c r="F915" s="294"/>
      <c r="G915" s="2272" t="s">
        <v>2792</v>
      </c>
      <c r="H915" s="2273"/>
      <c r="I915" s="2294"/>
      <c r="J915" s="355" t="s">
        <v>6174</v>
      </c>
      <c r="K915" s="291"/>
      <c r="L915" s="291"/>
      <c r="O915" s="291"/>
      <c r="S915" s="364"/>
      <c r="Z915" s="609" t="s">
        <v>475</v>
      </c>
      <c r="AA915" s="609" t="s">
        <v>5650</v>
      </c>
    </row>
    <row r="916" spans="1:27" ht="18">
      <c r="A916" s="2712"/>
      <c r="B916" s="371">
        <v>103</v>
      </c>
      <c r="C916" s="371" t="s">
        <v>2791</v>
      </c>
      <c r="D916" s="2714">
        <f t="shared" si="79"/>
        <v>0</v>
      </c>
      <c r="E916" s="2719">
        <v>1</v>
      </c>
      <c r="F916" s="294"/>
      <c r="G916" s="2272" t="s">
        <v>2792</v>
      </c>
      <c r="H916" s="2273"/>
      <c r="I916" s="2294"/>
      <c r="K916" s="293"/>
      <c r="L916" s="291"/>
      <c r="M916" s="291"/>
      <c r="N916" s="291"/>
      <c r="O916" s="291"/>
      <c r="S916" s="364"/>
      <c r="Z916" s="609" t="s">
        <v>475</v>
      </c>
      <c r="AA916" s="609" t="s">
        <v>5650</v>
      </c>
    </row>
    <row r="917" spans="1:27" ht="18">
      <c r="A917" s="2712"/>
      <c r="B917" s="371">
        <v>104</v>
      </c>
      <c r="C917" s="371" t="s">
        <v>2791</v>
      </c>
      <c r="D917" s="2714">
        <f t="shared" si="79"/>
        <v>0</v>
      </c>
      <c r="E917" s="2719">
        <v>1</v>
      </c>
      <c r="F917" s="294"/>
      <c r="G917" s="2272" t="s">
        <v>2792</v>
      </c>
      <c r="H917" s="2273"/>
      <c r="I917" s="2294"/>
      <c r="K917" s="293"/>
      <c r="L917" s="291"/>
      <c r="M917" s="291"/>
      <c r="N917" s="291"/>
      <c r="O917" s="291"/>
      <c r="S917" s="364"/>
      <c r="Z917" s="609" t="s">
        <v>475</v>
      </c>
      <c r="AA917" s="609" t="s">
        <v>5650</v>
      </c>
    </row>
    <row r="918" spans="1:27" ht="18">
      <c r="A918" s="2712"/>
      <c r="B918" s="371">
        <v>105</v>
      </c>
      <c r="C918" s="371" t="s">
        <v>2791</v>
      </c>
      <c r="D918" s="2714">
        <f t="shared" si="79"/>
        <v>0</v>
      </c>
      <c r="E918" s="2719">
        <v>1</v>
      </c>
      <c r="F918" s="294"/>
      <c r="G918" s="2272" t="s">
        <v>2792</v>
      </c>
      <c r="H918" s="2273"/>
      <c r="I918" s="2294"/>
      <c r="K918" s="293"/>
      <c r="L918" s="291"/>
      <c r="M918" s="291"/>
      <c r="N918" s="291"/>
      <c r="O918" s="291"/>
      <c r="S918" s="364"/>
      <c r="Z918" s="609" t="s">
        <v>475</v>
      </c>
      <c r="AA918" s="609" t="s">
        <v>5650</v>
      </c>
    </row>
    <row r="919" spans="1:27" ht="18.75" thickBot="1">
      <c r="A919" s="2712"/>
      <c r="B919" s="371"/>
      <c r="C919" s="371"/>
      <c r="D919" s="2714">
        <f t="shared" si="79"/>
        <v>1</v>
      </c>
      <c r="E919" s="2719" t="s">
        <v>3032</v>
      </c>
      <c r="F919" s="294"/>
      <c r="G919" s="1527" t="s">
        <v>2752</v>
      </c>
      <c r="H919" s="1525">
        <f>SUMPRODUCT($E913:$E918,H913:H918)</f>
        <v>0</v>
      </c>
      <c r="I919" s="1526">
        <f>SUMPRODUCT($E913:$E918,I913:I918)</f>
        <v>0</v>
      </c>
      <c r="K919" s="293"/>
      <c r="L919" s="291"/>
      <c r="M919" s="291"/>
      <c r="N919" s="291"/>
      <c r="O919" s="291"/>
      <c r="S919" s="364"/>
      <c r="Z919" s="609" t="s">
        <v>475</v>
      </c>
      <c r="AA919" s="609" t="s">
        <v>5650</v>
      </c>
    </row>
    <row r="920" spans="1:27" ht="18">
      <c r="A920" s="2712"/>
      <c r="B920" s="371"/>
      <c r="C920" s="371" t="s">
        <v>2755</v>
      </c>
      <c r="D920" s="371"/>
      <c r="F920" s="294"/>
      <c r="G920" s="301"/>
      <c r="H920" s="315"/>
      <c r="I920" s="315"/>
      <c r="K920" s="293"/>
      <c r="L920" s="291"/>
      <c r="M920" s="291"/>
      <c r="N920" s="291"/>
      <c r="O920" s="291"/>
      <c r="S920" s="364"/>
      <c r="Z920" s="609" t="s">
        <v>475</v>
      </c>
      <c r="AA920" s="609" t="s">
        <v>5650</v>
      </c>
    </row>
    <row r="921" spans="1:27" ht="18">
      <c r="A921" s="2712" t="s">
        <v>505</v>
      </c>
      <c r="B921" s="371">
        <v>6</v>
      </c>
      <c r="C921" s="371"/>
      <c r="D921" s="2714" t="str">
        <f>VLOOKUP($A921,Sheet_NoteList,2,0)</f>
        <v>预付款项补充资料</v>
      </c>
      <c r="E921" s="2714" t="s">
        <v>6529</v>
      </c>
      <c r="F921" s="293"/>
      <c r="G921" s="372" t="str">
        <f>"("&amp;B921&amp;")"&amp;D921</f>
        <v>(6)预付款项补充资料</v>
      </c>
      <c r="H921" s="1515" t="str">
        <f>$A921</f>
        <v>1125x</v>
      </c>
      <c r="I921" s="343" t="s">
        <v>6034</v>
      </c>
      <c r="J921" s="301" t="s">
        <v>6035</v>
      </c>
      <c r="K921" s="2208">
        <f>H932</f>
        <v>0</v>
      </c>
      <c r="L921" s="349"/>
      <c r="M921" s="301" t="s">
        <v>6036</v>
      </c>
      <c r="N921" s="2208">
        <f>I932</f>
        <v>0</v>
      </c>
      <c r="O921" s="349"/>
      <c r="P921" s="301"/>
      <c r="S921" s="364"/>
      <c r="Z921" s="609" t="s">
        <v>475</v>
      </c>
      <c r="AA921" s="609" t="s">
        <v>5650</v>
      </c>
    </row>
    <row r="922" spans="1:27" ht="0.75" customHeight="1" thickBot="1">
      <c r="A922" s="2712"/>
      <c r="B922" s="371"/>
      <c r="C922" s="371"/>
      <c r="D922" s="2714"/>
      <c r="E922" s="586"/>
      <c r="F922" s="586"/>
      <c r="G922" s="2222" t="s">
        <v>3119</v>
      </c>
      <c r="H922" s="371" t="s">
        <v>6192</v>
      </c>
      <c r="I922" s="371" t="s">
        <v>6193</v>
      </c>
      <c r="J922" s="371" t="s">
        <v>6194</v>
      </c>
      <c r="K922" s="547" t="s">
        <v>6195</v>
      </c>
      <c r="L922" s="547" t="s">
        <v>6196</v>
      </c>
      <c r="M922" s="371" t="s">
        <v>6197</v>
      </c>
      <c r="N922" s="547" t="s">
        <v>6198</v>
      </c>
      <c r="O922" s="547" t="s">
        <v>6199</v>
      </c>
      <c r="P922" s="371" t="s">
        <v>6200</v>
      </c>
      <c r="S922" s="364"/>
      <c r="Z922" s="609" t="s">
        <v>475</v>
      </c>
      <c r="AA922" s="609" t="s">
        <v>5650</v>
      </c>
    </row>
    <row r="923" spans="1:27" ht="18">
      <c r="A923" s="2712"/>
      <c r="B923" s="371"/>
      <c r="C923" s="371"/>
      <c r="D923" s="2714"/>
      <c r="E923" s="586" t="s">
        <v>2749</v>
      </c>
      <c r="F923" s="414"/>
      <c r="G923" s="2300" t="s">
        <v>47</v>
      </c>
      <c r="H923" s="2358" t="s">
        <v>2560</v>
      </c>
      <c r="I923" s="2298" t="s">
        <v>6037</v>
      </c>
      <c r="J923" s="2298" t="s">
        <v>2544</v>
      </c>
      <c r="K923" s="1641" t="s">
        <v>6038</v>
      </c>
      <c r="L923" s="1641" t="s">
        <v>6039</v>
      </c>
      <c r="M923" s="2298" t="s">
        <v>2549</v>
      </c>
      <c r="N923" s="1641" t="s">
        <v>6040</v>
      </c>
      <c r="O923" s="1641" t="s">
        <v>6041</v>
      </c>
      <c r="P923" s="2299" t="s">
        <v>3277</v>
      </c>
      <c r="Q923" s="355" t="s">
        <v>6174</v>
      </c>
      <c r="S923" s="364"/>
      <c r="Z923" s="609" t="s">
        <v>475</v>
      </c>
      <c r="AA923" s="609" t="s">
        <v>5650</v>
      </c>
    </row>
    <row r="924" spans="1:27" ht="18">
      <c r="A924" s="2712"/>
      <c r="B924" s="371">
        <v>101</v>
      </c>
      <c r="C924" s="371" t="s">
        <v>2791</v>
      </c>
      <c r="D924" s="2714">
        <f t="shared" ref="D924:D932" si="80">IF(OR(G924="*",G924="",G924=0),0,COUNTIF($G$924:$G$932,G924))</f>
        <v>0</v>
      </c>
      <c r="E924" s="2719">
        <v>1</v>
      </c>
      <c r="F924" s="293"/>
      <c r="G924" s="2301" t="s">
        <v>2792</v>
      </c>
      <c r="H924" s="2273"/>
      <c r="I924" s="2273"/>
      <c r="J924" s="2273"/>
      <c r="K924" s="2296"/>
      <c r="L924" s="2296"/>
      <c r="M924" s="2273"/>
      <c r="N924" s="2296"/>
      <c r="O924" s="2296"/>
      <c r="P924" s="2294"/>
      <c r="S924" s="364"/>
      <c r="Z924" s="609" t="s">
        <v>475</v>
      </c>
      <c r="AA924" s="609" t="s">
        <v>5650</v>
      </c>
    </row>
    <row r="925" spans="1:27" ht="18">
      <c r="A925" s="2712"/>
      <c r="B925" s="371">
        <v>102</v>
      </c>
      <c r="C925" s="371" t="s">
        <v>2791</v>
      </c>
      <c r="D925" s="2714">
        <f t="shared" si="80"/>
        <v>0</v>
      </c>
      <c r="E925" s="2719">
        <v>1</v>
      </c>
      <c r="F925" s="293"/>
      <c r="G925" s="2301" t="s">
        <v>2792</v>
      </c>
      <c r="H925" s="2273"/>
      <c r="I925" s="2273"/>
      <c r="J925" s="2273"/>
      <c r="K925" s="2296"/>
      <c r="L925" s="2296"/>
      <c r="M925" s="2273"/>
      <c r="N925" s="2296"/>
      <c r="O925" s="2296"/>
      <c r="P925" s="2294"/>
      <c r="S925" s="364"/>
      <c r="Z925" s="609" t="s">
        <v>475</v>
      </c>
      <c r="AA925" s="609" t="s">
        <v>5650</v>
      </c>
    </row>
    <row r="926" spans="1:27" ht="18">
      <c r="A926" s="2712"/>
      <c r="B926" s="371">
        <v>103</v>
      </c>
      <c r="C926" s="371" t="s">
        <v>2791</v>
      </c>
      <c r="D926" s="2714">
        <f t="shared" si="80"/>
        <v>0</v>
      </c>
      <c r="E926" s="2719">
        <v>1</v>
      </c>
      <c r="F926" s="293"/>
      <c r="G926" s="2301" t="s">
        <v>2792</v>
      </c>
      <c r="H926" s="2273"/>
      <c r="I926" s="2273"/>
      <c r="J926" s="2273"/>
      <c r="K926" s="2296"/>
      <c r="L926" s="2296"/>
      <c r="M926" s="2273"/>
      <c r="N926" s="2296"/>
      <c r="O926" s="2296"/>
      <c r="P926" s="2294"/>
      <c r="S926" s="364"/>
      <c r="Z926" s="609" t="s">
        <v>475</v>
      </c>
      <c r="AA926" s="609" t="s">
        <v>5650</v>
      </c>
    </row>
    <row r="927" spans="1:27" ht="18">
      <c r="A927" s="2712"/>
      <c r="B927" s="371">
        <v>104</v>
      </c>
      <c r="C927" s="371" t="s">
        <v>2791</v>
      </c>
      <c r="D927" s="2714">
        <f t="shared" si="80"/>
        <v>0</v>
      </c>
      <c r="E927" s="2719">
        <v>1</v>
      </c>
      <c r="F927" s="293"/>
      <c r="G927" s="2301" t="s">
        <v>2792</v>
      </c>
      <c r="H927" s="2273"/>
      <c r="I927" s="2273"/>
      <c r="J927" s="2273"/>
      <c r="K927" s="2296"/>
      <c r="L927" s="2296"/>
      <c r="M927" s="2273"/>
      <c r="N927" s="2296"/>
      <c r="O927" s="2296"/>
      <c r="P927" s="2294"/>
      <c r="S927" s="364"/>
      <c r="Z927" s="609" t="s">
        <v>475</v>
      </c>
      <c r="AA927" s="609" t="s">
        <v>5650</v>
      </c>
    </row>
    <row r="928" spans="1:27" ht="18">
      <c r="A928" s="2712"/>
      <c r="B928" s="371">
        <v>105</v>
      </c>
      <c r="C928" s="371" t="s">
        <v>2791</v>
      </c>
      <c r="D928" s="2714">
        <f t="shared" si="80"/>
        <v>0</v>
      </c>
      <c r="E928" s="2719">
        <v>1</v>
      </c>
      <c r="F928" s="293"/>
      <c r="G928" s="2301" t="s">
        <v>2792</v>
      </c>
      <c r="H928" s="2273"/>
      <c r="I928" s="2273"/>
      <c r="J928" s="2273"/>
      <c r="K928" s="2296"/>
      <c r="L928" s="2296"/>
      <c r="M928" s="2273"/>
      <c r="N928" s="2296"/>
      <c r="O928" s="2296"/>
      <c r="P928" s="2294"/>
      <c r="S928" s="364"/>
      <c r="Z928" s="609" t="s">
        <v>475</v>
      </c>
      <c r="AA928" s="609" t="s">
        <v>5650</v>
      </c>
    </row>
    <row r="929" spans="1:27" ht="18">
      <c r="A929" s="2712"/>
      <c r="B929" s="371">
        <v>106</v>
      </c>
      <c r="C929" s="371" t="s">
        <v>2791</v>
      </c>
      <c r="D929" s="2714">
        <f t="shared" si="80"/>
        <v>0</v>
      </c>
      <c r="E929" s="2719">
        <v>1</v>
      </c>
      <c r="F929" s="293"/>
      <c r="G929" s="2301" t="s">
        <v>2792</v>
      </c>
      <c r="H929" s="2273"/>
      <c r="I929" s="2273"/>
      <c r="J929" s="2273"/>
      <c r="K929" s="2296"/>
      <c r="L929" s="2296"/>
      <c r="M929" s="2273"/>
      <c r="N929" s="2296"/>
      <c r="O929" s="2296"/>
      <c r="P929" s="2294"/>
      <c r="S929" s="364"/>
      <c r="Z929" s="609" t="s">
        <v>475</v>
      </c>
      <c r="AA929" s="609" t="s">
        <v>5650</v>
      </c>
    </row>
    <row r="930" spans="1:27" ht="18">
      <c r="A930" s="2712"/>
      <c r="B930" s="371">
        <v>107</v>
      </c>
      <c r="C930" s="371" t="s">
        <v>2791</v>
      </c>
      <c r="D930" s="2714">
        <f t="shared" si="80"/>
        <v>0</v>
      </c>
      <c r="E930" s="2719">
        <v>1</v>
      </c>
      <c r="F930" s="293"/>
      <c r="G930" s="2301" t="s">
        <v>2792</v>
      </c>
      <c r="H930" s="2273"/>
      <c r="I930" s="2273"/>
      <c r="J930" s="2273"/>
      <c r="K930" s="2296"/>
      <c r="L930" s="2296"/>
      <c r="M930" s="2273"/>
      <c r="N930" s="2296"/>
      <c r="O930" s="2296"/>
      <c r="P930" s="2294"/>
      <c r="S930" s="364"/>
      <c r="Z930" s="609" t="s">
        <v>475</v>
      </c>
      <c r="AA930" s="609" t="s">
        <v>5650</v>
      </c>
    </row>
    <row r="931" spans="1:27" ht="18">
      <c r="A931" s="2712"/>
      <c r="B931" s="371">
        <v>108</v>
      </c>
      <c r="C931" s="371" t="s">
        <v>2791</v>
      </c>
      <c r="D931" s="2714">
        <f t="shared" si="80"/>
        <v>0</v>
      </c>
      <c r="E931" s="2719">
        <v>1</v>
      </c>
      <c r="F931" s="293"/>
      <c r="G931" s="2301" t="s">
        <v>2792</v>
      </c>
      <c r="H931" s="2273"/>
      <c r="I931" s="2273"/>
      <c r="J931" s="2273"/>
      <c r="K931" s="2296"/>
      <c r="L931" s="2296"/>
      <c r="M931" s="2273"/>
      <c r="N931" s="2296"/>
      <c r="O931" s="2296"/>
      <c r="P931" s="2294"/>
      <c r="S931" s="364"/>
      <c r="Z931" s="609" t="s">
        <v>475</v>
      </c>
      <c r="AA931" s="609" t="s">
        <v>5650</v>
      </c>
    </row>
    <row r="932" spans="1:27" ht="18.75" thickBot="1">
      <c r="A932" s="2712"/>
      <c r="B932" s="371"/>
      <c r="C932" s="371"/>
      <c r="D932" s="2714">
        <f t="shared" si="80"/>
        <v>1</v>
      </c>
      <c r="E932" s="2719" t="s">
        <v>2751</v>
      </c>
      <c r="F932" s="293"/>
      <c r="G932" s="1527" t="s">
        <v>2752</v>
      </c>
      <c r="H932" s="1525">
        <f>SUMPRODUCT($E923:$E931,H923:H931)</f>
        <v>0</v>
      </c>
      <c r="I932" s="1525">
        <f>SUMPRODUCT($E923:$E931,I923:I931)</f>
        <v>0</v>
      </c>
      <c r="J932" s="1525">
        <f>SUMPRODUCT($E923:$E931,J923:J931)</f>
        <v>0</v>
      </c>
      <c r="K932" s="2314"/>
      <c r="L932" s="2314"/>
      <c r="M932" s="1525">
        <f>SUMPRODUCT($E923:$E931,M923:M931)</f>
        <v>0</v>
      </c>
      <c r="N932" s="2314"/>
      <c r="O932" s="2314"/>
      <c r="P932" s="1526">
        <f>SUMPRODUCT($E923:$E931,P923:P931)</f>
        <v>0</v>
      </c>
      <c r="S932" s="364"/>
      <c r="Z932" s="609" t="s">
        <v>475</v>
      </c>
      <c r="AA932" s="609" t="s">
        <v>5650</v>
      </c>
    </row>
    <row r="933" spans="1:27" ht="18">
      <c r="A933" s="2712"/>
      <c r="B933" s="371"/>
      <c r="C933" s="371" t="s">
        <v>2755</v>
      </c>
      <c r="D933" s="2714"/>
      <c r="F933" s="293"/>
      <c r="G933" s="376"/>
      <c r="H933" s="1574"/>
      <c r="I933" s="396"/>
      <c r="J933" s="315"/>
      <c r="K933" s="392"/>
      <c r="L933" s="393"/>
      <c r="M933" s="315"/>
      <c r="N933" s="392"/>
      <c r="O933" s="393"/>
      <c r="P933" s="315"/>
      <c r="S933" s="364"/>
      <c r="Z933" s="609" t="s">
        <v>475</v>
      </c>
      <c r="AA933" s="609" t="s">
        <v>5650</v>
      </c>
    </row>
    <row r="934" spans="1:27" ht="17.25">
      <c r="A934" s="2713">
        <v>1220</v>
      </c>
      <c r="B934" s="371">
        <v>9</v>
      </c>
      <c r="C934" s="2714" t="str">
        <f>VLOOKUP($A934,Sheet_Items,2,0)</f>
        <v>其他应收款（报表项目）</v>
      </c>
      <c r="D934" s="371"/>
      <c r="E934" s="2714" t="s">
        <v>2739</v>
      </c>
      <c r="F934" s="371"/>
      <c r="G934" s="305" t="str">
        <f>B934&amp;" "&amp;C934</f>
        <v>9 其他应收款（报表项目）</v>
      </c>
      <c r="H934" s="306"/>
      <c r="I934" s="306"/>
      <c r="J934" s="306" t="s">
        <v>2740</v>
      </c>
      <c r="K934" s="341">
        <f>VLOOKUP($A934,Sheet_Trialbal,6,0)</f>
        <v>8760929.7400000002</v>
      </c>
      <c r="L934" s="342"/>
      <c r="M934" s="306" t="s">
        <v>2741</v>
      </c>
      <c r="N934" s="341">
        <f>VLOOKUP($A934,Sheet_Trialbal,10,0)</f>
        <v>1187767</v>
      </c>
      <c r="O934" s="342"/>
      <c r="P934" s="301"/>
      <c r="S934" s="364"/>
      <c r="Z934" s="609" t="s">
        <v>512</v>
      </c>
      <c r="AA934" s="609" t="s">
        <v>19</v>
      </c>
    </row>
    <row r="935" spans="1:27" ht="18">
      <c r="A935" s="2712" t="s">
        <v>510</v>
      </c>
      <c r="B935" s="371">
        <v>1</v>
      </c>
      <c r="C935" s="371"/>
      <c r="D935" s="2714" t="str">
        <f>VLOOKUP($A935,Sheet_NoteList,2,0)</f>
        <v>其他应收款分类列示</v>
      </c>
      <c r="E935" s="2714" t="s">
        <v>2742</v>
      </c>
      <c r="F935" s="371"/>
      <c r="G935" s="372" t="str">
        <f>"("&amp;B935&amp;")"&amp;D935</f>
        <v>(1)其他应收款分类列示</v>
      </c>
      <c r="H935" s="1515" t="str">
        <f>$A935</f>
        <v>1220a</v>
      </c>
      <c r="I935" s="343" t="s">
        <v>2743</v>
      </c>
      <c r="J935" s="301" t="s">
        <v>2744</v>
      </c>
      <c r="K935" s="2208">
        <f>H942</f>
        <v>8760929.7400000002</v>
      </c>
      <c r="L935" s="349"/>
      <c r="M935" s="301" t="s">
        <v>2745</v>
      </c>
      <c r="N935" s="2208">
        <f>I942</f>
        <v>1187767</v>
      </c>
      <c r="O935" s="349"/>
      <c r="P935" s="301"/>
      <c r="S935" s="364"/>
      <c r="Z935" s="609" t="s">
        <v>512</v>
      </c>
      <c r="AA935" s="609" t="s">
        <v>19</v>
      </c>
    </row>
    <row r="936" spans="1:27" ht="0.75" customHeight="1" thickBot="1">
      <c r="A936" s="2712"/>
      <c r="B936" s="371"/>
      <c r="C936" s="371"/>
      <c r="D936" s="2714"/>
      <c r="F936" s="371"/>
      <c r="G936" s="405" t="s">
        <v>3120</v>
      </c>
      <c r="H936" s="371" t="s">
        <v>2747</v>
      </c>
      <c r="I936" s="371" t="s">
        <v>2748</v>
      </c>
      <c r="J936" s="301"/>
      <c r="K936" s="391"/>
      <c r="L936" s="349"/>
      <c r="M936" s="301"/>
      <c r="N936" s="391"/>
      <c r="O936" s="349"/>
      <c r="P936" s="301"/>
      <c r="S936" s="364"/>
      <c r="Z936" s="609" t="s">
        <v>512</v>
      </c>
      <c r="AA936" s="609" t="s">
        <v>19</v>
      </c>
    </row>
    <row r="937" spans="1:27" ht="18.75" thickTop="1">
      <c r="A937" s="2712"/>
      <c r="B937" s="371"/>
      <c r="C937" s="371"/>
      <c r="D937" s="2714"/>
      <c r="E937" s="2714" t="s">
        <v>2749</v>
      </c>
      <c r="F937" s="371"/>
      <c r="G937" s="373" t="s">
        <v>47</v>
      </c>
      <c r="H937" s="2473" t="str">
        <f>$V$2</f>
        <v>2019年12月31日</v>
      </c>
      <c r="I937" s="2478" t="str">
        <f>$V$3</f>
        <v>2018年12月31日</v>
      </c>
      <c r="J937" s="355" t="s">
        <v>5271</v>
      </c>
      <c r="K937" s="1528" t="str">
        <f>""&amp;"&gt;本期:"&amp;""</f>
        <v>&gt;本期:</v>
      </c>
      <c r="L937" s="1528" t="str">
        <f>""&amp;"&gt;上期:"&amp;""</f>
        <v>&gt;上期:</v>
      </c>
      <c r="M937" s="301"/>
      <c r="N937" s="391"/>
      <c r="O937" s="349"/>
      <c r="P937" s="301"/>
      <c r="S937" s="364"/>
      <c r="Z937" s="609" t="s">
        <v>512</v>
      </c>
      <c r="AA937" s="609" t="s">
        <v>19</v>
      </c>
    </row>
    <row r="938" spans="1:27" ht="18">
      <c r="A938" s="2712"/>
      <c r="B938" s="371">
        <v>101</v>
      </c>
      <c r="C938" s="371"/>
      <c r="D938" s="2714">
        <f t="shared" ref="D938:D942" si="81">IF(OR(G938="*",G938="",G938=0),0,COUNTIF($G$938:$G$942,G938))</f>
        <v>1</v>
      </c>
      <c r="E938" s="2719">
        <v>1</v>
      </c>
      <c r="F938" s="371"/>
      <c r="G938" s="308" t="s">
        <v>180</v>
      </c>
      <c r="H938" s="309"/>
      <c r="I938" s="394">
        <v>76153.320000000007</v>
      </c>
      <c r="J938" s="301"/>
      <c r="K938" s="2250">
        <f ca="1">HYPERLINK("#'"&amp;$G$1&amp;"'!"&amp;ADDRESS(ROW(Notes!H955),COLUMN(Notes!H955),4),H955-H938)</f>
        <v>0</v>
      </c>
      <c r="L938" s="2250">
        <f ca="1">HYPERLINK("#'"&amp;$G$1&amp;"'!"&amp;ADDRESS(ROW(Notes!I955),COLUMN(Notes!I955),4),I955-I938)</f>
        <v>0</v>
      </c>
      <c r="M938" s="301"/>
      <c r="N938" s="391"/>
      <c r="O938" s="349"/>
      <c r="P938" s="301"/>
      <c r="S938" s="364"/>
      <c r="Z938" s="609" t="s">
        <v>512</v>
      </c>
      <c r="AA938" s="609" t="s">
        <v>19</v>
      </c>
    </row>
    <row r="939" spans="1:27" ht="18">
      <c r="A939" s="2712"/>
      <c r="B939" s="371">
        <v>102</v>
      </c>
      <c r="C939" s="371"/>
      <c r="D939" s="2714">
        <f t="shared" si="81"/>
        <v>1</v>
      </c>
      <c r="E939" s="2719">
        <v>1</v>
      </c>
      <c r="F939" s="371"/>
      <c r="G939" s="308" t="s">
        <v>172</v>
      </c>
      <c r="H939" s="309"/>
      <c r="I939" s="394">
        <v>0</v>
      </c>
      <c r="J939" s="301"/>
      <c r="K939" s="2250">
        <f ca="1">HYPERLINK("#'"&amp;$G$1&amp;"'!"&amp;ADDRESS(ROW(Notes!H976),COLUMN(Notes!H976),4),H976-H939)</f>
        <v>0</v>
      </c>
      <c r="L939" s="2250">
        <f ca="1">HYPERLINK("#'"&amp;$G$1&amp;"'!"&amp;ADDRESS(ROW(Notes!I976),COLUMN(Notes!I976),4),I976-I939)</f>
        <v>0</v>
      </c>
      <c r="M939" s="301"/>
      <c r="N939" s="391"/>
      <c r="O939" s="349"/>
      <c r="P939" s="301"/>
      <c r="S939" s="364"/>
      <c r="Z939" s="609" t="s">
        <v>512</v>
      </c>
      <c r="AA939" s="609" t="s">
        <v>19</v>
      </c>
    </row>
    <row r="940" spans="1:27" ht="18">
      <c r="A940" s="2712"/>
      <c r="B940" s="371">
        <v>103</v>
      </c>
      <c r="C940" s="371"/>
      <c r="D940" s="2714">
        <f t="shared" si="81"/>
        <v>1</v>
      </c>
      <c r="E940" s="2719">
        <v>1</v>
      </c>
      <c r="F940" s="371"/>
      <c r="G940" s="308" t="s">
        <v>201</v>
      </c>
      <c r="H940" s="309">
        <v>8760929.7400000002</v>
      </c>
      <c r="I940" s="394">
        <v>1111613.68</v>
      </c>
      <c r="J940" s="301"/>
      <c r="K940" s="2250">
        <f ca="1">HYPERLINK("#'"&amp;$G$1&amp;"'!"&amp;ADDRESS(ROW(Notes!H1026),COLUMN(Notes!H1026),4),H1026-H940)</f>
        <v>0</v>
      </c>
      <c r="L940" s="2250">
        <f ca="1">HYPERLINK("#'"&amp;$G$1&amp;"'!"&amp;ADDRESS(ROW(Notes!I1026),COLUMN(Notes!I1026),4),I1026-I940)</f>
        <v>0</v>
      </c>
      <c r="M940" s="301"/>
      <c r="N940" s="391"/>
      <c r="O940" s="349"/>
      <c r="P940" s="301"/>
      <c r="S940" s="364"/>
      <c r="Z940" s="609" t="s">
        <v>512</v>
      </c>
      <c r="AA940" s="609" t="s">
        <v>19</v>
      </c>
    </row>
    <row r="941" spans="1:27" ht="18">
      <c r="A941" s="2712"/>
      <c r="B941" s="371">
        <v>104</v>
      </c>
      <c r="C941" s="371" t="s">
        <v>2791</v>
      </c>
      <c r="D941" s="2714">
        <f t="shared" si="81"/>
        <v>0</v>
      </c>
      <c r="E941" s="2719">
        <v>1</v>
      </c>
      <c r="F941" s="371"/>
      <c r="G941" s="2546" t="s">
        <v>2792</v>
      </c>
      <c r="H941" s="309"/>
      <c r="I941" s="394"/>
      <c r="J941" s="301"/>
      <c r="K941" s="456"/>
      <c r="L941" s="456"/>
      <c r="M941" s="301"/>
      <c r="N941" s="391"/>
      <c r="O941" s="349"/>
      <c r="P941" s="301"/>
      <c r="S941" s="364"/>
      <c r="Z941" s="609" t="s">
        <v>512</v>
      </c>
      <c r="AA941" s="609" t="s">
        <v>19</v>
      </c>
    </row>
    <row r="942" spans="1:27" ht="18.75" thickBot="1">
      <c r="A942" s="2712"/>
      <c r="B942" s="371"/>
      <c r="C942" s="371"/>
      <c r="D942" s="2714">
        <f t="shared" si="81"/>
        <v>1</v>
      </c>
      <c r="E942" s="2719" t="s">
        <v>2751</v>
      </c>
      <c r="F942" s="371"/>
      <c r="G942" s="407" t="s">
        <v>2752</v>
      </c>
      <c r="H942" s="1476">
        <f>SUMPRODUCT($E937:$E941,H937:H941)</f>
        <v>8760929.7400000002</v>
      </c>
      <c r="I942" s="1477">
        <f>SUMPRODUCT($E937:$E941,I937:I941)</f>
        <v>1187767</v>
      </c>
      <c r="J942" s="301"/>
      <c r="K942" s="1529">
        <f t="shared" ref="K942:L942" ca="1" si="82">SUM(K938:K941)</f>
        <v>0</v>
      </c>
      <c r="L942" s="1529">
        <f t="shared" ca="1" si="82"/>
        <v>0</v>
      </c>
      <c r="M942" s="301"/>
      <c r="N942" s="391"/>
      <c r="O942" s="349"/>
      <c r="P942" s="301"/>
      <c r="S942" s="364"/>
      <c r="Z942" s="609" t="s">
        <v>512</v>
      </c>
      <c r="AA942" s="609" t="s">
        <v>19</v>
      </c>
    </row>
    <row r="943" spans="1:27" ht="18">
      <c r="A943" s="2712"/>
      <c r="B943" s="371"/>
      <c r="C943" s="371" t="s">
        <v>2755</v>
      </c>
      <c r="D943" s="2714"/>
      <c r="F943" s="371"/>
      <c r="G943" s="376"/>
      <c r="H943" s="315"/>
      <c r="I943" s="396"/>
      <c r="J943" s="301"/>
      <c r="K943" s="1537" t="s">
        <v>5493</v>
      </c>
      <c r="L943" s="317"/>
      <c r="M943" s="301"/>
      <c r="N943" s="391"/>
      <c r="O943" s="349"/>
      <c r="P943" s="301"/>
      <c r="S943" s="364"/>
      <c r="Z943" s="609" t="s">
        <v>512</v>
      </c>
      <c r="AA943" s="609" t="s">
        <v>19</v>
      </c>
    </row>
    <row r="944" spans="1:27" ht="18">
      <c r="A944" s="2712">
        <v>1132</v>
      </c>
      <c r="B944" s="371">
        <v>9.1</v>
      </c>
      <c r="C944" s="2714" t="str">
        <f>VLOOKUP($A944,Sheet_Items,2,0)</f>
        <v>应收利息</v>
      </c>
      <c r="D944" s="371"/>
      <c r="E944" s="2714" t="s">
        <v>2739</v>
      </c>
      <c r="F944" s="294"/>
      <c r="G944" s="305" t="str">
        <f>B944&amp;" "&amp;C944</f>
        <v>9.1 应收利息</v>
      </c>
      <c r="H944" s="306"/>
      <c r="I944" s="306"/>
      <c r="J944" s="306" t="s">
        <v>2740</v>
      </c>
      <c r="K944" s="341">
        <f>VLOOKUP($A944,Sheet_Trialbal,6,0)</f>
        <v>0</v>
      </c>
      <c r="L944" s="342"/>
      <c r="M944" s="306" t="s">
        <v>2741</v>
      </c>
      <c r="N944" s="341">
        <f>VLOOKUP($A944,Sheet_Trialbal,10,0)</f>
        <v>76153.320000000007</v>
      </c>
      <c r="O944" s="306"/>
      <c r="P944" s="301"/>
      <c r="S944" s="364"/>
      <c r="Z944" s="609" t="s">
        <v>518</v>
      </c>
      <c r="AA944" s="609" t="s">
        <v>5652</v>
      </c>
    </row>
    <row r="945" spans="1:29" ht="18">
      <c r="A945" s="2712" t="s">
        <v>516</v>
      </c>
      <c r="B945" s="371">
        <v>1</v>
      </c>
      <c r="C945" s="371"/>
      <c r="D945" s="2714" t="str">
        <f>VLOOKUP($A945,Sheet_NoteList,2,0)</f>
        <v>应收利息分类列示</v>
      </c>
      <c r="E945" s="2714" t="s">
        <v>2742</v>
      </c>
      <c r="F945" s="294"/>
      <c r="G945" s="307" t="str">
        <f>"("&amp;B945&amp;")"&amp;D945</f>
        <v>(1)应收利息分类列示</v>
      </c>
      <c r="H945" s="1515" t="str">
        <f>$A945</f>
        <v>1132a</v>
      </c>
      <c r="I945" s="343" t="s">
        <v>2743</v>
      </c>
      <c r="J945" s="301" t="s">
        <v>2744</v>
      </c>
      <c r="K945" s="2208">
        <f>H955</f>
        <v>0</v>
      </c>
      <c r="L945" s="345" t="str">
        <f>IF($I945="适用",IF(ROUND($K$944-K945,2)=0,"F/S",ROUND($K$944-K945,2)),"#N/A")</f>
        <v>F/S</v>
      </c>
      <c r="M945" s="301" t="s">
        <v>2745</v>
      </c>
      <c r="N945" s="2208">
        <f>I955</f>
        <v>76153.320000000007</v>
      </c>
      <c r="O945" s="345" t="str">
        <f>IF($I945="适用",IF(ROUND($N$944-N945,2)=0,"F/S",ROUND($N$944-N945,2)),"#N/A")</f>
        <v>F/S</v>
      </c>
      <c r="P945" s="301"/>
      <c r="Q945" s="290" t="str">
        <f ca="1">IF($I945="不适用","",IF(ROUND(SUM($H$948:$K$955),2)=0,"请输入",""))</f>
        <v/>
      </c>
      <c r="S945" s="364"/>
      <c r="Z945" s="609" t="s">
        <v>518</v>
      </c>
      <c r="AA945" s="609" t="s">
        <v>5652</v>
      </c>
    </row>
    <row r="946" spans="1:29" ht="0.75" customHeight="1" thickBot="1">
      <c r="A946" s="2712"/>
      <c r="B946" s="371"/>
      <c r="C946" s="371"/>
      <c r="D946" s="371"/>
      <c r="E946" s="586"/>
      <c r="F946" s="586"/>
      <c r="G946" s="586" t="s">
        <v>3121</v>
      </c>
      <c r="H946" s="371" t="s">
        <v>2747</v>
      </c>
      <c r="I946" s="371" t="s">
        <v>2748</v>
      </c>
      <c r="J946" s="433"/>
      <c r="K946" s="433"/>
      <c r="L946" s="442"/>
      <c r="M946" s="472"/>
      <c r="N946" s="472"/>
      <c r="O946" s="472"/>
      <c r="P946" s="442"/>
      <c r="Q946" s="442"/>
      <c r="R946" s="443"/>
      <c r="S946" s="364"/>
      <c r="Z946" s="609" t="s">
        <v>518</v>
      </c>
      <c r="AA946" s="609" t="s">
        <v>5652</v>
      </c>
    </row>
    <row r="947" spans="1:29" ht="18">
      <c r="A947" s="2712"/>
      <c r="B947" s="371"/>
      <c r="C947" s="371"/>
      <c r="D947" s="371"/>
      <c r="E947" s="586" t="s">
        <v>2749</v>
      </c>
      <c r="F947" s="363"/>
      <c r="G947" s="2226" t="s">
        <v>47</v>
      </c>
      <c r="H947" s="2223" t="str">
        <f>$V$2</f>
        <v>2019年12月31日</v>
      </c>
      <c r="I947" s="2224" t="str">
        <f>$V$3</f>
        <v>2018年12月31日</v>
      </c>
      <c r="J947" s="355" t="s">
        <v>5271</v>
      </c>
      <c r="K947" s="478"/>
      <c r="L947" s="516"/>
      <c r="M947" s="472"/>
      <c r="N947" s="472"/>
      <c r="O947" s="472"/>
      <c r="P947" s="442"/>
      <c r="Q947" s="442"/>
      <c r="R947" s="443"/>
      <c r="S947" s="364"/>
      <c r="Z947" s="609" t="s">
        <v>518</v>
      </c>
      <c r="AA947" s="609" t="s">
        <v>5652</v>
      </c>
    </row>
    <row r="948" spans="1:29" ht="18">
      <c r="A948" s="2712"/>
      <c r="B948" s="371">
        <v>101</v>
      </c>
      <c r="C948" s="371"/>
      <c r="D948" s="2714">
        <f t="shared" ref="D948:D955" si="83">IF(OR(G948="*",G948="",G948=0),0,COUNTIF($G$948:$G$955,G948))</f>
        <v>1</v>
      </c>
      <c r="E948" s="2719" t="s">
        <v>2939</v>
      </c>
      <c r="F948" s="294"/>
      <c r="G948" s="1472" t="s">
        <v>3122</v>
      </c>
      <c r="H948" s="2273">
        <v>0</v>
      </c>
      <c r="I948" s="2294">
        <v>76153.320000000007</v>
      </c>
      <c r="J948" s="438"/>
      <c r="K948" s="438"/>
      <c r="L948" s="442"/>
      <c r="M948" s="472"/>
      <c r="N948" s="472"/>
      <c r="O948" s="472"/>
      <c r="P948" s="442"/>
      <c r="Q948" s="442"/>
      <c r="R948" s="443"/>
      <c r="S948" s="364"/>
      <c r="Z948" s="609" t="s">
        <v>518</v>
      </c>
      <c r="AA948" s="609" t="s">
        <v>5652</v>
      </c>
    </row>
    <row r="949" spans="1:29" ht="18">
      <c r="A949" s="2712"/>
      <c r="B949" s="371">
        <v>101.001</v>
      </c>
      <c r="C949" s="371"/>
      <c r="D949" s="2714">
        <f t="shared" si="83"/>
        <v>1</v>
      </c>
      <c r="E949" s="2719" t="s">
        <v>2939</v>
      </c>
      <c r="F949" s="294"/>
      <c r="G949" s="1472" t="s">
        <v>3123</v>
      </c>
      <c r="H949" s="2273"/>
      <c r="I949" s="2294"/>
      <c r="J949" s="438"/>
      <c r="K949" s="438"/>
      <c r="L949" s="442"/>
      <c r="M949" s="472"/>
      <c r="N949" s="472"/>
      <c r="O949" s="472"/>
      <c r="P949" s="442"/>
      <c r="Q949" s="442"/>
      <c r="R949" s="443"/>
      <c r="S949" s="364"/>
      <c r="Z949" s="609" t="s">
        <v>518</v>
      </c>
      <c r="AA949" s="609" t="s">
        <v>5652</v>
      </c>
    </row>
    <row r="950" spans="1:29" ht="18">
      <c r="A950" s="2712"/>
      <c r="B950" s="371">
        <v>101.002</v>
      </c>
      <c r="C950" s="371"/>
      <c r="D950" s="2714">
        <f t="shared" si="83"/>
        <v>1</v>
      </c>
      <c r="E950" s="2719" t="s">
        <v>2939</v>
      </c>
      <c r="F950" s="294"/>
      <c r="G950" s="1472" t="s">
        <v>3124</v>
      </c>
      <c r="H950" s="2273"/>
      <c r="I950" s="2294"/>
      <c r="J950" s="438"/>
      <c r="K950" s="438"/>
      <c r="L950" s="442"/>
      <c r="M950" s="472"/>
      <c r="N950" s="472"/>
      <c r="O950" s="472"/>
      <c r="P950" s="442"/>
      <c r="Q950" s="442"/>
      <c r="R950" s="443"/>
      <c r="S950" s="364"/>
      <c r="Z950" s="609" t="s">
        <v>518</v>
      </c>
      <c r="AA950" s="609" t="s">
        <v>5652</v>
      </c>
    </row>
    <row r="951" spans="1:29" ht="18">
      <c r="A951" s="2712"/>
      <c r="B951" s="371">
        <v>101.003</v>
      </c>
      <c r="C951" s="371" t="s">
        <v>2791</v>
      </c>
      <c r="D951" s="2714">
        <f t="shared" si="83"/>
        <v>0</v>
      </c>
      <c r="E951" s="2719" t="s">
        <v>2939</v>
      </c>
      <c r="F951" s="294"/>
      <c r="G951" s="2282" t="s">
        <v>2792</v>
      </c>
      <c r="H951" s="2273"/>
      <c r="I951" s="2294"/>
      <c r="J951" s="438"/>
      <c r="K951" s="438"/>
      <c r="L951" s="442"/>
      <c r="M951" s="472"/>
      <c r="N951" s="472"/>
      <c r="O951" s="472"/>
      <c r="P951" s="442"/>
      <c r="Q951" s="442"/>
      <c r="R951" s="443"/>
      <c r="S951" s="364"/>
      <c r="Z951" s="609" t="s">
        <v>518</v>
      </c>
      <c r="AA951" s="609" t="s">
        <v>5652</v>
      </c>
    </row>
    <row r="952" spans="1:29" ht="18">
      <c r="A952" s="2712"/>
      <c r="B952" s="371">
        <v>101.004</v>
      </c>
      <c r="C952" s="371" t="s">
        <v>2791</v>
      </c>
      <c r="D952" s="2714">
        <f t="shared" si="83"/>
        <v>0</v>
      </c>
      <c r="E952" s="2719" t="s">
        <v>2939</v>
      </c>
      <c r="F952" s="294"/>
      <c r="G952" s="2282" t="s">
        <v>2792</v>
      </c>
      <c r="H952" s="2273"/>
      <c r="I952" s="2294"/>
      <c r="J952" s="438"/>
      <c r="K952" s="438"/>
      <c r="L952" s="442"/>
      <c r="M952" s="472"/>
      <c r="N952" s="472"/>
      <c r="O952" s="472"/>
      <c r="P952" s="442"/>
      <c r="Q952" s="442"/>
      <c r="R952" s="443"/>
      <c r="S952" s="364"/>
      <c r="Z952" s="609" t="s">
        <v>518</v>
      </c>
      <c r="AA952" s="609" t="s">
        <v>5652</v>
      </c>
    </row>
    <row r="953" spans="1:29" ht="18">
      <c r="A953" s="2712"/>
      <c r="B953" s="371">
        <v>102</v>
      </c>
      <c r="C953" s="371" t="s">
        <v>2793</v>
      </c>
      <c r="D953" s="2714">
        <f t="shared" si="83"/>
        <v>1</v>
      </c>
      <c r="E953" s="2719">
        <v>1</v>
      </c>
      <c r="F953" s="294"/>
      <c r="G953" s="1472" t="s">
        <v>2939</v>
      </c>
      <c r="H953" s="1474">
        <f>SUMIF($E$947:$E$954,$G953,H$947:H$954)</f>
        <v>0</v>
      </c>
      <c r="I953" s="1475">
        <f>SUMIF($E$947:$E$954,$G953,I$947:I$954)</f>
        <v>76153.320000000007</v>
      </c>
      <c r="J953" s="517"/>
      <c r="K953" s="517"/>
      <c r="L953" s="442"/>
      <c r="M953" s="472"/>
      <c r="N953" s="472"/>
      <c r="O953" s="472"/>
      <c r="P953" s="442"/>
      <c r="Q953" s="442"/>
      <c r="R953" s="443"/>
      <c r="S953" s="364"/>
      <c r="Z953" s="609" t="s">
        <v>518</v>
      </c>
      <c r="AA953" s="609" t="s">
        <v>5652</v>
      </c>
    </row>
    <row r="954" spans="1:29" ht="18">
      <c r="A954" s="2712"/>
      <c r="B954" s="371">
        <v>103</v>
      </c>
      <c r="C954" s="371" t="s">
        <v>2791</v>
      </c>
      <c r="D954" s="2714">
        <f t="shared" si="83"/>
        <v>1</v>
      </c>
      <c r="E954" s="2719">
        <v>-1</v>
      </c>
      <c r="F954" s="294"/>
      <c r="G954" s="2282" t="s">
        <v>2945</v>
      </c>
      <c r="H954" s="2273"/>
      <c r="I954" s="2294"/>
      <c r="J954" s="438"/>
      <c r="K954" s="438"/>
      <c r="L954" s="442"/>
      <c r="M954" s="472"/>
      <c r="N954" s="472"/>
      <c r="O954" s="472"/>
      <c r="P954" s="442"/>
      <c r="Q954" s="442"/>
      <c r="R954" s="443"/>
      <c r="S954" s="364"/>
      <c r="Z954" s="609" t="s">
        <v>518</v>
      </c>
      <c r="AA954" s="609" t="s">
        <v>5652</v>
      </c>
    </row>
    <row r="955" spans="1:29" ht="18.75" thickBot="1">
      <c r="A955" s="2712"/>
      <c r="B955" s="371"/>
      <c r="C955" s="371"/>
      <c r="D955" s="2714">
        <f t="shared" si="83"/>
        <v>1</v>
      </c>
      <c r="E955" s="2719" t="s">
        <v>2751</v>
      </c>
      <c r="F955" s="294"/>
      <c r="G955" s="374" t="s">
        <v>2752</v>
      </c>
      <c r="H955" s="1476">
        <f>SUMPRODUCT($E947:$E954,H947:H954)</f>
        <v>0</v>
      </c>
      <c r="I955" s="1477">
        <f>SUMPRODUCT($E947:$E954,I947:I954)</f>
        <v>76153.320000000007</v>
      </c>
      <c r="J955" s="1595" t="str">
        <f ca="1">HYPERLINK("#'"&amp;$G$1&amp;"'!"&amp;ADDRESS(ROW(Notes!L938),COLUMN(Notes!L938),4),"* 请勿删除此行！点击往勾稽单元格，F5+Enter返回")</f>
        <v>* 请勿删除此行！点击往勾稽单元格，F5+Enter返回</v>
      </c>
      <c r="K955" s="440"/>
      <c r="L955" s="442"/>
      <c r="M955" s="472"/>
      <c r="N955" s="472"/>
      <c r="O955" s="472"/>
      <c r="P955" s="442"/>
      <c r="Q955" s="442"/>
      <c r="R955" s="443"/>
      <c r="S955" s="364"/>
      <c r="Z955" s="609" t="s">
        <v>518</v>
      </c>
      <c r="AA955" s="609" t="s">
        <v>5652</v>
      </c>
      <c r="AC955" s="369" t="s">
        <v>2794</v>
      </c>
    </row>
    <row r="956" spans="1:29" ht="18">
      <c r="A956" s="2712"/>
      <c r="B956" s="371"/>
      <c r="C956" s="371" t="s">
        <v>2755</v>
      </c>
      <c r="D956" s="371"/>
      <c r="F956" s="294"/>
      <c r="G956" s="301"/>
      <c r="H956" s="315"/>
      <c r="I956" s="315"/>
      <c r="J956" s="438"/>
      <c r="K956" s="438"/>
      <c r="L956" s="472"/>
      <c r="M956" s="472"/>
      <c r="N956" s="472"/>
      <c r="O956" s="472"/>
      <c r="P956" s="442"/>
      <c r="Q956" s="442"/>
      <c r="R956" s="443"/>
      <c r="S956" s="364"/>
      <c r="Z956" s="609" t="s">
        <v>518</v>
      </c>
      <c r="AA956" s="609" t="s">
        <v>5652</v>
      </c>
    </row>
    <row r="957" spans="1:29" ht="24">
      <c r="A957" s="2712" t="s">
        <v>522</v>
      </c>
      <c r="B957" s="371">
        <v>2</v>
      </c>
      <c r="C957" s="371"/>
      <c r="D957" s="2714" t="str">
        <f>VLOOKUP($A957,Sheet_NoteList,2,0)</f>
        <v>期末重要的逾期应收利息</v>
      </c>
      <c r="E957" s="2714" t="s">
        <v>2742</v>
      </c>
      <c r="F957" s="294"/>
      <c r="G957" s="372" t="str">
        <f>"("&amp;B957&amp;")"&amp;D957</f>
        <v>(2)期末重要的逾期应收利息</v>
      </c>
      <c r="H957" s="1515" t="str">
        <f>$A957</f>
        <v>1132b</v>
      </c>
      <c r="I957" s="343" t="s">
        <v>2743</v>
      </c>
      <c r="J957" s="301" t="s">
        <v>2744</v>
      </c>
      <c r="K957" s="2208">
        <f>H965</f>
        <v>0</v>
      </c>
      <c r="L957" s="345"/>
      <c r="M957" s="301"/>
      <c r="N957" s="3083"/>
      <c r="O957" s="315"/>
      <c r="P957" s="301"/>
      <c r="Q957" s="290" t="str">
        <f>IF($I957="不适用","",IF(ROUND(SUM($H$960:$K$965),2)=0,"请输入",""))</f>
        <v>请输入</v>
      </c>
      <c r="S957" s="364"/>
      <c r="Z957" s="609" t="s">
        <v>518</v>
      </c>
      <c r="AA957" s="609" t="s">
        <v>5652</v>
      </c>
    </row>
    <row r="958" spans="1:29" ht="0.75" customHeight="1" thickBot="1">
      <c r="A958" s="2712"/>
      <c r="B958" s="371"/>
      <c r="C958" s="371"/>
      <c r="D958" s="371"/>
      <c r="E958" s="586"/>
      <c r="F958" s="518"/>
      <c r="G958" s="518" t="s">
        <v>3125</v>
      </c>
      <c r="H958" s="304" t="s">
        <v>2747</v>
      </c>
      <c r="I958" s="304" t="s">
        <v>3126</v>
      </c>
      <c r="J958" s="304" t="s">
        <v>3127</v>
      </c>
      <c r="K958" s="304" t="s">
        <v>3128</v>
      </c>
      <c r="L958" s="291"/>
      <c r="M958" s="291"/>
      <c r="S958" s="364"/>
      <c r="Z958" s="609" t="s">
        <v>518</v>
      </c>
      <c r="AA958" s="609" t="s">
        <v>5652</v>
      </c>
    </row>
    <row r="959" spans="1:29" ht="24">
      <c r="A959" s="2712"/>
      <c r="B959" s="371"/>
      <c r="C959" s="371"/>
      <c r="D959" s="371"/>
      <c r="E959" s="586" t="s">
        <v>2749</v>
      </c>
      <c r="F959" s="363"/>
      <c r="G959" s="2226" t="s">
        <v>1545</v>
      </c>
      <c r="H959" s="2280" t="str">
        <f>$W$2&amp;"余额"</f>
        <v>2019年12月31日余额</v>
      </c>
      <c r="I959" s="2280" t="s">
        <v>3129</v>
      </c>
      <c r="J959" s="2280" t="s">
        <v>3130</v>
      </c>
      <c r="K959" s="2544" t="s">
        <v>6125</v>
      </c>
      <c r="L959" s="355" t="s">
        <v>5271</v>
      </c>
      <c r="M959" s="291"/>
      <c r="S959" s="364"/>
      <c r="Z959" s="609" t="s">
        <v>518</v>
      </c>
      <c r="AA959" s="609" t="s">
        <v>5652</v>
      </c>
    </row>
    <row r="960" spans="1:29" ht="18">
      <c r="A960" s="2712"/>
      <c r="B960" s="371">
        <v>101</v>
      </c>
      <c r="C960" s="371" t="s">
        <v>2791</v>
      </c>
      <c r="D960" s="2714">
        <f t="shared" ref="D960:D965" si="84">IF(OR(G960="*",G960="",G960=0),0,COUNTIF($G$960:$G$965,G960))</f>
        <v>0</v>
      </c>
      <c r="E960" s="2719">
        <v>1</v>
      </c>
      <c r="F960" s="294"/>
      <c r="G960" s="2282" t="s">
        <v>2792</v>
      </c>
      <c r="H960" s="2273"/>
      <c r="I960" s="2296"/>
      <c r="J960" s="2296"/>
      <c r="K960" s="2274"/>
      <c r="L960" s="291"/>
      <c r="M960" s="291"/>
      <c r="S960" s="364"/>
      <c r="Z960" s="609" t="s">
        <v>518</v>
      </c>
      <c r="AA960" s="609" t="s">
        <v>5652</v>
      </c>
    </row>
    <row r="961" spans="1:29" ht="18">
      <c r="A961" s="2712"/>
      <c r="B961" s="371">
        <v>102</v>
      </c>
      <c r="C961" s="371" t="s">
        <v>2791</v>
      </c>
      <c r="D961" s="2714">
        <f t="shared" si="84"/>
        <v>0</v>
      </c>
      <c r="E961" s="2719">
        <v>1</v>
      </c>
      <c r="F961" s="294"/>
      <c r="G961" s="2282" t="s">
        <v>2792</v>
      </c>
      <c r="H961" s="2273"/>
      <c r="I961" s="2296"/>
      <c r="J961" s="2296"/>
      <c r="K961" s="2274"/>
      <c r="L961" s="291"/>
      <c r="M961" s="291"/>
      <c r="S961" s="364"/>
      <c r="Z961" s="609" t="s">
        <v>518</v>
      </c>
      <c r="AA961" s="609" t="s">
        <v>5652</v>
      </c>
    </row>
    <row r="962" spans="1:29" ht="18">
      <c r="A962" s="2712"/>
      <c r="B962" s="371">
        <v>103</v>
      </c>
      <c r="C962" s="371" t="s">
        <v>2791</v>
      </c>
      <c r="D962" s="2714">
        <f t="shared" si="84"/>
        <v>0</v>
      </c>
      <c r="E962" s="2719">
        <v>1</v>
      </c>
      <c r="F962" s="294"/>
      <c r="G962" s="2282" t="s">
        <v>2792</v>
      </c>
      <c r="H962" s="2273"/>
      <c r="I962" s="2296"/>
      <c r="J962" s="2296"/>
      <c r="K962" s="2274"/>
      <c r="L962" s="291"/>
      <c r="M962" s="291"/>
      <c r="S962" s="364"/>
      <c r="Z962" s="609" t="s">
        <v>518</v>
      </c>
      <c r="AA962" s="609" t="s">
        <v>5652</v>
      </c>
    </row>
    <row r="963" spans="1:29" ht="18">
      <c r="A963" s="2712"/>
      <c r="B963" s="371">
        <v>104</v>
      </c>
      <c r="C963" s="371" t="s">
        <v>2791</v>
      </c>
      <c r="D963" s="2714">
        <f t="shared" si="84"/>
        <v>0</v>
      </c>
      <c r="E963" s="2719">
        <v>1</v>
      </c>
      <c r="F963" s="294"/>
      <c r="G963" s="2282" t="s">
        <v>2792</v>
      </c>
      <c r="H963" s="2273"/>
      <c r="I963" s="2296"/>
      <c r="J963" s="2296"/>
      <c r="K963" s="2274"/>
      <c r="L963" s="291"/>
      <c r="M963" s="291"/>
      <c r="S963" s="364"/>
      <c r="Z963" s="609" t="s">
        <v>518</v>
      </c>
      <c r="AA963" s="609" t="s">
        <v>5652</v>
      </c>
    </row>
    <row r="964" spans="1:29" ht="18">
      <c r="A964" s="2712"/>
      <c r="B964" s="371">
        <v>105</v>
      </c>
      <c r="C964" s="371" t="s">
        <v>2791</v>
      </c>
      <c r="D964" s="2714">
        <f t="shared" si="84"/>
        <v>0</v>
      </c>
      <c r="E964" s="2719">
        <v>1</v>
      </c>
      <c r="F964" s="294"/>
      <c r="G964" s="2282" t="s">
        <v>2792</v>
      </c>
      <c r="H964" s="2273"/>
      <c r="I964" s="2296"/>
      <c r="J964" s="2296"/>
      <c r="K964" s="2274"/>
      <c r="L964" s="291"/>
      <c r="M964" s="291"/>
      <c r="S964" s="364"/>
      <c r="Z964" s="609" t="s">
        <v>518</v>
      </c>
      <c r="AA964" s="609" t="s">
        <v>5652</v>
      </c>
    </row>
    <row r="965" spans="1:29" ht="18.75" thickBot="1">
      <c r="A965" s="2712"/>
      <c r="B965" s="371"/>
      <c r="C965" s="371"/>
      <c r="D965" s="2714">
        <f t="shared" si="84"/>
        <v>1</v>
      </c>
      <c r="E965" s="2719" t="s">
        <v>2751</v>
      </c>
      <c r="F965" s="294"/>
      <c r="G965" s="374" t="s">
        <v>2752</v>
      </c>
      <c r="H965" s="1476">
        <f>SUMPRODUCT($E959:$E964,H959:H964)</f>
        <v>0</v>
      </c>
      <c r="I965" s="2259"/>
      <c r="J965" s="2259"/>
      <c r="K965" s="2258"/>
      <c r="L965" s="291"/>
      <c r="M965" s="291"/>
      <c r="S965" s="364"/>
      <c r="Z965" s="609" t="s">
        <v>518</v>
      </c>
      <c r="AA965" s="609" t="s">
        <v>5652</v>
      </c>
    </row>
    <row r="966" spans="1:29" ht="18">
      <c r="A966" s="2712"/>
      <c r="B966" s="371"/>
      <c r="C966" s="371" t="s">
        <v>2755</v>
      </c>
      <c r="D966" s="2714"/>
      <c r="E966" s="2719"/>
      <c r="F966" s="294"/>
      <c r="G966" s="301"/>
      <c r="H966" s="315"/>
      <c r="I966" s="393"/>
      <c r="J966" s="393"/>
      <c r="K966" s="393"/>
      <c r="L966" s="291"/>
      <c r="M966" s="291"/>
      <c r="S966" s="364"/>
      <c r="Z966" s="609" t="s">
        <v>518</v>
      </c>
      <c r="AA966" s="609" t="s">
        <v>5652</v>
      </c>
    </row>
    <row r="967" spans="1:29" ht="18">
      <c r="A967" s="2712">
        <v>1131</v>
      </c>
      <c r="B967" s="371">
        <v>9.1999999999999993</v>
      </c>
      <c r="C967" s="2714" t="str">
        <f>VLOOKUP($A967,Sheet_Items,2,0)</f>
        <v>应收股利</v>
      </c>
      <c r="D967" s="371"/>
      <c r="E967" s="2714" t="s">
        <v>2739</v>
      </c>
      <c r="F967" s="294"/>
      <c r="G967" s="305" t="str">
        <f>B967&amp;" "&amp;C967</f>
        <v>9.2 应收股利</v>
      </c>
      <c r="H967" s="306"/>
      <c r="I967" s="306"/>
      <c r="J967" s="306" t="s">
        <v>2740</v>
      </c>
      <c r="K967" s="341">
        <f>VLOOKUP($A967,Sheet_Trialbal,6,0)</f>
        <v>0</v>
      </c>
      <c r="L967" s="342"/>
      <c r="M967" s="306" t="s">
        <v>2741</v>
      </c>
      <c r="N967" s="341">
        <f>VLOOKUP($A967,Sheet_Trialbal,10,0)</f>
        <v>0</v>
      </c>
      <c r="O967" s="306"/>
      <c r="P967" s="301"/>
      <c r="S967" s="364"/>
      <c r="Z967" s="609" t="s">
        <v>528</v>
      </c>
      <c r="AA967" s="609" t="s">
        <v>5653</v>
      </c>
    </row>
    <row r="968" spans="1:29" ht="18">
      <c r="A968" s="2712" t="s">
        <v>526</v>
      </c>
      <c r="B968" s="371">
        <v>1</v>
      </c>
      <c r="C968" s="371"/>
      <c r="D968" s="2714" t="str">
        <f>VLOOKUP($A968,Sheet_NoteList,2,0)</f>
        <v>应收股利分类列示</v>
      </c>
      <c r="E968" s="2714" t="s">
        <v>2742</v>
      </c>
      <c r="F968" s="294"/>
      <c r="G968" s="307" t="str">
        <f>"("&amp;B968&amp;")"&amp;D968</f>
        <v>(1)应收股利分类列示</v>
      </c>
      <c r="H968" s="1515" t="str">
        <f>$A968</f>
        <v>1131a</v>
      </c>
      <c r="I968" s="343" t="s">
        <v>2743</v>
      </c>
      <c r="J968" s="301" t="s">
        <v>2744</v>
      </c>
      <c r="K968" s="2208">
        <f>H976</f>
        <v>0</v>
      </c>
      <c r="L968" s="345" t="str">
        <f>IF($I968="适用",IF(ROUND($K$967-K968,2)=0,"F/S",ROUND($K$967-K968,2)),"#N/A")</f>
        <v>F/S</v>
      </c>
      <c r="M968" s="301" t="s">
        <v>2745</v>
      </c>
      <c r="N968" s="2208">
        <f>I976</f>
        <v>0</v>
      </c>
      <c r="O968" s="345" t="str">
        <f>IF($I968="适用",IF(ROUND($N$967-N968,2)=0,"F/S",ROUND($N$967-N968,2)),"#N/A")</f>
        <v>F/S</v>
      </c>
      <c r="P968" s="301"/>
      <c r="Q968" s="290" t="str">
        <f ca="1">IF($I968="不适用","",IF(ROUND(SUM($H$971:$K$976),2)=0,"请输入",""))</f>
        <v>请输入</v>
      </c>
      <c r="S968" s="364"/>
      <c r="Z968" s="609" t="s">
        <v>528</v>
      </c>
      <c r="AA968" s="609" t="s">
        <v>5653</v>
      </c>
    </row>
    <row r="969" spans="1:29" ht="0.75" customHeight="1" thickBot="1">
      <c r="A969" s="2712"/>
      <c r="B969" s="371"/>
      <c r="C969" s="371"/>
      <c r="D969" s="371"/>
      <c r="E969" s="586"/>
      <c r="F969" s="586"/>
      <c r="G969" s="586" t="s">
        <v>3131</v>
      </c>
      <c r="H969" s="371" t="s">
        <v>2747</v>
      </c>
      <c r="I969" s="371" t="s">
        <v>2748</v>
      </c>
      <c r="J969" s="433"/>
      <c r="K969" s="433"/>
      <c r="L969" s="442"/>
      <c r="M969" s="472"/>
      <c r="N969" s="472"/>
      <c r="O969" s="472"/>
      <c r="P969" s="442"/>
      <c r="Q969" s="442"/>
      <c r="R969" s="443"/>
      <c r="S969" s="364"/>
      <c r="Z969" s="609" t="s">
        <v>528</v>
      </c>
      <c r="AA969" s="609" t="s">
        <v>5653</v>
      </c>
    </row>
    <row r="970" spans="1:29" ht="18">
      <c r="A970" s="2712"/>
      <c r="B970" s="371"/>
      <c r="C970" s="371"/>
      <c r="D970" s="371"/>
      <c r="E970" s="586" t="s">
        <v>2749</v>
      </c>
      <c r="F970" s="363"/>
      <c r="G970" s="2226" t="s">
        <v>5141</v>
      </c>
      <c r="H970" s="2223" t="str">
        <f>$V$2</f>
        <v>2019年12月31日</v>
      </c>
      <c r="I970" s="2224" t="str">
        <f>$V$3</f>
        <v>2018年12月31日</v>
      </c>
      <c r="J970" s="355" t="s">
        <v>5271</v>
      </c>
      <c r="K970" s="520"/>
      <c r="L970" s="472"/>
      <c r="M970" s="472"/>
      <c r="N970" s="472"/>
      <c r="O970" s="472"/>
      <c r="P970" s="442"/>
      <c r="Q970" s="442"/>
      <c r="R970" s="443"/>
      <c r="S970" s="364"/>
      <c r="Z970" s="609" t="s">
        <v>528</v>
      </c>
      <c r="AA970" s="609" t="s">
        <v>5653</v>
      </c>
    </row>
    <row r="971" spans="1:29" ht="18">
      <c r="A971" s="2712"/>
      <c r="B971" s="371">
        <v>101</v>
      </c>
      <c r="C971" s="371" t="s">
        <v>2791</v>
      </c>
      <c r="D971" s="2714">
        <f t="shared" ref="D971:D976" si="85">IF(OR(G971="*",G971="",G971=0),0,COUNTIF($G$971:$G$976,G971))</f>
        <v>0</v>
      </c>
      <c r="E971" s="2719" t="s">
        <v>2939</v>
      </c>
      <c r="F971" s="294"/>
      <c r="G971" s="2282" t="s">
        <v>2792</v>
      </c>
      <c r="H971" s="2273"/>
      <c r="I971" s="2294"/>
      <c r="J971" s="520"/>
      <c r="K971" s="520"/>
      <c r="L971" s="472"/>
      <c r="M971" s="472"/>
      <c r="N971" s="472"/>
      <c r="O971" s="472"/>
      <c r="P971" s="472"/>
      <c r="Q971" s="472"/>
      <c r="R971" s="524"/>
      <c r="S971" s="364"/>
      <c r="Z971" s="609" t="s">
        <v>528</v>
      </c>
      <c r="AA971" s="609" t="s">
        <v>5653</v>
      </c>
    </row>
    <row r="972" spans="1:29" ht="18">
      <c r="A972" s="2712"/>
      <c r="B972" s="371">
        <v>102</v>
      </c>
      <c r="C972" s="371" t="s">
        <v>2791</v>
      </c>
      <c r="D972" s="2714">
        <f t="shared" si="85"/>
        <v>0</v>
      </c>
      <c r="E972" s="2719" t="s">
        <v>2939</v>
      </c>
      <c r="F972" s="294"/>
      <c r="G972" s="2282" t="s">
        <v>2792</v>
      </c>
      <c r="H972" s="2273"/>
      <c r="I972" s="2294"/>
      <c r="J972" s="438"/>
      <c r="K972" s="438"/>
      <c r="L972" s="472"/>
      <c r="M972" s="472"/>
      <c r="N972" s="472"/>
      <c r="O972" s="472"/>
      <c r="P972" s="472"/>
      <c r="Q972" s="472"/>
      <c r="R972" s="524"/>
      <c r="S972" s="364"/>
      <c r="Z972" s="609" t="s">
        <v>528</v>
      </c>
      <c r="AA972" s="609" t="s">
        <v>5653</v>
      </c>
    </row>
    <row r="973" spans="1:29" ht="18">
      <c r="A973" s="2712"/>
      <c r="B973" s="371">
        <v>103</v>
      </c>
      <c r="C973" s="371" t="s">
        <v>2791</v>
      </c>
      <c r="D973" s="2714">
        <f t="shared" si="85"/>
        <v>0</v>
      </c>
      <c r="E973" s="2719" t="s">
        <v>2939</v>
      </c>
      <c r="F973" s="294"/>
      <c r="G973" s="2282" t="s">
        <v>2792</v>
      </c>
      <c r="H973" s="2273"/>
      <c r="I973" s="2294"/>
      <c r="J973" s="521"/>
      <c r="K973" s="438"/>
      <c r="L973" s="472"/>
      <c r="M973" s="472"/>
      <c r="N973" s="472"/>
      <c r="O973" s="472"/>
      <c r="P973" s="472"/>
      <c r="Q973" s="472"/>
      <c r="R973" s="524"/>
      <c r="S973" s="364"/>
      <c r="Z973" s="609" t="s">
        <v>528</v>
      </c>
      <c r="AA973" s="609" t="s">
        <v>5653</v>
      </c>
    </row>
    <row r="974" spans="1:29" ht="18">
      <c r="A974" s="2712"/>
      <c r="B974" s="371">
        <v>104</v>
      </c>
      <c r="C974" s="371" t="s">
        <v>2793</v>
      </c>
      <c r="D974" s="2714">
        <f t="shared" si="85"/>
        <v>1</v>
      </c>
      <c r="E974" s="2719">
        <v>1</v>
      </c>
      <c r="F974" s="294"/>
      <c r="G974" s="1472" t="s">
        <v>2939</v>
      </c>
      <c r="H974" s="1474">
        <f>SUMIF($E$970:$E$975,$G974,H$970:H$975)</f>
        <v>0</v>
      </c>
      <c r="I974" s="1475">
        <f>SUMIF($E$970:$E$975,$G974,I$970:I$975)</f>
        <v>0</v>
      </c>
      <c r="J974" s="520"/>
      <c r="K974" s="520"/>
      <c r="L974" s="472"/>
      <c r="M974" s="472"/>
      <c r="N974" s="472"/>
      <c r="O974" s="472"/>
      <c r="P974" s="472"/>
      <c r="Q974" s="472"/>
      <c r="R974" s="524"/>
      <c r="S974" s="364"/>
      <c r="Z974" s="609" t="s">
        <v>528</v>
      </c>
      <c r="AA974" s="609" t="s">
        <v>5653</v>
      </c>
    </row>
    <row r="975" spans="1:29" ht="18">
      <c r="A975" s="2712"/>
      <c r="B975" s="371">
        <v>105</v>
      </c>
      <c r="C975" s="371" t="s">
        <v>2791</v>
      </c>
      <c r="D975" s="2714">
        <f t="shared" si="85"/>
        <v>1</v>
      </c>
      <c r="E975" s="2719">
        <v>-1</v>
      </c>
      <c r="F975" s="294"/>
      <c r="G975" s="2282" t="s">
        <v>2945</v>
      </c>
      <c r="H975" s="2273"/>
      <c r="I975" s="2294"/>
      <c r="J975" s="438"/>
      <c r="K975" s="438"/>
      <c r="L975" s="472"/>
      <c r="M975" s="472"/>
      <c r="N975" s="472"/>
      <c r="O975" s="472"/>
      <c r="P975" s="472"/>
      <c r="Q975" s="472"/>
      <c r="R975" s="524"/>
      <c r="S975" s="364"/>
      <c r="Z975" s="609" t="s">
        <v>528</v>
      </c>
      <c r="AA975" s="609" t="s">
        <v>5653</v>
      </c>
    </row>
    <row r="976" spans="1:29" ht="18.75" thickBot="1">
      <c r="A976" s="2712"/>
      <c r="B976" s="371"/>
      <c r="C976" s="371"/>
      <c r="D976" s="2714">
        <f t="shared" si="85"/>
        <v>1</v>
      </c>
      <c r="E976" s="2719" t="s">
        <v>2751</v>
      </c>
      <c r="F976" s="294"/>
      <c r="G976" s="374" t="s">
        <v>2752</v>
      </c>
      <c r="H976" s="1476">
        <f>SUMPRODUCT($E970:$E975,H970:H975)</f>
        <v>0</v>
      </c>
      <c r="I976" s="1477">
        <f>SUMPRODUCT($E970:$E975,I970:I975)</f>
        <v>0</v>
      </c>
      <c r="J976" s="1595" t="str">
        <f ca="1">HYPERLINK("#'"&amp;$G$1&amp;"'!"&amp;ADDRESS(ROW(Notes!L939),COLUMN(Notes!L939),4),"* 请勿删除此行！点击往勾稽单元格，F5+Enter返回")</f>
        <v>* 请勿删除此行！点击往勾稽单元格，F5+Enter返回</v>
      </c>
      <c r="K976" s="498"/>
      <c r="L976" s="472"/>
      <c r="M976" s="472"/>
      <c r="N976" s="472"/>
      <c r="O976" s="472"/>
      <c r="P976" s="442"/>
      <c r="Q976" s="442"/>
      <c r="R976" s="443"/>
      <c r="S976" s="364"/>
      <c r="Z976" s="609" t="s">
        <v>528</v>
      </c>
      <c r="AA976" s="609" t="s">
        <v>5653</v>
      </c>
      <c r="AC976" s="369" t="s">
        <v>2794</v>
      </c>
    </row>
    <row r="977" spans="1:27" ht="18">
      <c r="A977" s="2712"/>
      <c r="B977" s="371"/>
      <c r="C977" s="371" t="s">
        <v>2755</v>
      </c>
      <c r="D977" s="371"/>
      <c r="F977" s="294"/>
      <c r="G977" s="301"/>
      <c r="H977" s="315"/>
      <c r="I977" s="315"/>
      <c r="J977" s="438"/>
      <c r="K977" s="438"/>
      <c r="L977" s="472"/>
      <c r="M977" s="472"/>
      <c r="N977" s="472"/>
      <c r="O977" s="472"/>
      <c r="P977" s="442"/>
      <c r="Q977" s="442"/>
      <c r="R977" s="443"/>
      <c r="S977" s="364"/>
      <c r="Z977" s="609" t="s">
        <v>528</v>
      </c>
      <c r="AA977" s="609" t="s">
        <v>5653</v>
      </c>
    </row>
    <row r="978" spans="1:27" ht="24">
      <c r="A978" s="2712" t="s">
        <v>532</v>
      </c>
      <c r="B978" s="371">
        <v>2</v>
      </c>
      <c r="C978" s="371"/>
      <c r="D978" s="2714" t="str">
        <f>VLOOKUP($A978,Sheet_NoteList,2,0)</f>
        <v>期末重要的账龄超过1年的应收股利</v>
      </c>
      <c r="E978" s="2714" t="s">
        <v>2742</v>
      </c>
      <c r="F978" s="294"/>
      <c r="G978" s="372" t="str">
        <f>"("&amp;B978&amp;")"&amp;D978</f>
        <v>(2)期末重要的账龄超过1年的应收股利</v>
      </c>
      <c r="H978" s="1515" t="str">
        <f>$A978</f>
        <v>1131b</v>
      </c>
      <c r="I978" s="343" t="s">
        <v>2743</v>
      </c>
      <c r="J978" s="301" t="s">
        <v>2744</v>
      </c>
      <c r="K978" s="2208">
        <f>H986</f>
        <v>0</v>
      </c>
      <c r="L978" s="345"/>
      <c r="M978" s="301"/>
      <c r="N978" s="391"/>
      <c r="O978" s="345"/>
      <c r="P978" s="301"/>
      <c r="Q978" s="290" t="str">
        <f>IF($I978="不适用","",IF(ROUND(SUM($H$981:$K$986),2)=0,"请输入",""))</f>
        <v>请输入</v>
      </c>
      <c r="S978" s="364"/>
      <c r="Z978" s="609" t="s">
        <v>528</v>
      </c>
      <c r="AA978" s="609" t="s">
        <v>5653</v>
      </c>
    </row>
    <row r="979" spans="1:27" ht="0.75" customHeight="1" thickBot="1">
      <c r="A979" s="2712"/>
      <c r="B979" s="371"/>
      <c r="C979" s="371"/>
      <c r="D979" s="371"/>
      <c r="E979" s="586"/>
      <c r="F979" s="518"/>
      <c r="G979" s="518" t="s">
        <v>3132</v>
      </c>
      <c r="H979" s="304" t="s">
        <v>2747</v>
      </c>
      <c r="I979" s="304" t="s">
        <v>3133</v>
      </c>
      <c r="J979" s="304" t="s">
        <v>3134</v>
      </c>
      <c r="K979" s="304" t="s">
        <v>3128</v>
      </c>
      <c r="N979" s="291"/>
      <c r="O979" s="291"/>
      <c r="S979" s="364"/>
      <c r="Z979" s="609" t="s">
        <v>528</v>
      </c>
      <c r="AA979" s="609" t="s">
        <v>5653</v>
      </c>
    </row>
    <row r="980" spans="1:27" ht="24">
      <c r="A980" s="2712"/>
      <c r="B980" s="371"/>
      <c r="C980" s="371"/>
      <c r="D980" s="371"/>
      <c r="E980" s="586" t="s">
        <v>2749</v>
      </c>
      <c r="F980" s="363"/>
      <c r="G980" s="2226" t="s">
        <v>5141</v>
      </c>
      <c r="H980" s="2473" t="str">
        <f>$V$2</f>
        <v>2019年12月31日</v>
      </c>
      <c r="I980" s="2280" t="s">
        <v>2961</v>
      </c>
      <c r="J980" s="2280" t="s">
        <v>3135</v>
      </c>
      <c r="K980" s="417" t="s">
        <v>3136</v>
      </c>
      <c r="L980" s="355" t="s">
        <v>5271</v>
      </c>
      <c r="N980" s="291"/>
      <c r="O980" s="291"/>
      <c r="S980" s="364"/>
      <c r="Z980" s="609" t="s">
        <v>528</v>
      </c>
      <c r="AA980" s="609" t="s">
        <v>5653</v>
      </c>
    </row>
    <row r="981" spans="1:27" ht="18">
      <c r="A981" s="2712"/>
      <c r="B981" s="371">
        <v>101</v>
      </c>
      <c r="C981" s="371" t="s">
        <v>2791</v>
      </c>
      <c r="D981" s="2714">
        <f t="shared" ref="D981:D986" si="86">IF(OR(G981="*",G981="",G981=0),0,COUNTIF($G$981:$G$986,G981))</f>
        <v>0</v>
      </c>
      <c r="E981" s="2719">
        <v>1</v>
      </c>
      <c r="F981" s="294"/>
      <c r="G981" s="2282" t="s">
        <v>2792</v>
      </c>
      <c r="H981" s="2273"/>
      <c r="I981" s="2296"/>
      <c r="J981" s="2296"/>
      <c r="K981" s="2274"/>
      <c r="L981" s="291"/>
      <c r="M981" s="291"/>
      <c r="N981" s="291"/>
      <c r="O981" s="291"/>
      <c r="P981" s="291"/>
      <c r="Q981" s="367"/>
      <c r="R981" s="367"/>
      <c r="S981" s="364"/>
      <c r="Z981" s="609" t="s">
        <v>528</v>
      </c>
      <c r="AA981" s="609" t="s">
        <v>5653</v>
      </c>
    </row>
    <row r="982" spans="1:27" ht="18">
      <c r="A982" s="2712"/>
      <c r="B982" s="371">
        <v>102</v>
      </c>
      <c r="C982" s="371" t="s">
        <v>2791</v>
      </c>
      <c r="D982" s="2714">
        <f t="shared" si="86"/>
        <v>0</v>
      </c>
      <c r="E982" s="2719">
        <v>1</v>
      </c>
      <c r="F982" s="294"/>
      <c r="G982" s="2282" t="s">
        <v>2792</v>
      </c>
      <c r="H982" s="2273"/>
      <c r="I982" s="2296"/>
      <c r="J982" s="2296"/>
      <c r="K982" s="2274"/>
      <c r="L982" s="291"/>
      <c r="M982" s="291"/>
      <c r="N982" s="291"/>
      <c r="O982" s="291"/>
      <c r="P982" s="291"/>
      <c r="Q982" s="367"/>
      <c r="R982" s="367"/>
      <c r="S982" s="364"/>
      <c r="Z982" s="609" t="s">
        <v>528</v>
      </c>
      <c r="AA982" s="609" t="s">
        <v>5653</v>
      </c>
    </row>
    <row r="983" spans="1:27" ht="18">
      <c r="A983" s="2712"/>
      <c r="B983" s="371">
        <v>103</v>
      </c>
      <c r="C983" s="371" t="s">
        <v>2791</v>
      </c>
      <c r="D983" s="2714">
        <f t="shared" si="86"/>
        <v>0</v>
      </c>
      <c r="E983" s="2719">
        <v>1</v>
      </c>
      <c r="F983" s="294"/>
      <c r="G983" s="2282" t="s">
        <v>2792</v>
      </c>
      <c r="H983" s="2273"/>
      <c r="I983" s="2296"/>
      <c r="J983" s="2296"/>
      <c r="K983" s="2274"/>
      <c r="L983" s="291"/>
      <c r="M983" s="291"/>
      <c r="N983" s="291"/>
      <c r="O983" s="291"/>
      <c r="P983" s="291"/>
      <c r="Q983" s="367"/>
      <c r="R983" s="367"/>
      <c r="S983" s="364"/>
      <c r="Z983" s="609" t="s">
        <v>528</v>
      </c>
      <c r="AA983" s="609" t="s">
        <v>5653</v>
      </c>
    </row>
    <row r="984" spans="1:27" ht="18">
      <c r="A984" s="2712"/>
      <c r="B984" s="371">
        <v>104</v>
      </c>
      <c r="C984" s="371" t="s">
        <v>2791</v>
      </c>
      <c r="D984" s="2714">
        <f t="shared" si="86"/>
        <v>0</v>
      </c>
      <c r="E984" s="2719">
        <v>1</v>
      </c>
      <c r="F984" s="294"/>
      <c r="G984" s="2282" t="s">
        <v>2792</v>
      </c>
      <c r="H984" s="2273"/>
      <c r="I984" s="2296"/>
      <c r="J984" s="2296"/>
      <c r="K984" s="2274"/>
      <c r="L984" s="291"/>
      <c r="M984" s="291"/>
      <c r="N984" s="291"/>
      <c r="O984" s="291"/>
      <c r="P984" s="291"/>
      <c r="Q984" s="367"/>
      <c r="R984" s="367"/>
      <c r="S984" s="364"/>
      <c r="Z984" s="609" t="s">
        <v>528</v>
      </c>
      <c r="AA984" s="609" t="s">
        <v>5653</v>
      </c>
    </row>
    <row r="985" spans="1:27" ht="18">
      <c r="A985" s="2712"/>
      <c r="B985" s="371">
        <v>105</v>
      </c>
      <c r="C985" s="371" t="s">
        <v>2791</v>
      </c>
      <c r="D985" s="2714">
        <f t="shared" si="86"/>
        <v>0</v>
      </c>
      <c r="E985" s="2719">
        <v>1</v>
      </c>
      <c r="F985" s="294"/>
      <c r="G985" s="2282" t="s">
        <v>2792</v>
      </c>
      <c r="H985" s="2273"/>
      <c r="I985" s="2296"/>
      <c r="J985" s="2296"/>
      <c r="K985" s="2274"/>
      <c r="L985" s="291"/>
      <c r="M985" s="291"/>
      <c r="N985" s="291"/>
      <c r="O985" s="291"/>
      <c r="P985" s="291"/>
      <c r="Q985" s="367"/>
      <c r="R985" s="367"/>
      <c r="S985" s="364"/>
      <c r="Z985" s="609" t="s">
        <v>528</v>
      </c>
      <c r="AA985" s="609" t="s">
        <v>5653</v>
      </c>
    </row>
    <row r="986" spans="1:27" ht="18.75" thickBot="1">
      <c r="A986" s="2712"/>
      <c r="B986" s="371"/>
      <c r="C986" s="371"/>
      <c r="D986" s="2714">
        <f t="shared" si="86"/>
        <v>1</v>
      </c>
      <c r="E986" s="2719" t="s">
        <v>2751</v>
      </c>
      <c r="F986" s="294"/>
      <c r="G986" s="374" t="s">
        <v>2752</v>
      </c>
      <c r="H986" s="1476">
        <f>SUMPRODUCT($E980:$E985,H980:H985)</f>
        <v>0</v>
      </c>
      <c r="I986" s="2259"/>
      <c r="J986" s="2259"/>
      <c r="K986" s="2258"/>
      <c r="N986" s="291"/>
      <c r="O986" s="291"/>
      <c r="S986" s="364"/>
      <c r="Z986" s="609" t="s">
        <v>528</v>
      </c>
      <c r="AA986" s="609" t="s">
        <v>5653</v>
      </c>
    </row>
    <row r="987" spans="1:27" ht="18">
      <c r="A987" s="2712"/>
      <c r="B987" s="371"/>
      <c r="C987" s="371" t="s">
        <v>2755</v>
      </c>
      <c r="D987" s="371"/>
      <c r="F987" s="294"/>
      <c r="G987" s="301"/>
      <c r="H987" s="315"/>
      <c r="I987" s="393"/>
      <c r="J987" s="393"/>
      <c r="K987" s="393"/>
      <c r="L987" s="350"/>
      <c r="M987" s="350"/>
      <c r="N987" s="291"/>
      <c r="O987" s="291"/>
      <c r="S987" s="364"/>
      <c r="Z987" s="609" t="s">
        <v>528</v>
      </c>
      <c r="AA987" s="609" t="s">
        <v>5653</v>
      </c>
    </row>
    <row r="988" spans="1:27" ht="18">
      <c r="A988" s="2712">
        <v>1221</v>
      </c>
      <c r="B988" s="371">
        <v>9.3000000000000007</v>
      </c>
      <c r="C988" s="2714" t="str">
        <f>VLOOKUP($A988,Sheet_Items,2,0)</f>
        <v>其他应收款</v>
      </c>
      <c r="D988" s="371"/>
      <c r="E988" s="2714" t="s">
        <v>2739</v>
      </c>
      <c r="F988" s="294"/>
      <c r="G988" s="305" t="str">
        <f>B988&amp;" "&amp;C988</f>
        <v>9.3 其他应收款</v>
      </c>
      <c r="H988" s="306"/>
      <c r="I988" s="306"/>
      <c r="J988" s="306" t="s">
        <v>2740</v>
      </c>
      <c r="K988" s="341">
        <f>VLOOKUP($A988,Sheet_Trialbal,6,0)</f>
        <v>8760929.7400000002</v>
      </c>
      <c r="L988" s="342"/>
      <c r="M988" s="306" t="s">
        <v>2741</v>
      </c>
      <c r="N988" s="341">
        <f>VLOOKUP($A988,Sheet_Trialbal,10,0)</f>
        <v>1111613.68</v>
      </c>
      <c r="O988" s="306"/>
      <c r="P988" s="301"/>
      <c r="S988" s="364"/>
      <c r="Z988" s="609" t="s">
        <v>540</v>
      </c>
      <c r="AA988" s="609" t="s">
        <v>3137</v>
      </c>
    </row>
    <row r="989" spans="1:27" ht="18">
      <c r="A989" s="2712" t="s">
        <v>538</v>
      </c>
      <c r="B989" s="371">
        <v>1</v>
      </c>
      <c r="C989" s="371"/>
      <c r="D989" s="2714" t="str">
        <f>VLOOKUP($A989,Sheet_NoteList,2,0)</f>
        <v>其他应收款按账龄披露</v>
      </c>
      <c r="E989" s="2714" t="s">
        <v>2742</v>
      </c>
      <c r="F989" s="293"/>
      <c r="G989" s="372" t="str">
        <f>"("&amp;B989&amp;")"&amp;D989</f>
        <v>(1)其他应收款按账龄披露</v>
      </c>
      <c r="H989" s="1515" t="str">
        <f>$A989</f>
        <v>1221j</v>
      </c>
      <c r="I989" s="343" t="s">
        <v>2743</v>
      </c>
      <c r="J989" s="301" t="s">
        <v>2744</v>
      </c>
      <c r="K989" s="2208">
        <f>H1005</f>
        <v>8760929.7400000002</v>
      </c>
      <c r="L989" s="349" t="str">
        <f>IF($I989="适用",IF(ROUND(K$988-K989,2)=0,"F/S",ROUND(K$988-K989,2)),"#N/A")</f>
        <v>F/S</v>
      </c>
      <c r="M989" s="301" t="s">
        <v>2745</v>
      </c>
      <c r="N989" s="2208">
        <f>I1005</f>
        <v>1111613.68</v>
      </c>
      <c r="O989" s="349" t="str">
        <f>IF($I989="适用",IF(ROUND(N$988-N989,2)=0,"F/S",ROUND(N$988-N989,2)),"#N/A")</f>
        <v>F/S</v>
      </c>
      <c r="P989" s="301"/>
      <c r="S989" s="364"/>
      <c r="Z989" s="609" t="s">
        <v>540</v>
      </c>
      <c r="AA989" s="609" t="s">
        <v>3137</v>
      </c>
    </row>
    <row r="990" spans="1:27" ht="0.75" customHeight="1" thickBot="1">
      <c r="A990" s="2712"/>
      <c r="B990" s="371"/>
      <c r="C990" s="371"/>
      <c r="D990" s="2714"/>
      <c r="E990" s="586"/>
      <c r="F990" s="586"/>
      <c r="G990" s="2222" t="s">
        <v>3138</v>
      </c>
      <c r="H990" s="371" t="s">
        <v>2747</v>
      </c>
      <c r="I990" s="371" t="s">
        <v>2748</v>
      </c>
      <c r="J990" s="433"/>
      <c r="K990" s="428"/>
      <c r="L990" s="428"/>
      <c r="M990" s="433"/>
      <c r="N990" s="428"/>
      <c r="O990" s="428"/>
      <c r="P990" s="433"/>
      <c r="Q990" s="442"/>
      <c r="R990" s="443"/>
      <c r="S990" s="364"/>
      <c r="Z990" s="609" t="s">
        <v>540</v>
      </c>
      <c r="AA990" s="609" t="s">
        <v>3137</v>
      </c>
    </row>
    <row r="991" spans="1:27" ht="18">
      <c r="A991" s="2712"/>
      <c r="B991" s="371"/>
      <c r="C991" s="371"/>
      <c r="D991" s="2714"/>
      <c r="E991" s="586" t="s">
        <v>2749</v>
      </c>
      <c r="F991" s="414"/>
      <c r="G991" s="2287" t="s">
        <v>5135</v>
      </c>
      <c r="H991" s="2230" t="str">
        <f>$V$2</f>
        <v>2019年12月31日</v>
      </c>
      <c r="I991" s="2231" t="str">
        <f>$V$3</f>
        <v>2018年12月31日</v>
      </c>
      <c r="J991" s="355" t="s">
        <v>5271</v>
      </c>
      <c r="K991" s="434"/>
      <c r="L991" s="434"/>
      <c r="M991" s="435"/>
      <c r="N991" s="434"/>
      <c r="O991" s="434"/>
      <c r="P991" s="435"/>
      <c r="Q991" s="442"/>
      <c r="R991" s="443"/>
      <c r="S991" s="364"/>
      <c r="Z991" s="609" t="s">
        <v>540</v>
      </c>
      <c r="AA991" s="609" t="s">
        <v>3137</v>
      </c>
    </row>
    <row r="992" spans="1:27" ht="18">
      <c r="A992" s="2712"/>
      <c r="B992" s="371">
        <v>101</v>
      </c>
      <c r="C992" s="371"/>
      <c r="D992" s="2714">
        <f t="shared" ref="D992:D1005" si="87">IF(OR(G992="*",G992="",G992=0),0,COUNTIF($G$992:$G$1005,G992))</f>
        <v>1</v>
      </c>
      <c r="E992" s="2719" t="s">
        <v>6532</v>
      </c>
      <c r="F992" s="293"/>
      <c r="G992" s="1472" t="s">
        <v>2938</v>
      </c>
      <c r="H992" s="2273"/>
      <c r="I992" s="2294"/>
      <c r="J992" s="438"/>
      <c r="K992" s="439"/>
      <c r="L992" s="437"/>
      <c r="M992" s="438"/>
      <c r="N992" s="439"/>
      <c r="O992" s="437"/>
      <c r="P992" s="438"/>
      <c r="Q992" s="442"/>
      <c r="R992" s="443"/>
      <c r="S992" s="364"/>
      <c r="Z992" s="609" t="s">
        <v>540</v>
      </c>
      <c r="AA992" s="609" t="s">
        <v>3137</v>
      </c>
    </row>
    <row r="993" spans="1:29" ht="18">
      <c r="A993" s="2712"/>
      <c r="B993" s="371">
        <v>101.001</v>
      </c>
      <c r="C993" s="371" t="s">
        <v>2791</v>
      </c>
      <c r="D993" s="2714">
        <f t="shared" si="87"/>
        <v>1</v>
      </c>
      <c r="E993" s="2719" t="s">
        <v>2937</v>
      </c>
      <c r="F993" s="293"/>
      <c r="G993" s="2282" t="s">
        <v>5130</v>
      </c>
      <c r="H993" s="2273">
        <f>8649448.1+AJE!O182</f>
        <v>9455846.1600000001</v>
      </c>
      <c r="I993" s="2294">
        <v>3033557.88</v>
      </c>
      <c r="J993" s="355" t="s">
        <v>5131</v>
      </c>
      <c r="K993" s="439"/>
      <c r="L993" s="437"/>
      <c r="M993" s="438"/>
      <c r="N993" s="439"/>
      <c r="O993" s="437"/>
      <c r="P993" s="438"/>
      <c r="Q993" s="442"/>
      <c r="R993" s="443"/>
      <c r="S993" s="364"/>
      <c r="Z993" s="609" t="s">
        <v>540</v>
      </c>
      <c r="AA993" s="609" t="s">
        <v>3137</v>
      </c>
    </row>
    <row r="994" spans="1:29" ht="18">
      <c r="A994" s="2712"/>
      <c r="B994" s="371">
        <v>101.002</v>
      </c>
      <c r="C994" s="371" t="s">
        <v>2791</v>
      </c>
      <c r="D994" s="2714">
        <f t="shared" si="87"/>
        <v>0</v>
      </c>
      <c r="E994" s="2719"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8">
      <c r="A995" s="2712"/>
      <c r="B995" s="371">
        <v>101.003</v>
      </c>
      <c r="C995" s="371" t="s">
        <v>2791</v>
      </c>
      <c r="D995" s="2714">
        <f t="shared" si="87"/>
        <v>0</v>
      </c>
      <c r="E995" s="2719" t="s">
        <v>2937</v>
      </c>
      <c r="F995" s="293"/>
      <c r="G995" s="2282" t="s">
        <v>2792</v>
      </c>
      <c r="H995" s="2273"/>
      <c r="I995" s="2294"/>
      <c r="J995" s="438"/>
      <c r="K995" s="439"/>
      <c r="L995" s="437"/>
      <c r="M995" s="438"/>
      <c r="N995" s="439"/>
      <c r="O995" s="437"/>
      <c r="P995" s="438"/>
      <c r="Q995" s="442"/>
      <c r="R995" s="443"/>
      <c r="S995" s="364"/>
      <c r="Z995" s="609" t="s">
        <v>540</v>
      </c>
      <c r="AA995" s="609" t="s">
        <v>3137</v>
      </c>
    </row>
    <row r="996" spans="1:29" ht="18">
      <c r="A996" s="2712"/>
      <c r="B996" s="371">
        <v>101.999</v>
      </c>
      <c r="C996" s="371" t="s">
        <v>2793</v>
      </c>
      <c r="D996" s="2714">
        <f t="shared" si="87"/>
        <v>1</v>
      </c>
      <c r="E996" s="2719" t="s">
        <v>2939</v>
      </c>
      <c r="F996" s="293"/>
      <c r="G996" s="1472" t="s">
        <v>2937</v>
      </c>
      <c r="H996" s="1474">
        <f>SUMIF($E$991:$E$1004,$G996,H$991:H$1004)</f>
        <v>9455846.1600000001</v>
      </c>
      <c r="I996" s="1475">
        <f>SUMIF($E$991:$E$1004,$G996,I$991:I$1004)</f>
        <v>3033557.88</v>
      </c>
      <c r="J996" s="438"/>
      <c r="K996" s="439"/>
      <c r="L996" s="437"/>
      <c r="M996" s="438"/>
      <c r="N996" s="439"/>
      <c r="O996" s="437"/>
      <c r="P996" s="438"/>
      <c r="Q996" s="442"/>
      <c r="R996" s="443"/>
      <c r="S996" s="364"/>
      <c r="Z996" s="609" t="s">
        <v>540</v>
      </c>
      <c r="AA996" s="609" t="s">
        <v>3137</v>
      </c>
    </row>
    <row r="997" spans="1:29" ht="18">
      <c r="A997" s="2712"/>
      <c r="B997" s="371">
        <v>102</v>
      </c>
      <c r="C997" s="371"/>
      <c r="D997" s="2714">
        <f t="shared" si="87"/>
        <v>1</v>
      </c>
      <c r="E997" s="2719" t="s">
        <v>2939</v>
      </c>
      <c r="F997" s="293"/>
      <c r="G997" s="1472" t="s">
        <v>2940</v>
      </c>
      <c r="H997" s="2273">
        <v>2173193.14</v>
      </c>
      <c r="I997" s="2294">
        <v>78895.839999999997</v>
      </c>
      <c r="J997" s="438"/>
      <c r="K997" s="439"/>
      <c r="L997" s="437"/>
      <c r="M997" s="438"/>
      <c r="N997" s="439"/>
      <c r="O997" s="437"/>
      <c r="P997" s="438"/>
      <c r="Q997" s="442"/>
      <c r="R997" s="443"/>
      <c r="S997" s="364"/>
      <c r="Z997" s="609" t="s">
        <v>540</v>
      </c>
      <c r="AA997" s="609" t="s">
        <v>3137</v>
      </c>
    </row>
    <row r="998" spans="1:29" ht="18">
      <c r="A998" s="2712"/>
      <c r="B998" s="371">
        <v>102.001</v>
      </c>
      <c r="C998" s="371"/>
      <c r="D998" s="2714">
        <f t="shared" si="87"/>
        <v>1</v>
      </c>
      <c r="E998" s="2719" t="s">
        <v>2939</v>
      </c>
      <c r="F998" s="293"/>
      <c r="G998" s="1472" t="s">
        <v>2941</v>
      </c>
      <c r="H998" s="2273">
        <v>78008.84</v>
      </c>
      <c r="I998" s="2294">
        <v>54807.99</v>
      </c>
      <c r="J998" s="438"/>
      <c r="K998" s="439"/>
      <c r="L998" s="437"/>
      <c r="M998" s="438"/>
      <c r="N998" s="439"/>
      <c r="O998" s="437"/>
      <c r="P998" s="438"/>
      <c r="Q998" s="442"/>
      <c r="R998" s="443"/>
      <c r="S998" s="364"/>
      <c r="Z998" s="609" t="s">
        <v>540</v>
      </c>
      <c r="AA998" s="609" t="s">
        <v>3137</v>
      </c>
    </row>
    <row r="999" spans="1:29" ht="18">
      <c r="A999" s="2712"/>
      <c r="B999" s="371">
        <v>102.002</v>
      </c>
      <c r="C999" s="371" t="s">
        <v>2791</v>
      </c>
      <c r="D999" s="2714">
        <f t="shared" si="87"/>
        <v>1</v>
      </c>
      <c r="E999" s="2719" t="s">
        <v>2939</v>
      </c>
      <c r="F999" s="293"/>
      <c r="G999" s="2282" t="s">
        <v>2942</v>
      </c>
      <c r="H999" s="2273">
        <v>3706.99</v>
      </c>
      <c r="I999" s="2294">
        <v>511786</v>
      </c>
      <c r="J999" s="438"/>
      <c r="K999" s="439"/>
      <c r="L999" s="437"/>
      <c r="M999" s="438"/>
      <c r="N999" s="439"/>
      <c r="O999" s="437"/>
      <c r="P999" s="438"/>
      <c r="Q999" s="442"/>
      <c r="R999" s="443"/>
      <c r="S999" s="364"/>
      <c r="Z999" s="609" t="s">
        <v>540</v>
      </c>
      <c r="AA999" s="609" t="s">
        <v>3137</v>
      </c>
    </row>
    <row r="1000" spans="1:29" ht="18">
      <c r="A1000" s="2712"/>
      <c r="B1000" s="371">
        <v>102.003</v>
      </c>
      <c r="C1000" s="371" t="s">
        <v>2791</v>
      </c>
      <c r="D1000" s="2714">
        <f t="shared" si="87"/>
        <v>1</v>
      </c>
      <c r="E1000" s="2719" t="s">
        <v>2939</v>
      </c>
      <c r="F1000" s="293"/>
      <c r="G1000" s="2282" t="s">
        <v>2943</v>
      </c>
      <c r="H1000" s="2273">
        <v>511786</v>
      </c>
      <c r="I1000" s="2294">
        <v>1200</v>
      </c>
      <c r="J1000" s="438"/>
      <c r="K1000" s="439"/>
      <c r="L1000" s="437"/>
      <c r="M1000" s="438"/>
      <c r="N1000" s="439"/>
      <c r="O1000" s="437"/>
      <c r="P1000" s="438"/>
      <c r="Q1000" s="442"/>
      <c r="R1000" s="443"/>
      <c r="S1000" s="364"/>
      <c r="Z1000" s="609" t="s">
        <v>540</v>
      </c>
      <c r="AA1000" s="609" t="s">
        <v>3137</v>
      </c>
    </row>
    <row r="1001" spans="1:29" ht="18">
      <c r="A1001" s="2712"/>
      <c r="B1001" s="371">
        <v>102.004</v>
      </c>
      <c r="C1001" s="371" t="s">
        <v>2791</v>
      </c>
      <c r="D1001" s="2714">
        <f t="shared" si="87"/>
        <v>1</v>
      </c>
      <c r="E1001" s="2719" t="s">
        <v>2939</v>
      </c>
      <c r="F1001" s="293"/>
      <c r="G1001" s="2282" t="s">
        <v>2944</v>
      </c>
      <c r="H1001" s="2273">
        <v>2888731.34</v>
      </c>
      <c r="I1001" s="2294">
        <v>3527531.34</v>
      </c>
      <c r="J1001" s="438"/>
      <c r="K1001" s="439"/>
      <c r="L1001" s="437"/>
      <c r="M1001" s="438"/>
      <c r="N1001" s="439"/>
      <c r="O1001" s="437"/>
      <c r="P1001" s="438"/>
      <c r="Q1001" s="442"/>
      <c r="R1001" s="443"/>
      <c r="S1001" s="364"/>
      <c r="Z1001" s="609" t="s">
        <v>540</v>
      </c>
      <c r="AA1001" s="609" t="s">
        <v>3137</v>
      </c>
    </row>
    <row r="1002" spans="1:29" ht="18">
      <c r="A1002" s="2712"/>
      <c r="B1002" s="371">
        <v>102.005</v>
      </c>
      <c r="C1002" s="371" t="s">
        <v>6530</v>
      </c>
      <c r="D1002" s="2714">
        <f t="shared" si="87"/>
        <v>0</v>
      </c>
      <c r="E1002" s="2719" t="s">
        <v>2939</v>
      </c>
      <c r="F1002" s="293"/>
      <c r="G1002" s="2282" t="s">
        <v>2792</v>
      </c>
      <c r="H1002" s="2273"/>
      <c r="I1002" s="2294"/>
      <c r="J1002" s="438"/>
      <c r="K1002" s="439"/>
      <c r="L1002" s="437"/>
      <c r="M1002" s="438"/>
      <c r="N1002" s="439"/>
      <c r="O1002" s="437"/>
      <c r="P1002" s="438"/>
      <c r="Q1002" s="442"/>
      <c r="R1002" s="443"/>
      <c r="S1002" s="364"/>
      <c r="Z1002" s="609" t="s">
        <v>540</v>
      </c>
      <c r="AA1002" s="609" t="s">
        <v>3137</v>
      </c>
    </row>
    <row r="1003" spans="1:29" ht="18">
      <c r="A1003" s="2712"/>
      <c r="B1003" s="371">
        <v>102.999</v>
      </c>
      <c r="C1003" s="371" t="s">
        <v>2793</v>
      </c>
      <c r="D1003" s="2714">
        <f t="shared" si="87"/>
        <v>1</v>
      </c>
      <c r="E1003" s="2719">
        <v>1</v>
      </c>
      <c r="F1003" s="293"/>
      <c r="G1003" s="1472" t="s">
        <v>2939</v>
      </c>
      <c r="H1003" s="1474">
        <f>SUMIF($E$991:$E$1004,$G1003,H$991:H$1004)</f>
        <v>15111272.470000001</v>
      </c>
      <c r="I1003" s="1475">
        <f>SUMIF($E$991:$E$1004,$G1003,I$991:I$1004)</f>
        <v>7207779.0499999998</v>
      </c>
      <c r="J1003" s="1587" t="str">
        <f ca="1">HYPERLINK("#'"&amp;$G$1&amp;"'!"&amp;ADDRESS(ROW(Notes!H1038),COLUMN(Notes!H1038),4),"*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
      <c r="A1004" s="2712"/>
      <c r="B1004" s="371">
        <v>103</v>
      </c>
      <c r="C1004" s="371"/>
      <c r="D1004" s="2714">
        <f t="shared" si="87"/>
        <v>1</v>
      </c>
      <c r="E1004" s="2719">
        <v>-1</v>
      </c>
      <c r="F1004" s="293"/>
      <c r="G1004" s="1472" t="s">
        <v>2945</v>
      </c>
      <c r="H1004" s="2273">
        <v>6350342.7300000004</v>
      </c>
      <c r="I1004" s="2294">
        <v>6096165.3700000001</v>
      </c>
      <c r="J1004" s="1587" t="str">
        <f ca="1">HYPERLINK("#'"&amp;$G$1&amp;"'!"&amp;ADDRESS(ROW(Notes!I1038),COLUMN(Notes!I1038),4),"* 请勿删除此行！点击往勾稽单元格，F5+Enter返回")</f>
        <v>* 请勿删除此行！点击往勾稽单元格，F5+Enter返回</v>
      </c>
      <c r="K1004" s="439"/>
      <c r="L1004" s="437"/>
      <c r="M1004" s="438"/>
      <c r="N1004" s="439"/>
      <c r="O1004" s="437"/>
      <c r="P1004" s="438"/>
      <c r="Q1004" s="442"/>
      <c r="R1004" s="443"/>
      <c r="S1004" s="364"/>
      <c r="Z1004" s="609" t="s">
        <v>540</v>
      </c>
      <c r="AA1004" s="609" t="s">
        <v>3137</v>
      </c>
      <c r="AC1004" s="369" t="s">
        <v>2794</v>
      </c>
    </row>
    <row r="1005" spans="1:29" ht="18.75" thickBot="1">
      <c r="A1005" s="2712"/>
      <c r="B1005" s="371"/>
      <c r="C1005" s="371"/>
      <c r="D1005" s="2714">
        <f t="shared" si="87"/>
        <v>1</v>
      </c>
      <c r="E1005" s="2719" t="s">
        <v>2751</v>
      </c>
      <c r="F1005" s="293"/>
      <c r="G1005" s="2232" t="s">
        <v>5139</v>
      </c>
      <c r="H1005" s="2233">
        <f>SUMPRODUCT($E991:$E1004,H991:H1004)</f>
        <v>8760929.7400000002</v>
      </c>
      <c r="I1005" s="2234">
        <f>SUMPRODUCT($E991:$E1004,I991:I1004)</f>
        <v>1111613.68</v>
      </c>
      <c r="J1005" s="1595" t="str">
        <f ca="1">HYPERLINK("#'"&amp;$G$1&amp;"'!"&amp;ADDRESS(ROW(Notes!J1038),COLUMN(Notes!J1038),4),"* 请勿删除此行！点击往勾稽单元格，F5+Enter返回")</f>
        <v>* 请勿删除此行！点击往勾稽单元格，F5+Enter返回</v>
      </c>
      <c r="K1005" s="439"/>
      <c r="L1005" s="437"/>
      <c r="M1005" s="440"/>
      <c r="N1005" s="439"/>
      <c r="O1005" s="437"/>
      <c r="P1005" s="440"/>
      <c r="Q1005" s="442"/>
      <c r="R1005" s="443"/>
      <c r="S1005" s="364"/>
      <c r="Z1005" s="609" t="s">
        <v>540</v>
      </c>
      <c r="AA1005" s="609" t="s">
        <v>3137</v>
      </c>
      <c r="AC1005" s="369" t="s">
        <v>2794</v>
      </c>
    </row>
    <row r="1006" spans="1:29" ht="18.75" thickBot="1">
      <c r="A1006" s="2712"/>
      <c r="B1006" s="371"/>
      <c r="C1006" s="371" t="s">
        <v>2755</v>
      </c>
      <c r="D1006" s="2714"/>
      <c r="F1006" s="293"/>
      <c r="G1006" s="376"/>
      <c r="H1006" s="527" t="s">
        <v>3002</v>
      </c>
      <c r="I1006" s="2251" t="s">
        <v>3002</v>
      </c>
      <c r="J1006" s="425"/>
      <c r="K1006" s="426"/>
      <c r="L1006" s="427"/>
      <c r="M1006" s="425"/>
      <c r="N1006" s="426"/>
      <c r="O1006" s="427"/>
      <c r="P1006" s="425"/>
      <c r="Q1006" s="442"/>
      <c r="R1006" s="443"/>
      <c r="S1006" s="364"/>
      <c r="Z1006" s="609" t="s">
        <v>540</v>
      </c>
      <c r="AA1006" s="609" t="s">
        <v>3137</v>
      </c>
    </row>
    <row r="1007" spans="1:29" ht="18.75" thickTop="1">
      <c r="A1007" s="2712"/>
      <c r="B1007" s="371"/>
      <c r="C1007" s="371" t="s">
        <v>2565</v>
      </c>
      <c r="D1007" s="2714"/>
      <c r="F1007" s="293"/>
      <c r="G1007" s="1547" t="s">
        <v>5365</v>
      </c>
      <c r="H1007" s="1548" t="str">
        <f>G1014</f>
        <v>(2)其他应收款按款项性质分类情况</v>
      </c>
      <c r="I1007" s="1550"/>
      <c r="J1007" s="1551" t="s">
        <v>5366</v>
      </c>
      <c r="K1007" s="426"/>
      <c r="L1007" s="427"/>
      <c r="M1007" s="425"/>
      <c r="N1007" s="426"/>
      <c r="O1007" s="427"/>
      <c r="P1007" s="425"/>
      <c r="Q1007" s="442"/>
      <c r="R1007" s="442"/>
      <c r="S1007" s="364"/>
      <c r="Z1007" s="609" t="s">
        <v>540</v>
      </c>
      <c r="AA1007" s="609" t="s">
        <v>3137</v>
      </c>
    </row>
    <row r="1008" spans="1:29" ht="18">
      <c r="A1008" s="2712"/>
      <c r="B1008" s="371"/>
      <c r="C1008" s="371" t="s">
        <v>2565</v>
      </c>
      <c r="D1008" s="2714"/>
      <c r="F1008" s="293"/>
      <c r="G1008" s="604" t="str">
        <f>"注释A:"&amp; G1026</f>
        <v>注释A:合       计</v>
      </c>
      <c r="H1008" s="2250">
        <f ca="1">HYPERLINK("#'"&amp;$G$1&amp;"'!"&amp;ADDRESS(ROW(Notes!H1026),COLUMN(Notes!H1026),4),H1026)</f>
        <v>8760929.7400000002</v>
      </c>
      <c r="I1008" s="2250">
        <f ca="1">HYPERLINK("#'"&amp;$G$1&amp;"'!"&amp;ADDRESS(ROW(Notes!I1026),COLUMN(Notes!I1026),4),I1026)</f>
        <v>1111613.68</v>
      </c>
      <c r="J1008" s="2634" t="str">
        <f>H1014</f>
        <v>1221l</v>
      </c>
      <c r="K1008" s="426"/>
      <c r="L1008" s="427"/>
      <c r="M1008" s="425"/>
      <c r="N1008" s="426"/>
      <c r="O1008" s="427"/>
      <c r="P1008" s="425"/>
      <c r="Q1008" s="442"/>
      <c r="R1008" s="442"/>
      <c r="S1008" s="364"/>
      <c r="Z1008" s="609" t="s">
        <v>540</v>
      </c>
      <c r="AA1008" s="609" t="s">
        <v>3137</v>
      </c>
    </row>
    <row r="1009" spans="1:29" ht="18">
      <c r="A1009" s="2712"/>
      <c r="B1009" s="371"/>
      <c r="C1009" s="371" t="s">
        <v>2565</v>
      </c>
      <c r="D1009" s="2714"/>
      <c r="F1009" s="293"/>
      <c r="G1009" s="604" t="str">
        <f>"本注释B:"&amp; G1005</f>
        <v>本注释B:合       计</v>
      </c>
      <c r="H1009" s="456">
        <f>H1005</f>
        <v>8760929.7400000002</v>
      </c>
      <c r="I1009" s="456">
        <f>I1005</f>
        <v>1111613.68</v>
      </c>
      <c r="J1009" s="2637" t="s">
        <v>538</v>
      </c>
      <c r="K1009" s="426"/>
      <c r="L1009" s="427"/>
      <c r="M1009" s="425"/>
      <c r="N1009" s="426"/>
      <c r="O1009" s="427"/>
      <c r="P1009" s="425"/>
      <c r="Q1009" s="442"/>
      <c r="R1009" s="442"/>
      <c r="S1009" s="364"/>
      <c r="Z1009" s="609" t="s">
        <v>540</v>
      </c>
      <c r="AA1009" s="609" t="s">
        <v>3137</v>
      </c>
    </row>
    <row r="1010" spans="1:29" ht="18.75" thickBot="1">
      <c r="A1010" s="2712"/>
      <c r="B1010" s="371"/>
      <c r="C1010" s="371" t="s">
        <v>2565</v>
      </c>
      <c r="D1010" s="2714"/>
      <c r="F1010" s="293"/>
      <c r="G1010" s="1552" t="s">
        <v>2757</v>
      </c>
      <c r="H1010" s="1529">
        <f ca="1">IF(AND(H1008="",H1009=""),"",ROUND(H1008-H1009,2))</f>
        <v>0</v>
      </c>
      <c r="I1010" s="1529">
        <f ca="1">IF(AND(I1008="",I1009=""),"",ROUND(I1008-I1009,2))</f>
        <v>0</v>
      </c>
      <c r="J1010" s="1554"/>
      <c r="K1010" s="426"/>
      <c r="L1010" s="427"/>
      <c r="M1010" s="425"/>
      <c r="N1010" s="426"/>
      <c r="O1010" s="427"/>
      <c r="P1010" s="425"/>
      <c r="Q1010" s="442"/>
      <c r="R1010" s="442"/>
      <c r="S1010" s="364"/>
      <c r="Z1010" s="609" t="s">
        <v>540</v>
      </c>
      <c r="AA1010" s="609" t="s">
        <v>3137</v>
      </c>
    </row>
    <row r="1011" spans="1:29" ht="18.75" thickTop="1">
      <c r="A1011" s="2712"/>
      <c r="B1011" s="371"/>
      <c r="C1011" s="371" t="s">
        <v>2565</v>
      </c>
      <c r="D1011" s="2714"/>
      <c r="F1011" s="293"/>
      <c r="G1011" s="1543"/>
      <c r="H1011" s="459" t="str">
        <f ca="1">IF(OR(H1010=0,H1010=""),"√","？")</f>
        <v>√</v>
      </c>
      <c r="I1011" s="459" t="str">
        <f ca="1">IF(OR(I1010=0,I1010=""),"√","？")</f>
        <v>√</v>
      </c>
      <c r="J1011" s="1545"/>
      <c r="K1011" s="426"/>
      <c r="L1011" s="427"/>
      <c r="M1011" s="425"/>
      <c r="N1011" s="426"/>
      <c r="O1011" s="427"/>
      <c r="P1011" s="425"/>
      <c r="Q1011" s="442"/>
      <c r="R1011" s="442"/>
      <c r="S1011" s="364"/>
      <c r="Z1011" s="609" t="s">
        <v>540</v>
      </c>
      <c r="AA1011" s="609" t="s">
        <v>3137</v>
      </c>
    </row>
    <row r="1012" spans="1:29" ht="18">
      <c r="A1012" s="2712"/>
      <c r="B1012" s="371"/>
      <c r="C1012" s="371" t="s">
        <v>2565</v>
      </c>
      <c r="D1012" s="2714"/>
      <c r="F1012" s="293"/>
      <c r="G1012" s="1557" t="s">
        <v>2759</v>
      </c>
      <c r="H1012" s="461"/>
      <c r="I1012" s="461"/>
      <c r="J1012" s="1545"/>
      <c r="K1012" s="577">
        <f ca="1">SUMIF($H$1011:$J$1011,"&lt;&gt;√",$H$1010:$J$1010)</f>
        <v>0</v>
      </c>
      <c r="L1012" s="2256" t="str">
        <f ca="1">IF(OR(K1012=0,K1012=""),"√","？")</f>
        <v>√</v>
      </c>
      <c r="M1012" s="425"/>
      <c r="N1012" s="426"/>
      <c r="O1012" s="427"/>
      <c r="P1012" s="425"/>
      <c r="Q1012" s="442"/>
      <c r="R1012" s="442"/>
      <c r="S1012" s="364"/>
      <c r="Z1012" s="609" t="s">
        <v>540</v>
      </c>
      <c r="AA1012" s="609" t="s">
        <v>3137</v>
      </c>
    </row>
    <row r="1013" spans="1:29" ht="18">
      <c r="A1013" s="2712"/>
      <c r="B1013" s="371"/>
      <c r="C1013" s="371" t="s">
        <v>2565</v>
      </c>
      <c r="D1013" s="2714"/>
      <c r="F1013" s="293"/>
      <c r="G1013" s="1543"/>
      <c r="H1013" s="461"/>
      <c r="I1013" s="461"/>
      <c r="J1013" s="1545"/>
      <c r="K1013" s="426"/>
      <c r="L1013" s="427"/>
      <c r="M1013" s="425"/>
      <c r="N1013" s="426"/>
      <c r="O1013" s="427"/>
      <c r="P1013" s="425"/>
      <c r="Q1013" s="442"/>
      <c r="R1013" s="442"/>
      <c r="S1013" s="364"/>
      <c r="Z1013" s="609" t="s">
        <v>540</v>
      </c>
      <c r="AA1013" s="609" t="s">
        <v>3137</v>
      </c>
    </row>
    <row r="1014" spans="1:29" ht="24">
      <c r="A1014" s="2712" t="s">
        <v>544</v>
      </c>
      <c r="B1014" s="371">
        <v>2</v>
      </c>
      <c r="C1014" s="371"/>
      <c r="D1014" s="2714" t="str">
        <f>VLOOKUP($A1014,Sheet_NoteList,2,0)</f>
        <v>其他应收款按款项性质分类情况</v>
      </c>
      <c r="E1014" s="2714" t="s">
        <v>2742</v>
      </c>
      <c r="F1014" s="294"/>
      <c r="G1014" s="372" t="str">
        <f>"("&amp;B1014&amp;")"&amp;D1014</f>
        <v>(2)其他应收款按款项性质分类情况</v>
      </c>
      <c r="H1014" s="1515" t="str">
        <f>$A1014</f>
        <v>1221l</v>
      </c>
      <c r="I1014" s="343" t="s">
        <v>2743</v>
      </c>
      <c r="J1014" s="301" t="s">
        <v>2744</v>
      </c>
      <c r="K1014" s="2208">
        <f>H1026</f>
        <v>8760929.7400000002</v>
      </c>
      <c r="L1014" s="345">
        <f>IF($I1014="适用",IF(ROUND($H1380-K1014,2)=0,"F/S",ROUND($H1380-K1014,2)),"#N/A")</f>
        <v>-8760929.7400000002</v>
      </c>
      <c r="M1014" s="301" t="s">
        <v>2745</v>
      </c>
      <c r="N1014" s="2208">
        <f>I1026</f>
        <v>1111613.68</v>
      </c>
      <c r="O1014" s="345">
        <f>IF($I1014="适用",IF(ROUND(H1402-N1014,2)=0,"F/S",ROUND(H1402-N1014,2)),"#N/A")</f>
        <v>-1111613.68</v>
      </c>
      <c r="P1014" s="301"/>
      <c r="Q1014" s="290" t="str">
        <f>IF($I1014="不适用","",IF(ROUND(SUM($H$1017:$I$1026),2)=0,"请输入",""))</f>
        <v/>
      </c>
      <c r="S1014" s="364"/>
      <c r="Z1014" s="609" t="s">
        <v>540</v>
      </c>
      <c r="AA1014" s="609" t="s">
        <v>3137</v>
      </c>
    </row>
    <row r="1015" spans="1:29" ht="0.75" customHeight="1" thickBot="1">
      <c r="A1015" s="2712"/>
      <c r="B1015" s="371"/>
      <c r="C1015" s="371"/>
      <c r="D1015" s="371"/>
      <c r="E1015" s="586"/>
      <c r="F1015" s="586"/>
      <c r="G1015" s="586" t="s">
        <v>3139</v>
      </c>
      <c r="H1015" s="371" t="s">
        <v>5404</v>
      </c>
      <c r="I1015" s="371" t="s">
        <v>5405</v>
      </c>
      <c r="J1015" s="472"/>
      <c r="K1015" s="472"/>
      <c r="L1015" s="472"/>
      <c r="M1015" s="472"/>
      <c r="N1015" s="442"/>
      <c r="O1015" s="442"/>
      <c r="P1015" s="442"/>
      <c r="Q1015" s="442"/>
      <c r="R1015" s="443"/>
      <c r="S1015" s="364"/>
      <c r="Z1015" s="609" t="s">
        <v>540</v>
      </c>
      <c r="AA1015" s="609" t="s">
        <v>3137</v>
      </c>
    </row>
    <row r="1016" spans="1:29" ht="18">
      <c r="A1016" s="2712"/>
      <c r="B1016" s="371"/>
      <c r="C1016" s="371"/>
      <c r="D1016" s="371"/>
      <c r="E1016" s="586" t="s">
        <v>2749</v>
      </c>
      <c r="F1016" s="363"/>
      <c r="G1016" s="2535" t="s">
        <v>5483</v>
      </c>
      <c r="H1016" s="2551" t="str">
        <f>$V$2</f>
        <v>2019年12月31日</v>
      </c>
      <c r="I1016" s="2552" t="str">
        <f>$V$3</f>
        <v>2018年12月31日</v>
      </c>
      <c r="J1016" s="355" t="s">
        <v>5271</v>
      </c>
      <c r="K1016" s="442"/>
      <c r="L1016" s="442"/>
      <c r="M1016" s="442"/>
      <c r="N1016" s="442"/>
      <c r="O1016" s="442"/>
      <c r="P1016" s="442"/>
      <c r="Q1016" s="442"/>
      <c r="R1016" s="443"/>
      <c r="S1016" s="364"/>
      <c r="Z1016" s="609" t="s">
        <v>540</v>
      </c>
      <c r="AA1016" s="609" t="s">
        <v>3137</v>
      </c>
    </row>
    <row r="1017" spans="1:29" ht="18">
      <c r="A1017" s="2712"/>
      <c r="B1017" s="371">
        <v>101</v>
      </c>
      <c r="C1017" s="371" t="s">
        <v>2791</v>
      </c>
      <c r="D1017" s="2714">
        <f t="shared" ref="D1017:D1026" si="88">IF(OR(G1017="*",G1017="",G1017=0),0,COUNTIF($G$1017:$G$1026,G1017))</f>
        <v>1</v>
      </c>
      <c r="E1017" s="2719" t="s">
        <v>2939</v>
      </c>
      <c r="F1017" s="294"/>
      <c r="G1017" s="2536" t="s">
        <v>7458</v>
      </c>
      <c r="H1017" s="2273">
        <v>10072594.039999999</v>
      </c>
      <c r="I1017" s="2294">
        <v>6253230.7000000002</v>
      </c>
      <c r="J1017" s="438"/>
      <c r="K1017" s="442"/>
      <c r="L1017" s="442"/>
      <c r="M1017" s="442"/>
      <c r="N1017" s="442"/>
      <c r="O1017" s="442"/>
      <c r="P1017" s="442"/>
      <c r="Q1017" s="442"/>
      <c r="R1017" s="443"/>
      <c r="S1017" s="364"/>
      <c r="Z1017" s="609" t="s">
        <v>540</v>
      </c>
      <c r="AA1017" s="609" t="s">
        <v>3137</v>
      </c>
    </row>
    <row r="1018" spans="1:29" ht="18">
      <c r="A1018" s="2712"/>
      <c r="B1018" s="371">
        <v>101.001</v>
      </c>
      <c r="C1018" s="371" t="s">
        <v>2791</v>
      </c>
      <c r="D1018" s="2714">
        <f t="shared" si="88"/>
        <v>1</v>
      </c>
      <c r="E1018" s="2719" t="s">
        <v>2939</v>
      </c>
      <c r="F1018" s="294"/>
      <c r="G1018" s="2536" t="s">
        <v>7459</v>
      </c>
      <c r="H1018" s="2273">
        <v>789514.48</v>
      </c>
      <c r="I1018" s="2294">
        <v>954548.35</v>
      </c>
      <c r="J1018" s="438"/>
      <c r="K1018" s="442"/>
      <c r="L1018" s="442"/>
      <c r="M1018" s="442"/>
      <c r="N1018" s="442"/>
      <c r="O1018" s="442"/>
      <c r="P1018" s="442"/>
      <c r="Q1018" s="442"/>
      <c r="R1018" s="443"/>
      <c r="S1018" s="364"/>
      <c r="Z1018" s="609" t="s">
        <v>540</v>
      </c>
      <c r="AA1018" s="609" t="s">
        <v>3137</v>
      </c>
    </row>
    <row r="1019" spans="1:29" ht="18">
      <c r="A1019" s="2712"/>
      <c r="B1019" s="371">
        <v>101.002</v>
      </c>
      <c r="C1019" s="371" t="s">
        <v>2791</v>
      </c>
      <c r="D1019" s="2714">
        <f t="shared" si="88"/>
        <v>1</v>
      </c>
      <c r="E1019" s="2719" t="s">
        <v>2939</v>
      </c>
      <c r="F1019" s="294"/>
      <c r="G1019" s="2536" t="s">
        <v>7824</v>
      </c>
      <c r="H1019" s="2273">
        <v>4023939.46</v>
      </c>
      <c r="I1019" s="2294"/>
      <c r="J1019" s="525"/>
      <c r="K1019" s="442"/>
      <c r="L1019" s="442"/>
      <c r="M1019" s="442"/>
      <c r="N1019" s="442"/>
      <c r="O1019" s="442"/>
      <c r="P1019" s="442"/>
      <c r="Q1019" s="442"/>
      <c r="R1019" s="443"/>
      <c r="S1019" s="364"/>
      <c r="Z1019" s="609" t="s">
        <v>540</v>
      </c>
      <c r="AA1019" s="609" t="s">
        <v>3137</v>
      </c>
      <c r="AC1019" s="369" t="s">
        <v>2794</v>
      </c>
    </row>
    <row r="1020" spans="1:29" ht="18">
      <c r="A1020" s="2712"/>
      <c r="B1020" s="371">
        <v>101.003</v>
      </c>
      <c r="C1020" s="371" t="s">
        <v>2791</v>
      </c>
      <c r="D1020" s="2714">
        <f t="shared" si="88"/>
        <v>1</v>
      </c>
      <c r="E1020" s="2719" t="s">
        <v>2939</v>
      </c>
      <c r="F1020" s="294"/>
      <c r="G1020" s="2536" t="s">
        <v>7825</v>
      </c>
      <c r="H1020" s="2273">
        <v>225224.49</v>
      </c>
      <c r="I1020" s="2294"/>
      <c r="J1020" s="525"/>
      <c r="K1020" s="442"/>
      <c r="L1020" s="442"/>
      <c r="M1020" s="442"/>
      <c r="N1020" s="442"/>
      <c r="O1020" s="442"/>
      <c r="P1020" s="442"/>
      <c r="Q1020" s="442"/>
      <c r="R1020" s="443"/>
      <c r="S1020" s="364"/>
      <c r="Z1020" s="609" t="s">
        <v>540</v>
      </c>
      <c r="AA1020" s="609" t="s">
        <v>3137</v>
      </c>
    </row>
    <row r="1021" spans="1:29" ht="18">
      <c r="A1021" s="2712"/>
      <c r="B1021" s="371">
        <v>101.004</v>
      </c>
      <c r="C1021" s="371" t="s">
        <v>2791</v>
      </c>
      <c r="D1021" s="2714">
        <f t="shared" si="88"/>
        <v>0</v>
      </c>
      <c r="E1021" s="2719"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8">
      <c r="A1022" s="2712"/>
      <c r="B1022" s="371">
        <v>101.005</v>
      </c>
      <c r="C1022" s="371" t="s">
        <v>6530</v>
      </c>
      <c r="D1022" s="2714">
        <f t="shared" si="88"/>
        <v>0</v>
      </c>
      <c r="E1022" s="2719" t="s">
        <v>2939</v>
      </c>
      <c r="F1022" s="294"/>
      <c r="G1022" s="2536" t="s">
        <v>2792</v>
      </c>
      <c r="H1022" s="2273"/>
      <c r="I1022" s="2294"/>
      <c r="J1022" s="525"/>
      <c r="K1022" s="442"/>
      <c r="L1022" s="442"/>
      <c r="M1022" s="442"/>
      <c r="N1022" s="442"/>
      <c r="O1022" s="442"/>
      <c r="P1022" s="442"/>
      <c r="Q1022" s="442"/>
      <c r="R1022" s="443"/>
      <c r="S1022" s="364"/>
      <c r="Z1022" s="609" t="s">
        <v>540</v>
      </c>
      <c r="AA1022" s="609" t="s">
        <v>3137</v>
      </c>
    </row>
    <row r="1023" spans="1:29" ht="18">
      <c r="A1023" s="2712"/>
      <c r="B1023" s="371">
        <v>101.006</v>
      </c>
      <c r="C1023" s="371" t="s">
        <v>2791</v>
      </c>
      <c r="D1023" s="2714">
        <f t="shared" si="88"/>
        <v>0</v>
      </c>
      <c r="E1023" s="2719" t="s">
        <v>2939</v>
      </c>
      <c r="F1023" s="294"/>
      <c r="G1023" s="2536" t="s">
        <v>2792</v>
      </c>
      <c r="H1023" s="2273"/>
      <c r="I1023" s="2294"/>
      <c r="J1023" s="438"/>
      <c r="K1023" s="442"/>
      <c r="L1023" s="442"/>
      <c r="M1023" s="442"/>
      <c r="N1023" s="442"/>
      <c r="O1023" s="442"/>
      <c r="P1023" s="442"/>
      <c r="Q1023" s="442"/>
      <c r="R1023" s="443"/>
      <c r="S1023" s="364"/>
      <c r="Z1023" s="609" t="s">
        <v>540</v>
      </c>
      <c r="AA1023" s="609" t="s">
        <v>3137</v>
      </c>
    </row>
    <row r="1024" spans="1:29" ht="18">
      <c r="A1024" s="2712"/>
      <c r="B1024" s="371">
        <v>102</v>
      </c>
      <c r="C1024" s="371" t="s">
        <v>2793</v>
      </c>
      <c r="D1024" s="2714">
        <f t="shared" si="88"/>
        <v>1</v>
      </c>
      <c r="E1024" s="2719">
        <v>1</v>
      </c>
      <c r="F1024" s="294"/>
      <c r="G1024" s="1472" t="s">
        <v>2939</v>
      </c>
      <c r="H1024" s="1474">
        <f>SUMIF($E$1016:$E$1025,$G1024,H$1016:H$1025)</f>
        <v>15111272.470000001</v>
      </c>
      <c r="I1024" s="1475">
        <f>SUMIF($E$1016:$E$1025,$G1024,I$1016:I$1025)</f>
        <v>7207779.0499999998</v>
      </c>
      <c r="J1024" s="438"/>
      <c r="K1024" s="442"/>
      <c r="L1024" s="442"/>
      <c r="M1024" s="442"/>
      <c r="N1024" s="442"/>
      <c r="O1024" s="442"/>
      <c r="P1024" s="442"/>
      <c r="Q1024" s="442"/>
      <c r="R1024" s="443"/>
      <c r="S1024" s="364"/>
      <c r="Z1024" s="609" t="s">
        <v>540</v>
      </c>
      <c r="AA1024" s="609" t="s">
        <v>3137</v>
      </c>
    </row>
    <row r="1025" spans="1:29" ht="18">
      <c r="A1025" s="2712"/>
      <c r="B1025" s="371">
        <v>103</v>
      </c>
      <c r="C1025" s="371" t="s">
        <v>2791</v>
      </c>
      <c r="D1025" s="2714">
        <f t="shared" si="88"/>
        <v>1</v>
      </c>
      <c r="E1025" s="2719">
        <v>-1</v>
      </c>
      <c r="F1025" s="294"/>
      <c r="G1025" s="1472" t="s">
        <v>2945</v>
      </c>
      <c r="H1025" s="2273">
        <v>6350342.7300000004</v>
      </c>
      <c r="I1025" s="2294">
        <v>6096165.3700000001</v>
      </c>
      <c r="J1025" s="438"/>
      <c r="K1025" s="442"/>
      <c r="L1025" s="442"/>
      <c r="M1025" s="442"/>
      <c r="N1025" s="442"/>
      <c r="O1025" s="442"/>
      <c r="P1025" s="442"/>
      <c r="Q1025" s="442"/>
      <c r="R1025" s="443"/>
      <c r="S1025" s="364"/>
      <c r="Z1025" s="609" t="s">
        <v>540</v>
      </c>
      <c r="AA1025" s="609" t="s">
        <v>3137</v>
      </c>
    </row>
    <row r="1026" spans="1:29" ht="18.75" thickBot="1">
      <c r="A1026" s="2712"/>
      <c r="B1026" s="371"/>
      <c r="C1026" s="371"/>
      <c r="D1026" s="2714">
        <f t="shared" si="88"/>
        <v>1</v>
      </c>
      <c r="E1026" s="2719" t="s">
        <v>3032</v>
      </c>
      <c r="F1026" s="294"/>
      <c r="G1026" s="374" t="s">
        <v>2752</v>
      </c>
      <c r="H1026" s="1476">
        <f>SUMPRODUCT($E1016:$E1025,H1016:H1025)</f>
        <v>8760929.7400000002</v>
      </c>
      <c r="I1026" s="1477">
        <f>SUMPRODUCT($E1016:$E1025,I1016:I1025)</f>
        <v>1111613.68</v>
      </c>
      <c r="J1026" s="1587" t="str">
        <f ca="1">HYPERLINK("#'"&amp;$G$1&amp;"'!"&amp;ADDRESS(ROW(Notes!L940),COLUMN(Notes!L940),4),"* 请勿删除此行！点击往勾稽单元格，F5+Enter返回")</f>
        <v>* 请勿删除此行！点击往勾稽单元格，F5+Enter返回</v>
      </c>
      <c r="K1026" s="442"/>
      <c r="L1026" s="442"/>
      <c r="M1026" s="442"/>
      <c r="N1026" s="442"/>
      <c r="O1026" s="442"/>
      <c r="P1026" s="442"/>
      <c r="Q1026" s="442"/>
      <c r="R1026" s="443"/>
      <c r="S1026" s="364"/>
      <c r="Z1026" s="609" t="s">
        <v>540</v>
      </c>
      <c r="AA1026" s="609" t="s">
        <v>3137</v>
      </c>
      <c r="AC1026" s="369" t="s">
        <v>2794</v>
      </c>
    </row>
    <row r="1027" spans="1:29" ht="18">
      <c r="A1027" s="2712"/>
      <c r="B1027" s="371"/>
      <c r="C1027" s="371" t="s">
        <v>2755</v>
      </c>
      <c r="D1027" s="371"/>
      <c r="F1027" s="294"/>
      <c r="G1027" s="301"/>
      <c r="H1027" s="315"/>
      <c r="I1027" s="315"/>
      <c r="J1027" s="438"/>
      <c r="K1027" s="442"/>
      <c r="L1027" s="442"/>
      <c r="M1027" s="442"/>
      <c r="N1027" s="442"/>
      <c r="O1027" s="442"/>
      <c r="P1027" s="442"/>
      <c r="Q1027" s="442"/>
      <c r="R1027" s="443"/>
      <c r="S1027" s="364"/>
      <c r="Z1027" s="609" t="s">
        <v>540</v>
      </c>
      <c r="AA1027" s="609" t="s">
        <v>3137</v>
      </c>
    </row>
    <row r="1028" spans="1:29" ht="36">
      <c r="A1028" s="2712">
        <v>122100</v>
      </c>
      <c r="B1028" s="371" t="s">
        <v>6534</v>
      </c>
      <c r="C1028" s="371"/>
      <c r="D1028" s="2714" t="str">
        <f>VLOOKUP($A1028,Sheet_NoteList,2,0)</f>
        <v>其他应收款按坏账计提方法分类披露（三阶段模型）</v>
      </c>
      <c r="E1028" s="2714" t="s">
        <v>6529</v>
      </c>
      <c r="F1028" s="293"/>
      <c r="G1028" s="372" t="str">
        <f>"("&amp;B1028&amp;")"&amp;D1028</f>
        <v>(3A)其他应收款按坏账计提方法分类披露（三阶段模型）</v>
      </c>
      <c r="H1028" s="2313">
        <f>$A1028</f>
        <v>122100</v>
      </c>
      <c r="I1028" s="343" t="s">
        <v>5921</v>
      </c>
      <c r="J1028" s="301" t="s">
        <v>5922</v>
      </c>
      <c r="K1028" s="2208">
        <f>J1035</f>
        <v>8760929.7400000002</v>
      </c>
      <c r="L1028" s="349" t="str">
        <f>IF($I1028="适用",IF(ROUND(K$988-K1028,2)=0,"F/S",ROUND(K$988-K1028,2)),"#N/A")</f>
        <v>F/S</v>
      </c>
      <c r="M1028" s="301"/>
      <c r="N1028" s="391"/>
      <c r="O1028" s="349"/>
      <c r="P1028" s="301"/>
      <c r="S1028" s="364"/>
      <c r="Z1028" s="609" t="s">
        <v>540</v>
      </c>
      <c r="AA1028" s="609" t="s">
        <v>3137</v>
      </c>
    </row>
    <row r="1029" spans="1:29" ht="0.75" customHeight="1" thickBot="1">
      <c r="A1029" s="2712"/>
      <c r="B1029" s="371"/>
      <c r="C1029" s="371"/>
      <c r="D1029" s="2714"/>
      <c r="E1029" s="586"/>
      <c r="F1029" s="586"/>
      <c r="G1029" s="2222" t="s">
        <v>5923</v>
      </c>
      <c r="H1029" s="1615" t="s">
        <v>5386</v>
      </c>
      <c r="I1029" s="371" t="s">
        <v>5924</v>
      </c>
      <c r="J1029" s="371" t="s">
        <v>5930</v>
      </c>
      <c r="K1029" s="391"/>
      <c r="L1029" s="349"/>
      <c r="M1029" s="301"/>
      <c r="N1029" s="391"/>
      <c r="O1029" s="349"/>
      <c r="P1029" s="301"/>
      <c r="S1029" s="364"/>
      <c r="Z1029" s="609" t="s">
        <v>540</v>
      </c>
      <c r="AA1029" s="609" t="s">
        <v>3137</v>
      </c>
    </row>
    <row r="1030" spans="1:29" ht="18.75" thickTop="1">
      <c r="A1030" s="2712"/>
      <c r="B1030" s="371"/>
      <c r="C1030" s="371"/>
      <c r="D1030" s="2714"/>
      <c r="E1030" s="586" t="s">
        <v>2749</v>
      </c>
      <c r="F1030" s="414"/>
      <c r="G1030" s="2287" t="s">
        <v>5928</v>
      </c>
      <c r="H1030" s="2308" t="s">
        <v>5128</v>
      </c>
      <c r="I1030" s="2308" t="s">
        <v>5129</v>
      </c>
      <c r="J1030" s="2291" t="s">
        <v>2863</v>
      </c>
      <c r="K1030" s="355" t="s">
        <v>5271</v>
      </c>
      <c r="L1030" s="1528" t="str">
        <f>""&amp;H1030&amp;""</f>
        <v>账面余额</v>
      </c>
      <c r="M1030" s="1528" t="str">
        <f>""&amp;I1030&amp;""</f>
        <v>坏账准备</v>
      </c>
      <c r="N1030" s="1528" t="str">
        <f>J1030</f>
        <v>账面价值</v>
      </c>
      <c r="O1030" s="349"/>
      <c r="P1030" s="301"/>
      <c r="S1030" s="364"/>
      <c r="Z1030" s="609" t="s">
        <v>540</v>
      </c>
      <c r="AA1030" s="609" t="s">
        <v>3137</v>
      </c>
    </row>
    <row r="1031" spans="1:29" ht="18">
      <c r="A1031" s="2712"/>
      <c r="B1031" s="371">
        <v>101</v>
      </c>
      <c r="C1031" s="371"/>
      <c r="D1031" s="2714">
        <f t="shared" ref="D1031:D1035" si="89">IF(OR(G1031="*",G1031="",G1031=0),0,COUNTIF($G$1031:$G$1035,G1031))</f>
        <v>1</v>
      </c>
      <c r="E1031" s="2719">
        <v>1</v>
      </c>
      <c r="F1031" s="293"/>
      <c r="G1031" s="1472" t="s">
        <v>5925</v>
      </c>
      <c r="H1031" s="2273">
        <v>9100772.4800000004</v>
      </c>
      <c r="I1031" s="2273">
        <v>341610.64</v>
      </c>
      <c r="J1031" s="2294">
        <f>H1031-I1031</f>
        <v>8759161.8399999999</v>
      </c>
      <c r="K1031" s="391"/>
      <c r="L1031" s="2250">
        <f ca="1">HYPERLINK("#'"&amp;$G$1&amp;"'!"&amp;ADDRESS(ROW(Notes!H1056),COLUMN(Notes!H1056),4),H1056-H1031)</f>
        <v>0</v>
      </c>
      <c r="M1031" s="2250">
        <f ca="1">HYPERLINK("#'"&amp;$G$1&amp;"'!"&amp;ADDRESS(ROW(Notes!J1056),COLUMN(Notes!J1056),4),J1056-I1031)</f>
        <v>0</v>
      </c>
      <c r="N1031" s="2250">
        <f ca="1">HYPERLINK("#'"&amp;$G$1&amp;"'!"&amp;ADDRESS(ROW(Notes!K1056),COLUMN(Notes!K1056),4),K1056-J1031)</f>
        <v>0</v>
      </c>
      <c r="O1031" s="2630">
        <f>H1044</f>
        <v>122101</v>
      </c>
      <c r="P1031" s="301"/>
      <c r="S1031" s="364"/>
      <c r="Z1031" s="609" t="s">
        <v>540</v>
      </c>
      <c r="AA1031" s="609" t="s">
        <v>3137</v>
      </c>
    </row>
    <row r="1032" spans="1:29" ht="18">
      <c r="A1032" s="2712"/>
      <c r="B1032" s="371">
        <v>102</v>
      </c>
      <c r="C1032" s="371"/>
      <c r="D1032" s="2714">
        <f t="shared" si="89"/>
        <v>1</v>
      </c>
      <c r="E1032" s="2719">
        <v>1</v>
      </c>
      <c r="F1032" s="293"/>
      <c r="G1032" s="1472" t="s">
        <v>5926</v>
      </c>
      <c r="H1032" s="2273"/>
      <c r="I1032" s="2273"/>
      <c r="J1032" s="2294">
        <f t="shared" ref="J1032:J1033" si="90">H1032-I1032</f>
        <v>0</v>
      </c>
      <c r="K1032" s="391"/>
      <c r="L1032" s="2250">
        <f ca="1">HYPERLINK("#'"&amp;$G$1&amp;"'!"&amp;ADDRESS(ROW(Notes!H1144),COLUMN(Notes!H1144),4),H1144-H1032)</f>
        <v>0</v>
      </c>
      <c r="M1032" s="2250">
        <f ca="1">HYPERLINK("#'"&amp;$G$1&amp;"'!"&amp;ADDRESS(ROW(Notes!J1144),COLUMN(Notes!J1144),4),J1144-I1032)</f>
        <v>0</v>
      </c>
      <c r="N1032" s="2250">
        <f ca="1">HYPERLINK("#'"&amp;$G$1&amp;"'!"&amp;ADDRESS(ROW(Notes!K1144),COLUMN(Notes!K1144),4),K1144-J1032)</f>
        <v>0</v>
      </c>
      <c r="O1032" s="2630">
        <f>H1132</f>
        <v>122102</v>
      </c>
      <c r="P1032" s="301"/>
      <c r="S1032" s="364"/>
      <c r="Z1032" s="609" t="s">
        <v>540</v>
      </c>
      <c r="AA1032" s="609" t="s">
        <v>3137</v>
      </c>
    </row>
    <row r="1033" spans="1:29" ht="18">
      <c r="A1033" s="2712"/>
      <c r="B1033" s="371">
        <v>103</v>
      </c>
      <c r="C1033" s="371"/>
      <c r="D1033" s="2714">
        <f t="shared" si="89"/>
        <v>1</v>
      </c>
      <c r="E1033" s="2719">
        <v>1</v>
      </c>
      <c r="F1033" s="293"/>
      <c r="G1033" s="1472" t="s">
        <v>5927</v>
      </c>
      <c r="H1033" s="2273">
        <v>6010499.9900000002</v>
      </c>
      <c r="I1033" s="2273">
        <v>6008732.0899999999</v>
      </c>
      <c r="J1033" s="2294">
        <f t="shared" si="90"/>
        <v>1767.9</v>
      </c>
      <c r="K1033" s="391"/>
      <c r="L1033" s="2250">
        <f ca="1">HYPERLINK("#'"&amp;$G$1&amp;"'!"&amp;ADDRESS(ROW(Notes!H1233),COLUMN(Notes!H1233),4),H1233-H1033)</f>
        <v>0</v>
      </c>
      <c r="M1033" s="2250">
        <f ca="1">HYPERLINK("#'"&amp;$G$1&amp;"'!"&amp;ADDRESS(ROW(Notes!J1233),COLUMN(Notes!J1233),4),J1233-I1033)</f>
        <v>0</v>
      </c>
      <c r="N1033" s="2250">
        <f ca="1">HYPERLINK("#'"&amp;$G$1&amp;"'!"&amp;ADDRESS(ROW(Notes!K1233),COLUMN(Notes!K1233),4),K1233-J1033)</f>
        <v>0</v>
      </c>
      <c r="O1033" s="2630">
        <f>H1220</f>
        <v>122103</v>
      </c>
      <c r="P1033" s="301"/>
      <c r="S1033" s="364"/>
      <c r="Z1033" s="609" t="s">
        <v>540</v>
      </c>
      <c r="AA1033" s="609" t="s">
        <v>3137</v>
      </c>
    </row>
    <row r="1034" spans="1:29" ht="18">
      <c r="A1034" s="2712"/>
      <c r="B1034" s="371">
        <v>104</v>
      </c>
      <c r="C1034" s="371" t="s">
        <v>2791</v>
      </c>
      <c r="D1034" s="2714">
        <f t="shared" si="89"/>
        <v>0</v>
      </c>
      <c r="E1034" s="2719">
        <v>1</v>
      </c>
      <c r="F1034" s="293"/>
      <c r="G1034" s="2282" t="s">
        <v>2792</v>
      </c>
      <c r="H1034" s="2273"/>
      <c r="I1034" s="2273"/>
      <c r="J1034" s="2294"/>
      <c r="K1034" s="391"/>
      <c r="L1034" s="456"/>
      <c r="M1034" s="456"/>
      <c r="N1034" s="456"/>
      <c r="O1034" s="349"/>
      <c r="P1034" s="301"/>
      <c r="S1034" s="364"/>
      <c r="Z1034" s="609" t="s">
        <v>540</v>
      </c>
      <c r="AA1034" s="609" t="s">
        <v>3137</v>
      </c>
    </row>
    <row r="1035" spans="1:29" ht="18.75" thickBot="1">
      <c r="A1035" s="2712"/>
      <c r="B1035" s="371"/>
      <c r="C1035" s="371"/>
      <c r="D1035" s="2714">
        <f t="shared" si="89"/>
        <v>1</v>
      </c>
      <c r="E1035" s="2719" t="s">
        <v>2751</v>
      </c>
      <c r="F1035" s="293"/>
      <c r="G1035" s="2232" t="s">
        <v>5139</v>
      </c>
      <c r="H1035" s="2233">
        <f>SUMPRODUCT($E1030:$E1034,H1030:H1034)</f>
        <v>15111272.470000001</v>
      </c>
      <c r="I1035" s="2233">
        <f>SUMPRODUCT($E1030:$E1034,I1030:I1034)</f>
        <v>6350342.7300000004</v>
      </c>
      <c r="J1035" s="2234">
        <f>SUMPRODUCT($E1030:$E1034,J1030:J1034)</f>
        <v>8760929.7400000002</v>
      </c>
      <c r="K1035" s="391"/>
      <c r="L1035" s="1529">
        <f t="shared" ref="L1035:N1035" ca="1" si="91">SUM(L1031:L1034)</f>
        <v>0</v>
      </c>
      <c r="M1035" s="1529">
        <f t="shared" ca="1" si="91"/>
        <v>0</v>
      </c>
      <c r="N1035" s="1529">
        <f t="shared" ca="1" si="91"/>
        <v>0</v>
      </c>
      <c r="O1035" s="349"/>
      <c r="P1035" s="301"/>
      <c r="S1035" s="364"/>
      <c r="Z1035" s="609" t="s">
        <v>540</v>
      </c>
      <c r="AA1035" s="609" t="s">
        <v>3137</v>
      </c>
    </row>
    <row r="1036" spans="1:29" ht="18.75" thickBot="1">
      <c r="A1036" s="2712"/>
      <c r="B1036" s="371"/>
      <c r="C1036" s="371" t="s">
        <v>2755</v>
      </c>
      <c r="D1036" s="2714"/>
      <c r="F1036" s="293"/>
      <c r="G1036" s="376"/>
      <c r="H1036" s="2624" t="s">
        <v>3002</v>
      </c>
      <c r="I1036" s="2251" t="s">
        <v>3002</v>
      </c>
      <c r="J1036" s="527" t="s">
        <v>3002</v>
      </c>
      <c r="K1036" s="391"/>
      <c r="L1036" s="1537" t="s">
        <v>5493</v>
      </c>
      <c r="M1036" s="354"/>
      <c r="N1036" s="317"/>
      <c r="O1036" s="349"/>
      <c r="P1036" s="301"/>
      <c r="S1036" s="364"/>
      <c r="Z1036" s="609" t="s">
        <v>540</v>
      </c>
      <c r="AA1036" s="609" t="s">
        <v>3137</v>
      </c>
    </row>
    <row r="1037" spans="1:29" ht="18.75" thickTop="1">
      <c r="A1037" s="2712"/>
      <c r="B1037" s="371"/>
      <c r="C1037" s="371" t="s">
        <v>2565</v>
      </c>
      <c r="D1037" s="2714"/>
      <c r="F1037" s="293"/>
      <c r="G1037" s="1547" t="s">
        <v>5365</v>
      </c>
      <c r="H1037" s="1548" t="str">
        <f>G989</f>
        <v>(1)其他应收款按账龄披露</v>
      </c>
      <c r="I1037" s="1550"/>
      <c r="J1037" s="1550"/>
      <c r="K1037" s="1551" t="s">
        <v>6353</v>
      </c>
      <c r="L1037" s="349"/>
      <c r="M1037" s="301"/>
      <c r="N1037" s="391"/>
      <c r="O1037" s="349"/>
      <c r="P1037" s="301"/>
      <c r="S1037" s="364"/>
      <c r="Z1037" s="609" t="s">
        <v>540</v>
      </c>
      <c r="AA1037" s="609" t="s">
        <v>3137</v>
      </c>
    </row>
    <row r="1038" spans="1:29" ht="18">
      <c r="A1038" s="2712"/>
      <c r="B1038" s="371"/>
      <c r="C1038" s="371" t="s">
        <v>2565</v>
      </c>
      <c r="D1038" s="2714"/>
      <c r="F1038" s="293"/>
      <c r="G1038" s="604" t="str">
        <f>"注释A:"&amp; ""</f>
        <v>注释A:</v>
      </c>
      <c r="H1038" s="2250">
        <f ca="1">HYPERLINK("#'"&amp;$G$1&amp;"'!"&amp;ADDRESS(ROW(Notes!H1003),COLUMN(Notes!H1003),4),H1003)</f>
        <v>15111272.470000001</v>
      </c>
      <c r="I1038" s="2250">
        <f ca="1">HYPERLINK("#'"&amp;$G$1&amp;"'!"&amp;ADDRESS(ROW(Notes!H1004),COLUMN(Notes!H1004),4),H1004)</f>
        <v>6350342.7300000004</v>
      </c>
      <c r="J1038" s="2250">
        <f ca="1">HYPERLINK("#'"&amp;$G$1&amp;"'!"&amp;ADDRESS(ROW(Notes!H1005),COLUMN(Notes!H1005),4),H1005)</f>
        <v>8760929.7400000002</v>
      </c>
      <c r="K1038" s="2628" t="str">
        <f>H989</f>
        <v>1221j</v>
      </c>
      <c r="L1038" s="349"/>
      <c r="M1038" s="301"/>
      <c r="N1038" s="391"/>
      <c r="O1038" s="349"/>
      <c r="P1038" s="301"/>
      <c r="S1038" s="364"/>
      <c r="Z1038" s="609" t="s">
        <v>540</v>
      </c>
      <c r="AA1038" s="609" t="s">
        <v>3137</v>
      </c>
    </row>
    <row r="1039" spans="1:29" ht="18">
      <c r="A1039" s="2712"/>
      <c r="B1039" s="371"/>
      <c r="C1039" s="371" t="s">
        <v>2565</v>
      </c>
      <c r="D1039" s="2714"/>
      <c r="F1039" s="293"/>
      <c r="G1039" s="604" t="str">
        <f>"本注释B:"&amp; G1035</f>
        <v>本注释B:合       计</v>
      </c>
      <c r="H1039" s="456">
        <f>H1035</f>
        <v>15111272.470000001</v>
      </c>
      <c r="I1039" s="456">
        <f t="shared" ref="I1039:J1039" si="92">I1035</f>
        <v>6350342.7300000004</v>
      </c>
      <c r="J1039" s="456">
        <f t="shared" si="92"/>
        <v>8760929.7400000002</v>
      </c>
      <c r="K1039" s="2627">
        <v>122100</v>
      </c>
      <c r="L1039" s="349"/>
      <c r="M1039" s="301"/>
      <c r="N1039" s="391"/>
      <c r="O1039" s="349"/>
      <c r="P1039" s="301"/>
      <c r="S1039" s="364"/>
      <c r="Z1039" s="609" t="s">
        <v>540</v>
      </c>
      <c r="AA1039" s="609" t="s">
        <v>3137</v>
      </c>
    </row>
    <row r="1040" spans="1:29" ht="18.75" thickBot="1">
      <c r="A1040" s="2712"/>
      <c r="B1040" s="371"/>
      <c r="C1040" s="371" t="s">
        <v>2565</v>
      </c>
      <c r="D1040" s="2714"/>
      <c r="F1040" s="293"/>
      <c r="G1040" s="1552" t="s">
        <v>2757</v>
      </c>
      <c r="H1040" s="1529">
        <f ca="1">IF(AND(H1038="",H1039=""),"",ROUND(H1038-H1039,2))</f>
        <v>0</v>
      </c>
      <c r="I1040" s="1529">
        <f ca="1">IF(AND(I1038="",I1039=""),"",ROUND(I1038-I1039,2))</f>
        <v>0</v>
      </c>
      <c r="J1040" s="1529">
        <f ca="1">IF(AND(J1038="",J1039=""),"",ROUND(J1038-J1039,2))</f>
        <v>0</v>
      </c>
      <c r="K1040" s="1553"/>
      <c r="L1040" s="349"/>
      <c r="M1040" s="301"/>
      <c r="N1040" s="391"/>
      <c r="O1040" s="349"/>
      <c r="P1040" s="301"/>
      <c r="S1040" s="364"/>
      <c r="Z1040" s="609" t="s">
        <v>540</v>
      </c>
      <c r="AA1040" s="609" t="s">
        <v>3137</v>
      </c>
    </row>
    <row r="1041" spans="1:29" ht="18.75" thickTop="1">
      <c r="A1041" s="2712"/>
      <c r="B1041" s="371"/>
      <c r="C1041" s="371" t="s">
        <v>2565</v>
      </c>
      <c r="D1041" s="2714"/>
      <c r="F1041" s="293"/>
      <c r="G1041" s="1543"/>
      <c r="H1041" s="459" t="str">
        <f ca="1">IF(OR(H1040=0,H1040=""),"√","？")</f>
        <v>√</v>
      </c>
      <c r="I1041" s="459" t="str">
        <f ca="1">IF(OR(I1040=0,I1040=""),"√","？")</f>
        <v>√</v>
      </c>
      <c r="J1041" s="459" t="str">
        <f ca="1">IF(OR(J1040=0,J1040=""),"√","？")</f>
        <v>√</v>
      </c>
      <c r="K1041" s="317"/>
      <c r="L1041" s="349"/>
      <c r="M1041" s="301"/>
      <c r="N1041" s="391"/>
      <c r="O1041" s="349"/>
      <c r="P1041" s="301"/>
      <c r="S1041" s="364"/>
      <c r="Z1041" s="609" t="s">
        <v>540</v>
      </c>
      <c r="AA1041" s="609" t="s">
        <v>3137</v>
      </c>
    </row>
    <row r="1042" spans="1:29" ht="18">
      <c r="A1042" s="2712"/>
      <c r="B1042" s="371"/>
      <c r="C1042" s="371" t="s">
        <v>2565</v>
      </c>
      <c r="D1042" s="2714"/>
      <c r="F1042" s="293"/>
      <c r="G1042" s="1557" t="s">
        <v>2759</v>
      </c>
      <c r="H1042" s="461"/>
      <c r="I1042" s="461"/>
      <c r="J1042" s="461"/>
      <c r="K1042" s="352">
        <f ca="1">SUMIF($H$1041:$K$1041,"&lt;&gt;√",$H$1040:$K$1040)</f>
        <v>0</v>
      </c>
      <c r="L1042" s="2626" t="str">
        <f ca="1">IF(OR(K1042=0,K1042=""),"√","？")</f>
        <v>√</v>
      </c>
      <c r="M1042" s="301"/>
      <c r="N1042" s="391"/>
      <c r="O1042" s="349"/>
      <c r="P1042" s="301"/>
      <c r="S1042" s="364"/>
      <c r="Z1042" s="609" t="s">
        <v>540</v>
      </c>
      <c r="AA1042" s="609" t="s">
        <v>3137</v>
      </c>
    </row>
    <row r="1043" spans="1:29" ht="18">
      <c r="A1043" s="2712"/>
      <c r="B1043" s="371"/>
      <c r="C1043" s="371" t="s">
        <v>2565</v>
      </c>
      <c r="D1043" s="2714"/>
      <c r="F1043" s="293"/>
      <c r="G1043" s="1543"/>
      <c r="H1043" s="461"/>
      <c r="I1043" s="461"/>
      <c r="J1043" s="461"/>
      <c r="K1043" s="317"/>
      <c r="L1043" s="349"/>
      <c r="M1043" s="301"/>
      <c r="N1043" s="391"/>
      <c r="O1043" s="349"/>
      <c r="P1043" s="301"/>
      <c r="S1043" s="364"/>
      <c r="Z1043" s="609" t="s">
        <v>540</v>
      </c>
      <c r="AA1043" s="609" t="s">
        <v>3137</v>
      </c>
    </row>
    <row r="1044" spans="1:29" ht="36">
      <c r="A1044" s="2712">
        <v>122101</v>
      </c>
      <c r="B1044" s="371" t="s">
        <v>6535</v>
      </c>
      <c r="C1044" s="371"/>
      <c r="D1044" s="2714" t="str">
        <f>VLOOKUP($A1044,Sheet_NoteList,2,0)</f>
        <v>期末处于第一阶段的其他应收款坏账准备（三阶段模型）</v>
      </c>
      <c r="E1044" s="2714" t="s">
        <v>2742</v>
      </c>
      <c r="F1044" s="293"/>
      <c r="G1044" s="372" t="str">
        <f>"("&amp;B1044&amp;")"&amp;D1044</f>
        <v>(3A1)期末处于第一阶段的其他应收款坏账准备（三阶段模型）</v>
      </c>
      <c r="H1044" s="2313">
        <f>$A1044</f>
        <v>122101</v>
      </c>
      <c r="I1044" s="343" t="s">
        <v>2743</v>
      </c>
      <c r="J1044" s="301" t="s">
        <v>2744</v>
      </c>
      <c r="K1044" s="2208">
        <f>K1056</f>
        <v>8759161.8399999999</v>
      </c>
      <c r="L1044" s="349"/>
      <c r="M1044" s="301"/>
      <c r="N1044" s="391"/>
      <c r="O1044" s="349"/>
      <c r="P1044" s="301"/>
      <c r="S1044" s="364"/>
      <c r="Z1044" s="609" t="s">
        <v>540</v>
      </c>
      <c r="AA1044" s="609" t="s">
        <v>3137</v>
      </c>
    </row>
    <row r="1045" spans="1:29" ht="0.75" customHeight="1" thickBot="1">
      <c r="A1045" s="2712"/>
      <c r="B1045" s="371"/>
      <c r="C1045" s="371"/>
      <c r="D1045" s="2714"/>
      <c r="E1045" s="586"/>
      <c r="F1045" s="586"/>
      <c r="G1045" s="2222" t="s">
        <v>6201</v>
      </c>
      <c r="H1045" s="371" t="s">
        <v>2747</v>
      </c>
      <c r="I1045" s="371" t="s">
        <v>2947</v>
      </c>
      <c r="J1045" s="371" t="s">
        <v>6202</v>
      </c>
      <c r="K1045" s="547" t="s">
        <v>6203</v>
      </c>
      <c r="L1045" s="547" t="s">
        <v>3145</v>
      </c>
      <c r="M1045" s="433"/>
      <c r="N1045" s="428"/>
      <c r="O1045" s="428"/>
      <c r="P1045" s="433"/>
      <c r="Q1045" s="442"/>
      <c r="R1045" s="443"/>
      <c r="S1045" s="364"/>
      <c r="Z1045" s="609" t="s">
        <v>540</v>
      </c>
      <c r="AA1045" s="609" t="s">
        <v>3137</v>
      </c>
    </row>
    <row r="1046" spans="1:29" ht="36">
      <c r="A1046" s="2712"/>
      <c r="B1046" s="371"/>
      <c r="C1046" s="371"/>
      <c r="D1046" s="2714"/>
      <c r="E1046" s="586" t="s">
        <v>2749</v>
      </c>
      <c r="F1046" s="414"/>
      <c r="G1046" s="2287" t="s">
        <v>5133</v>
      </c>
      <c r="H1046" s="2541" t="s">
        <v>6126</v>
      </c>
      <c r="I1046" s="2289" t="s">
        <v>3146</v>
      </c>
      <c r="J1046" s="2289" t="s">
        <v>2862</v>
      </c>
      <c r="K1046" s="2309" t="s">
        <v>2863</v>
      </c>
      <c r="L1046" s="2310" t="s">
        <v>3147</v>
      </c>
      <c r="M1046" s="355" t="s">
        <v>5271</v>
      </c>
      <c r="N1046" s="434"/>
      <c r="O1046" s="434"/>
      <c r="P1046" s="435"/>
      <c r="Q1046" s="442"/>
      <c r="R1046" s="443"/>
      <c r="S1046" s="364"/>
      <c r="Z1046" s="609" t="s">
        <v>540</v>
      </c>
      <c r="AA1046" s="609" t="s">
        <v>3137</v>
      </c>
    </row>
    <row r="1047" spans="1:29" ht="18">
      <c r="A1047" s="2712"/>
      <c r="B1047" s="371">
        <v>101</v>
      </c>
      <c r="C1047" s="371"/>
      <c r="D1047" s="2714">
        <f t="shared" ref="D1047:D1056" si="93">IF(OR(G1047="*",G1047="",G1047=0),0,COUNTIF($G$1047:$G$1056,G1047))</f>
        <v>1</v>
      </c>
      <c r="E1047" s="2719">
        <v>1</v>
      </c>
      <c r="F1047" s="293"/>
      <c r="G1047" s="1472" t="s">
        <v>2890</v>
      </c>
      <c r="H1047" s="1474">
        <f>SUM(H1048:H1050)</f>
        <v>0</v>
      </c>
      <c r="I1047" s="2296"/>
      <c r="J1047" s="1474">
        <f>SUM(J1048:J1050)</f>
        <v>0</v>
      </c>
      <c r="K1047" s="1474">
        <f>H1047-J1047</f>
        <v>0</v>
      </c>
      <c r="L1047" s="2274"/>
      <c r="M1047" s="1587" t="str">
        <f ca="1">HYPERLINK("#'"&amp;$G$1&amp;"'!"&amp;ADDRESS(ROW(Notes!H1074),COLUMN(Notes!H1074),4),"* 请勿删除此行！点击往勾稽单元格，F5+Enter返回")</f>
        <v>* 请勿删除此行！点击往勾稽单元格，F5+Enter返回</v>
      </c>
      <c r="N1047" s="2191"/>
      <c r="O1047" s="437"/>
      <c r="P1047" s="438"/>
      <c r="Q1047" s="442"/>
      <c r="R1047" s="443"/>
      <c r="S1047" s="364"/>
      <c r="Z1047" s="609" t="s">
        <v>540</v>
      </c>
      <c r="AA1047" s="609" t="s">
        <v>3137</v>
      </c>
      <c r="AC1047" s="369" t="s">
        <v>6571</v>
      </c>
    </row>
    <row r="1048" spans="1:29" ht="18">
      <c r="A1048" s="2712"/>
      <c r="B1048" s="371">
        <v>102</v>
      </c>
      <c r="C1048" s="371" t="s">
        <v>2791</v>
      </c>
      <c r="D1048" s="2714">
        <f t="shared" si="93"/>
        <v>0</v>
      </c>
      <c r="E1048" s="2719">
        <v>0</v>
      </c>
      <c r="F1048" s="293"/>
      <c r="G1048" s="2282" t="s">
        <v>2792</v>
      </c>
      <c r="H1048" s="2273"/>
      <c r="I1048" s="2296"/>
      <c r="J1048" s="2273"/>
      <c r="K1048" s="1474">
        <f t="shared" ref="K1048:K1055" si="94">H1048-J1048</f>
        <v>0</v>
      </c>
      <c r="L1048" s="2274"/>
      <c r="M1048" s="355" t="s">
        <v>6134</v>
      </c>
      <c r="O1048" s="437"/>
      <c r="P1048" s="438"/>
      <c r="Q1048" s="442"/>
      <c r="R1048" s="443"/>
      <c r="S1048" s="364"/>
      <c r="Z1048" s="609" t="s">
        <v>540</v>
      </c>
      <c r="AA1048" s="609" t="s">
        <v>3137</v>
      </c>
    </row>
    <row r="1049" spans="1:29" ht="18">
      <c r="A1049" s="2712"/>
      <c r="B1049" s="371">
        <v>103</v>
      </c>
      <c r="C1049" s="371" t="s">
        <v>2791</v>
      </c>
      <c r="D1049" s="2714">
        <f t="shared" si="93"/>
        <v>0</v>
      </c>
      <c r="E1049" s="2719">
        <v>0</v>
      </c>
      <c r="F1049" s="293"/>
      <c r="G1049" s="2282" t="s">
        <v>2792</v>
      </c>
      <c r="H1049" s="2273"/>
      <c r="I1049" s="2296"/>
      <c r="J1049" s="2273"/>
      <c r="K1049" s="1474">
        <f t="shared" si="94"/>
        <v>0</v>
      </c>
      <c r="L1049" s="2274"/>
      <c r="M1049" s="438"/>
      <c r="O1049" s="437"/>
      <c r="P1049" s="438"/>
      <c r="Q1049" s="442"/>
      <c r="R1049" s="443"/>
      <c r="S1049" s="364"/>
      <c r="Z1049" s="609" t="s">
        <v>540</v>
      </c>
      <c r="AA1049" s="609" t="s">
        <v>3137</v>
      </c>
    </row>
    <row r="1050" spans="1:29" ht="18">
      <c r="A1050" s="2712"/>
      <c r="B1050" s="371">
        <v>104</v>
      </c>
      <c r="C1050" s="371" t="s">
        <v>2791</v>
      </c>
      <c r="D1050" s="2714">
        <f t="shared" si="93"/>
        <v>0</v>
      </c>
      <c r="E1050" s="2719">
        <v>0</v>
      </c>
      <c r="F1050" s="293"/>
      <c r="G1050" s="2282" t="s">
        <v>2792</v>
      </c>
      <c r="H1050" s="2273"/>
      <c r="I1050" s="2296"/>
      <c r="J1050" s="2273"/>
      <c r="K1050" s="1474">
        <f t="shared" si="94"/>
        <v>0</v>
      </c>
      <c r="L1050" s="2274"/>
      <c r="M1050" s="438"/>
      <c r="O1050" s="437"/>
      <c r="P1050" s="438"/>
      <c r="Q1050" s="442"/>
      <c r="R1050" s="443"/>
      <c r="S1050" s="364"/>
      <c r="Z1050" s="609" t="s">
        <v>540</v>
      </c>
      <c r="AA1050" s="609" t="s">
        <v>3137</v>
      </c>
    </row>
    <row r="1051" spans="1:29" ht="18">
      <c r="A1051" s="2712"/>
      <c r="B1051" s="371">
        <v>105</v>
      </c>
      <c r="C1051" s="371"/>
      <c r="D1051" s="2714">
        <f t="shared" si="93"/>
        <v>1</v>
      </c>
      <c r="E1051" s="2719">
        <v>1</v>
      </c>
      <c r="F1051" s="293"/>
      <c r="G1051" s="1472" t="s">
        <v>2892</v>
      </c>
      <c r="H1051" s="1474">
        <f>SUM(H1052:H1055)</f>
        <v>9100772.4800000004</v>
      </c>
      <c r="I1051" s="2296"/>
      <c r="J1051" s="1474">
        <f>SUM(J1052:J1055)</f>
        <v>341610.64</v>
      </c>
      <c r="K1051" s="1474">
        <f t="shared" si="94"/>
        <v>8759161.8399999999</v>
      </c>
      <c r="L1051" s="2274"/>
      <c r="M1051" s="438"/>
      <c r="O1051" s="437"/>
      <c r="P1051" s="438"/>
      <c r="Q1051" s="442"/>
      <c r="R1051" s="443"/>
      <c r="S1051" s="364"/>
      <c r="Z1051" s="609" t="s">
        <v>540</v>
      </c>
      <c r="AA1051" s="609" t="s">
        <v>3137</v>
      </c>
    </row>
    <row r="1052" spans="1:29" ht="18">
      <c r="A1052" s="2712"/>
      <c r="B1052" s="371">
        <v>106</v>
      </c>
      <c r="C1052" s="371" t="s">
        <v>2791</v>
      </c>
      <c r="D1052" s="2714">
        <f t="shared" si="93"/>
        <v>1</v>
      </c>
      <c r="E1052" s="2719">
        <v>0</v>
      </c>
      <c r="F1052" s="293"/>
      <c r="G1052" s="3407" t="s">
        <v>7827</v>
      </c>
      <c r="H1052" s="2273">
        <v>4062094.05</v>
      </c>
      <c r="I1052" s="3275">
        <f>J1052/H1052</f>
        <v>8.4099999999999994E-2</v>
      </c>
      <c r="J1052" s="2273">
        <v>341610.64</v>
      </c>
      <c r="K1052" s="1474">
        <f t="shared" si="94"/>
        <v>3720483.41</v>
      </c>
      <c r="L1052" s="3299"/>
      <c r="M1052" s="1587" t="str">
        <f ca="1">HYPERLINK("#'"&amp;$G$1&amp;"'!"&amp;ADDRESS(ROW(Notes!H1096),COLUMN(Notes!H1096),4),"* 请勿删除此行！点击往勾稽单元格，F5+Enter返回")</f>
        <v>* 请勿删除此行！点击往勾稽单元格，F5+Enter返回</v>
      </c>
      <c r="N1052" s="439"/>
      <c r="O1052" s="437"/>
      <c r="P1052" s="438"/>
      <c r="Q1052" s="442"/>
      <c r="R1052" s="443"/>
      <c r="S1052" s="364"/>
      <c r="Z1052" s="609" t="s">
        <v>540</v>
      </c>
      <c r="AA1052" s="609" t="s">
        <v>3137</v>
      </c>
      <c r="AC1052" s="369" t="s">
        <v>6571</v>
      </c>
    </row>
    <row r="1053" spans="1:29" ht="24">
      <c r="A1053" s="2712"/>
      <c r="B1053" s="371">
        <v>107</v>
      </c>
      <c r="C1053" s="371" t="s">
        <v>2791</v>
      </c>
      <c r="D1053" s="2714">
        <f t="shared" si="93"/>
        <v>1</v>
      </c>
      <c r="E1053" s="2719">
        <v>0</v>
      </c>
      <c r="F1053" s="293"/>
      <c r="G1053" s="3407" t="s">
        <v>7826</v>
      </c>
      <c r="H1053" s="2273">
        <f>H1018+H1019+H1020</f>
        <v>5038678.43</v>
      </c>
      <c r="I1053" s="2296"/>
      <c r="J1053" s="2273"/>
      <c r="K1053" s="1474">
        <f t="shared" si="94"/>
        <v>5038678.43</v>
      </c>
      <c r="L1053" s="3299"/>
      <c r="M1053" s="438"/>
      <c r="N1053" s="439"/>
      <c r="O1053" s="437"/>
      <c r="P1053" s="438"/>
      <c r="Q1053" s="442"/>
      <c r="R1053" s="443"/>
      <c r="S1053" s="364"/>
      <c r="Z1053" s="609" t="s">
        <v>540</v>
      </c>
      <c r="AA1053" s="609" t="s">
        <v>3137</v>
      </c>
    </row>
    <row r="1054" spans="1:29" ht="18">
      <c r="A1054" s="2712"/>
      <c r="B1054" s="371">
        <v>108</v>
      </c>
      <c r="C1054" s="371" t="s">
        <v>6530</v>
      </c>
      <c r="D1054" s="2714">
        <f t="shared" si="93"/>
        <v>0</v>
      </c>
      <c r="E1054" s="2719">
        <v>0</v>
      </c>
      <c r="F1054" s="293"/>
      <c r="G1054" s="2282"/>
      <c r="H1054" s="2273"/>
      <c r="I1054" s="3275"/>
      <c r="J1054" s="2273"/>
      <c r="K1054" s="1474">
        <f t="shared" ref="K1054" si="95">H1054-J1054</f>
        <v>0</v>
      </c>
      <c r="L1054" s="3299"/>
      <c r="M1054" s="438"/>
      <c r="N1054" s="439"/>
      <c r="O1054" s="437"/>
      <c r="P1054" s="438"/>
      <c r="Q1054" s="442"/>
      <c r="R1054" s="443"/>
      <c r="S1054" s="364"/>
      <c r="Z1054" s="609" t="s">
        <v>540</v>
      </c>
      <c r="AA1054" s="609" t="s">
        <v>3137</v>
      </c>
    </row>
    <row r="1055" spans="1:29" ht="18">
      <c r="A1055" s="2712"/>
      <c r="B1055" s="371">
        <v>109</v>
      </c>
      <c r="C1055" s="371" t="s">
        <v>2791</v>
      </c>
      <c r="D1055" s="2714">
        <f t="shared" si="93"/>
        <v>0</v>
      </c>
      <c r="E1055" s="2719">
        <v>0</v>
      </c>
      <c r="F1055" s="293"/>
      <c r="G1055" s="2282" t="s">
        <v>2792</v>
      </c>
      <c r="H1055" s="2273"/>
      <c r="I1055" s="2296"/>
      <c r="J1055" s="2273"/>
      <c r="K1055" s="1474">
        <f t="shared" si="94"/>
        <v>0</v>
      </c>
      <c r="L1055" s="2274"/>
      <c r="M1055" s="438"/>
      <c r="N1055" s="439"/>
      <c r="O1055" s="437"/>
      <c r="P1055" s="438"/>
      <c r="Q1055" s="442"/>
      <c r="R1055" s="443"/>
      <c r="S1055" s="364"/>
      <c r="Z1055" s="609" t="s">
        <v>540</v>
      </c>
      <c r="AA1055" s="609" t="s">
        <v>3137</v>
      </c>
    </row>
    <row r="1056" spans="1:29" ht="18.75" thickBot="1">
      <c r="A1056" s="2712"/>
      <c r="B1056" s="371"/>
      <c r="C1056" s="371"/>
      <c r="D1056" s="2714">
        <f t="shared" si="93"/>
        <v>1</v>
      </c>
      <c r="E1056" s="2719" t="s">
        <v>2751</v>
      </c>
      <c r="F1056" s="293"/>
      <c r="G1056" s="2232" t="s">
        <v>5139</v>
      </c>
      <c r="H1056" s="2233">
        <f>SUMPRODUCT($E1046:$E1055,H1046:H1055)</f>
        <v>9100772.4800000004</v>
      </c>
      <c r="I1056" s="2240"/>
      <c r="J1056" s="2233">
        <f>SUMPRODUCT($E1046:$E1055,J1046:J1055)</f>
        <v>341610.64</v>
      </c>
      <c r="K1056" s="2233">
        <f>SUMPRODUCT($E1046:$E1055,K1046:K1055)</f>
        <v>8759161.8399999999</v>
      </c>
      <c r="L1056" s="2242"/>
      <c r="M1056" s="1595" t="str">
        <f ca="1">HYPERLINK("#'"&amp;$G$1&amp;"'!"&amp;ADDRESS(ROW(Notes!L1031),COLUMN(Notes!L1031),4),"* 请勿删除此行！点击往勾稽单元格，F5+Enter返回")</f>
        <v>* 请勿删除此行！点击往勾稽单元格，F5+Enter返回</v>
      </c>
      <c r="N1056" s="439"/>
      <c r="O1056" s="437"/>
      <c r="P1056" s="440"/>
      <c r="Q1056" s="442"/>
      <c r="R1056" s="443"/>
      <c r="S1056" s="364"/>
      <c r="Z1056" s="609" t="s">
        <v>540</v>
      </c>
      <c r="AA1056" s="609" t="s">
        <v>3137</v>
      </c>
      <c r="AC1056" s="369" t="s">
        <v>6571</v>
      </c>
    </row>
    <row r="1057" spans="1:27" ht="18">
      <c r="A1057" s="2712"/>
      <c r="B1057" s="371"/>
      <c r="C1057" s="371" t="s">
        <v>2755</v>
      </c>
      <c r="D1057" s="2714"/>
      <c r="F1057" s="293"/>
      <c r="G1057" s="376"/>
      <c r="H1057" s="315"/>
      <c r="I1057" s="432"/>
      <c r="J1057" s="315"/>
      <c r="K1057" s="423"/>
      <c r="L1057" s="393"/>
      <c r="M1057" s="425"/>
      <c r="N1057" s="426"/>
      <c r="O1057" s="427"/>
      <c r="P1057" s="425"/>
      <c r="Q1057" s="442"/>
      <c r="R1057" s="443"/>
      <c r="S1057" s="364"/>
      <c r="Z1057" s="609" t="s">
        <v>540</v>
      </c>
      <c r="AA1057" s="609" t="s">
        <v>3137</v>
      </c>
    </row>
    <row r="1058" spans="1:27" ht="36">
      <c r="A1058" s="2712">
        <v>122111</v>
      </c>
      <c r="B1058" s="371" t="s">
        <v>6536</v>
      </c>
      <c r="C1058" s="371"/>
      <c r="D1058" s="2714" t="str">
        <f>VLOOKUP($A1058,Sheet_NoteList,2,0)</f>
        <v>期末按单项计提坏账准备的其他应收款（第一阶段）</v>
      </c>
      <c r="E1058" s="2714" t="s">
        <v>6529</v>
      </c>
      <c r="F1058" s="293"/>
      <c r="G1058" s="372" t="str">
        <f>"("&amp;B1058&amp;")"&amp;D1058</f>
        <v>(3A1.1)期末按单项计提坏账准备的其他应收款（第一阶段）</v>
      </c>
      <c r="H1058" s="2313">
        <f>$A1058</f>
        <v>122111</v>
      </c>
      <c r="I1058" s="343" t="s">
        <v>5467</v>
      </c>
      <c r="J1058" s="301" t="s">
        <v>5468</v>
      </c>
      <c r="K1058" s="2208">
        <f>H1071</f>
        <v>0</v>
      </c>
      <c r="L1058" s="349">
        <f>IF($I1058="适用",IF(ROUND(K$988-K1058,2)=0,"F/S",ROUND(K$988-K1058,2)),"#N/A")</f>
        <v>8760929.7400000002</v>
      </c>
      <c r="M1058" s="301" t="s">
        <v>5469</v>
      </c>
      <c r="N1058" s="2208">
        <f>I1071</f>
        <v>0</v>
      </c>
      <c r="O1058" s="349">
        <f>IF($I1058="适用",IF(ROUND(N$988-N1058,2)=0,"F/S",ROUND(N$988-N1058,2)),"#N/A")</f>
        <v>1111613.68</v>
      </c>
      <c r="P1058" s="301"/>
      <c r="S1058" s="364"/>
      <c r="Z1058" s="609" t="s">
        <v>540</v>
      </c>
      <c r="AA1058" s="609" t="s">
        <v>3137</v>
      </c>
    </row>
    <row r="1059" spans="1:27" ht="0.75" customHeight="1">
      <c r="A1059" s="2712"/>
      <c r="B1059" s="371"/>
      <c r="C1059" s="371"/>
      <c r="D1059" s="2714"/>
      <c r="E1059" s="586"/>
      <c r="F1059" s="586"/>
      <c r="G1059" s="2222" t="s">
        <v>6320</v>
      </c>
      <c r="H1059" s="371" t="s">
        <v>6321</v>
      </c>
      <c r="I1059" s="371" t="s">
        <v>6322</v>
      </c>
      <c r="J1059" s="371" t="s">
        <v>6323</v>
      </c>
      <c r="K1059" s="371" t="s">
        <v>6324</v>
      </c>
      <c r="L1059" s="428"/>
      <c r="M1059" s="433"/>
      <c r="N1059" s="428"/>
      <c r="O1059" s="428"/>
      <c r="P1059" s="433"/>
      <c r="Q1059" s="442"/>
      <c r="R1059" s="443"/>
      <c r="S1059" s="364"/>
      <c r="Z1059" s="609" t="s">
        <v>540</v>
      </c>
      <c r="AA1059" s="609" t="s">
        <v>3137</v>
      </c>
    </row>
    <row r="1060" spans="1:27" ht="0.75" customHeight="1" thickBot="1">
      <c r="A1060" s="2712"/>
      <c r="B1060" s="371"/>
      <c r="C1060" s="371"/>
      <c r="D1060" s="2714"/>
      <c r="E1060" s="586"/>
      <c r="F1060" s="586"/>
      <c r="G1060" s="2222"/>
      <c r="H1060" s="371" t="s">
        <v>6325</v>
      </c>
      <c r="I1060" s="371" t="s">
        <v>6326</v>
      </c>
      <c r="J1060" s="371" t="s">
        <v>6327</v>
      </c>
      <c r="K1060" s="371" t="s">
        <v>6328</v>
      </c>
      <c r="L1060" s="428"/>
      <c r="M1060" s="433"/>
      <c r="N1060" s="428"/>
      <c r="O1060" s="428"/>
      <c r="P1060" s="433"/>
      <c r="Q1060" s="442"/>
      <c r="R1060" s="443"/>
      <c r="S1060" s="364"/>
      <c r="Z1060" s="609" t="s">
        <v>540</v>
      </c>
      <c r="AA1060" s="609" t="s">
        <v>3137</v>
      </c>
    </row>
    <row r="1061" spans="1:27" ht="18" customHeight="1">
      <c r="A1061" s="2712"/>
      <c r="B1061" s="371"/>
      <c r="C1061" s="371"/>
      <c r="D1061" s="2714"/>
      <c r="E1061" s="586" t="s">
        <v>2749</v>
      </c>
      <c r="F1061" s="414"/>
      <c r="G1061" s="3462" t="s">
        <v>5134</v>
      </c>
      <c r="H1061" s="3470" t="str">
        <f>$V$2</f>
        <v>2019年12月31日</v>
      </c>
      <c r="I1061" s="3471"/>
      <c r="J1061" s="3471"/>
      <c r="K1061" s="3471"/>
      <c r="L1061" s="355" t="s">
        <v>5271</v>
      </c>
      <c r="M1061" s="433"/>
      <c r="N1061" s="428"/>
      <c r="O1061" s="428"/>
      <c r="P1061" s="433"/>
      <c r="Q1061" s="442"/>
      <c r="R1061" s="443"/>
      <c r="S1061" s="364"/>
      <c r="Z1061" s="609" t="s">
        <v>540</v>
      </c>
      <c r="AA1061" s="609" t="s">
        <v>3137</v>
      </c>
    </row>
    <row r="1062" spans="1:27" ht="18">
      <c r="A1062" s="2712"/>
      <c r="B1062" s="371"/>
      <c r="C1062" s="371"/>
      <c r="D1062" s="2714"/>
      <c r="E1062" s="586" t="s">
        <v>2749</v>
      </c>
      <c r="F1062" s="414"/>
      <c r="G1062" s="3463"/>
      <c r="H1062" s="2543" t="s">
        <v>6126</v>
      </c>
      <c r="I1062" s="2292" t="s">
        <v>2862</v>
      </c>
      <c r="J1062" s="2292" t="s">
        <v>3001</v>
      </c>
      <c r="K1062" s="2238" t="s">
        <v>2899</v>
      </c>
      <c r="L1062" s="434"/>
      <c r="M1062" s="1509"/>
      <c r="N1062" s="434"/>
      <c r="O1062" s="434"/>
      <c r="P1062" s="1509"/>
      <c r="Q1062" s="442"/>
      <c r="R1062" s="443"/>
      <c r="S1062" s="364"/>
      <c r="Z1062" s="609" t="s">
        <v>540</v>
      </c>
      <c r="AA1062" s="609" t="s">
        <v>3137</v>
      </c>
    </row>
    <row r="1063" spans="1:27" ht="18">
      <c r="A1063" s="2712"/>
      <c r="B1063" s="371">
        <v>101</v>
      </c>
      <c r="C1063" s="371" t="s">
        <v>2791</v>
      </c>
      <c r="D1063" s="2714">
        <f t="shared" ref="D1063:D1071" si="96">IF(OR(G1063="*",G1063="",G1063=0),0,COUNTIF($G$1063:$G$1071,G1063))</f>
        <v>0</v>
      </c>
      <c r="E1063" s="2719">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8">
      <c r="A1064" s="2712"/>
      <c r="B1064" s="371">
        <v>102</v>
      </c>
      <c r="C1064" s="371" t="s">
        <v>2791</v>
      </c>
      <c r="D1064" s="2714">
        <f t="shared" si="96"/>
        <v>0</v>
      </c>
      <c r="E1064" s="2719">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8">
      <c r="A1065" s="2712"/>
      <c r="B1065" s="371">
        <v>103</v>
      </c>
      <c r="C1065" s="371" t="s">
        <v>2791</v>
      </c>
      <c r="D1065" s="2714">
        <f t="shared" si="96"/>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8">
      <c r="A1066" s="2712"/>
      <c r="B1066" s="371">
        <v>104</v>
      </c>
      <c r="C1066" s="371" t="s">
        <v>2791</v>
      </c>
      <c r="D1066" s="2714">
        <f t="shared" si="96"/>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8">
      <c r="A1067" s="2712"/>
      <c r="B1067" s="371">
        <v>105</v>
      </c>
      <c r="C1067" s="371" t="s">
        <v>2791</v>
      </c>
      <c r="D1067" s="2714">
        <f t="shared" si="96"/>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8">
      <c r="A1068" s="2712"/>
      <c r="B1068" s="371">
        <v>106</v>
      </c>
      <c r="C1068" s="371" t="s">
        <v>2791</v>
      </c>
      <c r="D1068" s="2714">
        <f t="shared" si="96"/>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8">
      <c r="A1069" s="2712"/>
      <c r="B1069" s="371">
        <v>107</v>
      </c>
      <c r="C1069" s="371" t="s">
        <v>2791</v>
      </c>
      <c r="D1069" s="2714">
        <f t="shared" si="96"/>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8">
      <c r="A1070" s="2712"/>
      <c r="B1070" s="371">
        <v>108</v>
      </c>
      <c r="C1070" s="371" t="s">
        <v>2791</v>
      </c>
      <c r="D1070" s="2714">
        <f t="shared" si="96"/>
        <v>0</v>
      </c>
      <c r="E1070" s="2719">
        <v>1</v>
      </c>
      <c r="F1070" s="293"/>
      <c r="G1070" s="2282" t="s">
        <v>2792</v>
      </c>
      <c r="H1070" s="2273"/>
      <c r="I1070" s="2273"/>
      <c r="J1070" s="2296"/>
      <c r="K1070" s="2274"/>
      <c r="L1070" s="437"/>
      <c r="M1070" s="438"/>
      <c r="N1070" s="439"/>
      <c r="O1070" s="437"/>
      <c r="P1070" s="438"/>
      <c r="Q1070" s="442"/>
      <c r="R1070" s="443"/>
      <c r="S1070" s="364"/>
      <c r="Z1070" s="609" t="s">
        <v>540</v>
      </c>
      <c r="AA1070" s="609" t="s">
        <v>3137</v>
      </c>
    </row>
    <row r="1071" spans="1:27" ht="18.75" thickBot="1">
      <c r="A1071" s="2712"/>
      <c r="B1071" s="371"/>
      <c r="C1071" s="371"/>
      <c r="D1071" s="2714">
        <f t="shared" si="96"/>
        <v>1</v>
      </c>
      <c r="E1071" s="2719" t="s">
        <v>2751</v>
      </c>
      <c r="F1071" s="293"/>
      <c r="G1071" s="2232" t="s">
        <v>2752</v>
      </c>
      <c r="H1071" s="2233">
        <f>SUMPRODUCT($E1062:$E1070,H1062:H1070)</f>
        <v>0</v>
      </c>
      <c r="I1071" s="2233">
        <f>SUMPRODUCT($E1062:$E1070,I1062:I1070)</f>
        <v>0</v>
      </c>
      <c r="J1071" s="2239"/>
      <c r="K1071" s="2242"/>
      <c r="L1071" s="437"/>
      <c r="M1071" s="1506"/>
      <c r="N1071" s="439"/>
      <c r="O1071" s="437"/>
      <c r="P1071" s="1506"/>
      <c r="Q1071" s="442"/>
      <c r="R1071" s="443"/>
      <c r="S1071" s="364"/>
      <c r="Z1071" s="609" t="s">
        <v>540</v>
      </c>
      <c r="AA1071" s="609" t="s">
        <v>3137</v>
      </c>
    </row>
    <row r="1072" spans="1:27" ht="18.75" thickBot="1">
      <c r="A1072" s="2712"/>
      <c r="B1072" s="371"/>
      <c r="C1072" s="371" t="s">
        <v>2755</v>
      </c>
      <c r="D1072" s="2714"/>
      <c r="F1072" s="293"/>
      <c r="G1072" s="376"/>
      <c r="H1072" s="2624" t="s">
        <v>3002</v>
      </c>
      <c r="I1072" s="2251" t="s">
        <v>3002</v>
      </c>
      <c r="J1072" s="393"/>
      <c r="K1072" s="392"/>
      <c r="L1072" s="427"/>
      <c r="M1072" s="425"/>
      <c r="N1072" s="426"/>
      <c r="O1072" s="427"/>
      <c r="P1072" s="425"/>
      <c r="Q1072" s="442"/>
      <c r="R1072" s="443"/>
      <c r="S1072" s="364"/>
      <c r="Z1072" s="609" t="s">
        <v>540</v>
      </c>
      <c r="AA1072" s="609" t="s">
        <v>3137</v>
      </c>
    </row>
    <row r="1073" spans="1:27" ht="18.75" thickTop="1">
      <c r="A1073" s="2712"/>
      <c r="B1073" s="371"/>
      <c r="C1073" s="371" t="s">
        <v>2565</v>
      </c>
      <c r="D1073" s="2714"/>
      <c r="F1073" s="293"/>
      <c r="G1073" s="1547" t="s">
        <v>5365</v>
      </c>
      <c r="H1073" s="1548" t="str">
        <f>G1044</f>
        <v>(3A1)期末处于第一阶段的其他应收款坏账准备（三阶段模型）</v>
      </c>
      <c r="I1073" s="1550"/>
      <c r="J1073" s="1549"/>
      <c r="K1073" s="1549"/>
      <c r="L1073" s="1551" t="s">
        <v>5366</v>
      </c>
      <c r="M1073" s="425"/>
      <c r="N1073" s="426"/>
      <c r="O1073" s="427"/>
      <c r="P1073" s="425"/>
      <c r="Q1073" s="442"/>
      <c r="R1073" s="442"/>
      <c r="S1073" s="364"/>
      <c r="Z1073" s="609" t="s">
        <v>540</v>
      </c>
      <c r="AA1073" s="609" t="s">
        <v>3137</v>
      </c>
    </row>
    <row r="1074" spans="1:27" ht="18">
      <c r="A1074" s="2712"/>
      <c r="B1074" s="371"/>
      <c r="C1074" s="371" t="s">
        <v>2565</v>
      </c>
      <c r="D1074" s="2714"/>
      <c r="F1074" s="293"/>
      <c r="G1074" s="604" t="str">
        <f>"注释A:"&amp; G1047</f>
        <v>注释A:按单项计提坏账准备</v>
      </c>
      <c r="H1074" s="2250">
        <f ca="1">HYPERLINK("#'"&amp;$G$1&amp;"'!"&amp;ADDRESS(ROW(Notes!H1047),COLUMN(Notes!H1047),4),H1047)</f>
        <v>0</v>
      </c>
      <c r="I1074" s="2250">
        <f ca="1">HYPERLINK("#'"&amp;$G$1&amp;"'!"&amp;ADDRESS(ROW(Notes!J1047),COLUMN(Notes!J1047),4),J1047)</f>
        <v>0</v>
      </c>
      <c r="J1074" s="351"/>
      <c r="K1074" s="351"/>
      <c r="L1074" s="2634">
        <f>H1044</f>
        <v>122101</v>
      </c>
      <c r="M1074" s="425"/>
      <c r="N1074" s="426"/>
      <c r="O1074" s="427"/>
      <c r="P1074" s="425"/>
      <c r="Q1074" s="442"/>
      <c r="R1074" s="442"/>
      <c r="S1074" s="364"/>
      <c r="Z1074" s="609" t="s">
        <v>540</v>
      </c>
      <c r="AA1074" s="609" t="s">
        <v>3137</v>
      </c>
    </row>
    <row r="1075" spans="1:27" ht="18">
      <c r="A1075" s="2712"/>
      <c r="B1075" s="371"/>
      <c r="C1075" s="371" t="s">
        <v>2565</v>
      </c>
      <c r="D1075" s="2714"/>
      <c r="F1075" s="293"/>
      <c r="G1075" s="604" t="str">
        <f>"本注释B:"&amp; G1056</f>
        <v>本注释B:合       计</v>
      </c>
      <c r="H1075" s="456">
        <f>H1071</f>
        <v>0</v>
      </c>
      <c r="I1075" s="456">
        <f>I1071</f>
        <v>0</v>
      </c>
      <c r="J1075" s="351"/>
      <c r="K1075" s="351"/>
      <c r="L1075" s="2633">
        <v>122111</v>
      </c>
      <c r="M1075" s="425"/>
      <c r="N1075" s="426"/>
      <c r="O1075" s="427"/>
      <c r="P1075" s="425"/>
      <c r="Q1075" s="442"/>
      <c r="R1075" s="442"/>
      <c r="S1075" s="364"/>
      <c r="Z1075" s="609" t="s">
        <v>540</v>
      </c>
      <c r="AA1075" s="609" t="s">
        <v>3137</v>
      </c>
    </row>
    <row r="1076" spans="1:27" ht="18.75" thickBot="1">
      <c r="A1076" s="2712"/>
      <c r="B1076" s="371"/>
      <c r="C1076" s="371" t="s">
        <v>2565</v>
      </c>
      <c r="D1076" s="2714"/>
      <c r="F1076" s="293"/>
      <c r="G1076" s="1552" t="s">
        <v>2757</v>
      </c>
      <c r="H1076" s="1529">
        <f ca="1">IF(AND(H1074="",H1075=""),"",ROUND(H1074-H1075,2))</f>
        <v>0</v>
      </c>
      <c r="I1076" s="1529">
        <f ca="1">IF(AND(I1074="",I1075=""),"",ROUND(I1074-I1075,2))</f>
        <v>0</v>
      </c>
      <c r="J1076" s="1553"/>
      <c r="K1076" s="1553"/>
      <c r="L1076" s="1554"/>
      <c r="M1076" s="425"/>
      <c r="N1076" s="426"/>
      <c r="O1076" s="427"/>
      <c r="P1076" s="425"/>
      <c r="Q1076" s="442"/>
      <c r="R1076" s="442"/>
      <c r="S1076" s="364"/>
      <c r="Z1076" s="609" t="s">
        <v>540</v>
      </c>
      <c r="AA1076" s="609" t="s">
        <v>3137</v>
      </c>
    </row>
    <row r="1077" spans="1:27" ht="18.75" thickTop="1">
      <c r="A1077" s="2712"/>
      <c r="B1077" s="371"/>
      <c r="C1077" s="371" t="s">
        <v>2565</v>
      </c>
      <c r="D1077" s="2714"/>
      <c r="F1077" s="293"/>
      <c r="G1077" s="1543"/>
      <c r="H1077" s="459" t="str">
        <f ca="1">IF(OR(H1076=0,H1076=""),"√","？")</f>
        <v>√</v>
      </c>
      <c r="I1077" s="459" t="str">
        <f ca="1">IF(OR(I1076=0,I1076=""),"√","？")</f>
        <v>√</v>
      </c>
      <c r="J1077" s="317"/>
      <c r="K1077" s="317"/>
      <c r="L1077" s="1545"/>
      <c r="M1077" s="425"/>
      <c r="N1077" s="426"/>
      <c r="O1077" s="427"/>
      <c r="P1077" s="425"/>
      <c r="Q1077" s="442"/>
      <c r="R1077" s="442"/>
      <c r="S1077" s="364"/>
      <c r="Z1077" s="609" t="s">
        <v>540</v>
      </c>
      <c r="AA1077" s="609" t="s">
        <v>3137</v>
      </c>
    </row>
    <row r="1078" spans="1:27" ht="18">
      <c r="A1078" s="2712"/>
      <c r="B1078" s="371"/>
      <c r="C1078" s="371" t="s">
        <v>2565</v>
      </c>
      <c r="D1078" s="2714"/>
      <c r="F1078" s="293"/>
      <c r="G1078" s="1557" t="s">
        <v>2759</v>
      </c>
      <c r="H1078" s="461"/>
      <c r="I1078" s="461"/>
      <c r="J1078" s="317"/>
      <c r="K1078" s="352">
        <f ca="1">SUMIF($H$1077:$L$1077,"&lt;&gt;√",$H$1076:$L$1076)</f>
        <v>0</v>
      </c>
      <c r="L1078" s="2252" t="str">
        <f ca="1">IF(OR(K1078=0,K1078=""),"√","？")</f>
        <v>√</v>
      </c>
      <c r="M1078" s="425"/>
      <c r="N1078" s="426"/>
      <c r="O1078" s="427"/>
      <c r="P1078" s="425"/>
      <c r="Q1078" s="442"/>
      <c r="R1078" s="442"/>
      <c r="S1078" s="364"/>
      <c r="Z1078" s="609" t="s">
        <v>540</v>
      </c>
      <c r="AA1078" s="609" t="s">
        <v>3137</v>
      </c>
    </row>
    <row r="1079" spans="1:27" ht="18">
      <c r="A1079" s="2712"/>
      <c r="B1079" s="371"/>
      <c r="C1079" s="371" t="s">
        <v>2565</v>
      </c>
      <c r="D1079" s="2714"/>
      <c r="F1079" s="293"/>
      <c r="G1079" s="1543"/>
      <c r="H1079" s="461"/>
      <c r="I1079" s="461"/>
      <c r="J1079" s="317"/>
      <c r="K1079" s="317"/>
      <c r="L1079" s="1545"/>
      <c r="M1079" s="425"/>
      <c r="N1079" s="426"/>
      <c r="O1079" s="427"/>
      <c r="P1079" s="425"/>
      <c r="Q1079" s="442"/>
      <c r="R1079" s="442"/>
      <c r="S1079" s="364"/>
      <c r="Z1079" s="609" t="s">
        <v>540</v>
      </c>
      <c r="AA1079" s="609" t="s">
        <v>3137</v>
      </c>
    </row>
    <row r="1080" spans="1:27" ht="36">
      <c r="A1080" s="2712">
        <v>122112</v>
      </c>
      <c r="B1080" s="371" t="s">
        <v>6537</v>
      </c>
      <c r="C1080" s="371"/>
      <c r="D1080" s="2714" t="str">
        <f>VLOOKUP($A1080,Sheet_NoteList,2,0)</f>
        <v>期末按组合1计提坏账准备的其他应收款（第一阶段）</v>
      </c>
      <c r="E1080" s="2714" t="s">
        <v>6531</v>
      </c>
      <c r="F1080" s="293"/>
      <c r="G1080" s="372" t="str">
        <f>"("&amp;B1080&amp;")"&amp;D1080</f>
        <v>(3A1.2)期末按组合1计提坏账准备的其他应收款（第一阶段）</v>
      </c>
      <c r="H1080" s="2313">
        <f>$A1080</f>
        <v>122112</v>
      </c>
      <c r="I1080" s="343" t="s">
        <v>5122</v>
      </c>
      <c r="J1080" s="301" t="s">
        <v>5544</v>
      </c>
      <c r="K1080" s="2208">
        <f>H1093</f>
        <v>4062094.05</v>
      </c>
      <c r="L1080" s="349"/>
      <c r="M1080" s="301"/>
      <c r="N1080" s="391"/>
      <c r="O1080" s="349"/>
      <c r="P1080" s="301"/>
      <c r="S1080" s="364"/>
      <c r="Z1080" s="609" t="s">
        <v>540</v>
      </c>
      <c r="AA1080" s="609" t="s">
        <v>3137</v>
      </c>
    </row>
    <row r="1081" spans="1:27" ht="0.75" customHeight="1">
      <c r="A1081" s="2712"/>
      <c r="B1081" s="371"/>
      <c r="C1081" s="371"/>
      <c r="D1081" s="2714"/>
      <c r="E1081" s="586"/>
      <c r="F1081" s="586"/>
      <c r="G1081" s="2222" t="s">
        <v>5904</v>
      </c>
      <c r="H1081" s="371" t="s">
        <v>5386</v>
      </c>
      <c r="I1081" s="371" t="s">
        <v>5528</v>
      </c>
      <c r="J1081" s="371" t="s">
        <v>5400</v>
      </c>
      <c r="K1081" s="391"/>
      <c r="L1081" s="349"/>
      <c r="M1081" s="301"/>
      <c r="N1081" s="391"/>
      <c r="O1081" s="349"/>
      <c r="P1081" s="301"/>
      <c r="S1081" s="364"/>
      <c r="Z1081" s="609" t="s">
        <v>540</v>
      </c>
      <c r="AA1081" s="609" t="s">
        <v>3137</v>
      </c>
    </row>
    <row r="1082" spans="1:27" ht="0.75" customHeight="1" thickBot="1">
      <c r="A1082" s="2712"/>
      <c r="B1082" s="371"/>
      <c r="C1082" s="371"/>
      <c r="D1082" s="2714"/>
      <c r="E1082" s="586"/>
      <c r="F1082" s="586"/>
      <c r="G1082" s="2222"/>
      <c r="H1082" s="1615" t="s">
        <v>5470</v>
      </c>
      <c r="I1082" s="371" t="s">
        <v>5375</v>
      </c>
      <c r="J1082" s="371" t="s">
        <v>5376</v>
      </c>
      <c r="K1082" s="391"/>
      <c r="L1082" s="349"/>
      <c r="M1082" s="301"/>
      <c r="N1082" s="391"/>
      <c r="O1082" s="349"/>
      <c r="P1082" s="301"/>
      <c r="S1082" s="364"/>
      <c r="Z1082" s="609" t="s">
        <v>540</v>
      </c>
      <c r="AA1082" s="609" t="s">
        <v>3137</v>
      </c>
    </row>
    <row r="1083" spans="1:27" ht="18" customHeight="1">
      <c r="A1083" s="2712"/>
      <c r="B1083" s="371"/>
      <c r="C1083" s="371"/>
      <c r="D1083" s="2714"/>
      <c r="E1083" s="586" t="s">
        <v>2749</v>
      </c>
      <c r="F1083" s="414"/>
      <c r="G1083" s="3462" t="s">
        <v>5135</v>
      </c>
      <c r="H1083" s="3470" t="str">
        <f>$V$2</f>
        <v>2019年12月31日</v>
      </c>
      <c r="I1083" s="3471"/>
      <c r="J1083" s="3471"/>
      <c r="K1083" s="355" t="s">
        <v>5271</v>
      </c>
      <c r="L1083" s="349"/>
      <c r="M1083" s="301"/>
      <c r="N1083" s="391"/>
      <c r="O1083" s="349"/>
      <c r="P1083" s="301"/>
      <c r="S1083" s="364"/>
      <c r="Z1083" s="609" t="s">
        <v>540</v>
      </c>
      <c r="AA1083" s="609" t="s">
        <v>3137</v>
      </c>
    </row>
    <row r="1084" spans="1:27" ht="18">
      <c r="A1084" s="2712"/>
      <c r="B1084" s="371"/>
      <c r="C1084" s="371"/>
      <c r="D1084" s="2714"/>
      <c r="E1084" s="586" t="s">
        <v>2749</v>
      </c>
      <c r="F1084" s="414"/>
      <c r="G1084" s="3463"/>
      <c r="H1084" s="2292" t="s">
        <v>2861</v>
      </c>
      <c r="I1084" s="2292" t="s">
        <v>2862</v>
      </c>
      <c r="J1084" s="2238" t="s">
        <v>2889</v>
      </c>
      <c r="K1084" s="391"/>
      <c r="L1084" s="349"/>
      <c r="M1084" s="301"/>
      <c r="N1084" s="391"/>
      <c r="O1084" s="349"/>
      <c r="P1084" s="301"/>
      <c r="S1084" s="364"/>
      <c r="Z1084" s="609" t="s">
        <v>540</v>
      </c>
      <c r="AA1084" s="609" t="s">
        <v>3137</v>
      </c>
    </row>
    <row r="1085" spans="1:27" ht="18">
      <c r="A1085" s="2712"/>
      <c r="B1085" s="371">
        <v>101</v>
      </c>
      <c r="C1085" s="371"/>
      <c r="D1085" s="2714">
        <f t="shared" ref="D1085:D1093" si="97">IF(OR(G1085="*",G1085="",G1085=0),0,COUNTIF($G$1085:$G$1093,G1085))</f>
        <v>1</v>
      </c>
      <c r="E1085" s="2719">
        <v>1</v>
      </c>
      <c r="F1085" s="293"/>
      <c r="G1085" s="1472" t="s">
        <v>2938</v>
      </c>
      <c r="H1085" s="2273">
        <v>2104394.0499999998</v>
      </c>
      <c r="I1085" s="2273">
        <v>126263.64</v>
      </c>
      <c r="J1085" s="3300">
        <f>I1085/H1085</f>
        <v>0.06</v>
      </c>
      <c r="K1085" s="391"/>
      <c r="L1085" s="349"/>
      <c r="M1085" s="301"/>
      <c r="N1085" s="391"/>
      <c r="O1085" s="349"/>
      <c r="P1085" s="301"/>
      <c r="S1085" s="364"/>
      <c r="Z1085" s="609" t="s">
        <v>540</v>
      </c>
      <c r="AA1085" s="609" t="s">
        <v>3137</v>
      </c>
    </row>
    <row r="1086" spans="1:27" ht="18">
      <c r="A1086" s="2712"/>
      <c r="B1086" s="371">
        <v>102</v>
      </c>
      <c r="C1086" s="371"/>
      <c r="D1086" s="2714">
        <f t="shared" si="97"/>
        <v>1</v>
      </c>
      <c r="E1086" s="2719">
        <v>1</v>
      </c>
      <c r="F1086" s="293"/>
      <c r="G1086" s="1472" t="s">
        <v>2962</v>
      </c>
      <c r="H1086" s="2273">
        <v>1957700</v>
      </c>
      <c r="I1086" s="2273">
        <v>215347</v>
      </c>
      <c r="J1086" s="3300">
        <f>I1086/H1086</f>
        <v>0.11</v>
      </c>
      <c r="K1086" s="391"/>
      <c r="L1086" s="349"/>
      <c r="M1086" s="301"/>
      <c r="N1086" s="391"/>
      <c r="O1086" s="349"/>
      <c r="P1086" s="301"/>
      <c r="S1086" s="364"/>
      <c r="Z1086" s="609" t="s">
        <v>540</v>
      </c>
      <c r="AA1086" s="609" t="s">
        <v>3137</v>
      </c>
    </row>
    <row r="1087" spans="1:27" ht="18">
      <c r="A1087" s="2712"/>
      <c r="B1087" s="371">
        <v>103</v>
      </c>
      <c r="C1087" s="371"/>
      <c r="D1087" s="2714">
        <f t="shared" si="97"/>
        <v>1</v>
      </c>
      <c r="E1087" s="2719">
        <v>1</v>
      </c>
      <c r="F1087" s="293"/>
      <c r="G1087" s="1472" t="s">
        <v>2963</v>
      </c>
      <c r="H1087" s="2273"/>
      <c r="I1087" s="2273"/>
      <c r="J1087" s="2274"/>
      <c r="K1087" s="391"/>
      <c r="L1087" s="349"/>
      <c r="M1087" s="301"/>
      <c r="N1087" s="391"/>
      <c r="O1087" s="349"/>
      <c r="P1087" s="301"/>
      <c r="S1087" s="364"/>
      <c r="Z1087" s="609" t="s">
        <v>540</v>
      </c>
      <c r="AA1087" s="609" t="s">
        <v>3137</v>
      </c>
    </row>
    <row r="1088" spans="1:27" ht="18">
      <c r="A1088" s="2712"/>
      <c r="B1088" s="371">
        <v>104</v>
      </c>
      <c r="C1088" s="371" t="s">
        <v>2791</v>
      </c>
      <c r="D1088" s="2714">
        <f t="shared" si="97"/>
        <v>1</v>
      </c>
      <c r="E1088" s="2719">
        <v>1</v>
      </c>
      <c r="F1088" s="293"/>
      <c r="G1088" s="2282" t="s">
        <v>2964</v>
      </c>
      <c r="H1088" s="2273"/>
      <c r="I1088" s="2273"/>
      <c r="J1088" s="2274"/>
      <c r="K1088" s="391"/>
      <c r="L1088" s="349"/>
      <c r="M1088" s="301"/>
      <c r="N1088" s="391"/>
      <c r="O1088" s="349"/>
      <c r="P1088" s="301"/>
      <c r="S1088" s="364"/>
      <c r="Z1088" s="609" t="s">
        <v>540</v>
      </c>
      <c r="AA1088" s="609" t="s">
        <v>3137</v>
      </c>
    </row>
    <row r="1089" spans="1:27" ht="18">
      <c r="A1089" s="2712"/>
      <c r="B1089" s="371">
        <v>105</v>
      </c>
      <c r="C1089" s="371" t="s">
        <v>2791</v>
      </c>
      <c r="D1089" s="2714">
        <f t="shared" si="97"/>
        <v>1</v>
      </c>
      <c r="E1089" s="2719">
        <v>1</v>
      </c>
      <c r="F1089" s="293"/>
      <c r="G1089" s="2282" t="s">
        <v>2965</v>
      </c>
      <c r="H1089" s="2273"/>
      <c r="I1089" s="2273"/>
      <c r="J1089" s="2274"/>
      <c r="K1089" s="391"/>
      <c r="L1089" s="349"/>
      <c r="M1089" s="301"/>
      <c r="N1089" s="391"/>
      <c r="O1089" s="349"/>
      <c r="P1089" s="301"/>
      <c r="S1089" s="364"/>
      <c r="Z1089" s="609" t="s">
        <v>540</v>
      </c>
      <c r="AA1089" s="609" t="s">
        <v>3137</v>
      </c>
    </row>
    <row r="1090" spans="1:27" ht="18">
      <c r="A1090" s="2712"/>
      <c r="B1090" s="371">
        <v>106</v>
      </c>
      <c r="C1090" s="371" t="s">
        <v>2791</v>
      </c>
      <c r="D1090" s="2714">
        <f t="shared" si="97"/>
        <v>1</v>
      </c>
      <c r="E1090" s="2719">
        <v>1</v>
      </c>
      <c r="F1090" s="293"/>
      <c r="G1090" s="2282" t="s">
        <v>2944</v>
      </c>
      <c r="H1090" s="2273"/>
      <c r="I1090" s="2273"/>
      <c r="J1090" s="2274"/>
      <c r="K1090" s="391"/>
      <c r="L1090" s="349"/>
      <c r="M1090" s="301"/>
      <c r="N1090" s="391"/>
      <c r="O1090" s="349"/>
      <c r="P1090" s="301"/>
      <c r="S1090" s="364"/>
      <c r="Z1090" s="609" t="s">
        <v>540</v>
      </c>
      <c r="AA1090" s="609" t="s">
        <v>3137</v>
      </c>
    </row>
    <row r="1091" spans="1:27" ht="18">
      <c r="A1091" s="2712"/>
      <c r="B1091" s="371">
        <v>107</v>
      </c>
      <c r="C1091" s="371" t="s">
        <v>2791</v>
      </c>
      <c r="D1091" s="2714">
        <f t="shared" si="97"/>
        <v>0</v>
      </c>
      <c r="E1091" s="2719">
        <v>1</v>
      </c>
      <c r="F1091" s="293"/>
      <c r="G1091" s="2282" t="s">
        <v>2792</v>
      </c>
      <c r="H1091" s="2273"/>
      <c r="I1091" s="2273"/>
      <c r="J1091" s="2274"/>
      <c r="K1091" s="391"/>
      <c r="L1091" s="349"/>
      <c r="M1091" s="301"/>
      <c r="N1091" s="391"/>
      <c r="O1091" s="349"/>
      <c r="P1091" s="301"/>
      <c r="S1091" s="364"/>
      <c r="Z1091" s="609" t="s">
        <v>540</v>
      </c>
      <c r="AA1091" s="609" t="s">
        <v>3137</v>
      </c>
    </row>
    <row r="1092" spans="1:27" ht="18">
      <c r="A1092" s="2712"/>
      <c r="B1092" s="371">
        <v>108</v>
      </c>
      <c r="C1092" s="371" t="s">
        <v>2791</v>
      </c>
      <c r="D1092" s="2714">
        <f t="shared" si="97"/>
        <v>0</v>
      </c>
      <c r="E1092" s="2719">
        <v>1</v>
      </c>
      <c r="F1092" s="293"/>
      <c r="G1092" s="2282" t="s">
        <v>2792</v>
      </c>
      <c r="H1092" s="2273"/>
      <c r="I1092" s="2273"/>
      <c r="J1092" s="2274"/>
      <c r="K1092" s="391"/>
      <c r="L1092" s="349"/>
      <c r="M1092" s="301"/>
      <c r="N1092" s="391"/>
      <c r="O1092" s="349"/>
      <c r="P1092" s="301"/>
      <c r="S1092" s="364"/>
      <c r="Z1092" s="609" t="s">
        <v>540</v>
      </c>
      <c r="AA1092" s="609" t="s">
        <v>3137</v>
      </c>
    </row>
    <row r="1093" spans="1:27" ht="18.75" thickBot="1">
      <c r="A1093" s="2712"/>
      <c r="B1093" s="371"/>
      <c r="C1093" s="371"/>
      <c r="D1093" s="2714">
        <f t="shared" si="97"/>
        <v>1</v>
      </c>
      <c r="E1093" s="2719" t="s">
        <v>2751</v>
      </c>
      <c r="F1093" s="293"/>
      <c r="G1093" s="2232" t="s">
        <v>2752</v>
      </c>
      <c r="H1093" s="2233">
        <f>SUMPRODUCT($E1084:$E1092,H1084:H1092)</f>
        <v>4062094.05</v>
      </c>
      <c r="I1093" s="2233">
        <f>SUMPRODUCT($E1084:$E1092,I1084:I1092)</f>
        <v>341610.64</v>
      </c>
      <c r="J1093" s="2242"/>
      <c r="K1093" s="391"/>
      <c r="L1093" s="349"/>
      <c r="M1093" s="301"/>
      <c r="N1093" s="391"/>
      <c r="O1093" s="349"/>
      <c r="P1093" s="301"/>
      <c r="S1093" s="364"/>
      <c r="Z1093" s="609" t="s">
        <v>540</v>
      </c>
      <c r="AA1093" s="609" t="s">
        <v>3137</v>
      </c>
    </row>
    <row r="1094" spans="1:27" ht="18.75" thickBot="1">
      <c r="A1094" s="2712"/>
      <c r="B1094" s="371"/>
      <c r="C1094" s="371" t="s">
        <v>2755</v>
      </c>
      <c r="D1094" s="2714"/>
      <c r="F1094" s="293"/>
      <c r="G1094" s="376"/>
      <c r="H1094" s="2624" t="s">
        <v>3002</v>
      </c>
      <c r="I1094" s="2251" t="s">
        <v>3002</v>
      </c>
      <c r="J1094" s="393"/>
      <c r="K1094" s="391"/>
      <c r="L1094" s="349"/>
      <c r="M1094" s="301"/>
      <c r="N1094" s="391"/>
      <c r="O1094" s="349"/>
      <c r="P1094" s="301"/>
      <c r="S1094" s="364"/>
      <c r="Z1094" s="609" t="s">
        <v>540</v>
      </c>
      <c r="AA1094" s="609" t="s">
        <v>3137</v>
      </c>
    </row>
    <row r="1095" spans="1:27" ht="18.75" thickTop="1">
      <c r="A1095" s="2712"/>
      <c r="B1095" s="371"/>
      <c r="C1095" s="371" t="s">
        <v>2565</v>
      </c>
      <c r="D1095" s="2714"/>
      <c r="F1095" s="293"/>
      <c r="G1095" s="1547" t="s">
        <v>5365</v>
      </c>
      <c r="H1095" s="1548" t="str">
        <f>G1044</f>
        <v>(3A1)期末处于第一阶段的其他应收款坏账准备（三阶段模型）</v>
      </c>
      <c r="I1095" s="1550"/>
      <c r="J1095" s="1549"/>
      <c r="K1095" s="1551" t="s">
        <v>5366</v>
      </c>
      <c r="L1095" s="349"/>
      <c r="M1095" s="301"/>
      <c r="N1095" s="391"/>
      <c r="O1095" s="349"/>
      <c r="P1095" s="301"/>
      <c r="S1095" s="364"/>
      <c r="Z1095" s="609" t="s">
        <v>540</v>
      </c>
      <c r="AA1095" s="609" t="s">
        <v>3137</v>
      </c>
    </row>
    <row r="1096" spans="1:27" ht="18">
      <c r="A1096" s="2712"/>
      <c r="B1096" s="371"/>
      <c r="C1096" s="371" t="s">
        <v>2565</v>
      </c>
      <c r="D1096" s="2714"/>
      <c r="F1096" s="293"/>
      <c r="G1096" s="604" t="str">
        <f>"注释A:"&amp; G1052</f>
        <v>注释A:应收其他款项</v>
      </c>
      <c r="H1096" s="2250">
        <f ca="1">HYPERLINK("#'"&amp;$G$1&amp;"'!"&amp;ADDRESS(ROW(Notes!H1052),COLUMN(Notes!H1052),4),H1052)</f>
        <v>4062094.05</v>
      </c>
      <c r="I1096" s="2250">
        <f ca="1">HYPERLINK("#'"&amp;$G$1&amp;"'!"&amp;ADDRESS(ROW(Notes!J1052),COLUMN(Notes!J1052),4),J1052)</f>
        <v>341610.64</v>
      </c>
      <c r="J1096" s="351"/>
      <c r="K1096" s="2630">
        <f>H1044</f>
        <v>122101</v>
      </c>
      <c r="L1096" s="349"/>
      <c r="M1096" s="301"/>
      <c r="N1096" s="391"/>
      <c r="O1096" s="349"/>
      <c r="P1096" s="301"/>
      <c r="S1096" s="364"/>
      <c r="Z1096" s="609" t="s">
        <v>540</v>
      </c>
      <c r="AA1096" s="609" t="s">
        <v>3137</v>
      </c>
    </row>
    <row r="1097" spans="1:27" ht="18">
      <c r="A1097" s="2712"/>
      <c r="B1097" s="371"/>
      <c r="C1097" s="371" t="s">
        <v>2565</v>
      </c>
      <c r="D1097" s="2714"/>
      <c r="F1097" s="293"/>
      <c r="G1097" s="604" t="str">
        <f>"本注释B:"&amp; G1093</f>
        <v>本注释B:合       计</v>
      </c>
      <c r="H1097" s="456">
        <f>H1093</f>
        <v>4062094.05</v>
      </c>
      <c r="I1097" s="456">
        <f>I1093</f>
        <v>341610.64</v>
      </c>
      <c r="J1097" s="351"/>
      <c r="K1097" s="2635">
        <v>122112</v>
      </c>
      <c r="L1097" s="349"/>
      <c r="M1097" s="301"/>
      <c r="N1097" s="391"/>
      <c r="O1097" s="349"/>
      <c r="P1097" s="301"/>
      <c r="S1097" s="364"/>
      <c r="Z1097" s="609" t="s">
        <v>540</v>
      </c>
      <c r="AA1097" s="609" t="s">
        <v>3137</v>
      </c>
    </row>
    <row r="1098" spans="1:27" ht="18.75" thickBot="1">
      <c r="A1098" s="2712"/>
      <c r="B1098" s="371"/>
      <c r="C1098" s="371" t="s">
        <v>2565</v>
      </c>
      <c r="D1098" s="2714"/>
      <c r="F1098" s="293"/>
      <c r="G1098" s="1552" t="s">
        <v>2757</v>
      </c>
      <c r="H1098" s="1529">
        <f ca="1">IF(AND(H1096="",H1097=""),"",ROUND(H1096-H1097,2))</f>
        <v>0</v>
      </c>
      <c r="I1098" s="1529">
        <f ca="1">IF(AND(I1096="",I1097=""),"",ROUND(I1096-I1097,2))</f>
        <v>0</v>
      </c>
      <c r="J1098" s="1553"/>
      <c r="K1098" s="1553"/>
      <c r="L1098" s="349"/>
      <c r="M1098" s="301"/>
      <c r="N1098" s="391"/>
      <c r="O1098" s="349"/>
      <c r="P1098" s="301"/>
      <c r="S1098" s="364"/>
      <c r="Z1098" s="609" t="s">
        <v>540</v>
      </c>
      <c r="AA1098" s="609" t="s">
        <v>3137</v>
      </c>
    </row>
    <row r="1099" spans="1:27" ht="18.75" thickTop="1">
      <c r="A1099" s="2712"/>
      <c r="B1099" s="371"/>
      <c r="C1099" s="371" t="s">
        <v>2565</v>
      </c>
      <c r="D1099" s="2714"/>
      <c r="F1099" s="293"/>
      <c r="G1099" s="1543"/>
      <c r="H1099" s="459" t="str">
        <f ca="1">IF(OR(H1098=0,H1098=""),"√","？")</f>
        <v>√</v>
      </c>
      <c r="I1099" s="459" t="str">
        <f ca="1">IF(OR(I1098=0,I1098=""),"√","？")</f>
        <v>√</v>
      </c>
      <c r="J1099" s="317"/>
      <c r="K1099" s="317"/>
      <c r="L1099" s="349"/>
      <c r="M1099" s="301"/>
      <c r="N1099" s="391"/>
      <c r="O1099" s="349"/>
      <c r="P1099" s="301"/>
      <c r="S1099" s="364"/>
      <c r="Z1099" s="609" t="s">
        <v>540</v>
      </c>
      <c r="AA1099" s="609" t="s">
        <v>3137</v>
      </c>
    </row>
    <row r="1100" spans="1:27" ht="18">
      <c r="A1100" s="2712"/>
      <c r="B1100" s="371"/>
      <c r="C1100" s="371" t="s">
        <v>2565</v>
      </c>
      <c r="D1100" s="2714"/>
      <c r="F1100" s="293"/>
      <c r="G1100" s="1557" t="s">
        <v>2759</v>
      </c>
      <c r="H1100" s="461"/>
      <c r="I1100" s="461"/>
      <c r="J1100" s="317"/>
      <c r="K1100" s="352">
        <f ca="1">SUMIF($H$1099:$K$1099,"&lt;&gt;√",$H$1098:$K$1098)</f>
        <v>0</v>
      </c>
      <c r="L1100" s="2626" t="str">
        <f ca="1">IF(OR(K1100=0,K1100=""),"√","？")</f>
        <v>√</v>
      </c>
      <c r="M1100" s="301"/>
      <c r="N1100" s="391"/>
      <c r="O1100" s="349"/>
      <c r="P1100" s="301"/>
      <c r="S1100" s="364"/>
      <c r="Z1100" s="609" t="s">
        <v>540</v>
      </c>
      <c r="AA1100" s="609" t="s">
        <v>3137</v>
      </c>
    </row>
    <row r="1101" spans="1:27" ht="18">
      <c r="A1101" s="2712"/>
      <c r="B1101" s="371"/>
      <c r="C1101" s="371" t="s">
        <v>2565</v>
      </c>
      <c r="D1101" s="2714"/>
      <c r="F1101" s="293"/>
      <c r="G1101" s="1543"/>
      <c r="H1101" s="461"/>
      <c r="I1101" s="461"/>
      <c r="J1101" s="317"/>
      <c r="K1101" s="317"/>
      <c r="L1101" s="349"/>
      <c r="M1101" s="301"/>
      <c r="N1101" s="391"/>
      <c r="O1101" s="349"/>
      <c r="P1101" s="301"/>
      <c r="S1101" s="364"/>
      <c r="Z1101" s="609" t="s">
        <v>540</v>
      </c>
      <c r="AA1101" s="609" t="s">
        <v>3137</v>
      </c>
    </row>
    <row r="1102" spans="1:27" ht="36">
      <c r="A1102" s="2712">
        <v>122113</v>
      </c>
      <c r="B1102" s="371" t="s">
        <v>6538</v>
      </c>
      <c r="C1102" s="371"/>
      <c r="D1102" s="2714" t="str">
        <f>VLOOKUP($A1102,Sheet_NoteList,2,0)</f>
        <v>期末按组合2计提坏账准备的其他应收款（第一阶段）</v>
      </c>
      <c r="E1102" s="2714" t="s">
        <v>6531</v>
      </c>
      <c r="F1102" s="293"/>
      <c r="G1102" s="372" t="str">
        <f>"("&amp;B1102&amp;")"&amp;D1102</f>
        <v>(3A1.3)期末按组合2计提坏账准备的其他应收款（第一阶段）</v>
      </c>
      <c r="H1102" s="2313">
        <f>$A1102</f>
        <v>122113</v>
      </c>
      <c r="I1102" s="343" t="s">
        <v>5545</v>
      </c>
      <c r="J1102" s="301" t="s">
        <v>5546</v>
      </c>
      <c r="K1102" s="2208">
        <f>H1115</f>
        <v>4813453.9400000004</v>
      </c>
      <c r="L1102" s="349"/>
      <c r="M1102" s="301"/>
      <c r="N1102" s="391"/>
      <c r="O1102" s="349"/>
      <c r="P1102" s="301"/>
      <c r="S1102" s="364"/>
      <c r="Z1102" s="609" t="s">
        <v>540</v>
      </c>
      <c r="AA1102" s="609" t="s">
        <v>3137</v>
      </c>
    </row>
    <row r="1103" spans="1:27" ht="0.75" customHeight="1">
      <c r="A1103" s="2712"/>
      <c r="B1103" s="371"/>
      <c r="C1103" s="371"/>
      <c r="D1103" s="2714"/>
      <c r="F1103" s="371"/>
      <c r="G1103" s="405" t="s">
        <v>5905</v>
      </c>
      <c r="H1103" s="371" t="s">
        <v>5386</v>
      </c>
      <c r="I1103" s="371" t="s">
        <v>5528</v>
      </c>
      <c r="J1103" s="371" t="s">
        <v>5400</v>
      </c>
      <c r="K1103" s="391"/>
      <c r="L1103" s="349"/>
      <c r="M1103" s="301"/>
      <c r="N1103" s="391"/>
      <c r="O1103" s="349"/>
      <c r="P1103" s="301"/>
      <c r="S1103" s="364"/>
      <c r="Z1103" s="609" t="s">
        <v>540</v>
      </c>
      <c r="AA1103" s="609" t="s">
        <v>3137</v>
      </c>
    </row>
    <row r="1104" spans="1:27" ht="0.75" customHeight="1" thickBot="1">
      <c r="A1104" s="2712"/>
      <c r="B1104" s="371"/>
      <c r="C1104" s="371"/>
      <c r="D1104" s="2714"/>
      <c r="F1104" s="371"/>
      <c r="G1104" s="405"/>
      <c r="H1104" s="1615" t="s">
        <v>5547</v>
      </c>
      <c r="I1104" s="371" t="s">
        <v>5548</v>
      </c>
      <c r="J1104" s="371" t="s">
        <v>5549</v>
      </c>
      <c r="K1104" s="391"/>
      <c r="L1104" s="349"/>
      <c r="M1104" s="301"/>
      <c r="N1104" s="391"/>
      <c r="O1104" s="349"/>
      <c r="P1104" s="301"/>
      <c r="S1104" s="364"/>
      <c r="Z1104" s="609" t="s">
        <v>540</v>
      </c>
      <c r="AA1104" s="609" t="s">
        <v>3137</v>
      </c>
    </row>
    <row r="1105" spans="1:27" ht="18" customHeight="1">
      <c r="A1105" s="2712"/>
      <c r="B1105" s="371"/>
      <c r="C1105" s="371"/>
      <c r="D1105" s="2714"/>
      <c r="E1105" s="2714" t="s">
        <v>2749</v>
      </c>
      <c r="F1105" s="293"/>
      <c r="G1105" s="3464" t="s">
        <v>5946</v>
      </c>
      <c r="H1105" s="3472" t="str">
        <f>$V$2</f>
        <v>2019年12月31日</v>
      </c>
      <c r="I1105" s="3473"/>
      <c r="J1105" s="3473"/>
      <c r="K1105" s="355" t="s">
        <v>5947</v>
      </c>
      <c r="L1105" s="349"/>
      <c r="M1105" s="301"/>
      <c r="N1105" s="391"/>
      <c r="O1105" s="349"/>
      <c r="P1105" s="301"/>
      <c r="S1105" s="364"/>
      <c r="Z1105" s="609" t="s">
        <v>540</v>
      </c>
      <c r="AA1105" s="609" t="s">
        <v>3137</v>
      </c>
    </row>
    <row r="1106" spans="1:27" ht="18">
      <c r="A1106" s="2712"/>
      <c r="B1106" s="371"/>
      <c r="C1106" s="371"/>
      <c r="D1106" s="2714"/>
      <c r="E1106" s="2714" t="s">
        <v>2749</v>
      </c>
      <c r="F1106" s="293"/>
      <c r="G1106" s="3465"/>
      <c r="H1106" s="2205" t="s">
        <v>2861</v>
      </c>
      <c r="I1106" s="2205" t="s">
        <v>2862</v>
      </c>
      <c r="J1106" s="2206" t="s">
        <v>2889</v>
      </c>
      <c r="K1106" s="355" t="s">
        <v>6174</v>
      </c>
      <c r="L1106" s="349"/>
      <c r="M1106" s="301"/>
      <c r="N1106" s="391"/>
      <c r="O1106" s="349"/>
      <c r="P1106" s="301"/>
      <c r="S1106" s="364"/>
      <c r="Z1106" s="609" t="s">
        <v>540</v>
      </c>
      <c r="AA1106" s="609" t="s">
        <v>3137</v>
      </c>
    </row>
    <row r="1107" spans="1:27" ht="18">
      <c r="A1107" s="2712"/>
      <c r="B1107" s="371">
        <v>101</v>
      </c>
      <c r="C1107" s="371" t="s">
        <v>2791</v>
      </c>
      <c r="D1107" s="2714">
        <f t="shared" ref="D1107:D1115" si="98">IF(OR(G1107="*",G1107="",G1107=0),0,COUNTIF($G$1107:$G$1115,G1107))</f>
        <v>1</v>
      </c>
      <c r="E1107" s="2719">
        <v>1</v>
      </c>
      <c r="F1107" s="293"/>
      <c r="G1107" s="2211" t="s">
        <v>7460</v>
      </c>
      <c r="H1107" s="1575">
        <v>4023939.46</v>
      </c>
      <c r="I1107" s="422"/>
      <c r="J1107" s="388"/>
      <c r="K1107" s="391"/>
      <c r="L1107" s="349"/>
      <c r="M1107" s="301"/>
      <c r="N1107" s="391"/>
      <c r="O1107" s="349"/>
      <c r="P1107" s="301"/>
      <c r="S1107" s="364"/>
      <c r="Z1107" s="609" t="s">
        <v>540</v>
      </c>
      <c r="AA1107" s="609" t="s">
        <v>3137</v>
      </c>
    </row>
    <row r="1108" spans="1:27" ht="18">
      <c r="A1108" s="2712"/>
      <c r="B1108" s="371">
        <v>102</v>
      </c>
      <c r="C1108" s="371" t="s">
        <v>2791</v>
      </c>
      <c r="D1108" s="2714">
        <f t="shared" si="98"/>
        <v>1</v>
      </c>
      <c r="E1108" s="2719">
        <v>1</v>
      </c>
      <c r="F1108" s="293"/>
      <c r="G1108" s="2211" t="s">
        <v>7459</v>
      </c>
      <c r="H1108" s="1575">
        <v>789514.48</v>
      </c>
      <c r="I1108" s="422"/>
      <c r="J1108" s="388"/>
      <c r="K1108" s="391"/>
      <c r="L1108" s="349"/>
      <c r="M1108" s="301"/>
      <c r="N1108" s="391"/>
      <c r="O1108" s="349"/>
      <c r="P1108" s="301"/>
      <c r="S1108" s="364"/>
      <c r="Z1108" s="609" t="s">
        <v>540</v>
      </c>
      <c r="AA1108" s="609" t="s">
        <v>3137</v>
      </c>
    </row>
    <row r="1109" spans="1:27" ht="18">
      <c r="A1109" s="2712"/>
      <c r="B1109" s="371">
        <v>103</v>
      </c>
      <c r="C1109" s="371" t="s">
        <v>2791</v>
      </c>
      <c r="D1109" s="2714">
        <f t="shared" si="98"/>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2"/>
      <c r="B1110" s="371">
        <v>104</v>
      </c>
      <c r="C1110" s="371" t="s">
        <v>2791</v>
      </c>
      <c r="D1110" s="2714">
        <f t="shared" si="98"/>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2"/>
      <c r="B1111" s="371">
        <v>105</v>
      </c>
      <c r="C1111" s="371" t="s">
        <v>2791</v>
      </c>
      <c r="D1111" s="2714">
        <f t="shared" si="98"/>
        <v>0</v>
      </c>
      <c r="E1111" s="2719">
        <v>1</v>
      </c>
      <c r="F1111" s="293"/>
      <c r="G1111" s="2211" t="s">
        <v>2792</v>
      </c>
      <c r="H1111" s="1575"/>
      <c r="I1111" s="422"/>
      <c r="J1111" s="388"/>
      <c r="K1111" s="391"/>
      <c r="L1111" s="349"/>
      <c r="M1111" s="301"/>
      <c r="N1111" s="391"/>
      <c r="O1111" s="349"/>
      <c r="P1111" s="301"/>
      <c r="S1111" s="364"/>
      <c r="Z1111" s="609" t="s">
        <v>540</v>
      </c>
      <c r="AA1111" s="609" t="s">
        <v>3137</v>
      </c>
    </row>
    <row r="1112" spans="1:27" ht="18">
      <c r="A1112" s="2712"/>
      <c r="B1112" s="371">
        <v>106</v>
      </c>
      <c r="C1112" s="371" t="s">
        <v>2791</v>
      </c>
      <c r="D1112" s="2714">
        <f t="shared" si="98"/>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2"/>
      <c r="B1113" s="371">
        <v>107</v>
      </c>
      <c r="C1113" s="371" t="s">
        <v>2791</v>
      </c>
      <c r="D1113" s="2714">
        <f t="shared" si="98"/>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
      <c r="A1114" s="2712"/>
      <c r="B1114" s="371">
        <v>108</v>
      </c>
      <c r="C1114" s="371" t="s">
        <v>2791</v>
      </c>
      <c r="D1114" s="2714">
        <f t="shared" si="98"/>
        <v>0</v>
      </c>
      <c r="E1114" s="2719">
        <v>1</v>
      </c>
      <c r="F1114" s="293"/>
      <c r="G1114" s="2211" t="s">
        <v>2792</v>
      </c>
      <c r="H1114" s="1575"/>
      <c r="I1114" s="422"/>
      <c r="J1114" s="388"/>
      <c r="K1114" s="391"/>
      <c r="L1114" s="349"/>
      <c r="M1114" s="301"/>
      <c r="N1114" s="391"/>
      <c r="O1114" s="349"/>
      <c r="P1114" s="301"/>
      <c r="S1114" s="364"/>
      <c r="Z1114" s="609" t="s">
        <v>540</v>
      </c>
      <c r="AA1114" s="609" t="s">
        <v>3137</v>
      </c>
    </row>
    <row r="1115" spans="1:27" ht="18.75" thickBot="1">
      <c r="A1115" s="2712"/>
      <c r="B1115" s="371"/>
      <c r="C1115" s="371"/>
      <c r="D1115" s="2714">
        <f t="shared" si="98"/>
        <v>1</v>
      </c>
      <c r="E1115" s="2719" t="s">
        <v>2751</v>
      </c>
      <c r="F1115" s="293"/>
      <c r="G1115" s="1527" t="s">
        <v>2752</v>
      </c>
      <c r="H1115" s="1525">
        <f>SUMPRODUCT($E1106:$E1114,H1106:H1114)</f>
        <v>4813453.9400000004</v>
      </c>
      <c r="I1115" s="1525">
        <f>SUMPRODUCT($E1106:$E1114,I1106:I1114)</f>
        <v>0</v>
      </c>
      <c r="J1115" s="2207"/>
      <c r="K1115" s="391"/>
      <c r="L1115" s="349"/>
      <c r="M1115" s="301"/>
      <c r="N1115" s="391"/>
      <c r="O1115" s="349"/>
      <c r="P1115" s="301"/>
      <c r="S1115" s="364"/>
      <c r="Z1115" s="609" t="s">
        <v>540</v>
      </c>
      <c r="AA1115" s="609" t="s">
        <v>3137</v>
      </c>
    </row>
    <row r="1116" spans="1:27" ht="18">
      <c r="A1116" s="2712"/>
      <c r="B1116" s="371"/>
      <c r="C1116" s="371" t="s">
        <v>2755</v>
      </c>
      <c r="D1116" s="2714"/>
      <c r="F1116" s="293"/>
      <c r="G1116" s="376"/>
      <c r="H1116" s="1574"/>
      <c r="I1116" s="396"/>
      <c r="J1116" s="393"/>
      <c r="K1116" s="391"/>
      <c r="L1116" s="349"/>
      <c r="M1116" s="301"/>
      <c r="N1116" s="391"/>
      <c r="O1116" s="349"/>
      <c r="P1116" s="301"/>
      <c r="S1116" s="364"/>
      <c r="Z1116" s="609" t="s">
        <v>540</v>
      </c>
      <c r="AA1116" s="609" t="s">
        <v>3137</v>
      </c>
    </row>
    <row r="1117" spans="1:27" ht="36">
      <c r="A1117" s="2712">
        <v>122114</v>
      </c>
      <c r="B1117" s="371" t="s">
        <v>6539</v>
      </c>
      <c r="C1117" s="371"/>
      <c r="D1117" s="2714" t="str">
        <f>VLOOKUP($A1117,Sheet_NoteList,2,0)</f>
        <v>期末按组合3计提坏账准备的其他应收款（第一阶段）</v>
      </c>
      <c r="E1117" s="2714" t="s">
        <v>2742</v>
      </c>
      <c r="F1117" s="293"/>
      <c r="G1117" s="372" t="str">
        <f>"("&amp;B1117&amp;")"&amp;D1117</f>
        <v>(3A1.4)期末按组合3计提坏账准备的其他应收款（第一阶段）</v>
      </c>
      <c r="H1117" s="2313">
        <f>$A1117</f>
        <v>122114</v>
      </c>
      <c r="I1117" s="343" t="s">
        <v>2743</v>
      </c>
      <c r="J1117" s="301" t="s">
        <v>2744</v>
      </c>
      <c r="K1117" s="2208">
        <f>H1130</f>
        <v>0</v>
      </c>
      <c r="L1117" s="349"/>
      <c r="M1117" s="301"/>
      <c r="N1117" s="391"/>
      <c r="O1117" s="349"/>
      <c r="P1117" s="301"/>
      <c r="S1117" s="364"/>
      <c r="Z1117" s="609" t="s">
        <v>540</v>
      </c>
      <c r="AA1117" s="609" t="s">
        <v>3137</v>
      </c>
    </row>
    <row r="1118" spans="1:27" ht="0.75" customHeight="1">
      <c r="A1118" s="2712"/>
      <c r="B1118" s="371"/>
      <c r="C1118" s="371"/>
      <c r="D1118" s="2714"/>
      <c r="F1118" s="371"/>
      <c r="G1118" s="405" t="s">
        <v>6204</v>
      </c>
      <c r="H1118" s="371" t="s">
        <v>6205</v>
      </c>
      <c r="I1118" s="371" t="s">
        <v>6206</v>
      </c>
      <c r="J1118" s="371" t="s">
        <v>6207</v>
      </c>
      <c r="K1118" s="428"/>
      <c r="L1118" s="428"/>
      <c r="M1118" s="433"/>
      <c r="N1118" s="428"/>
      <c r="O1118" s="428"/>
      <c r="P1118" s="433"/>
      <c r="Q1118" s="442"/>
      <c r="R1118" s="443"/>
      <c r="S1118" s="364"/>
      <c r="Z1118" s="609" t="s">
        <v>540</v>
      </c>
      <c r="AA1118" s="609" t="s">
        <v>3137</v>
      </c>
    </row>
    <row r="1119" spans="1:27" ht="0.75" customHeight="1" thickBot="1">
      <c r="A1119" s="2712"/>
      <c r="B1119" s="371"/>
      <c r="C1119" s="371"/>
      <c r="D1119" s="2714"/>
      <c r="F1119" s="371"/>
      <c r="G1119" s="405"/>
      <c r="H1119" s="371" t="s">
        <v>6208</v>
      </c>
      <c r="I1119" s="371" t="s">
        <v>6209</v>
      </c>
      <c r="J1119" s="371" t="s">
        <v>6210</v>
      </c>
      <c r="K1119" s="428"/>
      <c r="L1119" s="428"/>
      <c r="M1119" s="433"/>
      <c r="N1119" s="428"/>
      <c r="O1119" s="428"/>
      <c r="P1119" s="433"/>
      <c r="Q1119" s="442"/>
      <c r="R1119" s="443"/>
      <c r="S1119" s="364"/>
      <c r="Z1119" s="609" t="s">
        <v>540</v>
      </c>
      <c r="AA1119" s="609" t="s">
        <v>3137</v>
      </c>
    </row>
    <row r="1120" spans="1:27" ht="18" customHeight="1">
      <c r="A1120" s="2712"/>
      <c r="B1120" s="371"/>
      <c r="C1120" s="371"/>
      <c r="D1120" s="2714"/>
      <c r="E1120" s="2714" t="s">
        <v>2749</v>
      </c>
      <c r="F1120" s="293"/>
      <c r="G1120" s="3464" t="s">
        <v>5946</v>
      </c>
      <c r="H1120" s="3472" t="str">
        <f>$V$2</f>
        <v>2019年12月31日</v>
      </c>
      <c r="I1120" s="3473"/>
      <c r="J1120" s="3473"/>
      <c r="K1120" s="355" t="s">
        <v>5947</v>
      </c>
      <c r="L1120" s="428"/>
      <c r="M1120" s="433"/>
      <c r="N1120" s="428"/>
      <c r="O1120" s="428"/>
      <c r="P1120" s="433"/>
      <c r="Q1120" s="442"/>
      <c r="R1120" s="443"/>
      <c r="S1120" s="364"/>
      <c r="Z1120" s="609" t="s">
        <v>540</v>
      </c>
      <c r="AA1120" s="609" t="s">
        <v>3137</v>
      </c>
    </row>
    <row r="1121" spans="1:29" ht="18">
      <c r="A1121" s="2712"/>
      <c r="B1121" s="371"/>
      <c r="C1121" s="371"/>
      <c r="D1121" s="2714"/>
      <c r="E1121" s="2714" t="s">
        <v>2749</v>
      </c>
      <c r="F1121" s="293"/>
      <c r="G1121" s="3465"/>
      <c r="H1121" s="2205" t="s">
        <v>2861</v>
      </c>
      <c r="I1121" s="2205" t="s">
        <v>2862</v>
      </c>
      <c r="J1121" s="2206" t="s">
        <v>2889</v>
      </c>
      <c r="K1121" s="355" t="s">
        <v>6174</v>
      </c>
      <c r="L1121" s="434"/>
      <c r="M1121" s="435"/>
      <c r="N1121" s="434"/>
      <c r="O1121" s="434"/>
      <c r="P1121" s="435"/>
      <c r="Q1121" s="442"/>
      <c r="R1121" s="443"/>
      <c r="S1121" s="364"/>
      <c r="Z1121" s="609" t="s">
        <v>540</v>
      </c>
      <c r="AA1121" s="609" t="s">
        <v>3137</v>
      </c>
    </row>
    <row r="1122" spans="1:29" ht="18">
      <c r="A1122" s="2712"/>
      <c r="B1122" s="371">
        <v>101</v>
      </c>
      <c r="C1122" s="371" t="s">
        <v>2791</v>
      </c>
      <c r="D1122" s="2714">
        <f t="shared" ref="D1122:D1130" si="99">IF(OR(G1122="*",G1122="",G1122=0),0,COUNTIF($G$1122:$G$1130,G1122))</f>
        <v>0</v>
      </c>
      <c r="E1122" s="2719">
        <v>1</v>
      </c>
      <c r="F1122" s="293"/>
      <c r="G1122" s="2211"/>
      <c r="H1122" s="309"/>
      <c r="I1122" s="422"/>
      <c r="J1122" s="388"/>
      <c r="K1122" s="439"/>
      <c r="L1122" s="437"/>
      <c r="M1122" s="438"/>
      <c r="N1122" s="439"/>
      <c r="O1122" s="437"/>
      <c r="P1122" s="438"/>
      <c r="Q1122" s="442"/>
      <c r="R1122" s="443"/>
      <c r="S1122" s="364"/>
      <c r="Z1122" s="609" t="s">
        <v>540</v>
      </c>
      <c r="AA1122" s="609" t="s">
        <v>3137</v>
      </c>
    </row>
    <row r="1123" spans="1:29" ht="18">
      <c r="A1123" s="2712"/>
      <c r="B1123" s="371">
        <v>102</v>
      </c>
      <c r="C1123" s="371" t="s">
        <v>2791</v>
      </c>
      <c r="D1123" s="2714">
        <f t="shared" si="99"/>
        <v>0</v>
      </c>
      <c r="E1123" s="2719">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8">
      <c r="A1124" s="2712"/>
      <c r="B1124" s="371">
        <v>103</v>
      </c>
      <c r="C1124" s="371" t="s">
        <v>2791</v>
      </c>
      <c r="D1124" s="2714">
        <f t="shared" si="99"/>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8">
      <c r="A1125" s="2712"/>
      <c r="B1125" s="371">
        <v>104</v>
      </c>
      <c r="C1125" s="371" t="s">
        <v>2791</v>
      </c>
      <c r="D1125" s="2714">
        <f t="shared" si="99"/>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8">
      <c r="A1126" s="2712"/>
      <c r="B1126" s="371">
        <v>105</v>
      </c>
      <c r="C1126" s="371" t="s">
        <v>2791</v>
      </c>
      <c r="D1126" s="2714">
        <f t="shared" si="99"/>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8">
      <c r="A1127" s="2712"/>
      <c r="B1127" s="371">
        <v>106</v>
      </c>
      <c r="C1127" s="371" t="s">
        <v>2791</v>
      </c>
      <c r="D1127" s="2714">
        <f t="shared" si="99"/>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8">
      <c r="A1128" s="2712"/>
      <c r="B1128" s="371">
        <v>107</v>
      </c>
      <c r="C1128" s="371" t="s">
        <v>2791</v>
      </c>
      <c r="D1128" s="2714">
        <f t="shared" si="99"/>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8">
      <c r="A1129" s="2712"/>
      <c r="B1129" s="371">
        <v>108</v>
      </c>
      <c r="C1129" s="371" t="s">
        <v>6530</v>
      </c>
      <c r="D1129" s="2714">
        <f t="shared" si="99"/>
        <v>0</v>
      </c>
      <c r="E1129" s="2719">
        <v>1</v>
      </c>
      <c r="F1129" s="293"/>
      <c r="G1129" s="2211" t="s">
        <v>2792</v>
      </c>
      <c r="H1129" s="309"/>
      <c r="I1129" s="422"/>
      <c r="J1129" s="388"/>
      <c r="K1129" s="439"/>
      <c r="L1129" s="437"/>
      <c r="M1129" s="438"/>
      <c r="N1129" s="439"/>
      <c r="O1129" s="437"/>
      <c r="P1129" s="438"/>
      <c r="Q1129" s="442"/>
      <c r="R1129" s="443"/>
      <c r="S1129" s="364"/>
      <c r="Z1129" s="609" t="s">
        <v>540</v>
      </c>
      <c r="AA1129" s="609" t="s">
        <v>3137</v>
      </c>
    </row>
    <row r="1130" spans="1:29" ht="18.75" thickBot="1">
      <c r="A1130" s="2712"/>
      <c r="B1130" s="371"/>
      <c r="C1130" s="371"/>
      <c r="D1130" s="2714">
        <f t="shared" si="99"/>
        <v>1</v>
      </c>
      <c r="E1130" s="2719" t="s">
        <v>2751</v>
      </c>
      <c r="F1130" s="293"/>
      <c r="G1130" s="1527" t="s">
        <v>5945</v>
      </c>
      <c r="H1130" s="1525">
        <f>SUMPRODUCT($E1121:$E1129,H1121:H1129)</f>
        <v>0</v>
      </c>
      <c r="I1130" s="1525">
        <f>SUMPRODUCT($E1121:$E1129,I1121:I1129)</f>
        <v>0</v>
      </c>
      <c r="J1130" s="2212"/>
      <c r="K1130" s="439"/>
      <c r="L1130" s="437"/>
      <c r="M1130" s="440"/>
      <c r="N1130" s="439"/>
      <c r="O1130" s="437"/>
      <c r="P1130" s="440"/>
      <c r="Q1130" s="442"/>
      <c r="R1130" s="443"/>
      <c r="S1130" s="364"/>
      <c r="Z1130" s="609" t="s">
        <v>540</v>
      </c>
      <c r="AA1130" s="609" t="s">
        <v>3137</v>
      </c>
    </row>
    <row r="1131" spans="1:29" ht="18">
      <c r="A1131" s="2712"/>
      <c r="B1131" s="371"/>
      <c r="C1131" s="371" t="s">
        <v>2755</v>
      </c>
      <c r="D1131" s="2714"/>
      <c r="F1131" s="293"/>
      <c r="G1131" s="376"/>
      <c r="H1131" s="315"/>
      <c r="I1131" s="396"/>
      <c r="J1131" s="393"/>
      <c r="K1131" s="426"/>
      <c r="L1131" s="427"/>
      <c r="M1131" s="425"/>
      <c r="N1131" s="426"/>
      <c r="O1131" s="427"/>
      <c r="P1131" s="425"/>
      <c r="Q1131" s="442"/>
      <c r="R1131" s="443"/>
      <c r="S1131" s="364"/>
      <c r="Z1131" s="609" t="s">
        <v>540</v>
      </c>
      <c r="AA1131" s="609" t="s">
        <v>3137</v>
      </c>
    </row>
    <row r="1132" spans="1:29" ht="36">
      <c r="A1132" s="2712">
        <v>122102</v>
      </c>
      <c r="B1132" s="371" t="s">
        <v>6540</v>
      </c>
      <c r="C1132" s="371"/>
      <c r="D1132" s="2714" t="str">
        <f>VLOOKUP($A1132,Sheet_NoteList,2,0)</f>
        <v>期末处于第二阶段的其他应收款坏账准备（三阶段模型）</v>
      </c>
      <c r="E1132" s="2714" t="s">
        <v>6529</v>
      </c>
      <c r="F1132" s="293"/>
      <c r="G1132" s="372" t="str">
        <f>"("&amp;B1132&amp;")"&amp;D1132</f>
        <v>(3A2)期末处于第二阶段的其他应收款坏账准备（三阶段模型）</v>
      </c>
      <c r="H1132" s="2313">
        <f>$A1132</f>
        <v>122102</v>
      </c>
      <c r="I1132" s="343" t="s">
        <v>5136</v>
      </c>
      <c r="J1132" s="301" t="s">
        <v>5359</v>
      </c>
      <c r="K1132" s="2208">
        <f>H1144</f>
        <v>0</v>
      </c>
      <c r="L1132" s="349"/>
      <c r="M1132" s="301" t="s">
        <v>5138</v>
      </c>
      <c r="N1132" s="2208">
        <f>I1144</f>
        <v>0</v>
      </c>
      <c r="O1132" s="349"/>
      <c r="P1132" s="301"/>
      <c r="S1132" s="364"/>
      <c r="Z1132" s="609" t="s">
        <v>540</v>
      </c>
      <c r="AA1132" s="609" t="s">
        <v>3137</v>
      </c>
    </row>
    <row r="1133" spans="1:29" ht="0.75" customHeight="1" thickBot="1">
      <c r="A1133" s="2712"/>
      <c r="B1133" s="371"/>
      <c r="C1133" s="371"/>
      <c r="D1133" s="2714"/>
      <c r="E1133" s="586"/>
      <c r="F1133" s="586"/>
      <c r="G1133" s="2222" t="s">
        <v>5929</v>
      </c>
      <c r="H1133" s="371" t="s">
        <v>5386</v>
      </c>
      <c r="I1133" s="371" t="s">
        <v>5389</v>
      </c>
      <c r="J1133" s="371" t="s">
        <v>5924</v>
      </c>
      <c r="K1133" s="547" t="s">
        <v>5930</v>
      </c>
      <c r="L1133" s="547" t="s">
        <v>5931</v>
      </c>
      <c r="M1133" s="301"/>
      <c r="N1133" s="391"/>
      <c r="O1133" s="349"/>
      <c r="P1133" s="301"/>
      <c r="S1133" s="364"/>
      <c r="Z1133" s="609" t="s">
        <v>540</v>
      </c>
      <c r="AA1133" s="609" t="s">
        <v>3137</v>
      </c>
    </row>
    <row r="1134" spans="1:29" ht="36">
      <c r="A1134" s="2712"/>
      <c r="B1134" s="371"/>
      <c r="C1134" s="371"/>
      <c r="D1134" s="2714"/>
      <c r="E1134" s="586" t="s">
        <v>2749</v>
      </c>
      <c r="F1134" s="414"/>
      <c r="G1134" s="2287" t="s">
        <v>5133</v>
      </c>
      <c r="H1134" s="2289" t="s">
        <v>2861</v>
      </c>
      <c r="I1134" s="2289" t="s">
        <v>6000</v>
      </c>
      <c r="J1134" s="2289" t="s">
        <v>2862</v>
      </c>
      <c r="K1134" s="2309" t="s">
        <v>2863</v>
      </c>
      <c r="L1134" s="2310" t="s">
        <v>3147</v>
      </c>
      <c r="M1134" s="355" t="s">
        <v>5271</v>
      </c>
      <c r="N1134" s="391"/>
      <c r="O1134" s="349"/>
      <c r="P1134" s="301"/>
      <c r="S1134" s="364"/>
      <c r="Z1134" s="609" t="s">
        <v>540</v>
      </c>
      <c r="AA1134" s="609" t="s">
        <v>3137</v>
      </c>
    </row>
    <row r="1135" spans="1:29" ht="18">
      <c r="A1135" s="2712"/>
      <c r="B1135" s="371">
        <v>101</v>
      </c>
      <c r="C1135" s="371"/>
      <c r="D1135" s="2714">
        <f t="shared" ref="D1135:D1144" si="100">IF(OR(G1135="*",G1135="",G1135=0),0,COUNTIF($G$1135:$G$1144,G1135))</f>
        <v>1</v>
      </c>
      <c r="E1135" s="2719">
        <v>1</v>
      </c>
      <c r="F1135" s="293"/>
      <c r="G1135" s="1472" t="s">
        <v>2890</v>
      </c>
      <c r="H1135" s="2273">
        <f>SUM(H1136:H1138)</f>
        <v>0</v>
      </c>
      <c r="I1135" s="2296"/>
      <c r="J1135" s="2273">
        <f>SUM(J1136:J1138)</f>
        <v>0</v>
      </c>
      <c r="K1135" s="1474">
        <f t="shared" ref="K1135:K1143" si="101">H1135-J1135</f>
        <v>0</v>
      </c>
      <c r="L1135" s="2274"/>
      <c r="M1135" s="1593" t="str">
        <f ca="1">HYPERLINK("#'"&amp;$G$1&amp;"'!"&amp;ADDRESS(ROW(Notes!H1162),COLUMN(Notes!H1162),4),"* 请勿删除此行！点击往勾稽单元格，F5+Enter返回")</f>
        <v>* 请勿删除此行！点击往勾稽单元格，F5+Enter返回</v>
      </c>
      <c r="N1135" s="391"/>
      <c r="O1135" s="349"/>
      <c r="P1135" s="301"/>
      <c r="S1135" s="364"/>
      <c r="Z1135" s="609" t="s">
        <v>540</v>
      </c>
      <c r="AA1135" s="609" t="s">
        <v>3137</v>
      </c>
      <c r="AC1135" s="369" t="s">
        <v>6571</v>
      </c>
    </row>
    <row r="1136" spans="1:29" ht="18">
      <c r="A1136" s="2712"/>
      <c r="B1136" s="371">
        <v>102</v>
      </c>
      <c r="C1136" s="371" t="s">
        <v>2791</v>
      </c>
      <c r="D1136" s="2714">
        <f t="shared" si="100"/>
        <v>0</v>
      </c>
      <c r="E1136" s="2719">
        <v>0</v>
      </c>
      <c r="F1136" s="293"/>
      <c r="G1136" s="2282" t="s">
        <v>2792</v>
      </c>
      <c r="H1136" s="2273"/>
      <c r="I1136" s="2296"/>
      <c r="J1136" s="2273"/>
      <c r="K1136" s="1474">
        <f t="shared" si="101"/>
        <v>0</v>
      </c>
      <c r="L1136" s="2274"/>
      <c r="M1136" s="355" t="s">
        <v>6134</v>
      </c>
      <c r="N1136" s="391"/>
      <c r="O1136" s="349"/>
      <c r="P1136" s="301"/>
      <c r="S1136" s="364"/>
      <c r="Z1136" s="609" t="s">
        <v>540</v>
      </c>
      <c r="AA1136" s="609" t="s">
        <v>3137</v>
      </c>
    </row>
    <row r="1137" spans="1:29" ht="18">
      <c r="A1137" s="2712"/>
      <c r="B1137" s="371">
        <v>103</v>
      </c>
      <c r="C1137" s="371" t="s">
        <v>2791</v>
      </c>
      <c r="D1137" s="2714">
        <f t="shared" si="100"/>
        <v>0</v>
      </c>
      <c r="E1137" s="2719">
        <v>0</v>
      </c>
      <c r="F1137" s="293"/>
      <c r="G1137" s="2282" t="s">
        <v>2792</v>
      </c>
      <c r="H1137" s="2273"/>
      <c r="I1137" s="2296"/>
      <c r="J1137" s="2273"/>
      <c r="K1137" s="1474">
        <f t="shared" si="101"/>
        <v>0</v>
      </c>
      <c r="L1137" s="2274"/>
      <c r="M1137" s="301"/>
      <c r="N1137" s="391"/>
      <c r="O1137" s="349"/>
      <c r="P1137" s="301"/>
      <c r="S1137" s="364"/>
      <c r="Z1137" s="609" t="s">
        <v>540</v>
      </c>
      <c r="AA1137" s="609" t="s">
        <v>3137</v>
      </c>
    </row>
    <row r="1138" spans="1:29" ht="18">
      <c r="A1138" s="2712"/>
      <c r="B1138" s="371">
        <v>104</v>
      </c>
      <c r="C1138" s="371" t="s">
        <v>2791</v>
      </c>
      <c r="D1138" s="2714">
        <f t="shared" si="100"/>
        <v>0</v>
      </c>
      <c r="E1138" s="2719">
        <v>0</v>
      </c>
      <c r="F1138" s="293"/>
      <c r="G1138" s="2282" t="s">
        <v>2792</v>
      </c>
      <c r="H1138" s="2273"/>
      <c r="I1138" s="2296"/>
      <c r="J1138" s="2273"/>
      <c r="K1138" s="1474">
        <f t="shared" si="101"/>
        <v>0</v>
      </c>
      <c r="L1138" s="2274"/>
      <c r="M1138" s="301"/>
      <c r="N1138" s="391"/>
      <c r="O1138" s="349"/>
      <c r="P1138" s="301"/>
      <c r="S1138" s="364"/>
      <c r="Z1138" s="609" t="s">
        <v>540</v>
      </c>
      <c r="AA1138" s="609" t="s">
        <v>3137</v>
      </c>
    </row>
    <row r="1139" spans="1:29" ht="18">
      <c r="A1139" s="2712"/>
      <c r="B1139" s="371">
        <v>105</v>
      </c>
      <c r="C1139" s="371"/>
      <c r="D1139" s="2714">
        <f t="shared" si="100"/>
        <v>1</v>
      </c>
      <c r="E1139" s="2719">
        <v>1</v>
      </c>
      <c r="F1139" s="293"/>
      <c r="G1139" s="1472" t="s">
        <v>2892</v>
      </c>
      <c r="H1139" s="2273">
        <f>SUM(H1140:H1142)</f>
        <v>0</v>
      </c>
      <c r="I1139" s="2296"/>
      <c r="J1139" s="2273">
        <f>SUM(J1140:J1142)</f>
        <v>0</v>
      </c>
      <c r="K1139" s="1474">
        <f t="shared" si="101"/>
        <v>0</v>
      </c>
      <c r="L1139" s="2274"/>
      <c r="M1139" s="301"/>
      <c r="N1139" s="391"/>
      <c r="O1139" s="349"/>
      <c r="P1139" s="301"/>
      <c r="S1139" s="364"/>
      <c r="Z1139" s="609" t="s">
        <v>540</v>
      </c>
      <c r="AA1139" s="609" t="s">
        <v>3137</v>
      </c>
    </row>
    <row r="1140" spans="1:29" ht="18">
      <c r="A1140" s="2712"/>
      <c r="B1140" s="371">
        <v>106</v>
      </c>
      <c r="C1140" s="371" t="s">
        <v>2791</v>
      </c>
      <c r="D1140" s="2714">
        <f t="shared" si="100"/>
        <v>1</v>
      </c>
      <c r="E1140" s="2719">
        <v>0</v>
      </c>
      <c r="F1140" s="293"/>
      <c r="G1140" s="2282" t="s">
        <v>5943</v>
      </c>
      <c r="H1140" s="2273"/>
      <c r="I1140" s="2296"/>
      <c r="J1140" s="2273"/>
      <c r="K1140" s="1474">
        <f t="shared" si="101"/>
        <v>0</v>
      </c>
      <c r="L1140" s="2274"/>
      <c r="M1140" s="1593" t="str">
        <f ca="1">HYPERLINK("#'"&amp;$G$1&amp;"'!"&amp;ADDRESS(ROW(Notes!H1184),COLUMN(Notes!H1184),4),"* 请勿删除此行！点击往勾稽单元格，F5+Enter返回")</f>
        <v>* 请勿删除此行！点击往勾稽单元格，F5+Enter返回</v>
      </c>
      <c r="N1140" s="391"/>
      <c r="O1140" s="349"/>
      <c r="P1140" s="301"/>
      <c r="S1140" s="364"/>
      <c r="Z1140" s="609" t="s">
        <v>540</v>
      </c>
      <c r="AA1140" s="609" t="s">
        <v>3137</v>
      </c>
      <c r="AC1140" s="369" t="s">
        <v>6571</v>
      </c>
    </row>
    <row r="1141" spans="1:29" ht="18">
      <c r="A1141" s="2712"/>
      <c r="B1141" s="371">
        <v>107</v>
      </c>
      <c r="C1141" s="371" t="s">
        <v>2791</v>
      </c>
      <c r="D1141" s="2714">
        <f t="shared" si="100"/>
        <v>1</v>
      </c>
      <c r="E1141" s="2719">
        <v>0</v>
      </c>
      <c r="F1141" s="293"/>
      <c r="G1141" s="2282" t="s">
        <v>2894</v>
      </c>
      <c r="H1141" s="2273"/>
      <c r="I1141" s="2296"/>
      <c r="J1141" s="2273"/>
      <c r="K1141" s="1474">
        <f t="shared" si="101"/>
        <v>0</v>
      </c>
      <c r="L1141" s="2274"/>
      <c r="M1141" s="301"/>
      <c r="N1141" s="391"/>
      <c r="O1141" s="349"/>
      <c r="P1141" s="301"/>
      <c r="S1141" s="364"/>
      <c r="Z1141" s="609" t="s">
        <v>540</v>
      </c>
      <c r="AA1141" s="609" t="s">
        <v>3137</v>
      </c>
    </row>
    <row r="1142" spans="1:29" ht="18">
      <c r="A1142" s="2712"/>
      <c r="B1142" s="371">
        <v>108</v>
      </c>
      <c r="C1142" s="371" t="s">
        <v>6530</v>
      </c>
      <c r="D1142" s="2714">
        <f t="shared" si="100"/>
        <v>1</v>
      </c>
      <c r="E1142" s="2719">
        <v>0</v>
      </c>
      <c r="F1142" s="293"/>
      <c r="G1142" s="2282" t="s">
        <v>5944</v>
      </c>
      <c r="H1142" s="2273"/>
      <c r="I1142" s="2296"/>
      <c r="J1142" s="2273"/>
      <c r="K1142" s="1474">
        <f t="shared" ref="K1142" si="102">H1142-J1142</f>
        <v>0</v>
      </c>
      <c r="L1142" s="2274"/>
      <c r="M1142" s="301"/>
      <c r="N1142" s="391"/>
      <c r="O1142" s="349"/>
      <c r="P1142" s="301"/>
      <c r="S1142" s="364"/>
      <c r="Z1142" s="609" t="s">
        <v>540</v>
      </c>
      <c r="AA1142" s="609" t="s">
        <v>3137</v>
      </c>
    </row>
    <row r="1143" spans="1:29" ht="18">
      <c r="A1143" s="2712"/>
      <c r="B1143" s="371">
        <v>109</v>
      </c>
      <c r="C1143" s="371" t="s">
        <v>2791</v>
      </c>
      <c r="D1143" s="2714">
        <f t="shared" si="100"/>
        <v>0</v>
      </c>
      <c r="E1143" s="2719">
        <v>0</v>
      </c>
      <c r="F1143" s="293"/>
      <c r="G1143" s="2282" t="s">
        <v>2792</v>
      </c>
      <c r="H1143" s="2273"/>
      <c r="I1143" s="2296"/>
      <c r="J1143" s="2273"/>
      <c r="K1143" s="1474">
        <f t="shared" si="101"/>
        <v>0</v>
      </c>
      <c r="L1143" s="2274"/>
      <c r="M1143" s="301"/>
      <c r="N1143" s="391"/>
      <c r="O1143" s="349"/>
      <c r="P1143" s="301"/>
      <c r="S1143" s="364"/>
      <c r="Z1143" s="609" t="s">
        <v>540</v>
      </c>
      <c r="AA1143" s="609" t="s">
        <v>3137</v>
      </c>
    </row>
    <row r="1144" spans="1:29" ht="18.75" thickBot="1">
      <c r="A1144" s="2712"/>
      <c r="B1144" s="371"/>
      <c r="C1144" s="371"/>
      <c r="D1144" s="2714">
        <f t="shared" si="100"/>
        <v>1</v>
      </c>
      <c r="E1144" s="2719" t="s">
        <v>2751</v>
      </c>
      <c r="F1144" s="293"/>
      <c r="G1144" s="2232" t="s">
        <v>2752</v>
      </c>
      <c r="H1144" s="2233">
        <f>SUMPRODUCT($E1134:$E1143,H1134:H1143)</f>
        <v>0</v>
      </c>
      <c r="I1144" s="2240"/>
      <c r="J1144" s="2233">
        <f>SUMPRODUCT($E1134:$E1143,J1134:J1143)</f>
        <v>0</v>
      </c>
      <c r="K1144" s="2233">
        <f>SUMPRODUCT($E1134:$E1143,K1134:K1143)</f>
        <v>0</v>
      </c>
      <c r="L1144" s="2242"/>
      <c r="M1144" s="1593" t="str">
        <f ca="1">HYPERLINK("#'"&amp;$G$1&amp;"'!"&amp;ADDRESS(ROW(Notes!L1032),COLUMN(Notes!L1032),4),"* 请勿删除此行！点击往勾稽单元格，F5+Enter返回")</f>
        <v>* 请勿删除此行！点击往勾稽单元格，F5+Enter返回</v>
      </c>
      <c r="N1144" s="391"/>
      <c r="O1144" s="349"/>
      <c r="P1144" s="301"/>
      <c r="S1144" s="364"/>
      <c r="Z1144" s="609" t="s">
        <v>540</v>
      </c>
      <c r="AA1144" s="609" t="s">
        <v>3137</v>
      </c>
      <c r="AC1144" s="369" t="s">
        <v>6571</v>
      </c>
    </row>
    <row r="1145" spans="1:29" ht="18">
      <c r="A1145" s="2712"/>
      <c r="B1145" s="371"/>
      <c r="C1145" s="371" t="s">
        <v>2755</v>
      </c>
      <c r="D1145" s="2714"/>
      <c r="F1145" s="293"/>
      <c r="G1145" s="376"/>
      <c r="H1145" s="1574"/>
      <c r="I1145" s="432"/>
      <c r="J1145" s="315"/>
      <c r="K1145" s="423"/>
      <c r="L1145" s="393"/>
      <c r="M1145" s="301"/>
      <c r="N1145" s="391"/>
      <c r="O1145" s="349"/>
      <c r="P1145" s="301"/>
      <c r="S1145" s="364"/>
      <c r="Z1145" s="609" t="s">
        <v>540</v>
      </c>
      <c r="AA1145" s="609" t="s">
        <v>3137</v>
      </c>
    </row>
    <row r="1146" spans="1:29" ht="36">
      <c r="A1146" s="2712">
        <v>122121</v>
      </c>
      <c r="B1146" s="371" t="s">
        <v>6541</v>
      </c>
      <c r="C1146" s="371"/>
      <c r="D1146" s="2714" t="str">
        <f>VLOOKUP($A1146,Sheet_NoteList,2,0)</f>
        <v>期末按单项计提坏账准备的其他应收款（第二阶段）</v>
      </c>
      <c r="E1146" s="2714" t="s">
        <v>6529</v>
      </c>
      <c r="F1146" s="293"/>
      <c r="G1146" s="372" t="str">
        <f>"("&amp;B1146&amp;")"&amp;D1146</f>
        <v>(3A2.1)期末按单项计提坏账准备的其他应收款（第二阶段）</v>
      </c>
      <c r="H1146" s="2313">
        <f>$A1146</f>
        <v>122121</v>
      </c>
      <c r="I1146" s="343" t="s">
        <v>5932</v>
      </c>
      <c r="J1146" s="301" t="s">
        <v>5933</v>
      </c>
      <c r="K1146" s="2208">
        <f>H1159</f>
        <v>0</v>
      </c>
      <c r="L1146" s="349"/>
      <c r="M1146" s="301"/>
      <c r="N1146" s="391"/>
      <c r="O1146" s="349"/>
      <c r="P1146" s="301"/>
      <c r="S1146" s="364"/>
      <c r="Z1146" s="609" t="s">
        <v>540</v>
      </c>
      <c r="AA1146" s="609" t="s">
        <v>3137</v>
      </c>
    </row>
    <row r="1147" spans="1:29" ht="0.75" customHeight="1">
      <c r="A1147" s="2712"/>
      <c r="B1147" s="371"/>
      <c r="C1147" s="371"/>
      <c r="D1147" s="2714"/>
      <c r="E1147" s="586"/>
      <c r="F1147" s="586"/>
      <c r="G1147" s="2222" t="s">
        <v>5935</v>
      </c>
      <c r="H1147" s="371" t="s">
        <v>5472</v>
      </c>
      <c r="I1147" s="371" t="s">
        <v>5473</v>
      </c>
      <c r="J1147" s="371" t="s">
        <v>5474</v>
      </c>
      <c r="K1147" s="371" t="s">
        <v>5475</v>
      </c>
      <c r="L1147" s="349"/>
      <c r="M1147" s="301"/>
      <c r="N1147" s="391"/>
      <c r="O1147" s="349"/>
      <c r="P1147" s="301"/>
      <c r="S1147" s="364"/>
      <c r="Z1147" s="609" t="s">
        <v>540</v>
      </c>
      <c r="AA1147" s="609" t="s">
        <v>3137</v>
      </c>
    </row>
    <row r="1148" spans="1:29" ht="0.75" customHeight="1" thickBot="1">
      <c r="A1148" s="2712"/>
      <c r="B1148" s="371"/>
      <c r="C1148" s="371"/>
      <c r="D1148" s="2714"/>
      <c r="E1148" s="586"/>
      <c r="F1148" s="586"/>
      <c r="G1148" s="2222"/>
      <c r="H1148" s="371" t="s">
        <v>5470</v>
      </c>
      <c r="I1148" s="371" t="s">
        <v>5375</v>
      </c>
      <c r="J1148" s="371" t="s">
        <v>5471</v>
      </c>
      <c r="K1148" s="371" t="s">
        <v>5385</v>
      </c>
      <c r="L1148" s="349"/>
      <c r="M1148" s="301"/>
      <c r="N1148" s="391"/>
      <c r="O1148" s="349"/>
      <c r="P1148" s="301"/>
      <c r="S1148" s="364"/>
      <c r="Z1148" s="609" t="s">
        <v>540</v>
      </c>
      <c r="AA1148" s="609" t="s">
        <v>3137</v>
      </c>
    </row>
    <row r="1149" spans="1:29" ht="18" customHeight="1">
      <c r="A1149" s="2712"/>
      <c r="B1149" s="371"/>
      <c r="C1149" s="371"/>
      <c r="D1149" s="2714"/>
      <c r="E1149" s="586" t="s">
        <v>2749</v>
      </c>
      <c r="F1149" s="414"/>
      <c r="G1149" s="3462" t="s">
        <v>5134</v>
      </c>
      <c r="H1149" s="3470" t="str">
        <f>$V$2</f>
        <v>2019年12月31日</v>
      </c>
      <c r="I1149" s="3471"/>
      <c r="J1149" s="3471"/>
      <c r="K1149" s="3471"/>
      <c r="L1149" s="355" t="s">
        <v>5271</v>
      </c>
      <c r="M1149" s="301"/>
      <c r="N1149" s="391"/>
      <c r="O1149" s="349"/>
      <c r="P1149" s="301"/>
      <c r="S1149" s="364"/>
      <c r="Z1149" s="609" t="s">
        <v>540</v>
      </c>
      <c r="AA1149" s="609" t="s">
        <v>3137</v>
      </c>
    </row>
    <row r="1150" spans="1:29" ht="18">
      <c r="A1150" s="2712"/>
      <c r="B1150" s="371"/>
      <c r="C1150" s="371"/>
      <c r="D1150" s="2714"/>
      <c r="E1150" s="586" t="s">
        <v>2749</v>
      </c>
      <c r="F1150" s="414"/>
      <c r="G1150" s="3463"/>
      <c r="H1150" s="2292" t="s">
        <v>2861</v>
      </c>
      <c r="I1150" s="2292" t="s">
        <v>2862</v>
      </c>
      <c r="J1150" s="2292" t="s">
        <v>3001</v>
      </c>
      <c r="K1150" s="2238" t="s">
        <v>2899</v>
      </c>
      <c r="L1150" s="349"/>
      <c r="M1150" s="301"/>
      <c r="N1150" s="391"/>
      <c r="O1150" s="349"/>
      <c r="P1150" s="301"/>
      <c r="S1150" s="364"/>
      <c r="Z1150" s="609" t="s">
        <v>540</v>
      </c>
      <c r="AA1150" s="609" t="s">
        <v>3137</v>
      </c>
    </row>
    <row r="1151" spans="1:29" ht="18">
      <c r="A1151" s="2712"/>
      <c r="B1151" s="371">
        <v>101</v>
      </c>
      <c r="C1151" s="371" t="s">
        <v>2791</v>
      </c>
      <c r="D1151" s="2714">
        <f t="shared" ref="D1151:D1159" si="103">IF(OR(G1151="*",G1151="",G1151=0),0,COUNTIF($G$1151:$G$1159,G1151))</f>
        <v>0</v>
      </c>
      <c r="E1151" s="2719">
        <v>1</v>
      </c>
      <c r="F1151" s="293"/>
      <c r="G1151" s="2282" t="s">
        <v>2792</v>
      </c>
      <c r="H1151" s="2273"/>
      <c r="I1151" s="2273"/>
      <c r="J1151" s="2296"/>
      <c r="K1151" s="2274"/>
      <c r="L1151" s="349"/>
      <c r="M1151" s="301"/>
      <c r="N1151" s="391"/>
      <c r="O1151" s="349"/>
      <c r="P1151" s="301"/>
      <c r="S1151" s="364"/>
      <c r="Z1151" s="609" t="s">
        <v>540</v>
      </c>
      <c r="AA1151" s="609" t="s">
        <v>3137</v>
      </c>
    </row>
    <row r="1152" spans="1:29" ht="18">
      <c r="A1152" s="2712"/>
      <c r="B1152" s="371">
        <v>102</v>
      </c>
      <c r="C1152" s="371" t="s">
        <v>2791</v>
      </c>
      <c r="D1152" s="2714">
        <f t="shared" si="103"/>
        <v>0</v>
      </c>
      <c r="E1152" s="2719">
        <v>1</v>
      </c>
      <c r="F1152" s="293"/>
      <c r="G1152" s="2282" t="s">
        <v>2792</v>
      </c>
      <c r="H1152" s="2273"/>
      <c r="I1152" s="2273"/>
      <c r="J1152" s="2296"/>
      <c r="K1152" s="2274"/>
      <c r="L1152" s="349"/>
      <c r="M1152" s="301"/>
      <c r="N1152" s="391"/>
      <c r="O1152" s="349"/>
      <c r="P1152" s="301"/>
      <c r="S1152" s="364"/>
      <c r="Z1152" s="609" t="s">
        <v>540</v>
      </c>
      <c r="AA1152" s="609" t="s">
        <v>3137</v>
      </c>
    </row>
    <row r="1153" spans="1:27" ht="18">
      <c r="A1153" s="2712"/>
      <c r="B1153" s="371">
        <v>103</v>
      </c>
      <c r="C1153" s="371" t="s">
        <v>2791</v>
      </c>
      <c r="D1153" s="2714">
        <f t="shared" si="103"/>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2"/>
      <c r="B1154" s="371">
        <v>104</v>
      </c>
      <c r="C1154" s="371" t="s">
        <v>2791</v>
      </c>
      <c r="D1154" s="2714">
        <f t="shared" si="103"/>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2"/>
      <c r="B1155" s="371">
        <v>105</v>
      </c>
      <c r="C1155" s="371" t="s">
        <v>2791</v>
      </c>
      <c r="D1155" s="2714">
        <f t="shared" si="103"/>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2"/>
      <c r="B1156" s="371">
        <v>106</v>
      </c>
      <c r="C1156" s="371" t="s">
        <v>2791</v>
      </c>
      <c r="D1156" s="2714">
        <f t="shared" si="103"/>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107</v>
      </c>
      <c r="C1157" s="371" t="s">
        <v>2791</v>
      </c>
      <c r="D1157" s="2714">
        <f t="shared" si="103"/>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
      <c r="A1158" s="2712"/>
      <c r="B1158" s="371">
        <v>108</v>
      </c>
      <c r="C1158" s="371" t="s">
        <v>2791</v>
      </c>
      <c r="D1158" s="2714">
        <f t="shared" si="103"/>
        <v>0</v>
      </c>
      <c r="E1158" s="2719">
        <v>1</v>
      </c>
      <c r="F1158" s="293"/>
      <c r="G1158" s="2282" t="s">
        <v>2792</v>
      </c>
      <c r="H1158" s="2273"/>
      <c r="I1158" s="2273"/>
      <c r="J1158" s="2296"/>
      <c r="K1158" s="2274"/>
      <c r="L1158" s="349"/>
      <c r="M1158" s="301"/>
      <c r="N1158" s="391"/>
      <c r="O1158" s="349"/>
      <c r="P1158" s="301"/>
      <c r="S1158" s="364"/>
      <c r="Z1158" s="609" t="s">
        <v>540</v>
      </c>
      <c r="AA1158" s="609" t="s">
        <v>3137</v>
      </c>
    </row>
    <row r="1159" spans="1:27" ht="18.75" thickBot="1">
      <c r="A1159" s="2712"/>
      <c r="B1159" s="371"/>
      <c r="C1159" s="371"/>
      <c r="D1159" s="2714">
        <f t="shared" si="103"/>
        <v>1</v>
      </c>
      <c r="E1159" s="2719" t="s">
        <v>2751</v>
      </c>
      <c r="F1159" s="293"/>
      <c r="G1159" s="2232" t="s">
        <v>2752</v>
      </c>
      <c r="H1159" s="2233">
        <f>SUMPRODUCT($E1150:$E1158,H1150:H1158)</f>
        <v>0</v>
      </c>
      <c r="I1159" s="2233">
        <f>SUMPRODUCT($E1150:$E1158,I1150:I1158)</f>
        <v>0</v>
      </c>
      <c r="J1159" s="2239"/>
      <c r="K1159" s="2242"/>
      <c r="L1159" s="349"/>
      <c r="M1159" s="301"/>
      <c r="N1159" s="391"/>
      <c r="O1159" s="349"/>
      <c r="P1159" s="301"/>
      <c r="S1159" s="364"/>
      <c r="Z1159" s="609" t="s">
        <v>540</v>
      </c>
      <c r="AA1159" s="609" t="s">
        <v>3137</v>
      </c>
    </row>
    <row r="1160" spans="1:27" ht="18.75" thickBot="1">
      <c r="A1160" s="2712"/>
      <c r="B1160" s="371"/>
      <c r="C1160" s="371" t="s">
        <v>2755</v>
      </c>
      <c r="D1160" s="2714"/>
      <c r="F1160" s="293"/>
      <c r="G1160" s="376"/>
      <c r="H1160" s="2624" t="s">
        <v>3002</v>
      </c>
      <c r="I1160" s="2251" t="s">
        <v>3002</v>
      </c>
      <c r="J1160" s="393"/>
      <c r="K1160" s="392"/>
      <c r="L1160" s="349"/>
      <c r="M1160" s="301"/>
      <c r="N1160" s="391"/>
      <c r="O1160" s="349"/>
      <c r="P1160" s="301"/>
      <c r="S1160" s="364"/>
      <c r="Z1160" s="609" t="s">
        <v>540</v>
      </c>
      <c r="AA1160" s="609" t="s">
        <v>3137</v>
      </c>
    </row>
    <row r="1161" spans="1:27" ht="18.75" thickTop="1">
      <c r="A1161" s="2712"/>
      <c r="B1161" s="371"/>
      <c r="C1161" s="371" t="s">
        <v>2565</v>
      </c>
      <c r="D1161" s="2714"/>
      <c r="F1161" s="293"/>
      <c r="G1161" s="1547" t="s">
        <v>5365</v>
      </c>
      <c r="H1161" s="1548" t="str">
        <f>G1132</f>
        <v>(3A2)期末处于第二阶段的其他应收款坏账准备（三阶段模型）</v>
      </c>
      <c r="I1161" s="1550"/>
      <c r="J1161" s="1549"/>
      <c r="K1161" s="1549"/>
      <c r="L1161" s="1551" t="s">
        <v>5366</v>
      </c>
      <c r="M1161" s="301"/>
      <c r="N1161" s="391"/>
      <c r="O1161" s="349"/>
      <c r="P1161" s="301"/>
      <c r="S1161" s="364"/>
      <c r="Z1161" s="609" t="s">
        <v>540</v>
      </c>
      <c r="AA1161" s="609" t="s">
        <v>3137</v>
      </c>
    </row>
    <row r="1162" spans="1:27" ht="18">
      <c r="A1162" s="2712"/>
      <c r="B1162" s="371"/>
      <c r="C1162" s="371" t="s">
        <v>2565</v>
      </c>
      <c r="D1162" s="2714"/>
      <c r="F1162" s="293"/>
      <c r="G1162" s="604" t="str">
        <f>"注释A:"&amp; G1135</f>
        <v>注释A:按单项计提坏账准备</v>
      </c>
      <c r="H1162" s="2250">
        <f ca="1">HYPERLINK("#'"&amp;$G$1&amp;"'!"&amp;ADDRESS(ROW(Notes!H1135),COLUMN(Notes!H1135),4),H1135)</f>
        <v>0</v>
      </c>
      <c r="I1162" s="2250">
        <f ca="1">HYPERLINK("#'"&amp;$G$1&amp;"'!"&amp;ADDRESS(ROW(Notes!J1135),COLUMN(Notes!J1135),4),J1135)</f>
        <v>0</v>
      </c>
      <c r="J1162" s="351"/>
      <c r="K1162" s="351"/>
      <c r="L1162" s="2630">
        <f>H1132</f>
        <v>122102</v>
      </c>
      <c r="M1162" s="301"/>
      <c r="N1162" s="391"/>
      <c r="O1162" s="349"/>
      <c r="P1162" s="301"/>
      <c r="S1162" s="364"/>
      <c r="Z1162" s="609" t="s">
        <v>540</v>
      </c>
      <c r="AA1162" s="609" t="s">
        <v>3137</v>
      </c>
    </row>
    <row r="1163" spans="1:27" ht="18">
      <c r="A1163" s="2712"/>
      <c r="B1163" s="371"/>
      <c r="C1163" s="371" t="s">
        <v>2565</v>
      </c>
      <c r="D1163" s="2714"/>
      <c r="F1163" s="293"/>
      <c r="G1163" s="604" t="str">
        <f>"本注释B:"&amp; G1159</f>
        <v>本注释B:合       计</v>
      </c>
      <c r="H1163" s="456">
        <f>H1159</f>
        <v>0</v>
      </c>
      <c r="I1163" s="456">
        <f>I1159</f>
        <v>0</v>
      </c>
      <c r="J1163" s="351"/>
      <c r="K1163" s="351"/>
      <c r="L1163" s="2635">
        <v>122121</v>
      </c>
      <c r="M1163" s="301"/>
      <c r="N1163" s="391"/>
      <c r="O1163" s="349"/>
      <c r="P1163" s="301"/>
      <c r="S1163" s="364"/>
      <c r="Z1163" s="609" t="s">
        <v>540</v>
      </c>
      <c r="AA1163" s="609" t="s">
        <v>3137</v>
      </c>
    </row>
    <row r="1164" spans="1:27" ht="18.75" thickBot="1">
      <c r="A1164" s="2712"/>
      <c r="B1164" s="371"/>
      <c r="C1164" s="371" t="s">
        <v>2565</v>
      </c>
      <c r="D1164" s="2714"/>
      <c r="F1164" s="293"/>
      <c r="G1164" s="1552" t="s">
        <v>2757</v>
      </c>
      <c r="H1164" s="1529">
        <f ca="1">IF(AND(H1162="",H1163=""),"",ROUND(H1162-H1163,2))</f>
        <v>0</v>
      </c>
      <c r="I1164" s="1529">
        <f ca="1">IF(AND(I1162="",I1163=""),"",ROUND(I1162-I1163,2))</f>
        <v>0</v>
      </c>
      <c r="J1164" s="1553"/>
      <c r="K1164" s="1553"/>
      <c r="L1164" s="1553"/>
      <c r="M1164" s="301"/>
      <c r="N1164" s="391"/>
      <c r="O1164" s="349"/>
      <c r="P1164" s="301"/>
      <c r="S1164" s="364"/>
      <c r="Z1164" s="609" t="s">
        <v>540</v>
      </c>
      <c r="AA1164" s="609" t="s">
        <v>3137</v>
      </c>
    </row>
    <row r="1165" spans="1:27" ht="18.75" thickTop="1">
      <c r="A1165" s="2712"/>
      <c r="B1165" s="371"/>
      <c r="C1165" s="371" t="s">
        <v>2565</v>
      </c>
      <c r="D1165" s="2714"/>
      <c r="F1165" s="293"/>
      <c r="G1165" s="1543"/>
      <c r="H1165" s="459" t="str">
        <f ca="1">IF(OR(H1164=0,H1164=""),"√","？")</f>
        <v>√</v>
      </c>
      <c r="I1165" s="459" t="str">
        <f ca="1">IF(OR(I1164=0,I1164=""),"√","？")</f>
        <v>√</v>
      </c>
      <c r="J1165" s="317"/>
      <c r="K1165" s="317"/>
      <c r="L1165" s="317"/>
      <c r="M1165" s="301"/>
      <c r="N1165" s="391"/>
      <c r="O1165" s="349"/>
      <c r="P1165" s="301"/>
      <c r="S1165" s="364"/>
      <c r="Z1165" s="609" t="s">
        <v>540</v>
      </c>
      <c r="AA1165" s="609" t="s">
        <v>3137</v>
      </c>
    </row>
    <row r="1166" spans="1:27" ht="18">
      <c r="A1166" s="2712"/>
      <c r="B1166" s="371"/>
      <c r="C1166" s="371" t="s">
        <v>2565</v>
      </c>
      <c r="D1166" s="2714"/>
      <c r="F1166" s="293"/>
      <c r="G1166" s="1557" t="s">
        <v>2759</v>
      </c>
      <c r="H1166" s="461"/>
      <c r="I1166" s="461"/>
      <c r="J1166" s="317"/>
      <c r="K1166" s="352">
        <f ca="1">SUMIF($H$1165:$L$1165,"&lt;&gt;√",$H$1164:$L$1164)</f>
        <v>0</v>
      </c>
      <c r="L1166" s="353" t="str">
        <f ca="1">IF(OR(K1166=0,K1166=""),"√","？")</f>
        <v>√</v>
      </c>
      <c r="M1166" s="301"/>
      <c r="N1166" s="391"/>
      <c r="O1166" s="349"/>
      <c r="P1166" s="301"/>
      <c r="S1166" s="364"/>
      <c r="Z1166" s="609" t="s">
        <v>540</v>
      </c>
      <c r="AA1166" s="609" t="s">
        <v>3137</v>
      </c>
    </row>
    <row r="1167" spans="1:27" ht="18">
      <c r="A1167" s="2712"/>
      <c r="B1167" s="371"/>
      <c r="C1167" s="371" t="s">
        <v>2565</v>
      </c>
      <c r="D1167" s="2714"/>
      <c r="F1167" s="293"/>
      <c r="G1167" s="1543"/>
      <c r="H1167" s="461"/>
      <c r="I1167" s="461"/>
      <c r="J1167" s="317"/>
      <c r="K1167" s="317"/>
      <c r="L1167" s="317"/>
      <c r="M1167" s="301"/>
      <c r="N1167" s="391"/>
      <c r="O1167" s="349"/>
      <c r="P1167" s="301"/>
      <c r="S1167" s="364"/>
      <c r="Z1167" s="609" t="s">
        <v>540</v>
      </c>
      <c r="AA1167" s="609" t="s">
        <v>3137</v>
      </c>
    </row>
    <row r="1168" spans="1:27" ht="36">
      <c r="A1168" s="2712">
        <v>122122</v>
      </c>
      <c r="B1168" s="371" t="s">
        <v>6542</v>
      </c>
      <c r="C1168" s="371"/>
      <c r="D1168" s="2714" t="str">
        <f>VLOOKUP($A1168,Sheet_NoteList,2,0)</f>
        <v>期末按组合1计提坏账准备的其他应收款（第二阶段）</v>
      </c>
      <c r="E1168" s="2714" t="s">
        <v>6531</v>
      </c>
      <c r="F1168" s="293"/>
      <c r="G1168" s="372" t="str">
        <f>"("&amp;B1168&amp;")"&amp;D1168</f>
        <v>(3A2.2)期末按组合1计提坏账准备的其他应收款（第二阶段）</v>
      </c>
      <c r="H1168" s="2313">
        <f>$A1168</f>
        <v>122122</v>
      </c>
      <c r="I1168" s="343" t="s">
        <v>5932</v>
      </c>
      <c r="J1168" s="301" t="s">
        <v>5933</v>
      </c>
      <c r="K1168" s="2208">
        <f>H1181</f>
        <v>0</v>
      </c>
      <c r="L1168" s="349"/>
      <c r="M1168" s="301"/>
      <c r="N1168" s="391"/>
      <c r="O1168" s="349"/>
      <c r="P1168" s="301"/>
      <c r="S1168" s="364"/>
      <c r="Z1168" s="609" t="s">
        <v>540</v>
      </c>
      <c r="AA1168" s="609" t="s">
        <v>3137</v>
      </c>
    </row>
    <row r="1169" spans="1:27" ht="0.75" customHeight="1">
      <c r="A1169" s="2712"/>
      <c r="B1169" s="371"/>
      <c r="C1169" s="371"/>
      <c r="D1169" s="2714"/>
      <c r="E1169" s="586"/>
      <c r="F1169" s="586"/>
      <c r="G1169" s="2222" t="s">
        <v>5936</v>
      </c>
      <c r="H1169" s="371" t="s">
        <v>5386</v>
      </c>
      <c r="I1169" s="371" t="s">
        <v>5528</v>
      </c>
      <c r="J1169" s="371" t="s">
        <v>5400</v>
      </c>
      <c r="K1169" s="391"/>
      <c r="L1169" s="349"/>
      <c r="M1169" s="301"/>
      <c r="N1169" s="391"/>
      <c r="O1169" s="349"/>
      <c r="P1169" s="301"/>
      <c r="S1169" s="364"/>
      <c r="Z1169" s="609" t="s">
        <v>540</v>
      </c>
      <c r="AA1169" s="609" t="s">
        <v>3137</v>
      </c>
    </row>
    <row r="1170" spans="1:27" ht="0.75" customHeight="1" thickBot="1">
      <c r="A1170" s="2712"/>
      <c r="B1170" s="371"/>
      <c r="C1170" s="371"/>
      <c r="D1170" s="2714"/>
      <c r="E1170" s="586"/>
      <c r="F1170" s="586"/>
      <c r="G1170" s="2222"/>
      <c r="H1170" s="1615" t="s">
        <v>5470</v>
      </c>
      <c r="I1170" s="371" t="s">
        <v>5375</v>
      </c>
      <c r="J1170" s="371" t="s">
        <v>5376</v>
      </c>
      <c r="K1170" s="391"/>
      <c r="L1170" s="349"/>
      <c r="M1170" s="301"/>
      <c r="N1170" s="391"/>
      <c r="O1170" s="349"/>
      <c r="P1170" s="301"/>
      <c r="S1170" s="364"/>
      <c r="Z1170" s="609" t="s">
        <v>540</v>
      </c>
      <c r="AA1170" s="609" t="s">
        <v>3137</v>
      </c>
    </row>
    <row r="1171" spans="1:27" ht="18" customHeight="1">
      <c r="A1171" s="2712"/>
      <c r="B1171" s="371"/>
      <c r="C1171" s="371"/>
      <c r="D1171" s="2714"/>
      <c r="E1171" s="586" t="s">
        <v>2749</v>
      </c>
      <c r="F1171" s="414"/>
      <c r="G1171" s="3462" t="s">
        <v>5135</v>
      </c>
      <c r="H1171" s="3470" t="str">
        <f>$V$2</f>
        <v>2019年12月31日</v>
      </c>
      <c r="I1171" s="3471"/>
      <c r="J1171" s="3471"/>
      <c r="K1171" s="355" t="s">
        <v>5271</v>
      </c>
      <c r="L1171" s="349"/>
      <c r="M1171" s="301"/>
      <c r="N1171" s="391"/>
      <c r="O1171" s="349"/>
      <c r="P1171" s="301"/>
      <c r="S1171" s="364"/>
      <c r="Z1171" s="609" t="s">
        <v>540</v>
      </c>
      <c r="AA1171" s="609" t="s">
        <v>3137</v>
      </c>
    </row>
    <row r="1172" spans="1:27" ht="18">
      <c r="A1172" s="2712"/>
      <c r="B1172" s="371"/>
      <c r="C1172" s="371"/>
      <c r="D1172" s="2714"/>
      <c r="E1172" s="586" t="s">
        <v>2749</v>
      </c>
      <c r="F1172" s="414"/>
      <c r="G1172" s="3463"/>
      <c r="H1172" s="2292" t="s">
        <v>2861</v>
      </c>
      <c r="I1172" s="2292" t="s">
        <v>2862</v>
      </c>
      <c r="J1172" s="2238" t="s">
        <v>2889</v>
      </c>
      <c r="K1172" s="391"/>
      <c r="L1172" s="349"/>
      <c r="M1172" s="301"/>
      <c r="N1172" s="391"/>
      <c r="O1172" s="349"/>
      <c r="P1172" s="301"/>
      <c r="S1172" s="364"/>
      <c r="Z1172" s="609" t="s">
        <v>540</v>
      </c>
      <c r="AA1172" s="609" t="s">
        <v>3137</v>
      </c>
    </row>
    <row r="1173" spans="1:27" ht="18">
      <c r="A1173" s="2712"/>
      <c r="B1173" s="371">
        <v>101</v>
      </c>
      <c r="C1173" s="371"/>
      <c r="D1173" s="2714">
        <f t="shared" ref="D1173:D1181" si="104">IF(OR(G1173="*",G1173="",G1173=0),0,COUNTIF($G$1173:$G$1181,G1173))</f>
        <v>1</v>
      </c>
      <c r="E1173" s="2719">
        <v>1</v>
      </c>
      <c r="F1173" s="293"/>
      <c r="G1173" s="1472" t="s">
        <v>2938</v>
      </c>
      <c r="H1173" s="2273"/>
      <c r="I1173" s="2273"/>
      <c r="J1173" s="2274"/>
      <c r="K1173" s="391"/>
      <c r="L1173" s="349"/>
      <c r="M1173" s="301"/>
      <c r="N1173" s="391"/>
      <c r="O1173" s="349"/>
      <c r="P1173" s="301"/>
      <c r="S1173" s="364"/>
      <c r="Z1173" s="609" t="s">
        <v>540</v>
      </c>
      <c r="AA1173" s="609" t="s">
        <v>3137</v>
      </c>
    </row>
    <row r="1174" spans="1:27" ht="18">
      <c r="A1174" s="2712"/>
      <c r="B1174" s="371">
        <v>102</v>
      </c>
      <c r="C1174" s="371"/>
      <c r="D1174" s="2714">
        <f t="shared" si="104"/>
        <v>1</v>
      </c>
      <c r="E1174" s="2719">
        <v>1</v>
      </c>
      <c r="F1174" s="293"/>
      <c r="G1174" s="1472" t="s">
        <v>2962</v>
      </c>
      <c r="H1174" s="2273"/>
      <c r="I1174" s="2273"/>
      <c r="J1174" s="2274"/>
      <c r="K1174" s="391"/>
      <c r="L1174" s="349"/>
      <c r="M1174" s="301"/>
      <c r="N1174" s="391"/>
      <c r="O1174" s="349"/>
      <c r="P1174" s="301"/>
      <c r="S1174" s="364"/>
      <c r="Z1174" s="609" t="s">
        <v>540</v>
      </c>
      <c r="AA1174" s="609" t="s">
        <v>3137</v>
      </c>
    </row>
    <row r="1175" spans="1:27" ht="18">
      <c r="A1175" s="2712"/>
      <c r="B1175" s="371">
        <v>103</v>
      </c>
      <c r="C1175" s="371"/>
      <c r="D1175" s="2714">
        <f t="shared" si="104"/>
        <v>1</v>
      </c>
      <c r="E1175" s="2719">
        <v>1</v>
      </c>
      <c r="F1175" s="293"/>
      <c r="G1175" s="1472" t="s">
        <v>2963</v>
      </c>
      <c r="H1175" s="2273"/>
      <c r="I1175" s="2273"/>
      <c r="J1175" s="2274"/>
      <c r="K1175" s="391"/>
      <c r="L1175" s="349"/>
      <c r="M1175" s="301"/>
      <c r="N1175" s="391"/>
      <c r="O1175" s="349"/>
      <c r="P1175" s="301"/>
      <c r="S1175" s="364"/>
      <c r="Z1175" s="609" t="s">
        <v>540</v>
      </c>
      <c r="AA1175" s="609" t="s">
        <v>3137</v>
      </c>
    </row>
    <row r="1176" spans="1:27" ht="18">
      <c r="A1176" s="2712"/>
      <c r="B1176" s="371">
        <v>104</v>
      </c>
      <c r="C1176" s="371" t="s">
        <v>2791</v>
      </c>
      <c r="D1176" s="2714">
        <f t="shared" si="104"/>
        <v>1</v>
      </c>
      <c r="E1176" s="2719">
        <v>1</v>
      </c>
      <c r="F1176" s="293"/>
      <c r="G1176" s="2282" t="s">
        <v>2964</v>
      </c>
      <c r="H1176" s="2273"/>
      <c r="I1176" s="2273"/>
      <c r="J1176" s="2274"/>
      <c r="K1176" s="391"/>
      <c r="L1176" s="349"/>
      <c r="M1176" s="301"/>
      <c r="N1176" s="391"/>
      <c r="O1176" s="349"/>
      <c r="P1176" s="301"/>
      <c r="S1176" s="364"/>
      <c r="Z1176" s="609" t="s">
        <v>540</v>
      </c>
      <c r="AA1176" s="609" t="s">
        <v>3137</v>
      </c>
    </row>
    <row r="1177" spans="1:27" ht="18">
      <c r="A1177" s="2712"/>
      <c r="B1177" s="371">
        <v>105</v>
      </c>
      <c r="C1177" s="371" t="s">
        <v>2791</v>
      </c>
      <c r="D1177" s="2714">
        <f t="shared" si="104"/>
        <v>1</v>
      </c>
      <c r="E1177" s="2719">
        <v>1</v>
      </c>
      <c r="F1177" s="293"/>
      <c r="G1177" s="2282" t="s">
        <v>2965</v>
      </c>
      <c r="H1177" s="2273"/>
      <c r="I1177" s="2273"/>
      <c r="J1177" s="2274"/>
      <c r="K1177" s="391"/>
      <c r="L1177" s="349"/>
      <c r="M1177" s="301"/>
      <c r="N1177" s="391"/>
      <c r="O1177" s="349"/>
      <c r="P1177" s="301"/>
      <c r="S1177" s="364"/>
      <c r="Z1177" s="609" t="s">
        <v>540</v>
      </c>
      <c r="AA1177" s="609" t="s">
        <v>3137</v>
      </c>
    </row>
    <row r="1178" spans="1:27" ht="18">
      <c r="A1178" s="2712"/>
      <c r="B1178" s="371">
        <v>106</v>
      </c>
      <c r="C1178" s="371" t="s">
        <v>2791</v>
      </c>
      <c r="D1178" s="2714">
        <f t="shared" si="104"/>
        <v>1</v>
      </c>
      <c r="E1178" s="2719">
        <v>1</v>
      </c>
      <c r="F1178" s="293"/>
      <c r="G1178" s="2282" t="s">
        <v>2944</v>
      </c>
      <c r="H1178" s="2273"/>
      <c r="I1178" s="2273"/>
      <c r="J1178" s="2274"/>
      <c r="K1178" s="391"/>
      <c r="L1178" s="349"/>
      <c r="M1178" s="301"/>
      <c r="N1178" s="391"/>
      <c r="O1178" s="349"/>
      <c r="P1178" s="301"/>
      <c r="S1178" s="364"/>
      <c r="Z1178" s="609" t="s">
        <v>540</v>
      </c>
      <c r="AA1178" s="609" t="s">
        <v>3137</v>
      </c>
    </row>
    <row r="1179" spans="1:27" ht="18">
      <c r="A1179" s="2712"/>
      <c r="B1179" s="371">
        <v>107</v>
      </c>
      <c r="C1179" s="371" t="s">
        <v>2791</v>
      </c>
      <c r="D1179" s="2714">
        <f t="shared" si="104"/>
        <v>0</v>
      </c>
      <c r="E1179" s="2719">
        <v>1</v>
      </c>
      <c r="F1179" s="293"/>
      <c r="G1179" s="2282" t="s">
        <v>2792</v>
      </c>
      <c r="H1179" s="2273"/>
      <c r="I1179" s="2273"/>
      <c r="J1179" s="2274"/>
      <c r="K1179" s="391"/>
      <c r="L1179" s="349"/>
      <c r="M1179" s="301"/>
      <c r="N1179" s="391"/>
      <c r="O1179" s="349"/>
      <c r="P1179" s="301"/>
      <c r="S1179" s="364"/>
      <c r="Z1179" s="609" t="s">
        <v>540</v>
      </c>
      <c r="AA1179" s="609" t="s">
        <v>3137</v>
      </c>
    </row>
    <row r="1180" spans="1:27" ht="18">
      <c r="A1180" s="2712"/>
      <c r="B1180" s="371">
        <v>108</v>
      </c>
      <c r="C1180" s="371" t="s">
        <v>2791</v>
      </c>
      <c r="D1180" s="2714">
        <f t="shared" si="104"/>
        <v>0</v>
      </c>
      <c r="E1180" s="2719">
        <v>1</v>
      </c>
      <c r="F1180" s="293"/>
      <c r="G1180" s="2282" t="s">
        <v>2792</v>
      </c>
      <c r="H1180" s="2273"/>
      <c r="I1180" s="2273"/>
      <c r="J1180" s="2274"/>
      <c r="K1180" s="391"/>
      <c r="L1180" s="349"/>
      <c r="M1180" s="301"/>
      <c r="N1180" s="391"/>
      <c r="O1180" s="349"/>
      <c r="P1180" s="301"/>
      <c r="S1180" s="364"/>
      <c r="Z1180" s="609" t="s">
        <v>540</v>
      </c>
      <c r="AA1180" s="609" t="s">
        <v>3137</v>
      </c>
    </row>
    <row r="1181" spans="1:27" ht="18.75" thickBot="1">
      <c r="A1181" s="2712"/>
      <c r="B1181" s="371"/>
      <c r="C1181" s="371"/>
      <c r="D1181" s="2714">
        <f t="shared" si="104"/>
        <v>1</v>
      </c>
      <c r="E1181" s="2719" t="s">
        <v>2751</v>
      </c>
      <c r="F1181" s="293"/>
      <c r="G1181" s="2232" t="s">
        <v>2752</v>
      </c>
      <c r="H1181" s="2233">
        <f>SUMPRODUCT($E1172:$E1180,H1172:H1180)</f>
        <v>0</v>
      </c>
      <c r="I1181" s="2233">
        <f>SUMPRODUCT($E1172:$E1180,I1172:I1180)</f>
        <v>0</v>
      </c>
      <c r="J1181" s="2311"/>
      <c r="K1181" s="391"/>
      <c r="L1181" s="349"/>
      <c r="M1181" s="301"/>
      <c r="N1181" s="391"/>
      <c r="O1181" s="349"/>
      <c r="P1181" s="301"/>
      <c r="S1181" s="364"/>
      <c r="Z1181" s="609" t="s">
        <v>540</v>
      </c>
      <c r="AA1181" s="609" t="s">
        <v>3137</v>
      </c>
    </row>
    <row r="1182" spans="1:27" ht="18.75" thickBot="1">
      <c r="A1182" s="2712"/>
      <c r="B1182" s="371"/>
      <c r="C1182" s="371" t="s">
        <v>2755</v>
      </c>
      <c r="D1182" s="2714"/>
      <c r="F1182" s="293"/>
      <c r="G1182" s="376"/>
      <c r="H1182" s="2624" t="s">
        <v>3002</v>
      </c>
      <c r="I1182" s="2251" t="s">
        <v>3002</v>
      </c>
      <c r="J1182" s="393"/>
      <c r="K1182" s="391"/>
      <c r="L1182" s="349"/>
      <c r="M1182" s="301"/>
      <c r="N1182" s="391"/>
      <c r="O1182" s="349"/>
      <c r="P1182" s="301"/>
      <c r="S1182" s="364"/>
      <c r="Z1182" s="609" t="s">
        <v>540</v>
      </c>
      <c r="AA1182" s="609" t="s">
        <v>3137</v>
      </c>
    </row>
    <row r="1183" spans="1:27" ht="18.75" thickTop="1">
      <c r="A1183" s="2712"/>
      <c r="B1183" s="371"/>
      <c r="C1183" s="371" t="s">
        <v>2565</v>
      </c>
      <c r="D1183" s="2714"/>
      <c r="F1183" s="293"/>
      <c r="G1183" s="1547" t="s">
        <v>5365</v>
      </c>
      <c r="H1183" s="1548" t="str">
        <f>G1132</f>
        <v>(3A2)期末处于第二阶段的其他应收款坏账准备（三阶段模型）</v>
      </c>
      <c r="I1183" s="1550"/>
      <c r="J1183" s="1549"/>
      <c r="K1183" s="1551" t="s">
        <v>5366</v>
      </c>
      <c r="L1183" s="349"/>
      <c r="M1183" s="301"/>
      <c r="N1183" s="391"/>
      <c r="O1183" s="349"/>
      <c r="P1183" s="301"/>
      <c r="S1183" s="364"/>
      <c r="Z1183" s="609" t="s">
        <v>540</v>
      </c>
      <c r="AA1183" s="609" t="s">
        <v>3137</v>
      </c>
    </row>
    <row r="1184" spans="1:27" ht="18">
      <c r="A1184" s="2712"/>
      <c r="B1184" s="371"/>
      <c r="C1184" s="371" t="s">
        <v>2565</v>
      </c>
      <c r="D1184" s="2714"/>
      <c r="F1184" s="293"/>
      <c r="G1184" s="604" t="str">
        <f>"注释A:"&amp; G1140</f>
        <v>注释A:组合1</v>
      </c>
      <c r="H1184" s="2250">
        <f ca="1">HYPERLINK("#'"&amp;$G$1&amp;"'!"&amp;ADDRESS(ROW(Notes!H1140),COLUMN(Notes!H1140),4),H1140)</f>
        <v>0</v>
      </c>
      <c r="I1184" s="2250">
        <f ca="1">HYPERLINK("#'"&amp;$G$1&amp;"'!"&amp;ADDRESS(ROW(Notes!J1140),COLUMN(Notes!J1140),4),J1140)</f>
        <v>0</v>
      </c>
      <c r="J1184" s="351"/>
      <c r="K1184" s="2630">
        <f>H1132</f>
        <v>122102</v>
      </c>
      <c r="L1184" s="349"/>
      <c r="M1184" s="301"/>
      <c r="N1184" s="391"/>
      <c r="O1184" s="349"/>
      <c r="P1184" s="301"/>
      <c r="S1184" s="364"/>
      <c r="Z1184" s="609" t="s">
        <v>540</v>
      </c>
      <c r="AA1184" s="609" t="s">
        <v>3137</v>
      </c>
    </row>
    <row r="1185" spans="1:27" ht="18">
      <c r="A1185" s="2712"/>
      <c r="B1185" s="371"/>
      <c r="C1185" s="371" t="s">
        <v>2565</v>
      </c>
      <c r="D1185" s="2714"/>
      <c r="F1185" s="293"/>
      <c r="G1185" s="604" t="str">
        <f>"本注释B:"&amp; G1181</f>
        <v>本注释B:合       计</v>
      </c>
      <c r="H1185" s="456">
        <f>H1181</f>
        <v>0</v>
      </c>
      <c r="I1185" s="456">
        <f>I1181</f>
        <v>0</v>
      </c>
      <c r="J1185" s="351"/>
      <c r="K1185" s="2636">
        <v>122122</v>
      </c>
      <c r="L1185" s="349"/>
      <c r="M1185" s="301"/>
      <c r="N1185" s="391"/>
      <c r="O1185" s="349"/>
      <c r="P1185" s="301"/>
      <c r="S1185" s="364"/>
      <c r="Z1185" s="609" t="s">
        <v>540</v>
      </c>
      <c r="AA1185" s="609" t="s">
        <v>3137</v>
      </c>
    </row>
    <row r="1186" spans="1:27" ht="18.75" thickBot="1">
      <c r="A1186" s="2712"/>
      <c r="B1186" s="371"/>
      <c r="C1186" s="371" t="s">
        <v>2565</v>
      </c>
      <c r="D1186" s="2714"/>
      <c r="F1186" s="293"/>
      <c r="G1186" s="1552" t="s">
        <v>2757</v>
      </c>
      <c r="H1186" s="1529">
        <f ca="1">IF(AND(H1184="",H1185=""),"",ROUND(H1184-H1185,2))</f>
        <v>0</v>
      </c>
      <c r="I1186" s="1529">
        <f ca="1">IF(AND(I1184="",I1185=""),"",ROUND(I1184-I1185,2))</f>
        <v>0</v>
      </c>
      <c r="J1186" s="1553"/>
      <c r="K1186" s="1553"/>
      <c r="L1186" s="349"/>
      <c r="M1186" s="301"/>
      <c r="N1186" s="391"/>
      <c r="O1186" s="349"/>
      <c r="P1186" s="301"/>
      <c r="S1186" s="364"/>
      <c r="Z1186" s="609" t="s">
        <v>540</v>
      </c>
      <c r="AA1186" s="609" t="s">
        <v>3137</v>
      </c>
    </row>
    <row r="1187" spans="1:27" ht="18.75" thickTop="1">
      <c r="A1187" s="2712"/>
      <c r="B1187" s="371"/>
      <c r="C1187" s="371" t="s">
        <v>2565</v>
      </c>
      <c r="D1187" s="2714"/>
      <c r="F1187" s="293"/>
      <c r="G1187" s="1543"/>
      <c r="H1187" s="459" t="str">
        <f ca="1">IF(OR(H1186=0,H1186=""),"√","？")</f>
        <v>√</v>
      </c>
      <c r="I1187" s="459" t="str">
        <f ca="1">IF(OR(I1186=0,I1186=""),"√","？")</f>
        <v>√</v>
      </c>
      <c r="J1187" s="317"/>
      <c r="K1187" s="317"/>
      <c r="L1187" s="349"/>
      <c r="M1187" s="301"/>
      <c r="N1187" s="391"/>
      <c r="O1187" s="349"/>
      <c r="P1187" s="301"/>
      <c r="S1187" s="364"/>
      <c r="Z1187" s="609" t="s">
        <v>540</v>
      </c>
      <c r="AA1187" s="609" t="s">
        <v>3137</v>
      </c>
    </row>
    <row r="1188" spans="1:27" ht="18">
      <c r="A1188" s="2712"/>
      <c r="B1188" s="371"/>
      <c r="C1188" s="371" t="s">
        <v>2565</v>
      </c>
      <c r="D1188" s="2714"/>
      <c r="F1188" s="293"/>
      <c r="G1188" s="1557" t="s">
        <v>2759</v>
      </c>
      <c r="H1188" s="461"/>
      <c r="I1188" s="461"/>
      <c r="J1188" s="317"/>
      <c r="K1188" s="352">
        <f ca="1">SUMIF($H$1187:$K$1187,"&lt;&gt;√",$H$1186:$K$1186)</f>
        <v>0</v>
      </c>
      <c r="L1188" s="2626" t="str">
        <f ca="1">IF(OR(K1188=0,K1188=""),"√","？")</f>
        <v>√</v>
      </c>
      <c r="M1188" s="301"/>
      <c r="N1188" s="391"/>
      <c r="O1188" s="349"/>
      <c r="P1188" s="301"/>
      <c r="S1188" s="364"/>
      <c r="Z1188" s="609" t="s">
        <v>540</v>
      </c>
      <c r="AA1188" s="609" t="s">
        <v>3137</v>
      </c>
    </row>
    <row r="1189" spans="1:27" ht="18">
      <c r="A1189" s="2712"/>
      <c r="B1189" s="371"/>
      <c r="C1189" s="371" t="s">
        <v>2565</v>
      </c>
      <c r="D1189" s="2714"/>
      <c r="F1189" s="293"/>
      <c r="G1189" s="1543"/>
      <c r="H1189" s="461"/>
      <c r="I1189" s="461"/>
      <c r="J1189" s="317"/>
      <c r="K1189" s="317"/>
      <c r="L1189" s="349"/>
      <c r="M1189" s="301"/>
      <c r="N1189" s="391"/>
      <c r="O1189" s="349"/>
      <c r="P1189" s="301"/>
      <c r="S1189" s="364"/>
      <c r="Z1189" s="609" t="s">
        <v>540</v>
      </c>
      <c r="AA1189" s="609" t="s">
        <v>3137</v>
      </c>
    </row>
    <row r="1190" spans="1:27" ht="36">
      <c r="A1190" s="2712">
        <v>122123</v>
      </c>
      <c r="B1190" s="371" t="s">
        <v>6543</v>
      </c>
      <c r="C1190" s="371"/>
      <c r="D1190" s="2714" t="str">
        <f>VLOOKUP($A1190,Sheet_NoteList,2,0)</f>
        <v>期末按组合2计提坏账准备的其他应收款（第二阶段）</v>
      </c>
      <c r="E1190" s="2714" t="s">
        <v>6531</v>
      </c>
      <c r="F1190" s="293"/>
      <c r="G1190" s="372" t="str">
        <f>"("&amp;B1190&amp;")"&amp;D1190</f>
        <v>(3A2.3)期末按组合2计提坏账准备的其他应收款（第二阶段）</v>
      </c>
      <c r="H1190" s="2313">
        <f>$A1190</f>
        <v>122123</v>
      </c>
      <c r="I1190" s="343" t="s">
        <v>5932</v>
      </c>
      <c r="J1190" s="301" t="s">
        <v>5933</v>
      </c>
      <c r="K1190" s="2208">
        <f>H1203</f>
        <v>0</v>
      </c>
      <c r="L1190" s="349"/>
      <c r="M1190" s="301"/>
      <c r="N1190" s="391"/>
      <c r="O1190" s="349"/>
      <c r="P1190" s="301"/>
      <c r="S1190" s="364"/>
      <c r="Z1190" s="609" t="s">
        <v>540</v>
      </c>
      <c r="AA1190" s="609" t="s">
        <v>3137</v>
      </c>
    </row>
    <row r="1191" spans="1:27" ht="0.75" customHeight="1">
      <c r="A1191" s="2712"/>
      <c r="B1191" s="371"/>
      <c r="C1191" s="371"/>
      <c r="D1191" s="2714"/>
      <c r="F1191" s="371"/>
      <c r="G1191" s="405" t="s">
        <v>5937</v>
      </c>
      <c r="H1191" s="371" t="s">
        <v>5386</v>
      </c>
      <c r="I1191" s="371" t="s">
        <v>5528</v>
      </c>
      <c r="J1191" s="371" t="s">
        <v>5400</v>
      </c>
      <c r="K1191" s="391"/>
      <c r="L1191" s="349"/>
      <c r="M1191" s="301"/>
      <c r="N1191" s="391"/>
      <c r="O1191" s="349"/>
      <c r="P1191" s="301"/>
      <c r="S1191" s="364"/>
      <c r="Z1191" s="609" t="s">
        <v>540</v>
      </c>
      <c r="AA1191" s="609" t="s">
        <v>3137</v>
      </c>
    </row>
    <row r="1192" spans="1:27" ht="0.75" customHeight="1" thickBot="1">
      <c r="A1192" s="2712"/>
      <c r="B1192" s="371"/>
      <c r="C1192" s="371"/>
      <c r="D1192" s="2714"/>
      <c r="F1192" s="371"/>
      <c r="G1192" s="405"/>
      <c r="H1192" s="1615" t="s">
        <v>5470</v>
      </c>
      <c r="I1192" s="371" t="s">
        <v>5375</v>
      </c>
      <c r="J1192" s="371" t="s">
        <v>5376</v>
      </c>
      <c r="K1192" s="391"/>
      <c r="L1192" s="349"/>
      <c r="M1192" s="301"/>
      <c r="N1192" s="391"/>
      <c r="O1192" s="349"/>
      <c r="P1192" s="301"/>
      <c r="S1192" s="364"/>
      <c r="Z1192" s="609" t="s">
        <v>540</v>
      </c>
      <c r="AA1192" s="609" t="s">
        <v>3137</v>
      </c>
    </row>
    <row r="1193" spans="1:27" ht="18" customHeight="1">
      <c r="A1193" s="2712"/>
      <c r="B1193" s="371"/>
      <c r="C1193" s="371"/>
      <c r="D1193" s="2714"/>
      <c r="E1193" s="2714" t="s">
        <v>2749</v>
      </c>
      <c r="F1193" s="293"/>
      <c r="G1193" s="3464" t="s">
        <v>5946</v>
      </c>
      <c r="H1193" s="3472" t="str">
        <f>$V$2</f>
        <v>2019年12月31日</v>
      </c>
      <c r="I1193" s="3473"/>
      <c r="J1193" s="3473"/>
      <c r="K1193" s="355" t="s">
        <v>5947</v>
      </c>
      <c r="L1193" s="349"/>
      <c r="M1193" s="301"/>
      <c r="N1193" s="391"/>
      <c r="O1193" s="349"/>
      <c r="P1193" s="301"/>
      <c r="S1193" s="364"/>
      <c r="Z1193" s="609" t="s">
        <v>540</v>
      </c>
      <c r="AA1193" s="609" t="s">
        <v>3137</v>
      </c>
    </row>
    <row r="1194" spans="1:27" ht="18">
      <c r="A1194" s="2712"/>
      <c r="B1194" s="371"/>
      <c r="C1194" s="371"/>
      <c r="D1194" s="2714"/>
      <c r="E1194" s="2714" t="s">
        <v>2749</v>
      </c>
      <c r="F1194" s="293"/>
      <c r="G1194" s="3465"/>
      <c r="H1194" s="2205" t="s">
        <v>2861</v>
      </c>
      <c r="I1194" s="2205" t="s">
        <v>2862</v>
      </c>
      <c r="J1194" s="2206" t="s">
        <v>2889</v>
      </c>
      <c r="K1194" s="391"/>
      <c r="L1194" s="349"/>
      <c r="M1194" s="301"/>
      <c r="N1194" s="391"/>
      <c r="O1194" s="349"/>
      <c r="P1194" s="301"/>
      <c r="S1194" s="364"/>
      <c r="Z1194" s="609" t="s">
        <v>540</v>
      </c>
      <c r="AA1194" s="609" t="s">
        <v>3137</v>
      </c>
    </row>
    <row r="1195" spans="1:27" ht="18">
      <c r="A1195" s="2712"/>
      <c r="B1195" s="371">
        <v>101</v>
      </c>
      <c r="C1195" s="371" t="s">
        <v>2791</v>
      </c>
      <c r="D1195" s="2714">
        <f t="shared" ref="D1195:D1203" si="105">IF(OR(G1195="*",G1195="",G1195=0),0,COUNTIF($G$1195:$G$1203,G1195))</f>
        <v>0</v>
      </c>
      <c r="E1195" s="2719">
        <v>1</v>
      </c>
      <c r="F1195" s="293"/>
      <c r="G1195" s="2211" t="s">
        <v>2792</v>
      </c>
      <c r="H1195" s="1575"/>
      <c r="I1195" s="422"/>
      <c r="J1195" s="388"/>
      <c r="K1195" s="391"/>
      <c r="L1195" s="349"/>
      <c r="M1195" s="301"/>
      <c r="N1195" s="391"/>
      <c r="O1195" s="349"/>
      <c r="P1195" s="301"/>
      <c r="S1195" s="364"/>
      <c r="Z1195" s="609" t="s">
        <v>540</v>
      </c>
      <c r="AA1195" s="609" t="s">
        <v>3137</v>
      </c>
    </row>
    <row r="1196" spans="1:27" ht="18">
      <c r="A1196" s="2712"/>
      <c r="B1196" s="371">
        <v>102</v>
      </c>
      <c r="C1196" s="371" t="s">
        <v>2791</v>
      </c>
      <c r="D1196" s="2714">
        <f t="shared" si="105"/>
        <v>0</v>
      </c>
      <c r="E1196" s="2719">
        <v>1</v>
      </c>
      <c r="F1196" s="293"/>
      <c r="G1196" s="2211" t="s">
        <v>2792</v>
      </c>
      <c r="H1196" s="1575"/>
      <c r="I1196" s="422"/>
      <c r="J1196" s="388"/>
      <c r="K1196" s="391"/>
      <c r="L1196" s="349"/>
      <c r="M1196" s="301"/>
      <c r="N1196" s="391"/>
      <c r="O1196" s="349"/>
      <c r="P1196" s="301"/>
      <c r="S1196" s="364"/>
      <c r="Z1196" s="609" t="s">
        <v>540</v>
      </c>
      <c r="AA1196" s="609" t="s">
        <v>3137</v>
      </c>
    </row>
    <row r="1197" spans="1:27" ht="18">
      <c r="A1197" s="2712"/>
      <c r="B1197" s="371">
        <v>103</v>
      </c>
      <c r="C1197" s="371" t="s">
        <v>2791</v>
      </c>
      <c r="D1197" s="2714">
        <f t="shared" si="105"/>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2"/>
      <c r="B1198" s="371">
        <v>104</v>
      </c>
      <c r="C1198" s="371" t="s">
        <v>2791</v>
      </c>
      <c r="D1198" s="2714">
        <f t="shared" si="105"/>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2"/>
      <c r="B1199" s="371">
        <v>105</v>
      </c>
      <c r="C1199" s="371" t="s">
        <v>2791</v>
      </c>
      <c r="D1199" s="2714">
        <f t="shared" si="105"/>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2"/>
      <c r="B1200" s="371">
        <v>106</v>
      </c>
      <c r="C1200" s="371" t="s">
        <v>2791</v>
      </c>
      <c r="D1200" s="2714">
        <f t="shared" si="105"/>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107</v>
      </c>
      <c r="C1201" s="371" t="s">
        <v>2791</v>
      </c>
      <c r="D1201" s="2714">
        <f t="shared" si="105"/>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
      <c r="A1202" s="2712"/>
      <c r="B1202" s="371">
        <v>108</v>
      </c>
      <c r="C1202" s="371" t="s">
        <v>2791</v>
      </c>
      <c r="D1202" s="2714">
        <f t="shared" si="105"/>
        <v>0</v>
      </c>
      <c r="E1202" s="2719">
        <v>1</v>
      </c>
      <c r="F1202" s="293"/>
      <c r="G1202" s="2211" t="s">
        <v>2792</v>
      </c>
      <c r="H1202" s="1575"/>
      <c r="I1202" s="422"/>
      <c r="J1202" s="388"/>
      <c r="K1202" s="391"/>
      <c r="L1202" s="349"/>
      <c r="M1202" s="301"/>
      <c r="N1202" s="391"/>
      <c r="O1202" s="349"/>
      <c r="P1202" s="301"/>
      <c r="S1202" s="364"/>
      <c r="Z1202" s="609" t="s">
        <v>540</v>
      </c>
      <c r="AA1202" s="609" t="s">
        <v>3137</v>
      </c>
    </row>
    <row r="1203" spans="1:27" ht="18.75" thickBot="1">
      <c r="A1203" s="2712"/>
      <c r="B1203" s="371"/>
      <c r="C1203" s="371"/>
      <c r="D1203" s="2714">
        <f t="shared" si="105"/>
        <v>1</v>
      </c>
      <c r="E1203" s="2719" t="s">
        <v>2751</v>
      </c>
      <c r="F1203" s="293"/>
      <c r="G1203" s="1527" t="s">
        <v>2752</v>
      </c>
      <c r="H1203" s="1525">
        <f>SUMPRODUCT($E1194:$E1202,H1194:H1202)</f>
        <v>0</v>
      </c>
      <c r="I1203" s="1525">
        <f>SUMPRODUCT($E1194:$E1202,I1194:I1202)</f>
        <v>0</v>
      </c>
      <c r="J1203" s="1566">
        <f>SUMPRODUCT($E1194:$E1202,J1194:J1202)</f>
        <v>0</v>
      </c>
      <c r="K1203" s="391"/>
      <c r="L1203" s="349"/>
      <c r="M1203" s="301"/>
      <c r="N1203" s="391"/>
      <c r="O1203" s="349"/>
      <c r="P1203" s="301"/>
      <c r="S1203" s="364"/>
      <c r="Z1203" s="609" t="s">
        <v>540</v>
      </c>
      <c r="AA1203" s="609" t="s">
        <v>3137</v>
      </c>
    </row>
    <row r="1204" spans="1:27" ht="18">
      <c r="A1204" s="2712"/>
      <c r="B1204" s="371"/>
      <c r="C1204" s="371" t="s">
        <v>2755</v>
      </c>
      <c r="D1204" s="2714"/>
      <c r="F1204" s="293"/>
      <c r="G1204" s="376"/>
      <c r="H1204" s="1574"/>
      <c r="I1204" s="396"/>
      <c r="J1204" s="393"/>
      <c r="K1204" s="391"/>
      <c r="L1204" s="349"/>
      <c r="M1204" s="301"/>
      <c r="N1204" s="391"/>
      <c r="O1204" s="349"/>
      <c r="P1204" s="301"/>
      <c r="S1204" s="364"/>
      <c r="Z1204" s="609" t="s">
        <v>540</v>
      </c>
      <c r="AA1204" s="609" t="s">
        <v>3137</v>
      </c>
    </row>
    <row r="1205" spans="1:27" ht="36">
      <c r="A1205" s="2712">
        <v>122124</v>
      </c>
      <c r="B1205" s="371" t="s">
        <v>6544</v>
      </c>
      <c r="C1205" s="371"/>
      <c r="D1205" s="2714" t="str">
        <f>VLOOKUP($A1205,Sheet_NoteList,2,0)</f>
        <v>期末按组合3计提坏账准备的其他应收款（第二阶段）</v>
      </c>
      <c r="E1205" s="2714" t="s">
        <v>6529</v>
      </c>
      <c r="F1205" s="293"/>
      <c r="G1205" s="372" t="str">
        <f>"("&amp;B1205&amp;")"&amp;D1205</f>
        <v>(3A2.4)期末按组合3计提坏账准备的其他应收款（第二阶段）</v>
      </c>
      <c r="H1205" s="2313">
        <f>$A1205</f>
        <v>122124</v>
      </c>
      <c r="I1205" s="343" t="s">
        <v>5932</v>
      </c>
      <c r="J1205" s="301" t="s">
        <v>5933</v>
      </c>
      <c r="K1205" s="2208">
        <f>H1218</f>
        <v>0</v>
      </c>
      <c r="L1205" s="349"/>
      <c r="M1205" s="301"/>
      <c r="N1205" s="391"/>
      <c r="O1205" s="349"/>
      <c r="P1205" s="301"/>
      <c r="S1205" s="364"/>
      <c r="Z1205" s="609" t="s">
        <v>540</v>
      </c>
      <c r="AA1205" s="609" t="s">
        <v>3137</v>
      </c>
    </row>
    <row r="1206" spans="1:27" ht="0.75" customHeight="1">
      <c r="A1206" s="2712"/>
      <c r="B1206" s="371"/>
      <c r="C1206" s="371"/>
      <c r="D1206" s="2714"/>
      <c r="F1206" s="371"/>
      <c r="G1206" s="405" t="s">
        <v>5938</v>
      </c>
      <c r="H1206" s="371" t="s">
        <v>5386</v>
      </c>
      <c r="I1206" s="371" t="s">
        <v>5528</v>
      </c>
      <c r="J1206" s="371" t="s">
        <v>5400</v>
      </c>
      <c r="K1206" s="391"/>
      <c r="L1206" s="349"/>
      <c r="M1206" s="301"/>
      <c r="N1206" s="391"/>
      <c r="O1206" s="349"/>
      <c r="P1206" s="301"/>
      <c r="S1206" s="364"/>
      <c r="Z1206" s="609" t="s">
        <v>540</v>
      </c>
      <c r="AA1206" s="609" t="s">
        <v>3137</v>
      </c>
    </row>
    <row r="1207" spans="1:27" ht="0.75" customHeight="1" thickBot="1">
      <c r="A1207" s="2712"/>
      <c r="B1207" s="371"/>
      <c r="C1207" s="371"/>
      <c r="D1207" s="2714"/>
      <c r="F1207" s="371"/>
      <c r="G1207" s="405"/>
      <c r="H1207" s="371" t="s">
        <v>5470</v>
      </c>
      <c r="I1207" s="371" t="s">
        <v>5375</v>
      </c>
      <c r="J1207" s="371" t="s">
        <v>5376</v>
      </c>
      <c r="K1207" s="391"/>
      <c r="L1207" s="349"/>
      <c r="M1207" s="301"/>
      <c r="N1207" s="391"/>
      <c r="O1207" s="349"/>
      <c r="P1207" s="301"/>
      <c r="S1207" s="364"/>
      <c r="Z1207" s="609" t="s">
        <v>540</v>
      </c>
      <c r="AA1207" s="609" t="s">
        <v>3137</v>
      </c>
    </row>
    <row r="1208" spans="1:27" ht="18" customHeight="1">
      <c r="A1208" s="2712"/>
      <c r="B1208" s="371"/>
      <c r="C1208" s="371"/>
      <c r="D1208" s="2714"/>
      <c r="E1208" s="2714" t="s">
        <v>2749</v>
      </c>
      <c r="F1208" s="293"/>
      <c r="G1208" s="3464" t="s">
        <v>5946</v>
      </c>
      <c r="H1208" s="3472" t="str">
        <f>$V$2</f>
        <v>2019年12月31日</v>
      </c>
      <c r="I1208" s="3473"/>
      <c r="J1208" s="3473"/>
      <c r="K1208" s="355" t="s">
        <v>5947</v>
      </c>
      <c r="L1208" s="349"/>
      <c r="M1208" s="301"/>
      <c r="N1208" s="391"/>
      <c r="O1208" s="349"/>
      <c r="P1208" s="301"/>
      <c r="S1208" s="364"/>
      <c r="Z1208" s="609" t="s">
        <v>540</v>
      </c>
      <c r="AA1208" s="609" t="s">
        <v>3137</v>
      </c>
    </row>
    <row r="1209" spans="1:27" ht="18">
      <c r="A1209" s="2712"/>
      <c r="B1209" s="371"/>
      <c r="C1209" s="371"/>
      <c r="D1209" s="2714"/>
      <c r="E1209" s="2714" t="s">
        <v>2749</v>
      </c>
      <c r="F1209" s="293"/>
      <c r="G1209" s="3465"/>
      <c r="H1209" s="2205" t="s">
        <v>2861</v>
      </c>
      <c r="I1209" s="2205" t="s">
        <v>2862</v>
      </c>
      <c r="J1209" s="2206" t="s">
        <v>2889</v>
      </c>
      <c r="K1209" s="391"/>
      <c r="L1209" s="349"/>
      <c r="M1209" s="301"/>
      <c r="N1209" s="391"/>
      <c r="O1209" s="349"/>
      <c r="P1209" s="301"/>
      <c r="S1209" s="364"/>
      <c r="Z1209" s="609" t="s">
        <v>540</v>
      </c>
      <c r="AA1209" s="609" t="s">
        <v>3137</v>
      </c>
    </row>
    <row r="1210" spans="1:27" ht="18">
      <c r="A1210" s="2712"/>
      <c r="B1210" s="371">
        <v>101</v>
      </c>
      <c r="C1210" s="371" t="s">
        <v>2791</v>
      </c>
      <c r="D1210" s="2714">
        <f t="shared" ref="D1210:D1218" si="106">IF(OR(G1210="*",G1210="",G1210=0),0,COUNTIF($G$1210:$G$1218,G1210))</f>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2"/>
      <c r="B1211" s="371">
        <v>102</v>
      </c>
      <c r="C1211" s="371" t="s">
        <v>2791</v>
      </c>
      <c r="D1211" s="2714">
        <f t="shared" si="106"/>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2"/>
      <c r="B1212" s="371">
        <v>103</v>
      </c>
      <c r="C1212" s="371" t="s">
        <v>2791</v>
      </c>
      <c r="D1212" s="2714">
        <f t="shared" si="106"/>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2"/>
      <c r="B1213" s="371">
        <v>104</v>
      </c>
      <c r="C1213" s="371" t="s">
        <v>2791</v>
      </c>
      <c r="D1213" s="2714">
        <f t="shared" si="106"/>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2"/>
      <c r="B1214" s="371">
        <v>105</v>
      </c>
      <c r="C1214" s="371" t="s">
        <v>2791</v>
      </c>
      <c r="D1214" s="2714">
        <f t="shared" si="106"/>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2"/>
      <c r="B1215" s="371">
        <v>106</v>
      </c>
      <c r="C1215" s="371" t="s">
        <v>2791</v>
      </c>
      <c r="D1215" s="2714">
        <f t="shared" si="106"/>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2"/>
      <c r="B1216" s="371">
        <v>107</v>
      </c>
      <c r="C1216" s="371" t="s">
        <v>2791</v>
      </c>
      <c r="D1216" s="2714">
        <f t="shared" si="106"/>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
      <c r="A1217" s="2712"/>
      <c r="B1217" s="371">
        <v>108</v>
      </c>
      <c r="C1217" s="371" t="s">
        <v>2791</v>
      </c>
      <c r="D1217" s="2714">
        <f t="shared" si="106"/>
        <v>0</v>
      </c>
      <c r="E1217" s="2719">
        <v>1</v>
      </c>
      <c r="F1217" s="293"/>
      <c r="G1217" s="2211" t="s">
        <v>2792</v>
      </c>
      <c r="H1217" s="1575"/>
      <c r="I1217" s="422"/>
      <c r="J1217" s="388"/>
      <c r="K1217" s="391"/>
      <c r="L1217" s="349"/>
      <c r="M1217" s="301"/>
      <c r="N1217" s="391"/>
      <c r="O1217" s="349"/>
      <c r="P1217" s="301"/>
      <c r="S1217" s="364"/>
      <c r="Z1217" s="609" t="s">
        <v>540</v>
      </c>
      <c r="AA1217" s="609" t="s">
        <v>3137</v>
      </c>
    </row>
    <row r="1218" spans="1:29" ht="18.75" thickBot="1">
      <c r="A1218" s="2712"/>
      <c r="B1218" s="371"/>
      <c r="C1218" s="371"/>
      <c r="D1218" s="2714">
        <f t="shared" si="106"/>
        <v>1</v>
      </c>
      <c r="E1218" s="2719" t="s">
        <v>2751</v>
      </c>
      <c r="F1218" s="293"/>
      <c r="G1218" s="1527" t="s">
        <v>2752</v>
      </c>
      <c r="H1218" s="1525">
        <f>SUMPRODUCT($E1209:$E1217,H1209:H1217)</f>
        <v>0</v>
      </c>
      <c r="I1218" s="1525">
        <f>SUMPRODUCT($E1209:$E1217,I1209:I1217)</f>
        <v>0</v>
      </c>
      <c r="J1218" s="1566">
        <f>SUMPRODUCT($E1209:$E1217,J1209:J1217)</f>
        <v>0</v>
      </c>
      <c r="K1218" s="391"/>
      <c r="L1218" s="349"/>
      <c r="M1218" s="301"/>
      <c r="N1218" s="391"/>
      <c r="O1218" s="349"/>
      <c r="P1218" s="301"/>
      <c r="S1218" s="364"/>
      <c r="Z1218" s="609" t="s">
        <v>540</v>
      </c>
      <c r="AA1218" s="609" t="s">
        <v>3137</v>
      </c>
    </row>
    <row r="1219" spans="1:29" ht="18">
      <c r="A1219" s="2712"/>
      <c r="B1219" s="371"/>
      <c r="C1219" s="371" t="s">
        <v>2755</v>
      </c>
      <c r="D1219" s="2714"/>
      <c r="F1219" s="293"/>
      <c r="G1219" s="376"/>
      <c r="H1219" s="1574"/>
      <c r="I1219" s="396"/>
      <c r="J1219" s="393"/>
      <c r="K1219" s="391"/>
      <c r="L1219" s="349"/>
      <c r="M1219" s="301"/>
      <c r="N1219" s="391"/>
      <c r="O1219" s="349"/>
      <c r="P1219" s="301"/>
      <c r="S1219" s="364"/>
      <c r="Z1219" s="609" t="s">
        <v>540</v>
      </c>
      <c r="AA1219" s="609" t="s">
        <v>3137</v>
      </c>
    </row>
    <row r="1220" spans="1:29" ht="36">
      <c r="A1220" s="2712">
        <v>122103</v>
      </c>
      <c r="B1220" s="371" t="s">
        <v>6545</v>
      </c>
      <c r="C1220" s="371"/>
      <c r="D1220" s="2714" t="str">
        <f>VLOOKUP($A1220,Sheet_NoteList,2,0)</f>
        <v>期末处于第三阶段的其他应收款坏账准备（三阶段模型）</v>
      </c>
      <c r="E1220" s="2714" t="s">
        <v>2742</v>
      </c>
      <c r="F1220" s="293"/>
      <c r="G1220" s="372" t="str">
        <f>"("&amp;B1220&amp;")"&amp;D1220</f>
        <v>(3A3)期末处于第三阶段的其他应收款坏账准备（三阶段模型）</v>
      </c>
      <c r="H1220" s="2313">
        <f>$A1220</f>
        <v>122103</v>
      </c>
      <c r="I1220" s="343" t="s">
        <v>2743</v>
      </c>
      <c r="J1220" s="301" t="s">
        <v>2744</v>
      </c>
      <c r="K1220" s="2208">
        <f>K1233</f>
        <v>1767.9</v>
      </c>
      <c r="L1220" s="349"/>
      <c r="M1220" s="301"/>
      <c r="N1220" s="391"/>
      <c r="O1220" s="349"/>
      <c r="P1220" s="301"/>
      <c r="S1220" s="364"/>
      <c r="Z1220" s="609" t="s">
        <v>540</v>
      </c>
      <c r="AA1220" s="609" t="s">
        <v>3137</v>
      </c>
    </row>
    <row r="1221" spans="1:29" ht="0.75" customHeight="1" thickBot="1">
      <c r="A1221" s="2712"/>
      <c r="B1221" s="371"/>
      <c r="C1221" s="371"/>
      <c r="D1221" s="2714"/>
      <c r="E1221" s="586"/>
      <c r="F1221" s="586"/>
      <c r="G1221" s="2222" t="s">
        <v>5903</v>
      </c>
      <c r="H1221" s="371" t="s">
        <v>2747</v>
      </c>
      <c r="I1221" s="371" t="s">
        <v>2947</v>
      </c>
      <c r="J1221" s="371" t="s">
        <v>5924</v>
      </c>
      <c r="K1221" s="547" t="s">
        <v>5930</v>
      </c>
      <c r="L1221" s="547" t="s">
        <v>3145</v>
      </c>
      <c r="M1221" s="433"/>
      <c r="N1221" s="428"/>
      <c r="O1221" s="428"/>
      <c r="P1221" s="433"/>
      <c r="Q1221" s="442"/>
      <c r="R1221" s="443"/>
      <c r="S1221" s="364"/>
      <c r="Z1221" s="609" t="s">
        <v>540</v>
      </c>
      <c r="AA1221" s="609" t="s">
        <v>3137</v>
      </c>
    </row>
    <row r="1222" spans="1:29" ht="36">
      <c r="A1222" s="2712"/>
      <c r="B1222" s="371"/>
      <c r="C1222" s="371"/>
      <c r="D1222" s="2714"/>
      <c r="E1222" s="586" t="s">
        <v>2749</v>
      </c>
      <c r="F1222" s="414"/>
      <c r="G1222" s="2287" t="s">
        <v>5133</v>
      </c>
      <c r="H1222" s="2289" t="s">
        <v>2861</v>
      </c>
      <c r="I1222" s="2289" t="s">
        <v>3148</v>
      </c>
      <c r="J1222" s="2289" t="s">
        <v>2862</v>
      </c>
      <c r="K1222" s="2309" t="s">
        <v>2863</v>
      </c>
      <c r="L1222" s="2310" t="s">
        <v>3147</v>
      </c>
      <c r="M1222" s="355" t="s">
        <v>5271</v>
      </c>
      <c r="N1222" s="434"/>
      <c r="O1222" s="434"/>
      <c r="P1222" s="435"/>
      <c r="Q1222" s="442"/>
      <c r="R1222" s="443"/>
      <c r="S1222" s="364"/>
      <c r="Z1222" s="609" t="s">
        <v>540</v>
      </c>
      <c r="AA1222" s="609" t="s">
        <v>3137</v>
      </c>
    </row>
    <row r="1223" spans="1:29" ht="18">
      <c r="A1223" s="2712"/>
      <c r="B1223" s="371">
        <v>101</v>
      </c>
      <c r="C1223" s="371"/>
      <c r="D1223" s="2714">
        <f t="shared" ref="D1223:D1233" si="107">IF(OR(G1223="*",G1223="",G1223=0),0,COUNTIF($G$1223:$G$1233,G1223))</f>
        <v>1</v>
      </c>
      <c r="E1223" s="2719">
        <v>1</v>
      </c>
      <c r="F1223" s="293"/>
      <c r="G1223" s="1472" t="s">
        <v>2890</v>
      </c>
      <c r="H1223" s="2273">
        <f>SUM(H1224:H1227)</f>
        <v>3798424.5</v>
      </c>
      <c r="I1223" s="2296"/>
      <c r="J1223" s="2273">
        <f>SUM(J1224:J1227)</f>
        <v>3798424.5</v>
      </c>
      <c r="K1223" s="1474">
        <f t="shared" ref="K1223:K1232" si="108">H1223-J1223</f>
        <v>0</v>
      </c>
      <c r="L1223" s="2274"/>
      <c r="M1223" s="1587" t="str">
        <f ca="1">HYPERLINK("#'"&amp;$G$1&amp;"'!"&amp;ADDRESS(ROW(Notes!H1251),COLUMN(Notes!H1251),4),"* 请勿删除此行！点击往勾稽单元格，F5+Enter返回")</f>
        <v>* 请勿删除此行！点击往勾稽单元格，F5+Enter返回</v>
      </c>
      <c r="N1223" s="2191"/>
      <c r="O1223" s="437"/>
      <c r="P1223" s="438"/>
      <c r="Q1223" s="442"/>
      <c r="R1223" s="443"/>
      <c r="S1223" s="364"/>
      <c r="Z1223" s="609" t="s">
        <v>540</v>
      </c>
      <c r="AA1223" s="609" t="s">
        <v>3137</v>
      </c>
      <c r="AC1223" s="369" t="s">
        <v>6571</v>
      </c>
    </row>
    <row r="1224" spans="1:29" ht="18">
      <c r="A1224" s="2712"/>
      <c r="B1224" s="371">
        <v>102</v>
      </c>
      <c r="C1224" s="371" t="s">
        <v>2791</v>
      </c>
      <c r="D1224" s="2714">
        <f t="shared" si="107"/>
        <v>1</v>
      </c>
      <c r="E1224" s="2719">
        <v>0</v>
      </c>
      <c r="F1224" s="293"/>
      <c r="G1224" s="2282" t="s">
        <v>7461</v>
      </c>
      <c r="H1224" s="2273">
        <v>1591326.44</v>
      </c>
      <c r="I1224" s="3301">
        <v>100</v>
      </c>
      <c r="J1224" s="2273">
        <v>1591326.44</v>
      </c>
      <c r="K1224" s="1474">
        <f t="shared" si="108"/>
        <v>0</v>
      </c>
      <c r="L1224" s="3299" t="s">
        <v>7465</v>
      </c>
      <c r="M1224" s="355" t="s">
        <v>6134</v>
      </c>
      <c r="N1224" s="439"/>
      <c r="O1224" s="437"/>
      <c r="P1224" s="438"/>
      <c r="Q1224" s="442"/>
      <c r="R1224" s="443"/>
      <c r="S1224" s="364"/>
      <c r="Z1224" s="609" t="s">
        <v>540</v>
      </c>
      <c r="AA1224" s="609" t="s">
        <v>3137</v>
      </c>
    </row>
    <row r="1225" spans="1:29" ht="18">
      <c r="A1225" s="2712"/>
      <c r="B1225" s="371">
        <v>103</v>
      </c>
      <c r="C1225" s="371" t="s">
        <v>2791</v>
      </c>
      <c r="D1225" s="2714">
        <f t="shared" si="107"/>
        <v>1</v>
      </c>
      <c r="E1225" s="2719">
        <v>0</v>
      </c>
      <c r="F1225" s="293"/>
      <c r="G1225" s="2282" t="s">
        <v>7462</v>
      </c>
      <c r="H1225" s="2273">
        <v>500000</v>
      </c>
      <c r="I1225" s="3301">
        <v>100</v>
      </c>
      <c r="J1225" s="2273">
        <v>500000</v>
      </c>
      <c r="K1225" s="1474">
        <f t="shared" si="108"/>
        <v>0</v>
      </c>
      <c r="L1225" s="3299" t="s">
        <v>7465</v>
      </c>
      <c r="M1225" s="438"/>
      <c r="N1225" s="439"/>
      <c r="O1225" s="437"/>
      <c r="P1225" s="438"/>
      <c r="Q1225" s="442"/>
      <c r="R1225" s="443"/>
      <c r="S1225" s="364"/>
      <c r="Z1225" s="609" t="s">
        <v>540</v>
      </c>
      <c r="AA1225" s="609" t="s">
        <v>3137</v>
      </c>
    </row>
    <row r="1226" spans="1:29" ht="18">
      <c r="A1226" s="2712"/>
      <c r="B1226" s="371">
        <v>104</v>
      </c>
      <c r="C1226" s="371" t="s">
        <v>2791</v>
      </c>
      <c r="D1226" s="2714">
        <f t="shared" si="107"/>
        <v>1</v>
      </c>
      <c r="E1226" s="2719">
        <v>0</v>
      </c>
      <c r="F1226" s="293"/>
      <c r="G1226" s="2282" t="s">
        <v>7464</v>
      </c>
      <c r="H1226" s="2273">
        <v>900700</v>
      </c>
      <c r="I1226" s="3301">
        <v>100</v>
      </c>
      <c r="J1226" s="2273">
        <v>900700</v>
      </c>
      <c r="K1226" s="1474">
        <f t="shared" si="108"/>
        <v>0</v>
      </c>
      <c r="L1226" s="3299" t="s">
        <v>7465</v>
      </c>
      <c r="M1226" s="438"/>
      <c r="N1226" s="439"/>
      <c r="O1226" s="437"/>
      <c r="P1226" s="438"/>
      <c r="Q1226" s="442"/>
      <c r="R1226" s="443"/>
      <c r="S1226" s="364"/>
      <c r="Z1226" s="609" t="s">
        <v>540</v>
      </c>
      <c r="AA1226" s="609" t="s">
        <v>3137</v>
      </c>
    </row>
    <row r="1227" spans="1:29" ht="18">
      <c r="A1227" s="2712"/>
      <c r="B1227" s="371">
        <v>105</v>
      </c>
      <c r="C1227" s="371" t="s">
        <v>7828</v>
      </c>
      <c r="D1227" s="2714">
        <f t="shared" si="107"/>
        <v>1</v>
      </c>
      <c r="E1227" s="2719">
        <v>0</v>
      </c>
      <c r="F1227" s="293"/>
      <c r="G1227" s="3407" t="s">
        <v>7825</v>
      </c>
      <c r="H1227" s="2273">
        <f>AJE!O182</f>
        <v>806398.06</v>
      </c>
      <c r="I1227" s="3301">
        <v>100</v>
      </c>
      <c r="J1227" s="2273">
        <v>806398.06</v>
      </c>
      <c r="K1227" s="1474">
        <f t="shared" ref="K1227" si="109">H1227-J1227</f>
        <v>0</v>
      </c>
      <c r="L1227" s="3299" t="s">
        <v>7465</v>
      </c>
      <c r="M1227" s="438"/>
      <c r="N1227" s="439"/>
      <c r="O1227" s="437"/>
      <c r="P1227" s="438"/>
      <c r="Q1227" s="442"/>
      <c r="R1227" s="443"/>
      <c r="S1227" s="364"/>
      <c r="Z1227" s="609" t="s">
        <v>540</v>
      </c>
      <c r="AA1227" s="609" t="s">
        <v>3137</v>
      </c>
    </row>
    <row r="1228" spans="1:29" ht="18">
      <c r="A1228" s="2712"/>
      <c r="B1228" s="371">
        <v>106</v>
      </c>
      <c r="C1228" s="371"/>
      <c r="D1228" s="2714">
        <f t="shared" si="107"/>
        <v>1</v>
      </c>
      <c r="E1228" s="2719">
        <v>1</v>
      </c>
      <c r="F1228" s="293"/>
      <c r="G1228" s="1472" t="s">
        <v>2892</v>
      </c>
      <c r="H1228" s="2273">
        <f>SUM(H1229:H1231)</f>
        <v>2212075.4900000002</v>
      </c>
      <c r="I1228" s="2296"/>
      <c r="J1228" s="2273">
        <f>SUM(J1229:J1231)</f>
        <v>2210307.59</v>
      </c>
      <c r="K1228" s="1474">
        <f t="shared" si="108"/>
        <v>1767.9</v>
      </c>
      <c r="L1228" s="2274"/>
      <c r="M1228" s="438"/>
      <c r="N1228" s="439"/>
      <c r="O1228" s="437"/>
      <c r="P1228" s="438"/>
      <c r="Q1228" s="442"/>
      <c r="R1228" s="443"/>
      <c r="S1228" s="364"/>
      <c r="Z1228" s="609" t="s">
        <v>540</v>
      </c>
      <c r="AA1228" s="609" t="s">
        <v>3137</v>
      </c>
    </row>
    <row r="1229" spans="1:29" ht="18">
      <c r="A1229" s="2712"/>
      <c r="B1229" s="371">
        <v>107</v>
      </c>
      <c r="C1229" s="371" t="s">
        <v>2791</v>
      </c>
      <c r="D1229" s="2714">
        <f t="shared" si="107"/>
        <v>1</v>
      </c>
      <c r="E1229" s="2719">
        <v>0</v>
      </c>
      <c r="F1229" s="293"/>
      <c r="G1229" s="3407" t="s">
        <v>7827</v>
      </c>
      <c r="H1229" s="2273">
        <v>2212075.4900000002</v>
      </c>
      <c r="I1229" s="3301">
        <f>J1229/H1229*100</f>
        <v>99.92</v>
      </c>
      <c r="J1229" s="2273">
        <v>2210307.59</v>
      </c>
      <c r="K1229" s="1474">
        <f t="shared" si="108"/>
        <v>1767.9</v>
      </c>
      <c r="L1229" s="2274"/>
      <c r="M1229" s="1587" t="str">
        <f ca="1">HYPERLINK("#'"&amp;$G$1&amp;"'!"&amp;ADDRESS(ROW(Notes!H1273),COLUMN(Notes!H1273),4),"* 请勿删除此行！点击往勾稽单元格，F5+Enter返回")</f>
        <v>* 请勿删除此行！点击往勾稽单元格，F5+Enter返回</v>
      </c>
      <c r="N1229" s="439"/>
      <c r="O1229" s="437"/>
      <c r="P1229" s="438"/>
      <c r="Q1229" s="442"/>
      <c r="R1229" s="443"/>
      <c r="S1229" s="364"/>
      <c r="Z1229" s="609" t="s">
        <v>540</v>
      </c>
      <c r="AA1229" s="609" t="s">
        <v>3137</v>
      </c>
      <c r="AC1229" s="369" t="s">
        <v>6571</v>
      </c>
    </row>
    <row r="1230" spans="1:29" ht="18">
      <c r="A1230" s="2712"/>
      <c r="B1230" s="371">
        <v>108</v>
      </c>
      <c r="C1230" s="371" t="s">
        <v>2791</v>
      </c>
      <c r="D1230" s="2714">
        <f t="shared" si="107"/>
        <v>1</v>
      </c>
      <c r="E1230" s="2719">
        <v>0</v>
      </c>
      <c r="F1230" s="293"/>
      <c r="G1230" s="2282" t="s">
        <v>2894</v>
      </c>
      <c r="H1230" s="2273"/>
      <c r="I1230" s="2296"/>
      <c r="J1230" s="2273"/>
      <c r="K1230" s="1474">
        <f t="shared" si="108"/>
        <v>0</v>
      </c>
      <c r="L1230" s="2274"/>
      <c r="M1230" s="438"/>
      <c r="N1230" s="439"/>
      <c r="O1230" s="437"/>
      <c r="P1230" s="438"/>
      <c r="Q1230" s="442"/>
      <c r="R1230" s="443"/>
      <c r="S1230" s="364"/>
      <c r="Z1230" s="609" t="s">
        <v>540</v>
      </c>
      <c r="AA1230" s="609" t="s">
        <v>3137</v>
      </c>
    </row>
    <row r="1231" spans="1:29" ht="18">
      <c r="A1231" s="2712"/>
      <c r="B1231" s="371">
        <v>109</v>
      </c>
      <c r="C1231" s="371" t="s">
        <v>6530</v>
      </c>
      <c r="D1231" s="2714">
        <f t="shared" si="107"/>
        <v>1</v>
      </c>
      <c r="E1231" s="2719">
        <v>0</v>
      </c>
      <c r="F1231" s="293"/>
      <c r="G1231" s="2282" t="s">
        <v>5944</v>
      </c>
      <c r="H1231" s="2273"/>
      <c r="I1231" s="2296"/>
      <c r="J1231" s="2273"/>
      <c r="K1231" s="1474">
        <f t="shared" ref="K1231" si="110">H1231-J1231</f>
        <v>0</v>
      </c>
      <c r="L1231" s="2274"/>
      <c r="M1231" s="438"/>
      <c r="N1231" s="439"/>
      <c r="O1231" s="437"/>
      <c r="P1231" s="438"/>
      <c r="Q1231" s="442"/>
      <c r="R1231" s="443"/>
      <c r="S1231" s="364"/>
      <c r="Z1231" s="609" t="s">
        <v>540</v>
      </c>
      <c r="AA1231" s="609" t="s">
        <v>3137</v>
      </c>
    </row>
    <row r="1232" spans="1:29" ht="18">
      <c r="A1232" s="2712"/>
      <c r="B1232" s="371">
        <v>110</v>
      </c>
      <c r="C1232" s="371" t="s">
        <v>2791</v>
      </c>
      <c r="D1232" s="2714">
        <f t="shared" si="107"/>
        <v>0</v>
      </c>
      <c r="E1232" s="2719">
        <v>0</v>
      </c>
      <c r="F1232" s="293"/>
      <c r="G1232" s="2282" t="s">
        <v>2792</v>
      </c>
      <c r="H1232" s="2273"/>
      <c r="I1232" s="2296"/>
      <c r="J1232" s="2273"/>
      <c r="K1232" s="1474">
        <f t="shared" si="108"/>
        <v>0</v>
      </c>
      <c r="L1232" s="2274"/>
      <c r="M1232" s="438"/>
      <c r="N1232" s="439"/>
      <c r="O1232" s="437"/>
      <c r="P1232" s="438"/>
      <c r="Q1232" s="442"/>
      <c r="R1232" s="443"/>
      <c r="S1232" s="364"/>
      <c r="Z1232" s="609" t="s">
        <v>540</v>
      </c>
      <c r="AA1232" s="609" t="s">
        <v>3137</v>
      </c>
    </row>
    <row r="1233" spans="1:29" ht="18.75" thickBot="1">
      <c r="A1233" s="2712"/>
      <c r="B1233" s="371"/>
      <c r="C1233" s="371"/>
      <c r="D1233" s="2714">
        <f t="shared" si="107"/>
        <v>1</v>
      </c>
      <c r="E1233" s="2719" t="s">
        <v>2751</v>
      </c>
      <c r="F1233" s="293"/>
      <c r="G1233" s="2232" t="s">
        <v>2752</v>
      </c>
      <c r="H1233" s="2233">
        <f>SUMPRODUCT($E1222:$E1232,H1222:H1232)</f>
        <v>6010499.9900000002</v>
      </c>
      <c r="I1233" s="2240">
        <f>SUMPRODUCT($E1222:$E1232,I1222:I1232)</f>
        <v>0</v>
      </c>
      <c r="J1233" s="2233">
        <f>SUMPRODUCT($E1222:$E1232,J1222:J1232)</f>
        <v>6008732.0899999999</v>
      </c>
      <c r="K1233" s="2233">
        <f>SUMPRODUCT($E1222:$E1232,K1222:K1232)</f>
        <v>1767.9</v>
      </c>
      <c r="L1233" s="2242"/>
      <c r="M1233" s="1595" t="str">
        <f ca="1">HYPERLINK("#'"&amp;$G$1&amp;"'!"&amp;ADDRESS(ROW(Notes!L1033),COLUMN(Notes!L1033),4),"* 请勿删除此行！点击往勾稽单元格，F5+Enter返回")</f>
        <v>* 请勿删除此行！点击往勾稽单元格，F5+Enter返回</v>
      </c>
      <c r="N1233" s="439"/>
      <c r="O1233" s="437"/>
      <c r="P1233" s="440"/>
      <c r="Q1233" s="442"/>
      <c r="R1233" s="443"/>
      <c r="S1233" s="364"/>
      <c r="Z1233" s="609" t="s">
        <v>540</v>
      </c>
      <c r="AA1233" s="609" t="s">
        <v>3137</v>
      </c>
      <c r="AC1233" s="369" t="s">
        <v>6571</v>
      </c>
    </row>
    <row r="1234" spans="1:29" ht="18">
      <c r="A1234" s="2712"/>
      <c r="B1234" s="371"/>
      <c r="C1234" s="371" t="s">
        <v>2755</v>
      </c>
      <c r="D1234" s="2714"/>
      <c r="F1234" s="293"/>
      <c r="G1234" s="376"/>
      <c r="H1234" s="315"/>
      <c r="I1234" s="432"/>
      <c r="J1234" s="315"/>
      <c r="K1234" s="423"/>
      <c r="L1234" s="393"/>
      <c r="M1234" s="425"/>
      <c r="N1234" s="426"/>
      <c r="O1234" s="427"/>
      <c r="P1234" s="425"/>
      <c r="Q1234" s="442"/>
      <c r="R1234" s="443"/>
      <c r="S1234" s="364"/>
      <c r="Z1234" s="609" t="s">
        <v>540</v>
      </c>
      <c r="AA1234" s="609" t="s">
        <v>3137</v>
      </c>
    </row>
    <row r="1235" spans="1:29" ht="36">
      <c r="A1235" s="2712">
        <v>122131</v>
      </c>
      <c r="B1235" s="371" t="s">
        <v>6546</v>
      </c>
      <c r="C1235" s="371"/>
      <c r="D1235" s="2714" t="str">
        <f>VLOOKUP($A1235,Sheet_NoteList,2,0)</f>
        <v>期末按单项计提坏账准备的其他应收款（第三阶段）</v>
      </c>
      <c r="E1235" s="2714" t="s">
        <v>6529</v>
      </c>
      <c r="F1235" s="293"/>
      <c r="G1235" s="372" t="str">
        <f>"("&amp;B1235&amp;")"&amp;D1235</f>
        <v>(3A3.1)期末按单项计提坏账准备的其他应收款（第三阶段）</v>
      </c>
      <c r="H1235" s="2313">
        <f>$A1235</f>
        <v>122131</v>
      </c>
      <c r="I1235" s="343" t="s">
        <v>5932</v>
      </c>
      <c r="J1235" s="301" t="s">
        <v>5933</v>
      </c>
      <c r="K1235" s="2208">
        <f>H1248</f>
        <v>3798424.5</v>
      </c>
      <c r="L1235" s="349"/>
      <c r="M1235" s="301"/>
      <c r="N1235" s="391"/>
      <c r="O1235" s="349"/>
      <c r="P1235" s="301"/>
      <c r="S1235" s="364"/>
      <c r="Z1235" s="609" t="s">
        <v>540</v>
      </c>
      <c r="AA1235" s="609" t="s">
        <v>3137</v>
      </c>
    </row>
    <row r="1236" spans="1:29" ht="0.75" customHeight="1">
      <c r="A1236" s="2712"/>
      <c r="B1236" s="371"/>
      <c r="C1236" s="371"/>
      <c r="D1236" s="2714"/>
      <c r="E1236" s="586"/>
      <c r="F1236" s="586"/>
      <c r="G1236" s="2222" t="s">
        <v>5939</v>
      </c>
      <c r="H1236" s="371" t="s">
        <v>5472</v>
      </c>
      <c r="I1236" s="371" t="s">
        <v>5473</v>
      </c>
      <c r="J1236" s="371" t="s">
        <v>5474</v>
      </c>
      <c r="K1236" s="371" t="s">
        <v>5475</v>
      </c>
      <c r="L1236" s="349"/>
      <c r="M1236" s="301"/>
      <c r="N1236" s="391"/>
      <c r="O1236" s="349"/>
      <c r="P1236" s="301"/>
      <c r="S1236" s="364"/>
      <c r="Z1236" s="609" t="s">
        <v>540</v>
      </c>
      <c r="AA1236" s="609" t="s">
        <v>3137</v>
      </c>
    </row>
    <row r="1237" spans="1:29" ht="0.75" customHeight="1" thickBot="1">
      <c r="A1237" s="2712"/>
      <c r="B1237" s="371"/>
      <c r="C1237" s="371"/>
      <c r="D1237" s="2714"/>
      <c r="E1237" s="586"/>
      <c r="F1237" s="586"/>
      <c r="G1237" s="2222"/>
      <c r="H1237" s="371" t="s">
        <v>5470</v>
      </c>
      <c r="I1237" s="371" t="s">
        <v>5375</v>
      </c>
      <c r="J1237" s="371" t="s">
        <v>5471</v>
      </c>
      <c r="K1237" s="371" t="s">
        <v>5385</v>
      </c>
      <c r="L1237" s="349"/>
      <c r="M1237" s="301"/>
      <c r="N1237" s="391"/>
      <c r="O1237" s="349"/>
      <c r="P1237" s="301"/>
      <c r="S1237" s="364"/>
      <c r="Z1237" s="609" t="s">
        <v>540</v>
      </c>
      <c r="AA1237" s="609" t="s">
        <v>3137</v>
      </c>
    </row>
    <row r="1238" spans="1:29" ht="18" customHeight="1">
      <c r="A1238" s="2712"/>
      <c r="B1238" s="371"/>
      <c r="C1238" s="371"/>
      <c r="D1238" s="2714"/>
      <c r="E1238" s="586" t="s">
        <v>2749</v>
      </c>
      <c r="F1238" s="414"/>
      <c r="G1238" s="3462" t="s">
        <v>6001</v>
      </c>
      <c r="H1238" s="3470" t="str">
        <f>$V$2</f>
        <v>2019年12月31日</v>
      </c>
      <c r="I1238" s="3471"/>
      <c r="J1238" s="3471"/>
      <c r="K1238" s="3471"/>
      <c r="L1238" s="355" t="s">
        <v>5271</v>
      </c>
      <c r="M1238" s="301"/>
      <c r="N1238" s="391"/>
      <c r="O1238" s="349"/>
      <c r="P1238" s="301"/>
      <c r="S1238" s="364"/>
      <c r="Z1238" s="609" t="s">
        <v>540</v>
      </c>
      <c r="AA1238" s="609" t="s">
        <v>3137</v>
      </c>
    </row>
    <row r="1239" spans="1:29" ht="18">
      <c r="A1239" s="2712"/>
      <c r="B1239" s="371"/>
      <c r="C1239" s="371"/>
      <c r="D1239" s="2714"/>
      <c r="E1239" s="586" t="s">
        <v>2749</v>
      </c>
      <c r="F1239" s="414"/>
      <c r="G1239" s="3463"/>
      <c r="H1239" s="2292" t="s">
        <v>2861</v>
      </c>
      <c r="I1239" s="2292" t="s">
        <v>2862</v>
      </c>
      <c r="J1239" s="2292" t="s">
        <v>3001</v>
      </c>
      <c r="K1239" s="2238" t="s">
        <v>2899</v>
      </c>
      <c r="L1239" s="349"/>
      <c r="M1239" s="301"/>
      <c r="N1239" s="391"/>
      <c r="O1239" s="349"/>
      <c r="P1239" s="301"/>
      <c r="S1239" s="364"/>
      <c r="Z1239" s="609" t="s">
        <v>540</v>
      </c>
      <c r="AA1239" s="609" t="s">
        <v>3137</v>
      </c>
    </row>
    <row r="1240" spans="1:29" ht="18">
      <c r="A1240" s="2712"/>
      <c r="B1240" s="371">
        <v>101</v>
      </c>
      <c r="C1240" s="371" t="s">
        <v>2791</v>
      </c>
      <c r="D1240" s="2714">
        <f t="shared" ref="D1240:D1248" si="111">IF(OR(G1240="*",G1240="",G1240=0),0,COUNTIF($G$1240:$G$1248,G1240))</f>
        <v>1</v>
      </c>
      <c r="E1240" s="2719">
        <v>1</v>
      </c>
      <c r="F1240" s="293"/>
      <c r="G1240" s="2282" t="s">
        <v>7461</v>
      </c>
      <c r="H1240" s="2273">
        <v>1591326.44</v>
      </c>
      <c r="I1240" s="2273">
        <v>1591326.44</v>
      </c>
      <c r="J1240" s="3301">
        <v>100</v>
      </c>
      <c r="K1240" s="3299" t="s">
        <v>7465</v>
      </c>
      <c r="L1240" s="349"/>
      <c r="M1240" s="301"/>
      <c r="N1240" s="391"/>
      <c r="O1240" s="349"/>
      <c r="P1240" s="301"/>
      <c r="S1240" s="364"/>
      <c r="Z1240" s="609" t="s">
        <v>540</v>
      </c>
      <c r="AA1240" s="609" t="s">
        <v>3137</v>
      </c>
    </row>
    <row r="1241" spans="1:29" ht="18">
      <c r="A1241" s="2712"/>
      <c r="B1241" s="371">
        <v>102</v>
      </c>
      <c r="C1241" s="371" t="s">
        <v>2791</v>
      </c>
      <c r="D1241" s="2714">
        <f t="shared" si="111"/>
        <v>1</v>
      </c>
      <c r="E1241" s="2719">
        <v>1</v>
      </c>
      <c r="F1241" s="293"/>
      <c r="G1241" s="2282" t="s">
        <v>7462</v>
      </c>
      <c r="H1241" s="2273">
        <v>500000</v>
      </c>
      <c r="I1241" s="2273">
        <v>500000</v>
      </c>
      <c r="J1241" s="3301">
        <v>100</v>
      </c>
      <c r="K1241" s="3299" t="s">
        <v>7465</v>
      </c>
      <c r="L1241" s="349"/>
      <c r="M1241" s="301"/>
      <c r="N1241" s="391"/>
      <c r="O1241" s="349"/>
      <c r="P1241" s="301"/>
      <c r="S1241" s="364"/>
      <c r="Z1241" s="609" t="s">
        <v>540</v>
      </c>
      <c r="AA1241" s="609" t="s">
        <v>3137</v>
      </c>
    </row>
    <row r="1242" spans="1:29" ht="18">
      <c r="A1242" s="2712"/>
      <c r="B1242" s="371">
        <v>103</v>
      </c>
      <c r="C1242" s="371" t="s">
        <v>2791</v>
      </c>
      <c r="D1242" s="2714">
        <f t="shared" si="111"/>
        <v>1</v>
      </c>
      <c r="E1242" s="2719">
        <v>1</v>
      </c>
      <c r="F1242" s="293"/>
      <c r="G1242" s="2282" t="s">
        <v>7463</v>
      </c>
      <c r="H1242" s="2273">
        <v>900700</v>
      </c>
      <c r="I1242" s="2273">
        <v>900700</v>
      </c>
      <c r="J1242" s="3301">
        <v>100</v>
      </c>
      <c r="K1242" s="3299" t="s">
        <v>7465</v>
      </c>
      <c r="L1242" s="349"/>
      <c r="M1242" s="301"/>
      <c r="N1242" s="391"/>
      <c r="O1242" s="349"/>
      <c r="P1242" s="301"/>
      <c r="S1242" s="364"/>
      <c r="Z1242" s="609" t="s">
        <v>540</v>
      </c>
      <c r="AA1242" s="609" t="s">
        <v>3137</v>
      </c>
    </row>
    <row r="1243" spans="1:29" ht="18">
      <c r="A1243" s="2712"/>
      <c r="B1243" s="371">
        <v>104</v>
      </c>
      <c r="C1243" s="371" t="s">
        <v>2791</v>
      </c>
      <c r="D1243" s="2714">
        <f t="shared" si="111"/>
        <v>1</v>
      </c>
      <c r="E1243" s="2719">
        <v>1</v>
      </c>
      <c r="F1243" s="293"/>
      <c r="G1243" s="2282" t="s">
        <v>932</v>
      </c>
      <c r="H1243" s="2273">
        <v>806398.06</v>
      </c>
      <c r="I1243" s="2273">
        <v>806398.06</v>
      </c>
      <c r="J1243" s="3301">
        <v>100</v>
      </c>
      <c r="K1243" s="3299" t="s">
        <v>7465</v>
      </c>
      <c r="L1243" s="349"/>
      <c r="M1243" s="301"/>
      <c r="N1243" s="391"/>
      <c r="O1243" s="349"/>
      <c r="P1243" s="301"/>
      <c r="S1243" s="364"/>
      <c r="Z1243" s="609" t="s">
        <v>540</v>
      </c>
      <c r="AA1243" s="609" t="s">
        <v>3137</v>
      </c>
    </row>
    <row r="1244" spans="1:29" ht="18">
      <c r="A1244" s="2712"/>
      <c r="B1244" s="371">
        <v>105</v>
      </c>
      <c r="C1244" s="371" t="s">
        <v>2791</v>
      </c>
      <c r="D1244" s="2714">
        <f t="shared" si="111"/>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9" ht="18">
      <c r="A1245" s="2712"/>
      <c r="B1245" s="371">
        <v>106</v>
      </c>
      <c r="C1245" s="371" t="s">
        <v>2791</v>
      </c>
      <c r="D1245" s="2714">
        <f t="shared" si="111"/>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9" ht="18">
      <c r="A1246" s="2712"/>
      <c r="B1246" s="371">
        <v>107</v>
      </c>
      <c r="C1246" s="371" t="s">
        <v>2791</v>
      </c>
      <c r="D1246" s="2714">
        <f t="shared" si="111"/>
        <v>0</v>
      </c>
      <c r="E1246" s="2719">
        <v>1</v>
      </c>
      <c r="F1246" s="293"/>
      <c r="G1246" s="2282" t="s">
        <v>2792</v>
      </c>
      <c r="H1246" s="2273"/>
      <c r="I1246" s="2273"/>
      <c r="J1246" s="2296"/>
      <c r="K1246" s="2274"/>
      <c r="L1246" s="349"/>
      <c r="M1246" s="301"/>
      <c r="N1246" s="391"/>
      <c r="O1246" s="349"/>
      <c r="P1246" s="301"/>
      <c r="S1246" s="364"/>
      <c r="Z1246" s="609" t="s">
        <v>540</v>
      </c>
      <c r="AA1246" s="609" t="s">
        <v>3137</v>
      </c>
    </row>
    <row r="1247" spans="1:29" ht="18">
      <c r="A1247" s="2712"/>
      <c r="B1247" s="371">
        <v>108</v>
      </c>
      <c r="C1247" s="371" t="s">
        <v>2791</v>
      </c>
      <c r="D1247" s="2714">
        <f t="shared" si="111"/>
        <v>0</v>
      </c>
      <c r="E1247" s="2719">
        <v>1</v>
      </c>
      <c r="F1247" s="293"/>
      <c r="G1247" s="2282" t="s">
        <v>2792</v>
      </c>
      <c r="H1247" s="2273"/>
      <c r="I1247" s="2273"/>
      <c r="J1247" s="2296"/>
      <c r="K1247" s="2274"/>
      <c r="L1247" s="349"/>
      <c r="M1247" s="301"/>
      <c r="N1247" s="391"/>
      <c r="O1247" s="349"/>
      <c r="P1247" s="301"/>
      <c r="S1247" s="364"/>
      <c r="Z1247" s="609" t="s">
        <v>540</v>
      </c>
      <c r="AA1247" s="609" t="s">
        <v>3137</v>
      </c>
    </row>
    <row r="1248" spans="1:29" ht="18.75" thickBot="1">
      <c r="A1248" s="2712"/>
      <c r="B1248" s="371"/>
      <c r="C1248" s="371"/>
      <c r="D1248" s="2714">
        <f t="shared" si="111"/>
        <v>1</v>
      </c>
      <c r="E1248" s="2719" t="s">
        <v>2751</v>
      </c>
      <c r="F1248" s="293"/>
      <c r="G1248" s="2232" t="s">
        <v>2752</v>
      </c>
      <c r="H1248" s="2233">
        <f>SUMPRODUCT($E1239:$E1247,H1239:H1247)</f>
        <v>3798424.5</v>
      </c>
      <c r="I1248" s="2233">
        <f>SUMPRODUCT($E1239:$E1247,I1239:I1247)</f>
        <v>3798424.5</v>
      </c>
      <c r="J1248" s="2239"/>
      <c r="K1248" s="2242"/>
      <c r="L1248" s="349"/>
      <c r="M1248" s="301"/>
      <c r="N1248" s="391"/>
      <c r="O1248" s="349"/>
      <c r="P1248" s="301"/>
      <c r="S1248" s="364"/>
      <c r="Z1248" s="609" t="s">
        <v>540</v>
      </c>
      <c r="AA1248" s="609" t="s">
        <v>3137</v>
      </c>
    </row>
    <row r="1249" spans="1:27" ht="18.75" thickBot="1">
      <c r="A1249" s="2712"/>
      <c r="B1249" s="371"/>
      <c r="C1249" s="371" t="s">
        <v>2755</v>
      </c>
      <c r="D1249" s="2714"/>
      <c r="F1249" s="293"/>
      <c r="G1249" s="376"/>
      <c r="H1249" s="2624" t="s">
        <v>3002</v>
      </c>
      <c r="I1249" s="2251" t="s">
        <v>3002</v>
      </c>
      <c r="J1249" s="393"/>
      <c r="K1249" s="392"/>
      <c r="L1249" s="349"/>
      <c r="M1249" s="301"/>
      <c r="N1249" s="391"/>
      <c r="O1249" s="349"/>
      <c r="P1249" s="301"/>
      <c r="S1249" s="364"/>
      <c r="Z1249" s="609" t="s">
        <v>540</v>
      </c>
      <c r="AA1249" s="609" t="s">
        <v>3137</v>
      </c>
    </row>
    <row r="1250" spans="1:27" ht="18.75" thickTop="1">
      <c r="A1250" s="2712"/>
      <c r="B1250" s="371"/>
      <c r="C1250" s="371" t="s">
        <v>2565</v>
      </c>
      <c r="D1250" s="2714"/>
      <c r="F1250" s="293"/>
      <c r="G1250" s="1547" t="s">
        <v>5365</v>
      </c>
      <c r="H1250" s="1548" t="str">
        <f>G1220</f>
        <v>(3A3)期末处于第三阶段的其他应收款坏账准备（三阶段模型）</v>
      </c>
      <c r="I1250" s="1550"/>
      <c r="J1250" s="1549"/>
      <c r="K1250" s="1549"/>
      <c r="L1250" s="1551" t="s">
        <v>5366</v>
      </c>
      <c r="M1250" s="301"/>
      <c r="N1250" s="391"/>
      <c r="O1250" s="349"/>
      <c r="P1250" s="301"/>
      <c r="S1250" s="364"/>
      <c r="Z1250" s="609" t="s">
        <v>540</v>
      </c>
      <c r="AA1250" s="609" t="s">
        <v>3137</v>
      </c>
    </row>
    <row r="1251" spans="1:27" ht="18">
      <c r="A1251" s="2712"/>
      <c r="B1251" s="371"/>
      <c r="C1251" s="371" t="s">
        <v>2565</v>
      </c>
      <c r="D1251" s="2714"/>
      <c r="F1251" s="293"/>
      <c r="G1251" s="604" t="str">
        <f>"注释A:"&amp; G1223</f>
        <v>注释A:按单项计提坏账准备</v>
      </c>
      <c r="H1251" s="2250">
        <f ca="1">HYPERLINK("#'"&amp;$G$1&amp;"'!"&amp;ADDRESS(ROW(Notes!H1223),COLUMN(Notes!H1223),4),H1223)</f>
        <v>3798424.5</v>
      </c>
      <c r="I1251" s="2250">
        <f ca="1">HYPERLINK("#'"&amp;$G$1&amp;"'!"&amp;ADDRESS(ROW(Notes!J1223),COLUMN(Notes!J1223),4),J1223)</f>
        <v>3798424.5</v>
      </c>
      <c r="J1251" s="351"/>
      <c r="K1251" s="351"/>
      <c r="L1251" s="2630">
        <f>H1220</f>
        <v>122103</v>
      </c>
      <c r="M1251" s="301"/>
      <c r="N1251" s="391"/>
      <c r="O1251" s="349"/>
      <c r="P1251" s="301"/>
      <c r="S1251" s="364"/>
      <c r="Z1251" s="609" t="s">
        <v>540</v>
      </c>
      <c r="AA1251" s="609" t="s">
        <v>3137</v>
      </c>
    </row>
    <row r="1252" spans="1:27" ht="18">
      <c r="A1252" s="2712"/>
      <c r="B1252" s="371"/>
      <c r="C1252" s="371" t="s">
        <v>2565</v>
      </c>
      <c r="D1252" s="2714"/>
      <c r="F1252" s="293"/>
      <c r="G1252" s="604" t="str">
        <f>"本注释B:"&amp; G1248</f>
        <v>本注释B:合       计</v>
      </c>
      <c r="H1252" s="456">
        <f>H1248</f>
        <v>3798424.5</v>
      </c>
      <c r="I1252" s="456">
        <f>I1248</f>
        <v>3798424.5</v>
      </c>
      <c r="J1252" s="351"/>
      <c r="K1252" s="351"/>
      <c r="L1252" s="2636">
        <v>122131</v>
      </c>
      <c r="M1252" s="301"/>
      <c r="N1252" s="391"/>
      <c r="O1252" s="349"/>
      <c r="P1252" s="301"/>
      <c r="S1252" s="364"/>
      <c r="Z1252" s="609" t="s">
        <v>540</v>
      </c>
      <c r="AA1252" s="609" t="s">
        <v>3137</v>
      </c>
    </row>
    <row r="1253" spans="1:27" ht="18.75" thickBot="1">
      <c r="A1253" s="2712"/>
      <c r="B1253" s="371"/>
      <c r="C1253" s="371" t="s">
        <v>2565</v>
      </c>
      <c r="D1253" s="2714"/>
      <c r="F1253" s="293"/>
      <c r="G1253" s="1552" t="s">
        <v>2757</v>
      </c>
      <c r="H1253" s="1529">
        <f ca="1">IF(AND(H1251="",H1252=""),"",ROUND(H1251-H1252,2))</f>
        <v>0</v>
      </c>
      <c r="I1253" s="1529">
        <f ca="1">IF(AND(I1251="",I1252=""),"",ROUND(I1251-I1252,2))</f>
        <v>0</v>
      </c>
      <c r="J1253" s="1553"/>
      <c r="K1253" s="1553"/>
      <c r="L1253" s="1553"/>
      <c r="M1253" s="301"/>
      <c r="N1253" s="391"/>
      <c r="O1253" s="349"/>
      <c r="P1253" s="301"/>
      <c r="S1253" s="364"/>
      <c r="Z1253" s="609" t="s">
        <v>540</v>
      </c>
      <c r="AA1253" s="609" t="s">
        <v>3137</v>
      </c>
    </row>
    <row r="1254" spans="1:27" ht="18.75" thickTop="1">
      <c r="A1254" s="2712"/>
      <c r="B1254" s="371"/>
      <c r="C1254" s="371" t="s">
        <v>2565</v>
      </c>
      <c r="D1254" s="2714"/>
      <c r="F1254" s="293"/>
      <c r="G1254" s="1543"/>
      <c r="H1254" s="459" t="str">
        <f ca="1">IF(OR(H1253=0,H1253=""),"√","？")</f>
        <v>√</v>
      </c>
      <c r="I1254" s="459" t="str">
        <f ca="1">IF(OR(I1253=0,I1253=""),"√","？")</f>
        <v>√</v>
      </c>
      <c r="J1254" s="317"/>
      <c r="K1254" s="317"/>
      <c r="L1254" s="317"/>
      <c r="M1254" s="301"/>
      <c r="N1254" s="391"/>
      <c r="O1254" s="349"/>
      <c r="P1254" s="301"/>
      <c r="S1254" s="364"/>
      <c r="Z1254" s="609" t="s">
        <v>540</v>
      </c>
      <c r="AA1254" s="609" t="s">
        <v>3137</v>
      </c>
    </row>
    <row r="1255" spans="1:27" ht="18">
      <c r="A1255" s="2712"/>
      <c r="B1255" s="371"/>
      <c r="C1255" s="371" t="s">
        <v>2565</v>
      </c>
      <c r="D1255" s="2714"/>
      <c r="F1255" s="293"/>
      <c r="G1255" s="1557" t="s">
        <v>2759</v>
      </c>
      <c r="H1255" s="461"/>
      <c r="I1255" s="461"/>
      <c r="J1255" s="317"/>
      <c r="K1255" s="352">
        <f ca="1">SUMIF($H$1254:$L$1254,"&lt;&gt;√",$H$1253:$L$1253)</f>
        <v>0</v>
      </c>
      <c r="L1255" s="353" t="str">
        <f ca="1">IF(OR(K1255=0,K1255=""),"√","？")</f>
        <v>√</v>
      </c>
      <c r="M1255" s="301"/>
      <c r="N1255" s="391"/>
      <c r="O1255" s="349"/>
      <c r="P1255" s="301"/>
      <c r="S1255" s="364"/>
      <c r="Z1255" s="609" t="s">
        <v>540</v>
      </c>
      <c r="AA1255" s="609" t="s">
        <v>3137</v>
      </c>
    </row>
    <row r="1256" spans="1:27" ht="18">
      <c r="A1256" s="2712"/>
      <c r="B1256" s="371"/>
      <c r="C1256" s="371" t="s">
        <v>2565</v>
      </c>
      <c r="D1256" s="2714"/>
      <c r="F1256" s="293"/>
      <c r="G1256" s="1543"/>
      <c r="H1256" s="461"/>
      <c r="I1256" s="461"/>
      <c r="J1256" s="317"/>
      <c r="K1256" s="317"/>
      <c r="L1256" s="317"/>
      <c r="M1256" s="301"/>
      <c r="N1256" s="391"/>
      <c r="O1256" s="349"/>
      <c r="P1256" s="301"/>
      <c r="S1256" s="364"/>
      <c r="Z1256" s="609" t="s">
        <v>540</v>
      </c>
      <c r="AA1256" s="609" t="s">
        <v>3137</v>
      </c>
    </row>
    <row r="1257" spans="1:27" ht="36">
      <c r="A1257" s="2712">
        <v>122132</v>
      </c>
      <c r="B1257" s="371" t="s">
        <v>6547</v>
      </c>
      <c r="C1257" s="371"/>
      <c r="D1257" s="2714" t="str">
        <f>VLOOKUP($A1257,Sheet_NoteList,2,0)</f>
        <v>期末按组合1计提坏账准备的其他应收款（第三阶段）</v>
      </c>
      <c r="E1257" s="2714" t="s">
        <v>6531</v>
      </c>
      <c r="F1257" s="293"/>
      <c r="G1257" s="372" t="str">
        <f>"("&amp;B1257&amp;")"&amp;D1257</f>
        <v>(3A3.2)期末按组合1计提坏账准备的其他应收款（第三阶段）</v>
      </c>
      <c r="H1257" s="2313">
        <f>$A1257</f>
        <v>122132</v>
      </c>
      <c r="I1257" s="343" t="s">
        <v>5932</v>
      </c>
      <c r="J1257" s="301" t="s">
        <v>5933</v>
      </c>
      <c r="K1257" s="2208">
        <f>H1270</f>
        <v>2212075.4900000002</v>
      </c>
      <c r="L1257" s="349"/>
      <c r="M1257" s="301"/>
      <c r="N1257" s="391"/>
      <c r="O1257" s="349"/>
      <c r="P1257" s="301"/>
      <c r="S1257" s="364"/>
      <c r="Z1257" s="609" t="s">
        <v>540</v>
      </c>
      <c r="AA1257" s="609" t="s">
        <v>3137</v>
      </c>
    </row>
    <row r="1258" spans="1:27" ht="0.75" customHeight="1">
      <c r="A1258" s="2712"/>
      <c r="B1258" s="371"/>
      <c r="C1258" s="371"/>
      <c r="D1258" s="2714"/>
      <c r="E1258" s="586"/>
      <c r="F1258" s="586"/>
      <c r="G1258" s="2222" t="s">
        <v>5940</v>
      </c>
      <c r="H1258" s="371" t="s">
        <v>5386</v>
      </c>
      <c r="I1258" s="371" t="s">
        <v>5528</v>
      </c>
      <c r="J1258" s="371" t="s">
        <v>5400</v>
      </c>
      <c r="K1258" s="391"/>
      <c r="L1258" s="349"/>
      <c r="M1258" s="301"/>
      <c r="N1258" s="391"/>
      <c r="O1258" s="349"/>
      <c r="P1258" s="301"/>
      <c r="S1258" s="364"/>
      <c r="Z1258" s="609" t="s">
        <v>540</v>
      </c>
      <c r="AA1258" s="609" t="s">
        <v>3137</v>
      </c>
    </row>
    <row r="1259" spans="1:27" ht="0.75" customHeight="1" thickBot="1">
      <c r="A1259" s="2712"/>
      <c r="B1259" s="371"/>
      <c r="C1259" s="371"/>
      <c r="D1259" s="2714"/>
      <c r="E1259" s="586"/>
      <c r="F1259" s="586"/>
      <c r="G1259" s="2222"/>
      <c r="H1259" s="1615" t="s">
        <v>5470</v>
      </c>
      <c r="I1259" s="371" t="s">
        <v>5375</v>
      </c>
      <c r="J1259" s="371" t="s">
        <v>5376</v>
      </c>
      <c r="K1259" s="391"/>
      <c r="L1259" s="349"/>
      <c r="M1259" s="301"/>
      <c r="N1259" s="391"/>
      <c r="O1259" s="349"/>
      <c r="P1259" s="301"/>
      <c r="S1259" s="364"/>
      <c r="Z1259" s="609" t="s">
        <v>540</v>
      </c>
      <c r="AA1259" s="609" t="s">
        <v>3137</v>
      </c>
    </row>
    <row r="1260" spans="1:27" ht="18" customHeight="1">
      <c r="A1260" s="2712"/>
      <c r="B1260" s="371"/>
      <c r="C1260" s="371"/>
      <c r="D1260" s="2714"/>
      <c r="E1260" s="586" t="s">
        <v>2749</v>
      </c>
      <c r="F1260" s="414"/>
      <c r="G1260" s="3462" t="s">
        <v>5135</v>
      </c>
      <c r="H1260" s="3470" t="str">
        <f>$V$2</f>
        <v>2019年12月31日</v>
      </c>
      <c r="I1260" s="3471"/>
      <c r="J1260" s="3471"/>
      <c r="K1260" s="355" t="s">
        <v>5271</v>
      </c>
      <c r="L1260" s="349"/>
      <c r="M1260" s="301"/>
      <c r="N1260" s="391"/>
      <c r="O1260" s="349"/>
      <c r="P1260" s="301"/>
      <c r="S1260" s="364"/>
      <c r="Z1260" s="609" t="s">
        <v>540</v>
      </c>
      <c r="AA1260" s="609" t="s">
        <v>3137</v>
      </c>
    </row>
    <row r="1261" spans="1:27" ht="18">
      <c r="A1261" s="2712"/>
      <c r="B1261" s="371"/>
      <c r="C1261" s="371"/>
      <c r="D1261" s="2714"/>
      <c r="E1261" s="586" t="s">
        <v>2749</v>
      </c>
      <c r="F1261" s="414"/>
      <c r="G1261" s="3463"/>
      <c r="H1261" s="2292" t="s">
        <v>2861</v>
      </c>
      <c r="I1261" s="2292" t="s">
        <v>2862</v>
      </c>
      <c r="J1261" s="2238" t="s">
        <v>2889</v>
      </c>
      <c r="K1261" s="391"/>
      <c r="L1261" s="349"/>
      <c r="M1261" s="301"/>
      <c r="N1261" s="391"/>
      <c r="O1261" s="349"/>
      <c r="P1261" s="301"/>
      <c r="S1261" s="364"/>
      <c r="Z1261" s="609" t="s">
        <v>540</v>
      </c>
      <c r="AA1261" s="609" t="s">
        <v>3137</v>
      </c>
    </row>
    <row r="1262" spans="1:27" ht="18">
      <c r="A1262" s="2712"/>
      <c r="B1262" s="371">
        <v>101</v>
      </c>
      <c r="C1262" s="371"/>
      <c r="D1262" s="2714">
        <f t="shared" ref="D1262:D1270" si="112">IF(OR(G1262="*",G1262="",G1262=0),0,COUNTIF($G$1262:$G$1270,G1262))</f>
        <v>1</v>
      </c>
      <c r="E1262" s="2719">
        <v>1</v>
      </c>
      <c r="F1262" s="293"/>
      <c r="G1262" s="1472" t="s">
        <v>2938</v>
      </c>
      <c r="H1262" s="2273"/>
      <c r="I1262" s="2273"/>
      <c r="J1262" s="2274"/>
      <c r="K1262" s="391"/>
      <c r="L1262" s="349"/>
      <c r="M1262" s="301"/>
      <c r="N1262" s="391"/>
      <c r="O1262" s="349"/>
      <c r="P1262" s="301"/>
      <c r="S1262" s="364"/>
      <c r="Z1262" s="609" t="s">
        <v>540</v>
      </c>
      <c r="AA1262" s="609" t="s">
        <v>3137</v>
      </c>
    </row>
    <row r="1263" spans="1:27" ht="18">
      <c r="A1263" s="2712"/>
      <c r="B1263" s="371">
        <v>102</v>
      </c>
      <c r="C1263" s="371"/>
      <c r="D1263" s="2714">
        <f t="shared" si="112"/>
        <v>1</v>
      </c>
      <c r="E1263" s="2719">
        <v>1</v>
      </c>
      <c r="F1263" s="293"/>
      <c r="G1263" s="1472" t="s">
        <v>2962</v>
      </c>
      <c r="H1263" s="2273"/>
      <c r="I1263" s="2273"/>
      <c r="J1263" s="2274"/>
      <c r="K1263" s="391"/>
      <c r="L1263" s="349"/>
      <c r="M1263" s="301"/>
      <c r="N1263" s="391"/>
      <c r="O1263" s="349"/>
      <c r="P1263" s="301"/>
      <c r="S1263" s="364"/>
      <c r="Z1263" s="609" t="s">
        <v>540</v>
      </c>
      <c r="AA1263" s="609" t="s">
        <v>3137</v>
      </c>
    </row>
    <row r="1264" spans="1:27" ht="18">
      <c r="A1264" s="2712"/>
      <c r="B1264" s="371">
        <v>103</v>
      </c>
      <c r="C1264" s="371"/>
      <c r="D1264" s="2714">
        <f t="shared" si="112"/>
        <v>1</v>
      </c>
      <c r="E1264" s="2719">
        <v>1</v>
      </c>
      <c r="F1264" s="293"/>
      <c r="G1264" s="1472" t="s">
        <v>2963</v>
      </c>
      <c r="H1264" s="2273"/>
      <c r="I1264" s="2273"/>
      <c r="J1264" s="2274"/>
      <c r="K1264" s="391"/>
      <c r="L1264" s="349"/>
      <c r="M1264" s="301"/>
      <c r="N1264" s="391"/>
      <c r="O1264" s="349"/>
      <c r="P1264" s="301"/>
      <c r="S1264" s="364"/>
      <c r="Z1264" s="609" t="s">
        <v>540</v>
      </c>
      <c r="AA1264" s="609" t="s">
        <v>3137</v>
      </c>
    </row>
    <row r="1265" spans="1:27" ht="18">
      <c r="A1265" s="2712"/>
      <c r="B1265" s="371">
        <v>104</v>
      </c>
      <c r="C1265" s="371" t="s">
        <v>2791</v>
      </c>
      <c r="D1265" s="2714">
        <f t="shared" si="112"/>
        <v>1</v>
      </c>
      <c r="E1265" s="2719">
        <v>1</v>
      </c>
      <c r="F1265" s="293"/>
      <c r="G1265" s="2282" t="s">
        <v>2964</v>
      </c>
      <c r="H1265" s="2273"/>
      <c r="I1265" s="2273"/>
      <c r="J1265" s="2274"/>
      <c r="K1265" s="391"/>
      <c r="L1265" s="349"/>
      <c r="M1265" s="301"/>
      <c r="N1265" s="391"/>
      <c r="O1265" s="349"/>
      <c r="P1265" s="301"/>
      <c r="S1265" s="364"/>
      <c r="Z1265" s="609" t="s">
        <v>540</v>
      </c>
      <c r="AA1265" s="609" t="s">
        <v>3137</v>
      </c>
    </row>
    <row r="1266" spans="1:27" ht="18">
      <c r="A1266" s="2712"/>
      <c r="B1266" s="371">
        <v>105</v>
      </c>
      <c r="C1266" s="371" t="s">
        <v>2791</v>
      </c>
      <c r="D1266" s="2714">
        <f t="shared" si="112"/>
        <v>1</v>
      </c>
      <c r="E1266" s="2719">
        <v>1</v>
      </c>
      <c r="F1266" s="293"/>
      <c r="G1266" s="2282" t="s">
        <v>2965</v>
      </c>
      <c r="H1266" s="2273">
        <v>11786</v>
      </c>
      <c r="I1266" s="2273">
        <v>10018.1</v>
      </c>
      <c r="J1266" s="3301">
        <f>I1266/H1266*100</f>
        <v>85</v>
      </c>
      <c r="K1266" s="391"/>
      <c r="L1266" s="349"/>
      <c r="M1266" s="301"/>
      <c r="N1266" s="391"/>
      <c r="O1266" s="349"/>
      <c r="P1266" s="301"/>
      <c r="S1266" s="364"/>
      <c r="Z1266" s="609" t="s">
        <v>540</v>
      </c>
      <c r="AA1266" s="609" t="s">
        <v>3137</v>
      </c>
    </row>
    <row r="1267" spans="1:27" ht="18">
      <c r="A1267" s="2712"/>
      <c r="B1267" s="371">
        <v>106</v>
      </c>
      <c r="C1267" s="371" t="s">
        <v>2791</v>
      </c>
      <c r="D1267" s="2714">
        <f t="shared" si="112"/>
        <v>1</v>
      </c>
      <c r="E1267" s="2719">
        <v>1</v>
      </c>
      <c r="F1267" s="293"/>
      <c r="G1267" s="2282" t="s">
        <v>2944</v>
      </c>
      <c r="H1267" s="2273">
        <v>2200289.4900000002</v>
      </c>
      <c r="I1267" s="2273">
        <v>2200289.4900000002</v>
      </c>
      <c r="J1267" s="3301">
        <f>I1267/H1267*100</f>
        <v>100</v>
      </c>
      <c r="K1267" s="391"/>
      <c r="L1267" s="349"/>
      <c r="M1267" s="301"/>
      <c r="N1267" s="391"/>
      <c r="O1267" s="349"/>
      <c r="P1267" s="301"/>
      <c r="S1267" s="364"/>
      <c r="Z1267" s="609" t="s">
        <v>540</v>
      </c>
      <c r="AA1267" s="609" t="s">
        <v>3137</v>
      </c>
    </row>
    <row r="1268" spans="1:27" ht="18">
      <c r="A1268" s="2712"/>
      <c r="B1268" s="371">
        <v>107</v>
      </c>
      <c r="C1268" s="371" t="s">
        <v>2791</v>
      </c>
      <c r="D1268" s="2714">
        <f t="shared" si="112"/>
        <v>0</v>
      </c>
      <c r="E1268" s="2719">
        <v>1</v>
      </c>
      <c r="F1268" s="293"/>
      <c r="G1268" s="2282" t="s">
        <v>2792</v>
      </c>
      <c r="H1268" s="2273"/>
      <c r="I1268" s="2273"/>
      <c r="J1268" s="2274"/>
      <c r="K1268" s="391"/>
      <c r="L1268" s="349"/>
      <c r="M1268" s="301"/>
      <c r="N1268" s="391"/>
      <c r="O1268" s="349"/>
      <c r="P1268" s="301"/>
      <c r="S1268" s="364"/>
      <c r="Z1268" s="609" t="s">
        <v>540</v>
      </c>
      <c r="AA1268" s="609" t="s">
        <v>3137</v>
      </c>
    </row>
    <row r="1269" spans="1:27" ht="18">
      <c r="A1269" s="2712"/>
      <c r="B1269" s="371">
        <v>108</v>
      </c>
      <c r="C1269" s="371" t="s">
        <v>2791</v>
      </c>
      <c r="D1269" s="2714">
        <f t="shared" si="112"/>
        <v>0</v>
      </c>
      <c r="E1269" s="2719">
        <v>1</v>
      </c>
      <c r="F1269" s="293"/>
      <c r="G1269" s="2282" t="s">
        <v>2792</v>
      </c>
      <c r="H1269" s="2273"/>
      <c r="I1269" s="2273"/>
      <c r="J1269" s="2274"/>
      <c r="K1269" s="391"/>
      <c r="L1269" s="349"/>
      <c r="M1269" s="301"/>
      <c r="N1269" s="391"/>
      <c r="O1269" s="349"/>
      <c r="P1269" s="301"/>
      <c r="S1269" s="364"/>
      <c r="Z1269" s="609" t="s">
        <v>540</v>
      </c>
      <c r="AA1269" s="609" t="s">
        <v>3137</v>
      </c>
    </row>
    <row r="1270" spans="1:27" ht="18.75" thickBot="1">
      <c r="A1270" s="2712"/>
      <c r="B1270" s="371"/>
      <c r="C1270" s="371"/>
      <c r="D1270" s="2714">
        <f t="shared" si="112"/>
        <v>1</v>
      </c>
      <c r="E1270" s="2719" t="s">
        <v>2751</v>
      </c>
      <c r="F1270" s="293"/>
      <c r="G1270" s="2232" t="s">
        <v>2752</v>
      </c>
      <c r="H1270" s="2233">
        <f>SUMPRODUCT($E1261:$E1269,H1261:H1269)</f>
        <v>2212075.4900000002</v>
      </c>
      <c r="I1270" s="2233">
        <f>SUMPRODUCT($E1261:$E1269,I1261:I1269)</f>
        <v>2210307.59</v>
      </c>
      <c r="J1270" s="2242"/>
      <c r="K1270" s="391"/>
      <c r="L1270" s="349"/>
      <c r="M1270" s="301"/>
      <c r="N1270" s="391"/>
      <c r="O1270" s="349"/>
      <c r="P1270" s="301"/>
      <c r="S1270" s="364"/>
      <c r="Z1270" s="609" t="s">
        <v>540</v>
      </c>
      <c r="AA1270" s="609" t="s">
        <v>3137</v>
      </c>
    </row>
    <row r="1271" spans="1:27" ht="18.75" thickBot="1">
      <c r="A1271" s="2712"/>
      <c r="B1271" s="371"/>
      <c r="C1271" s="371" t="s">
        <v>2755</v>
      </c>
      <c r="D1271" s="2714"/>
      <c r="F1271" s="293"/>
      <c r="G1271" s="376"/>
      <c r="H1271" s="2624" t="s">
        <v>3002</v>
      </c>
      <c r="I1271" s="2251" t="s">
        <v>3002</v>
      </c>
      <c r="J1271" s="393"/>
      <c r="K1271" s="391"/>
      <c r="L1271" s="349"/>
      <c r="M1271" s="301"/>
      <c r="N1271" s="391"/>
      <c r="O1271" s="349"/>
      <c r="P1271" s="301"/>
      <c r="S1271" s="364"/>
      <c r="Z1271" s="609" t="s">
        <v>540</v>
      </c>
      <c r="AA1271" s="609" t="s">
        <v>3137</v>
      </c>
    </row>
    <row r="1272" spans="1:27" ht="18.75" thickTop="1">
      <c r="A1272" s="2712"/>
      <c r="B1272" s="371"/>
      <c r="C1272" s="371" t="s">
        <v>2565</v>
      </c>
      <c r="D1272" s="2714"/>
      <c r="F1272" s="293"/>
      <c r="G1272" s="1547" t="s">
        <v>5365</v>
      </c>
      <c r="H1272" s="1548" t="str">
        <f>G1220</f>
        <v>(3A3)期末处于第三阶段的其他应收款坏账准备（三阶段模型）</v>
      </c>
      <c r="I1272" s="1550"/>
      <c r="J1272" s="1549"/>
      <c r="K1272" s="1551" t="s">
        <v>5366</v>
      </c>
      <c r="L1272" s="349"/>
      <c r="M1272" s="301"/>
      <c r="N1272" s="391"/>
      <c r="O1272" s="349"/>
      <c r="P1272" s="301"/>
      <c r="S1272" s="364"/>
      <c r="Z1272" s="609" t="s">
        <v>540</v>
      </c>
      <c r="AA1272" s="609" t="s">
        <v>3137</v>
      </c>
    </row>
    <row r="1273" spans="1:27" ht="18">
      <c r="A1273" s="2712"/>
      <c r="B1273" s="371"/>
      <c r="C1273" s="371" t="s">
        <v>2565</v>
      </c>
      <c r="D1273" s="2714"/>
      <c r="F1273" s="293"/>
      <c r="G1273" s="604" t="str">
        <f>"注释A:"&amp; G1229</f>
        <v>注释A:应收其他款项</v>
      </c>
      <c r="H1273" s="2250">
        <f ca="1">HYPERLINK("#'"&amp;$G$1&amp;"'!"&amp;ADDRESS(ROW(Notes!H1229),COLUMN(Notes!H1229),4),H1229)</f>
        <v>2212075.4900000002</v>
      </c>
      <c r="I1273" s="2250">
        <f ca="1">HYPERLINK("#'"&amp;$G$1&amp;"'!"&amp;ADDRESS(ROW(Notes!J1229),COLUMN(Notes!J1229),4),J1229)</f>
        <v>2210307.59</v>
      </c>
      <c r="J1273" s="351"/>
      <c r="K1273" s="2630">
        <f>H1220</f>
        <v>122103</v>
      </c>
      <c r="L1273" s="349"/>
      <c r="M1273" s="301"/>
      <c r="N1273" s="391"/>
      <c r="O1273" s="349"/>
      <c r="P1273" s="301"/>
      <c r="S1273" s="364"/>
      <c r="Z1273" s="609" t="s">
        <v>540</v>
      </c>
      <c r="AA1273" s="609" t="s">
        <v>3137</v>
      </c>
    </row>
    <row r="1274" spans="1:27" ht="18">
      <c r="A1274" s="2712"/>
      <c r="B1274" s="371"/>
      <c r="C1274" s="371" t="s">
        <v>2565</v>
      </c>
      <c r="D1274" s="2714"/>
      <c r="F1274" s="293"/>
      <c r="G1274" s="604" t="str">
        <f>"本注释B:"&amp; G1270</f>
        <v>本注释B:合       计</v>
      </c>
      <c r="H1274" s="456">
        <f>H1270</f>
        <v>2212075.4900000002</v>
      </c>
      <c r="I1274" s="456">
        <f>I1270</f>
        <v>2210307.59</v>
      </c>
      <c r="J1274" s="351"/>
      <c r="K1274" s="2636">
        <v>122132</v>
      </c>
      <c r="L1274" s="349"/>
      <c r="M1274" s="301"/>
      <c r="N1274" s="391"/>
      <c r="O1274" s="349"/>
      <c r="P1274" s="301"/>
      <c r="S1274" s="364"/>
      <c r="Z1274" s="609" t="s">
        <v>540</v>
      </c>
      <c r="AA1274" s="609" t="s">
        <v>3137</v>
      </c>
    </row>
    <row r="1275" spans="1:27" ht="18.75" thickBot="1">
      <c r="A1275" s="2712"/>
      <c r="B1275" s="371"/>
      <c r="C1275" s="371" t="s">
        <v>2565</v>
      </c>
      <c r="D1275" s="2714"/>
      <c r="F1275" s="293"/>
      <c r="G1275" s="1552" t="s">
        <v>2757</v>
      </c>
      <c r="H1275" s="1529">
        <f ca="1">IF(AND(H1273="",H1274=""),"",ROUND(H1273-H1274,2))</f>
        <v>0</v>
      </c>
      <c r="I1275" s="1529">
        <f ca="1">IF(AND(I1273="",I1274=""),"",ROUND(I1273-I1274,2))</f>
        <v>0</v>
      </c>
      <c r="J1275" s="1553"/>
      <c r="K1275" s="1553"/>
      <c r="L1275" s="349"/>
      <c r="M1275" s="301"/>
      <c r="N1275" s="391"/>
      <c r="O1275" s="349"/>
      <c r="P1275" s="301"/>
      <c r="S1275" s="364"/>
      <c r="Z1275" s="609" t="s">
        <v>540</v>
      </c>
      <c r="AA1275" s="609" t="s">
        <v>3137</v>
      </c>
    </row>
    <row r="1276" spans="1:27" ht="18.75" thickTop="1">
      <c r="A1276" s="2712"/>
      <c r="B1276" s="371"/>
      <c r="C1276" s="371" t="s">
        <v>2565</v>
      </c>
      <c r="D1276" s="2714"/>
      <c r="F1276" s="293"/>
      <c r="G1276" s="1543"/>
      <c r="H1276" s="459" t="str">
        <f ca="1">IF(OR(H1275=0,H1275=""),"√","？")</f>
        <v>√</v>
      </c>
      <c r="I1276" s="459" t="str">
        <f ca="1">IF(OR(I1275=0,I1275=""),"√","？")</f>
        <v>√</v>
      </c>
      <c r="J1276" s="317"/>
      <c r="K1276" s="317"/>
      <c r="L1276" s="349"/>
      <c r="M1276" s="301"/>
      <c r="N1276" s="391"/>
      <c r="O1276" s="349"/>
      <c r="P1276" s="301"/>
      <c r="S1276" s="364"/>
      <c r="Z1276" s="609" t="s">
        <v>540</v>
      </c>
      <c r="AA1276" s="609" t="s">
        <v>3137</v>
      </c>
    </row>
    <row r="1277" spans="1:27" ht="18">
      <c r="A1277" s="2712"/>
      <c r="B1277" s="371"/>
      <c r="C1277" s="371" t="s">
        <v>2565</v>
      </c>
      <c r="D1277" s="2714"/>
      <c r="F1277" s="293"/>
      <c r="G1277" s="1557" t="s">
        <v>2759</v>
      </c>
      <c r="H1277" s="461"/>
      <c r="I1277" s="461"/>
      <c r="J1277" s="317"/>
      <c r="K1277" s="352">
        <f ca="1">SUMIF($H$1276:$K$1276,"&lt;&gt;√",$H$1275:$K$1275)</f>
        <v>0</v>
      </c>
      <c r="L1277" s="2626" t="str">
        <f ca="1">IF(OR(K1277=0,K1277=""),"√","？")</f>
        <v>√</v>
      </c>
      <c r="M1277" s="301"/>
      <c r="N1277" s="391"/>
      <c r="O1277" s="349"/>
      <c r="P1277" s="301"/>
      <c r="S1277" s="364"/>
      <c r="Z1277" s="609" t="s">
        <v>540</v>
      </c>
      <c r="AA1277" s="609" t="s">
        <v>3137</v>
      </c>
    </row>
    <row r="1278" spans="1:27" ht="18">
      <c r="A1278" s="2712"/>
      <c r="B1278" s="371"/>
      <c r="C1278" s="371" t="s">
        <v>2565</v>
      </c>
      <c r="D1278" s="2714"/>
      <c r="F1278" s="293"/>
      <c r="G1278" s="1543"/>
      <c r="H1278" s="461"/>
      <c r="I1278" s="461"/>
      <c r="J1278" s="317"/>
      <c r="K1278" s="317"/>
      <c r="L1278" s="349"/>
      <c r="M1278" s="301"/>
      <c r="N1278" s="391"/>
      <c r="O1278" s="349"/>
      <c r="P1278" s="301"/>
      <c r="S1278" s="364"/>
      <c r="Z1278" s="609" t="s">
        <v>540</v>
      </c>
      <c r="AA1278" s="609" t="s">
        <v>3137</v>
      </c>
    </row>
    <row r="1279" spans="1:27" ht="36">
      <c r="A1279" s="2712">
        <v>122133</v>
      </c>
      <c r="B1279" s="371" t="s">
        <v>6548</v>
      </c>
      <c r="C1279" s="371"/>
      <c r="D1279" s="2714" t="str">
        <f>VLOOKUP($A1279,Sheet_NoteList,2,0)</f>
        <v>期末按组合2计提坏账准备的其他应收款（第三阶段）</v>
      </c>
      <c r="E1279" s="2714" t="s">
        <v>6531</v>
      </c>
      <c r="F1279" s="293"/>
      <c r="G1279" s="372" t="str">
        <f>"("&amp;B1279&amp;")"&amp;D1279</f>
        <v>(3A3.3)期末按组合2计提坏账准备的其他应收款（第三阶段）</v>
      </c>
      <c r="H1279" s="2313">
        <f>$A1279</f>
        <v>122133</v>
      </c>
      <c r="I1279" s="343" t="s">
        <v>5932</v>
      </c>
      <c r="J1279" s="301" t="s">
        <v>5933</v>
      </c>
      <c r="K1279" s="2208">
        <f>H1292</f>
        <v>0</v>
      </c>
      <c r="L1279" s="349">
        <f>IF($I1279="适用",IF(ROUND(K$988-K1279,2)=0,"F/S",ROUND(K$988-K1279,2)),"#N/A")</f>
        <v>8760929.7400000002</v>
      </c>
      <c r="M1279" s="301" t="s">
        <v>5934</v>
      </c>
      <c r="N1279" s="2208">
        <f>I1292</f>
        <v>0</v>
      </c>
      <c r="O1279" s="349">
        <f>IF($I1279="适用",IF(ROUND(N$988-N1279,2)=0,"F/S",ROUND(N$988-N1279,2)),"#N/A")</f>
        <v>1111613.68</v>
      </c>
      <c r="P1279" s="301"/>
      <c r="S1279" s="364"/>
      <c r="Z1279" s="609" t="s">
        <v>540</v>
      </c>
      <c r="AA1279" s="609" t="s">
        <v>3137</v>
      </c>
    </row>
    <row r="1280" spans="1:27" ht="0.75" customHeight="1">
      <c r="A1280" s="2712"/>
      <c r="B1280" s="371"/>
      <c r="C1280" s="371"/>
      <c r="D1280" s="2714"/>
      <c r="F1280" s="371"/>
      <c r="G1280" s="405" t="s">
        <v>5941</v>
      </c>
      <c r="H1280" s="371" t="s">
        <v>5386</v>
      </c>
      <c r="I1280" s="371" t="s">
        <v>5528</v>
      </c>
      <c r="J1280" s="371" t="s">
        <v>5400</v>
      </c>
      <c r="K1280" s="391"/>
      <c r="L1280" s="349"/>
      <c r="M1280" s="301"/>
      <c r="N1280" s="391"/>
      <c r="O1280" s="349"/>
      <c r="P1280" s="301"/>
      <c r="S1280" s="364"/>
      <c r="Z1280" s="609" t="s">
        <v>540</v>
      </c>
      <c r="AA1280" s="609" t="s">
        <v>3137</v>
      </c>
    </row>
    <row r="1281" spans="1:27" ht="0.75" customHeight="1" thickBot="1">
      <c r="A1281" s="2712"/>
      <c r="B1281" s="371"/>
      <c r="C1281" s="371"/>
      <c r="D1281" s="2714"/>
      <c r="F1281" s="371"/>
      <c r="G1281" s="405"/>
      <c r="H1281" s="1615" t="s">
        <v>5470</v>
      </c>
      <c r="I1281" s="371" t="s">
        <v>5375</v>
      </c>
      <c r="J1281" s="371" t="s">
        <v>5376</v>
      </c>
      <c r="K1281" s="391"/>
      <c r="L1281" s="349"/>
      <c r="M1281" s="301"/>
      <c r="N1281" s="391"/>
      <c r="O1281" s="349"/>
      <c r="P1281" s="301"/>
      <c r="S1281" s="364"/>
      <c r="Z1281" s="609" t="s">
        <v>540</v>
      </c>
      <c r="AA1281" s="609" t="s">
        <v>3137</v>
      </c>
    </row>
    <row r="1282" spans="1:27" ht="18" customHeight="1">
      <c r="A1282" s="2712"/>
      <c r="B1282" s="371"/>
      <c r="C1282" s="371"/>
      <c r="D1282" s="2714"/>
      <c r="E1282" s="2714" t="s">
        <v>2749</v>
      </c>
      <c r="F1282" s="293"/>
      <c r="G1282" s="3464" t="s">
        <v>5946</v>
      </c>
      <c r="H1282" s="3472" t="str">
        <f>$V$2</f>
        <v>2019年12月31日</v>
      </c>
      <c r="I1282" s="3473"/>
      <c r="J1282" s="3473"/>
      <c r="K1282" s="355" t="s">
        <v>5947</v>
      </c>
      <c r="L1282" s="349"/>
      <c r="M1282" s="301"/>
      <c r="N1282" s="391"/>
      <c r="O1282" s="349"/>
      <c r="P1282" s="301"/>
      <c r="S1282" s="364"/>
      <c r="Z1282" s="609" t="s">
        <v>540</v>
      </c>
      <c r="AA1282" s="609" t="s">
        <v>3137</v>
      </c>
    </row>
    <row r="1283" spans="1:27" ht="18">
      <c r="A1283" s="2712"/>
      <c r="B1283" s="371"/>
      <c r="C1283" s="371"/>
      <c r="D1283" s="2714"/>
      <c r="E1283" s="2714" t="s">
        <v>2749</v>
      </c>
      <c r="F1283" s="293"/>
      <c r="G1283" s="3465"/>
      <c r="H1283" s="2205" t="s">
        <v>2861</v>
      </c>
      <c r="I1283" s="2205" t="s">
        <v>2862</v>
      </c>
      <c r="J1283" s="2206" t="s">
        <v>2889</v>
      </c>
      <c r="K1283" s="391"/>
      <c r="L1283" s="349"/>
      <c r="M1283" s="301"/>
      <c r="N1283" s="391"/>
      <c r="O1283" s="349"/>
      <c r="P1283" s="301"/>
      <c r="S1283" s="364"/>
      <c r="Z1283" s="609" t="s">
        <v>540</v>
      </c>
      <c r="AA1283" s="609" t="s">
        <v>3137</v>
      </c>
    </row>
    <row r="1284" spans="1:27" ht="18">
      <c r="A1284" s="2712"/>
      <c r="B1284" s="371">
        <v>101</v>
      </c>
      <c r="C1284" s="371" t="s">
        <v>2791</v>
      </c>
      <c r="D1284" s="2714">
        <f t="shared" ref="D1284:D1292" si="113">IF(OR(G1284="*",G1284="",G1284=0),0,COUNTIF($G$1284:$G$1292,G1284))</f>
        <v>0</v>
      </c>
      <c r="E1284" s="2719">
        <v>1</v>
      </c>
      <c r="F1284" s="293"/>
      <c r="G1284" s="2211" t="s">
        <v>2792</v>
      </c>
      <c r="H1284" s="1575"/>
      <c r="I1284" s="422"/>
      <c r="J1284" s="388"/>
      <c r="K1284" s="391"/>
      <c r="L1284" s="349"/>
      <c r="M1284" s="301"/>
      <c r="N1284" s="391"/>
      <c r="O1284" s="349"/>
      <c r="P1284" s="301"/>
      <c r="S1284" s="364"/>
      <c r="Z1284" s="609" t="s">
        <v>540</v>
      </c>
      <c r="AA1284" s="609" t="s">
        <v>3137</v>
      </c>
    </row>
    <row r="1285" spans="1:27" ht="18">
      <c r="A1285" s="2712"/>
      <c r="B1285" s="371">
        <v>102</v>
      </c>
      <c r="C1285" s="371" t="s">
        <v>2791</v>
      </c>
      <c r="D1285" s="2714">
        <f t="shared" si="113"/>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2"/>
      <c r="B1286" s="371">
        <v>103</v>
      </c>
      <c r="C1286" s="371" t="s">
        <v>2791</v>
      </c>
      <c r="D1286" s="2714">
        <f t="shared" si="113"/>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2"/>
      <c r="B1287" s="371">
        <v>104</v>
      </c>
      <c r="C1287" s="371" t="s">
        <v>2791</v>
      </c>
      <c r="D1287" s="2714">
        <f t="shared" si="113"/>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2"/>
      <c r="B1288" s="371">
        <v>105</v>
      </c>
      <c r="C1288" s="371" t="s">
        <v>2791</v>
      </c>
      <c r="D1288" s="2714">
        <f t="shared" si="113"/>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106</v>
      </c>
      <c r="C1289" s="371" t="s">
        <v>2791</v>
      </c>
      <c r="D1289" s="2714">
        <f t="shared" si="113"/>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
      <c r="A1290" s="2712"/>
      <c r="B1290" s="371">
        <v>107</v>
      </c>
      <c r="C1290" s="371" t="s">
        <v>2791</v>
      </c>
      <c r="D1290" s="2714">
        <f t="shared" si="113"/>
        <v>0</v>
      </c>
      <c r="E1290" s="2719">
        <v>1</v>
      </c>
      <c r="F1290" s="293"/>
      <c r="G1290" s="2211" t="s">
        <v>2792</v>
      </c>
      <c r="H1290" s="1575"/>
      <c r="I1290" s="422"/>
      <c r="J1290" s="388"/>
      <c r="K1290" s="391"/>
      <c r="L1290" s="349"/>
      <c r="M1290" s="301"/>
      <c r="N1290" s="391"/>
      <c r="O1290" s="349"/>
      <c r="P1290" s="301"/>
      <c r="S1290" s="364"/>
      <c r="Z1290" s="609" t="s">
        <v>540</v>
      </c>
      <c r="AA1290" s="609" t="s">
        <v>3137</v>
      </c>
    </row>
    <row r="1291" spans="1:27" ht="18">
      <c r="A1291" s="2712"/>
      <c r="B1291" s="371">
        <v>108</v>
      </c>
      <c r="C1291" s="371" t="s">
        <v>2791</v>
      </c>
      <c r="D1291" s="2714">
        <f t="shared" si="113"/>
        <v>0</v>
      </c>
      <c r="E1291" s="2719">
        <v>1</v>
      </c>
      <c r="F1291" s="293"/>
      <c r="G1291" s="2211" t="s">
        <v>2792</v>
      </c>
      <c r="H1291" s="1575"/>
      <c r="I1291" s="422"/>
      <c r="J1291" s="388"/>
      <c r="K1291" s="391"/>
      <c r="L1291" s="349"/>
      <c r="M1291" s="301"/>
      <c r="N1291" s="391"/>
      <c r="O1291" s="349"/>
      <c r="P1291" s="301"/>
      <c r="S1291" s="364"/>
      <c r="Z1291" s="609" t="s">
        <v>540</v>
      </c>
      <c r="AA1291" s="609" t="s">
        <v>3137</v>
      </c>
    </row>
    <row r="1292" spans="1:27" ht="18.75" thickBot="1">
      <c r="A1292" s="2712"/>
      <c r="B1292" s="371"/>
      <c r="C1292" s="371"/>
      <c r="D1292" s="2714">
        <f t="shared" si="113"/>
        <v>1</v>
      </c>
      <c r="E1292" s="2719" t="s">
        <v>2751</v>
      </c>
      <c r="F1292" s="293"/>
      <c r="G1292" s="1527" t="s">
        <v>2752</v>
      </c>
      <c r="H1292" s="1525">
        <f>SUMPRODUCT($E1283:$E1291,H1283:H1291)</f>
        <v>0</v>
      </c>
      <c r="I1292" s="1525">
        <f>SUMPRODUCT($E1283:$E1291,I1283:I1291)</f>
        <v>0</v>
      </c>
      <c r="J1292" s="2207"/>
      <c r="K1292" s="391"/>
      <c r="L1292" s="349"/>
      <c r="M1292" s="301"/>
      <c r="N1292" s="391"/>
      <c r="O1292" s="349"/>
      <c r="P1292" s="301"/>
      <c r="S1292" s="364"/>
      <c r="Z1292" s="609" t="s">
        <v>540</v>
      </c>
      <c r="AA1292" s="609" t="s">
        <v>3137</v>
      </c>
    </row>
    <row r="1293" spans="1:27" ht="18">
      <c r="A1293" s="2712"/>
      <c r="B1293" s="371"/>
      <c r="C1293" s="371" t="s">
        <v>2755</v>
      </c>
      <c r="D1293" s="2714"/>
      <c r="F1293" s="293"/>
      <c r="G1293" s="376"/>
      <c r="H1293" s="1574"/>
      <c r="I1293" s="396"/>
      <c r="J1293" s="393"/>
      <c r="K1293" s="391"/>
      <c r="L1293" s="349"/>
      <c r="M1293" s="301"/>
      <c r="N1293" s="391"/>
      <c r="O1293" s="349"/>
      <c r="P1293" s="301"/>
      <c r="S1293" s="364"/>
      <c r="Z1293" s="609" t="s">
        <v>540</v>
      </c>
      <c r="AA1293" s="609" t="s">
        <v>3137</v>
      </c>
    </row>
    <row r="1294" spans="1:27" ht="36">
      <c r="A1294" s="2712">
        <v>122134</v>
      </c>
      <c r="B1294" s="371" t="s">
        <v>6549</v>
      </c>
      <c r="C1294" s="371"/>
      <c r="D1294" s="2714" t="str">
        <f>VLOOKUP($A1294,Sheet_NoteList,2,0)</f>
        <v>期末按组合3计提坏账准备的其他应收款（第三阶段）</v>
      </c>
      <c r="E1294" s="2714" t="s">
        <v>6529</v>
      </c>
      <c r="F1294" s="293"/>
      <c r="G1294" s="372" t="str">
        <f>"("&amp;B1294&amp;")"&amp;D1294</f>
        <v>(3A3.4)期末按组合3计提坏账准备的其他应收款（第三阶段）</v>
      </c>
      <c r="H1294" s="2313">
        <f>$A1294</f>
        <v>122134</v>
      </c>
      <c r="I1294" s="343" t="s">
        <v>5932</v>
      </c>
      <c r="J1294" s="301" t="s">
        <v>5933</v>
      </c>
      <c r="K1294" s="2208">
        <f>H1307</f>
        <v>0</v>
      </c>
      <c r="L1294" s="349">
        <f>IF($I1294="适用",IF(ROUND(K$988-K1294,2)=0,"F/S",ROUND(K$988-K1294,2)),"#N/A")</f>
        <v>8760929.7400000002</v>
      </c>
      <c r="M1294" s="301" t="s">
        <v>5934</v>
      </c>
      <c r="N1294" s="2208">
        <f>I1307</f>
        <v>0</v>
      </c>
      <c r="O1294" s="349">
        <f>IF($I1294="适用",IF(ROUND(N$988-N1294,2)=0,"F/S",ROUND(N$988-N1294,2)),"#N/A")</f>
        <v>1111613.68</v>
      </c>
      <c r="P1294" s="301"/>
      <c r="S1294" s="364"/>
      <c r="Z1294" s="609" t="s">
        <v>540</v>
      </c>
      <c r="AA1294" s="609" t="s">
        <v>3137</v>
      </c>
    </row>
    <row r="1295" spans="1:27" ht="0.75" customHeight="1">
      <c r="A1295" s="2712"/>
      <c r="B1295" s="371"/>
      <c r="C1295" s="371"/>
      <c r="D1295" s="2714"/>
      <c r="F1295" s="371"/>
      <c r="G1295" s="405" t="s">
        <v>5942</v>
      </c>
      <c r="H1295" s="371" t="s">
        <v>5386</v>
      </c>
      <c r="I1295" s="371" t="s">
        <v>5528</v>
      </c>
      <c r="J1295" s="371" t="s">
        <v>5400</v>
      </c>
      <c r="K1295" s="391"/>
      <c r="L1295" s="349"/>
      <c r="M1295" s="301"/>
      <c r="N1295" s="391"/>
      <c r="O1295" s="349"/>
      <c r="P1295" s="301"/>
      <c r="S1295" s="364"/>
      <c r="Z1295" s="609" t="s">
        <v>540</v>
      </c>
      <c r="AA1295" s="609" t="s">
        <v>3137</v>
      </c>
    </row>
    <row r="1296" spans="1:27" ht="0.75" customHeight="1" thickBot="1">
      <c r="A1296" s="2712"/>
      <c r="B1296" s="371"/>
      <c r="C1296" s="371"/>
      <c r="D1296" s="2714"/>
      <c r="F1296" s="371"/>
      <c r="G1296" s="405"/>
      <c r="H1296" s="371" t="s">
        <v>5470</v>
      </c>
      <c r="I1296" s="371" t="s">
        <v>5375</v>
      </c>
      <c r="J1296" s="371" t="s">
        <v>5376</v>
      </c>
      <c r="K1296" s="391"/>
      <c r="L1296" s="349"/>
      <c r="M1296" s="301"/>
      <c r="N1296" s="391"/>
      <c r="O1296" s="349"/>
      <c r="P1296" s="301"/>
      <c r="S1296" s="364"/>
      <c r="Z1296" s="609" t="s">
        <v>540</v>
      </c>
      <c r="AA1296" s="609" t="s">
        <v>3137</v>
      </c>
    </row>
    <row r="1297" spans="1:27" ht="18" customHeight="1">
      <c r="A1297" s="2712"/>
      <c r="B1297" s="371"/>
      <c r="C1297" s="371"/>
      <c r="D1297" s="2714"/>
      <c r="E1297" s="2714" t="s">
        <v>2749</v>
      </c>
      <c r="F1297" s="293"/>
      <c r="G1297" s="3464" t="s">
        <v>5946</v>
      </c>
      <c r="H1297" s="3472" t="str">
        <f>$V$2</f>
        <v>2019年12月31日</v>
      </c>
      <c r="I1297" s="3473"/>
      <c r="J1297" s="3473"/>
      <c r="K1297" s="355" t="s">
        <v>5947</v>
      </c>
      <c r="L1297" s="349"/>
      <c r="M1297" s="301"/>
      <c r="N1297" s="391"/>
      <c r="O1297" s="349"/>
      <c r="P1297" s="301"/>
      <c r="S1297" s="364"/>
      <c r="Z1297" s="609" t="s">
        <v>540</v>
      </c>
      <c r="AA1297" s="609" t="s">
        <v>3137</v>
      </c>
    </row>
    <row r="1298" spans="1:27" ht="18">
      <c r="A1298" s="2712"/>
      <c r="B1298" s="371"/>
      <c r="C1298" s="371"/>
      <c r="D1298" s="2714"/>
      <c r="E1298" s="2714" t="s">
        <v>2749</v>
      </c>
      <c r="F1298" s="293"/>
      <c r="G1298" s="3465"/>
      <c r="H1298" s="2205" t="s">
        <v>2861</v>
      </c>
      <c r="I1298" s="2205" t="s">
        <v>2862</v>
      </c>
      <c r="J1298" s="2206" t="s">
        <v>2889</v>
      </c>
      <c r="K1298" s="391"/>
      <c r="L1298" s="349"/>
      <c r="M1298" s="301"/>
      <c r="N1298" s="391"/>
      <c r="O1298" s="349"/>
      <c r="P1298" s="301"/>
      <c r="S1298" s="364"/>
      <c r="Z1298" s="609" t="s">
        <v>540</v>
      </c>
      <c r="AA1298" s="609" t="s">
        <v>3137</v>
      </c>
    </row>
    <row r="1299" spans="1:27" ht="18">
      <c r="A1299" s="2712"/>
      <c r="B1299" s="371">
        <v>101</v>
      </c>
      <c r="C1299" s="371" t="s">
        <v>2791</v>
      </c>
      <c r="D1299" s="2714">
        <f t="shared" ref="D1299:D1307" si="114">IF(OR(G1299="*",G1299="",G1299=0),0,COUNTIF($G$1299:$G$1307,G1299))</f>
        <v>0</v>
      </c>
      <c r="E1299" s="2719">
        <v>1</v>
      </c>
      <c r="F1299" s="293"/>
      <c r="G1299" s="2211" t="s">
        <v>2792</v>
      </c>
      <c r="H1299" s="1575"/>
      <c r="I1299" s="422"/>
      <c r="J1299" s="388"/>
      <c r="K1299" s="391"/>
      <c r="L1299" s="349"/>
      <c r="M1299" s="301"/>
      <c r="N1299" s="391"/>
      <c r="O1299" s="349"/>
      <c r="P1299" s="301"/>
      <c r="S1299" s="364"/>
      <c r="Z1299" s="609" t="s">
        <v>540</v>
      </c>
      <c r="AA1299" s="609" t="s">
        <v>3137</v>
      </c>
    </row>
    <row r="1300" spans="1:27" ht="18">
      <c r="A1300" s="2712"/>
      <c r="B1300" s="371">
        <v>102</v>
      </c>
      <c r="C1300" s="371" t="s">
        <v>2791</v>
      </c>
      <c r="D1300" s="2714">
        <f t="shared" si="114"/>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7" ht="18">
      <c r="A1301" s="2712"/>
      <c r="B1301" s="371">
        <v>103</v>
      </c>
      <c r="C1301" s="371" t="s">
        <v>2791</v>
      </c>
      <c r="D1301" s="2714">
        <f t="shared" si="114"/>
        <v>0</v>
      </c>
      <c r="E1301" s="2719">
        <v>1</v>
      </c>
      <c r="F1301" s="293"/>
      <c r="G1301" s="2211" t="s">
        <v>2792</v>
      </c>
      <c r="H1301" s="1575"/>
      <c r="I1301" s="422"/>
      <c r="J1301" s="388"/>
      <c r="K1301" s="391"/>
      <c r="L1301" s="349"/>
      <c r="M1301" s="301"/>
      <c r="N1301" s="391"/>
      <c r="O1301" s="349"/>
      <c r="P1301" s="301"/>
      <c r="S1301" s="364"/>
      <c r="Z1301" s="609" t="s">
        <v>540</v>
      </c>
      <c r="AA1301" s="609" t="s">
        <v>3137</v>
      </c>
    </row>
    <row r="1302" spans="1:27" ht="18">
      <c r="A1302" s="2712"/>
      <c r="B1302" s="371">
        <v>104</v>
      </c>
      <c r="C1302" s="371" t="s">
        <v>2791</v>
      </c>
      <c r="D1302" s="2714">
        <f t="shared" si="114"/>
        <v>0</v>
      </c>
      <c r="E1302" s="2719">
        <v>1</v>
      </c>
      <c r="F1302" s="293"/>
      <c r="G1302" s="2211" t="s">
        <v>2792</v>
      </c>
      <c r="H1302" s="1575"/>
      <c r="I1302" s="422"/>
      <c r="J1302" s="388"/>
      <c r="K1302" s="391"/>
      <c r="L1302" s="349"/>
      <c r="M1302" s="301"/>
      <c r="N1302" s="391"/>
      <c r="O1302" s="349"/>
      <c r="P1302" s="301"/>
      <c r="S1302" s="364"/>
      <c r="Z1302" s="609" t="s">
        <v>540</v>
      </c>
      <c r="AA1302" s="609" t="s">
        <v>3137</v>
      </c>
    </row>
    <row r="1303" spans="1:27" ht="18">
      <c r="A1303" s="2712"/>
      <c r="B1303" s="371">
        <v>105</v>
      </c>
      <c r="C1303" s="371" t="s">
        <v>2791</v>
      </c>
      <c r="D1303" s="2714">
        <f t="shared" si="114"/>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7" ht="18">
      <c r="A1304" s="2712"/>
      <c r="B1304" s="371">
        <v>106</v>
      </c>
      <c r="C1304" s="371" t="s">
        <v>2791</v>
      </c>
      <c r="D1304" s="2714">
        <f t="shared" si="114"/>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7" ht="18">
      <c r="A1305" s="2712"/>
      <c r="B1305" s="371">
        <v>107</v>
      </c>
      <c r="C1305" s="371" t="s">
        <v>2791</v>
      </c>
      <c r="D1305" s="2714">
        <f t="shared" si="114"/>
        <v>0</v>
      </c>
      <c r="E1305" s="2719">
        <v>1</v>
      </c>
      <c r="F1305" s="293"/>
      <c r="G1305" s="2211" t="s">
        <v>2792</v>
      </c>
      <c r="H1305" s="1575"/>
      <c r="I1305" s="422"/>
      <c r="J1305" s="388"/>
      <c r="K1305" s="391"/>
      <c r="L1305" s="349"/>
      <c r="M1305" s="301"/>
      <c r="N1305" s="391"/>
      <c r="O1305" s="349"/>
      <c r="P1305" s="301"/>
      <c r="S1305" s="364"/>
      <c r="Z1305" s="609" t="s">
        <v>540</v>
      </c>
      <c r="AA1305" s="609" t="s">
        <v>3137</v>
      </c>
    </row>
    <row r="1306" spans="1:27" ht="18">
      <c r="A1306" s="2712"/>
      <c r="B1306" s="371">
        <v>108</v>
      </c>
      <c r="C1306" s="371" t="s">
        <v>2791</v>
      </c>
      <c r="D1306" s="2714">
        <f t="shared" si="114"/>
        <v>0</v>
      </c>
      <c r="E1306" s="2719">
        <v>1</v>
      </c>
      <c r="F1306" s="293"/>
      <c r="G1306" s="2211" t="s">
        <v>2792</v>
      </c>
      <c r="H1306" s="1575"/>
      <c r="I1306" s="422"/>
      <c r="J1306" s="388"/>
      <c r="K1306" s="391"/>
      <c r="L1306" s="349"/>
      <c r="M1306" s="301"/>
      <c r="N1306" s="391"/>
      <c r="O1306" s="349"/>
      <c r="P1306" s="301"/>
      <c r="S1306" s="364"/>
      <c r="Z1306" s="609" t="s">
        <v>540</v>
      </c>
      <c r="AA1306" s="609" t="s">
        <v>3137</v>
      </c>
    </row>
    <row r="1307" spans="1:27" ht="18.75" thickBot="1">
      <c r="A1307" s="2712"/>
      <c r="B1307" s="371"/>
      <c r="C1307" s="371"/>
      <c r="D1307" s="2714">
        <f t="shared" si="114"/>
        <v>1</v>
      </c>
      <c r="E1307" s="2719" t="s">
        <v>2751</v>
      </c>
      <c r="F1307" s="293"/>
      <c r="G1307" s="1527" t="s">
        <v>2752</v>
      </c>
      <c r="H1307" s="1525">
        <f>SUMPRODUCT($E1298:$E1306,H1298:H1306)</f>
        <v>0</v>
      </c>
      <c r="I1307" s="1525">
        <f>SUMPRODUCT($E1298:$E1306,I1298:I1306)</f>
        <v>0</v>
      </c>
      <c r="J1307" s="2207"/>
      <c r="K1307" s="391"/>
      <c r="L1307" s="349"/>
      <c r="M1307" s="301"/>
      <c r="N1307" s="391"/>
      <c r="O1307" s="349"/>
      <c r="P1307" s="301"/>
      <c r="S1307" s="364"/>
      <c r="Z1307" s="609" t="s">
        <v>540</v>
      </c>
      <c r="AA1307" s="609" t="s">
        <v>3137</v>
      </c>
    </row>
    <row r="1308" spans="1:27" ht="18">
      <c r="A1308" s="2712"/>
      <c r="B1308" s="371"/>
      <c r="C1308" s="371" t="s">
        <v>2755</v>
      </c>
      <c r="D1308" s="2714"/>
      <c r="F1308" s="293"/>
      <c r="G1308" s="376"/>
      <c r="H1308" s="1574"/>
      <c r="I1308" s="396"/>
      <c r="J1308" s="393"/>
      <c r="K1308" s="391"/>
      <c r="L1308" s="349"/>
      <c r="M1308" s="301"/>
      <c r="N1308" s="391"/>
      <c r="O1308" s="349"/>
      <c r="P1308" s="301"/>
      <c r="S1308" s="364"/>
      <c r="Z1308" s="609" t="s">
        <v>540</v>
      </c>
      <c r="AA1308" s="609" t="s">
        <v>3137</v>
      </c>
    </row>
    <row r="1309" spans="1:27" ht="36">
      <c r="A1309" s="2712" t="s">
        <v>558</v>
      </c>
      <c r="B1309" s="371" t="s">
        <v>6550</v>
      </c>
      <c r="C1309" s="371"/>
      <c r="D1309" s="2714" t="str">
        <f>VLOOKUP($A1309,Sheet_NoteList,2,0)</f>
        <v>其他应收款按坏账计提方法分类披露（已发生损失模型）</v>
      </c>
      <c r="E1309" s="2714" t="s">
        <v>2742</v>
      </c>
      <c r="F1309" s="293"/>
      <c r="G1309" s="372" t="str">
        <f>"("&amp;B1309&amp;")"&amp;D1309</f>
        <v>(3B)其他应收款按坏账计提方法分类披露（已发生损失模型）</v>
      </c>
      <c r="H1309" s="1515" t="str">
        <f>$A1309</f>
        <v>1221t</v>
      </c>
      <c r="I1309" s="343" t="s">
        <v>2743</v>
      </c>
      <c r="J1309" s="301"/>
      <c r="K1309" s="391"/>
      <c r="L1309" s="349"/>
      <c r="M1309" s="301" t="s">
        <v>2745</v>
      </c>
      <c r="N1309" s="2208">
        <f>L1319</f>
        <v>1111613.68</v>
      </c>
      <c r="O1309" s="349" t="str">
        <f>IF($I1309="适用",IF(ROUND(N$988-N1309,2)=0,"F/S",ROUND(N$988-N1309,2)),"#N/A")</f>
        <v>F/S</v>
      </c>
      <c r="P1309" s="301"/>
      <c r="S1309" s="364"/>
      <c r="Z1309" s="609" t="s">
        <v>540</v>
      </c>
      <c r="AA1309" s="609" t="s">
        <v>3137</v>
      </c>
    </row>
    <row r="1310" spans="1:27" ht="0.75" customHeight="1">
      <c r="A1310" s="2712"/>
      <c r="B1310" s="371"/>
      <c r="C1310" s="371"/>
      <c r="D1310" s="2714"/>
      <c r="E1310" s="586"/>
      <c r="F1310" s="586"/>
      <c r="G1310" s="2222" t="s">
        <v>3149</v>
      </c>
      <c r="H1310" s="371" t="s">
        <v>5388</v>
      </c>
      <c r="I1310" s="371" t="s">
        <v>5406</v>
      </c>
      <c r="J1310" s="371" t="s">
        <v>5390</v>
      </c>
      <c r="K1310" s="547" t="s">
        <v>5391</v>
      </c>
      <c r="L1310" s="547" t="s">
        <v>5392</v>
      </c>
      <c r="M1310" s="433"/>
      <c r="N1310" s="428"/>
      <c r="O1310" s="428"/>
      <c r="P1310" s="433"/>
      <c r="Q1310" s="442"/>
      <c r="R1310" s="443"/>
      <c r="S1310" s="364"/>
      <c r="Z1310" s="609" t="s">
        <v>540</v>
      </c>
      <c r="AA1310" s="609" t="s">
        <v>3137</v>
      </c>
    </row>
    <row r="1311" spans="1:27" ht="0.75" customHeight="1" thickBot="1">
      <c r="A1311" s="2712"/>
      <c r="B1311" s="371"/>
      <c r="C1311" s="371"/>
      <c r="D1311" s="2714"/>
      <c r="E1311" s="586"/>
      <c r="F1311" s="586"/>
      <c r="G1311" s="2222"/>
      <c r="H1311" s="371" t="s">
        <v>5393</v>
      </c>
      <c r="I1311" s="371" t="s">
        <v>5394</v>
      </c>
      <c r="J1311" s="371" t="s">
        <v>5395</v>
      </c>
      <c r="K1311" s="547" t="s">
        <v>5396</v>
      </c>
      <c r="L1311" s="547" t="s">
        <v>5397</v>
      </c>
      <c r="M1311" s="433"/>
      <c r="N1311" s="428"/>
      <c r="O1311" s="428"/>
      <c r="P1311" s="433"/>
      <c r="Q1311" s="442"/>
      <c r="R1311" s="443"/>
      <c r="S1311" s="364"/>
      <c r="Z1311" s="609" t="s">
        <v>540</v>
      </c>
      <c r="AA1311" s="609" t="s">
        <v>3137</v>
      </c>
    </row>
    <row r="1312" spans="1:27" ht="18" customHeight="1">
      <c r="A1312" s="2712"/>
      <c r="B1312" s="371"/>
      <c r="C1312" s="371"/>
      <c r="D1312" s="2714"/>
      <c r="E1312" s="586" t="s">
        <v>2749</v>
      </c>
      <c r="F1312" s="414"/>
      <c r="G1312" s="3462" t="s">
        <v>6002</v>
      </c>
      <c r="H1312" s="3470" t="str">
        <f>$V$3</f>
        <v>2018年12月31日</v>
      </c>
      <c r="I1312" s="3471"/>
      <c r="J1312" s="3471"/>
      <c r="K1312" s="3471"/>
      <c r="L1312" s="3471"/>
      <c r="M1312" s="355" t="s">
        <v>5271</v>
      </c>
      <c r="N1312" s="428"/>
      <c r="O1312" s="428"/>
      <c r="P1312" s="433"/>
      <c r="Q1312" s="442"/>
      <c r="R1312" s="443"/>
      <c r="S1312" s="364"/>
      <c r="Z1312" s="609" t="s">
        <v>540</v>
      </c>
      <c r="AA1312" s="609" t="s">
        <v>3137</v>
      </c>
    </row>
    <row r="1313" spans="1:29" ht="18">
      <c r="A1313" s="2712"/>
      <c r="B1313" s="371"/>
      <c r="C1313" s="371"/>
      <c r="D1313" s="2714"/>
      <c r="E1313" s="586" t="s">
        <v>2749</v>
      </c>
      <c r="F1313" s="414"/>
      <c r="G1313" s="3463"/>
      <c r="H1313" s="2292" t="s">
        <v>6003</v>
      </c>
      <c r="I1313" s="2292" t="s">
        <v>2888</v>
      </c>
      <c r="J1313" s="2292" t="s">
        <v>6004</v>
      </c>
      <c r="K1313" s="2237" t="s">
        <v>2889</v>
      </c>
      <c r="L1313" s="2238" t="s">
        <v>6005</v>
      </c>
      <c r="M1313" s="435"/>
      <c r="N1313" s="434"/>
      <c r="O1313" s="434"/>
      <c r="P1313" s="435"/>
      <c r="Q1313" s="442"/>
      <c r="R1313" s="443"/>
      <c r="S1313" s="364"/>
      <c r="Z1313" s="609" t="s">
        <v>540</v>
      </c>
      <c r="AA1313" s="609" t="s">
        <v>3137</v>
      </c>
    </row>
    <row r="1314" spans="1:29" ht="28.5" customHeight="1">
      <c r="A1314" s="2712"/>
      <c r="B1314" s="371">
        <v>101</v>
      </c>
      <c r="C1314" s="371"/>
      <c r="D1314" s="2714">
        <f t="shared" ref="D1314:D1319" si="115">IF(OR(G1314="*",G1314="",G1314=0),0,COUNTIF($G$1314:$G$1319,G1314))</f>
        <v>1</v>
      </c>
      <c r="E1314" s="2719">
        <v>1</v>
      </c>
      <c r="F1314" s="293"/>
      <c r="G1314" s="1472" t="s">
        <v>3154</v>
      </c>
      <c r="H1314" s="2273">
        <v>1591326.44</v>
      </c>
      <c r="I1314" s="2296"/>
      <c r="J1314" s="2273">
        <v>1591326.44</v>
      </c>
      <c r="K1314" s="2296"/>
      <c r="L1314" s="1475">
        <f>H1314-J1314</f>
        <v>0</v>
      </c>
      <c r="M1314" s="1531" t="str">
        <f ca="1">HYPERLINK("#'"&amp;$G$1&amp;"'!"&amp;ADDRESS(ROW(Notes!H1344),COLUMN(Notes!H1344),4),"* 请勿删除此行！点击往勾稽单元格，F5+Enter返回")</f>
        <v>* 请勿删除此行！点击往勾稽单元格，F5+Enter返回</v>
      </c>
      <c r="N1314" s="439"/>
      <c r="O1314" s="437"/>
      <c r="P1314" s="438"/>
      <c r="Q1314" s="442"/>
      <c r="R1314" s="443"/>
      <c r="S1314" s="364"/>
      <c r="Z1314" s="609" t="s">
        <v>540</v>
      </c>
      <c r="AA1314" s="609" t="s">
        <v>3137</v>
      </c>
      <c r="AC1314" s="369" t="s">
        <v>6571</v>
      </c>
    </row>
    <row r="1315" spans="1:29" ht="28.5" customHeight="1">
      <c r="A1315" s="2712"/>
      <c r="B1315" s="371">
        <v>102</v>
      </c>
      <c r="C1315" s="371"/>
      <c r="D1315" s="2714">
        <f t="shared" si="115"/>
        <v>1</v>
      </c>
      <c r="E1315" s="2719">
        <v>1</v>
      </c>
      <c r="F1315" s="293"/>
      <c r="G1315" s="1472" t="s">
        <v>3155</v>
      </c>
      <c r="H1315" s="2273">
        <v>3965752.61</v>
      </c>
      <c r="I1315" s="2296"/>
      <c r="J1315" s="2273">
        <v>2854138.93</v>
      </c>
      <c r="K1315" s="2296"/>
      <c r="L1315" s="1475">
        <f t="shared" ref="L1315:L1318" si="116">H1315-J1315</f>
        <v>1111613.68</v>
      </c>
      <c r="M1315" s="438"/>
      <c r="N1315" s="439"/>
      <c r="O1315" s="437"/>
      <c r="P1315" s="438"/>
      <c r="Q1315" s="442"/>
      <c r="R1315" s="443"/>
      <c r="S1315" s="364"/>
      <c r="Z1315" s="609" t="s">
        <v>540</v>
      </c>
      <c r="AA1315" s="609" t="s">
        <v>3137</v>
      </c>
    </row>
    <row r="1316" spans="1:29" ht="28.5" customHeight="1">
      <c r="A1316" s="2712"/>
      <c r="B1316" s="371">
        <v>103</v>
      </c>
      <c r="C1316" s="371"/>
      <c r="D1316" s="2714">
        <f t="shared" si="115"/>
        <v>1</v>
      </c>
      <c r="E1316" s="2719">
        <v>1</v>
      </c>
      <c r="F1316" s="293"/>
      <c r="G1316" s="1472" t="s">
        <v>3156</v>
      </c>
      <c r="H1316" s="2273">
        <v>1650700</v>
      </c>
      <c r="I1316" s="2296"/>
      <c r="J1316" s="2273">
        <v>1650700</v>
      </c>
      <c r="K1316" s="2296"/>
      <c r="L1316" s="1475">
        <f t="shared" si="116"/>
        <v>0</v>
      </c>
      <c r="M1316" s="438"/>
      <c r="N1316" s="439"/>
      <c r="O1316" s="437"/>
      <c r="P1316" s="438"/>
      <c r="Q1316" s="442"/>
      <c r="R1316" s="443"/>
      <c r="S1316" s="364"/>
      <c r="Z1316" s="609" t="s">
        <v>540</v>
      </c>
      <c r="AA1316" s="609" t="s">
        <v>3137</v>
      </c>
    </row>
    <row r="1317" spans="1:29" ht="18">
      <c r="A1317" s="2712"/>
      <c r="B1317" s="371">
        <v>104</v>
      </c>
      <c r="C1317" s="371" t="s">
        <v>2791</v>
      </c>
      <c r="D1317" s="2714">
        <f t="shared" si="115"/>
        <v>0</v>
      </c>
      <c r="E1317" s="2719">
        <v>1</v>
      </c>
      <c r="F1317" s="293"/>
      <c r="G1317" s="2282" t="s">
        <v>2792</v>
      </c>
      <c r="H1317" s="2273"/>
      <c r="I1317" s="2296"/>
      <c r="J1317" s="2273"/>
      <c r="K1317" s="2296"/>
      <c r="L1317" s="1475">
        <f t="shared" si="116"/>
        <v>0</v>
      </c>
      <c r="M1317" s="438"/>
      <c r="N1317" s="439"/>
      <c r="O1317" s="437"/>
      <c r="P1317" s="438"/>
      <c r="Q1317" s="442"/>
      <c r="R1317" s="443"/>
      <c r="S1317" s="364"/>
      <c r="Z1317" s="609" t="s">
        <v>540</v>
      </c>
      <c r="AA1317" s="609" t="s">
        <v>3137</v>
      </c>
    </row>
    <row r="1318" spans="1:29" ht="18">
      <c r="A1318" s="2712"/>
      <c r="B1318" s="371">
        <v>105</v>
      </c>
      <c r="C1318" s="371" t="s">
        <v>2791</v>
      </c>
      <c r="D1318" s="2714">
        <f t="shared" si="115"/>
        <v>0</v>
      </c>
      <c r="E1318" s="2719">
        <v>1</v>
      </c>
      <c r="F1318" s="293"/>
      <c r="G1318" s="2282" t="s">
        <v>2792</v>
      </c>
      <c r="H1318" s="2273"/>
      <c r="I1318" s="2296"/>
      <c r="J1318" s="2273"/>
      <c r="K1318" s="2296"/>
      <c r="L1318" s="1475">
        <f t="shared" si="116"/>
        <v>0</v>
      </c>
      <c r="M1318" s="438"/>
      <c r="N1318" s="439"/>
      <c r="O1318" s="437"/>
      <c r="P1318" s="438"/>
      <c r="Q1318" s="442"/>
      <c r="R1318" s="443"/>
      <c r="S1318" s="364"/>
      <c r="Z1318" s="609" t="s">
        <v>540</v>
      </c>
      <c r="AA1318" s="609" t="s">
        <v>3137</v>
      </c>
    </row>
    <row r="1319" spans="1:29" ht="18.75" thickBot="1">
      <c r="A1319" s="2712"/>
      <c r="B1319" s="371"/>
      <c r="C1319" s="371"/>
      <c r="D1319" s="2714">
        <f t="shared" si="115"/>
        <v>1</v>
      </c>
      <c r="E1319" s="2719" t="s">
        <v>2751</v>
      </c>
      <c r="F1319" s="293"/>
      <c r="G1319" s="2232" t="s">
        <v>2752</v>
      </c>
      <c r="H1319" s="2233">
        <f>SUMPRODUCT($E1313:$E1318,H1313:H1318)</f>
        <v>7207779.0499999998</v>
      </c>
      <c r="I1319" s="2240">
        <f>SUMPRODUCT($E1313:$E1318,I1313:I1318)</f>
        <v>0</v>
      </c>
      <c r="J1319" s="2233">
        <f>SUMPRODUCT($E1313:$E1318,J1313:J1318)</f>
        <v>6096165.3700000001</v>
      </c>
      <c r="K1319" s="2239"/>
      <c r="L1319" s="2234">
        <f>SUMPRODUCT($E1313:$E1318,L1313:L1318)</f>
        <v>1111613.68</v>
      </c>
      <c r="M1319" s="440"/>
      <c r="N1319" s="439"/>
      <c r="O1319" s="437"/>
      <c r="P1319" s="440"/>
      <c r="Q1319" s="442"/>
      <c r="R1319" s="443"/>
      <c r="S1319" s="364"/>
      <c r="Z1319" s="609" t="s">
        <v>540</v>
      </c>
      <c r="AA1319" s="609" t="s">
        <v>3137</v>
      </c>
    </row>
    <row r="1320" spans="1:29" ht="18.75" thickBot="1">
      <c r="A1320" s="2712"/>
      <c r="B1320" s="371"/>
      <c r="C1320" s="371" t="s">
        <v>2755</v>
      </c>
      <c r="D1320" s="2714"/>
      <c r="F1320" s="293"/>
      <c r="G1320" s="376"/>
      <c r="H1320" s="527" t="s">
        <v>3002</v>
      </c>
      <c r="I1320" s="432"/>
      <c r="J1320" s="527" t="s">
        <v>3002</v>
      </c>
      <c r="K1320" s="392"/>
      <c r="L1320" s="527" t="s">
        <v>3002</v>
      </c>
      <c r="M1320" s="425"/>
      <c r="N1320" s="426"/>
      <c r="O1320" s="427"/>
      <c r="P1320" s="425"/>
      <c r="Q1320" s="442"/>
      <c r="R1320" s="443"/>
      <c r="S1320" s="364"/>
      <c r="Z1320" s="609" t="s">
        <v>540</v>
      </c>
      <c r="AA1320" s="609" t="s">
        <v>3137</v>
      </c>
    </row>
    <row r="1321" spans="1:29" ht="18.75" thickTop="1">
      <c r="A1321" s="2712"/>
      <c r="B1321" s="371"/>
      <c r="C1321" s="371" t="s">
        <v>2565</v>
      </c>
      <c r="D1321" s="2714"/>
      <c r="F1321" s="293"/>
      <c r="G1321" s="1547" t="s">
        <v>5365</v>
      </c>
      <c r="H1321" s="1548" t="str">
        <f>G989</f>
        <v>(1)其他应收款按账龄披露</v>
      </c>
      <c r="I1321" s="1549"/>
      <c r="J1321" s="1550"/>
      <c r="K1321" s="1549"/>
      <c r="L1321" s="1550"/>
      <c r="M1321" s="1551" t="s">
        <v>5366</v>
      </c>
      <c r="N1321" s="426"/>
      <c r="O1321" s="427"/>
      <c r="P1321" s="425"/>
      <c r="Q1321" s="442"/>
      <c r="R1321" s="442"/>
      <c r="S1321" s="364"/>
      <c r="Z1321" s="609" t="s">
        <v>540</v>
      </c>
      <c r="AA1321" s="609" t="s">
        <v>3137</v>
      </c>
    </row>
    <row r="1322" spans="1:29" ht="18">
      <c r="A1322" s="2712"/>
      <c r="B1322" s="371"/>
      <c r="C1322" s="371" t="s">
        <v>2565</v>
      </c>
      <c r="D1322" s="2714"/>
      <c r="F1322" s="293"/>
      <c r="G1322" s="604" t="str">
        <f>"注释A:"&amp; ""</f>
        <v>注释A:</v>
      </c>
      <c r="H1322" s="2250">
        <f ca="1">HYPERLINK("#'"&amp;$G$1&amp;"'!"&amp;ADDRESS(ROW(Notes!I1003),COLUMN(Notes!I1003),4),I1003)</f>
        <v>7207779.0499999998</v>
      </c>
      <c r="I1322" s="351"/>
      <c r="J1322" s="2250">
        <f ca="1">HYPERLINK("#'"&amp;$G$1&amp;"'!"&amp;ADDRESS(ROW(Notes!I1004),COLUMN(Notes!I1004),4),I1004)</f>
        <v>6096165.3700000001</v>
      </c>
      <c r="K1322" s="351"/>
      <c r="L1322" s="2250">
        <f ca="1">HYPERLINK("#'"&amp;$G$1&amp;"'!"&amp;ADDRESS(ROW(Notes!I1005),COLUMN(Notes!I1005),4),I1005)</f>
        <v>1111613.68</v>
      </c>
      <c r="M1322" s="2249" t="str">
        <f>H989</f>
        <v>1221j</v>
      </c>
      <c r="N1322" s="426"/>
      <c r="O1322" s="427"/>
      <c r="P1322" s="425"/>
      <c r="Q1322" s="442"/>
      <c r="R1322" s="442"/>
      <c r="S1322" s="364"/>
      <c r="Z1322" s="609" t="s">
        <v>540</v>
      </c>
      <c r="AA1322" s="609" t="s">
        <v>3137</v>
      </c>
    </row>
    <row r="1323" spans="1:29" ht="18">
      <c r="A1323" s="2712"/>
      <c r="B1323" s="371"/>
      <c r="C1323" s="371" t="s">
        <v>2565</v>
      </c>
      <c r="D1323" s="2714"/>
      <c r="F1323" s="293"/>
      <c r="G1323" s="604" t="str">
        <f>"本注释B:"&amp; G1319</f>
        <v>本注释B:合       计</v>
      </c>
      <c r="H1323" s="456">
        <f>H1319</f>
        <v>7207779.0499999998</v>
      </c>
      <c r="I1323" s="351"/>
      <c r="J1323" s="456">
        <f>J1319</f>
        <v>6096165.3700000001</v>
      </c>
      <c r="K1323" s="351"/>
      <c r="L1323" s="456">
        <f>L1319</f>
        <v>1111613.68</v>
      </c>
      <c r="M1323" s="1542" t="s">
        <v>558</v>
      </c>
      <c r="N1323" s="426"/>
      <c r="O1323" s="427"/>
      <c r="P1323" s="425"/>
      <c r="Q1323" s="442"/>
      <c r="R1323" s="442"/>
      <c r="S1323" s="364"/>
      <c r="Z1323" s="609" t="s">
        <v>540</v>
      </c>
      <c r="AA1323" s="609" t="s">
        <v>3137</v>
      </c>
    </row>
    <row r="1324" spans="1:29" ht="18.75" thickBot="1">
      <c r="A1324" s="2712"/>
      <c r="B1324" s="371"/>
      <c r="C1324" s="371" t="s">
        <v>2565</v>
      </c>
      <c r="D1324" s="2714"/>
      <c r="F1324" s="293"/>
      <c r="G1324" s="1552" t="s">
        <v>2757</v>
      </c>
      <c r="H1324" s="1529">
        <f ca="1">IF(AND(H1322="",H1323=""),"",ROUND(H1322-H1323,2))</f>
        <v>0</v>
      </c>
      <c r="I1324" s="1553"/>
      <c r="J1324" s="1529">
        <f ca="1">IF(AND(J1322="",J1323=""),"",ROUND(J1322-J1323,2))</f>
        <v>0</v>
      </c>
      <c r="K1324" s="1553"/>
      <c r="L1324" s="1529">
        <f ca="1">IF(AND(L1322="",L1323=""),"",ROUND(L1322-L1323,2))</f>
        <v>0</v>
      </c>
      <c r="M1324" s="1554"/>
      <c r="N1324" s="426"/>
      <c r="O1324" s="427"/>
      <c r="P1324" s="425"/>
      <c r="Q1324" s="442"/>
      <c r="R1324" s="442"/>
      <c r="S1324" s="364"/>
      <c r="Z1324" s="609" t="s">
        <v>540</v>
      </c>
      <c r="AA1324" s="609" t="s">
        <v>3137</v>
      </c>
    </row>
    <row r="1325" spans="1:29" ht="18.75" thickTop="1">
      <c r="A1325" s="2712"/>
      <c r="B1325" s="371"/>
      <c r="C1325" s="371" t="s">
        <v>2565</v>
      </c>
      <c r="D1325" s="2714"/>
      <c r="F1325" s="293"/>
      <c r="G1325" s="1543"/>
      <c r="H1325" s="459" t="str">
        <f ca="1">IF(OR(H1324=0,H1324=""),"√","？")</f>
        <v>√</v>
      </c>
      <c r="I1325" s="317"/>
      <c r="J1325" s="459" t="str">
        <f ca="1">IF(OR(J1324=0,J1324=""),"√","？")</f>
        <v>√</v>
      </c>
      <c r="K1325" s="317"/>
      <c r="L1325" s="459" t="str">
        <f ca="1">IF(OR(L1324=0,L1324=""),"√","？")</f>
        <v>√</v>
      </c>
      <c r="M1325" s="1545"/>
      <c r="N1325" s="426"/>
      <c r="O1325" s="427"/>
      <c r="P1325" s="425"/>
      <c r="Q1325" s="442"/>
      <c r="R1325" s="442"/>
      <c r="S1325" s="364"/>
      <c r="Z1325" s="609" t="s">
        <v>540</v>
      </c>
      <c r="AA1325" s="609" t="s">
        <v>3137</v>
      </c>
    </row>
    <row r="1326" spans="1:29" ht="18">
      <c r="A1326" s="2712"/>
      <c r="B1326" s="371"/>
      <c r="C1326" s="371" t="s">
        <v>2565</v>
      </c>
      <c r="D1326" s="2714"/>
      <c r="F1326" s="293"/>
      <c r="G1326" s="1557" t="s">
        <v>2759</v>
      </c>
      <c r="H1326" s="461"/>
      <c r="I1326" s="317"/>
      <c r="J1326" s="461"/>
      <c r="K1326" s="352">
        <f ca="1">SUMIF($H$1325:$M$1325,"&lt;&gt;√",$H$1324:$M$1324)</f>
        <v>0</v>
      </c>
      <c r="L1326" s="353" t="str">
        <f ca="1">IF(OR(K1326=0,K1326=""),"√","？")</f>
        <v>√</v>
      </c>
      <c r="M1326" s="1545"/>
      <c r="N1326" s="426"/>
      <c r="O1326" s="427"/>
      <c r="P1326" s="425"/>
      <c r="Q1326" s="442"/>
      <c r="R1326" s="442"/>
      <c r="S1326" s="364"/>
      <c r="Z1326" s="609" t="s">
        <v>540</v>
      </c>
      <c r="AA1326" s="609" t="s">
        <v>3137</v>
      </c>
    </row>
    <row r="1327" spans="1:29" ht="18">
      <c r="A1327" s="2712"/>
      <c r="B1327" s="371"/>
      <c r="C1327" s="371" t="s">
        <v>2565</v>
      </c>
      <c r="D1327" s="2714"/>
      <c r="F1327" s="293"/>
      <c r="G1327" s="1543"/>
      <c r="H1327" s="461"/>
      <c r="I1327" s="317"/>
      <c r="J1327" s="461"/>
      <c r="K1327" s="317"/>
      <c r="L1327" s="461"/>
      <c r="M1327" s="1545"/>
      <c r="N1327" s="426"/>
      <c r="O1327" s="427"/>
      <c r="P1327" s="425"/>
      <c r="Q1327" s="442"/>
      <c r="R1327" s="442"/>
      <c r="S1327" s="364"/>
      <c r="Z1327" s="609" t="s">
        <v>540</v>
      </c>
      <c r="AA1327" s="609" t="s">
        <v>3137</v>
      </c>
    </row>
    <row r="1328" spans="1:29" ht="48">
      <c r="A1328" s="2712" t="s">
        <v>569</v>
      </c>
      <c r="B1328" s="371" t="s">
        <v>6551</v>
      </c>
      <c r="C1328" s="371"/>
      <c r="D1328" s="2714" t="str">
        <f>VLOOKUP($A1328,Sheet_NoteList,2,0)</f>
        <v>上期末按单项金额重大并单项计提坏账准备的其他应收款（已发生损失模型）</v>
      </c>
      <c r="E1328" s="2714" t="s">
        <v>2742</v>
      </c>
      <c r="F1328" s="293"/>
      <c r="G1328" s="372" t="str">
        <f>"("&amp;B1328&amp;")"&amp;D1328</f>
        <v>(3B1)上期末按单项金额重大并单项计提坏账准备的其他应收款（已发生损失模型）</v>
      </c>
      <c r="H1328" s="1515" t="str">
        <f>$A1328</f>
        <v>1221v</v>
      </c>
      <c r="I1328" s="343" t="s">
        <v>2743</v>
      </c>
      <c r="J1328" s="301"/>
      <c r="K1328" s="391"/>
      <c r="L1328" s="349"/>
      <c r="M1328" s="301" t="s">
        <v>2745</v>
      </c>
      <c r="N1328" s="2208">
        <f>H1341</f>
        <v>0</v>
      </c>
      <c r="O1328" s="349"/>
      <c r="P1328" s="301"/>
      <c r="S1328" s="364"/>
      <c r="Z1328" s="609" t="s">
        <v>540</v>
      </c>
      <c r="AA1328" s="609" t="s">
        <v>3137</v>
      </c>
    </row>
    <row r="1329" spans="1:27" ht="0.75" customHeight="1">
      <c r="A1329" s="2712"/>
      <c r="B1329" s="371"/>
      <c r="C1329" s="371"/>
      <c r="D1329" s="2714"/>
      <c r="E1329" s="586"/>
      <c r="F1329" s="586"/>
      <c r="G1329" s="2222" t="s">
        <v>3158</v>
      </c>
      <c r="H1329" s="371" t="s">
        <v>2747</v>
      </c>
      <c r="I1329" s="371" t="s">
        <v>2748</v>
      </c>
      <c r="J1329" s="547" t="s">
        <v>2957</v>
      </c>
      <c r="K1329" s="547" t="s">
        <v>2898</v>
      </c>
      <c r="L1329" s="428"/>
      <c r="M1329" s="433"/>
      <c r="N1329" s="428"/>
      <c r="O1329" s="428"/>
      <c r="P1329" s="433"/>
      <c r="Q1329" s="442"/>
      <c r="R1329" s="443"/>
      <c r="S1329" s="364"/>
      <c r="Z1329" s="609" t="s">
        <v>540</v>
      </c>
      <c r="AA1329" s="609" t="s">
        <v>3137</v>
      </c>
    </row>
    <row r="1330" spans="1:27" ht="0.75" customHeight="1" thickBot="1">
      <c r="A1330" s="2712"/>
      <c r="B1330" s="371"/>
      <c r="C1330" s="371"/>
      <c r="D1330" s="2714"/>
      <c r="E1330" s="586"/>
      <c r="F1330" s="586"/>
      <c r="G1330" s="2222"/>
      <c r="H1330" s="371" t="s">
        <v>3159</v>
      </c>
      <c r="I1330" s="371" t="s">
        <v>2859</v>
      </c>
      <c r="J1330" s="371" t="s">
        <v>3160</v>
      </c>
      <c r="K1330" s="547" t="s">
        <v>2999</v>
      </c>
      <c r="L1330" s="428"/>
      <c r="M1330" s="433"/>
      <c r="N1330" s="428"/>
      <c r="O1330" s="428"/>
      <c r="P1330" s="433"/>
      <c r="Q1330" s="442"/>
      <c r="R1330" s="443"/>
      <c r="S1330" s="364"/>
      <c r="Z1330" s="609" t="s">
        <v>540</v>
      </c>
      <c r="AA1330" s="609" t="s">
        <v>3137</v>
      </c>
    </row>
    <row r="1331" spans="1:27" ht="18" customHeight="1">
      <c r="A1331" s="2712"/>
      <c r="B1331" s="371"/>
      <c r="C1331" s="371"/>
      <c r="D1331" s="2714"/>
      <c r="E1331" s="586" t="s">
        <v>2749</v>
      </c>
      <c r="F1331" s="414"/>
      <c r="G1331" s="3462" t="s">
        <v>3161</v>
      </c>
      <c r="H1331" s="3470" t="str">
        <f>$V$3</f>
        <v>2018年12月31日</v>
      </c>
      <c r="I1331" s="3471"/>
      <c r="J1331" s="3471"/>
      <c r="K1331" s="3471"/>
      <c r="L1331" s="355" t="s">
        <v>5271</v>
      </c>
      <c r="M1331" s="435"/>
      <c r="N1331" s="434"/>
      <c r="O1331" s="434"/>
      <c r="P1331" s="435"/>
      <c r="Q1331" s="442"/>
      <c r="R1331" s="443"/>
      <c r="S1331" s="364"/>
      <c r="Z1331" s="609" t="s">
        <v>540</v>
      </c>
      <c r="AA1331" s="609" t="s">
        <v>3137</v>
      </c>
    </row>
    <row r="1332" spans="1:27" ht="18">
      <c r="A1332" s="2712"/>
      <c r="B1332" s="371"/>
      <c r="C1332" s="371"/>
      <c r="D1332" s="2714"/>
      <c r="E1332" s="586" t="s">
        <v>2749</v>
      </c>
      <c r="F1332" s="414"/>
      <c r="G1332" s="3463"/>
      <c r="H1332" s="2292" t="s">
        <v>2861</v>
      </c>
      <c r="I1332" s="2292" t="s">
        <v>2862</v>
      </c>
      <c r="J1332" s="2237" t="s">
        <v>2889</v>
      </c>
      <c r="K1332" s="2278" t="s">
        <v>2899</v>
      </c>
      <c r="L1332" s="526"/>
      <c r="M1332" s="435"/>
      <c r="N1332" s="434"/>
      <c r="O1332" s="434"/>
      <c r="P1332" s="435"/>
      <c r="Q1332" s="442"/>
      <c r="R1332" s="443"/>
      <c r="S1332" s="364"/>
      <c r="Z1332" s="609" t="s">
        <v>540</v>
      </c>
      <c r="AA1332" s="609" t="s">
        <v>3137</v>
      </c>
    </row>
    <row r="1333" spans="1:27" ht="18">
      <c r="A1333" s="2712"/>
      <c r="B1333" s="371">
        <v>101</v>
      </c>
      <c r="C1333" s="371" t="s">
        <v>2791</v>
      </c>
      <c r="D1333" s="2714">
        <f t="shared" ref="D1333:D1341" si="117">IF(OR(G1333="*",G1333="",G1333=0),0,COUNTIF($G$1333:$G$1341,G1333))</f>
        <v>0</v>
      </c>
      <c r="E1333" s="2719">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8">
      <c r="A1334" s="2712"/>
      <c r="B1334" s="371">
        <v>102</v>
      </c>
      <c r="C1334" s="371" t="s">
        <v>2791</v>
      </c>
      <c r="D1334" s="2714">
        <f t="shared" si="117"/>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2"/>
      <c r="B1335" s="371">
        <v>103</v>
      </c>
      <c r="C1335" s="371" t="s">
        <v>2791</v>
      </c>
      <c r="D1335" s="2714">
        <f t="shared" si="117"/>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2"/>
      <c r="B1336" s="371">
        <v>104</v>
      </c>
      <c r="C1336" s="371" t="s">
        <v>2791</v>
      </c>
      <c r="D1336" s="2714">
        <f t="shared" si="117"/>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2"/>
      <c r="B1337" s="371">
        <v>105</v>
      </c>
      <c r="C1337" s="371" t="s">
        <v>2791</v>
      </c>
      <c r="D1337" s="2714">
        <f t="shared" si="117"/>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106</v>
      </c>
      <c r="C1338" s="371" t="s">
        <v>2791</v>
      </c>
      <c r="D1338" s="2714">
        <f t="shared" si="117"/>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
      <c r="A1339" s="2712"/>
      <c r="B1339" s="371">
        <v>107</v>
      </c>
      <c r="C1339" s="371" t="s">
        <v>2791</v>
      </c>
      <c r="D1339" s="2714">
        <f t="shared" si="117"/>
        <v>0</v>
      </c>
      <c r="E1339" s="2719">
        <v>1</v>
      </c>
      <c r="F1339" s="293"/>
      <c r="G1339" s="2282" t="s">
        <v>2792</v>
      </c>
      <c r="H1339" s="2273"/>
      <c r="I1339" s="2273"/>
      <c r="J1339" s="2296"/>
      <c r="K1339" s="2274"/>
      <c r="L1339" s="437"/>
      <c r="M1339" s="438"/>
      <c r="N1339" s="439"/>
      <c r="O1339" s="437"/>
      <c r="P1339" s="438"/>
      <c r="Q1339" s="442"/>
      <c r="R1339" s="443"/>
      <c r="S1339" s="364"/>
      <c r="Z1339" s="609" t="s">
        <v>540</v>
      </c>
      <c r="AA1339" s="609" t="s">
        <v>3137</v>
      </c>
    </row>
    <row r="1340" spans="1:27" ht="18">
      <c r="A1340" s="2712"/>
      <c r="B1340" s="371">
        <v>108</v>
      </c>
      <c r="C1340" s="371" t="s">
        <v>2791</v>
      </c>
      <c r="D1340" s="2714">
        <f t="shared" si="117"/>
        <v>0</v>
      </c>
      <c r="E1340" s="2719">
        <v>1</v>
      </c>
      <c r="F1340" s="293"/>
      <c r="G1340" s="2282" t="s">
        <v>2792</v>
      </c>
      <c r="H1340" s="2273"/>
      <c r="I1340" s="2273"/>
      <c r="J1340" s="2296"/>
      <c r="K1340" s="2274"/>
      <c r="L1340" s="437"/>
      <c r="M1340" s="438"/>
      <c r="N1340" s="439"/>
      <c r="O1340" s="437"/>
      <c r="P1340" s="438"/>
      <c r="Q1340" s="442"/>
      <c r="R1340" s="443"/>
      <c r="S1340" s="364"/>
      <c r="Z1340" s="609" t="s">
        <v>540</v>
      </c>
      <c r="AA1340" s="609" t="s">
        <v>3137</v>
      </c>
    </row>
    <row r="1341" spans="1:27" ht="18.75" thickBot="1">
      <c r="A1341" s="2712"/>
      <c r="B1341" s="371"/>
      <c r="C1341" s="371"/>
      <c r="D1341" s="2714">
        <f t="shared" si="117"/>
        <v>1</v>
      </c>
      <c r="E1341" s="2719" t="s">
        <v>2751</v>
      </c>
      <c r="F1341" s="293"/>
      <c r="G1341" s="2232" t="s">
        <v>2752</v>
      </c>
      <c r="H1341" s="2233">
        <f>SUMPRODUCT($E1332:$E1340,H1332:H1340)</f>
        <v>0</v>
      </c>
      <c r="I1341" s="2233">
        <f>SUMPRODUCT($E1332:$E1340,I1332:I1340)</f>
        <v>0</v>
      </c>
      <c r="J1341" s="2240"/>
      <c r="K1341" s="2242"/>
      <c r="L1341" s="437"/>
      <c r="M1341" s="440"/>
      <c r="N1341" s="439"/>
      <c r="O1341" s="437"/>
      <c r="P1341" s="440"/>
      <c r="Q1341" s="442"/>
      <c r="R1341" s="443"/>
      <c r="S1341" s="364"/>
      <c r="Z1341" s="609" t="s">
        <v>540</v>
      </c>
      <c r="AA1341" s="609" t="s">
        <v>3137</v>
      </c>
    </row>
    <row r="1342" spans="1:27" ht="18.75" thickBot="1">
      <c r="A1342" s="2712"/>
      <c r="B1342" s="371"/>
      <c r="C1342" s="371" t="s">
        <v>2755</v>
      </c>
      <c r="D1342" s="2714"/>
      <c r="F1342" s="293"/>
      <c r="G1342" s="376"/>
      <c r="H1342" s="527" t="s">
        <v>3002</v>
      </c>
      <c r="I1342" s="2251" t="s">
        <v>3002</v>
      </c>
      <c r="J1342" s="393"/>
      <c r="K1342" s="392"/>
      <c r="L1342" s="427"/>
      <c r="M1342" s="425"/>
      <c r="N1342" s="426"/>
      <c r="O1342" s="427"/>
      <c r="P1342" s="425"/>
      <c r="Q1342" s="442"/>
      <c r="R1342" s="443"/>
      <c r="S1342" s="364"/>
      <c r="Z1342" s="609" t="s">
        <v>540</v>
      </c>
      <c r="AA1342" s="609" t="s">
        <v>3137</v>
      </c>
    </row>
    <row r="1343" spans="1:27" ht="18.75" thickTop="1">
      <c r="A1343" s="2712"/>
      <c r="B1343" s="371"/>
      <c r="C1343" s="371" t="s">
        <v>2565</v>
      </c>
      <c r="D1343" s="2714"/>
      <c r="F1343" s="293"/>
      <c r="G1343" s="1547" t="s">
        <v>5365</v>
      </c>
      <c r="H1343" s="1548" t="str">
        <f>G1309</f>
        <v>(3B)其他应收款按坏账计提方法分类披露（已发生损失模型）</v>
      </c>
      <c r="I1343" s="1550"/>
      <c r="J1343" s="1549"/>
      <c r="K1343" s="1549"/>
      <c r="L1343" s="1551" t="s">
        <v>5366</v>
      </c>
      <c r="M1343" s="425"/>
      <c r="N1343" s="426"/>
      <c r="O1343" s="427"/>
      <c r="P1343" s="425"/>
      <c r="Q1343" s="442"/>
      <c r="R1343" s="442"/>
      <c r="S1343" s="364"/>
      <c r="Z1343" s="609" t="s">
        <v>540</v>
      </c>
      <c r="AA1343" s="609" t="s">
        <v>3137</v>
      </c>
    </row>
    <row r="1344" spans="1:27" ht="24">
      <c r="A1344" s="2712"/>
      <c r="B1344" s="371"/>
      <c r="C1344" s="371" t="s">
        <v>2565</v>
      </c>
      <c r="D1344" s="2714"/>
      <c r="F1344" s="293"/>
      <c r="G1344" s="604" t="str">
        <f>"注释A:"&amp; G1314</f>
        <v>注释A:单项金额重大并单独计提坏账准备的其他应收款</v>
      </c>
      <c r="H1344" s="2250">
        <f ca="1">HYPERLINK("#'"&amp;$G$1&amp;"'!"&amp;ADDRESS(ROW(Notes!H1314),COLUMN(Notes!H1314),4),H1314)</f>
        <v>1591326.44</v>
      </c>
      <c r="I1344" s="2250">
        <f ca="1">HYPERLINK("#'"&amp;$G$1&amp;"'!"&amp;ADDRESS(ROW(Notes!J1314),COLUMN(Notes!J1314),4),J1314)</f>
        <v>1591326.44</v>
      </c>
      <c r="J1344" s="351"/>
      <c r="K1344" s="351"/>
      <c r="L1344" s="2634" t="str">
        <f>H1309</f>
        <v>1221t</v>
      </c>
      <c r="M1344" s="425"/>
      <c r="N1344" s="426"/>
      <c r="O1344" s="427"/>
      <c r="P1344" s="425"/>
      <c r="Q1344" s="442"/>
      <c r="R1344" s="442"/>
      <c r="S1344" s="364"/>
      <c r="Z1344" s="609" t="s">
        <v>540</v>
      </c>
      <c r="AA1344" s="609" t="s">
        <v>3137</v>
      </c>
    </row>
    <row r="1345" spans="1:27" ht="18">
      <c r="A1345" s="2712"/>
      <c r="B1345" s="371"/>
      <c r="C1345" s="371" t="s">
        <v>2565</v>
      </c>
      <c r="D1345" s="2714"/>
      <c r="F1345" s="293"/>
      <c r="G1345" s="604" t="str">
        <f>"本注释B:"&amp; G1341</f>
        <v>本注释B:合       计</v>
      </c>
      <c r="H1345" s="456">
        <f>H1341</f>
        <v>0</v>
      </c>
      <c r="I1345" s="456">
        <f>I1341</f>
        <v>0</v>
      </c>
      <c r="J1345" s="351"/>
      <c r="K1345" s="351"/>
      <c r="L1345" s="2637" t="s">
        <v>569</v>
      </c>
      <c r="M1345" s="425"/>
      <c r="N1345" s="426"/>
      <c r="O1345" s="427"/>
      <c r="P1345" s="425"/>
      <c r="Q1345" s="442"/>
      <c r="R1345" s="442"/>
      <c r="S1345" s="364"/>
      <c r="Z1345" s="609" t="s">
        <v>540</v>
      </c>
      <c r="AA1345" s="609" t="s">
        <v>3137</v>
      </c>
    </row>
    <row r="1346" spans="1:27" ht="18.75" thickBot="1">
      <c r="A1346" s="2712"/>
      <c r="B1346" s="371"/>
      <c r="C1346" s="371" t="s">
        <v>2565</v>
      </c>
      <c r="D1346" s="2714"/>
      <c r="F1346" s="293"/>
      <c r="G1346" s="1552" t="s">
        <v>2757</v>
      </c>
      <c r="H1346" s="1529">
        <f ca="1">IF(AND(H1344="",H1345=""),"",ROUND(H1344-H1345,2))</f>
        <v>1591326.44</v>
      </c>
      <c r="I1346" s="1529">
        <f ca="1">IF(AND(I1344="",I1345=""),"",ROUND(I1344-I1345,2))</f>
        <v>1591326.44</v>
      </c>
      <c r="J1346" s="1553"/>
      <c r="K1346" s="1553"/>
      <c r="L1346" s="1554"/>
      <c r="M1346" s="425"/>
      <c r="N1346" s="426"/>
      <c r="O1346" s="427"/>
      <c r="P1346" s="425"/>
      <c r="Q1346" s="442"/>
      <c r="R1346" s="442"/>
      <c r="S1346" s="364"/>
      <c r="Z1346" s="609" t="s">
        <v>540</v>
      </c>
      <c r="AA1346" s="609" t="s">
        <v>3137</v>
      </c>
    </row>
    <row r="1347" spans="1:27" ht="18.75" thickTop="1">
      <c r="A1347" s="2712"/>
      <c r="B1347" s="371"/>
      <c r="C1347" s="371" t="s">
        <v>2565</v>
      </c>
      <c r="D1347" s="2714"/>
      <c r="F1347" s="293"/>
      <c r="G1347" s="1543"/>
      <c r="H1347" s="459" t="str">
        <f ca="1">IF(OR(H1346=0,H1346=""),"√","？")</f>
        <v>？</v>
      </c>
      <c r="I1347" s="459" t="str">
        <f ca="1">IF(OR(I1346=0,I1346=""),"√","？")</f>
        <v>？</v>
      </c>
      <c r="J1347" s="317"/>
      <c r="K1347" s="317"/>
      <c r="L1347" s="1545"/>
      <c r="M1347" s="425"/>
      <c r="N1347" s="426"/>
      <c r="O1347" s="427"/>
      <c r="P1347" s="425"/>
      <c r="Q1347" s="442"/>
      <c r="R1347" s="442"/>
      <c r="S1347" s="364"/>
      <c r="Z1347" s="609" t="s">
        <v>540</v>
      </c>
      <c r="AA1347" s="609" t="s">
        <v>3137</v>
      </c>
    </row>
    <row r="1348" spans="1:27" ht="18">
      <c r="A1348" s="2712"/>
      <c r="B1348" s="371"/>
      <c r="C1348" s="371" t="s">
        <v>2565</v>
      </c>
      <c r="D1348" s="2714"/>
      <c r="F1348" s="293"/>
      <c r="G1348" s="1557" t="s">
        <v>2759</v>
      </c>
      <c r="H1348" s="461"/>
      <c r="I1348" s="461"/>
      <c r="J1348" s="317"/>
      <c r="K1348" s="352">
        <f ca="1">SUMIF($H$1347:$L$1347,"&lt;&gt;√",$H$1346:$L$1346)</f>
        <v>3182652.88</v>
      </c>
      <c r="L1348" s="2252" t="str">
        <f ca="1">IF(OR(K1348=0,K1348=""),"√","？")</f>
        <v>？</v>
      </c>
      <c r="M1348" s="425"/>
      <c r="N1348" s="426"/>
      <c r="O1348" s="427"/>
      <c r="P1348" s="425"/>
      <c r="Q1348" s="442"/>
      <c r="R1348" s="442"/>
      <c r="S1348" s="364"/>
      <c r="Z1348" s="609" t="s">
        <v>540</v>
      </c>
      <c r="AA1348" s="609" t="s">
        <v>3137</v>
      </c>
    </row>
    <row r="1349" spans="1:27" ht="18">
      <c r="A1349" s="2712"/>
      <c r="B1349" s="371"/>
      <c r="C1349" s="371" t="s">
        <v>2565</v>
      </c>
      <c r="D1349" s="2714"/>
      <c r="F1349" s="293"/>
      <c r="G1349" s="1543"/>
      <c r="H1349" s="461"/>
      <c r="I1349" s="461"/>
      <c r="J1349" s="317"/>
      <c r="K1349" s="317"/>
      <c r="L1349" s="1545"/>
      <c r="M1349" s="425"/>
      <c r="N1349" s="426"/>
      <c r="O1349" s="427"/>
      <c r="P1349" s="425"/>
      <c r="Q1349" s="442"/>
      <c r="R1349" s="442"/>
      <c r="S1349" s="364"/>
      <c r="Z1349" s="609" t="s">
        <v>540</v>
      </c>
      <c r="AA1349" s="609" t="s">
        <v>3137</v>
      </c>
    </row>
    <row r="1350" spans="1:27" ht="36">
      <c r="A1350" s="2712" t="s">
        <v>575</v>
      </c>
      <c r="B1350" s="2715" t="s">
        <v>6552</v>
      </c>
      <c r="C1350" s="371"/>
      <c r="D1350" s="2714" t="str">
        <f>VLOOKUP($A1350,Sheet_NoteList,2,0)</f>
        <v>上期末组合中按账龄分析法计提坏账准备的其他应收款（已发生损失模型）</v>
      </c>
      <c r="E1350" s="2714" t="s">
        <v>2742</v>
      </c>
      <c r="F1350" s="293"/>
      <c r="G1350" s="372" t="str">
        <f>"("&amp;B1350&amp;")"&amp;D1350</f>
        <v>(3B2)上期末组合中按账龄分析法计提坏账准备的其他应收款（已发生损失模型）</v>
      </c>
      <c r="H1350" s="1515" t="str">
        <f>$A1350</f>
        <v>1221w</v>
      </c>
      <c r="I1350" s="343" t="s">
        <v>2743</v>
      </c>
      <c r="J1350" s="301"/>
      <c r="K1350" s="391"/>
      <c r="L1350" s="349"/>
      <c r="M1350" s="301" t="s">
        <v>2745</v>
      </c>
      <c r="N1350" s="2208">
        <f>I1365</f>
        <v>2854138.93</v>
      </c>
      <c r="O1350" s="349"/>
      <c r="P1350" s="301"/>
      <c r="S1350" s="364"/>
      <c r="Z1350" s="609" t="s">
        <v>540</v>
      </c>
      <c r="AA1350" s="609" t="s">
        <v>3137</v>
      </c>
    </row>
    <row r="1351" spans="1:27" ht="0.75" customHeight="1">
      <c r="A1351" s="2712"/>
      <c r="B1351" s="371"/>
      <c r="C1351" s="371"/>
      <c r="D1351" s="2714"/>
      <c r="E1351" s="586"/>
      <c r="F1351" s="586"/>
      <c r="G1351" s="2222" t="s">
        <v>3162</v>
      </c>
      <c r="H1351" s="371" t="s">
        <v>5407</v>
      </c>
      <c r="I1351" s="371" t="s">
        <v>5408</v>
      </c>
      <c r="J1351" s="547" t="s">
        <v>5409</v>
      </c>
      <c r="K1351" s="428"/>
      <c r="L1351" s="428"/>
      <c r="M1351" s="433"/>
      <c r="N1351" s="428"/>
      <c r="O1351" s="428"/>
      <c r="P1351" s="433"/>
      <c r="Q1351" s="442"/>
      <c r="R1351" s="443"/>
      <c r="S1351" s="364"/>
      <c r="Z1351" s="609" t="s">
        <v>540</v>
      </c>
      <c r="AA1351" s="609" t="s">
        <v>3137</v>
      </c>
    </row>
    <row r="1352" spans="1:27" ht="0.75" customHeight="1" thickBot="1">
      <c r="A1352" s="2712"/>
      <c r="B1352" s="371"/>
      <c r="C1352" s="371"/>
      <c r="D1352" s="2714"/>
      <c r="E1352" s="586"/>
      <c r="F1352" s="586"/>
      <c r="G1352" s="2222"/>
      <c r="H1352" s="371" t="s">
        <v>5410</v>
      </c>
      <c r="I1352" s="371" t="s">
        <v>5411</v>
      </c>
      <c r="J1352" s="371" t="s">
        <v>5412</v>
      </c>
      <c r="K1352" s="428"/>
      <c r="L1352" s="428"/>
      <c r="M1352" s="433"/>
      <c r="N1352" s="428"/>
      <c r="O1352" s="428"/>
      <c r="P1352" s="433"/>
      <c r="Q1352" s="442"/>
      <c r="R1352" s="443"/>
      <c r="S1352" s="364"/>
      <c r="Z1352" s="609" t="s">
        <v>540</v>
      </c>
      <c r="AA1352" s="609" t="s">
        <v>3137</v>
      </c>
    </row>
    <row r="1353" spans="1:27" ht="18" customHeight="1">
      <c r="A1353" s="2712"/>
      <c r="B1353" s="371"/>
      <c r="C1353" s="371"/>
      <c r="D1353" s="2714"/>
      <c r="E1353" s="586" t="s">
        <v>2749</v>
      </c>
      <c r="F1353" s="414"/>
      <c r="G1353" s="3462" t="s">
        <v>6006</v>
      </c>
      <c r="H1353" s="3470" t="str">
        <f>$V$3</f>
        <v>2018年12月31日</v>
      </c>
      <c r="I1353" s="3471"/>
      <c r="J1353" s="3471"/>
      <c r="K1353" s="355" t="s">
        <v>5271</v>
      </c>
      <c r="L1353" s="428"/>
      <c r="M1353" s="433"/>
      <c r="N1353" s="428"/>
      <c r="O1353" s="428"/>
      <c r="P1353" s="433"/>
      <c r="Q1353" s="442"/>
      <c r="R1353" s="443"/>
      <c r="S1353" s="364"/>
      <c r="Z1353" s="609" t="s">
        <v>540</v>
      </c>
      <c r="AA1353" s="609" t="s">
        <v>3137</v>
      </c>
    </row>
    <row r="1354" spans="1:27" ht="18">
      <c r="A1354" s="2712"/>
      <c r="B1354" s="371"/>
      <c r="C1354" s="371"/>
      <c r="D1354" s="2714"/>
      <c r="E1354" s="586" t="s">
        <v>2749</v>
      </c>
      <c r="F1354" s="414"/>
      <c r="G1354" s="3463"/>
      <c r="H1354" s="2292" t="s">
        <v>2861</v>
      </c>
      <c r="I1354" s="2292" t="s">
        <v>2862</v>
      </c>
      <c r="J1354" s="2312" t="s">
        <v>3163</v>
      </c>
      <c r="K1354" s="434"/>
      <c r="L1354" s="434"/>
      <c r="M1354" s="435"/>
      <c r="N1354" s="434"/>
      <c r="O1354" s="434"/>
      <c r="P1354" s="435"/>
      <c r="Q1354" s="442"/>
      <c r="R1354" s="443"/>
      <c r="S1354" s="364"/>
      <c r="Z1354" s="609" t="s">
        <v>540</v>
      </c>
      <c r="AA1354" s="609" t="s">
        <v>3137</v>
      </c>
    </row>
    <row r="1355" spans="1:27" ht="18">
      <c r="A1355" s="2712"/>
      <c r="B1355" s="371">
        <v>101</v>
      </c>
      <c r="C1355" s="371"/>
      <c r="D1355" s="2714">
        <f t="shared" ref="D1355:D1365" si="118">IF(OR(G1355="*",G1355="",G1355=0),0,COUNTIF($G$1355:$G$1365,G1355))</f>
        <v>1</v>
      </c>
      <c r="E1355" s="2719" t="s">
        <v>6532</v>
      </c>
      <c r="F1355" s="293"/>
      <c r="G1355" s="1472" t="s">
        <v>2938</v>
      </c>
      <c r="H1355" s="2273"/>
      <c r="I1355" s="2273"/>
      <c r="J1355" s="2274"/>
      <c r="K1355" s="439"/>
      <c r="L1355" s="437"/>
      <c r="M1355" s="438"/>
      <c r="N1355" s="439"/>
      <c r="O1355" s="437"/>
      <c r="P1355" s="438"/>
      <c r="Q1355" s="442"/>
      <c r="R1355" s="443"/>
      <c r="S1355" s="364"/>
      <c r="Z1355" s="609" t="s">
        <v>540</v>
      </c>
      <c r="AA1355" s="609" t="s">
        <v>3137</v>
      </c>
    </row>
    <row r="1356" spans="1:27" ht="18">
      <c r="A1356" s="2712"/>
      <c r="B1356" s="371">
        <v>101.001</v>
      </c>
      <c r="C1356" s="371" t="s">
        <v>2791</v>
      </c>
      <c r="D1356" s="2714">
        <f t="shared" si="118"/>
        <v>1</v>
      </c>
      <c r="E1356" s="2719" t="s">
        <v>2937</v>
      </c>
      <c r="F1356" s="293"/>
      <c r="G1356" s="2282" t="s">
        <v>5130</v>
      </c>
      <c r="H1356" s="2273">
        <v>159128.76999999999</v>
      </c>
      <c r="I1356" s="2273">
        <v>7956.44</v>
      </c>
      <c r="J1356" s="2274"/>
      <c r="K1356" s="355" t="s">
        <v>5131</v>
      </c>
      <c r="L1356" s="437"/>
      <c r="M1356" s="438"/>
      <c r="N1356" s="439"/>
      <c r="O1356" s="437"/>
      <c r="P1356" s="438"/>
      <c r="Q1356" s="442"/>
      <c r="R1356" s="443"/>
      <c r="S1356" s="364"/>
      <c r="Z1356" s="609" t="s">
        <v>540</v>
      </c>
      <c r="AA1356" s="609" t="s">
        <v>3137</v>
      </c>
    </row>
    <row r="1357" spans="1:27" ht="18">
      <c r="A1357" s="2712"/>
      <c r="B1357" s="371">
        <v>101.002</v>
      </c>
      <c r="C1357" s="371" t="s">
        <v>2791</v>
      </c>
      <c r="D1357" s="2714">
        <f t="shared" si="118"/>
        <v>0</v>
      </c>
      <c r="E1357" s="2719" t="s">
        <v>2937</v>
      </c>
      <c r="F1357" s="293"/>
      <c r="G1357" s="2282" t="s">
        <v>2792</v>
      </c>
      <c r="H1357" s="2273"/>
      <c r="I1357" s="2273"/>
      <c r="J1357" s="2274"/>
      <c r="K1357" s="439"/>
      <c r="L1357" s="437"/>
      <c r="M1357" s="438"/>
      <c r="N1357" s="439"/>
      <c r="O1357" s="437"/>
      <c r="P1357" s="438"/>
      <c r="Q1357" s="442"/>
      <c r="R1357" s="443"/>
      <c r="S1357" s="364"/>
      <c r="Z1357" s="609" t="s">
        <v>540</v>
      </c>
      <c r="AA1357" s="609" t="s">
        <v>3137</v>
      </c>
    </row>
    <row r="1358" spans="1:27" ht="18">
      <c r="A1358" s="2712"/>
      <c r="B1358" s="371">
        <v>101.999</v>
      </c>
      <c r="C1358" s="371" t="s">
        <v>2793</v>
      </c>
      <c r="D1358" s="2714">
        <f t="shared" si="118"/>
        <v>1</v>
      </c>
      <c r="E1358" s="2719">
        <v>1</v>
      </c>
      <c r="F1358" s="293"/>
      <c r="G1358" s="1472" t="s">
        <v>2937</v>
      </c>
      <c r="H1358" s="1474">
        <f>SUMIF($E$1354:$E$1363,$G1358,H$1354:H$1363)</f>
        <v>159128.76999999999</v>
      </c>
      <c r="I1358" s="1474">
        <f>SUMIF($E$1354:$E$1363,$G1358,I$1354:I$1363)</f>
        <v>7956.44</v>
      </c>
      <c r="J1358" s="2274"/>
      <c r="K1358" s="439"/>
      <c r="L1358" s="437"/>
      <c r="M1358" s="438"/>
      <c r="N1358" s="439"/>
      <c r="O1358" s="437"/>
      <c r="P1358" s="438"/>
      <c r="Q1358" s="442"/>
      <c r="R1358" s="443"/>
      <c r="S1358" s="364"/>
      <c r="Z1358" s="609" t="s">
        <v>540</v>
      </c>
      <c r="AA1358" s="609" t="s">
        <v>3137</v>
      </c>
    </row>
    <row r="1359" spans="1:27" ht="18">
      <c r="A1359" s="2712"/>
      <c r="B1359" s="371">
        <v>102</v>
      </c>
      <c r="C1359" s="371"/>
      <c r="D1359" s="2714">
        <f t="shared" si="118"/>
        <v>1</v>
      </c>
      <c r="E1359" s="2719">
        <v>1</v>
      </c>
      <c r="F1359" s="293"/>
      <c r="G1359" s="1472" t="s">
        <v>2940</v>
      </c>
      <c r="H1359" s="2273"/>
      <c r="I1359" s="2273"/>
      <c r="J1359" s="2274"/>
      <c r="K1359" s="439"/>
      <c r="L1359" s="437"/>
      <c r="M1359" s="438"/>
      <c r="N1359" s="439"/>
      <c r="O1359" s="437"/>
      <c r="P1359" s="438"/>
      <c r="Q1359" s="442"/>
      <c r="R1359" s="443"/>
      <c r="S1359" s="364"/>
      <c r="Z1359" s="609" t="s">
        <v>540</v>
      </c>
      <c r="AA1359" s="609" t="s">
        <v>3137</v>
      </c>
    </row>
    <row r="1360" spans="1:27" ht="18">
      <c r="A1360" s="2712"/>
      <c r="B1360" s="371">
        <v>103</v>
      </c>
      <c r="C1360" s="371"/>
      <c r="D1360" s="2714">
        <f t="shared" si="118"/>
        <v>1</v>
      </c>
      <c r="E1360" s="2719">
        <v>1</v>
      </c>
      <c r="F1360" s="293"/>
      <c r="G1360" s="1472" t="s">
        <v>2941</v>
      </c>
      <c r="H1360" s="2273"/>
      <c r="I1360" s="2273"/>
      <c r="J1360" s="2274"/>
      <c r="K1360" s="439"/>
      <c r="L1360" s="437"/>
      <c r="M1360" s="438"/>
      <c r="N1360" s="439"/>
      <c r="O1360" s="437"/>
      <c r="P1360" s="438"/>
      <c r="Q1360" s="442"/>
      <c r="R1360" s="443"/>
      <c r="S1360" s="364"/>
      <c r="Z1360" s="609" t="s">
        <v>540</v>
      </c>
      <c r="AA1360" s="609" t="s">
        <v>3137</v>
      </c>
    </row>
    <row r="1361" spans="1:31" ht="18">
      <c r="A1361" s="2712"/>
      <c r="B1361" s="371">
        <v>104</v>
      </c>
      <c r="C1361" s="371" t="s">
        <v>2791</v>
      </c>
      <c r="D1361" s="2714">
        <f t="shared" si="118"/>
        <v>1</v>
      </c>
      <c r="E1361" s="2719">
        <v>1</v>
      </c>
      <c r="F1361" s="293"/>
      <c r="G1361" s="2282" t="s">
        <v>2942</v>
      </c>
      <c r="H1361" s="2273">
        <v>11786</v>
      </c>
      <c r="I1361" s="2273">
        <v>5893</v>
      </c>
      <c r="J1361" s="2274"/>
      <c r="K1361" s="439"/>
      <c r="L1361" s="437"/>
      <c r="M1361" s="438"/>
      <c r="N1361" s="439"/>
      <c r="O1361" s="437"/>
      <c r="P1361" s="438"/>
      <c r="Q1361" s="442"/>
      <c r="R1361" s="443"/>
      <c r="S1361" s="364"/>
      <c r="Z1361" s="609" t="s">
        <v>540</v>
      </c>
      <c r="AA1361" s="609" t="s">
        <v>3137</v>
      </c>
    </row>
    <row r="1362" spans="1:31" ht="18">
      <c r="A1362" s="2712"/>
      <c r="B1362" s="371">
        <v>105</v>
      </c>
      <c r="C1362" s="371" t="s">
        <v>2791</v>
      </c>
      <c r="D1362" s="2714">
        <f t="shared" si="118"/>
        <v>1</v>
      </c>
      <c r="E1362" s="2719">
        <v>1</v>
      </c>
      <c r="F1362" s="293"/>
      <c r="G1362" s="2282" t="s">
        <v>2943</v>
      </c>
      <c r="H1362" s="2273"/>
      <c r="I1362" s="2273"/>
      <c r="J1362" s="2274"/>
      <c r="K1362" s="439"/>
      <c r="L1362" s="437"/>
      <c r="M1362" s="438"/>
      <c r="N1362" s="439"/>
      <c r="O1362" s="437"/>
      <c r="P1362" s="438"/>
      <c r="Q1362" s="442"/>
      <c r="R1362" s="443"/>
      <c r="S1362" s="364"/>
      <c r="Z1362" s="609" t="s">
        <v>540</v>
      </c>
      <c r="AA1362" s="609" t="s">
        <v>3137</v>
      </c>
    </row>
    <row r="1363" spans="1:31" ht="18">
      <c r="A1363" s="2712"/>
      <c r="B1363" s="371">
        <v>106</v>
      </c>
      <c r="C1363" s="371" t="s">
        <v>2791</v>
      </c>
      <c r="D1363" s="2714">
        <f t="shared" si="118"/>
        <v>1</v>
      </c>
      <c r="E1363" s="2719">
        <v>1</v>
      </c>
      <c r="F1363" s="293"/>
      <c r="G1363" s="2282" t="s">
        <v>2944</v>
      </c>
      <c r="H1363" s="2273">
        <v>2840289.49</v>
      </c>
      <c r="I1363" s="2273">
        <v>2840289.49</v>
      </c>
      <c r="J1363" s="2274"/>
      <c r="K1363" s="439"/>
      <c r="L1363" s="437"/>
      <c r="M1363" s="438"/>
      <c r="N1363" s="439"/>
      <c r="O1363" s="437"/>
      <c r="P1363" s="438"/>
      <c r="Q1363" s="442"/>
      <c r="R1363" s="443"/>
      <c r="S1363" s="364"/>
      <c r="Z1363" s="609" t="s">
        <v>540</v>
      </c>
      <c r="AA1363" s="609" t="s">
        <v>3137</v>
      </c>
    </row>
    <row r="1364" spans="1:31" ht="18">
      <c r="A1364" s="2712"/>
      <c r="B1364" s="371">
        <v>107</v>
      </c>
      <c r="C1364" s="371" t="s">
        <v>6530</v>
      </c>
      <c r="D1364" s="2714">
        <f t="shared" si="118"/>
        <v>0</v>
      </c>
      <c r="E1364" s="2719">
        <v>1</v>
      </c>
      <c r="F1364" s="293"/>
      <c r="G1364" s="2282" t="s">
        <v>2792</v>
      </c>
      <c r="H1364" s="2273"/>
      <c r="I1364" s="2273"/>
      <c r="J1364" s="2274"/>
      <c r="K1364" s="439"/>
      <c r="L1364" s="437"/>
      <c r="M1364" s="438"/>
      <c r="N1364" s="439"/>
      <c r="O1364" s="437"/>
      <c r="P1364" s="438"/>
      <c r="Q1364" s="442"/>
      <c r="R1364" s="443"/>
      <c r="S1364" s="364"/>
      <c r="Z1364" s="609" t="s">
        <v>540</v>
      </c>
      <c r="AA1364" s="609" t="s">
        <v>3137</v>
      </c>
    </row>
    <row r="1365" spans="1:31" ht="18.75" thickBot="1">
      <c r="A1365" s="2712"/>
      <c r="B1365" s="371"/>
      <c r="C1365" s="371"/>
      <c r="D1365" s="2714">
        <f t="shared" si="118"/>
        <v>1</v>
      </c>
      <c r="E1365" s="2719" t="s">
        <v>2751</v>
      </c>
      <c r="F1365" s="293"/>
      <c r="G1365" s="2232" t="s">
        <v>5139</v>
      </c>
      <c r="H1365" s="2233">
        <f>SUMPRODUCT($E1354:$E1364,H1354:H1364)</f>
        <v>3011204.26</v>
      </c>
      <c r="I1365" s="2233">
        <f>SUMPRODUCT($E1354:$E1364,I1354:I1364)</f>
        <v>2854138.93</v>
      </c>
      <c r="J1365" s="2242"/>
      <c r="K1365" s="439"/>
      <c r="L1365" s="437"/>
      <c r="M1365" s="440"/>
      <c r="N1365" s="439"/>
      <c r="O1365" s="437"/>
      <c r="P1365" s="440"/>
      <c r="Q1365" s="442"/>
      <c r="R1365" s="443"/>
      <c r="S1365" s="364"/>
      <c r="Z1365" s="609" t="s">
        <v>540</v>
      </c>
      <c r="AA1365" s="609" t="s">
        <v>3137</v>
      </c>
    </row>
    <row r="1366" spans="1:31" ht="18.75" thickBot="1">
      <c r="A1366" s="2712"/>
      <c r="B1366" s="371"/>
      <c r="C1366" s="371" t="s">
        <v>2755</v>
      </c>
      <c r="D1366" s="2714"/>
      <c r="F1366" s="293"/>
      <c r="G1366" s="376"/>
      <c r="H1366" s="315"/>
      <c r="I1366" s="396"/>
      <c r="J1366" s="393"/>
      <c r="K1366" s="426"/>
      <c r="L1366" s="427"/>
      <c r="M1366" s="425"/>
      <c r="N1366" s="426"/>
      <c r="O1366" s="427"/>
      <c r="P1366" s="425"/>
      <c r="Q1366" s="442"/>
      <c r="R1366" s="443"/>
      <c r="S1366" s="364"/>
      <c r="Z1366" s="609" t="s">
        <v>540</v>
      </c>
      <c r="AA1366" s="609" t="s">
        <v>3137</v>
      </c>
    </row>
    <row r="1367" spans="1:31" ht="18" hidden="1">
      <c r="A1367" s="2712" t="s">
        <v>619</v>
      </c>
      <c r="B1367" s="371">
        <v>1</v>
      </c>
      <c r="C1367" s="371"/>
      <c r="D1367" s="2714" t="str">
        <f>VLOOKUP($A1367,Sheet_NoteList,2,0)</f>
        <v>其他应收款按种类列示</v>
      </c>
      <c r="E1367" s="2714" t="s">
        <v>6606</v>
      </c>
      <c r="F1367" s="294"/>
      <c r="G1367" s="307" t="str">
        <f>"("&amp;B1367&amp;")"&amp;D1367</f>
        <v>(1)其他应收款按种类列示</v>
      </c>
      <c r="H1367" s="1515" t="str">
        <f>$A1367</f>
        <v>1221a</v>
      </c>
      <c r="I1367" s="343" t="s">
        <v>6609</v>
      </c>
      <c r="J1367" s="301" t="s">
        <v>6612</v>
      </c>
      <c r="K1367" s="344">
        <f>L1380</f>
        <v>0</v>
      </c>
      <c r="L1367" s="345" t="str">
        <f>IF($I1367="适用",IF(ROUND($K988-K1367,2)=0,"F/S",ROUND($K988-K1367,2)),"#N/A")</f>
        <v>#N/A</v>
      </c>
      <c r="M1367" s="301" t="s">
        <v>6613</v>
      </c>
      <c r="N1367" s="344">
        <f>N1389</f>
        <v>0</v>
      </c>
      <c r="O1367" s="315"/>
      <c r="P1367" s="301"/>
      <c r="Q1367" s="290" t="str">
        <f>IF($I1367="不适用","",IF(ROUND(SUM($H$1372:$L$1380),2)=0,"请输入",""))</f>
        <v/>
      </c>
      <c r="S1367" s="364"/>
      <c r="Z1367" s="609" t="s">
        <v>540</v>
      </c>
      <c r="AA1367" s="609" t="s">
        <v>3137</v>
      </c>
      <c r="AE1367" s="369" t="s">
        <v>2761</v>
      </c>
    </row>
    <row r="1368" spans="1:31" ht="0.75" hidden="1" customHeight="1">
      <c r="A1368" s="2712"/>
      <c r="B1368" s="371"/>
      <c r="C1368" s="371"/>
      <c r="D1368" s="371"/>
      <c r="F1368" s="304"/>
      <c r="G1368" s="304" t="s">
        <v>3140</v>
      </c>
      <c r="H1368" s="304" t="s">
        <v>2882</v>
      </c>
      <c r="I1368" s="304" t="s">
        <v>2883</v>
      </c>
      <c r="J1368" s="304" t="s">
        <v>2884</v>
      </c>
      <c r="K1368" s="304" t="s">
        <v>2885</v>
      </c>
      <c r="L1368" s="304" t="s">
        <v>2886</v>
      </c>
      <c r="M1368" s="291"/>
      <c r="N1368" s="291"/>
      <c r="O1368" s="291"/>
      <c r="P1368" s="291"/>
      <c r="S1368" s="364"/>
      <c r="Z1368" s="609" t="s">
        <v>540</v>
      </c>
      <c r="AA1368" s="609" t="s">
        <v>3137</v>
      </c>
      <c r="AE1368" s="369" t="s">
        <v>2761</v>
      </c>
    </row>
    <row r="1369" spans="1:31" ht="0.75" hidden="1" customHeight="1" thickBot="1">
      <c r="A1369" s="2712"/>
      <c r="B1369" s="371"/>
      <c r="C1369" s="371"/>
      <c r="D1369" s="371"/>
      <c r="F1369" s="304"/>
      <c r="G1369" s="304"/>
      <c r="H1369" s="304" t="s">
        <v>2968</v>
      </c>
      <c r="I1369" s="304" t="s">
        <v>2969</v>
      </c>
      <c r="J1369" s="304" t="s">
        <v>2970</v>
      </c>
      <c r="K1369" s="304" t="s">
        <v>2971</v>
      </c>
      <c r="L1369" s="304" t="s">
        <v>2972</v>
      </c>
      <c r="M1369" s="291"/>
      <c r="N1369" s="291"/>
      <c r="O1369" s="291"/>
      <c r="P1369" s="291"/>
      <c r="S1369" s="364"/>
      <c r="Z1369" s="609" t="s">
        <v>540</v>
      </c>
      <c r="AA1369" s="609" t="s">
        <v>3137</v>
      </c>
      <c r="AE1369" s="369" t="s">
        <v>2761</v>
      </c>
    </row>
    <row r="1370" spans="1:31" ht="18" hidden="1">
      <c r="A1370" s="2712"/>
      <c r="B1370" s="371"/>
      <c r="C1370" s="371"/>
      <c r="D1370" s="371"/>
      <c r="E1370" s="2714" t="s">
        <v>2749</v>
      </c>
      <c r="F1370" s="294"/>
      <c r="G1370" s="3532" t="s">
        <v>2973</v>
      </c>
      <c r="H1370" s="3591" t="s">
        <v>2775</v>
      </c>
      <c r="I1370" s="3506"/>
      <c r="J1370" s="3506"/>
      <c r="K1370" s="3506"/>
      <c r="L1370" s="3507"/>
      <c r="M1370" s="424" t="s">
        <v>5988</v>
      </c>
      <c r="N1370" s="291"/>
      <c r="O1370" s="291"/>
      <c r="P1370" s="291"/>
      <c r="S1370" s="364"/>
      <c r="Z1370" s="609" t="s">
        <v>540</v>
      </c>
      <c r="AA1370" s="609" t="s">
        <v>3137</v>
      </c>
      <c r="AE1370" s="369" t="s">
        <v>2761</v>
      </c>
    </row>
    <row r="1371" spans="1:31" ht="24.75" hidden="1">
      <c r="A1371" s="2712"/>
      <c r="B1371" s="371"/>
      <c r="C1371" s="371"/>
      <c r="D1371" s="371"/>
      <c r="E1371" s="2714" t="s">
        <v>2749</v>
      </c>
      <c r="F1371" s="294"/>
      <c r="G1371" s="3503"/>
      <c r="H1371" s="2572" t="s">
        <v>6126</v>
      </c>
      <c r="I1371" s="2573" t="s">
        <v>6123</v>
      </c>
      <c r="J1371" s="451" t="s">
        <v>2974</v>
      </c>
      <c r="K1371" s="467" t="s">
        <v>2975</v>
      </c>
      <c r="L1371" s="468" t="s">
        <v>2994</v>
      </c>
      <c r="M1371" s="291"/>
      <c r="N1371" s="291"/>
      <c r="O1371" s="291"/>
      <c r="P1371" s="291"/>
      <c r="S1371" s="364"/>
      <c r="Z1371" s="609" t="s">
        <v>540</v>
      </c>
      <c r="AA1371" s="609" t="s">
        <v>3137</v>
      </c>
      <c r="AE1371" s="369" t="s">
        <v>2761</v>
      </c>
    </row>
    <row r="1372" spans="1:31" ht="24" hidden="1">
      <c r="A1372" s="2712"/>
      <c r="B1372" s="371">
        <v>101</v>
      </c>
      <c r="C1372" s="371"/>
      <c r="D1372" s="2714">
        <f t="shared" ref="D1372:D1380" si="119">IF(OR(G1372="*",G1372="",G1372=0),0,COUNTIF($G$1372:$G$1380,G1372))</f>
        <v>1</v>
      </c>
      <c r="E1372" s="2719">
        <v>1</v>
      </c>
      <c r="F1372" s="294"/>
      <c r="G1372" s="380" t="s">
        <v>3141</v>
      </c>
      <c r="H1372" s="383"/>
      <c r="I1372" s="469" t="str">
        <f>IF(H$1380*H1372=0,"",ROUND(H1372*100/H$1380,2))</f>
        <v/>
      </c>
      <c r="J1372" s="383"/>
      <c r="K1372" s="469" t="str">
        <f>IF(H1372*J1372=0,"",ROUND(J1372*100/H1372,2))</f>
        <v/>
      </c>
      <c r="L1372" s="401">
        <f>H1372-J1372</f>
        <v>0</v>
      </c>
      <c r="M1372" s="1531" t="str">
        <f ca="1">HYPERLINK("#'"&amp;$G$1&amp;"'!"&amp;ADDRESS(ROW(Notes!H1424),COLUMN(Notes!H1424),4),"* 请勿删除此行！点击往勾稽单元格，F5+Enter返回")</f>
        <v>* 请勿删除此行！点击往勾稽单元格，F5+Enter返回</v>
      </c>
      <c r="N1372" s="291"/>
      <c r="O1372" s="291"/>
      <c r="P1372" s="291"/>
      <c r="S1372" s="364"/>
      <c r="Z1372" s="609" t="s">
        <v>540</v>
      </c>
      <c r="AA1372" s="609" t="s">
        <v>3137</v>
      </c>
      <c r="AC1372" s="369" t="s">
        <v>6571</v>
      </c>
      <c r="AE1372" s="369" t="s">
        <v>2761</v>
      </c>
    </row>
    <row r="1373" spans="1:31" ht="24" hidden="1">
      <c r="A1373" s="2712"/>
      <c r="B1373" s="371">
        <v>102</v>
      </c>
      <c r="C1373" s="371"/>
      <c r="D1373" s="2714">
        <f t="shared" si="119"/>
        <v>1</v>
      </c>
      <c r="E1373" s="2719" t="s">
        <v>41</v>
      </c>
      <c r="F1373" s="294"/>
      <c r="G1373" s="380" t="s">
        <v>3142</v>
      </c>
      <c r="H1373" s="383"/>
      <c r="I1373" s="469" t="s">
        <v>19</v>
      </c>
      <c r="J1373" s="383"/>
      <c r="K1373" s="469"/>
      <c r="L1373" s="401"/>
      <c r="M1373" s="291"/>
      <c r="N1373" s="291"/>
      <c r="O1373" s="291"/>
      <c r="P1373" s="291"/>
      <c r="S1373" s="364"/>
      <c r="Z1373" s="609" t="s">
        <v>540</v>
      </c>
      <c r="AA1373" s="609" t="s">
        <v>3137</v>
      </c>
      <c r="AE1373" s="369" t="s">
        <v>2761</v>
      </c>
    </row>
    <row r="1374" spans="1:31" ht="18" hidden="1">
      <c r="A1374" s="2712"/>
      <c r="B1374" s="371">
        <v>102.001</v>
      </c>
      <c r="C1374" s="371" t="s">
        <v>2791</v>
      </c>
      <c r="D1374" s="2714">
        <f t="shared" si="119"/>
        <v>1</v>
      </c>
      <c r="E1374" s="2719" t="s">
        <v>2978</v>
      </c>
      <c r="F1374" s="294"/>
      <c r="G1374" s="409" t="s">
        <v>2979</v>
      </c>
      <c r="H1374" s="383"/>
      <c r="I1374" s="469" t="str">
        <f>IF(H$1380*H1374=0,"",ROUND(H1374*100/H$1380,2))</f>
        <v/>
      </c>
      <c r="J1374" s="383"/>
      <c r="K1374" s="469" t="str">
        <f t="shared" ref="K1374:K1380" si="120">IF(H1374*J1374=0,"",ROUND(J1374*100/H1374,2))</f>
        <v/>
      </c>
      <c r="L1374" s="401">
        <f>H1374-J1374</f>
        <v>0</v>
      </c>
      <c r="M1374" s="1531" t="str">
        <f ca="1">HYPERLINK("#'"&amp;$G$1&amp;"'!"&amp;ADDRESS(ROW(Notes!H1445),COLUMN(Notes!H1445),4),"* 请勿删除此行！点击往勾稽单元格，F5+Enter返回")</f>
        <v>* 请勿删除此行！点击往勾稽单元格，F5+Enter返回</v>
      </c>
      <c r="N1374" s="291"/>
      <c r="O1374" s="291"/>
      <c r="P1374" s="291"/>
      <c r="S1374" s="364"/>
      <c r="Z1374" s="609" t="s">
        <v>540</v>
      </c>
      <c r="AA1374" s="609" t="s">
        <v>3137</v>
      </c>
      <c r="AC1374" s="369" t="s">
        <v>6571</v>
      </c>
      <c r="AE1374" s="369" t="s">
        <v>2761</v>
      </c>
    </row>
    <row r="1375" spans="1:31" ht="18" hidden="1">
      <c r="A1375" s="2712"/>
      <c r="B1375" s="371">
        <v>102.002</v>
      </c>
      <c r="C1375" s="371" t="s">
        <v>2791</v>
      </c>
      <c r="D1375" s="2714">
        <f t="shared" si="119"/>
        <v>1</v>
      </c>
      <c r="E1375" s="2719" t="s">
        <v>2978</v>
      </c>
      <c r="F1375" s="294"/>
      <c r="G1375" s="409" t="s">
        <v>2980</v>
      </c>
      <c r="H1375" s="383"/>
      <c r="I1375" s="469" t="str">
        <f>IF(H$1380*H1375=0,"",ROUND(H1375*100/H$1380,2))</f>
        <v/>
      </c>
      <c r="J1375" s="383"/>
      <c r="K1375" s="469" t="str">
        <f t="shared" si="120"/>
        <v/>
      </c>
      <c r="L1375" s="401">
        <f>H1375-J1375</f>
        <v>0</v>
      </c>
      <c r="M1375" s="291"/>
      <c r="N1375" s="291"/>
      <c r="O1375" s="291"/>
      <c r="P1375" s="291"/>
      <c r="S1375" s="364"/>
      <c r="Z1375" s="609" t="s">
        <v>540</v>
      </c>
      <c r="AA1375" s="609" t="s">
        <v>3137</v>
      </c>
      <c r="AE1375" s="369" t="s">
        <v>2761</v>
      </c>
    </row>
    <row r="1376" spans="1:31" ht="18" hidden="1">
      <c r="A1376" s="2712"/>
      <c r="B1376" s="371">
        <v>102.003</v>
      </c>
      <c r="C1376" s="371" t="s">
        <v>2791</v>
      </c>
      <c r="D1376" s="2714">
        <f t="shared" si="119"/>
        <v>0</v>
      </c>
      <c r="E1376" s="2719" t="s">
        <v>2978</v>
      </c>
      <c r="F1376" s="294"/>
      <c r="G1376" s="409" t="s">
        <v>2792</v>
      </c>
      <c r="H1376" s="383"/>
      <c r="I1376" s="469" t="str">
        <f>IF(H$1380*H1376=0,"",ROUND(H1376*100/H$1380,2))</f>
        <v/>
      </c>
      <c r="J1376" s="383"/>
      <c r="K1376" s="469" t="str">
        <f t="shared" si="120"/>
        <v/>
      </c>
      <c r="L1376" s="401">
        <f>H1376-J1376</f>
        <v>0</v>
      </c>
      <c r="M1376" s="291"/>
      <c r="N1376" s="291"/>
      <c r="O1376" s="291"/>
      <c r="P1376" s="291"/>
      <c r="S1376" s="364"/>
      <c r="Z1376" s="609" t="s">
        <v>540</v>
      </c>
      <c r="AA1376" s="609" t="s">
        <v>3137</v>
      </c>
      <c r="AE1376" s="369" t="s">
        <v>2761</v>
      </c>
    </row>
    <row r="1377" spans="1:31" ht="18" hidden="1">
      <c r="A1377" s="2712"/>
      <c r="B1377" s="371">
        <v>102.999</v>
      </c>
      <c r="C1377" s="371" t="s">
        <v>2793</v>
      </c>
      <c r="D1377" s="2714">
        <f t="shared" si="119"/>
        <v>1</v>
      </c>
      <c r="E1377" s="2719">
        <v>1</v>
      </c>
      <c r="F1377" s="294"/>
      <c r="G1377" s="380" t="s">
        <v>2978</v>
      </c>
      <c r="H1377" s="381">
        <f>SUMIF($E$1372:$E$1380,$G1377,H$1372:H$1380)</f>
        <v>0</v>
      </c>
      <c r="I1377" s="381">
        <f>SUMIF($E$1372:$E$1380,$G1377,I$1372:I$1380)</f>
        <v>0</v>
      </c>
      <c r="J1377" s="381">
        <f>SUMIF($E$1372:$E$1380,$G1377,J$1372:J$1380)</f>
        <v>0</v>
      </c>
      <c r="K1377" s="469" t="str">
        <f t="shared" si="120"/>
        <v/>
      </c>
      <c r="L1377" s="400">
        <f>SUMIF($E$1372:$E$1380,$G1377,L$1372:L$1380)</f>
        <v>0</v>
      </c>
      <c r="M1377" s="291"/>
      <c r="N1377" s="291"/>
      <c r="O1377" s="291"/>
      <c r="P1377" s="291"/>
      <c r="S1377" s="364"/>
      <c r="Z1377" s="609" t="s">
        <v>540</v>
      </c>
      <c r="AA1377" s="609" t="s">
        <v>3137</v>
      </c>
      <c r="AE1377" s="369" t="s">
        <v>2761</v>
      </c>
    </row>
    <row r="1378" spans="1:31" ht="24" hidden="1">
      <c r="A1378" s="2712"/>
      <c r="B1378" s="371">
        <v>103</v>
      </c>
      <c r="C1378" s="371"/>
      <c r="D1378" s="2714">
        <f t="shared" si="119"/>
        <v>1</v>
      </c>
      <c r="E1378" s="2719">
        <v>1</v>
      </c>
      <c r="F1378" s="294"/>
      <c r="G1378" s="380" t="s">
        <v>3143</v>
      </c>
      <c r="H1378" s="383"/>
      <c r="I1378" s="469" t="str">
        <f>IF(H$1380*H1378=0,"",ROUND(H1378*100/H$1380,2))</f>
        <v/>
      </c>
      <c r="J1378" s="383"/>
      <c r="K1378" s="469" t="str">
        <f t="shared" si="120"/>
        <v/>
      </c>
      <c r="L1378" s="401">
        <f>H1378-J1378</f>
        <v>0</v>
      </c>
      <c r="M1378" s="291"/>
      <c r="N1378" s="291"/>
      <c r="O1378" s="291"/>
      <c r="P1378" s="291"/>
      <c r="S1378" s="364"/>
      <c r="Z1378" s="609" t="s">
        <v>540</v>
      </c>
      <c r="AA1378" s="609" t="s">
        <v>3137</v>
      </c>
      <c r="AE1378" s="369" t="s">
        <v>2761</v>
      </c>
    </row>
    <row r="1379" spans="1:31" ht="18" hidden="1">
      <c r="A1379" s="2712"/>
      <c r="B1379" s="371">
        <v>104</v>
      </c>
      <c r="C1379" s="371" t="s">
        <v>2791</v>
      </c>
      <c r="D1379" s="2714">
        <f t="shared" si="119"/>
        <v>0</v>
      </c>
      <c r="E1379" s="2719">
        <v>1</v>
      </c>
      <c r="F1379" s="294"/>
      <c r="G1379" s="409" t="s">
        <v>2792</v>
      </c>
      <c r="H1379" s="383"/>
      <c r="I1379" s="469" t="str">
        <f>IF(H$1380*H1379=0,"",ROUND(H1379*100/H$1380,2))</f>
        <v/>
      </c>
      <c r="J1379" s="383"/>
      <c r="K1379" s="469" t="str">
        <f t="shared" si="120"/>
        <v/>
      </c>
      <c r="L1379" s="401">
        <f>H1379-J1379</f>
        <v>0</v>
      </c>
      <c r="M1379" s="291"/>
      <c r="N1379" s="291"/>
      <c r="O1379" s="291"/>
      <c r="P1379" s="291"/>
      <c r="S1379" s="364"/>
      <c r="Z1379" s="609" t="s">
        <v>540</v>
      </c>
      <c r="AA1379" s="609" t="s">
        <v>3137</v>
      </c>
      <c r="AE1379" s="369" t="s">
        <v>2761</v>
      </c>
    </row>
    <row r="1380" spans="1:31" ht="18.75" hidden="1" thickBot="1">
      <c r="A1380" s="2712"/>
      <c r="B1380" s="371"/>
      <c r="C1380" s="371"/>
      <c r="D1380" s="2714">
        <f t="shared" si="119"/>
        <v>1</v>
      </c>
      <c r="E1380" s="2719" t="s">
        <v>2751</v>
      </c>
      <c r="F1380" s="294"/>
      <c r="G1380" s="452" t="s">
        <v>2752</v>
      </c>
      <c r="H1380" s="453">
        <f>SUMPRODUCT($E1371:$E1379,H1371:H1379)</f>
        <v>0</v>
      </c>
      <c r="I1380" s="453">
        <f>SUMPRODUCT($E1371:$E1379,I1371:I1379)</f>
        <v>0</v>
      </c>
      <c r="J1380" s="453">
        <f>SUMPRODUCT($E1371:$E1379,J1371:J1379)</f>
        <v>0</v>
      </c>
      <c r="K1380" s="470" t="str">
        <f t="shared" si="120"/>
        <v/>
      </c>
      <c r="L1380" s="471">
        <f>SUMPRODUCT($E1371:$E1379,L1371:L1379)</f>
        <v>0</v>
      </c>
      <c r="M1380" s="357"/>
      <c r="N1380" s="291"/>
      <c r="O1380" s="291"/>
      <c r="P1380" s="291"/>
      <c r="S1380" s="364"/>
      <c r="Z1380" s="609" t="s">
        <v>540</v>
      </c>
      <c r="AA1380" s="609" t="s">
        <v>3137</v>
      </c>
      <c r="AC1380" s="369" t="s">
        <v>2794</v>
      </c>
      <c r="AE1380" s="369" t="s">
        <v>2761</v>
      </c>
    </row>
    <row r="1381" spans="1:31" ht="18.75" hidden="1" thickBot="1">
      <c r="A1381" s="2712"/>
      <c r="B1381" s="371"/>
      <c r="C1381" s="371" t="s">
        <v>2755</v>
      </c>
      <c r="D1381" s="371"/>
      <c r="F1381" s="294"/>
      <c r="G1381" s="301"/>
      <c r="H1381" s="527" t="s">
        <v>3002</v>
      </c>
      <c r="I1381" s="393"/>
      <c r="J1381" s="527" t="s">
        <v>3002</v>
      </c>
      <c r="K1381" s="393"/>
      <c r="L1381" s="527" t="s">
        <v>3002</v>
      </c>
      <c r="M1381" s="291"/>
      <c r="N1381" s="291"/>
      <c r="O1381" s="291"/>
      <c r="P1381" s="291"/>
      <c r="S1381" s="364"/>
      <c r="Z1381" s="609" t="s">
        <v>540</v>
      </c>
      <c r="AA1381" s="609" t="s">
        <v>3137</v>
      </c>
      <c r="AE1381" s="369" t="s">
        <v>2761</v>
      </c>
    </row>
    <row r="1382" spans="1:31" ht="18.75" thickTop="1">
      <c r="A1382" s="2712"/>
      <c r="B1382" s="371"/>
      <c r="C1382" s="371" t="s">
        <v>2565</v>
      </c>
      <c r="D1382" s="371"/>
      <c r="F1382" s="294"/>
      <c r="G1382" s="1559" t="s">
        <v>5365</v>
      </c>
      <c r="H1382" s="1548" t="str">
        <f>G1014</f>
        <v>(2)其他应收款按款项性质分类情况</v>
      </c>
      <c r="I1382" s="1549"/>
      <c r="J1382" s="1550"/>
      <c r="K1382" s="1549"/>
      <c r="L1382" s="1550"/>
      <c r="M1382" s="1551" t="s">
        <v>5366</v>
      </c>
      <c r="N1382" s="291"/>
      <c r="O1382" s="291"/>
      <c r="P1382" s="291"/>
      <c r="S1382" s="364"/>
      <c r="Z1382" s="609" t="s">
        <v>540</v>
      </c>
      <c r="AA1382" s="609" t="s">
        <v>3137</v>
      </c>
    </row>
    <row r="1383" spans="1:31" ht="18">
      <c r="A1383" s="2712"/>
      <c r="B1383" s="371"/>
      <c r="C1383" s="371" t="s">
        <v>2565</v>
      </c>
      <c r="D1383" s="371"/>
      <c r="F1383" s="294"/>
      <c r="G1383" s="316" t="str">
        <f>"注释A:"&amp; ""</f>
        <v>注释A:</v>
      </c>
      <c r="H1383" s="2250">
        <f ca="1">HYPERLINK("#'"&amp;$G$1&amp;"'!"&amp;ADDRESS(ROW(Notes!H1024),COLUMN(Notes!H1024),4),H1024)</f>
        <v>15111272.470000001</v>
      </c>
      <c r="I1383" s="351"/>
      <c r="J1383" s="2250">
        <f ca="1">HYPERLINK("#'"&amp;$G$1&amp;"'!"&amp;ADDRESS(ROW(Notes!H1025),COLUMN(Notes!H1025),4),H1025)</f>
        <v>6350342.7300000004</v>
      </c>
      <c r="K1383" s="351"/>
      <c r="L1383" s="2250">
        <f ca="1">HYPERLINK("#'"&amp;$G$1&amp;"'!"&amp;ADDRESS(ROW(Notes!H1026),COLUMN(Notes!H1026),4),H1026)</f>
        <v>8760929.7400000002</v>
      </c>
      <c r="M1383" s="2630" t="str">
        <f>H1014</f>
        <v>1221l</v>
      </c>
      <c r="N1383" s="291"/>
      <c r="O1383" s="291"/>
      <c r="P1383" s="291"/>
      <c r="S1383" s="364"/>
      <c r="Z1383" s="609" t="s">
        <v>540</v>
      </c>
      <c r="AA1383" s="609" t="s">
        <v>3137</v>
      </c>
    </row>
    <row r="1384" spans="1:31" ht="18">
      <c r="A1384" s="2712"/>
      <c r="B1384" s="371"/>
      <c r="C1384" s="371" t="s">
        <v>2565</v>
      </c>
      <c r="D1384" s="371"/>
      <c r="F1384" s="294"/>
      <c r="G1384" s="316" t="str">
        <f>"本注释B:"&amp; G1380</f>
        <v>本注释B:合       计</v>
      </c>
      <c r="H1384" s="456">
        <f>H1380</f>
        <v>0</v>
      </c>
      <c r="I1384" s="351"/>
      <c r="J1384" s="456">
        <f>J1380</f>
        <v>0</v>
      </c>
      <c r="K1384" s="351"/>
      <c r="L1384" s="456">
        <f>L1380</f>
        <v>0</v>
      </c>
      <c r="M1384" s="2636" t="s">
        <v>619</v>
      </c>
      <c r="N1384" s="291"/>
      <c r="O1384" s="291"/>
      <c r="P1384" s="291"/>
      <c r="S1384" s="364"/>
      <c r="Z1384" s="609" t="s">
        <v>540</v>
      </c>
      <c r="AA1384" s="609" t="s">
        <v>3137</v>
      </c>
    </row>
    <row r="1385" spans="1:31" ht="18.75" thickBot="1">
      <c r="A1385" s="2712"/>
      <c r="B1385" s="371"/>
      <c r="C1385" s="371" t="s">
        <v>2565</v>
      </c>
      <c r="D1385" s="371"/>
      <c r="F1385" s="294"/>
      <c r="G1385" s="1560" t="s">
        <v>2757</v>
      </c>
      <c r="H1385" s="1529">
        <f ca="1">IF(AND(H1383="",H1384=""),"",ROUND(H1383-H1384,2))</f>
        <v>15111272.470000001</v>
      </c>
      <c r="I1385" s="1553"/>
      <c r="J1385" s="1529">
        <f ca="1">IF(AND(J1383="",J1384=""),"",ROUND(J1383-J1384,2))</f>
        <v>6350342.7300000004</v>
      </c>
      <c r="K1385" s="1553"/>
      <c r="L1385" s="1529">
        <f ca="1">IF(AND(L1383="",L1384=""),"",ROUND(L1383-L1384,2))</f>
        <v>8760929.7400000002</v>
      </c>
      <c r="M1385" s="1553"/>
      <c r="N1385" s="291"/>
      <c r="O1385" s="291"/>
      <c r="P1385" s="291"/>
      <c r="S1385" s="364"/>
      <c r="Z1385" s="609" t="s">
        <v>540</v>
      </c>
      <c r="AA1385" s="609" t="s">
        <v>3137</v>
      </c>
    </row>
    <row r="1386" spans="1:31" ht="18.75" thickTop="1">
      <c r="A1386" s="2712"/>
      <c r="B1386" s="371"/>
      <c r="C1386" s="371" t="s">
        <v>2565</v>
      </c>
      <c r="D1386" s="371"/>
      <c r="F1386" s="294"/>
      <c r="G1386" s="354"/>
      <c r="H1386" s="459" t="str">
        <f ca="1">IF(OR(H1385=0,H1385=""),"√","？")</f>
        <v>？</v>
      </c>
      <c r="I1386" s="317"/>
      <c r="J1386" s="459" t="str">
        <f ca="1">IF(OR(J1385=0,J1385=""),"√","？")</f>
        <v>？</v>
      </c>
      <c r="K1386" s="317"/>
      <c r="L1386" s="459" t="str">
        <f ca="1">IF(OR(L1385=0,L1385=""),"√","？")</f>
        <v>？</v>
      </c>
      <c r="M1386" s="354"/>
      <c r="N1386" s="291"/>
      <c r="O1386" s="291"/>
      <c r="P1386" s="291"/>
      <c r="S1386" s="364"/>
      <c r="Z1386" s="609" t="s">
        <v>540</v>
      </c>
      <c r="AA1386" s="609" t="s">
        <v>3137</v>
      </c>
    </row>
    <row r="1387" spans="1:31" ht="18">
      <c r="A1387" s="2712"/>
      <c r="B1387" s="371"/>
      <c r="C1387" s="371" t="s">
        <v>2565</v>
      </c>
      <c r="D1387" s="371"/>
      <c r="F1387" s="294"/>
      <c r="G1387" s="460" t="s">
        <v>2759</v>
      </c>
      <c r="H1387" s="461"/>
      <c r="I1387" s="317"/>
      <c r="J1387" s="461"/>
      <c r="K1387" s="352">
        <f ca="1">SUMIF($H$1386:$M$1386,"&lt;&gt;√",$H$1385:$M$1385)</f>
        <v>30222544.940000001</v>
      </c>
      <c r="L1387" s="353" t="str">
        <f ca="1">IF(OR(K1387=0,K1387=""),"√","？")</f>
        <v>？</v>
      </c>
      <c r="M1387" s="354"/>
      <c r="N1387" s="291"/>
      <c r="O1387" s="291"/>
      <c r="P1387" s="291"/>
      <c r="S1387" s="364"/>
      <c r="Z1387" s="609" t="s">
        <v>540</v>
      </c>
      <c r="AA1387" s="609" t="s">
        <v>3137</v>
      </c>
    </row>
    <row r="1388" spans="1:31" ht="18.75" thickBot="1">
      <c r="A1388" s="2712"/>
      <c r="B1388" s="371"/>
      <c r="C1388" s="371" t="s">
        <v>2565</v>
      </c>
      <c r="D1388" s="371"/>
      <c r="F1388" s="294"/>
      <c r="G1388" s="354"/>
      <c r="H1388" s="461"/>
      <c r="I1388" s="317"/>
      <c r="J1388" s="461"/>
      <c r="K1388" s="317"/>
      <c r="L1388" s="461"/>
      <c r="M1388" s="354"/>
      <c r="N1388" s="291"/>
      <c r="O1388" s="291"/>
      <c r="P1388" s="291"/>
      <c r="S1388" s="364"/>
      <c r="Z1388" s="609" t="s">
        <v>540</v>
      </c>
      <c r="AA1388" s="609" t="s">
        <v>3137</v>
      </c>
    </row>
    <row r="1389" spans="1:31" ht="24" hidden="1">
      <c r="A1389" s="2712" t="s">
        <v>625</v>
      </c>
      <c r="B1389" s="371">
        <v>3</v>
      </c>
      <c r="C1389" s="371"/>
      <c r="D1389" s="2714" t="str">
        <f>VLOOKUP($A1389,Sheet_NoteList,2,0)</f>
        <v>其他应收款按种类列示（续）</v>
      </c>
      <c r="E1389" s="2714" t="s">
        <v>6606</v>
      </c>
      <c r="F1389" s="294"/>
      <c r="G1389" s="372" t="str">
        <f>"("&amp;B1389&amp;")"&amp;D1389</f>
        <v>(3)其他应收款按种类列示（续）</v>
      </c>
      <c r="H1389" s="1515" t="str">
        <f>$A1389</f>
        <v>1221b</v>
      </c>
      <c r="I1389" s="343" t="s">
        <v>6609</v>
      </c>
      <c r="J1389" s="301" t="s">
        <v>6613</v>
      </c>
      <c r="K1389" s="423"/>
      <c r="L1389" s="315"/>
      <c r="M1389" s="301" t="s">
        <v>6621</v>
      </c>
      <c r="N1389" s="344">
        <f>L1402</f>
        <v>0</v>
      </c>
      <c r="O1389" s="345" t="str">
        <f>IF($I1389="适用",IF(ROUND(N$988-N1389,2)=0,"F/S",ROUND($N$988-N1389,2)),"#N/A")</f>
        <v>#N/A</v>
      </c>
      <c r="P1389" s="301"/>
      <c r="Q1389" s="290" t="str">
        <f>IF($I1389="不适用","",IF(ROUND(SUM($H$1394:$L$1402),2)=0,"请输入",""))</f>
        <v/>
      </c>
      <c r="S1389" s="364"/>
      <c r="Z1389" s="609" t="s">
        <v>540</v>
      </c>
      <c r="AA1389" s="609" t="s">
        <v>3137</v>
      </c>
      <c r="AE1389" s="369" t="s">
        <v>2761</v>
      </c>
    </row>
    <row r="1390" spans="1:31" ht="0.75" hidden="1" customHeight="1">
      <c r="A1390" s="2712"/>
      <c r="B1390" s="371"/>
      <c r="C1390" s="371"/>
      <c r="D1390" s="371"/>
      <c r="F1390" s="304"/>
      <c r="G1390" s="304" t="s">
        <v>3144</v>
      </c>
      <c r="H1390" s="304" t="s">
        <v>2984</v>
      </c>
      <c r="I1390" s="304" t="s">
        <v>2985</v>
      </c>
      <c r="J1390" s="304" t="s">
        <v>2986</v>
      </c>
      <c r="K1390" s="304" t="s">
        <v>2987</v>
      </c>
      <c r="L1390" s="304" t="s">
        <v>2988</v>
      </c>
      <c r="M1390" s="291"/>
      <c r="N1390" s="291"/>
      <c r="O1390" s="291"/>
      <c r="P1390" s="291"/>
      <c r="S1390" s="364"/>
      <c r="Z1390" s="609" t="s">
        <v>540</v>
      </c>
      <c r="AA1390" s="609" t="s">
        <v>3137</v>
      </c>
      <c r="AE1390" s="369" t="s">
        <v>2761</v>
      </c>
    </row>
    <row r="1391" spans="1:31" ht="0.75" hidden="1" customHeight="1" thickBot="1">
      <c r="A1391" s="2712"/>
      <c r="B1391" s="371"/>
      <c r="C1391" s="371"/>
      <c r="D1391" s="371"/>
      <c r="F1391" s="304"/>
      <c r="G1391" s="304"/>
      <c r="H1391" s="304" t="s">
        <v>2989</v>
      </c>
      <c r="I1391" s="304" t="s">
        <v>2990</v>
      </c>
      <c r="J1391" s="304" t="s">
        <v>2991</v>
      </c>
      <c r="K1391" s="304" t="s">
        <v>2992</v>
      </c>
      <c r="L1391" s="304" t="s">
        <v>2993</v>
      </c>
      <c r="M1391" s="291"/>
      <c r="N1391" s="291"/>
      <c r="O1391" s="291"/>
      <c r="P1391" s="291"/>
      <c r="S1391" s="364"/>
      <c r="Z1391" s="609" t="s">
        <v>540</v>
      </c>
      <c r="AA1391" s="609" t="s">
        <v>3137</v>
      </c>
      <c r="AE1391" s="369" t="s">
        <v>2761</v>
      </c>
    </row>
    <row r="1392" spans="1:31" ht="18" hidden="1">
      <c r="A1392" s="2712"/>
      <c r="B1392" s="371"/>
      <c r="C1392" s="371"/>
      <c r="D1392" s="371"/>
      <c r="E1392" s="2714" t="s">
        <v>2749</v>
      </c>
      <c r="F1392" s="294"/>
      <c r="G1392" s="3532" t="s">
        <v>2973</v>
      </c>
      <c r="H1392" s="3591" t="s">
        <v>2776</v>
      </c>
      <c r="I1392" s="3506"/>
      <c r="J1392" s="3506"/>
      <c r="K1392" s="3506"/>
      <c r="L1392" s="3507"/>
      <c r="M1392" s="424" t="s">
        <v>5988</v>
      </c>
      <c r="N1392" s="291"/>
      <c r="O1392" s="291"/>
      <c r="P1392" s="291"/>
      <c r="S1392" s="364"/>
      <c r="Z1392" s="609" t="s">
        <v>540</v>
      </c>
      <c r="AA1392" s="609" t="s">
        <v>3137</v>
      </c>
      <c r="AE1392" s="369" t="s">
        <v>2761</v>
      </c>
    </row>
    <row r="1393" spans="1:31" ht="24.75" hidden="1">
      <c r="A1393" s="2712"/>
      <c r="B1393" s="371"/>
      <c r="C1393" s="371"/>
      <c r="D1393" s="371"/>
      <c r="E1393" s="2714" t="s">
        <v>2749</v>
      </c>
      <c r="F1393" s="294"/>
      <c r="G1393" s="3503"/>
      <c r="H1393" s="451" t="s">
        <v>2861</v>
      </c>
      <c r="I1393" s="467" t="s">
        <v>6124</v>
      </c>
      <c r="J1393" s="451" t="s">
        <v>2974</v>
      </c>
      <c r="K1393" s="467" t="s">
        <v>2975</v>
      </c>
      <c r="L1393" s="468" t="s">
        <v>2994</v>
      </c>
      <c r="M1393" s="291"/>
      <c r="N1393" s="291"/>
      <c r="O1393" s="291"/>
      <c r="P1393" s="291"/>
      <c r="S1393" s="364"/>
      <c r="Z1393" s="609" t="s">
        <v>540</v>
      </c>
      <c r="AA1393" s="609" t="s">
        <v>3137</v>
      </c>
      <c r="AE1393" s="369" t="s">
        <v>2761</v>
      </c>
    </row>
    <row r="1394" spans="1:31" ht="24" hidden="1">
      <c r="A1394" s="2712"/>
      <c r="B1394" s="371">
        <v>101</v>
      </c>
      <c r="C1394" s="371"/>
      <c r="D1394" s="2714">
        <f t="shared" ref="D1394:D1402" si="121">IF(OR(G1394="*",G1394="",G1394=0),0,COUNTIF($G$1394:$G$1402,G1394))</f>
        <v>1</v>
      </c>
      <c r="E1394" s="2719">
        <v>1</v>
      </c>
      <c r="F1394" s="294"/>
      <c r="G1394" s="380" t="s">
        <v>3141</v>
      </c>
      <c r="H1394" s="383"/>
      <c r="I1394" s="469" t="str">
        <f>IF(H$1402*H1394=0,"",ROUND(H1394*100/H$1402,2))</f>
        <v/>
      </c>
      <c r="J1394" s="383"/>
      <c r="K1394" s="469" t="str">
        <f>IF(H1394*J1394=0,"",ROUND(J1394*100/H1394,2))</f>
        <v/>
      </c>
      <c r="L1394" s="401">
        <f>H1394-J1394</f>
        <v>0</v>
      </c>
      <c r="M1394" s="291"/>
      <c r="N1394" s="291"/>
      <c r="O1394" s="291"/>
      <c r="P1394" s="291"/>
      <c r="S1394" s="364"/>
      <c r="Z1394" s="609" t="s">
        <v>540</v>
      </c>
      <c r="AA1394" s="609" t="s">
        <v>3137</v>
      </c>
      <c r="AE1394" s="369" t="s">
        <v>2761</v>
      </c>
    </row>
    <row r="1395" spans="1:31" ht="24" hidden="1">
      <c r="A1395" s="2712"/>
      <c r="B1395" s="371">
        <v>102</v>
      </c>
      <c r="C1395" s="371"/>
      <c r="D1395" s="2714">
        <f t="shared" si="121"/>
        <v>1</v>
      </c>
      <c r="E1395" s="2719" t="s">
        <v>41</v>
      </c>
      <c r="F1395" s="294"/>
      <c r="G1395" s="380" t="s">
        <v>3142</v>
      </c>
      <c r="H1395" s="383"/>
      <c r="I1395" s="469"/>
      <c r="J1395" s="383"/>
      <c r="K1395" s="469"/>
      <c r="L1395" s="401"/>
      <c r="M1395" s="291"/>
      <c r="N1395" s="291"/>
      <c r="O1395" s="291"/>
      <c r="P1395" s="291"/>
      <c r="S1395" s="364"/>
      <c r="Z1395" s="609" t="s">
        <v>540</v>
      </c>
      <c r="AA1395" s="609" t="s">
        <v>3137</v>
      </c>
      <c r="AE1395" s="369" t="s">
        <v>2761</v>
      </c>
    </row>
    <row r="1396" spans="1:31" ht="18" hidden="1">
      <c r="A1396" s="2712"/>
      <c r="B1396" s="371">
        <v>102.001</v>
      </c>
      <c r="C1396" s="371" t="s">
        <v>2791</v>
      </c>
      <c r="D1396" s="2714">
        <f t="shared" si="121"/>
        <v>1</v>
      </c>
      <c r="E1396" s="2719" t="s">
        <v>2978</v>
      </c>
      <c r="F1396" s="294"/>
      <c r="G1396" s="409" t="s">
        <v>2979</v>
      </c>
      <c r="H1396" s="383"/>
      <c r="I1396" s="469" t="str">
        <f>IF(H$1402*H1396=0,"",ROUND(H1396*100/H$1402,2))</f>
        <v/>
      </c>
      <c r="J1396" s="383"/>
      <c r="K1396" s="469" t="str">
        <f t="shared" ref="K1396:K1402" si="122">IF(H1396*J1396=0,"",ROUND(J1396*100/H1396,2))</f>
        <v/>
      </c>
      <c r="L1396" s="401">
        <f>H1396-J1396</f>
        <v>0</v>
      </c>
      <c r="M1396" s="357"/>
      <c r="N1396" s="291"/>
      <c r="O1396" s="291"/>
      <c r="P1396" s="291"/>
      <c r="S1396" s="364"/>
      <c r="Z1396" s="609" t="s">
        <v>540</v>
      </c>
      <c r="AA1396" s="609" t="s">
        <v>3137</v>
      </c>
      <c r="AC1396" s="369" t="s">
        <v>2794</v>
      </c>
      <c r="AE1396" s="369" t="s">
        <v>2761</v>
      </c>
    </row>
    <row r="1397" spans="1:31" ht="18" hidden="1">
      <c r="A1397" s="2712"/>
      <c r="B1397" s="371">
        <v>102.002</v>
      </c>
      <c r="C1397" s="371" t="s">
        <v>2791</v>
      </c>
      <c r="D1397" s="2714">
        <f t="shared" si="121"/>
        <v>1</v>
      </c>
      <c r="E1397" s="2719" t="s">
        <v>2978</v>
      </c>
      <c r="F1397" s="294"/>
      <c r="G1397" s="409" t="s">
        <v>2980</v>
      </c>
      <c r="H1397" s="383"/>
      <c r="I1397" s="469" t="str">
        <f>IF(H$1402*H1397=0,"",ROUND(H1397*100/H$1402,2))</f>
        <v/>
      </c>
      <c r="J1397" s="383"/>
      <c r="K1397" s="469" t="str">
        <f t="shared" si="122"/>
        <v/>
      </c>
      <c r="L1397" s="401">
        <f>H1397-J1397</f>
        <v>0</v>
      </c>
      <c r="M1397" s="291"/>
      <c r="N1397" s="291"/>
      <c r="O1397" s="291"/>
      <c r="P1397" s="291"/>
      <c r="S1397" s="364"/>
      <c r="Z1397" s="609" t="s">
        <v>540</v>
      </c>
      <c r="AA1397" s="609" t="s">
        <v>3137</v>
      </c>
      <c r="AE1397" s="369" t="s">
        <v>2761</v>
      </c>
    </row>
    <row r="1398" spans="1:31" ht="18" hidden="1">
      <c r="A1398" s="2712"/>
      <c r="B1398" s="371">
        <v>102.003</v>
      </c>
      <c r="C1398" s="371" t="s">
        <v>2791</v>
      </c>
      <c r="D1398" s="2714">
        <f t="shared" si="121"/>
        <v>0</v>
      </c>
      <c r="E1398" s="2719" t="s">
        <v>2978</v>
      </c>
      <c r="F1398" s="294"/>
      <c r="G1398" s="409" t="s">
        <v>2792</v>
      </c>
      <c r="H1398" s="383"/>
      <c r="I1398" s="469" t="str">
        <f>IF(H$1402*H1398=0,"",ROUND(H1398*100/H$1402,2))</f>
        <v/>
      </c>
      <c r="J1398" s="383"/>
      <c r="K1398" s="469" t="str">
        <f t="shared" si="122"/>
        <v/>
      </c>
      <c r="L1398" s="401">
        <f>H1398-J1398</f>
        <v>0</v>
      </c>
      <c r="M1398" s="291"/>
      <c r="N1398" s="291"/>
      <c r="O1398" s="291"/>
      <c r="P1398" s="291"/>
      <c r="S1398" s="364"/>
      <c r="Z1398" s="609" t="s">
        <v>540</v>
      </c>
      <c r="AA1398" s="609" t="s">
        <v>3137</v>
      </c>
      <c r="AE1398" s="369" t="s">
        <v>2761</v>
      </c>
    </row>
    <row r="1399" spans="1:31" ht="18" hidden="1">
      <c r="A1399" s="2712"/>
      <c r="B1399" s="371">
        <v>102.999</v>
      </c>
      <c r="C1399" s="371" t="s">
        <v>2793</v>
      </c>
      <c r="D1399" s="2714">
        <f t="shared" si="121"/>
        <v>1</v>
      </c>
      <c r="E1399" s="2719">
        <v>1</v>
      </c>
      <c r="F1399" s="294"/>
      <c r="G1399" s="380" t="s">
        <v>2978</v>
      </c>
      <c r="H1399" s="381">
        <f>SUMIF($E$1394:$E$1402,$G1399,H$1394:H$1402)</f>
        <v>0</v>
      </c>
      <c r="I1399" s="381">
        <f>SUMIF($E$1394:$E$1402,$G1399,I$1394:I$1402)</f>
        <v>0</v>
      </c>
      <c r="J1399" s="381">
        <f>SUMIF($E$1394:$E$1402,$G1399,J$1394:J$1402)</f>
        <v>0</v>
      </c>
      <c r="K1399" s="469" t="str">
        <f t="shared" si="122"/>
        <v/>
      </c>
      <c r="L1399" s="400">
        <f>SUMIF($E$1394:$E$1402,$G1399,L$1394:L$1402)</f>
        <v>0</v>
      </c>
      <c r="M1399" s="291"/>
      <c r="N1399" s="291"/>
      <c r="O1399" s="291"/>
      <c r="P1399" s="291"/>
      <c r="S1399" s="364"/>
      <c r="Z1399" s="609" t="s">
        <v>540</v>
      </c>
      <c r="AA1399" s="609" t="s">
        <v>3137</v>
      </c>
      <c r="AE1399" s="369" t="s">
        <v>2761</v>
      </c>
    </row>
    <row r="1400" spans="1:31" ht="24" hidden="1">
      <c r="A1400" s="2712"/>
      <c r="B1400" s="371">
        <v>103</v>
      </c>
      <c r="C1400" s="371"/>
      <c r="D1400" s="2714">
        <f t="shared" si="121"/>
        <v>1</v>
      </c>
      <c r="E1400" s="2719">
        <v>1</v>
      </c>
      <c r="F1400" s="294"/>
      <c r="G1400" s="380" t="s">
        <v>3143</v>
      </c>
      <c r="H1400" s="383"/>
      <c r="I1400" s="469" t="str">
        <f>IF(H$1402*H1400=0,"",ROUND(H1400*100/H$1402,2))</f>
        <v/>
      </c>
      <c r="J1400" s="383"/>
      <c r="K1400" s="469" t="str">
        <f t="shared" si="122"/>
        <v/>
      </c>
      <c r="L1400" s="401">
        <f>H1400-J1400</f>
        <v>0</v>
      </c>
      <c r="M1400" s="291"/>
      <c r="N1400" s="291"/>
      <c r="O1400" s="291"/>
      <c r="P1400" s="291"/>
      <c r="S1400" s="364"/>
      <c r="Z1400" s="609" t="s">
        <v>540</v>
      </c>
      <c r="AA1400" s="609" t="s">
        <v>3137</v>
      </c>
      <c r="AE1400" s="369" t="s">
        <v>2761</v>
      </c>
    </row>
    <row r="1401" spans="1:31" ht="18" hidden="1">
      <c r="A1401" s="2712"/>
      <c r="B1401" s="371">
        <v>104</v>
      </c>
      <c r="C1401" s="371" t="s">
        <v>2791</v>
      </c>
      <c r="D1401" s="2714">
        <f t="shared" si="121"/>
        <v>0</v>
      </c>
      <c r="E1401" s="2719">
        <v>1</v>
      </c>
      <c r="F1401" s="294"/>
      <c r="G1401" s="409" t="s">
        <v>2792</v>
      </c>
      <c r="H1401" s="383"/>
      <c r="I1401" s="469" t="str">
        <f>IF(H$1402*H1401=0,"",ROUND(H1401*100/H$1402,2))</f>
        <v/>
      </c>
      <c r="J1401" s="383"/>
      <c r="K1401" s="469" t="str">
        <f t="shared" si="122"/>
        <v/>
      </c>
      <c r="L1401" s="401">
        <f>H1401-J1401</f>
        <v>0</v>
      </c>
      <c r="M1401" s="291"/>
      <c r="N1401" s="291"/>
      <c r="O1401" s="291"/>
      <c r="P1401" s="291"/>
      <c r="S1401" s="364"/>
      <c r="Z1401" s="609" t="s">
        <v>540</v>
      </c>
      <c r="AA1401" s="609" t="s">
        <v>3137</v>
      </c>
      <c r="AE1401" s="369" t="s">
        <v>2761</v>
      </c>
    </row>
    <row r="1402" spans="1:31" ht="18.75" hidden="1" thickBot="1">
      <c r="A1402" s="2712"/>
      <c r="B1402" s="371"/>
      <c r="C1402" s="371"/>
      <c r="D1402" s="2714">
        <f t="shared" si="121"/>
        <v>1</v>
      </c>
      <c r="E1402" s="2719" t="s">
        <v>2751</v>
      </c>
      <c r="F1402" s="294"/>
      <c r="G1402" s="452" t="s">
        <v>2752</v>
      </c>
      <c r="H1402" s="453">
        <f>SUMPRODUCT($E1393:$E1401,H1393:H1401)</f>
        <v>0</v>
      </c>
      <c r="I1402" s="453">
        <f>SUMPRODUCT($E1393:$E1401,I1393:I1401)</f>
        <v>0</v>
      </c>
      <c r="J1402" s="453">
        <f>SUMPRODUCT($E1393:$E1401,J1393:J1401)</f>
        <v>0</v>
      </c>
      <c r="K1402" s="470" t="str">
        <f t="shared" si="122"/>
        <v/>
      </c>
      <c r="L1402" s="471">
        <f>SUMPRODUCT($E1393:$E1401,L1393:L1401)</f>
        <v>0</v>
      </c>
      <c r="M1402" s="357"/>
      <c r="N1402" s="291"/>
      <c r="O1402" s="291"/>
      <c r="P1402" s="291"/>
      <c r="S1402" s="364"/>
      <c r="Z1402" s="609" t="s">
        <v>540</v>
      </c>
      <c r="AA1402" s="609" t="s">
        <v>3137</v>
      </c>
      <c r="AC1402" s="369" t="s">
        <v>2794</v>
      </c>
      <c r="AE1402" s="369" t="s">
        <v>2761</v>
      </c>
    </row>
    <row r="1403" spans="1:31" ht="18.75" hidden="1" thickBot="1">
      <c r="A1403" s="2712"/>
      <c r="B1403" s="371"/>
      <c r="C1403" s="371" t="s">
        <v>2755</v>
      </c>
      <c r="D1403" s="2714"/>
      <c r="E1403" s="2719"/>
      <c r="F1403" s="294"/>
      <c r="G1403" s="357"/>
      <c r="H1403" s="2632" t="s">
        <v>3002</v>
      </c>
      <c r="I1403" s="357"/>
      <c r="J1403" s="2632" t="s">
        <v>3002</v>
      </c>
      <c r="K1403" s="357"/>
      <c r="L1403" s="2632" t="s">
        <v>3002</v>
      </c>
      <c r="M1403" s="357"/>
      <c r="N1403" s="291"/>
      <c r="O1403" s="291"/>
      <c r="P1403" s="291"/>
      <c r="S1403" s="364"/>
      <c r="Z1403" s="609" t="s">
        <v>540</v>
      </c>
      <c r="AA1403" s="609" t="s">
        <v>3137</v>
      </c>
      <c r="AE1403" s="369" t="s">
        <v>2761</v>
      </c>
    </row>
    <row r="1404" spans="1:31" ht="18.75" thickTop="1">
      <c r="A1404" s="2712"/>
      <c r="B1404" s="371"/>
      <c r="C1404" s="371" t="s">
        <v>2565</v>
      </c>
      <c r="D1404" s="2714"/>
      <c r="E1404" s="2719"/>
      <c r="F1404" s="294"/>
      <c r="G1404" s="1559" t="s">
        <v>5365</v>
      </c>
      <c r="H1404" s="1548" t="str">
        <f>G1014</f>
        <v>(2)其他应收款按款项性质分类情况</v>
      </c>
      <c r="I1404" s="2640"/>
      <c r="J1404" s="2641"/>
      <c r="K1404" s="2640"/>
      <c r="L1404" s="2641"/>
      <c r="M1404" s="1551" t="s">
        <v>5366</v>
      </c>
      <c r="N1404" s="291"/>
      <c r="O1404" s="291"/>
      <c r="P1404" s="291"/>
      <c r="S1404" s="364"/>
      <c r="Z1404" s="609" t="s">
        <v>540</v>
      </c>
      <c r="AA1404" s="609" t="s">
        <v>3137</v>
      </c>
    </row>
    <row r="1405" spans="1:31" ht="18">
      <c r="A1405" s="2712"/>
      <c r="B1405" s="371"/>
      <c r="C1405" s="371" t="s">
        <v>2565</v>
      </c>
      <c r="D1405" s="2714"/>
      <c r="E1405" s="2719"/>
      <c r="F1405" s="294"/>
      <c r="G1405" s="604" t="str">
        <f>"注释A:"&amp; ""</f>
        <v>注释A:</v>
      </c>
      <c r="H1405" s="2250">
        <f ca="1">HYPERLINK("#'"&amp;$G$1&amp;"'!"&amp;ADDRESS(ROW(Notes!I1024),COLUMN(Notes!I1024),4),I1024)</f>
        <v>7207779.0499999998</v>
      </c>
      <c r="I1405" s="2642"/>
      <c r="J1405" s="2250">
        <f ca="1">HYPERLINK("#'"&amp;$G$1&amp;"'!"&amp;ADDRESS(ROW(Notes!I1025),COLUMN(Notes!I1025),4),I1025)</f>
        <v>6096165.3700000001</v>
      </c>
      <c r="K1405" s="2642"/>
      <c r="L1405" s="2250">
        <f ca="1">HYPERLINK("#'"&amp;$G$1&amp;"'!"&amp;ADDRESS(ROW(Notes!I1026),COLUMN(Notes!I1026),4),I1026)</f>
        <v>1111613.68</v>
      </c>
      <c r="M1405" s="2630" t="str">
        <f>H1014</f>
        <v>1221l</v>
      </c>
      <c r="N1405" s="291"/>
      <c r="O1405" s="291"/>
      <c r="P1405" s="291"/>
      <c r="S1405" s="364"/>
      <c r="Z1405" s="609" t="s">
        <v>540</v>
      </c>
      <c r="AA1405" s="609" t="s">
        <v>3137</v>
      </c>
    </row>
    <row r="1406" spans="1:31" ht="18">
      <c r="A1406" s="2712"/>
      <c r="B1406" s="371"/>
      <c r="C1406" s="371" t="s">
        <v>2565</v>
      </c>
      <c r="D1406" s="2714"/>
      <c r="E1406" s="2719"/>
      <c r="F1406" s="294"/>
      <c r="G1406" s="604" t="str">
        <f>"本注释B:"&amp; G1402</f>
        <v>本注释B:合       计</v>
      </c>
      <c r="H1406" s="456">
        <f>H1402</f>
        <v>0</v>
      </c>
      <c r="I1406" s="2642"/>
      <c r="J1406" s="456">
        <f>J1402</f>
        <v>0</v>
      </c>
      <c r="K1406" s="2642"/>
      <c r="L1406" s="456">
        <f>L1402</f>
        <v>0</v>
      </c>
      <c r="M1406" s="2636" t="s">
        <v>625</v>
      </c>
      <c r="N1406" s="291"/>
      <c r="O1406" s="291"/>
      <c r="P1406" s="291"/>
      <c r="S1406" s="364"/>
      <c r="Z1406" s="609" t="s">
        <v>540</v>
      </c>
      <c r="AA1406" s="609" t="s">
        <v>3137</v>
      </c>
    </row>
    <row r="1407" spans="1:31" ht="18.75" thickBot="1">
      <c r="A1407" s="2712"/>
      <c r="B1407" s="371"/>
      <c r="C1407" s="371" t="s">
        <v>2565</v>
      </c>
      <c r="D1407" s="2714"/>
      <c r="E1407" s="2719"/>
      <c r="F1407" s="294"/>
      <c r="G1407" s="1560" t="s">
        <v>2757</v>
      </c>
      <c r="H1407" s="1529">
        <f ca="1">IF(AND(H1405="",H1406=""),"",ROUND(H1405-H1406,2))</f>
        <v>7207779.0499999998</v>
      </c>
      <c r="I1407" s="2643"/>
      <c r="J1407" s="1529">
        <f ca="1">IF(AND(J1405="",J1406=""),"",ROUND(J1405-J1406,2))</f>
        <v>6096165.3700000001</v>
      </c>
      <c r="K1407" s="2643"/>
      <c r="L1407" s="1529">
        <f ca="1">IF(AND(L1405="",L1406=""),"",ROUND(L1405-L1406,2))</f>
        <v>1111613.68</v>
      </c>
      <c r="M1407" s="2643"/>
      <c r="N1407" s="291"/>
      <c r="O1407" s="291"/>
      <c r="P1407" s="291"/>
      <c r="S1407" s="364"/>
      <c r="Z1407" s="609" t="s">
        <v>540</v>
      </c>
      <c r="AA1407" s="609" t="s">
        <v>3137</v>
      </c>
    </row>
    <row r="1408" spans="1:31" ht="18.75" thickTop="1">
      <c r="A1408" s="2712"/>
      <c r="B1408" s="371"/>
      <c r="C1408" s="371" t="s">
        <v>2565</v>
      </c>
      <c r="D1408" s="2714"/>
      <c r="E1408" s="2719"/>
      <c r="F1408" s="294"/>
      <c r="G1408" s="2638"/>
      <c r="H1408" s="459" t="str">
        <f ca="1">IF(OR(H1407=0,H1407=""),"√","？")</f>
        <v>？</v>
      </c>
      <c r="I1408" s="2638"/>
      <c r="J1408" s="459" t="str">
        <f ca="1">IF(OR(J1407=0,J1407=""),"√","？")</f>
        <v>？</v>
      </c>
      <c r="K1408" s="2638"/>
      <c r="L1408" s="459" t="str">
        <f ca="1">IF(OR(L1407=0,L1407=""),"√","？")</f>
        <v>？</v>
      </c>
      <c r="M1408" s="2638"/>
      <c r="N1408" s="291"/>
      <c r="O1408" s="291"/>
      <c r="P1408" s="291"/>
      <c r="S1408" s="364"/>
      <c r="Z1408" s="609" t="s">
        <v>540</v>
      </c>
      <c r="AA1408" s="609" t="s">
        <v>3137</v>
      </c>
    </row>
    <row r="1409" spans="1:31" ht="18">
      <c r="A1409" s="2712"/>
      <c r="B1409" s="371"/>
      <c r="C1409" s="371" t="s">
        <v>2565</v>
      </c>
      <c r="D1409" s="2714"/>
      <c r="E1409" s="2719"/>
      <c r="F1409" s="294"/>
      <c r="G1409" s="460" t="s">
        <v>2759</v>
      </c>
      <c r="H1409" s="2639"/>
      <c r="I1409" s="2638"/>
      <c r="J1409" s="2639"/>
      <c r="K1409" s="2644">
        <f ca="1">SUMIF($H$1408:$M$1408,"&lt;&gt;√",$H$1407:$M$1407)</f>
        <v>14415558.1</v>
      </c>
      <c r="L1409" s="353" t="str">
        <f ca="1">IF(OR(K1409=0,K1409=""),"√","？")</f>
        <v>？</v>
      </c>
      <c r="M1409" s="2638"/>
      <c r="N1409" s="291"/>
      <c r="O1409" s="291"/>
      <c r="P1409" s="291"/>
      <c r="S1409" s="364"/>
      <c r="Z1409" s="609" t="s">
        <v>540</v>
      </c>
      <c r="AA1409" s="609" t="s">
        <v>3137</v>
      </c>
    </row>
    <row r="1410" spans="1:31" ht="18.75" thickBot="1">
      <c r="A1410" s="2712"/>
      <c r="B1410" s="371"/>
      <c r="C1410" s="371" t="s">
        <v>2565</v>
      </c>
      <c r="D1410" s="2714"/>
      <c r="E1410" s="2719"/>
      <c r="F1410" s="294"/>
      <c r="G1410" s="2638"/>
      <c r="H1410" s="2639"/>
      <c r="I1410" s="2638"/>
      <c r="J1410" s="2639"/>
      <c r="K1410" s="2638"/>
      <c r="L1410" s="2639"/>
      <c r="M1410" s="2638"/>
      <c r="N1410" s="291"/>
      <c r="O1410" s="291"/>
      <c r="P1410" s="291"/>
      <c r="S1410" s="364"/>
      <c r="Z1410" s="609" t="s">
        <v>540</v>
      </c>
      <c r="AA1410" s="609" t="s">
        <v>3137</v>
      </c>
    </row>
    <row r="1411" spans="1:31" ht="36" hidden="1">
      <c r="A1411" s="2712" t="s">
        <v>561</v>
      </c>
      <c r="B1411" s="371">
        <v>4</v>
      </c>
      <c r="C1411" s="371"/>
      <c r="D1411" s="2714" t="str">
        <f>VLOOKUP($A1411,Sheet_NoteList,2,0)</f>
        <v>期末单项金额重大并单项计提坏账准备的其他应收款</v>
      </c>
      <c r="E1411" s="2714" t="s">
        <v>6606</v>
      </c>
      <c r="F1411" s="294"/>
      <c r="G1411" s="372" t="str">
        <f>"("&amp;B1411&amp;")"&amp;D1411</f>
        <v>(4)期末单项金额重大并单项计提坏账准备的其他应收款</v>
      </c>
      <c r="H1411" s="1515" t="str">
        <f>$A1411</f>
        <v>1221g</v>
      </c>
      <c r="I1411" s="343" t="s">
        <v>6609</v>
      </c>
      <c r="J1411" s="301" t="s">
        <v>6612</v>
      </c>
      <c r="K1411" s="344">
        <f>H1421</f>
        <v>0</v>
      </c>
      <c r="L1411" s="345"/>
      <c r="M1411" s="301" t="s">
        <v>6613</v>
      </c>
      <c r="N1411" s="423"/>
      <c r="O1411" s="345"/>
      <c r="P1411" s="301"/>
      <c r="Q1411" s="290" t="str">
        <f>IF($I1411="不适用","",IF(ROUND(SUM($H$1416:$K$1421),2)=0,"请输入",""))</f>
        <v/>
      </c>
      <c r="S1411" s="364"/>
      <c r="Z1411" s="609" t="s">
        <v>540</v>
      </c>
      <c r="AA1411" s="609" t="s">
        <v>3137</v>
      </c>
      <c r="AE1411" s="369" t="s">
        <v>2761</v>
      </c>
    </row>
    <row r="1412" spans="1:31" ht="0.75" hidden="1" customHeight="1">
      <c r="A1412" s="2712"/>
      <c r="B1412" s="371"/>
      <c r="C1412" s="371"/>
      <c r="D1412" s="371"/>
      <c r="F1412" s="293"/>
      <c r="G1412" s="293" t="s">
        <v>3157</v>
      </c>
      <c r="H1412" s="293" t="s">
        <v>2849</v>
      </c>
      <c r="I1412" s="293" t="s">
        <v>2996</v>
      </c>
      <c r="J1412" s="293" t="s">
        <v>2997</v>
      </c>
      <c r="K1412" s="293" t="s">
        <v>5475</v>
      </c>
      <c r="L1412" s="472"/>
      <c r="M1412" s="472"/>
      <c r="N1412" s="472"/>
      <c r="O1412" s="472"/>
      <c r="P1412" s="442"/>
      <c r="Q1412" s="442"/>
      <c r="R1412" s="443"/>
      <c r="S1412" s="364"/>
      <c r="Z1412" s="609" t="s">
        <v>540</v>
      </c>
      <c r="AA1412" s="609" t="s">
        <v>3137</v>
      </c>
      <c r="AE1412" s="369" t="s">
        <v>2761</v>
      </c>
    </row>
    <row r="1413" spans="1:31" ht="0.75" hidden="1" customHeight="1" thickBot="1">
      <c r="A1413" s="2712"/>
      <c r="B1413" s="371"/>
      <c r="C1413" s="371"/>
      <c r="D1413" s="371"/>
      <c r="F1413" s="293"/>
      <c r="G1413" s="293"/>
      <c r="H1413" s="293" t="s">
        <v>5478</v>
      </c>
      <c r="I1413" s="293" t="s">
        <v>5479</v>
      </c>
      <c r="J1413" s="293" t="s">
        <v>5480</v>
      </c>
      <c r="K1413" s="293" t="s">
        <v>5481</v>
      </c>
      <c r="L1413" s="472"/>
      <c r="M1413" s="472"/>
      <c r="N1413" s="472"/>
      <c r="O1413" s="472"/>
      <c r="P1413" s="442"/>
      <c r="Q1413" s="442"/>
      <c r="R1413" s="443"/>
      <c r="S1413" s="364"/>
      <c r="Z1413" s="609" t="s">
        <v>540</v>
      </c>
      <c r="AA1413" s="609" t="s">
        <v>3137</v>
      </c>
      <c r="AE1413" s="369" t="s">
        <v>2761</v>
      </c>
    </row>
    <row r="1414" spans="1:31" ht="18" hidden="1" customHeight="1">
      <c r="A1414" s="2712"/>
      <c r="B1414" s="371"/>
      <c r="C1414" s="371"/>
      <c r="D1414" s="371"/>
      <c r="E1414" s="2714" t="s">
        <v>2749</v>
      </c>
      <c r="F1414" s="293"/>
      <c r="G1414" s="3534" t="s">
        <v>5477</v>
      </c>
      <c r="H1414" s="3485" t="s">
        <v>5476</v>
      </c>
      <c r="I1414" s="3485"/>
      <c r="J1414" s="3485"/>
      <c r="K1414" s="3486"/>
      <c r="L1414" s="424" t="s">
        <v>5988</v>
      </c>
      <c r="M1414" s="2193"/>
      <c r="N1414" s="472"/>
      <c r="O1414" s="472"/>
      <c r="P1414" s="442"/>
      <c r="Q1414" s="442"/>
      <c r="R1414" s="443"/>
      <c r="S1414" s="364"/>
      <c r="Z1414" s="609" t="s">
        <v>540</v>
      </c>
      <c r="AA1414" s="609" t="s">
        <v>3137</v>
      </c>
      <c r="AE1414" s="369" t="s">
        <v>2761</v>
      </c>
    </row>
    <row r="1415" spans="1:31" ht="18" hidden="1">
      <c r="A1415" s="2712"/>
      <c r="B1415" s="371"/>
      <c r="C1415" s="371"/>
      <c r="D1415" s="371"/>
      <c r="E1415" s="2714" t="s">
        <v>2749</v>
      </c>
      <c r="F1415" s="294"/>
      <c r="G1415" s="3533"/>
      <c r="H1415" s="358" t="s">
        <v>2861</v>
      </c>
      <c r="I1415" s="318" t="s">
        <v>2862</v>
      </c>
      <c r="J1415" s="318" t="s">
        <v>3001</v>
      </c>
      <c r="K1415" s="359" t="s">
        <v>2899</v>
      </c>
      <c r="L1415" s="472"/>
      <c r="M1415" s="472"/>
      <c r="N1415" s="472"/>
      <c r="O1415" s="472"/>
      <c r="P1415" s="442"/>
      <c r="Q1415" s="442"/>
      <c r="R1415" s="443"/>
      <c r="S1415" s="364"/>
      <c r="Z1415" s="609" t="s">
        <v>540</v>
      </c>
      <c r="AA1415" s="609" t="s">
        <v>3137</v>
      </c>
      <c r="AE1415" s="369" t="s">
        <v>2761</v>
      </c>
    </row>
    <row r="1416" spans="1:31" ht="18" hidden="1">
      <c r="A1416" s="2712"/>
      <c r="B1416" s="371">
        <v>101</v>
      </c>
      <c r="C1416" s="371" t="s">
        <v>2791</v>
      </c>
      <c r="D1416" s="2714">
        <f t="shared" ref="D1416:D1421" si="123">IF(OR(G1416="*",G1416="",G1416=0),0,COUNTIF($G$1416:$G$1421,G1416))</f>
        <v>0</v>
      </c>
      <c r="E1416" s="2719">
        <v>1</v>
      </c>
      <c r="F1416" s="294"/>
      <c r="G1416" s="319" t="s">
        <v>2792</v>
      </c>
      <c r="H1416" s="309"/>
      <c r="I1416" s="309"/>
      <c r="J1416" s="360" t="str">
        <f t="shared" ref="J1416:J1421" si="124">IF(H1416*I1416=0,"",ROUND(I1416*100/H1416,2))</f>
        <v/>
      </c>
      <c r="K1416" s="388"/>
      <c r="L1416" s="472"/>
      <c r="M1416" s="472"/>
      <c r="N1416" s="472"/>
      <c r="O1416" s="472"/>
      <c r="P1416" s="442"/>
      <c r="Q1416" s="442"/>
      <c r="R1416" s="443"/>
      <c r="S1416" s="364"/>
      <c r="Z1416" s="609" t="s">
        <v>540</v>
      </c>
      <c r="AA1416" s="609" t="s">
        <v>3137</v>
      </c>
      <c r="AE1416" s="369" t="s">
        <v>2761</v>
      </c>
    </row>
    <row r="1417" spans="1:31" ht="18" hidden="1">
      <c r="A1417" s="2712"/>
      <c r="B1417" s="371">
        <v>102</v>
      </c>
      <c r="C1417" s="371" t="s">
        <v>2791</v>
      </c>
      <c r="D1417" s="2714">
        <f t="shared" si="123"/>
        <v>0</v>
      </c>
      <c r="E1417" s="2719">
        <v>1</v>
      </c>
      <c r="F1417" s="294"/>
      <c r="G1417" s="319" t="s">
        <v>2792</v>
      </c>
      <c r="H1417" s="309"/>
      <c r="I1417" s="309"/>
      <c r="J1417" s="360" t="str">
        <f t="shared" si="124"/>
        <v/>
      </c>
      <c r="K1417" s="388"/>
      <c r="L1417" s="472"/>
      <c r="M1417" s="472"/>
      <c r="N1417" s="472"/>
      <c r="O1417" s="472"/>
      <c r="P1417" s="442"/>
      <c r="Q1417" s="442"/>
      <c r="R1417" s="443"/>
      <c r="S1417" s="364"/>
      <c r="Z1417" s="609" t="s">
        <v>540</v>
      </c>
      <c r="AA1417" s="609" t="s">
        <v>3137</v>
      </c>
      <c r="AE1417" s="369" t="s">
        <v>2761</v>
      </c>
    </row>
    <row r="1418" spans="1:31" ht="18" hidden="1">
      <c r="A1418" s="2712"/>
      <c r="B1418" s="371">
        <v>103</v>
      </c>
      <c r="C1418" s="371" t="s">
        <v>2791</v>
      </c>
      <c r="D1418" s="2714">
        <f t="shared" si="123"/>
        <v>0</v>
      </c>
      <c r="E1418" s="2719">
        <v>1</v>
      </c>
      <c r="F1418" s="294"/>
      <c r="G1418" s="319" t="s">
        <v>2792</v>
      </c>
      <c r="H1418" s="309"/>
      <c r="I1418" s="309"/>
      <c r="J1418" s="360" t="str">
        <f t="shared" si="124"/>
        <v/>
      </c>
      <c r="K1418" s="388"/>
      <c r="L1418" s="472"/>
      <c r="M1418" s="472"/>
      <c r="N1418" s="472"/>
      <c r="O1418" s="472"/>
      <c r="P1418" s="442"/>
      <c r="Q1418" s="442"/>
      <c r="R1418" s="443"/>
      <c r="S1418" s="364"/>
      <c r="Z1418" s="609" t="s">
        <v>540</v>
      </c>
      <c r="AA1418" s="609" t="s">
        <v>3137</v>
      </c>
      <c r="AE1418" s="369" t="s">
        <v>2761</v>
      </c>
    </row>
    <row r="1419" spans="1:31" ht="18" hidden="1">
      <c r="A1419" s="2712"/>
      <c r="B1419" s="371">
        <v>104</v>
      </c>
      <c r="C1419" s="371" t="s">
        <v>2791</v>
      </c>
      <c r="D1419" s="2714">
        <f t="shared" si="123"/>
        <v>0</v>
      </c>
      <c r="E1419" s="2719">
        <v>1</v>
      </c>
      <c r="F1419" s="294"/>
      <c r="G1419" s="319" t="s">
        <v>2792</v>
      </c>
      <c r="H1419" s="309"/>
      <c r="I1419" s="309"/>
      <c r="J1419" s="360" t="str">
        <f t="shared" si="124"/>
        <v/>
      </c>
      <c r="K1419" s="388"/>
      <c r="L1419" s="472"/>
      <c r="M1419" s="472"/>
      <c r="N1419" s="472"/>
      <c r="O1419" s="472"/>
      <c r="P1419" s="442"/>
      <c r="Q1419" s="442"/>
      <c r="R1419" s="443"/>
      <c r="S1419" s="364"/>
      <c r="Z1419" s="609" t="s">
        <v>540</v>
      </c>
      <c r="AA1419" s="609" t="s">
        <v>3137</v>
      </c>
      <c r="AE1419" s="369" t="s">
        <v>2761</v>
      </c>
    </row>
    <row r="1420" spans="1:31" ht="18" hidden="1">
      <c r="A1420" s="2712"/>
      <c r="B1420" s="371">
        <v>105</v>
      </c>
      <c r="C1420" s="371" t="s">
        <v>2791</v>
      </c>
      <c r="D1420" s="2714">
        <f t="shared" si="123"/>
        <v>0</v>
      </c>
      <c r="E1420" s="2719">
        <v>1</v>
      </c>
      <c r="F1420" s="294"/>
      <c r="G1420" s="319" t="s">
        <v>2792</v>
      </c>
      <c r="H1420" s="309"/>
      <c r="I1420" s="309"/>
      <c r="J1420" s="360" t="str">
        <f t="shared" si="124"/>
        <v/>
      </c>
      <c r="K1420" s="388"/>
      <c r="L1420" s="472"/>
      <c r="M1420" s="472"/>
      <c r="N1420" s="472"/>
      <c r="O1420" s="472"/>
      <c r="P1420" s="442"/>
      <c r="Q1420" s="442"/>
      <c r="R1420" s="443"/>
      <c r="S1420" s="364"/>
      <c r="Z1420" s="609" t="s">
        <v>540</v>
      </c>
      <c r="AA1420" s="609" t="s">
        <v>3137</v>
      </c>
      <c r="AE1420" s="369" t="s">
        <v>2761</v>
      </c>
    </row>
    <row r="1421" spans="1:31" ht="18.75" hidden="1" thickBot="1">
      <c r="A1421" s="2712"/>
      <c r="B1421" s="371"/>
      <c r="C1421" s="371"/>
      <c r="D1421" s="2714">
        <f t="shared" si="123"/>
        <v>1</v>
      </c>
      <c r="E1421" s="2719" t="s">
        <v>3032</v>
      </c>
      <c r="F1421" s="294"/>
      <c r="G1421" s="310" t="s">
        <v>2752</v>
      </c>
      <c r="H1421" s="311">
        <f>SUMPRODUCT($E1415:$E1420,H1415:H1420)</f>
        <v>0</v>
      </c>
      <c r="I1421" s="311">
        <f>SUMPRODUCT($E1415:$E1420,I1415:I1420)</f>
        <v>0</v>
      </c>
      <c r="J1421" s="466" t="str">
        <f t="shared" si="124"/>
        <v/>
      </c>
      <c r="K1421" s="447"/>
      <c r="L1421" s="472"/>
      <c r="M1421" s="472"/>
      <c r="N1421" s="472"/>
      <c r="O1421" s="472"/>
      <c r="P1421" s="442"/>
      <c r="Q1421" s="442"/>
      <c r="R1421" s="443"/>
      <c r="S1421" s="364"/>
      <c r="Z1421" s="609" t="s">
        <v>540</v>
      </c>
      <c r="AA1421" s="609" t="s">
        <v>3137</v>
      </c>
      <c r="AE1421" s="369" t="s">
        <v>2761</v>
      </c>
    </row>
    <row r="1422" spans="1:31" ht="18.75" hidden="1" thickBot="1">
      <c r="A1422" s="2712"/>
      <c r="B1422" s="371"/>
      <c r="C1422" s="371" t="s">
        <v>2755</v>
      </c>
      <c r="D1422" s="371"/>
      <c r="F1422" s="294"/>
      <c r="G1422" s="301"/>
      <c r="H1422" s="527" t="s">
        <v>3002</v>
      </c>
      <c r="I1422" s="527" t="s">
        <v>3002</v>
      </c>
      <c r="J1422" s="393"/>
      <c r="K1422" s="393"/>
      <c r="L1422" s="472"/>
      <c r="M1422" s="472"/>
      <c r="N1422" s="472"/>
      <c r="O1422" s="472"/>
      <c r="P1422" s="442"/>
      <c r="Q1422" s="442"/>
      <c r="R1422" s="443"/>
      <c r="S1422" s="364"/>
      <c r="Z1422" s="609" t="s">
        <v>540</v>
      </c>
      <c r="AA1422" s="609" t="s">
        <v>3137</v>
      </c>
      <c r="AE1422" s="369" t="s">
        <v>2761</v>
      </c>
    </row>
    <row r="1423" spans="1:31" ht="18.75" thickTop="1">
      <c r="A1423" s="2712"/>
      <c r="B1423" s="371"/>
      <c r="C1423" s="371" t="s">
        <v>2565</v>
      </c>
      <c r="D1423" s="371"/>
      <c r="F1423" s="294"/>
      <c r="G1423" s="1559" t="s">
        <v>5365</v>
      </c>
      <c r="H1423" s="1548" t="str">
        <f>G1367</f>
        <v>(1)其他应收款按种类列示</v>
      </c>
      <c r="I1423" s="1550"/>
      <c r="J1423" s="1549"/>
      <c r="K1423" s="1549"/>
      <c r="L1423" s="1551" t="s">
        <v>5366</v>
      </c>
      <c r="M1423" s="472"/>
      <c r="N1423" s="472"/>
      <c r="O1423" s="472"/>
      <c r="P1423" s="442"/>
      <c r="Q1423" s="442"/>
      <c r="R1423" s="442"/>
      <c r="S1423" s="364"/>
      <c r="Z1423" s="609" t="s">
        <v>540</v>
      </c>
      <c r="AA1423" s="609" t="s">
        <v>3137</v>
      </c>
    </row>
    <row r="1424" spans="1:31" ht="24">
      <c r="A1424" s="2712"/>
      <c r="B1424" s="371"/>
      <c r="C1424" s="371" t="s">
        <v>2565</v>
      </c>
      <c r="D1424" s="371"/>
      <c r="F1424" s="294"/>
      <c r="G1424" s="316" t="str">
        <f>"注释A:"&amp; G1372</f>
        <v>注释A:单项金额重大并单项计提坏账准备的其他应收款</v>
      </c>
      <c r="H1424" s="2250">
        <f ca="1">HYPERLINK("#'"&amp;$G$1&amp;"'!"&amp;ADDRESS(ROW(Notes!H1372),COLUMN(Notes!H1372),4),H1372)</f>
        <v>0</v>
      </c>
      <c r="I1424" s="2250">
        <f ca="1">HYPERLINK("#'"&amp;$G$1&amp;"'!"&amp;ADDRESS(ROW(Notes!J1372),COLUMN(Notes!J1372),4),J1372)</f>
        <v>0</v>
      </c>
      <c r="J1424" s="351"/>
      <c r="K1424" s="351"/>
      <c r="L1424" s="2634" t="str">
        <f>H1367</f>
        <v>1221a</v>
      </c>
      <c r="M1424" s="472"/>
      <c r="N1424" s="472"/>
      <c r="O1424" s="472"/>
      <c r="P1424" s="442"/>
      <c r="Q1424" s="442"/>
      <c r="R1424" s="442"/>
      <c r="S1424" s="364"/>
      <c r="Z1424" s="609" t="s">
        <v>540</v>
      </c>
      <c r="AA1424" s="609" t="s">
        <v>3137</v>
      </c>
    </row>
    <row r="1425" spans="1:31" ht="18">
      <c r="A1425" s="2712"/>
      <c r="B1425" s="371"/>
      <c r="C1425" s="371" t="s">
        <v>2565</v>
      </c>
      <c r="D1425" s="371"/>
      <c r="F1425" s="294"/>
      <c r="G1425" s="316" t="str">
        <f>"本注释B:"&amp; G1421</f>
        <v>本注释B:合       计</v>
      </c>
      <c r="H1425" s="456">
        <f>H1421</f>
        <v>0</v>
      </c>
      <c r="I1425" s="456">
        <f>I1421</f>
        <v>0</v>
      </c>
      <c r="J1425" s="351"/>
      <c r="K1425" s="351"/>
      <c r="L1425" s="2637" t="s">
        <v>561</v>
      </c>
      <c r="M1425" s="472"/>
      <c r="N1425" s="472"/>
      <c r="O1425" s="472"/>
      <c r="P1425" s="442"/>
      <c r="Q1425" s="442"/>
      <c r="R1425" s="442"/>
      <c r="S1425" s="364"/>
      <c r="Z1425" s="609" t="s">
        <v>540</v>
      </c>
      <c r="AA1425" s="609" t="s">
        <v>3137</v>
      </c>
    </row>
    <row r="1426" spans="1:31" ht="18.75" thickBot="1">
      <c r="A1426" s="2712"/>
      <c r="B1426" s="371"/>
      <c r="C1426" s="371" t="s">
        <v>2565</v>
      </c>
      <c r="D1426" s="371"/>
      <c r="F1426" s="294"/>
      <c r="G1426" s="1560" t="s">
        <v>2757</v>
      </c>
      <c r="H1426" s="1529">
        <f ca="1">IF(AND(H1424="",H1425=""),"",ROUND(H1424-H1425,2))</f>
        <v>0</v>
      </c>
      <c r="I1426" s="1529">
        <f ca="1">IF(AND(I1424="",I1425=""),"",ROUND(I1424-I1425,2))</f>
        <v>0</v>
      </c>
      <c r="J1426" s="1553"/>
      <c r="K1426" s="1553"/>
      <c r="L1426" s="1554"/>
      <c r="M1426" s="472"/>
      <c r="N1426" s="472"/>
      <c r="O1426" s="472"/>
      <c r="P1426" s="442"/>
      <c r="Q1426" s="442"/>
      <c r="R1426" s="442"/>
      <c r="S1426" s="364"/>
      <c r="Z1426" s="609" t="s">
        <v>540</v>
      </c>
      <c r="AA1426" s="609" t="s">
        <v>3137</v>
      </c>
    </row>
    <row r="1427" spans="1:31" ht="18.75" thickTop="1">
      <c r="A1427" s="2712"/>
      <c r="B1427" s="371"/>
      <c r="C1427" s="371" t="s">
        <v>2565</v>
      </c>
      <c r="D1427" s="371"/>
      <c r="F1427" s="294"/>
      <c r="G1427" s="354"/>
      <c r="H1427" s="459" t="str">
        <f ca="1">IF(OR(H1426=0,H1426=""),"√","？")</f>
        <v>√</v>
      </c>
      <c r="I1427" s="459" t="str">
        <f ca="1">IF(OR(I1426=0,I1426=""),"√","？")</f>
        <v>√</v>
      </c>
      <c r="J1427" s="317"/>
      <c r="K1427" s="317"/>
      <c r="L1427" s="1544"/>
      <c r="M1427" s="472"/>
      <c r="N1427" s="472"/>
      <c r="O1427" s="472"/>
      <c r="P1427" s="442"/>
      <c r="Q1427" s="442"/>
      <c r="R1427" s="442"/>
      <c r="S1427" s="364"/>
      <c r="Z1427" s="609" t="s">
        <v>540</v>
      </c>
      <c r="AA1427" s="609" t="s">
        <v>3137</v>
      </c>
    </row>
    <row r="1428" spans="1:31" ht="18">
      <c r="A1428" s="2712"/>
      <c r="B1428" s="371"/>
      <c r="C1428" s="371" t="s">
        <v>2565</v>
      </c>
      <c r="D1428" s="371"/>
      <c r="F1428" s="294"/>
      <c r="G1428" s="460" t="s">
        <v>2759</v>
      </c>
      <c r="H1428" s="461"/>
      <c r="I1428" s="461"/>
      <c r="J1428" s="317"/>
      <c r="K1428" s="352">
        <f ca="1">SUMIF($H$1427:$L$1427,"&lt;&gt;√",$H$1426:$L$1426)</f>
        <v>0</v>
      </c>
      <c r="L1428" s="2252" t="str">
        <f ca="1">IF(OR(K1428=0,K1428=""),"√","？")</f>
        <v>√</v>
      </c>
      <c r="M1428" s="472"/>
      <c r="N1428" s="472"/>
      <c r="O1428" s="472"/>
      <c r="P1428" s="442"/>
      <c r="Q1428" s="442"/>
      <c r="R1428" s="442"/>
      <c r="S1428" s="364"/>
      <c r="Z1428" s="609" t="s">
        <v>540</v>
      </c>
      <c r="AA1428" s="609" t="s">
        <v>3137</v>
      </c>
    </row>
    <row r="1429" spans="1:31" ht="18.75" thickBot="1">
      <c r="A1429" s="2712"/>
      <c r="B1429" s="371"/>
      <c r="C1429" s="371" t="s">
        <v>2565</v>
      </c>
      <c r="D1429" s="371"/>
      <c r="F1429" s="294"/>
      <c r="G1429" s="354"/>
      <c r="H1429" s="461"/>
      <c r="I1429" s="461"/>
      <c r="J1429" s="317"/>
      <c r="K1429" s="317"/>
      <c r="L1429" s="1544"/>
      <c r="M1429" s="472"/>
      <c r="N1429" s="472"/>
      <c r="O1429" s="472"/>
      <c r="P1429" s="442"/>
      <c r="Q1429" s="442"/>
      <c r="R1429" s="442"/>
      <c r="S1429" s="364"/>
      <c r="Z1429" s="609" t="s">
        <v>540</v>
      </c>
      <c r="AA1429" s="609" t="s">
        <v>3137</v>
      </c>
    </row>
    <row r="1430" spans="1:31" ht="24" hidden="1">
      <c r="A1430" s="2712" t="s">
        <v>635</v>
      </c>
      <c r="B1430" s="371">
        <v>5</v>
      </c>
      <c r="C1430" s="371"/>
      <c r="D1430" s="2714" t="str">
        <f>VLOOKUP($A1430,Sheet_NoteList,2,0)</f>
        <v>组合中按账龄分析法计提坏账准备的其他应收款</v>
      </c>
      <c r="E1430" s="2714" t="s">
        <v>6606</v>
      </c>
      <c r="F1430" s="294"/>
      <c r="G1430" s="372" t="str">
        <f>"("&amp;B1430&amp;")"&amp;D1430</f>
        <v>(5)组合中按账龄分析法计提坏账准备的其他应收款</v>
      </c>
      <c r="H1430" s="1515" t="str">
        <f>$A1430</f>
        <v>1221d</v>
      </c>
      <c r="I1430" s="343" t="s">
        <v>6623</v>
      </c>
      <c r="J1430" s="301" t="s">
        <v>6622</v>
      </c>
      <c r="K1430" s="344">
        <f>L1442</f>
        <v>0</v>
      </c>
      <c r="L1430" s="345" t="str">
        <f>IF($I1430="适用",IF(ROUND(K988-K1430,2)&gt;=0,"","#Logical!"),"#N/A")</f>
        <v>#N/A</v>
      </c>
      <c r="M1430" s="301" t="s">
        <v>6613</v>
      </c>
      <c r="N1430" s="344"/>
      <c r="O1430" s="345"/>
      <c r="P1430" s="301"/>
      <c r="Q1430" s="290" t="str">
        <f>IF($I1430="不适用","",IF(ROUND(SUM($H$1435:$Q$1442),2)=0,"请输入",""))</f>
        <v/>
      </c>
      <c r="R1430" s="367"/>
      <c r="S1430" s="364"/>
      <c r="Z1430" s="609" t="s">
        <v>540</v>
      </c>
      <c r="AA1430" s="609" t="s">
        <v>3137</v>
      </c>
      <c r="AE1430" s="369" t="s">
        <v>2761</v>
      </c>
    </row>
    <row r="1431" spans="1:31" ht="0.75" hidden="1" customHeight="1">
      <c r="A1431" s="2712"/>
      <c r="B1431" s="371"/>
      <c r="C1431" s="371"/>
      <c r="D1431" s="371"/>
      <c r="E1431" s="586"/>
      <c r="F1431" s="586"/>
      <c r="G1431" s="586" t="s">
        <v>3168</v>
      </c>
      <c r="H1431" s="371" t="s">
        <v>2882</v>
      </c>
      <c r="I1431" s="371" t="s">
        <v>3102</v>
      </c>
      <c r="J1431" s="371" t="s">
        <v>2884</v>
      </c>
      <c r="K1431" s="371" t="s">
        <v>2885</v>
      </c>
      <c r="L1431" s="371" t="s">
        <v>2886</v>
      </c>
      <c r="M1431" s="1602"/>
      <c r="N1431" s="1602"/>
      <c r="O1431" s="1602"/>
      <c r="P1431" s="1602"/>
      <c r="Q1431" s="1602"/>
      <c r="R1431" s="1602"/>
      <c r="S1431" s="364"/>
      <c r="Z1431" s="609" t="s">
        <v>540</v>
      </c>
      <c r="AA1431" s="609" t="s">
        <v>3137</v>
      </c>
      <c r="AE1431" s="369" t="s">
        <v>2761</v>
      </c>
    </row>
    <row r="1432" spans="1:31" ht="0.75" hidden="1" customHeight="1" thickBot="1">
      <c r="A1432" s="2712"/>
      <c r="B1432" s="371"/>
      <c r="C1432" s="371"/>
      <c r="D1432" s="371"/>
      <c r="E1432" s="586"/>
      <c r="F1432" s="586"/>
      <c r="G1432" s="586"/>
      <c r="H1432" s="371" t="s">
        <v>3103</v>
      </c>
      <c r="I1432" s="371" t="s">
        <v>3104</v>
      </c>
      <c r="J1432" s="371" t="s">
        <v>2856</v>
      </c>
      <c r="K1432" s="371" t="s">
        <v>3099</v>
      </c>
      <c r="L1432" s="371" t="s">
        <v>2972</v>
      </c>
      <c r="M1432" s="1602"/>
      <c r="N1432" s="1602"/>
      <c r="O1432" s="1602"/>
      <c r="P1432" s="1602"/>
      <c r="Q1432" s="1602"/>
      <c r="R1432" s="1602"/>
      <c r="S1432" s="364"/>
      <c r="Z1432" s="609" t="s">
        <v>540</v>
      </c>
      <c r="AA1432" s="609" t="s">
        <v>3137</v>
      </c>
      <c r="AE1432" s="369" t="s">
        <v>2761</v>
      </c>
    </row>
    <row r="1433" spans="1:31" ht="18" hidden="1">
      <c r="A1433" s="2712"/>
      <c r="B1433" s="371"/>
      <c r="C1433" s="371"/>
      <c r="D1433" s="371"/>
      <c r="E1433" s="586" t="s">
        <v>2749</v>
      </c>
      <c r="F1433" s="363"/>
      <c r="G1433" s="3476" t="s">
        <v>6415</v>
      </c>
      <c r="H1433" s="3485" t="s">
        <v>2775</v>
      </c>
      <c r="I1433" s="3485"/>
      <c r="J1433" s="3485"/>
      <c r="K1433" s="3485"/>
      <c r="L1433" s="3486"/>
      <c r="M1433" s="424" t="s">
        <v>5988</v>
      </c>
      <c r="N1433" s="1602"/>
      <c r="O1433" s="1602"/>
      <c r="P1433" s="1602"/>
      <c r="Q1433" s="1602"/>
      <c r="R1433" s="1602"/>
      <c r="S1433" s="364"/>
      <c r="Z1433" s="609" t="s">
        <v>540</v>
      </c>
      <c r="AA1433" s="609" t="s">
        <v>3137</v>
      </c>
      <c r="AE1433" s="369" t="s">
        <v>2761</v>
      </c>
    </row>
    <row r="1434" spans="1:31" ht="18" hidden="1">
      <c r="A1434" s="2712"/>
      <c r="B1434" s="371"/>
      <c r="C1434" s="371"/>
      <c r="D1434" s="371"/>
      <c r="E1434" s="586" t="s">
        <v>2749</v>
      </c>
      <c r="F1434" s="363"/>
      <c r="G1434" s="3477"/>
      <c r="H1434" s="2545" t="s">
        <v>2887</v>
      </c>
      <c r="I1434" s="2545" t="s">
        <v>3107</v>
      </c>
      <c r="J1434" s="2545" t="s">
        <v>2862</v>
      </c>
      <c r="K1434" s="2545" t="s">
        <v>3001</v>
      </c>
      <c r="L1434" s="2574" t="s">
        <v>2994</v>
      </c>
      <c r="M1434" s="1602"/>
      <c r="N1434" s="1602"/>
      <c r="O1434" s="1602"/>
      <c r="P1434" s="1602"/>
      <c r="Q1434" s="1602"/>
      <c r="R1434" s="1602"/>
      <c r="S1434" s="364"/>
      <c r="Z1434" s="609" t="s">
        <v>540</v>
      </c>
      <c r="AA1434" s="609" t="s">
        <v>3137</v>
      </c>
      <c r="AE1434" s="369" t="s">
        <v>2761</v>
      </c>
    </row>
    <row r="1435" spans="1:31" ht="18" hidden="1">
      <c r="A1435" s="2712"/>
      <c r="B1435" s="371">
        <v>101</v>
      </c>
      <c r="C1435" s="371" t="s">
        <v>2791</v>
      </c>
      <c r="D1435" s="2714">
        <f t="shared" ref="D1435:D1442" si="125">IF(OR(G1435="*",G1435="",G1435=0),0,COUNTIF($G$1435:$G$1442,G1435))</f>
        <v>1</v>
      </c>
      <c r="E1435" s="2719">
        <v>1</v>
      </c>
      <c r="F1435" s="294"/>
      <c r="G1435" s="2546" t="s">
        <v>2938</v>
      </c>
      <c r="H1435" s="2273"/>
      <c r="I1435" s="2263" t="str">
        <f t="shared" ref="I1435:I1441" si="126">IF(H$1442*H1435=0,"",ROUND(H1435*100/H$1442,2))</f>
        <v/>
      </c>
      <c r="J1435" s="2273"/>
      <c r="K1435" s="2263" t="str">
        <f>IF(H1435*J1435=0,"",ROUND(J1435*100/H1435,2))</f>
        <v/>
      </c>
      <c r="L1435" s="1475">
        <f>H1435-J1435</f>
        <v>0</v>
      </c>
      <c r="M1435" s="1602"/>
      <c r="N1435" s="1602"/>
      <c r="O1435" s="1602"/>
      <c r="P1435" s="1602"/>
      <c r="Q1435" s="1602"/>
      <c r="R1435" s="1602"/>
      <c r="S1435" s="364"/>
      <c r="Z1435" s="609" t="s">
        <v>540</v>
      </c>
      <c r="AA1435" s="609" t="s">
        <v>3137</v>
      </c>
      <c r="AE1435" s="369" t="s">
        <v>2761</v>
      </c>
    </row>
    <row r="1436" spans="1:31" ht="18" hidden="1">
      <c r="A1436" s="2712"/>
      <c r="B1436" s="371">
        <v>102</v>
      </c>
      <c r="C1436" s="371" t="s">
        <v>2791</v>
      </c>
      <c r="D1436" s="2714">
        <f t="shared" si="125"/>
        <v>1</v>
      </c>
      <c r="E1436" s="2719">
        <v>1</v>
      </c>
      <c r="F1436" s="294"/>
      <c r="G1436" s="2546" t="s">
        <v>3170</v>
      </c>
      <c r="H1436" s="2273"/>
      <c r="I1436" s="2263" t="str">
        <f t="shared" si="126"/>
        <v/>
      </c>
      <c r="J1436" s="2273"/>
      <c r="K1436" s="2263" t="str">
        <f t="shared" ref="K1436:K1442" si="127">IF(H1436*J1436=0,"",ROUND(J1436*100/H1436,2))</f>
        <v/>
      </c>
      <c r="L1436" s="1475">
        <f t="shared" ref="L1436:L1441" si="128">H1436-J1436</f>
        <v>0</v>
      </c>
      <c r="M1436" s="1602"/>
      <c r="N1436" s="1602"/>
      <c r="O1436" s="1602"/>
      <c r="P1436" s="1602"/>
      <c r="Q1436" s="1602"/>
      <c r="R1436" s="1602"/>
      <c r="S1436" s="364"/>
      <c r="Z1436" s="609" t="s">
        <v>540</v>
      </c>
      <c r="AA1436" s="609" t="s">
        <v>3137</v>
      </c>
      <c r="AE1436" s="369" t="s">
        <v>2761</v>
      </c>
    </row>
    <row r="1437" spans="1:31" ht="18" hidden="1">
      <c r="A1437" s="2712"/>
      <c r="B1437" s="371">
        <v>103</v>
      </c>
      <c r="C1437" s="371" t="s">
        <v>2791</v>
      </c>
      <c r="D1437" s="2714">
        <f t="shared" si="125"/>
        <v>1</v>
      </c>
      <c r="E1437" s="2719">
        <v>1</v>
      </c>
      <c r="F1437" s="294"/>
      <c r="G1437" s="2546" t="s">
        <v>3171</v>
      </c>
      <c r="H1437" s="2273"/>
      <c r="I1437" s="2263" t="str">
        <f t="shared" si="126"/>
        <v/>
      </c>
      <c r="J1437" s="2273"/>
      <c r="K1437" s="2263" t="str">
        <f t="shared" si="127"/>
        <v/>
      </c>
      <c r="L1437" s="1475">
        <f t="shared" si="128"/>
        <v>0</v>
      </c>
      <c r="M1437" s="1602"/>
      <c r="N1437" s="1602"/>
      <c r="O1437" s="1602"/>
      <c r="P1437" s="1602"/>
      <c r="Q1437" s="1602"/>
      <c r="R1437" s="1602"/>
      <c r="S1437" s="364"/>
      <c r="Z1437" s="609" t="s">
        <v>540</v>
      </c>
      <c r="AA1437" s="609" t="s">
        <v>3137</v>
      </c>
      <c r="AE1437" s="369" t="s">
        <v>2761</v>
      </c>
    </row>
    <row r="1438" spans="1:31" ht="18" hidden="1">
      <c r="A1438" s="2712"/>
      <c r="B1438" s="371">
        <v>104</v>
      </c>
      <c r="C1438" s="371" t="s">
        <v>2791</v>
      </c>
      <c r="D1438" s="2714">
        <f t="shared" si="125"/>
        <v>1</v>
      </c>
      <c r="E1438" s="2719">
        <v>1</v>
      </c>
      <c r="F1438" s="294"/>
      <c r="G1438" s="2546" t="s">
        <v>3172</v>
      </c>
      <c r="H1438" s="2273"/>
      <c r="I1438" s="2263" t="str">
        <f t="shared" si="126"/>
        <v/>
      </c>
      <c r="J1438" s="2273"/>
      <c r="K1438" s="2263" t="str">
        <f t="shared" si="127"/>
        <v/>
      </c>
      <c r="L1438" s="1475">
        <f t="shared" si="128"/>
        <v>0</v>
      </c>
      <c r="M1438" s="1602"/>
      <c r="N1438" s="1602"/>
      <c r="O1438" s="1602"/>
      <c r="P1438" s="1602"/>
      <c r="Q1438" s="1602"/>
      <c r="R1438" s="1602"/>
      <c r="S1438" s="364"/>
      <c r="Z1438" s="609" t="s">
        <v>540</v>
      </c>
      <c r="AA1438" s="609" t="s">
        <v>3137</v>
      </c>
      <c r="AE1438" s="369" t="s">
        <v>2761</v>
      </c>
    </row>
    <row r="1439" spans="1:31" ht="18" hidden="1">
      <c r="A1439" s="2712"/>
      <c r="B1439" s="371">
        <v>105</v>
      </c>
      <c r="C1439" s="371" t="s">
        <v>2791</v>
      </c>
      <c r="D1439" s="2714">
        <f t="shared" si="125"/>
        <v>1</v>
      </c>
      <c r="E1439" s="2719">
        <v>1</v>
      </c>
      <c r="F1439" s="294"/>
      <c r="G1439" s="2546" t="s">
        <v>3173</v>
      </c>
      <c r="H1439" s="2273"/>
      <c r="I1439" s="2263" t="str">
        <f t="shared" si="126"/>
        <v/>
      </c>
      <c r="J1439" s="2273"/>
      <c r="K1439" s="2263" t="str">
        <f t="shared" si="127"/>
        <v/>
      </c>
      <c r="L1439" s="1475">
        <f t="shared" si="128"/>
        <v>0</v>
      </c>
      <c r="M1439" s="1602"/>
      <c r="N1439" s="1602"/>
      <c r="O1439" s="1602"/>
      <c r="P1439" s="1602"/>
      <c r="Q1439" s="1602"/>
      <c r="R1439" s="1602"/>
      <c r="S1439" s="364"/>
      <c r="Z1439" s="609" t="s">
        <v>540</v>
      </c>
      <c r="AA1439" s="609" t="s">
        <v>3137</v>
      </c>
      <c r="AE1439" s="369" t="s">
        <v>2761</v>
      </c>
    </row>
    <row r="1440" spans="1:31" ht="18" hidden="1">
      <c r="A1440" s="2712"/>
      <c r="B1440" s="371">
        <v>106</v>
      </c>
      <c r="C1440" s="371" t="s">
        <v>2791</v>
      </c>
      <c r="D1440" s="2714">
        <f t="shared" si="125"/>
        <v>1</v>
      </c>
      <c r="E1440" s="2719">
        <v>1</v>
      </c>
      <c r="F1440" s="294"/>
      <c r="G1440" s="2546" t="s">
        <v>2944</v>
      </c>
      <c r="H1440" s="2273"/>
      <c r="I1440" s="2263" t="str">
        <f t="shared" si="126"/>
        <v/>
      </c>
      <c r="J1440" s="2273"/>
      <c r="K1440" s="2263" t="str">
        <f t="shared" si="127"/>
        <v/>
      </c>
      <c r="L1440" s="1475">
        <f t="shared" si="128"/>
        <v>0</v>
      </c>
      <c r="M1440" s="1602"/>
      <c r="N1440" s="1602"/>
      <c r="O1440" s="1602"/>
      <c r="P1440" s="1602"/>
      <c r="Q1440" s="1602"/>
      <c r="R1440" s="1602"/>
      <c r="S1440" s="364"/>
      <c r="Z1440" s="609" t="s">
        <v>540</v>
      </c>
      <c r="AA1440" s="609" t="s">
        <v>3137</v>
      </c>
      <c r="AE1440" s="369" t="s">
        <v>2761</v>
      </c>
    </row>
    <row r="1441" spans="1:31" ht="18" hidden="1">
      <c r="A1441" s="2712"/>
      <c r="B1441" s="371">
        <v>107</v>
      </c>
      <c r="C1441" s="371" t="s">
        <v>2791</v>
      </c>
      <c r="D1441" s="2714">
        <f t="shared" si="125"/>
        <v>0</v>
      </c>
      <c r="E1441" s="2719">
        <v>1</v>
      </c>
      <c r="F1441" s="294"/>
      <c r="G1441" s="2546" t="s">
        <v>2792</v>
      </c>
      <c r="H1441" s="2273"/>
      <c r="I1441" s="2263" t="str">
        <f t="shared" si="126"/>
        <v/>
      </c>
      <c r="J1441" s="2273"/>
      <c r="K1441" s="2263" t="str">
        <f t="shared" si="127"/>
        <v/>
      </c>
      <c r="L1441" s="1475">
        <f t="shared" si="128"/>
        <v>0</v>
      </c>
      <c r="M1441" s="1602"/>
      <c r="N1441" s="1602"/>
      <c r="O1441" s="1602"/>
      <c r="P1441" s="1602"/>
      <c r="Q1441" s="1602"/>
      <c r="R1441" s="1602"/>
      <c r="S1441" s="364"/>
      <c r="Z1441" s="609" t="s">
        <v>540</v>
      </c>
      <c r="AA1441" s="609" t="s">
        <v>3137</v>
      </c>
      <c r="AE1441" s="369" t="s">
        <v>2761</v>
      </c>
    </row>
    <row r="1442" spans="1:31" ht="18.75" hidden="1" thickBot="1">
      <c r="A1442" s="2712"/>
      <c r="B1442" s="371"/>
      <c r="C1442" s="371"/>
      <c r="D1442" s="2714">
        <f t="shared" si="125"/>
        <v>1</v>
      </c>
      <c r="E1442" s="2719" t="s">
        <v>2751</v>
      </c>
      <c r="F1442" s="294"/>
      <c r="G1442" s="310" t="s">
        <v>6414</v>
      </c>
      <c r="H1442" s="1479">
        <f>SUMPRODUCT($E1434:$E1441,H1434:H1441)</f>
        <v>0</v>
      </c>
      <c r="I1442" s="2438">
        <f>SUMPRODUCT($E1434:$E1441,I1434:I1441)</f>
        <v>0</v>
      </c>
      <c r="J1442" s="1479">
        <f>SUMPRODUCT($E1434:$E1441,J1434:J1441)</f>
        <v>0</v>
      </c>
      <c r="K1442" s="2438" t="str">
        <f t="shared" si="127"/>
        <v/>
      </c>
      <c r="L1442" s="1480">
        <f>SUMPRODUCT($E1434:$E1441,L1434:L1441)</f>
        <v>0</v>
      </c>
      <c r="M1442" s="1602"/>
      <c r="N1442" s="1602"/>
      <c r="O1442" s="1602"/>
      <c r="P1442" s="1602"/>
      <c r="Q1442" s="1602"/>
      <c r="R1442" s="1602"/>
      <c r="S1442" s="364"/>
      <c r="Z1442" s="609" t="s">
        <v>540</v>
      </c>
      <c r="AA1442" s="609" t="s">
        <v>3137</v>
      </c>
      <c r="AC1442" s="369" t="s">
        <v>2794</v>
      </c>
      <c r="AE1442" s="369" t="s">
        <v>2761</v>
      </c>
    </row>
    <row r="1443" spans="1:31" ht="18.75" hidden="1" thickBot="1">
      <c r="A1443" s="2712"/>
      <c r="B1443" s="371"/>
      <c r="C1443" s="371" t="s">
        <v>2755</v>
      </c>
      <c r="D1443" s="371"/>
      <c r="F1443" s="294"/>
      <c r="G1443" s="301"/>
      <c r="H1443" s="527" t="s">
        <v>3002</v>
      </c>
      <c r="I1443" s="393"/>
      <c r="J1443" s="527" t="s">
        <v>3002</v>
      </c>
      <c r="K1443" s="393"/>
      <c r="L1443" s="315"/>
      <c r="M1443" s="1602"/>
      <c r="N1443" s="1602"/>
      <c r="O1443" s="1602"/>
      <c r="P1443" s="1602"/>
      <c r="Q1443" s="1602"/>
      <c r="R1443" s="1602"/>
      <c r="S1443" s="364"/>
      <c r="Z1443" s="609" t="s">
        <v>540</v>
      </c>
      <c r="AA1443" s="609" t="s">
        <v>3137</v>
      </c>
      <c r="AE1443" s="369" t="s">
        <v>2761</v>
      </c>
    </row>
    <row r="1444" spans="1:31" ht="18.75" thickTop="1">
      <c r="A1444" s="2712"/>
      <c r="B1444" s="371"/>
      <c r="C1444" s="371" t="s">
        <v>2565</v>
      </c>
      <c r="D1444" s="371"/>
      <c r="F1444" s="294"/>
      <c r="G1444" s="1559" t="s">
        <v>5365</v>
      </c>
      <c r="H1444" s="1548" t="str">
        <f>G1367</f>
        <v>(1)其他应收款按种类列示</v>
      </c>
      <c r="I1444" s="1549"/>
      <c r="J1444" s="1550"/>
      <c r="K1444" s="1549"/>
      <c r="L1444" s="1549"/>
      <c r="M1444" s="1551" t="s">
        <v>5366</v>
      </c>
      <c r="N1444" s="1602"/>
      <c r="O1444" s="1602"/>
      <c r="P1444" s="1602"/>
      <c r="Q1444" s="1602"/>
      <c r="R1444" s="1602"/>
      <c r="S1444" s="364"/>
      <c r="Z1444" s="609" t="s">
        <v>540</v>
      </c>
      <c r="AA1444" s="609" t="s">
        <v>3137</v>
      </c>
    </row>
    <row r="1445" spans="1:31" ht="18">
      <c r="A1445" s="2712"/>
      <c r="B1445" s="371"/>
      <c r="C1445" s="371" t="s">
        <v>2565</v>
      </c>
      <c r="D1445" s="371"/>
      <c r="F1445" s="294"/>
      <c r="G1445" s="316" t="str">
        <f>"注释A:"&amp; G1374</f>
        <v>注释A:账龄组合</v>
      </c>
      <c r="H1445" s="2250">
        <f ca="1">HYPERLINK("#'"&amp;$G$1&amp;"'!"&amp;ADDRESS(ROW(Notes!H1374),COLUMN(Notes!H1374),4),H1374)</f>
        <v>0</v>
      </c>
      <c r="I1445" s="351"/>
      <c r="J1445" s="2250">
        <f ca="1">HYPERLINK("#'"&amp;$G$1&amp;"'!"&amp;ADDRESS(ROW(Notes!J1374),COLUMN(Notes!J1374),4),J1374)</f>
        <v>0</v>
      </c>
      <c r="K1445" s="351"/>
      <c r="L1445" s="351"/>
      <c r="M1445" s="2648" t="str">
        <f>H1367</f>
        <v>1221a</v>
      </c>
      <c r="N1445" s="1602"/>
      <c r="O1445" s="1602"/>
      <c r="P1445" s="1602"/>
      <c r="Q1445" s="1602"/>
      <c r="R1445" s="1602"/>
      <c r="S1445" s="364"/>
      <c r="Z1445" s="609" t="s">
        <v>540</v>
      </c>
      <c r="AA1445" s="609" t="s">
        <v>3137</v>
      </c>
    </row>
    <row r="1446" spans="1:31" ht="18">
      <c r="A1446" s="2712"/>
      <c r="B1446" s="371"/>
      <c r="C1446" s="371" t="s">
        <v>2565</v>
      </c>
      <c r="D1446" s="371"/>
      <c r="F1446" s="294"/>
      <c r="G1446" s="316" t="str">
        <f>"本注释B:"&amp; G1442</f>
        <v>本注释B:合       计</v>
      </c>
      <c r="H1446" s="456">
        <f>H1442</f>
        <v>0</v>
      </c>
      <c r="I1446" s="351"/>
      <c r="J1446" s="456">
        <f>J1442</f>
        <v>0</v>
      </c>
      <c r="K1446" s="351"/>
      <c r="L1446" s="351"/>
      <c r="M1446" s="2647" t="s">
        <v>635</v>
      </c>
      <c r="N1446" s="1602"/>
      <c r="O1446" s="1602"/>
      <c r="P1446" s="1602"/>
      <c r="Q1446" s="1602"/>
      <c r="R1446" s="1602"/>
      <c r="S1446" s="364"/>
      <c r="Z1446" s="609" t="s">
        <v>540</v>
      </c>
      <c r="AA1446" s="609" t="s">
        <v>3137</v>
      </c>
    </row>
    <row r="1447" spans="1:31" ht="18.75" thickBot="1">
      <c r="A1447" s="2712"/>
      <c r="B1447" s="371"/>
      <c r="C1447" s="371" t="s">
        <v>2565</v>
      </c>
      <c r="D1447" s="371"/>
      <c r="F1447" s="294"/>
      <c r="G1447" s="1560" t="s">
        <v>2757</v>
      </c>
      <c r="H1447" s="1529">
        <f ca="1">IF(AND(H1445="",H1446=""),"",ROUND(H1445-H1446,2))</f>
        <v>0</v>
      </c>
      <c r="I1447" s="1553"/>
      <c r="J1447" s="1529">
        <f ca="1">IF(AND(J1445="",J1446=""),"",ROUND(J1445-J1446,2))</f>
        <v>0</v>
      </c>
      <c r="K1447" s="1553"/>
      <c r="L1447" s="1553"/>
      <c r="M1447" s="1554"/>
      <c r="N1447" s="1602"/>
      <c r="O1447" s="1602"/>
      <c r="P1447" s="1602"/>
      <c r="Q1447" s="1602"/>
      <c r="R1447" s="1602"/>
      <c r="S1447" s="364"/>
      <c r="Z1447" s="609" t="s">
        <v>540</v>
      </c>
      <c r="AA1447" s="609" t="s">
        <v>3137</v>
      </c>
    </row>
    <row r="1448" spans="1:31" ht="18.75" thickTop="1">
      <c r="A1448" s="2712"/>
      <c r="B1448" s="371"/>
      <c r="C1448" s="371" t="s">
        <v>2565</v>
      </c>
      <c r="D1448" s="371"/>
      <c r="F1448" s="294"/>
      <c r="G1448" s="354"/>
      <c r="H1448" s="459" t="str">
        <f ca="1">IF(OR(H1447=0,H1447=""),"√","？")</f>
        <v>√</v>
      </c>
      <c r="I1448" s="317"/>
      <c r="J1448" s="459" t="str">
        <f ca="1">IF(OR(J1447=0,J1447=""),"√","？")</f>
        <v>√</v>
      </c>
      <c r="K1448" s="317"/>
      <c r="L1448" s="317"/>
      <c r="M1448" s="2645"/>
      <c r="N1448" s="1602"/>
      <c r="O1448" s="1602"/>
      <c r="P1448" s="1602"/>
      <c r="Q1448" s="1602"/>
      <c r="R1448" s="1602"/>
      <c r="S1448" s="364"/>
      <c r="Z1448" s="609" t="s">
        <v>540</v>
      </c>
      <c r="AA1448" s="609" t="s">
        <v>3137</v>
      </c>
    </row>
    <row r="1449" spans="1:31" ht="18">
      <c r="A1449" s="2712"/>
      <c r="B1449" s="371"/>
      <c r="C1449" s="371" t="s">
        <v>2565</v>
      </c>
      <c r="D1449" s="371"/>
      <c r="F1449" s="294"/>
      <c r="G1449" s="460" t="s">
        <v>2759</v>
      </c>
      <c r="H1449" s="461"/>
      <c r="I1449" s="317"/>
      <c r="J1449" s="461"/>
      <c r="K1449" s="352">
        <f ca="1">SUMIF($H$1448:$M$1448,"&lt;&gt;√",$H$1447:$M$1447)</f>
        <v>0</v>
      </c>
      <c r="L1449" s="353" t="str">
        <f ca="1">IF(OR(K1449=0,K1449=""),"√","？")</f>
        <v>√</v>
      </c>
      <c r="M1449" s="2645"/>
      <c r="N1449" s="1602"/>
      <c r="O1449" s="1602"/>
      <c r="P1449" s="1602"/>
      <c r="Q1449" s="1602"/>
      <c r="R1449" s="1602"/>
      <c r="S1449" s="364"/>
      <c r="Z1449" s="609" t="s">
        <v>540</v>
      </c>
      <c r="AA1449" s="609" t="s">
        <v>3137</v>
      </c>
    </row>
    <row r="1450" spans="1:31" ht="18">
      <c r="A1450" s="2712"/>
      <c r="B1450" s="371"/>
      <c r="C1450" s="371" t="s">
        <v>2565</v>
      </c>
      <c r="D1450" s="371"/>
      <c r="F1450" s="294"/>
      <c r="G1450" s="354"/>
      <c r="H1450" s="461"/>
      <c r="I1450" s="317"/>
      <c r="J1450" s="461"/>
      <c r="K1450" s="317"/>
      <c r="L1450" s="317"/>
      <c r="M1450" s="2645"/>
      <c r="N1450" s="1602"/>
      <c r="O1450" s="1602"/>
      <c r="P1450" s="1602"/>
      <c r="Q1450" s="1602"/>
      <c r="R1450" s="1602"/>
      <c r="S1450" s="364"/>
      <c r="Z1450" s="609" t="s">
        <v>540</v>
      </c>
      <c r="AA1450" s="609" t="s">
        <v>3137</v>
      </c>
    </row>
    <row r="1451" spans="1:31" ht="36" hidden="1">
      <c r="A1451" s="2712" t="s">
        <v>641</v>
      </c>
      <c r="B1451" s="371">
        <v>6</v>
      </c>
      <c r="C1451" s="371"/>
      <c r="D1451" s="2714" t="str">
        <f>VLOOKUP($A1451,Sheet_NoteList,2,0)</f>
        <v>组合中采用余额百分比法计提坏账准备的其他应收款</v>
      </c>
      <c r="E1451" s="2714" t="s">
        <v>6620</v>
      </c>
      <c r="F1451" s="294"/>
      <c r="G1451" s="372" t="str">
        <f>"("&amp;B1451&amp;")"&amp;D1451</f>
        <v>(6)组合中采用余额百分比法计提坏账准备的其他应收款</v>
      </c>
      <c r="H1451" s="1515" t="str">
        <f>$A1451</f>
        <v>1221e</v>
      </c>
      <c r="I1451" s="343" t="s">
        <v>6614</v>
      </c>
      <c r="J1451" s="301" t="s">
        <v>6612</v>
      </c>
      <c r="K1451" s="344">
        <f>H1459-I1459</f>
        <v>0</v>
      </c>
      <c r="L1451" s="345" t="str">
        <f>IF($I1451="适用",IF(ROUND(K988-K1451,2)&gt;=0,"","#Logical!"),"#N/A")</f>
        <v>#N/A</v>
      </c>
      <c r="M1451" s="301" t="s">
        <v>6613</v>
      </c>
      <c r="N1451" s="423"/>
      <c r="O1451" s="345" t="str">
        <f>IF(ROUND(N1380-N1451,2)&gt;=0,"","#Logical!")</f>
        <v/>
      </c>
      <c r="P1451" s="301"/>
      <c r="Q1451" s="290" t="str">
        <f>IF($I1451="不适用","",IF(ROUND(SUM($H$1454:$K$1459),2)=0,"请输入",""))</f>
        <v/>
      </c>
      <c r="S1451" s="364"/>
      <c r="Z1451" s="609" t="s">
        <v>540</v>
      </c>
      <c r="AA1451" s="609" t="s">
        <v>3137</v>
      </c>
      <c r="AE1451" s="369" t="s">
        <v>2761</v>
      </c>
    </row>
    <row r="1452" spans="1:31" ht="0.75" hidden="1" customHeight="1" thickBot="1">
      <c r="A1452" s="2712"/>
      <c r="B1452" s="371"/>
      <c r="C1452" s="371"/>
      <c r="D1452" s="371"/>
      <c r="E1452" s="586"/>
      <c r="F1452" s="518"/>
      <c r="G1452" s="518" t="s">
        <v>3174</v>
      </c>
      <c r="H1452" s="304" t="s">
        <v>2849</v>
      </c>
      <c r="I1452" s="304" t="s">
        <v>2996</v>
      </c>
      <c r="J1452" s="304" t="s">
        <v>2997</v>
      </c>
      <c r="K1452" s="304" t="s">
        <v>3007</v>
      </c>
      <c r="M1452" s="291"/>
      <c r="N1452" s="291"/>
      <c r="O1452" s="291"/>
      <c r="S1452" s="364"/>
      <c r="Z1452" s="609" t="s">
        <v>540</v>
      </c>
      <c r="AA1452" s="609" t="s">
        <v>3137</v>
      </c>
      <c r="AE1452" s="369" t="s">
        <v>2761</v>
      </c>
    </row>
    <row r="1453" spans="1:31" ht="18" hidden="1">
      <c r="A1453" s="2712"/>
      <c r="B1453" s="371"/>
      <c r="C1453" s="371"/>
      <c r="D1453" s="371"/>
      <c r="E1453" s="586" t="s">
        <v>2749</v>
      </c>
      <c r="F1453" s="363"/>
      <c r="G1453" s="2286" t="s">
        <v>3008</v>
      </c>
      <c r="H1453" s="2288" t="s">
        <v>2861</v>
      </c>
      <c r="I1453" s="2288" t="s">
        <v>2862</v>
      </c>
      <c r="J1453" s="2288" t="s">
        <v>3001</v>
      </c>
      <c r="K1453" s="2279" t="s">
        <v>2994</v>
      </c>
      <c r="L1453" s="424" t="s">
        <v>5988</v>
      </c>
      <c r="M1453" s="291"/>
      <c r="N1453" s="291"/>
      <c r="O1453" s="291"/>
      <c r="S1453" s="364"/>
      <c r="Z1453" s="609" t="s">
        <v>540</v>
      </c>
      <c r="AA1453" s="609" t="s">
        <v>3137</v>
      </c>
      <c r="AE1453" s="369" t="s">
        <v>2761</v>
      </c>
    </row>
    <row r="1454" spans="1:31" ht="18" hidden="1">
      <c r="A1454" s="2712"/>
      <c r="B1454" s="371">
        <v>101</v>
      </c>
      <c r="C1454" s="371" t="s">
        <v>2791</v>
      </c>
      <c r="D1454" s="2714">
        <f t="shared" ref="D1454:D1459" si="129">IF(OR(G1454="*",G1454="",G1454=0),0,COUNTIF($G$1454:$G$1459,G1454))</f>
        <v>1</v>
      </c>
      <c r="E1454" s="2719">
        <v>1</v>
      </c>
      <c r="F1454" s="294"/>
      <c r="G1454" s="2282" t="s">
        <v>3009</v>
      </c>
      <c r="H1454" s="2273"/>
      <c r="I1454" s="2273"/>
      <c r="J1454" s="2263" t="str">
        <f t="shared" ref="J1454:J1459" si="130">IF(H1454*I1454=0,"",ROUND(I1454*100/H1454,2))</f>
        <v/>
      </c>
      <c r="K1454" s="1475">
        <f>H1454-I1454</f>
        <v>0</v>
      </c>
      <c r="L1454" s="355" t="s">
        <v>6174</v>
      </c>
      <c r="M1454" s="291"/>
      <c r="N1454" s="291"/>
      <c r="O1454" s="291"/>
      <c r="S1454" s="364"/>
      <c r="Z1454" s="609" t="s">
        <v>540</v>
      </c>
      <c r="AA1454" s="609" t="s">
        <v>3137</v>
      </c>
      <c r="AE1454" s="369" t="s">
        <v>2761</v>
      </c>
    </row>
    <row r="1455" spans="1:31" ht="18" hidden="1">
      <c r="A1455" s="2712"/>
      <c r="B1455" s="371">
        <v>102</v>
      </c>
      <c r="C1455" s="371" t="s">
        <v>2791</v>
      </c>
      <c r="D1455" s="2714">
        <f t="shared" si="129"/>
        <v>1</v>
      </c>
      <c r="E1455" s="2719">
        <v>1</v>
      </c>
      <c r="F1455" s="294"/>
      <c r="G1455" s="2282" t="s">
        <v>3010</v>
      </c>
      <c r="H1455" s="2273"/>
      <c r="I1455" s="2273"/>
      <c r="J1455" s="2263" t="str">
        <f t="shared" si="130"/>
        <v/>
      </c>
      <c r="K1455" s="1475">
        <f>H1455-I1455</f>
        <v>0</v>
      </c>
      <c r="M1455" s="291"/>
      <c r="N1455" s="291"/>
      <c r="O1455" s="291"/>
      <c r="S1455" s="364"/>
      <c r="Z1455" s="609" t="s">
        <v>540</v>
      </c>
      <c r="AA1455" s="609" t="s">
        <v>3137</v>
      </c>
      <c r="AE1455" s="369" t="s">
        <v>2761</v>
      </c>
    </row>
    <row r="1456" spans="1:31" ht="18" hidden="1">
      <c r="A1456" s="2712"/>
      <c r="B1456" s="371">
        <v>103</v>
      </c>
      <c r="C1456" s="371" t="s">
        <v>2791</v>
      </c>
      <c r="D1456" s="2714">
        <f t="shared" si="129"/>
        <v>1</v>
      </c>
      <c r="E1456" s="2719">
        <v>1</v>
      </c>
      <c r="F1456" s="294"/>
      <c r="G1456" s="2282" t="s">
        <v>3011</v>
      </c>
      <c r="H1456" s="2273"/>
      <c r="I1456" s="2273"/>
      <c r="J1456" s="2263" t="str">
        <f t="shared" si="130"/>
        <v/>
      </c>
      <c r="K1456" s="1475">
        <f>H1456-I1456</f>
        <v>0</v>
      </c>
      <c r="M1456" s="291"/>
      <c r="N1456" s="291"/>
      <c r="O1456" s="291"/>
      <c r="S1456" s="364"/>
      <c r="Z1456" s="609" t="s">
        <v>540</v>
      </c>
      <c r="AA1456" s="609" t="s">
        <v>3137</v>
      </c>
      <c r="AE1456" s="369" t="s">
        <v>2761</v>
      </c>
    </row>
    <row r="1457" spans="1:31" ht="18" hidden="1">
      <c r="A1457" s="2712"/>
      <c r="B1457" s="371">
        <v>104</v>
      </c>
      <c r="C1457" s="371" t="s">
        <v>2791</v>
      </c>
      <c r="D1457" s="2714">
        <f t="shared" si="129"/>
        <v>1</v>
      </c>
      <c r="E1457" s="2719">
        <v>1</v>
      </c>
      <c r="F1457" s="294"/>
      <c r="G1457" s="2282" t="s">
        <v>3012</v>
      </c>
      <c r="H1457" s="2273"/>
      <c r="I1457" s="2273"/>
      <c r="J1457" s="2263" t="str">
        <f t="shared" si="130"/>
        <v/>
      </c>
      <c r="K1457" s="1475">
        <f>H1457-I1457</f>
        <v>0</v>
      </c>
      <c r="M1457" s="291"/>
      <c r="N1457" s="291"/>
      <c r="O1457" s="291"/>
      <c r="S1457" s="364"/>
      <c r="Z1457" s="609" t="s">
        <v>540</v>
      </c>
      <c r="AA1457" s="609" t="s">
        <v>3137</v>
      </c>
      <c r="AE1457" s="369" t="s">
        <v>2761</v>
      </c>
    </row>
    <row r="1458" spans="1:31" ht="18" hidden="1">
      <c r="A1458" s="2712"/>
      <c r="B1458" s="371">
        <v>105</v>
      </c>
      <c r="C1458" s="371" t="s">
        <v>2791</v>
      </c>
      <c r="D1458" s="2714">
        <f t="shared" si="129"/>
        <v>1</v>
      </c>
      <c r="E1458" s="2719">
        <v>1</v>
      </c>
      <c r="F1458" s="294"/>
      <c r="G1458" s="2282" t="s">
        <v>3013</v>
      </c>
      <c r="H1458" s="2273"/>
      <c r="I1458" s="2273"/>
      <c r="J1458" s="2263" t="str">
        <f t="shared" si="130"/>
        <v/>
      </c>
      <c r="K1458" s="1475">
        <f>H1458-I1458</f>
        <v>0</v>
      </c>
      <c r="M1458" s="291"/>
      <c r="N1458" s="291"/>
      <c r="O1458" s="291"/>
      <c r="S1458" s="364"/>
      <c r="Z1458" s="609" t="s">
        <v>540</v>
      </c>
      <c r="AA1458" s="609" t="s">
        <v>3137</v>
      </c>
      <c r="AE1458" s="369" t="s">
        <v>2761</v>
      </c>
    </row>
    <row r="1459" spans="1:31" ht="18.75" hidden="1" thickBot="1">
      <c r="A1459" s="2712"/>
      <c r="B1459" s="371"/>
      <c r="C1459" s="371"/>
      <c r="D1459" s="2714">
        <f t="shared" si="129"/>
        <v>1</v>
      </c>
      <c r="E1459" s="2719" t="s">
        <v>2751</v>
      </c>
      <c r="F1459" s="294"/>
      <c r="G1459" s="1527" t="s">
        <v>2752</v>
      </c>
      <c r="H1459" s="1525">
        <f>SUMPRODUCT($E1453:$E1458,H1453:H1458)</f>
        <v>0</v>
      </c>
      <c r="I1459" s="1525">
        <f>SUMPRODUCT($E1453:$E1458,I1453:I1458)</f>
        <v>0</v>
      </c>
      <c r="J1459" s="1565" t="str">
        <f t="shared" si="130"/>
        <v/>
      </c>
      <c r="K1459" s="1526">
        <f>SUMPRODUCT($E1453:$E1458,K1453:K1458)</f>
        <v>0</v>
      </c>
      <c r="M1459" s="291"/>
      <c r="N1459" s="291"/>
      <c r="O1459" s="291"/>
      <c r="S1459" s="364"/>
      <c r="Z1459" s="609" t="s">
        <v>540</v>
      </c>
      <c r="AA1459" s="609" t="s">
        <v>3137</v>
      </c>
      <c r="AE1459" s="369" t="s">
        <v>2761</v>
      </c>
    </row>
    <row r="1460" spans="1:31" ht="18" hidden="1">
      <c r="A1460" s="2712"/>
      <c r="B1460" s="371"/>
      <c r="C1460" s="371" t="s">
        <v>2755</v>
      </c>
      <c r="D1460" s="371"/>
      <c r="F1460" s="294"/>
      <c r="G1460" s="301"/>
      <c r="H1460" s="315"/>
      <c r="I1460" s="315"/>
      <c r="J1460" s="393"/>
      <c r="K1460" s="315"/>
      <c r="L1460" s="291"/>
      <c r="M1460" s="291"/>
      <c r="N1460" s="291"/>
      <c r="O1460" s="291"/>
      <c r="S1460" s="364"/>
      <c r="Z1460" s="609" t="s">
        <v>540</v>
      </c>
      <c r="AA1460" s="609" t="s">
        <v>3137</v>
      </c>
      <c r="AE1460" s="369" t="s">
        <v>2761</v>
      </c>
    </row>
    <row r="1461" spans="1:31" ht="24" hidden="1">
      <c r="A1461" s="2712" t="s">
        <v>647</v>
      </c>
      <c r="B1461" s="371">
        <v>7</v>
      </c>
      <c r="C1461" s="371"/>
      <c r="D1461" s="2714" t="str">
        <f>VLOOKUP($A1461,Sheet_NoteList,2,0)</f>
        <v>组合中采用其他方法计提坏账准备的其他应收款</v>
      </c>
      <c r="E1461" s="2714" t="s">
        <v>6611</v>
      </c>
      <c r="F1461" s="294"/>
      <c r="G1461" s="372" t="str">
        <f>"("&amp;B1461&amp;")"&amp;D1461</f>
        <v>(7)组合中采用其他方法计提坏账准备的其他应收款</v>
      </c>
      <c r="H1461" s="1515" t="str">
        <f>$A1461</f>
        <v>1221f</v>
      </c>
      <c r="I1461" s="343" t="s">
        <v>6609</v>
      </c>
      <c r="J1461" s="301" t="s">
        <v>6607</v>
      </c>
      <c r="K1461" s="344">
        <f>J1469</f>
        <v>0</v>
      </c>
      <c r="L1461" s="345" t="str">
        <f>IF($I1461="适用",IF(ROUND(K$988-K1461,2)&gt;=0,"","#Logical!"),"#N/A")</f>
        <v>#N/A</v>
      </c>
      <c r="M1461" s="301" t="s">
        <v>6613</v>
      </c>
      <c r="N1461" s="423"/>
      <c r="O1461" s="345"/>
      <c r="P1461" s="301"/>
      <c r="Q1461" s="290" t="str">
        <f>IF($I1461="不适用","",IF(ROUND(SUM($H$1464:$L$1469),2)=0,"请输入",""))</f>
        <v/>
      </c>
      <c r="S1461" s="364"/>
      <c r="Z1461" s="609" t="s">
        <v>540</v>
      </c>
      <c r="AA1461" s="609" t="s">
        <v>3137</v>
      </c>
      <c r="AE1461" s="369" t="s">
        <v>2761</v>
      </c>
    </row>
    <row r="1462" spans="1:31" ht="0.75" hidden="1" customHeight="1" thickBot="1">
      <c r="A1462" s="2712"/>
      <c r="B1462" s="371"/>
      <c r="C1462" s="371"/>
      <c r="D1462" s="371"/>
      <c r="E1462" s="586"/>
      <c r="F1462" s="518"/>
      <c r="G1462" s="518" t="s">
        <v>3175</v>
      </c>
      <c r="H1462" s="304" t="s">
        <v>2849</v>
      </c>
      <c r="I1462" s="304" t="s">
        <v>2996</v>
      </c>
      <c r="J1462" s="304" t="s">
        <v>3015</v>
      </c>
      <c r="K1462" s="304" t="s">
        <v>3016</v>
      </c>
      <c r="L1462" s="304" t="s">
        <v>3017</v>
      </c>
      <c r="M1462" s="291"/>
      <c r="N1462" s="291"/>
      <c r="S1462" s="364"/>
      <c r="Z1462" s="609" t="s">
        <v>540</v>
      </c>
      <c r="AA1462" s="609" t="s">
        <v>3137</v>
      </c>
      <c r="AE1462" s="369" t="s">
        <v>2761</v>
      </c>
    </row>
    <row r="1463" spans="1:31" ht="18" hidden="1">
      <c r="A1463" s="2712"/>
      <c r="B1463" s="371"/>
      <c r="C1463" s="371"/>
      <c r="D1463" s="371"/>
      <c r="E1463" s="586" t="s">
        <v>2749</v>
      </c>
      <c r="F1463" s="363"/>
      <c r="G1463" s="2286" t="s">
        <v>3008</v>
      </c>
      <c r="H1463" s="2288" t="s">
        <v>2861</v>
      </c>
      <c r="I1463" s="2288" t="s">
        <v>2862</v>
      </c>
      <c r="J1463" s="2288" t="s">
        <v>2994</v>
      </c>
      <c r="K1463" s="2288" t="s">
        <v>3001</v>
      </c>
      <c r="L1463" s="2279" t="s">
        <v>2899</v>
      </c>
      <c r="M1463" s="424" t="s">
        <v>5988</v>
      </c>
      <c r="N1463" s="291"/>
      <c r="S1463" s="364"/>
      <c r="Z1463" s="609" t="s">
        <v>540</v>
      </c>
      <c r="AA1463" s="609" t="s">
        <v>3137</v>
      </c>
      <c r="AE1463" s="369" t="s">
        <v>2761</v>
      </c>
    </row>
    <row r="1464" spans="1:31" ht="18" hidden="1">
      <c r="A1464" s="2712"/>
      <c r="B1464" s="371">
        <v>101</v>
      </c>
      <c r="C1464" s="371" t="s">
        <v>2791</v>
      </c>
      <c r="D1464" s="2714">
        <f t="shared" ref="D1464:D1469" si="131">IF(OR(G1464="*",G1464="",G1464=0),0,COUNTIF($G$1464:$G$1469,G1464))</f>
        <v>1</v>
      </c>
      <c r="E1464" s="2719">
        <v>1</v>
      </c>
      <c r="F1464" s="294"/>
      <c r="G1464" s="2282" t="s">
        <v>3009</v>
      </c>
      <c r="H1464" s="2273"/>
      <c r="I1464" s="2273"/>
      <c r="J1464" s="1474">
        <f>H1464-I1464</f>
        <v>0</v>
      </c>
      <c r="K1464" s="2263" t="str">
        <f t="shared" ref="K1464:K1469" si="132">IF(H1464*I1464=0,"",ROUND(I1464*100/H1464,2))</f>
        <v/>
      </c>
      <c r="L1464" s="2274"/>
      <c r="M1464" s="355" t="s">
        <v>6174</v>
      </c>
      <c r="N1464" s="291"/>
      <c r="S1464" s="364"/>
      <c r="Z1464" s="609" t="s">
        <v>540</v>
      </c>
      <c r="AA1464" s="609" t="s">
        <v>3137</v>
      </c>
      <c r="AE1464" s="369" t="s">
        <v>2761</v>
      </c>
    </row>
    <row r="1465" spans="1:31" ht="18" hidden="1">
      <c r="A1465" s="2712"/>
      <c r="B1465" s="371">
        <v>102</v>
      </c>
      <c r="C1465" s="371" t="s">
        <v>2791</v>
      </c>
      <c r="D1465" s="2714">
        <f t="shared" si="131"/>
        <v>1</v>
      </c>
      <c r="E1465" s="2719">
        <v>1</v>
      </c>
      <c r="F1465" s="294"/>
      <c r="G1465" s="2282" t="s">
        <v>3010</v>
      </c>
      <c r="H1465" s="2273"/>
      <c r="I1465" s="2273"/>
      <c r="J1465" s="1474">
        <f>H1465-I1465</f>
        <v>0</v>
      </c>
      <c r="K1465" s="2263" t="str">
        <f t="shared" si="132"/>
        <v/>
      </c>
      <c r="L1465" s="2274"/>
      <c r="M1465" s="291"/>
      <c r="N1465" s="291"/>
      <c r="S1465" s="364"/>
      <c r="Z1465" s="609" t="s">
        <v>540</v>
      </c>
      <c r="AA1465" s="609" t="s">
        <v>3137</v>
      </c>
      <c r="AE1465" s="369" t="s">
        <v>2761</v>
      </c>
    </row>
    <row r="1466" spans="1:31" ht="18" hidden="1">
      <c r="A1466" s="2712"/>
      <c r="B1466" s="371">
        <v>103</v>
      </c>
      <c r="C1466" s="371" t="s">
        <v>2791</v>
      </c>
      <c r="D1466" s="2714">
        <f t="shared" si="131"/>
        <v>1</v>
      </c>
      <c r="E1466" s="2719">
        <v>1</v>
      </c>
      <c r="F1466" s="294"/>
      <c r="G1466" s="2282" t="s">
        <v>3011</v>
      </c>
      <c r="H1466" s="2273"/>
      <c r="I1466" s="2273"/>
      <c r="J1466" s="1474">
        <f>H1466-I1466</f>
        <v>0</v>
      </c>
      <c r="K1466" s="2263" t="str">
        <f t="shared" si="132"/>
        <v/>
      </c>
      <c r="L1466" s="2274"/>
      <c r="M1466" s="291"/>
      <c r="N1466" s="291"/>
      <c r="S1466" s="364"/>
      <c r="Z1466" s="609" t="s">
        <v>540</v>
      </c>
      <c r="AA1466" s="609" t="s">
        <v>3137</v>
      </c>
      <c r="AE1466" s="369" t="s">
        <v>2761</v>
      </c>
    </row>
    <row r="1467" spans="1:31" ht="18" hidden="1">
      <c r="A1467" s="2712"/>
      <c r="B1467" s="371">
        <v>104</v>
      </c>
      <c r="C1467" s="371" t="s">
        <v>2791</v>
      </c>
      <c r="D1467" s="2714">
        <f t="shared" si="131"/>
        <v>1</v>
      </c>
      <c r="E1467" s="2719">
        <v>1</v>
      </c>
      <c r="F1467" s="294"/>
      <c r="G1467" s="2282" t="s">
        <v>3012</v>
      </c>
      <c r="H1467" s="2273"/>
      <c r="I1467" s="2273"/>
      <c r="J1467" s="1474">
        <f>H1467-I1467</f>
        <v>0</v>
      </c>
      <c r="K1467" s="2263" t="str">
        <f t="shared" si="132"/>
        <v/>
      </c>
      <c r="L1467" s="2274"/>
      <c r="M1467" s="291"/>
      <c r="N1467" s="291"/>
      <c r="S1467" s="364"/>
      <c r="Z1467" s="609" t="s">
        <v>540</v>
      </c>
      <c r="AA1467" s="609" t="s">
        <v>3137</v>
      </c>
      <c r="AE1467" s="369" t="s">
        <v>2761</v>
      </c>
    </row>
    <row r="1468" spans="1:31" ht="18" hidden="1">
      <c r="A1468" s="2712"/>
      <c r="B1468" s="371">
        <v>105</v>
      </c>
      <c r="C1468" s="371" t="s">
        <v>2791</v>
      </c>
      <c r="D1468" s="2714">
        <f t="shared" si="131"/>
        <v>1</v>
      </c>
      <c r="E1468" s="2719">
        <v>1</v>
      </c>
      <c r="F1468" s="294"/>
      <c r="G1468" s="2282" t="s">
        <v>3013</v>
      </c>
      <c r="H1468" s="2273"/>
      <c r="I1468" s="2273"/>
      <c r="J1468" s="1474">
        <f>H1468-I1468</f>
        <v>0</v>
      </c>
      <c r="K1468" s="2263" t="str">
        <f t="shared" si="132"/>
        <v/>
      </c>
      <c r="L1468" s="2274"/>
      <c r="M1468" s="291"/>
      <c r="N1468" s="291"/>
      <c r="S1468" s="364"/>
      <c r="Z1468" s="609" t="s">
        <v>540</v>
      </c>
      <c r="AA1468" s="609" t="s">
        <v>3137</v>
      </c>
      <c r="AE1468" s="369" t="s">
        <v>2761</v>
      </c>
    </row>
    <row r="1469" spans="1:31" ht="18.75" hidden="1" thickBot="1">
      <c r="A1469" s="2712"/>
      <c r="B1469" s="371"/>
      <c r="C1469" s="371"/>
      <c r="D1469" s="2714">
        <f t="shared" si="131"/>
        <v>1</v>
      </c>
      <c r="E1469" s="2719" t="s">
        <v>2751</v>
      </c>
      <c r="F1469" s="294"/>
      <c r="G1469" s="1527" t="s">
        <v>2752</v>
      </c>
      <c r="H1469" s="1525">
        <f>SUMPRODUCT($E1463:$E1468,H1463:H1468)</f>
        <v>0</v>
      </c>
      <c r="I1469" s="1525">
        <f>SUMPRODUCT($E1463:$E1468,I1463:I1468)</f>
        <v>0</v>
      </c>
      <c r="J1469" s="1525">
        <f>SUMPRODUCT($E1463:$E1468,J1463:J1468)</f>
        <v>0</v>
      </c>
      <c r="K1469" s="1565" t="str">
        <f t="shared" si="132"/>
        <v/>
      </c>
      <c r="L1469" s="2264"/>
      <c r="M1469" s="291"/>
      <c r="N1469" s="291"/>
      <c r="S1469" s="364"/>
      <c r="Z1469" s="609" t="s">
        <v>540</v>
      </c>
      <c r="AA1469" s="609" t="s">
        <v>3137</v>
      </c>
      <c r="AE1469" s="369" t="s">
        <v>2761</v>
      </c>
    </row>
    <row r="1470" spans="1:31" ht="18" hidden="1">
      <c r="A1470" s="2712"/>
      <c r="B1470" s="371"/>
      <c r="C1470" s="371" t="s">
        <v>2755</v>
      </c>
      <c r="D1470" s="371"/>
      <c r="F1470" s="294"/>
      <c r="G1470" s="301"/>
      <c r="H1470" s="315"/>
      <c r="I1470" s="315"/>
      <c r="J1470" s="315"/>
      <c r="K1470" s="393"/>
      <c r="L1470" s="393"/>
      <c r="M1470" s="291"/>
      <c r="N1470" s="291"/>
      <c r="S1470" s="364"/>
      <c r="Z1470" s="609" t="s">
        <v>540</v>
      </c>
      <c r="AA1470" s="609" t="s">
        <v>3137</v>
      </c>
      <c r="AE1470" s="369" t="s">
        <v>2761</v>
      </c>
    </row>
    <row r="1471" spans="1:31" ht="24">
      <c r="A1471" s="2712" t="s">
        <v>579</v>
      </c>
      <c r="B1471" s="371">
        <v>4</v>
      </c>
      <c r="C1471" s="371"/>
      <c r="D1471" s="2714" t="str">
        <f>VLOOKUP($A1471,Sheet_NoteList,2,0)</f>
        <v>本期其他应收款坏账准备的变动情况</v>
      </c>
      <c r="E1471" s="2714" t="s">
        <v>2742</v>
      </c>
      <c r="F1471" s="293"/>
      <c r="G1471" s="372" t="str">
        <f>"("&amp;B1471&amp;")"&amp;D1471</f>
        <v>(4)本期其他应收款坏账准备的变动情况</v>
      </c>
      <c r="H1471" s="1515" t="str">
        <f>$A1471</f>
        <v>1221y</v>
      </c>
      <c r="I1471" s="343" t="s">
        <v>2743</v>
      </c>
      <c r="J1471" s="301" t="s">
        <v>2744</v>
      </c>
      <c r="K1471" s="2208">
        <f>N1484</f>
        <v>6350342.7300000004</v>
      </c>
      <c r="L1471" s="349"/>
      <c r="M1471" s="301" t="s">
        <v>2745</v>
      </c>
      <c r="N1471" s="2208">
        <f>H1484</f>
        <v>6096165.3700000001</v>
      </c>
      <c r="O1471" s="349"/>
      <c r="P1471" s="301"/>
      <c r="S1471" s="364"/>
      <c r="Z1471" s="609" t="s">
        <v>540</v>
      </c>
      <c r="AA1471" s="609" t="s">
        <v>3137</v>
      </c>
    </row>
    <row r="1472" spans="1:31" ht="0.75" customHeight="1">
      <c r="A1472" s="2712"/>
      <c r="B1472" s="371"/>
      <c r="C1472" s="371"/>
      <c r="D1472" s="2714"/>
      <c r="E1472" s="586"/>
      <c r="F1472" s="586"/>
      <c r="G1472" s="2222" t="s">
        <v>3164</v>
      </c>
      <c r="H1472" s="371" t="s">
        <v>2747</v>
      </c>
      <c r="I1472" s="371" t="s">
        <v>2748</v>
      </c>
      <c r="J1472" s="371" t="s">
        <v>2948</v>
      </c>
      <c r="K1472" s="547" t="s">
        <v>3165</v>
      </c>
      <c r="L1472" s="547" t="s">
        <v>3166</v>
      </c>
      <c r="M1472" s="371" t="s">
        <v>3167</v>
      </c>
      <c r="N1472" s="547" t="s">
        <v>3037</v>
      </c>
      <c r="O1472" s="428"/>
      <c r="P1472" s="433"/>
      <c r="Q1472" s="442"/>
      <c r="R1472" s="443"/>
      <c r="S1472" s="364"/>
      <c r="Z1472" s="609" t="s">
        <v>540</v>
      </c>
      <c r="AA1472" s="609" t="s">
        <v>3137</v>
      </c>
    </row>
    <row r="1473" spans="1:27" ht="0.75" customHeight="1" thickBot="1">
      <c r="A1473" s="2712"/>
      <c r="B1473" s="371"/>
      <c r="C1473" s="371"/>
      <c r="D1473" s="2714"/>
      <c r="E1473" s="586"/>
      <c r="F1473" s="586"/>
      <c r="G1473" s="2222"/>
      <c r="H1473" s="371" t="s">
        <v>2911</v>
      </c>
      <c r="I1473" s="371" t="s">
        <v>2912</v>
      </c>
      <c r="J1473" s="371" t="s">
        <v>3038</v>
      </c>
      <c r="K1473" s="547" t="s">
        <v>2914</v>
      </c>
      <c r="L1473" s="547" t="s">
        <v>2915</v>
      </c>
      <c r="M1473" s="371" t="s">
        <v>2916</v>
      </c>
      <c r="N1473" s="547" t="s">
        <v>2917</v>
      </c>
      <c r="O1473" s="428"/>
      <c r="P1473" s="433"/>
      <c r="Q1473" s="442"/>
      <c r="R1473" s="443"/>
      <c r="S1473" s="364"/>
      <c r="Z1473" s="609" t="s">
        <v>540</v>
      </c>
      <c r="AA1473" s="609" t="s">
        <v>3137</v>
      </c>
    </row>
    <row r="1474" spans="1:27" ht="18" customHeight="1">
      <c r="A1474" s="2712"/>
      <c r="B1474" s="371"/>
      <c r="C1474" s="371"/>
      <c r="D1474" s="2714"/>
      <c r="E1474" s="586" t="s">
        <v>2749</v>
      </c>
      <c r="F1474" s="414"/>
      <c r="G1474" s="3462" t="s">
        <v>6007</v>
      </c>
      <c r="H1474" s="3468" t="str">
        <f>$V$3</f>
        <v>2018年12月31日</v>
      </c>
      <c r="I1474" s="3466" t="s">
        <v>6008</v>
      </c>
      <c r="J1474" s="3468" t="str">
        <f>$X$3</f>
        <v>2019年1月1日</v>
      </c>
      <c r="K1474" s="3496" t="s">
        <v>2919</v>
      </c>
      <c r="L1474" s="3496"/>
      <c r="M1474" s="3496"/>
      <c r="N1474" s="3579" t="str">
        <f>$V$2</f>
        <v>2019年12月31日</v>
      </c>
      <c r="O1474" s="355" t="s">
        <v>5271</v>
      </c>
      <c r="P1474" s="433"/>
      <c r="Q1474" s="442"/>
      <c r="R1474" s="443"/>
      <c r="S1474" s="364"/>
      <c r="Z1474" s="609" t="s">
        <v>540</v>
      </c>
      <c r="AA1474" s="609" t="s">
        <v>3137</v>
      </c>
    </row>
    <row r="1475" spans="1:27" ht="18">
      <c r="A1475" s="2712"/>
      <c r="B1475" s="371"/>
      <c r="C1475" s="371"/>
      <c r="D1475" s="2714"/>
      <c r="E1475" s="586" t="s">
        <v>2749</v>
      </c>
      <c r="F1475" s="414"/>
      <c r="G1475" s="3463"/>
      <c r="H1475" s="3469"/>
      <c r="I1475" s="3467"/>
      <c r="J1475" s="3469"/>
      <c r="K1475" s="2237" t="s">
        <v>6009</v>
      </c>
      <c r="L1475" s="2237" t="s">
        <v>6010</v>
      </c>
      <c r="M1475" s="2292" t="s">
        <v>6011</v>
      </c>
      <c r="N1475" s="3580"/>
      <c r="O1475" s="434"/>
      <c r="P1475" s="435"/>
      <c r="Q1475" s="442"/>
      <c r="R1475" s="443"/>
      <c r="S1475" s="364"/>
      <c r="Z1475" s="609" t="s">
        <v>540</v>
      </c>
      <c r="AA1475" s="609" t="s">
        <v>3137</v>
      </c>
    </row>
    <row r="1476" spans="1:27" ht="18">
      <c r="A1476" s="2712"/>
      <c r="B1476" s="371">
        <v>101</v>
      </c>
      <c r="C1476" s="371" t="s">
        <v>2791</v>
      </c>
      <c r="D1476" s="2714">
        <f t="shared" ref="D1476:D1484" si="133">IF(OR(G1476="*",G1476="",G1476=0),0,COUNTIF($G$1476:$G$1484,G1476))</f>
        <v>1</v>
      </c>
      <c r="E1476" s="2719">
        <v>1</v>
      </c>
      <c r="F1476" s="293"/>
      <c r="G1476" s="2282" t="s">
        <v>7466</v>
      </c>
      <c r="H1476" s="2273">
        <v>6096165.3700000001</v>
      </c>
      <c r="I1476" s="2273"/>
      <c r="J1476" s="1474">
        <f>SUM(H1476:I1476)</f>
        <v>6096165.3700000001</v>
      </c>
      <c r="K1476" s="2273">
        <f>AJE!O72+AJE!P185</f>
        <v>927942.8</v>
      </c>
      <c r="L1476" s="2273">
        <v>673765.44</v>
      </c>
      <c r="M1476" s="2273"/>
      <c r="N1476" s="1475">
        <f>SUM(J1476:K1476,-L1476,-M1476)</f>
        <v>6350342.7300000004</v>
      </c>
      <c r="O1476" s="437"/>
      <c r="P1476" s="438"/>
      <c r="Q1476" s="442"/>
      <c r="R1476" s="443"/>
      <c r="S1476" s="364"/>
      <c r="Z1476" s="609" t="s">
        <v>540</v>
      </c>
      <c r="AA1476" s="609" t="s">
        <v>3137</v>
      </c>
    </row>
    <row r="1477" spans="1:27" ht="18">
      <c r="A1477" s="2712"/>
      <c r="B1477" s="371">
        <v>102</v>
      </c>
      <c r="C1477" s="371" t="s">
        <v>2791</v>
      </c>
      <c r="D1477" s="2714">
        <f t="shared" si="133"/>
        <v>0</v>
      </c>
      <c r="E1477" s="2719">
        <v>1</v>
      </c>
      <c r="F1477" s="293"/>
      <c r="G1477" s="2282" t="s">
        <v>2792</v>
      </c>
      <c r="H1477" s="2273"/>
      <c r="I1477" s="2273"/>
      <c r="J1477" s="1474">
        <f t="shared" ref="J1477:J1483" si="134">SUM(H1477:I1477)</f>
        <v>0</v>
      </c>
      <c r="K1477" s="2273"/>
      <c r="L1477" s="2273"/>
      <c r="M1477" s="2273"/>
      <c r="N1477" s="1475">
        <f t="shared" ref="N1477:N1483" si="135">SUM(J1477:K1477,-L1477,-M1477)</f>
        <v>0</v>
      </c>
      <c r="O1477" s="437"/>
      <c r="P1477" s="438"/>
      <c r="Q1477" s="442"/>
      <c r="R1477" s="443"/>
      <c r="S1477" s="364"/>
      <c r="Z1477" s="609" t="s">
        <v>540</v>
      </c>
      <c r="AA1477" s="609" t="s">
        <v>3137</v>
      </c>
    </row>
    <row r="1478" spans="1:27" ht="18">
      <c r="A1478" s="2712"/>
      <c r="B1478" s="371">
        <v>103</v>
      </c>
      <c r="C1478" s="371" t="s">
        <v>2791</v>
      </c>
      <c r="D1478" s="2714">
        <f t="shared" si="133"/>
        <v>0</v>
      </c>
      <c r="E1478" s="2719">
        <v>1</v>
      </c>
      <c r="F1478" s="293"/>
      <c r="G1478" s="2282" t="s">
        <v>2792</v>
      </c>
      <c r="H1478" s="2273"/>
      <c r="I1478" s="2273"/>
      <c r="J1478" s="1474">
        <f t="shared" si="134"/>
        <v>0</v>
      </c>
      <c r="K1478" s="2273"/>
      <c r="L1478" s="2273"/>
      <c r="M1478" s="2273"/>
      <c r="N1478" s="1475">
        <f t="shared" si="135"/>
        <v>0</v>
      </c>
      <c r="O1478" s="437"/>
      <c r="P1478" s="438"/>
      <c r="Q1478" s="442"/>
      <c r="R1478" s="443"/>
      <c r="S1478" s="364"/>
      <c r="Z1478" s="609" t="s">
        <v>540</v>
      </c>
      <c r="AA1478" s="609" t="s">
        <v>3137</v>
      </c>
    </row>
    <row r="1479" spans="1:27" ht="18">
      <c r="A1479" s="2712"/>
      <c r="B1479" s="371">
        <v>104</v>
      </c>
      <c r="C1479" s="371" t="s">
        <v>2791</v>
      </c>
      <c r="D1479" s="2714">
        <f t="shared" si="133"/>
        <v>0</v>
      </c>
      <c r="E1479" s="2719">
        <v>1</v>
      </c>
      <c r="F1479" s="293"/>
      <c r="G1479" s="2282" t="s">
        <v>2792</v>
      </c>
      <c r="H1479" s="2273"/>
      <c r="I1479" s="2273"/>
      <c r="J1479" s="1474">
        <f t="shared" si="134"/>
        <v>0</v>
      </c>
      <c r="K1479" s="2273"/>
      <c r="L1479" s="2273"/>
      <c r="M1479" s="2273"/>
      <c r="N1479" s="1475">
        <f t="shared" si="135"/>
        <v>0</v>
      </c>
      <c r="O1479" s="437"/>
      <c r="P1479" s="438"/>
      <c r="Q1479" s="442"/>
      <c r="R1479" s="443"/>
      <c r="S1479" s="364"/>
      <c r="Z1479" s="609" t="s">
        <v>540</v>
      </c>
      <c r="AA1479" s="609" t="s">
        <v>3137</v>
      </c>
    </row>
    <row r="1480" spans="1:27" ht="18">
      <c r="A1480" s="2712"/>
      <c r="B1480" s="371">
        <v>105</v>
      </c>
      <c r="C1480" s="371" t="s">
        <v>2791</v>
      </c>
      <c r="D1480" s="2714">
        <f t="shared" si="133"/>
        <v>0</v>
      </c>
      <c r="E1480" s="2719">
        <v>1</v>
      </c>
      <c r="F1480" s="293"/>
      <c r="G1480" s="2282" t="s">
        <v>2792</v>
      </c>
      <c r="H1480" s="2273"/>
      <c r="I1480" s="2273"/>
      <c r="J1480" s="1474">
        <f t="shared" si="134"/>
        <v>0</v>
      </c>
      <c r="K1480" s="2273"/>
      <c r="L1480" s="2273"/>
      <c r="M1480" s="2273"/>
      <c r="N1480" s="1475">
        <f t="shared" si="135"/>
        <v>0</v>
      </c>
      <c r="O1480" s="437"/>
      <c r="P1480" s="438"/>
      <c r="Q1480" s="442"/>
      <c r="R1480" s="443"/>
      <c r="S1480" s="364"/>
      <c r="Z1480" s="609" t="s">
        <v>540</v>
      </c>
      <c r="AA1480" s="609" t="s">
        <v>3137</v>
      </c>
    </row>
    <row r="1481" spans="1:27" ht="18">
      <c r="A1481" s="2712"/>
      <c r="B1481" s="371">
        <v>106</v>
      </c>
      <c r="C1481" s="371" t="s">
        <v>2791</v>
      </c>
      <c r="D1481" s="2714">
        <f t="shared" si="133"/>
        <v>0</v>
      </c>
      <c r="E1481" s="2719">
        <v>1</v>
      </c>
      <c r="F1481" s="293"/>
      <c r="G1481" s="2282" t="s">
        <v>2792</v>
      </c>
      <c r="H1481" s="2273"/>
      <c r="I1481" s="2273"/>
      <c r="J1481" s="1474">
        <f t="shared" si="134"/>
        <v>0</v>
      </c>
      <c r="K1481" s="2273"/>
      <c r="L1481" s="2273"/>
      <c r="M1481" s="2273"/>
      <c r="N1481" s="1475">
        <f t="shared" si="135"/>
        <v>0</v>
      </c>
      <c r="O1481" s="437"/>
      <c r="P1481" s="438"/>
      <c r="Q1481" s="442"/>
      <c r="R1481" s="443"/>
      <c r="S1481" s="364"/>
      <c r="Z1481" s="609" t="s">
        <v>540</v>
      </c>
      <c r="AA1481" s="609" t="s">
        <v>3137</v>
      </c>
    </row>
    <row r="1482" spans="1:27" ht="18">
      <c r="A1482" s="2712"/>
      <c r="B1482" s="371">
        <v>107</v>
      </c>
      <c r="C1482" s="371" t="s">
        <v>2791</v>
      </c>
      <c r="D1482" s="2714">
        <f t="shared" si="133"/>
        <v>0</v>
      </c>
      <c r="E1482" s="2719">
        <v>1</v>
      </c>
      <c r="F1482" s="293"/>
      <c r="G1482" s="2282" t="s">
        <v>2792</v>
      </c>
      <c r="H1482" s="2273"/>
      <c r="I1482" s="2273"/>
      <c r="J1482" s="1474">
        <f t="shared" si="134"/>
        <v>0</v>
      </c>
      <c r="K1482" s="2273"/>
      <c r="L1482" s="2273"/>
      <c r="M1482" s="2273"/>
      <c r="N1482" s="1475">
        <f t="shared" si="135"/>
        <v>0</v>
      </c>
      <c r="O1482" s="437"/>
      <c r="P1482" s="438"/>
      <c r="Q1482" s="442"/>
      <c r="R1482" s="443"/>
      <c r="S1482" s="364"/>
      <c r="Z1482" s="609" t="s">
        <v>540</v>
      </c>
      <c r="AA1482" s="609" t="s">
        <v>3137</v>
      </c>
    </row>
    <row r="1483" spans="1:27" ht="18">
      <c r="A1483" s="2712"/>
      <c r="B1483" s="371">
        <v>108</v>
      </c>
      <c r="C1483" s="371" t="s">
        <v>2791</v>
      </c>
      <c r="D1483" s="2714">
        <f t="shared" si="133"/>
        <v>0</v>
      </c>
      <c r="E1483" s="2719">
        <v>1</v>
      </c>
      <c r="F1483" s="293"/>
      <c r="G1483" s="2282" t="s">
        <v>2792</v>
      </c>
      <c r="H1483" s="2273"/>
      <c r="I1483" s="2273"/>
      <c r="J1483" s="1474">
        <f t="shared" si="134"/>
        <v>0</v>
      </c>
      <c r="K1483" s="2273"/>
      <c r="L1483" s="2273"/>
      <c r="M1483" s="2273"/>
      <c r="N1483" s="1475">
        <f t="shared" si="135"/>
        <v>0</v>
      </c>
      <c r="O1483" s="437"/>
      <c r="P1483" s="438"/>
      <c r="Q1483" s="442"/>
      <c r="R1483" s="443"/>
      <c r="S1483" s="364"/>
      <c r="Z1483" s="609" t="s">
        <v>540</v>
      </c>
      <c r="AA1483" s="609" t="s">
        <v>3137</v>
      </c>
    </row>
    <row r="1484" spans="1:27" ht="18.75" thickBot="1">
      <c r="A1484" s="2712"/>
      <c r="B1484" s="371"/>
      <c r="C1484" s="371"/>
      <c r="D1484" s="2714">
        <f t="shared" si="133"/>
        <v>1</v>
      </c>
      <c r="E1484" s="2719" t="s">
        <v>2751</v>
      </c>
      <c r="F1484" s="293"/>
      <c r="G1484" s="2232" t="s">
        <v>2752</v>
      </c>
      <c r="H1484" s="2233">
        <f t="shared" ref="H1484:N1484" si="136">SUMPRODUCT($E1475:$E1483,H1475:H1483)</f>
        <v>6096165.3700000001</v>
      </c>
      <c r="I1484" s="2233">
        <f t="shared" si="136"/>
        <v>0</v>
      </c>
      <c r="J1484" s="2233">
        <f t="shared" si="136"/>
        <v>6096165.3700000001</v>
      </c>
      <c r="K1484" s="2428">
        <f t="shared" si="136"/>
        <v>927942.8</v>
      </c>
      <c r="L1484" s="2428">
        <f t="shared" si="136"/>
        <v>673765.44</v>
      </c>
      <c r="M1484" s="2233">
        <f t="shared" si="136"/>
        <v>0</v>
      </c>
      <c r="N1484" s="2429">
        <f t="shared" si="136"/>
        <v>6350342.7300000004</v>
      </c>
      <c r="O1484" s="437"/>
      <c r="P1484" s="440"/>
      <c r="Q1484" s="442"/>
      <c r="R1484" s="443"/>
      <c r="S1484" s="364"/>
      <c r="Z1484" s="609" t="s">
        <v>540</v>
      </c>
      <c r="AA1484" s="609" t="s">
        <v>3137</v>
      </c>
    </row>
    <row r="1485" spans="1:27" ht="18.75" thickBot="1">
      <c r="A1485" s="2712"/>
      <c r="B1485" s="371"/>
      <c r="C1485" s="371" t="s">
        <v>2755</v>
      </c>
      <c r="D1485" s="2714"/>
      <c r="F1485" s="293"/>
      <c r="G1485" s="376"/>
      <c r="H1485" s="527" t="s">
        <v>3002</v>
      </c>
      <c r="I1485" s="396"/>
      <c r="J1485" s="315"/>
      <c r="K1485" s="423"/>
      <c r="L1485" s="315"/>
      <c r="M1485" s="315"/>
      <c r="N1485" s="2257" t="s">
        <v>3002</v>
      </c>
      <c r="O1485" s="427"/>
      <c r="P1485" s="425"/>
      <c r="Q1485" s="442"/>
      <c r="R1485" s="443"/>
      <c r="S1485" s="364"/>
      <c r="Z1485" s="609" t="s">
        <v>540</v>
      </c>
      <c r="AA1485" s="609" t="s">
        <v>3137</v>
      </c>
    </row>
    <row r="1486" spans="1:27" ht="18.75" thickTop="1">
      <c r="A1486" s="2712"/>
      <c r="B1486" s="371"/>
      <c r="C1486" s="371" t="s">
        <v>2565</v>
      </c>
      <c r="D1486" s="2714"/>
      <c r="F1486" s="293"/>
      <c r="G1486" s="1547" t="s">
        <v>5365</v>
      </c>
      <c r="H1486" s="1548" t="str">
        <f>G989</f>
        <v>(1)其他应收款按账龄披露</v>
      </c>
      <c r="I1486" s="1549"/>
      <c r="J1486" s="1549"/>
      <c r="K1486" s="1549"/>
      <c r="L1486" s="1549"/>
      <c r="M1486" s="1549"/>
      <c r="N1486" s="1550"/>
      <c r="O1486" s="1551" t="s">
        <v>5366</v>
      </c>
      <c r="P1486" s="425"/>
      <c r="Q1486" s="442"/>
      <c r="R1486" s="442"/>
      <c r="S1486" s="364"/>
      <c r="Z1486" s="609" t="s">
        <v>540</v>
      </c>
      <c r="AA1486" s="609" t="s">
        <v>3137</v>
      </c>
    </row>
    <row r="1487" spans="1:27" ht="18">
      <c r="A1487" s="2712"/>
      <c r="B1487" s="371"/>
      <c r="C1487" s="371" t="s">
        <v>2565</v>
      </c>
      <c r="D1487" s="2714"/>
      <c r="F1487" s="293"/>
      <c r="G1487" s="604" t="str">
        <f>"注释A:"&amp; G1004</f>
        <v>注释A:减：坏账准备</v>
      </c>
      <c r="H1487" s="2250">
        <f ca="1">HYPERLINK("#'"&amp;$G$1&amp;"'!"&amp;ADDRESS(ROW(Notes!I1004),COLUMN(Notes!I1004),4),I1004)</f>
        <v>6096165.3700000001</v>
      </c>
      <c r="I1487" s="351"/>
      <c r="J1487" s="351"/>
      <c r="K1487" s="351"/>
      <c r="L1487" s="351"/>
      <c r="M1487" s="351"/>
      <c r="N1487" s="2250">
        <f ca="1">HYPERLINK("#'"&amp;$G$1&amp;"'!"&amp;ADDRESS(ROW(Notes!H1004),COLUMN(Notes!H1004),4),H1004)</f>
        <v>6350342.7300000004</v>
      </c>
      <c r="O1487" s="2249" t="str">
        <f>H989</f>
        <v>1221j</v>
      </c>
      <c r="P1487" s="425"/>
      <c r="Q1487" s="442"/>
      <c r="R1487" s="442"/>
      <c r="S1487" s="364"/>
      <c r="Z1487" s="609" t="s">
        <v>540</v>
      </c>
      <c r="AA1487" s="609" t="s">
        <v>3137</v>
      </c>
    </row>
    <row r="1488" spans="1:27" ht="18">
      <c r="A1488" s="2712"/>
      <c r="B1488" s="371"/>
      <c r="C1488" s="371" t="s">
        <v>2565</v>
      </c>
      <c r="D1488" s="2714"/>
      <c r="F1488" s="293"/>
      <c r="G1488" s="604" t="str">
        <f>"本注释B:"&amp; G1484</f>
        <v>本注释B:合       计</v>
      </c>
      <c r="H1488" s="456">
        <f>H1484</f>
        <v>6096165.3700000001</v>
      </c>
      <c r="I1488" s="351"/>
      <c r="J1488" s="351"/>
      <c r="K1488" s="351"/>
      <c r="L1488" s="351"/>
      <c r="M1488" s="351"/>
      <c r="N1488" s="456">
        <f>N1484</f>
        <v>6350342.7300000004</v>
      </c>
      <c r="O1488" s="1542" t="s">
        <v>579</v>
      </c>
      <c r="P1488" s="425"/>
      <c r="Q1488" s="442"/>
      <c r="R1488" s="442"/>
      <c r="S1488" s="364"/>
      <c r="Z1488" s="609" t="s">
        <v>540</v>
      </c>
      <c r="AA1488" s="609" t="s">
        <v>3137</v>
      </c>
    </row>
    <row r="1489" spans="1:27" ht="18.75" thickBot="1">
      <c r="A1489" s="2712"/>
      <c r="B1489" s="371"/>
      <c r="C1489" s="371" t="s">
        <v>2565</v>
      </c>
      <c r="D1489" s="2714"/>
      <c r="F1489" s="293"/>
      <c r="G1489" s="1552" t="s">
        <v>2757</v>
      </c>
      <c r="H1489" s="1529">
        <f ca="1">IF(AND(H1487="",H1488=""),"",ROUND(H1487-H1488,2))</f>
        <v>0</v>
      </c>
      <c r="I1489" s="1553"/>
      <c r="J1489" s="1553"/>
      <c r="K1489" s="1553"/>
      <c r="L1489" s="1553"/>
      <c r="M1489" s="1553"/>
      <c r="N1489" s="1529">
        <f ca="1">IF(AND(N1487="",N1488=""),"",ROUND(N1487-N1488,2))</f>
        <v>0</v>
      </c>
      <c r="O1489" s="1554"/>
      <c r="P1489" s="425"/>
      <c r="Q1489" s="442"/>
      <c r="R1489" s="442"/>
      <c r="S1489" s="364"/>
      <c r="Z1489" s="609" t="s">
        <v>540</v>
      </c>
      <c r="AA1489" s="609" t="s">
        <v>3137</v>
      </c>
    </row>
    <row r="1490" spans="1:27" ht="18.75" thickTop="1">
      <c r="A1490" s="2712"/>
      <c r="B1490" s="371"/>
      <c r="C1490" s="371" t="s">
        <v>2565</v>
      </c>
      <c r="D1490" s="2714"/>
      <c r="F1490" s="293"/>
      <c r="G1490" s="1543"/>
      <c r="H1490" s="459" t="str">
        <f ca="1">IF(OR(H1489=0,H1489=""),"√","？")</f>
        <v>√</v>
      </c>
      <c r="I1490" s="317"/>
      <c r="J1490" s="317"/>
      <c r="K1490" s="317"/>
      <c r="L1490" s="317"/>
      <c r="M1490" s="317"/>
      <c r="N1490" s="459" t="str">
        <f ca="1">IF(OR(N1489=0,N1489=""),"√","？")</f>
        <v>√</v>
      </c>
      <c r="O1490" s="1545"/>
      <c r="P1490" s="425"/>
      <c r="Q1490" s="442"/>
      <c r="R1490" s="442"/>
      <c r="S1490" s="364"/>
      <c r="Z1490" s="609" t="s">
        <v>540</v>
      </c>
      <c r="AA1490" s="609" t="s">
        <v>3137</v>
      </c>
    </row>
    <row r="1491" spans="1:27" ht="18">
      <c r="A1491" s="2712"/>
      <c r="B1491" s="371"/>
      <c r="C1491" s="371" t="s">
        <v>2565</v>
      </c>
      <c r="D1491" s="2714"/>
      <c r="F1491" s="293"/>
      <c r="G1491" s="1557" t="s">
        <v>2759</v>
      </c>
      <c r="H1491" s="461"/>
      <c r="I1491" s="317"/>
      <c r="J1491" s="317"/>
      <c r="K1491" s="352">
        <f ca="1">SUMIF($H$1490:$O$1490,"&lt;&gt;√",$H$1489:$O$1489)</f>
        <v>0</v>
      </c>
      <c r="L1491" s="353" t="str">
        <f ca="1">IF(OR(K1491=0,K1491=""),"√","？")</f>
        <v>√</v>
      </c>
      <c r="M1491" s="317"/>
      <c r="N1491" s="461"/>
      <c r="O1491" s="1545"/>
      <c r="P1491" s="425"/>
      <c r="Q1491" s="442"/>
      <c r="R1491" s="442"/>
      <c r="S1491" s="364"/>
      <c r="Z1491" s="609" t="s">
        <v>540</v>
      </c>
      <c r="AA1491" s="609" t="s">
        <v>3137</v>
      </c>
    </row>
    <row r="1492" spans="1:27" ht="18">
      <c r="A1492" s="2712"/>
      <c r="B1492" s="371"/>
      <c r="C1492" s="371" t="s">
        <v>2565</v>
      </c>
      <c r="D1492" s="2714"/>
      <c r="F1492" s="293"/>
      <c r="G1492" s="1543"/>
      <c r="H1492" s="461"/>
      <c r="I1492" s="317"/>
      <c r="J1492" s="317"/>
      <c r="K1492" s="317"/>
      <c r="L1492" s="317"/>
      <c r="M1492" s="317"/>
      <c r="N1492" s="461"/>
      <c r="O1492" s="1545"/>
      <c r="P1492" s="425"/>
      <c r="Q1492" s="442"/>
      <c r="R1492" s="442"/>
      <c r="S1492" s="364"/>
      <c r="Z1492" s="609" t="s">
        <v>540</v>
      </c>
      <c r="AA1492" s="609" t="s">
        <v>3137</v>
      </c>
    </row>
    <row r="1493" spans="1:27" ht="24">
      <c r="A1493" s="2712">
        <v>122104</v>
      </c>
      <c r="B1493" s="371">
        <v>4</v>
      </c>
      <c r="C1493" s="371"/>
      <c r="D1493" s="2714" t="str">
        <f>VLOOKUP($A1493,Sheet_NoteList,2,0)</f>
        <v>本期其他应收款坏账准备的变动情况（备选格式）</v>
      </c>
      <c r="E1493" s="2714" t="s">
        <v>6531</v>
      </c>
      <c r="F1493" s="293"/>
      <c r="G1493" s="372" t="str">
        <f>"("&amp;B1493&amp;")"&amp;D1493</f>
        <v>(4)本期其他应收款坏账准备的变动情况（备选格式）</v>
      </c>
      <c r="H1493" s="2313">
        <f>$A1493</f>
        <v>122104</v>
      </c>
      <c r="I1493" s="343" t="s">
        <v>5624</v>
      </c>
      <c r="J1493" s="301" t="s">
        <v>5625</v>
      </c>
      <c r="K1493" s="2208">
        <f>H1510</f>
        <v>0</v>
      </c>
      <c r="L1493" s="349">
        <f>IF($I1493="适用",IF(ROUND(K$988-K1493,2)=0,"F/S",ROUND(K$988-K1493,2)),"#N/A")</f>
        <v>8760929.7400000002</v>
      </c>
      <c r="M1493" s="301" t="s">
        <v>5626</v>
      </c>
      <c r="N1493" s="2208">
        <f>I1510</f>
        <v>0</v>
      </c>
      <c r="O1493" s="349">
        <f>IF($I1493="适用",IF(ROUND(N$988-N1493,2)=0,"F/S",ROUND(N$988-N1493,2)),"#N/A")</f>
        <v>1111613.68</v>
      </c>
      <c r="P1493" s="301"/>
      <c r="S1493" s="364"/>
      <c r="Z1493" s="609" t="s">
        <v>540</v>
      </c>
      <c r="AA1493" s="609" t="s">
        <v>3137</v>
      </c>
    </row>
    <row r="1494" spans="1:27" ht="0.75" customHeight="1">
      <c r="A1494" s="2712"/>
      <c r="B1494" s="371"/>
      <c r="C1494" s="371"/>
      <c r="D1494" s="2714"/>
      <c r="F1494" s="371"/>
      <c r="G1494" s="405" t="s">
        <v>6343</v>
      </c>
      <c r="H1494" s="371" t="s">
        <v>6344</v>
      </c>
      <c r="I1494" s="371" t="s">
        <v>6345</v>
      </c>
      <c r="J1494" s="371" t="s">
        <v>6346</v>
      </c>
      <c r="K1494" s="547" t="s">
        <v>6347</v>
      </c>
      <c r="L1494" s="349"/>
      <c r="M1494" s="301"/>
      <c r="N1494" s="391"/>
      <c r="O1494" s="349"/>
      <c r="P1494" s="301"/>
      <c r="S1494" s="364"/>
      <c r="Z1494" s="609" t="s">
        <v>540</v>
      </c>
      <c r="AA1494" s="609" t="s">
        <v>3137</v>
      </c>
    </row>
    <row r="1495" spans="1:27" ht="0.75" customHeight="1" thickBot="1">
      <c r="A1495" s="2712"/>
      <c r="B1495" s="371"/>
      <c r="C1495" s="371"/>
      <c r="D1495" s="2714"/>
      <c r="F1495" s="371"/>
      <c r="G1495" s="405"/>
      <c r="H1495" s="371" t="s">
        <v>6348</v>
      </c>
      <c r="I1495" s="371" t="s">
        <v>6349</v>
      </c>
      <c r="J1495" s="371" t="s">
        <v>6350</v>
      </c>
      <c r="K1495" s="547" t="s">
        <v>6351</v>
      </c>
      <c r="L1495" s="349"/>
      <c r="M1495" s="301"/>
      <c r="N1495" s="391"/>
      <c r="O1495" s="349"/>
      <c r="P1495" s="301"/>
      <c r="S1495" s="364"/>
      <c r="Z1495" s="609" t="s">
        <v>540</v>
      </c>
      <c r="AA1495" s="609" t="s">
        <v>3137</v>
      </c>
    </row>
    <row r="1496" spans="1:27" ht="18" customHeight="1">
      <c r="A1496" s="2712"/>
      <c r="B1496" s="371"/>
      <c r="C1496" s="371"/>
      <c r="D1496" s="2714"/>
      <c r="E1496" s="2714" t="s">
        <v>2749</v>
      </c>
      <c r="F1496" s="293"/>
      <c r="G1496" s="3478" t="s">
        <v>5852</v>
      </c>
      <c r="H1496" s="2289" t="s">
        <v>3348</v>
      </c>
      <c r="I1496" s="2289" t="s">
        <v>3349</v>
      </c>
      <c r="J1496" s="2289" t="s">
        <v>3350</v>
      </c>
      <c r="K1496" s="3474" t="s">
        <v>3351</v>
      </c>
      <c r="L1496" s="355" t="s">
        <v>5271</v>
      </c>
      <c r="M1496" s="301"/>
      <c r="N1496" s="391"/>
      <c r="O1496" s="349"/>
      <c r="P1496" s="301"/>
      <c r="S1496" s="364"/>
      <c r="Z1496" s="609" t="s">
        <v>540</v>
      </c>
      <c r="AA1496" s="609" t="s">
        <v>3137</v>
      </c>
    </row>
    <row r="1497" spans="1:27" ht="36">
      <c r="A1497" s="2712"/>
      <c r="B1497" s="371"/>
      <c r="C1497" s="371"/>
      <c r="D1497" s="2714"/>
      <c r="E1497" s="2714" t="s">
        <v>2749</v>
      </c>
      <c r="F1497" s="293"/>
      <c r="G1497" s="3479"/>
      <c r="H1497" s="2292" t="s">
        <v>3352</v>
      </c>
      <c r="I1497" s="2292" t="s">
        <v>3353</v>
      </c>
      <c r="J1497" s="2292" t="s">
        <v>3354</v>
      </c>
      <c r="K1497" s="3475"/>
      <c r="L1497" s="355" t="s">
        <v>6352</v>
      </c>
      <c r="M1497" s="301"/>
      <c r="N1497" s="391"/>
      <c r="O1497" s="349"/>
      <c r="P1497" s="301"/>
      <c r="S1497" s="364"/>
      <c r="Z1497" s="609" t="s">
        <v>540</v>
      </c>
      <c r="AA1497" s="609" t="s">
        <v>3137</v>
      </c>
    </row>
    <row r="1498" spans="1:27" ht="18">
      <c r="A1498" s="2712"/>
      <c r="B1498" s="371">
        <v>101</v>
      </c>
      <c r="C1498" s="371"/>
      <c r="D1498" s="2714">
        <f t="shared" ref="D1498:D1510" si="137">IF(OR(G1498="*",G1498="",G1498=0),0,COUNTIF($G$1498:$G$1510,G1498))</f>
        <v>1</v>
      </c>
      <c r="E1498" s="2719">
        <v>1</v>
      </c>
      <c r="F1498" s="293"/>
      <c r="G1498" s="1472" t="str">
        <f>$X$3&amp;"余额"</f>
        <v>2019年1月1日余额</v>
      </c>
      <c r="H1498" s="309"/>
      <c r="I1498" s="309"/>
      <c r="J1498" s="309"/>
      <c r="K1498" s="1475">
        <f>SUM(H1498:J1498)</f>
        <v>0</v>
      </c>
      <c r="L1498" s="2203"/>
      <c r="M1498" s="301"/>
      <c r="N1498" s="2191"/>
      <c r="O1498" s="349"/>
      <c r="P1498" s="301"/>
      <c r="S1498" s="364"/>
      <c r="Z1498" s="609" t="s">
        <v>540</v>
      </c>
      <c r="AA1498" s="609" t="s">
        <v>3137</v>
      </c>
    </row>
    <row r="1499" spans="1:27" ht="18">
      <c r="A1499" s="2712"/>
      <c r="B1499" s="371">
        <v>102</v>
      </c>
      <c r="C1499" s="371"/>
      <c r="D1499" s="2714">
        <f t="shared" si="137"/>
        <v>1</v>
      </c>
      <c r="E1499" s="2719" t="s">
        <v>41</v>
      </c>
      <c r="F1499" s="293"/>
      <c r="G1499" s="1472" t="str">
        <f>$X$3&amp;"余额在本期"</f>
        <v>2019年1月1日余额在本期</v>
      </c>
      <c r="H1499" s="309"/>
      <c r="I1499" s="309"/>
      <c r="J1499" s="309"/>
      <c r="K1499" s="361"/>
      <c r="L1499" s="349"/>
      <c r="M1499" s="301"/>
      <c r="N1499" s="439"/>
      <c r="O1499" s="349"/>
      <c r="P1499" s="301"/>
      <c r="S1499" s="364"/>
      <c r="Z1499" s="609" t="s">
        <v>540</v>
      </c>
      <c r="AA1499" s="609" t="s">
        <v>3137</v>
      </c>
    </row>
    <row r="1500" spans="1:27" ht="24">
      <c r="A1500" s="2712"/>
      <c r="B1500" s="371">
        <v>103</v>
      </c>
      <c r="C1500" s="371"/>
      <c r="D1500" s="2714">
        <f t="shared" si="137"/>
        <v>1</v>
      </c>
      <c r="E1500" s="2719">
        <v>1</v>
      </c>
      <c r="F1500" s="293"/>
      <c r="G1500" s="1472" t="s">
        <v>5858</v>
      </c>
      <c r="H1500" s="309"/>
      <c r="I1500" s="1463">
        <v>0</v>
      </c>
      <c r="J1500" s="1463">
        <v>0</v>
      </c>
      <c r="K1500" s="1475">
        <f>SUM(H1500:J1500)</f>
        <v>0</v>
      </c>
      <c r="L1500" s="2192"/>
      <c r="M1500" s="301"/>
      <c r="N1500" s="439"/>
      <c r="O1500" s="349"/>
      <c r="P1500" s="301"/>
      <c r="S1500" s="364"/>
      <c r="Z1500" s="609" t="s">
        <v>540</v>
      </c>
      <c r="AA1500" s="609" t="s">
        <v>3137</v>
      </c>
    </row>
    <row r="1501" spans="1:27" ht="24">
      <c r="A1501" s="2712"/>
      <c r="B1501" s="371">
        <v>104</v>
      </c>
      <c r="C1501" s="371"/>
      <c r="D1501" s="2714">
        <f t="shared" si="137"/>
        <v>1</v>
      </c>
      <c r="E1501" s="2719">
        <v>1</v>
      </c>
      <c r="F1501" s="293"/>
      <c r="G1501" s="1472" t="s">
        <v>5859</v>
      </c>
      <c r="H1501" s="309"/>
      <c r="I1501" s="309"/>
      <c r="J1501" s="1463">
        <v>0</v>
      </c>
      <c r="K1501" s="1475">
        <f t="shared" ref="K1501:K1508" si="138">SUM(H1501:J1501)</f>
        <v>0</v>
      </c>
      <c r="L1501" s="1491"/>
      <c r="M1501" s="301"/>
      <c r="N1501" s="439"/>
      <c r="O1501" s="349"/>
      <c r="P1501" s="301"/>
      <c r="S1501" s="364"/>
      <c r="Z1501" s="609" t="s">
        <v>540</v>
      </c>
      <c r="AA1501" s="609" t="s">
        <v>3137</v>
      </c>
    </row>
    <row r="1502" spans="1:27" ht="24">
      <c r="A1502" s="2712"/>
      <c r="B1502" s="371">
        <v>105</v>
      </c>
      <c r="C1502" s="371"/>
      <c r="D1502" s="2714">
        <f t="shared" si="137"/>
        <v>1</v>
      </c>
      <c r="E1502" s="2719">
        <v>1</v>
      </c>
      <c r="F1502" s="293"/>
      <c r="G1502" s="1472" t="s">
        <v>5860</v>
      </c>
      <c r="H1502" s="1463">
        <v>0</v>
      </c>
      <c r="I1502" s="1463">
        <v>0</v>
      </c>
      <c r="J1502" s="309"/>
      <c r="K1502" s="1475">
        <f t="shared" si="138"/>
        <v>0</v>
      </c>
      <c r="L1502" s="1491"/>
      <c r="M1502" s="301"/>
      <c r="N1502" s="2191"/>
      <c r="O1502" s="349"/>
      <c r="P1502" s="301"/>
      <c r="S1502" s="364"/>
      <c r="Z1502" s="609" t="s">
        <v>540</v>
      </c>
      <c r="AA1502" s="609" t="s">
        <v>3137</v>
      </c>
    </row>
    <row r="1503" spans="1:27" ht="24">
      <c r="A1503" s="2712"/>
      <c r="B1503" s="371">
        <v>106</v>
      </c>
      <c r="C1503" s="371"/>
      <c r="D1503" s="2714">
        <f t="shared" si="137"/>
        <v>1</v>
      </c>
      <c r="E1503" s="2719">
        <v>1</v>
      </c>
      <c r="F1503" s="293"/>
      <c r="G1503" s="1472" t="s">
        <v>5853</v>
      </c>
      <c r="H1503" s="1463">
        <v>0</v>
      </c>
      <c r="I1503" s="309"/>
      <c r="J1503" s="309"/>
      <c r="K1503" s="1475">
        <f t="shared" si="138"/>
        <v>0</v>
      </c>
      <c r="L1503" s="1491"/>
      <c r="M1503" s="301"/>
      <c r="N1503" s="391"/>
      <c r="O1503" s="349"/>
      <c r="P1503" s="301"/>
      <c r="S1503" s="364"/>
      <c r="Z1503" s="609" t="s">
        <v>540</v>
      </c>
      <c r="AA1503" s="609" t="s">
        <v>3137</v>
      </c>
    </row>
    <row r="1504" spans="1:27" ht="18">
      <c r="A1504" s="2712"/>
      <c r="B1504" s="371">
        <v>107</v>
      </c>
      <c r="C1504" s="371"/>
      <c r="D1504" s="2714">
        <f t="shared" si="137"/>
        <v>1</v>
      </c>
      <c r="E1504" s="2719">
        <v>1</v>
      </c>
      <c r="F1504" s="293"/>
      <c r="G1504" s="1472" t="s">
        <v>5854</v>
      </c>
      <c r="H1504" s="309"/>
      <c r="I1504" s="309"/>
      <c r="J1504" s="309"/>
      <c r="K1504" s="1475">
        <f t="shared" si="138"/>
        <v>0</v>
      </c>
      <c r="L1504" s="349"/>
      <c r="M1504" s="301"/>
      <c r="N1504" s="391"/>
      <c r="O1504" s="349"/>
      <c r="P1504" s="301"/>
      <c r="S1504" s="364"/>
      <c r="Z1504" s="609" t="s">
        <v>540</v>
      </c>
      <c r="AA1504" s="609" t="s">
        <v>3137</v>
      </c>
    </row>
    <row r="1505" spans="1:27" ht="18">
      <c r="A1505" s="2712"/>
      <c r="B1505" s="371">
        <v>108</v>
      </c>
      <c r="C1505" s="371"/>
      <c r="D1505" s="2714">
        <f t="shared" si="137"/>
        <v>1</v>
      </c>
      <c r="E1505" s="2719">
        <v>-1</v>
      </c>
      <c r="F1505" s="293"/>
      <c r="G1505" s="1472" t="s">
        <v>5855</v>
      </c>
      <c r="H1505" s="309"/>
      <c r="I1505" s="309"/>
      <c r="J1505" s="309"/>
      <c r="K1505" s="1475">
        <f t="shared" si="138"/>
        <v>0</v>
      </c>
      <c r="L1505" s="349"/>
      <c r="M1505" s="301"/>
      <c r="N1505" s="391"/>
      <c r="O1505" s="349"/>
      <c r="P1505" s="301"/>
      <c r="S1505" s="364"/>
      <c r="Z1505" s="609" t="s">
        <v>540</v>
      </c>
      <c r="AA1505" s="609" t="s">
        <v>3137</v>
      </c>
    </row>
    <row r="1506" spans="1:27" ht="18">
      <c r="A1506" s="2712"/>
      <c r="B1506" s="371">
        <v>109</v>
      </c>
      <c r="C1506" s="371"/>
      <c r="D1506" s="2714">
        <f t="shared" si="137"/>
        <v>1</v>
      </c>
      <c r="E1506" s="2719">
        <v>-1</v>
      </c>
      <c r="F1506" s="293"/>
      <c r="G1506" s="603" t="s">
        <v>3356</v>
      </c>
      <c r="H1506" s="309"/>
      <c r="I1506" s="309"/>
      <c r="J1506" s="309"/>
      <c r="K1506" s="1475">
        <f t="shared" si="138"/>
        <v>0</v>
      </c>
      <c r="L1506" s="349"/>
      <c r="M1506" s="301"/>
      <c r="N1506" s="391"/>
      <c r="O1506" s="349"/>
      <c r="P1506" s="301"/>
      <c r="S1506" s="364"/>
      <c r="Z1506" s="609" t="s">
        <v>540</v>
      </c>
      <c r="AA1506" s="609" t="s">
        <v>3137</v>
      </c>
    </row>
    <row r="1507" spans="1:27" ht="18">
      <c r="A1507" s="2712"/>
      <c r="B1507" s="371">
        <v>110</v>
      </c>
      <c r="C1507" s="371"/>
      <c r="D1507" s="2714">
        <f t="shared" si="137"/>
        <v>1</v>
      </c>
      <c r="E1507" s="2719">
        <v>-1</v>
      </c>
      <c r="F1507" s="293"/>
      <c r="G1507" s="603" t="s">
        <v>3357</v>
      </c>
      <c r="H1507" s="309"/>
      <c r="I1507" s="309"/>
      <c r="J1507" s="309"/>
      <c r="K1507" s="1475">
        <f t="shared" si="138"/>
        <v>0</v>
      </c>
      <c r="L1507" s="349"/>
      <c r="M1507" s="301"/>
      <c r="N1507" s="391"/>
      <c r="O1507" s="349"/>
      <c r="P1507" s="301"/>
      <c r="S1507" s="364"/>
      <c r="Z1507" s="609" t="s">
        <v>540</v>
      </c>
      <c r="AA1507" s="609" t="s">
        <v>3137</v>
      </c>
    </row>
    <row r="1508" spans="1:27" ht="24">
      <c r="A1508" s="2712"/>
      <c r="B1508" s="371">
        <v>111</v>
      </c>
      <c r="C1508" s="371"/>
      <c r="D1508" s="2714">
        <f t="shared" si="137"/>
        <v>1</v>
      </c>
      <c r="E1508" s="2719">
        <v>1</v>
      </c>
      <c r="F1508" s="293"/>
      <c r="G1508" s="1472" t="s">
        <v>5856</v>
      </c>
      <c r="H1508" s="309"/>
      <c r="I1508" s="309"/>
      <c r="J1508" s="309"/>
      <c r="K1508" s="1475">
        <f t="shared" si="138"/>
        <v>0</v>
      </c>
      <c r="L1508" s="349"/>
      <c r="M1508" s="301"/>
      <c r="N1508" s="391"/>
      <c r="O1508" s="349"/>
      <c r="P1508" s="301"/>
      <c r="S1508" s="364"/>
      <c r="Z1508" s="609" t="s">
        <v>540</v>
      </c>
      <c r="AA1508" s="609" t="s">
        <v>3137</v>
      </c>
    </row>
    <row r="1509" spans="1:27" ht="18">
      <c r="A1509" s="2712"/>
      <c r="B1509" s="371">
        <v>112</v>
      </c>
      <c r="C1509" s="371" t="s">
        <v>2791</v>
      </c>
      <c r="D1509" s="2714">
        <f t="shared" si="137"/>
        <v>0</v>
      </c>
      <c r="E1509" s="2719">
        <v>1</v>
      </c>
      <c r="F1509" s="293"/>
      <c r="G1509" s="2188" t="s">
        <v>5857</v>
      </c>
      <c r="H1509" s="309"/>
      <c r="I1509" s="309"/>
      <c r="J1509" s="309"/>
      <c r="K1509" s="361"/>
      <c r="L1509" s="349"/>
      <c r="M1509" s="301"/>
      <c r="N1509" s="391"/>
      <c r="O1509" s="349"/>
      <c r="P1509" s="301"/>
      <c r="S1509" s="364"/>
      <c r="Z1509" s="609" t="s">
        <v>540</v>
      </c>
      <c r="AA1509" s="609" t="s">
        <v>3137</v>
      </c>
    </row>
    <row r="1510" spans="1:27" ht="18.75" thickBot="1">
      <c r="A1510" s="2712"/>
      <c r="B1510" s="371"/>
      <c r="C1510" s="371"/>
      <c r="D1510" s="2714">
        <f t="shared" si="137"/>
        <v>1</v>
      </c>
      <c r="E1510" s="2719" t="s">
        <v>6553</v>
      </c>
      <c r="F1510" s="293"/>
      <c r="G1510" s="2232" t="str">
        <f>$W$2&amp;"余额"</f>
        <v>2019年12月31日余额</v>
      </c>
      <c r="H1510" s="2233">
        <f>SUMPRODUCT($E1497:$E1509,H1497:H1509)</f>
        <v>0</v>
      </c>
      <c r="I1510" s="2233">
        <f>SUMPRODUCT($E1497:$E1509,I1497:I1509)</f>
        <v>0</v>
      </c>
      <c r="J1510" s="2233">
        <f>SUMPRODUCT($E1497:$E1509,J1497:J1509)</f>
        <v>0</v>
      </c>
      <c r="K1510" s="2234">
        <f>SUMPRODUCT($E1497:$E1509,K1497:K1509)</f>
        <v>0</v>
      </c>
      <c r="L1510" s="349"/>
      <c r="M1510" s="301"/>
      <c r="N1510" s="391"/>
      <c r="O1510" s="349"/>
      <c r="P1510" s="301"/>
      <c r="S1510" s="364"/>
      <c r="Z1510" s="609" t="s">
        <v>540</v>
      </c>
      <c r="AA1510" s="609" t="s">
        <v>3137</v>
      </c>
    </row>
    <row r="1511" spans="1:27" ht="18">
      <c r="A1511" s="2712"/>
      <c r="B1511" s="371"/>
      <c r="C1511" s="371" t="s">
        <v>2755</v>
      </c>
      <c r="D1511" s="2714"/>
      <c r="F1511" s="293"/>
      <c r="G1511" s="376"/>
      <c r="H1511" s="1574"/>
      <c r="I1511" s="396"/>
      <c r="J1511" s="315"/>
      <c r="K1511" s="423"/>
      <c r="L1511" s="349"/>
      <c r="M1511" s="301"/>
      <c r="N1511" s="391"/>
      <c r="O1511" s="349"/>
      <c r="P1511" s="301"/>
      <c r="S1511" s="364"/>
      <c r="Z1511" s="609" t="s">
        <v>540</v>
      </c>
      <c r="AA1511" s="609" t="s">
        <v>3137</v>
      </c>
    </row>
    <row r="1512" spans="1:27" ht="24">
      <c r="A1512" s="2712" t="s">
        <v>584</v>
      </c>
      <c r="B1512" s="371">
        <v>4.0999999999999996</v>
      </c>
      <c r="C1512" s="371"/>
      <c r="D1512" s="2714" t="str">
        <f>VLOOKUP($A1512,Sheet_NoteList,2,0)</f>
        <v>本期其他应收款坏账准备收回或转回金额重要的</v>
      </c>
      <c r="E1512" s="2714" t="s">
        <v>2742</v>
      </c>
      <c r="F1512" s="294"/>
      <c r="G1512" s="372" t="str">
        <f>"("&amp;B1512&amp;")"&amp;D1512</f>
        <v>(4.1)本期其他应收款坏账准备收回或转回金额重要的</v>
      </c>
      <c r="H1512" s="1515" t="str">
        <f>$A1512</f>
        <v>1221h</v>
      </c>
      <c r="I1512" s="343" t="s">
        <v>2743</v>
      </c>
      <c r="J1512" s="301" t="s">
        <v>2744</v>
      </c>
      <c r="K1512" s="2208">
        <f>H1520</f>
        <v>0</v>
      </c>
      <c r="L1512" s="345"/>
      <c r="M1512" s="301"/>
      <c r="N1512" s="3083"/>
      <c r="O1512" s="345"/>
      <c r="P1512" s="301"/>
      <c r="Q1512" s="290" t="str">
        <f>IF($I1512="不适用","",IF(ROUND(SUM($H$1515:$K$1520),2)=0,"请输入",""))</f>
        <v>请输入</v>
      </c>
      <c r="S1512" s="364"/>
      <c r="Z1512" s="609" t="s">
        <v>540</v>
      </c>
      <c r="AA1512" s="609" t="s">
        <v>3137</v>
      </c>
    </row>
    <row r="1513" spans="1:27" ht="0.75" customHeight="1" thickBot="1">
      <c r="A1513" s="2712"/>
      <c r="B1513" s="371"/>
      <c r="C1513" s="371"/>
      <c r="D1513" s="371"/>
      <c r="E1513" s="586"/>
      <c r="F1513" s="586"/>
      <c r="G1513" s="586" t="s">
        <v>3178</v>
      </c>
      <c r="H1513" s="371" t="s">
        <v>6186</v>
      </c>
      <c r="I1513" s="371" t="s">
        <v>3179</v>
      </c>
      <c r="J1513" s="433"/>
      <c r="K1513" s="433"/>
      <c r="L1513" s="472"/>
      <c r="M1513" s="472"/>
      <c r="N1513" s="472"/>
      <c r="O1513" s="472"/>
      <c r="P1513" s="442"/>
      <c r="Q1513" s="442"/>
      <c r="R1513" s="443"/>
      <c r="S1513" s="364"/>
      <c r="Z1513" s="609" t="s">
        <v>540</v>
      </c>
      <c r="AA1513" s="609" t="s">
        <v>3137</v>
      </c>
    </row>
    <row r="1514" spans="1:27" ht="18">
      <c r="A1514" s="2712"/>
      <c r="B1514" s="371"/>
      <c r="C1514" s="371"/>
      <c r="D1514" s="371"/>
      <c r="E1514" s="586" t="s">
        <v>2749</v>
      </c>
      <c r="F1514" s="363"/>
      <c r="G1514" s="2531" t="s">
        <v>1465</v>
      </c>
      <c r="H1514" s="2532" t="s">
        <v>2922</v>
      </c>
      <c r="I1514" s="2533" t="s">
        <v>2923</v>
      </c>
      <c r="J1514" s="355" t="s">
        <v>5271</v>
      </c>
      <c r="K1514" s="479"/>
      <c r="L1514" s="472"/>
      <c r="M1514" s="472"/>
      <c r="N1514" s="472"/>
      <c r="O1514" s="472"/>
      <c r="P1514" s="442"/>
      <c r="Q1514" s="442"/>
      <c r="R1514" s="443"/>
      <c r="S1514" s="364"/>
      <c r="Z1514" s="609" t="s">
        <v>540</v>
      </c>
      <c r="AA1514" s="609" t="s">
        <v>3137</v>
      </c>
    </row>
    <row r="1515" spans="1:27" ht="18">
      <c r="A1515" s="2712"/>
      <c r="B1515" s="371">
        <v>101</v>
      </c>
      <c r="C1515" s="371" t="s">
        <v>2791</v>
      </c>
      <c r="D1515" s="2714">
        <f t="shared" ref="D1515:D1520" si="139">IF(OR(G1515="*",G1515="",G1515=0),0,COUNTIF($G$1515:$G$1520,G1515))</f>
        <v>0</v>
      </c>
      <c r="E1515" s="2719">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8">
      <c r="A1516" s="2712"/>
      <c r="B1516" s="371">
        <v>102</v>
      </c>
      <c r="C1516" s="371" t="s">
        <v>2791</v>
      </c>
      <c r="D1516" s="2714">
        <f t="shared" si="139"/>
        <v>0</v>
      </c>
      <c r="E1516" s="2719">
        <v>1</v>
      </c>
      <c r="F1516" s="294"/>
      <c r="G1516" s="2536" t="s">
        <v>2792</v>
      </c>
      <c r="H1516" s="2273"/>
      <c r="I1516" s="2274"/>
      <c r="J1516" s="438"/>
      <c r="K1516" s="438"/>
      <c r="L1516" s="472"/>
      <c r="M1516" s="472"/>
      <c r="N1516" s="472"/>
      <c r="O1516" s="472"/>
      <c r="P1516" s="442"/>
      <c r="Q1516" s="442"/>
      <c r="R1516" s="443"/>
      <c r="S1516" s="364"/>
      <c r="Z1516" s="609" t="s">
        <v>540</v>
      </c>
      <c r="AA1516" s="609" t="s">
        <v>3137</v>
      </c>
    </row>
    <row r="1517" spans="1:27" ht="18">
      <c r="A1517" s="2712"/>
      <c r="B1517" s="371">
        <v>103</v>
      </c>
      <c r="C1517" s="371" t="s">
        <v>2791</v>
      </c>
      <c r="D1517" s="2714">
        <f t="shared" si="139"/>
        <v>0</v>
      </c>
      <c r="E1517" s="2719">
        <v>1</v>
      </c>
      <c r="F1517" s="294"/>
      <c r="G1517" s="2536" t="s">
        <v>2792</v>
      </c>
      <c r="H1517" s="2273"/>
      <c r="I1517" s="2274"/>
      <c r="J1517" s="438"/>
      <c r="K1517" s="438"/>
      <c r="L1517" s="472"/>
      <c r="M1517" s="472"/>
      <c r="N1517" s="472"/>
      <c r="O1517" s="472"/>
      <c r="P1517" s="442"/>
      <c r="Q1517" s="442"/>
      <c r="R1517" s="443"/>
      <c r="S1517" s="364"/>
      <c r="Z1517" s="609" t="s">
        <v>540</v>
      </c>
      <c r="AA1517" s="609" t="s">
        <v>3137</v>
      </c>
    </row>
    <row r="1518" spans="1:27" ht="18">
      <c r="A1518" s="2712"/>
      <c r="B1518" s="371">
        <v>104</v>
      </c>
      <c r="C1518" s="371" t="s">
        <v>2791</v>
      </c>
      <c r="D1518" s="2714">
        <f t="shared" si="139"/>
        <v>0</v>
      </c>
      <c r="E1518" s="2719">
        <v>1</v>
      </c>
      <c r="F1518" s="294"/>
      <c r="G1518" s="2536" t="s">
        <v>2792</v>
      </c>
      <c r="H1518" s="2273"/>
      <c r="I1518" s="2274" t="s">
        <v>19</v>
      </c>
      <c r="J1518" s="438"/>
      <c r="K1518" s="438"/>
      <c r="L1518" s="472"/>
      <c r="M1518" s="472"/>
      <c r="N1518" s="472"/>
      <c r="O1518" s="472"/>
      <c r="P1518" s="442"/>
      <c r="Q1518" s="442"/>
      <c r="R1518" s="443"/>
      <c r="S1518" s="364"/>
      <c r="Z1518" s="609" t="s">
        <v>540</v>
      </c>
      <c r="AA1518" s="609" t="s">
        <v>3137</v>
      </c>
    </row>
    <row r="1519" spans="1:27" ht="18">
      <c r="A1519" s="2712"/>
      <c r="B1519" s="371">
        <v>105</v>
      </c>
      <c r="C1519" s="371" t="s">
        <v>2791</v>
      </c>
      <c r="D1519" s="2714">
        <f t="shared" si="139"/>
        <v>0</v>
      </c>
      <c r="E1519" s="2719">
        <v>1</v>
      </c>
      <c r="F1519" s="294"/>
      <c r="G1519" s="2536" t="s">
        <v>2792</v>
      </c>
      <c r="H1519" s="2273"/>
      <c r="I1519" s="2274" t="s">
        <v>19</v>
      </c>
      <c r="J1519" s="438"/>
      <c r="K1519" s="438"/>
      <c r="L1519" s="472"/>
      <c r="M1519" s="472"/>
      <c r="N1519" s="472"/>
      <c r="O1519" s="472"/>
      <c r="P1519" s="442"/>
      <c r="Q1519" s="442"/>
      <c r="R1519" s="443"/>
      <c r="S1519" s="364"/>
      <c r="Z1519" s="609" t="s">
        <v>540</v>
      </c>
      <c r="AA1519" s="609" t="s">
        <v>3137</v>
      </c>
    </row>
    <row r="1520" spans="1:27" ht="18.75" thickBot="1">
      <c r="A1520" s="2712"/>
      <c r="B1520" s="371"/>
      <c r="C1520" s="371"/>
      <c r="D1520" s="2714">
        <f t="shared" si="139"/>
        <v>1</v>
      </c>
      <c r="E1520" s="2719" t="s">
        <v>3032</v>
      </c>
      <c r="F1520" s="294"/>
      <c r="G1520" s="2232" t="s">
        <v>2752</v>
      </c>
      <c r="H1520" s="2233">
        <f>SUMPRODUCT($E1514:$E1519,H1514:H1519)</f>
        <v>0</v>
      </c>
      <c r="I1520" s="2242" t="s">
        <v>19</v>
      </c>
      <c r="J1520" s="520"/>
      <c r="K1520" s="498"/>
      <c r="L1520" s="472"/>
      <c r="M1520" s="472"/>
      <c r="N1520" s="472"/>
      <c r="O1520" s="472"/>
      <c r="P1520" s="442"/>
      <c r="Q1520" s="442"/>
      <c r="R1520" s="443"/>
      <c r="S1520" s="364"/>
      <c r="Z1520" s="609" t="s">
        <v>540</v>
      </c>
      <c r="AA1520" s="609" t="s">
        <v>3137</v>
      </c>
    </row>
    <row r="1521" spans="1:27" ht="18">
      <c r="A1521" s="2712"/>
      <c r="B1521" s="371"/>
      <c r="C1521" s="371" t="s">
        <v>2755</v>
      </c>
      <c r="D1521" s="371"/>
      <c r="F1521" s="294"/>
      <c r="G1521" s="301"/>
      <c r="H1521" s="315"/>
      <c r="I1521" s="393"/>
      <c r="J1521" s="438"/>
      <c r="K1521" s="438"/>
      <c r="L1521" s="472"/>
      <c r="M1521" s="472"/>
      <c r="N1521" s="472"/>
      <c r="O1521" s="472"/>
      <c r="P1521" s="442"/>
      <c r="Q1521" s="442"/>
      <c r="R1521" s="443"/>
      <c r="S1521" s="364"/>
      <c r="Z1521" s="609" t="s">
        <v>540</v>
      </c>
      <c r="AA1521" s="609" t="s">
        <v>3137</v>
      </c>
    </row>
    <row r="1522" spans="1:27" ht="24">
      <c r="A1522" s="2712" t="s">
        <v>590</v>
      </c>
      <c r="B1522" s="371">
        <v>5</v>
      </c>
      <c r="C1522" s="371"/>
      <c r="D1522" s="2714" t="str">
        <f>VLOOKUP($A1522,Sheet_NoteList,2,0)</f>
        <v>本期实际核销的其他应收款情况</v>
      </c>
      <c r="E1522" s="2714" t="s">
        <v>2742</v>
      </c>
      <c r="F1522" s="293"/>
      <c r="G1522" s="372" t="str">
        <f>"("&amp;B1522&amp;")"&amp;D1522</f>
        <v>(5)本期实际核销的其他应收款情况</v>
      </c>
      <c r="H1522" s="1515" t="str">
        <f>$A1522</f>
        <v>1221z</v>
      </c>
      <c r="I1522" s="343" t="s">
        <v>2743</v>
      </c>
      <c r="J1522" s="301" t="s">
        <v>2744</v>
      </c>
      <c r="K1522" s="2208">
        <f>H1527</f>
        <v>0</v>
      </c>
      <c r="L1522" s="349">
        <f>IF($I1522="适用",IF(ROUND(K$988-K1522,2)=0,"F/S",ROUND(K$988-K1522,2)),"#N/A")</f>
        <v>8760929.7400000002</v>
      </c>
      <c r="M1522" s="301" t="s">
        <v>2745</v>
      </c>
      <c r="N1522" s="2208">
        <f>I1527</f>
        <v>0</v>
      </c>
      <c r="O1522" s="349">
        <f>IF($I1522="适用",IF(ROUND(N$988-N1522,2)=0,"F/S",ROUND(N$988-N1522,2)),"#N/A")</f>
        <v>1111613.68</v>
      </c>
      <c r="P1522" s="301"/>
      <c r="S1522" s="364"/>
      <c r="Z1522" s="609" t="s">
        <v>540</v>
      </c>
      <c r="AA1522" s="609" t="s">
        <v>3137</v>
      </c>
    </row>
    <row r="1523" spans="1:27" ht="0.75" customHeight="1" thickBot="1">
      <c r="A1523" s="2712"/>
      <c r="B1523" s="371"/>
      <c r="C1523" s="371"/>
      <c r="D1523" s="2714"/>
      <c r="E1523" s="586"/>
      <c r="F1523" s="586"/>
      <c r="G1523" s="2222" t="s">
        <v>3180</v>
      </c>
      <c r="H1523" s="371" t="s">
        <v>2747</v>
      </c>
      <c r="I1523" s="433"/>
      <c r="J1523" s="433"/>
      <c r="K1523" s="428"/>
      <c r="L1523" s="428"/>
      <c r="M1523" s="433"/>
      <c r="N1523" s="428"/>
      <c r="O1523" s="428"/>
      <c r="P1523" s="433"/>
      <c r="Q1523" s="442"/>
      <c r="R1523" s="443"/>
      <c r="S1523" s="364"/>
      <c r="Z1523" s="609" t="s">
        <v>540</v>
      </c>
      <c r="AA1523" s="609" t="s">
        <v>3137</v>
      </c>
    </row>
    <row r="1524" spans="1:27" ht="18">
      <c r="A1524" s="2712"/>
      <c r="B1524" s="371"/>
      <c r="C1524" s="371"/>
      <c r="D1524" s="2714"/>
      <c r="E1524" s="586" t="s">
        <v>2749</v>
      </c>
      <c r="F1524" s="414"/>
      <c r="G1524" s="2531" t="s">
        <v>5132</v>
      </c>
      <c r="H1524" s="2533" t="s">
        <v>2925</v>
      </c>
      <c r="I1524" s="355" t="s">
        <v>5271</v>
      </c>
      <c r="J1524" s="435"/>
      <c r="K1524" s="434"/>
      <c r="L1524" s="434"/>
      <c r="M1524" s="435"/>
      <c r="N1524" s="434"/>
      <c r="O1524" s="434"/>
      <c r="P1524" s="435"/>
      <c r="Q1524" s="442"/>
      <c r="R1524" s="443"/>
      <c r="S1524" s="364"/>
      <c r="Z1524" s="609" t="s">
        <v>540</v>
      </c>
      <c r="AA1524" s="609" t="s">
        <v>3137</v>
      </c>
    </row>
    <row r="1525" spans="1:27" ht="18">
      <c r="A1525" s="2712"/>
      <c r="B1525" s="371">
        <v>101</v>
      </c>
      <c r="C1525" s="371"/>
      <c r="D1525" s="2714">
        <f>IF(OR(G1525="*",G1525="",G1525=0),0,COUNTIF($G$1525:$G$1527,G1525))</f>
        <v>1</v>
      </c>
      <c r="E1525" s="2719">
        <v>1</v>
      </c>
      <c r="F1525" s="293"/>
      <c r="G1525" s="1472" t="s">
        <v>3181</v>
      </c>
      <c r="H1525" s="2294"/>
      <c r="I1525" s="445"/>
      <c r="J1525" s="438"/>
      <c r="K1525" s="439"/>
      <c r="L1525" s="437"/>
      <c r="M1525" s="438"/>
      <c r="N1525" s="439"/>
      <c r="O1525" s="437"/>
      <c r="P1525" s="438"/>
      <c r="Q1525" s="442"/>
      <c r="R1525" s="443"/>
      <c r="S1525" s="364"/>
      <c r="Z1525" s="609" t="s">
        <v>540</v>
      </c>
      <c r="AA1525" s="609" t="s">
        <v>3137</v>
      </c>
    </row>
    <row r="1526" spans="1:27" ht="18">
      <c r="A1526" s="2712"/>
      <c r="B1526" s="371">
        <v>107</v>
      </c>
      <c r="C1526" s="371" t="s">
        <v>2791</v>
      </c>
      <c r="D1526" s="2714">
        <f>IF(OR(G1526="*",G1526="",G1526=0),0,COUNTIF($G$1525:$G$1527,G1526))</f>
        <v>0</v>
      </c>
      <c r="E1526" s="2719">
        <v>1</v>
      </c>
      <c r="F1526" s="293"/>
      <c r="G1526" s="2536" t="s">
        <v>2792</v>
      </c>
      <c r="H1526" s="2294"/>
      <c r="I1526" s="445"/>
      <c r="J1526" s="438"/>
      <c r="K1526" s="439"/>
      <c r="L1526" s="437"/>
      <c r="M1526" s="438"/>
      <c r="N1526" s="439"/>
      <c r="O1526" s="437"/>
      <c r="P1526" s="438"/>
      <c r="Q1526" s="442"/>
      <c r="R1526" s="443"/>
      <c r="S1526" s="364"/>
      <c r="Z1526" s="609" t="s">
        <v>540</v>
      </c>
      <c r="AA1526" s="609" t="s">
        <v>3137</v>
      </c>
    </row>
    <row r="1527" spans="1:27" ht="18.75" thickBot="1">
      <c r="A1527" s="2712"/>
      <c r="B1527" s="371"/>
      <c r="C1527" s="371"/>
      <c r="D1527" s="2714">
        <f>IF(OR(G1527="*",G1527="",G1527=0),0,COUNTIF($G$1525:$G$1527,G1527))</f>
        <v>1</v>
      </c>
      <c r="E1527" s="2719" t="s">
        <v>2751</v>
      </c>
      <c r="F1527" s="293"/>
      <c r="G1527" s="2232" t="s">
        <v>5139</v>
      </c>
      <c r="H1527" s="2234">
        <f>SUMPRODUCT($E1524:$E1526,H1524:H1526)</f>
        <v>0</v>
      </c>
      <c r="I1527" s="440"/>
      <c r="J1527" s="440"/>
      <c r="K1527" s="439"/>
      <c r="L1527" s="437"/>
      <c r="M1527" s="440"/>
      <c r="N1527" s="439"/>
      <c r="O1527" s="437"/>
      <c r="P1527" s="440"/>
      <c r="Q1527" s="442"/>
      <c r="R1527" s="443"/>
      <c r="S1527" s="364"/>
      <c r="Z1527" s="609" t="s">
        <v>540</v>
      </c>
      <c r="AA1527" s="609" t="s">
        <v>3137</v>
      </c>
    </row>
    <row r="1528" spans="1:27" ht="18">
      <c r="A1528" s="2712"/>
      <c r="B1528" s="371"/>
      <c r="C1528" s="371" t="s">
        <v>2755</v>
      </c>
      <c r="D1528" s="2714"/>
      <c r="F1528" s="293"/>
      <c r="G1528" s="376"/>
      <c r="H1528" s="315"/>
      <c r="I1528" s="446"/>
      <c r="J1528" s="425"/>
      <c r="K1528" s="426"/>
      <c r="L1528" s="427"/>
      <c r="M1528" s="425"/>
      <c r="N1528" s="426"/>
      <c r="O1528" s="427"/>
      <c r="P1528" s="425"/>
      <c r="Q1528" s="442"/>
      <c r="R1528" s="443"/>
      <c r="S1528" s="364"/>
      <c r="Z1528" s="609" t="s">
        <v>540</v>
      </c>
      <c r="AA1528" s="609" t="s">
        <v>3137</v>
      </c>
    </row>
    <row r="1529" spans="1:27" ht="24">
      <c r="A1529" s="2712" t="s">
        <v>595</v>
      </c>
      <c r="B1529" s="371">
        <v>5.0999999999999996</v>
      </c>
      <c r="C1529" s="371"/>
      <c r="D1529" s="2714" t="str">
        <f>VLOOKUP($A1529,Sheet_NoteList,2,0)</f>
        <v>本期重要的其他应收款核销情况</v>
      </c>
      <c r="E1529" s="2714" t="s">
        <v>2742</v>
      </c>
      <c r="F1529" s="294"/>
      <c r="G1529" s="372" t="str">
        <f>"("&amp;B1529&amp;")"&amp;D1529</f>
        <v>(5.1)本期重要的其他应收款核销情况</v>
      </c>
      <c r="H1529" s="1515" t="str">
        <f>$A1529</f>
        <v>1221i</v>
      </c>
      <c r="I1529" s="343" t="s">
        <v>2743</v>
      </c>
      <c r="J1529" s="301" t="s">
        <v>2744</v>
      </c>
      <c r="K1529" s="2208">
        <f>I1537</f>
        <v>0</v>
      </c>
      <c r="L1529" s="345"/>
      <c r="M1529" s="301"/>
      <c r="N1529" s="3083"/>
      <c r="O1529" s="345" t="str">
        <f>IF(ROUND(N1443-N1529,2)&gt;=0,"","#Logical!")</f>
        <v/>
      </c>
      <c r="P1529" s="301"/>
      <c r="Q1529" s="290" t="str">
        <f>IF($I1529="不适用","",IF(ROUND(SUM($H$1532:$L$1537),2)=0,"请输入",""))</f>
        <v>请输入</v>
      </c>
      <c r="S1529" s="364"/>
      <c r="Z1529" s="609" t="s">
        <v>540</v>
      </c>
      <c r="AA1529" s="609" t="s">
        <v>3137</v>
      </c>
    </row>
    <row r="1530" spans="1:27" ht="0.75" customHeight="1" thickBot="1">
      <c r="A1530" s="2712"/>
      <c r="B1530" s="371"/>
      <c r="C1530" s="371"/>
      <c r="D1530" s="371"/>
      <c r="E1530" s="586"/>
      <c r="F1530" s="586"/>
      <c r="G1530" s="586" t="s">
        <v>3182</v>
      </c>
      <c r="H1530" s="371" t="s">
        <v>3043</v>
      </c>
      <c r="I1530" s="371" t="s">
        <v>3044</v>
      </c>
      <c r="J1530" s="371" t="s">
        <v>3045</v>
      </c>
      <c r="K1530" s="371" t="s">
        <v>3046</v>
      </c>
      <c r="L1530" s="371" t="s">
        <v>3047</v>
      </c>
      <c r="M1530" s="291"/>
      <c r="N1530" s="291"/>
      <c r="O1530" s="291"/>
      <c r="S1530" s="364"/>
      <c r="Z1530" s="609" t="s">
        <v>540</v>
      </c>
      <c r="AA1530" s="609" t="s">
        <v>3137</v>
      </c>
    </row>
    <row r="1531" spans="1:27" ht="24">
      <c r="A1531" s="2712"/>
      <c r="B1531" s="371"/>
      <c r="C1531" s="371"/>
      <c r="D1531" s="371"/>
      <c r="E1531" s="586" t="s">
        <v>2749</v>
      </c>
      <c r="F1531" s="363"/>
      <c r="G1531" s="2531" t="s">
        <v>1465</v>
      </c>
      <c r="H1531" s="2532" t="s">
        <v>3183</v>
      </c>
      <c r="I1531" s="2532" t="s">
        <v>2925</v>
      </c>
      <c r="J1531" s="2532" t="s">
        <v>2932</v>
      </c>
      <c r="K1531" s="2532" t="s">
        <v>2933</v>
      </c>
      <c r="L1531" s="2533" t="s">
        <v>3184</v>
      </c>
      <c r="M1531" s="355" t="s">
        <v>5271</v>
      </c>
      <c r="N1531" s="291"/>
      <c r="O1531" s="291"/>
      <c r="S1531" s="364"/>
      <c r="Z1531" s="609" t="s">
        <v>540</v>
      </c>
      <c r="AA1531" s="609" t="s">
        <v>3137</v>
      </c>
    </row>
    <row r="1532" spans="1:27" ht="18">
      <c r="A1532" s="2712"/>
      <c r="B1532" s="371">
        <v>101</v>
      </c>
      <c r="C1532" s="371" t="s">
        <v>2791</v>
      </c>
      <c r="D1532" s="2714">
        <f t="shared" ref="D1532:D1537" si="140">IF(OR(G1532="*",G1532="",G1532=0),0,COUNTIF($G$1532:$G$1537,G1532))</f>
        <v>0</v>
      </c>
      <c r="E1532" s="2719">
        <v>1</v>
      </c>
      <c r="F1532" s="294"/>
      <c r="G1532" s="2536" t="s">
        <v>2792</v>
      </c>
      <c r="H1532" s="2296"/>
      <c r="I1532" s="2273"/>
      <c r="J1532" s="2296"/>
      <c r="K1532" s="2296"/>
      <c r="L1532" s="2274"/>
      <c r="M1532" s="291"/>
      <c r="N1532" s="291"/>
      <c r="O1532" s="291"/>
      <c r="S1532" s="364"/>
      <c r="Z1532" s="609" t="s">
        <v>540</v>
      </c>
      <c r="AA1532" s="609" t="s">
        <v>3137</v>
      </c>
    </row>
    <row r="1533" spans="1:27" ht="18">
      <c r="A1533" s="2712"/>
      <c r="B1533" s="371">
        <v>102</v>
      </c>
      <c r="C1533" s="371" t="s">
        <v>2791</v>
      </c>
      <c r="D1533" s="2714">
        <f t="shared" si="140"/>
        <v>0</v>
      </c>
      <c r="E1533" s="2719">
        <v>1</v>
      </c>
      <c r="F1533" s="294"/>
      <c r="G1533" s="2536" t="s">
        <v>2792</v>
      </c>
      <c r="H1533" s="2296"/>
      <c r="I1533" s="2273"/>
      <c r="J1533" s="2296"/>
      <c r="K1533" s="2296"/>
      <c r="L1533" s="2274"/>
      <c r="M1533" s="291"/>
      <c r="N1533" s="291"/>
      <c r="O1533" s="291"/>
      <c r="S1533" s="364"/>
      <c r="Z1533" s="609" t="s">
        <v>540</v>
      </c>
      <c r="AA1533" s="609" t="s">
        <v>3137</v>
      </c>
    </row>
    <row r="1534" spans="1:27" ht="18">
      <c r="A1534" s="2712"/>
      <c r="B1534" s="371">
        <v>103</v>
      </c>
      <c r="C1534" s="371" t="s">
        <v>2791</v>
      </c>
      <c r="D1534" s="2714">
        <f t="shared" si="140"/>
        <v>0</v>
      </c>
      <c r="E1534" s="2719">
        <v>1</v>
      </c>
      <c r="F1534" s="294"/>
      <c r="G1534" s="2536" t="s">
        <v>2792</v>
      </c>
      <c r="H1534" s="2296"/>
      <c r="I1534" s="2273"/>
      <c r="J1534" s="2296"/>
      <c r="K1534" s="2296"/>
      <c r="L1534" s="2274"/>
      <c r="M1534" s="291"/>
      <c r="N1534" s="291"/>
      <c r="O1534" s="291"/>
      <c r="S1534" s="364"/>
      <c r="Z1534" s="609" t="s">
        <v>540</v>
      </c>
      <c r="AA1534" s="609" t="s">
        <v>3137</v>
      </c>
    </row>
    <row r="1535" spans="1:27" ht="18">
      <c r="A1535" s="2712"/>
      <c r="B1535" s="371">
        <v>104</v>
      </c>
      <c r="C1535" s="371" t="s">
        <v>2791</v>
      </c>
      <c r="D1535" s="2714">
        <f t="shared" si="140"/>
        <v>0</v>
      </c>
      <c r="E1535" s="2719">
        <v>1</v>
      </c>
      <c r="F1535" s="294"/>
      <c r="G1535" s="2536" t="s">
        <v>2792</v>
      </c>
      <c r="H1535" s="2296"/>
      <c r="I1535" s="2273"/>
      <c r="J1535" s="2296"/>
      <c r="K1535" s="2296"/>
      <c r="L1535" s="2274"/>
      <c r="M1535" s="291"/>
      <c r="N1535" s="291"/>
      <c r="O1535" s="291"/>
      <c r="S1535" s="364"/>
      <c r="Z1535" s="609" t="s">
        <v>540</v>
      </c>
      <c r="AA1535" s="609" t="s">
        <v>3137</v>
      </c>
    </row>
    <row r="1536" spans="1:27" ht="18">
      <c r="A1536" s="2712"/>
      <c r="B1536" s="371">
        <v>105</v>
      </c>
      <c r="C1536" s="371" t="s">
        <v>2791</v>
      </c>
      <c r="D1536" s="2714">
        <f t="shared" si="140"/>
        <v>0</v>
      </c>
      <c r="E1536" s="2719">
        <v>1</v>
      </c>
      <c r="F1536" s="294"/>
      <c r="G1536" s="2536" t="s">
        <v>2792</v>
      </c>
      <c r="H1536" s="2296"/>
      <c r="I1536" s="2273"/>
      <c r="J1536" s="2296"/>
      <c r="K1536" s="2296"/>
      <c r="L1536" s="2274"/>
      <c r="M1536" s="291"/>
      <c r="N1536" s="291"/>
      <c r="O1536" s="291"/>
      <c r="S1536" s="364"/>
      <c r="Z1536" s="609" t="s">
        <v>540</v>
      </c>
      <c r="AA1536" s="609" t="s">
        <v>3137</v>
      </c>
    </row>
    <row r="1537" spans="1:27" ht="18.75" thickBot="1">
      <c r="A1537" s="2712"/>
      <c r="B1537" s="371"/>
      <c r="C1537" s="371"/>
      <c r="D1537" s="2714">
        <f t="shared" si="140"/>
        <v>1</v>
      </c>
      <c r="E1537" s="2719" t="s">
        <v>3032</v>
      </c>
      <c r="F1537" s="294"/>
      <c r="G1537" s="2232" t="s">
        <v>2752</v>
      </c>
      <c r="H1537" s="2239"/>
      <c r="I1537" s="2233">
        <f>SUMPRODUCT($E1531:$E1536,I1531:I1536)</f>
        <v>0</v>
      </c>
      <c r="J1537" s="2239"/>
      <c r="K1537" s="2239"/>
      <c r="L1537" s="2242"/>
      <c r="M1537" s="291"/>
      <c r="N1537" s="291"/>
      <c r="O1537" s="291"/>
      <c r="S1537" s="364"/>
      <c r="Z1537" s="609" t="s">
        <v>540</v>
      </c>
      <c r="AA1537" s="609" t="s">
        <v>3137</v>
      </c>
    </row>
    <row r="1538" spans="1:27" ht="18.75" thickBot="1">
      <c r="A1538" s="2712"/>
      <c r="B1538" s="371">
        <v>901</v>
      </c>
      <c r="C1538" s="371"/>
      <c r="D1538" s="371"/>
      <c r="E1538" s="2714" t="s">
        <v>2753</v>
      </c>
      <c r="F1538" s="294"/>
      <c r="G1538" s="2260" t="s">
        <v>3185</v>
      </c>
      <c r="H1538" s="350"/>
      <c r="I1538" s="348"/>
      <c r="J1538" s="530"/>
      <c r="K1538" s="350"/>
      <c r="L1538" s="350"/>
      <c r="M1538" s="291"/>
      <c r="N1538" s="291"/>
      <c r="O1538" s="291"/>
      <c r="P1538" s="291"/>
      <c r="S1538" s="364"/>
      <c r="Z1538" s="609" t="s">
        <v>540</v>
      </c>
      <c r="AA1538" s="609" t="s">
        <v>3137</v>
      </c>
    </row>
    <row r="1539" spans="1:27" ht="18">
      <c r="A1539" s="2712"/>
      <c r="B1539" s="371"/>
      <c r="C1539" s="371" t="s">
        <v>2755</v>
      </c>
      <c r="D1539" s="371"/>
      <c r="F1539" s="294"/>
      <c r="G1539" s="314"/>
      <c r="H1539" s="393"/>
      <c r="I1539" s="315"/>
      <c r="J1539" s="393"/>
      <c r="K1539" s="393"/>
      <c r="L1539" s="393"/>
      <c r="M1539" s="291"/>
      <c r="N1539" s="291"/>
      <c r="O1539" s="291"/>
      <c r="S1539" s="364"/>
      <c r="Z1539" s="609" t="s">
        <v>540</v>
      </c>
      <c r="AA1539" s="609" t="s">
        <v>3137</v>
      </c>
    </row>
    <row r="1540" spans="1:27" ht="24">
      <c r="A1540" s="2712" t="s">
        <v>600</v>
      </c>
      <c r="B1540" s="371">
        <v>6</v>
      </c>
      <c r="C1540" s="371"/>
      <c r="D1540" s="2714" t="str">
        <f>VLOOKUP($A1540,Sheet_NoteList,2,0)</f>
        <v>按欠款方归集的期末余额前五名的其他应收款情况</v>
      </c>
      <c r="E1540" s="2714" t="s">
        <v>2742</v>
      </c>
      <c r="F1540" s="294"/>
      <c r="G1540" s="372" t="str">
        <f>"("&amp;B1540&amp;")"&amp;D1540</f>
        <v>(6)按欠款方归集的期末余额前五名的其他应收款情况</v>
      </c>
      <c r="H1540" s="1515" t="str">
        <f>$A1540</f>
        <v>1221k</v>
      </c>
      <c r="I1540" s="343" t="s">
        <v>2743</v>
      </c>
      <c r="J1540" s="301" t="s">
        <v>2744</v>
      </c>
      <c r="K1540" s="2208">
        <f>I1557-L1557</f>
        <v>0</v>
      </c>
      <c r="L1540" s="345" t="str">
        <f>IF($I1540="适用",IF(ROUND(K$988-K1540,2)&gt;=0,"","#Logical!"),"#N/A")</f>
        <v/>
      </c>
      <c r="M1540" s="301"/>
      <c r="N1540" s="3083"/>
      <c r="O1540" s="345" t="str">
        <f>IF(ROUND(N1412-N1540,2)&gt;=0,"","#Logical!")</f>
        <v/>
      </c>
      <c r="P1540" s="301"/>
      <c r="Q1540" s="290" t="str">
        <f>IF($I1540="不适用","",IF(ROUND(SUM($H$1543:$L$1557),2)=0,"请输入",""))</f>
        <v>请输入</v>
      </c>
      <c r="S1540" s="364"/>
      <c r="Z1540" s="609" t="s">
        <v>540</v>
      </c>
      <c r="AA1540" s="609" t="s">
        <v>3137</v>
      </c>
    </row>
    <row r="1541" spans="1:27" ht="0.75" customHeight="1" thickBot="1">
      <c r="A1541" s="2712"/>
      <c r="B1541" s="371"/>
      <c r="C1541" s="371"/>
      <c r="D1541" s="371"/>
      <c r="F1541" s="371"/>
      <c r="G1541" s="371" t="s">
        <v>3186</v>
      </c>
      <c r="H1541" s="371" t="s">
        <v>3187</v>
      </c>
      <c r="I1541" s="371" t="s">
        <v>3188</v>
      </c>
      <c r="J1541" s="371" t="s">
        <v>3189</v>
      </c>
      <c r="K1541" s="371" t="s">
        <v>3190</v>
      </c>
      <c r="L1541" s="371" t="s">
        <v>3191</v>
      </c>
      <c r="M1541" s="291"/>
      <c r="N1541" s="291"/>
      <c r="O1541" s="291"/>
      <c r="P1541" s="291"/>
      <c r="S1541" s="364"/>
      <c r="Z1541" s="609" t="s">
        <v>540</v>
      </c>
      <c r="AA1541" s="609" t="s">
        <v>3137</v>
      </c>
    </row>
    <row r="1542" spans="1:27" ht="36">
      <c r="A1542" s="2712"/>
      <c r="B1542" s="371"/>
      <c r="C1542" s="371"/>
      <c r="D1542" s="371"/>
      <c r="E1542" s="2714" t="s">
        <v>2749</v>
      </c>
      <c r="F1542" s="294"/>
      <c r="G1542" s="2496" t="s">
        <v>1465</v>
      </c>
      <c r="H1542" s="2497" t="s">
        <v>3192</v>
      </c>
      <c r="I1542" s="2481" t="str">
        <f>$W$2&amp;"余额"</f>
        <v>2019年12月31日余额</v>
      </c>
      <c r="J1542" s="2537" t="s">
        <v>2961</v>
      </c>
      <c r="K1542" s="2497" t="s">
        <v>3193</v>
      </c>
      <c r="L1542" s="2534" t="s">
        <v>3055</v>
      </c>
      <c r="M1542" s="355" t="s">
        <v>5271</v>
      </c>
      <c r="N1542" s="291"/>
      <c r="O1542" s="291"/>
      <c r="P1542" s="291"/>
      <c r="S1542" s="364"/>
      <c r="Z1542" s="609" t="s">
        <v>540</v>
      </c>
      <c r="AA1542" s="609" t="s">
        <v>3137</v>
      </c>
    </row>
    <row r="1543" spans="1:27" ht="24">
      <c r="A1543" s="2712"/>
      <c r="B1543" s="371">
        <v>101</v>
      </c>
      <c r="C1543" s="371"/>
      <c r="D1543" s="2714">
        <f t="shared" ref="D1543:D1557" si="141">IF(OR(G1543="*",G1543="",G1543=0),0,COUNTIF($G$1543:$G$1557,G1543))</f>
        <v>1</v>
      </c>
      <c r="E1543" s="2719" t="s">
        <v>41</v>
      </c>
      <c r="F1543" s="294"/>
      <c r="G1543" s="308" t="s">
        <v>3194</v>
      </c>
      <c r="H1543" s="360"/>
      <c r="I1543" s="309"/>
      <c r="J1543" s="360"/>
      <c r="K1543" s="360" t="s">
        <v>19</v>
      </c>
      <c r="L1543" s="346"/>
      <c r="M1543" s="291"/>
      <c r="N1543" s="291"/>
      <c r="O1543" s="291"/>
      <c r="P1543" s="291"/>
      <c r="S1543" s="364"/>
      <c r="Z1543" s="609" t="s">
        <v>540</v>
      </c>
      <c r="AA1543" s="609" t="s">
        <v>3137</v>
      </c>
    </row>
    <row r="1544" spans="1:27" ht="18">
      <c r="A1544" s="2712"/>
      <c r="B1544" s="371">
        <v>101.001</v>
      </c>
      <c r="C1544" s="371" t="s">
        <v>2791</v>
      </c>
      <c r="D1544" s="2714">
        <f t="shared" si="141"/>
        <v>0</v>
      </c>
      <c r="E1544" s="2719" t="s">
        <v>3195</v>
      </c>
      <c r="F1544" s="294"/>
      <c r="G1544" s="1458" t="s">
        <v>2792</v>
      </c>
      <c r="H1544" s="360"/>
      <c r="I1544" s="309"/>
      <c r="J1544" s="360"/>
      <c r="K1544" s="360" t="s">
        <v>19</v>
      </c>
      <c r="L1544" s="346"/>
      <c r="M1544" s="291"/>
      <c r="N1544" s="291"/>
      <c r="O1544" s="291"/>
      <c r="P1544" s="291"/>
      <c r="S1544" s="364"/>
      <c r="Z1544" s="609" t="s">
        <v>540</v>
      </c>
      <c r="AA1544" s="609" t="s">
        <v>3137</v>
      </c>
    </row>
    <row r="1545" spans="1:27" ht="18">
      <c r="A1545" s="2712"/>
      <c r="B1545" s="371">
        <v>101.002</v>
      </c>
      <c r="C1545" s="371" t="s">
        <v>2791</v>
      </c>
      <c r="D1545" s="2714">
        <f t="shared" si="141"/>
        <v>0</v>
      </c>
      <c r="E1545" s="2719" t="s">
        <v>3195</v>
      </c>
      <c r="F1545" s="294"/>
      <c r="G1545" s="1458" t="s">
        <v>2792</v>
      </c>
      <c r="H1545" s="360"/>
      <c r="I1545" s="309"/>
      <c r="J1545" s="360"/>
      <c r="K1545" s="360"/>
      <c r="L1545" s="346"/>
      <c r="M1545" s="291"/>
      <c r="N1545" s="291"/>
      <c r="O1545" s="291"/>
      <c r="P1545" s="291"/>
      <c r="S1545" s="364"/>
      <c r="Z1545" s="609" t="s">
        <v>540</v>
      </c>
      <c r="AA1545" s="609" t="s">
        <v>3137</v>
      </c>
    </row>
    <row r="1546" spans="1:27" ht="18">
      <c r="A1546" s="2712"/>
      <c r="B1546" s="371">
        <v>101.003</v>
      </c>
      <c r="C1546" s="371" t="s">
        <v>2791</v>
      </c>
      <c r="D1546" s="2714">
        <f t="shared" si="141"/>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18">
      <c r="A1547" s="2712"/>
      <c r="B1547" s="371">
        <v>101.004</v>
      </c>
      <c r="C1547" s="371" t="s">
        <v>2791</v>
      </c>
      <c r="D1547" s="2714">
        <f t="shared" si="141"/>
        <v>0</v>
      </c>
      <c r="E1547" s="2719" t="s">
        <v>3195</v>
      </c>
      <c r="F1547" s="294"/>
      <c r="G1547" s="1458" t="s">
        <v>2792</v>
      </c>
      <c r="H1547" s="360"/>
      <c r="I1547" s="309"/>
      <c r="J1547" s="360"/>
      <c r="K1547" s="360"/>
      <c r="L1547" s="346"/>
      <c r="M1547" s="291"/>
      <c r="N1547" s="291"/>
      <c r="O1547" s="291"/>
      <c r="P1547" s="291"/>
      <c r="S1547" s="364"/>
      <c r="Z1547" s="609" t="s">
        <v>540</v>
      </c>
      <c r="AA1547" s="609" t="s">
        <v>3137</v>
      </c>
    </row>
    <row r="1548" spans="1:27" ht="18">
      <c r="A1548" s="2712"/>
      <c r="B1548" s="371">
        <v>101.005</v>
      </c>
      <c r="C1548" s="371" t="s">
        <v>2791</v>
      </c>
      <c r="D1548" s="2714">
        <f t="shared" si="141"/>
        <v>0</v>
      </c>
      <c r="E1548" s="2719" t="s">
        <v>3195</v>
      </c>
      <c r="F1548" s="294"/>
      <c r="G1548" s="1458" t="s">
        <v>2792</v>
      </c>
      <c r="H1548" s="360"/>
      <c r="I1548" s="309"/>
      <c r="J1548" s="360"/>
      <c r="K1548" s="360"/>
      <c r="L1548" s="346"/>
      <c r="M1548" s="291"/>
      <c r="N1548" s="291"/>
      <c r="O1548" s="291"/>
      <c r="P1548" s="291"/>
      <c r="S1548" s="364"/>
      <c r="Z1548" s="609" t="s">
        <v>540</v>
      </c>
      <c r="AA1548" s="609" t="s">
        <v>3137</v>
      </c>
    </row>
    <row r="1549" spans="1:27" ht="24">
      <c r="A1549" s="2712"/>
      <c r="B1549" s="371">
        <v>101.999</v>
      </c>
      <c r="C1549" s="371" t="s">
        <v>2793</v>
      </c>
      <c r="D1549" s="2714">
        <f t="shared" si="141"/>
        <v>1</v>
      </c>
      <c r="E1549" s="2719">
        <v>1</v>
      </c>
      <c r="F1549" s="294"/>
      <c r="G1549" s="308" t="s">
        <v>3195</v>
      </c>
      <c r="H1549" s="360"/>
      <c r="I1549" s="377">
        <f>SUMIF($E$1542:$E$1556,$G1549,I$1542:I$1556)</f>
        <v>0</v>
      </c>
      <c r="J1549" s="360"/>
      <c r="K1549" s="360"/>
      <c r="L1549" s="397">
        <f>SUMIF($E$1542:$E$1556,$G1549,L$1542:L$1556)</f>
        <v>0</v>
      </c>
      <c r="M1549" s="291"/>
      <c r="N1549" s="291"/>
      <c r="O1549" s="291"/>
      <c r="P1549" s="291"/>
      <c r="S1549" s="364"/>
      <c r="Z1549" s="609" t="s">
        <v>540</v>
      </c>
      <c r="AA1549" s="609" t="s">
        <v>3137</v>
      </c>
    </row>
    <row r="1550" spans="1:27" ht="36">
      <c r="A1550" s="2712"/>
      <c r="B1550" s="371">
        <v>102</v>
      </c>
      <c r="C1550" s="371"/>
      <c r="D1550" s="2714">
        <f t="shared" si="141"/>
        <v>1</v>
      </c>
      <c r="E1550" s="2719" t="s">
        <v>41</v>
      </c>
      <c r="F1550" s="294"/>
      <c r="G1550" s="1457" t="s">
        <v>3058</v>
      </c>
      <c r="H1550" s="360"/>
      <c r="I1550" s="309"/>
      <c r="J1550" s="360"/>
      <c r="K1550" s="360"/>
      <c r="L1550" s="346"/>
      <c r="M1550" s="355" t="s">
        <v>5142</v>
      </c>
      <c r="N1550" s="291"/>
      <c r="O1550" s="291"/>
      <c r="P1550" s="291"/>
      <c r="S1550" s="364"/>
      <c r="Z1550" s="609" t="s">
        <v>540</v>
      </c>
      <c r="AA1550" s="609" t="s">
        <v>3137</v>
      </c>
    </row>
    <row r="1551" spans="1:27" ht="18">
      <c r="A1551" s="2712"/>
      <c r="B1551" s="371">
        <v>102.001</v>
      </c>
      <c r="C1551" s="371" t="s">
        <v>2791</v>
      </c>
      <c r="D1551" s="2714">
        <f t="shared" si="141"/>
        <v>0</v>
      </c>
      <c r="E1551" s="2719" t="s">
        <v>2875</v>
      </c>
      <c r="F1551" s="294"/>
      <c r="G1551" s="1458" t="s">
        <v>2792</v>
      </c>
      <c r="H1551" s="360"/>
      <c r="I1551" s="309"/>
      <c r="J1551" s="360"/>
      <c r="K1551" s="360"/>
      <c r="L1551" s="346"/>
      <c r="M1551" s="291"/>
      <c r="N1551" s="291"/>
      <c r="O1551" s="291"/>
      <c r="P1551" s="291"/>
      <c r="S1551" s="364"/>
      <c r="Z1551" s="609" t="s">
        <v>540</v>
      </c>
      <c r="AA1551" s="609" t="s">
        <v>3137</v>
      </c>
    </row>
    <row r="1552" spans="1:27" ht="18">
      <c r="A1552" s="2712"/>
      <c r="B1552" s="371">
        <v>102.002</v>
      </c>
      <c r="C1552" s="371" t="s">
        <v>2791</v>
      </c>
      <c r="D1552" s="2714">
        <f t="shared" si="141"/>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2"/>
      <c r="B1553" s="371">
        <v>102.003</v>
      </c>
      <c r="C1553" s="371" t="s">
        <v>2791</v>
      </c>
      <c r="D1553" s="2714">
        <f t="shared" si="141"/>
        <v>0</v>
      </c>
      <c r="E1553" s="2719" t="s">
        <v>2875</v>
      </c>
      <c r="F1553" s="294"/>
      <c r="G1553" s="1458" t="s">
        <v>2792</v>
      </c>
      <c r="H1553" s="360"/>
      <c r="I1553" s="309"/>
      <c r="J1553" s="360"/>
      <c r="K1553" s="360"/>
      <c r="L1553" s="346"/>
      <c r="M1553" s="291"/>
      <c r="N1553" s="291"/>
      <c r="O1553" s="291"/>
      <c r="P1553" s="291"/>
      <c r="S1553" s="364"/>
      <c r="Z1553" s="609" t="s">
        <v>540</v>
      </c>
      <c r="AA1553" s="609" t="s">
        <v>3137</v>
      </c>
    </row>
    <row r="1554" spans="1:27" ht="18">
      <c r="A1554" s="2712"/>
      <c r="B1554" s="371">
        <v>102.004</v>
      </c>
      <c r="C1554" s="371" t="s">
        <v>2791</v>
      </c>
      <c r="D1554" s="2714">
        <f t="shared" si="141"/>
        <v>0</v>
      </c>
      <c r="E1554" s="2719" t="s">
        <v>2875</v>
      </c>
      <c r="F1554" s="294"/>
      <c r="G1554" s="1458" t="s">
        <v>2792</v>
      </c>
      <c r="H1554" s="360"/>
      <c r="I1554" s="309"/>
      <c r="J1554" s="360"/>
      <c r="K1554" s="360"/>
      <c r="L1554" s="346"/>
      <c r="M1554" s="291"/>
      <c r="N1554" s="291"/>
      <c r="O1554" s="291"/>
      <c r="P1554" s="291"/>
      <c r="S1554" s="364"/>
      <c r="Z1554" s="609" t="s">
        <v>540</v>
      </c>
      <c r="AA1554" s="609" t="s">
        <v>3137</v>
      </c>
    </row>
    <row r="1555" spans="1:27" ht="18">
      <c r="A1555" s="2712"/>
      <c r="B1555" s="371">
        <v>102.005</v>
      </c>
      <c r="C1555" s="371" t="s">
        <v>2791</v>
      </c>
      <c r="D1555" s="2714">
        <f t="shared" si="141"/>
        <v>0</v>
      </c>
      <c r="E1555" s="2719" t="s">
        <v>2875</v>
      </c>
      <c r="F1555" s="294"/>
      <c r="G1555" s="1458" t="s">
        <v>2792</v>
      </c>
      <c r="H1555" s="360"/>
      <c r="I1555" s="309"/>
      <c r="J1555" s="360"/>
      <c r="K1555" s="360" t="s">
        <v>19</v>
      </c>
      <c r="L1555" s="346"/>
      <c r="M1555" s="291"/>
      <c r="N1555" s="291"/>
      <c r="O1555" s="291"/>
      <c r="P1555" s="291"/>
      <c r="S1555" s="364"/>
      <c r="Z1555" s="609" t="s">
        <v>540</v>
      </c>
      <c r="AA1555" s="609" t="s">
        <v>3137</v>
      </c>
    </row>
    <row r="1556" spans="1:27" ht="18">
      <c r="A1556" s="2712"/>
      <c r="B1556" s="371">
        <v>102.999</v>
      </c>
      <c r="C1556" s="371" t="s">
        <v>2793</v>
      </c>
      <c r="D1556" s="2714">
        <f t="shared" si="141"/>
        <v>1</v>
      </c>
      <c r="E1556" s="2719">
        <v>0</v>
      </c>
      <c r="F1556" s="294"/>
      <c r="G1556" s="308" t="s">
        <v>2875</v>
      </c>
      <c r="H1556" s="360"/>
      <c r="I1556" s="377">
        <f>SUMIF($E$1542:$E$1556,$G1556,I$1542:I$1556)</f>
        <v>0</v>
      </c>
      <c r="J1556" s="360"/>
      <c r="K1556" s="360" t="s">
        <v>19</v>
      </c>
      <c r="L1556" s="397">
        <f>SUMIF($E$1542:$E$1556,$G1556,L$1542:L$1556)</f>
        <v>0</v>
      </c>
      <c r="M1556" s="291"/>
      <c r="N1556" s="291"/>
      <c r="O1556" s="291"/>
      <c r="P1556" s="291"/>
      <c r="S1556" s="364"/>
      <c r="Z1556" s="609" t="s">
        <v>540</v>
      </c>
      <c r="AA1556" s="609" t="s">
        <v>3137</v>
      </c>
    </row>
    <row r="1557" spans="1:27" ht="18.75" thickBot="1">
      <c r="A1557" s="2712"/>
      <c r="B1557" s="371"/>
      <c r="C1557" s="371"/>
      <c r="D1557" s="2714">
        <f t="shared" si="141"/>
        <v>1</v>
      </c>
      <c r="E1557" s="2719" t="s">
        <v>3032</v>
      </c>
      <c r="F1557" s="294"/>
      <c r="G1557" s="2232" t="s">
        <v>2752</v>
      </c>
      <c r="H1557" s="2484"/>
      <c r="I1557" s="2323">
        <f>SUMPRODUCT($E1542:$E1556,I1542:I1556)</f>
        <v>0</v>
      </c>
      <c r="J1557" s="2484"/>
      <c r="K1557" s="2484"/>
      <c r="L1557" s="2340">
        <f>SUMPRODUCT($E1542:$E1556,L1542:L1556)</f>
        <v>0</v>
      </c>
      <c r="M1557" s="291"/>
      <c r="N1557" s="291"/>
      <c r="O1557" s="291"/>
      <c r="P1557" s="291"/>
      <c r="S1557" s="364"/>
      <c r="Z1557" s="609" t="s">
        <v>540</v>
      </c>
      <c r="AA1557" s="609" t="s">
        <v>3137</v>
      </c>
    </row>
    <row r="1558" spans="1:27" ht="18">
      <c r="A1558" s="2712"/>
      <c r="B1558" s="371"/>
      <c r="C1558" s="371" t="s">
        <v>2755</v>
      </c>
      <c r="D1558" s="371"/>
      <c r="F1558" s="294"/>
      <c r="G1558" s="301"/>
      <c r="H1558" s="393"/>
      <c r="I1558" s="315"/>
      <c r="J1558" s="393"/>
      <c r="K1558" s="393"/>
      <c r="L1558" s="315"/>
      <c r="M1558" s="291"/>
      <c r="N1558" s="291"/>
      <c r="O1558" s="291"/>
      <c r="P1558" s="291"/>
      <c r="S1558" s="364"/>
      <c r="Z1558" s="609" t="s">
        <v>540</v>
      </c>
      <c r="AA1558" s="609" t="s">
        <v>3137</v>
      </c>
    </row>
    <row r="1559" spans="1:27" ht="24">
      <c r="A1559" s="2712" t="s">
        <v>605</v>
      </c>
      <c r="B1559" s="371">
        <v>7</v>
      </c>
      <c r="C1559" s="371"/>
      <c r="D1559" s="2714" t="str">
        <f>VLOOKUP($A1559,Sheet_NoteList,2,0)</f>
        <v>涉及政府补助的其他应收款</v>
      </c>
      <c r="E1559" s="2714" t="s">
        <v>2742</v>
      </c>
      <c r="F1559" s="294"/>
      <c r="G1559" s="372" t="str">
        <f>"("&amp;B1559&amp;")"&amp;D1559</f>
        <v>(7)涉及政府补助的其他应收款</v>
      </c>
      <c r="H1559" s="1515" t="str">
        <f>$A1559</f>
        <v>1221r</v>
      </c>
      <c r="I1559" s="343" t="s">
        <v>2743</v>
      </c>
      <c r="J1559" s="301" t="s">
        <v>2744</v>
      </c>
      <c r="K1559" s="2208">
        <f>I1567</f>
        <v>0</v>
      </c>
      <c r="L1559" s="345" t="str">
        <f>IF($I1559="适用",IF(ROUND(K$988-K1559,2)&gt;=0,"","#Logical!"),"#N/A")</f>
        <v/>
      </c>
      <c r="M1559" s="301"/>
      <c r="N1559" s="3083"/>
      <c r="O1559" s="345" t="str">
        <f>IF(ROUND(N1558-N1559,2)&gt;=0,"","#Logical!")</f>
        <v/>
      </c>
      <c r="P1559" s="301"/>
      <c r="Q1559" s="290" t="str">
        <f>IF($I1559="不适用","",IF(ROUND(SUM($H$1562:$K$1567),2)=0,"请输入",""))</f>
        <v>请输入</v>
      </c>
      <c r="S1559" s="364"/>
      <c r="Z1559" s="609" t="s">
        <v>540</v>
      </c>
      <c r="AA1559" s="609" t="s">
        <v>3137</v>
      </c>
    </row>
    <row r="1560" spans="1:27" ht="0.75" customHeight="1" thickBot="1">
      <c r="A1560" s="2712"/>
      <c r="B1560" s="371"/>
      <c r="C1560" s="371"/>
      <c r="D1560" s="371"/>
      <c r="E1560" s="586"/>
      <c r="F1560" s="586"/>
      <c r="G1560" s="586" t="s">
        <v>3196</v>
      </c>
      <c r="H1560" s="371" t="s">
        <v>3197</v>
      </c>
      <c r="I1560" s="371" t="s">
        <v>3188</v>
      </c>
      <c r="J1560" s="371" t="s">
        <v>3198</v>
      </c>
      <c r="K1560" s="371" t="s">
        <v>2898</v>
      </c>
      <c r="L1560" s="291"/>
      <c r="M1560" s="291"/>
      <c r="N1560" s="291"/>
      <c r="O1560" s="291"/>
      <c r="S1560" s="364"/>
      <c r="Z1560" s="609" t="s">
        <v>540</v>
      </c>
      <c r="AA1560" s="609" t="s">
        <v>3137</v>
      </c>
    </row>
    <row r="1561" spans="1:27" ht="24">
      <c r="A1561" s="2712"/>
      <c r="B1561" s="371"/>
      <c r="C1561" s="371"/>
      <c r="D1561" s="371"/>
      <c r="E1561" s="586" t="s">
        <v>2749</v>
      </c>
      <c r="F1561" s="363"/>
      <c r="G1561" s="2531" t="s">
        <v>1465</v>
      </c>
      <c r="H1561" s="2532" t="s">
        <v>3199</v>
      </c>
      <c r="I1561" s="2553" t="str">
        <f>$W$2&amp;"余额"</f>
        <v>2019年12月31日余额</v>
      </c>
      <c r="J1561" s="2541" t="s">
        <v>6127</v>
      </c>
      <c r="K1561" s="2533" t="s">
        <v>3200</v>
      </c>
      <c r="L1561" s="355" t="s">
        <v>5271</v>
      </c>
      <c r="M1561" s="291"/>
      <c r="N1561" s="291"/>
      <c r="O1561" s="291"/>
      <c r="S1561" s="364"/>
      <c r="Z1561" s="609" t="s">
        <v>540</v>
      </c>
      <c r="AA1561" s="609" t="s">
        <v>3137</v>
      </c>
    </row>
    <row r="1562" spans="1:27" ht="18">
      <c r="A1562" s="2712"/>
      <c r="B1562" s="371">
        <v>101</v>
      </c>
      <c r="C1562" s="371" t="s">
        <v>2791</v>
      </c>
      <c r="D1562" s="2714">
        <f t="shared" ref="D1562:D1567" si="142">IF(OR(G1562="*",G1562="",G1562=0),0,COUNTIF($G$1562:$G$1567,G1562))</f>
        <v>0</v>
      </c>
      <c r="E1562" s="2719">
        <v>1</v>
      </c>
      <c r="F1562" s="294"/>
      <c r="G1562" s="2536" t="s">
        <v>2792</v>
      </c>
      <c r="H1562" s="2296"/>
      <c r="I1562" s="2273"/>
      <c r="J1562" s="2296"/>
      <c r="K1562" s="2274"/>
      <c r="L1562" s="291"/>
      <c r="M1562" s="291"/>
      <c r="N1562" s="291"/>
      <c r="O1562" s="291"/>
      <c r="S1562" s="364"/>
      <c r="Z1562" s="609" t="s">
        <v>540</v>
      </c>
      <c r="AA1562" s="609" t="s">
        <v>3137</v>
      </c>
    </row>
    <row r="1563" spans="1:27" ht="18">
      <c r="A1563" s="2712"/>
      <c r="B1563" s="371">
        <v>102</v>
      </c>
      <c r="C1563" s="371" t="s">
        <v>2791</v>
      </c>
      <c r="D1563" s="2714">
        <f t="shared" si="142"/>
        <v>0</v>
      </c>
      <c r="E1563" s="2719">
        <v>1</v>
      </c>
      <c r="F1563" s="294"/>
      <c r="G1563" s="2536" t="s">
        <v>2792</v>
      </c>
      <c r="H1563" s="2296"/>
      <c r="I1563" s="2273"/>
      <c r="J1563" s="2296"/>
      <c r="K1563" s="2274" t="s">
        <v>19</v>
      </c>
      <c r="L1563" s="291"/>
      <c r="M1563" s="291"/>
      <c r="N1563" s="291"/>
      <c r="O1563" s="291"/>
      <c r="S1563" s="364"/>
      <c r="Z1563" s="609" t="s">
        <v>540</v>
      </c>
      <c r="AA1563" s="609" t="s">
        <v>3137</v>
      </c>
    </row>
    <row r="1564" spans="1:27" ht="18">
      <c r="A1564" s="2712"/>
      <c r="B1564" s="371">
        <v>103</v>
      </c>
      <c r="C1564" s="371" t="s">
        <v>2791</v>
      </c>
      <c r="D1564" s="2714">
        <f t="shared" si="142"/>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8">
      <c r="A1565" s="2712"/>
      <c r="B1565" s="371">
        <v>104</v>
      </c>
      <c r="C1565" s="371" t="s">
        <v>2791</v>
      </c>
      <c r="D1565" s="2714">
        <f t="shared" si="142"/>
        <v>0</v>
      </c>
      <c r="E1565" s="2719">
        <v>1</v>
      </c>
      <c r="F1565" s="294"/>
      <c r="G1565" s="2536" t="s">
        <v>2792</v>
      </c>
      <c r="H1565" s="2296"/>
      <c r="I1565" s="2273"/>
      <c r="J1565" s="2296"/>
      <c r="K1565" s="2274" t="s">
        <v>19</v>
      </c>
      <c r="L1565" s="291"/>
      <c r="M1565" s="291"/>
      <c r="N1565" s="291"/>
      <c r="O1565" s="291"/>
      <c r="S1565" s="364"/>
      <c r="Z1565" s="609" t="s">
        <v>540</v>
      </c>
      <c r="AA1565" s="609" t="s">
        <v>3137</v>
      </c>
    </row>
    <row r="1566" spans="1:27" ht="18">
      <c r="A1566" s="2712"/>
      <c r="B1566" s="371">
        <v>105</v>
      </c>
      <c r="C1566" s="371" t="s">
        <v>2791</v>
      </c>
      <c r="D1566" s="2714">
        <f t="shared" si="142"/>
        <v>0</v>
      </c>
      <c r="E1566" s="2719">
        <v>1</v>
      </c>
      <c r="F1566" s="294"/>
      <c r="G1566" s="2536" t="s">
        <v>2792</v>
      </c>
      <c r="H1566" s="2296"/>
      <c r="I1566" s="2273"/>
      <c r="J1566" s="2296"/>
      <c r="K1566" s="2274" t="s">
        <v>19</v>
      </c>
      <c r="L1566" s="291"/>
      <c r="M1566" s="291"/>
      <c r="N1566" s="291"/>
      <c r="O1566" s="291"/>
      <c r="S1566" s="364"/>
      <c r="Z1566" s="609" t="s">
        <v>540</v>
      </c>
      <c r="AA1566" s="609" t="s">
        <v>3137</v>
      </c>
    </row>
    <row r="1567" spans="1:27" ht="18.75" thickBot="1">
      <c r="A1567" s="2712"/>
      <c r="B1567" s="371"/>
      <c r="C1567" s="371"/>
      <c r="D1567" s="2714">
        <f t="shared" si="142"/>
        <v>1</v>
      </c>
      <c r="E1567" s="2719" t="s">
        <v>3032</v>
      </c>
      <c r="F1567" s="294"/>
      <c r="G1567" s="2232" t="s">
        <v>2752</v>
      </c>
      <c r="H1567" s="2239"/>
      <c r="I1567" s="2233">
        <f>SUMPRODUCT($E1561:$E1566,I1561:I1566)</f>
        <v>0</v>
      </c>
      <c r="J1567" s="2239"/>
      <c r="K1567" s="2242"/>
      <c r="L1567" s="291"/>
      <c r="M1567" s="291"/>
      <c r="N1567" s="291"/>
      <c r="O1567" s="291"/>
      <c r="S1567" s="364"/>
      <c r="Z1567" s="609" t="s">
        <v>540</v>
      </c>
      <c r="AA1567" s="609" t="s">
        <v>3137</v>
      </c>
    </row>
    <row r="1568" spans="1:27" ht="18">
      <c r="A1568" s="2712"/>
      <c r="B1568" s="371"/>
      <c r="C1568" s="371" t="s">
        <v>2755</v>
      </c>
      <c r="D1568" s="371"/>
      <c r="F1568" s="294"/>
      <c r="G1568" s="301"/>
      <c r="H1568" s="393"/>
      <c r="I1568" s="315" t="s">
        <v>3002</v>
      </c>
      <c r="J1568" s="393"/>
      <c r="K1568" s="393"/>
      <c r="L1568" s="291"/>
      <c r="M1568" s="291"/>
      <c r="N1568" s="291"/>
      <c r="O1568" s="291"/>
      <c r="S1568" s="364"/>
      <c r="Z1568" s="609" t="s">
        <v>540</v>
      </c>
      <c r="AA1568" s="609" t="s">
        <v>3137</v>
      </c>
    </row>
    <row r="1569" spans="1:27" ht="24">
      <c r="A1569" s="2712" t="s">
        <v>609</v>
      </c>
      <c r="B1569" s="371">
        <v>8</v>
      </c>
      <c r="C1569" s="371"/>
      <c r="D1569" s="2714" t="str">
        <f>VLOOKUP($A1569,Sheet_NoteList,2,0)</f>
        <v>因金融资产转移而终止确认的其他应收款</v>
      </c>
      <c r="E1569" s="2714" t="s">
        <v>2742</v>
      </c>
      <c r="F1569" s="294"/>
      <c r="G1569" s="372" t="str">
        <f>"("&amp;B1569&amp;")"&amp;D1569</f>
        <v>(8)因金融资产转移而终止确认的其他应收款</v>
      </c>
      <c r="H1569" s="1515" t="str">
        <f>$A1569</f>
        <v>1221n</v>
      </c>
      <c r="I1569" s="343" t="s">
        <v>2743</v>
      </c>
      <c r="J1569" s="301" t="s">
        <v>2744</v>
      </c>
      <c r="K1569" s="2208">
        <f>I1577</f>
        <v>0</v>
      </c>
      <c r="L1569" s="345"/>
      <c r="M1569" s="301"/>
      <c r="N1569" s="3083"/>
      <c r="O1569" s="345" t="str">
        <f>IF(ROUND(N1530-N1569,2)&gt;=0,"","#Logical!")</f>
        <v/>
      </c>
      <c r="P1569" s="301"/>
      <c r="Q1569" s="290" t="str">
        <f>IF($I1569="不适用","",IF(ROUND(SUM($H$1572:$J$1577),2)=0,"请输入",""))</f>
        <v>请输入</v>
      </c>
      <c r="S1569" s="364"/>
      <c r="Z1569" s="609" t="s">
        <v>540</v>
      </c>
      <c r="AA1569" s="609" t="s">
        <v>3137</v>
      </c>
    </row>
    <row r="1570" spans="1:27" ht="0.75" customHeight="1" thickBot="1">
      <c r="A1570" s="2712"/>
      <c r="B1570" s="371"/>
      <c r="C1570" s="371"/>
      <c r="D1570" s="371"/>
      <c r="E1570" s="586"/>
      <c r="F1570" s="586"/>
      <c r="G1570" s="586" t="s">
        <v>3201</v>
      </c>
      <c r="H1570" s="371" t="s">
        <v>3060</v>
      </c>
      <c r="I1570" s="371" t="s">
        <v>3061</v>
      </c>
      <c r="J1570" s="371" t="s">
        <v>3062</v>
      </c>
      <c r="K1570" s="291"/>
      <c r="L1570" s="291"/>
      <c r="M1570" s="291"/>
      <c r="S1570" s="364"/>
      <c r="Z1570" s="609" t="s">
        <v>540</v>
      </c>
      <c r="AA1570" s="609" t="s">
        <v>3137</v>
      </c>
    </row>
    <row r="1571" spans="1:27" ht="24">
      <c r="A1571" s="2712"/>
      <c r="B1571" s="371"/>
      <c r="C1571" s="371"/>
      <c r="D1571" s="371"/>
      <c r="E1571" s="586" t="s">
        <v>2749</v>
      </c>
      <c r="F1571" s="363"/>
      <c r="G1571" s="2531" t="s">
        <v>47</v>
      </c>
      <c r="H1571" s="2532" t="s">
        <v>3063</v>
      </c>
      <c r="I1571" s="2532" t="s">
        <v>3064</v>
      </c>
      <c r="J1571" s="2533" t="s">
        <v>3065</v>
      </c>
      <c r="K1571" s="355" t="s">
        <v>5271</v>
      </c>
      <c r="L1571" s="291"/>
      <c r="M1571" s="291"/>
      <c r="S1571" s="364"/>
      <c r="Z1571" s="609" t="s">
        <v>540</v>
      </c>
      <c r="AA1571" s="609" t="s">
        <v>3137</v>
      </c>
    </row>
    <row r="1572" spans="1:27" ht="18">
      <c r="A1572" s="2712"/>
      <c r="B1572" s="371">
        <v>101</v>
      </c>
      <c r="C1572" s="371" t="s">
        <v>2791</v>
      </c>
      <c r="D1572" s="2714">
        <f t="shared" ref="D1572:D1577" si="143">IF(OR(G1572="*",G1572="",G1572=0),0,COUNTIF($G$1572:$G$1577,G1572))</f>
        <v>0</v>
      </c>
      <c r="E1572" s="2719">
        <v>1</v>
      </c>
      <c r="F1572" s="294"/>
      <c r="G1572" s="2536" t="s">
        <v>2792</v>
      </c>
      <c r="H1572" s="2296"/>
      <c r="I1572" s="2273"/>
      <c r="J1572" s="2294"/>
      <c r="K1572" s="291"/>
      <c r="L1572" s="291"/>
      <c r="M1572" s="291"/>
      <c r="S1572" s="364"/>
      <c r="Z1572" s="609" t="s">
        <v>540</v>
      </c>
      <c r="AA1572" s="609" t="s">
        <v>3137</v>
      </c>
    </row>
    <row r="1573" spans="1:27" ht="18">
      <c r="A1573" s="2712"/>
      <c r="B1573" s="371">
        <v>102</v>
      </c>
      <c r="C1573" s="371" t="s">
        <v>2791</v>
      </c>
      <c r="D1573" s="2714">
        <f t="shared" si="143"/>
        <v>0</v>
      </c>
      <c r="E1573" s="2719">
        <v>1</v>
      </c>
      <c r="F1573" s="294"/>
      <c r="G1573" s="2536" t="s">
        <v>2792</v>
      </c>
      <c r="H1573" s="2296"/>
      <c r="I1573" s="2273"/>
      <c r="J1573" s="2294"/>
      <c r="K1573" s="291"/>
      <c r="L1573" s="291"/>
      <c r="M1573" s="291"/>
      <c r="S1573" s="364"/>
      <c r="Z1573" s="609" t="s">
        <v>540</v>
      </c>
      <c r="AA1573" s="609" t="s">
        <v>3137</v>
      </c>
    </row>
    <row r="1574" spans="1:27" ht="18">
      <c r="A1574" s="2712"/>
      <c r="B1574" s="371">
        <v>103</v>
      </c>
      <c r="C1574" s="371" t="s">
        <v>2791</v>
      </c>
      <c r="D1574" s="2714">
        <f t="shared" si="143"/>
        <v>0</v>
      </c>
      <c r="E1574" s="2719">
        <v>1</v>
      </c>
      <c r="F1574" s="294"/>
      <c r="G1574" s="2536" t="s">
        <v>2792</v>
      </c>
      <c r="H1574" s="2296"/>
      <c r="I1574" s="2273"/>
      <c r="J1574" s="2294"/>
      <c r="K1574" s="291"/>
      <c r="L1574" s="291"/>
      <c r="M1574" s="291"/>
      <c r="S1574" s="364"/>
      <c r="Z1574" s="609" t="s">
        <v>540</v>
      </c>
      <c r="AA1574" s="609" t="s">
        <v>3137</v>
      </c>
    </row>
    <row r="1575" spans="1:27" ht="18">
      <c r="A1575" s="2712"/>
      <c r="B1575" s="371">
        <v>104</v>
      </c>
      <c r="C1575" s="371" t="s">
        <v>2791</v>
      </c>
      <c r="D1575" s="2714">
        <f t="shared" si="143"/>
        <v>0</v>
      </c>
      <c r="E1575" s="2719">
        <v>1</v>
      </c>
      <c r="F1575" s="294"/>
      <c r="G1575" s="2536" t="s">
        <v>2792</v>
      </c>
      <c r="H1575" s="2296"/>
      <c r="I1575" s="2273"/>
      <c r="J1575" s="2294"/>
      <c r="K1575" s="291"/>
      <c r="L1575" s="291"/>
      <c r="M1575" s="291"/>
      <c r="S1575" s="364"/>
      <c r="Z1575" s="609" t="s">
        <v>540</v>
      </c>
      <c r="AA1575" s="609" t="s">
        <v>3137</v>
      </c>
    </row>
    <row r="1576" spans="1:27" ht="18">
      <c r="A1576" s="2712"/>
      <c r="B1576" s="371">
        <v>105</v>
      </c>
      <c r="C1576" s="371" t="s">
        <v>2791</v>
      </c>
      <c r="D1576" s="2714">
        <f t="shared" si="143"/>
        <v>0</v>
      </c>
      <c r="E1576" s="2719">
        <v>1</v>
      </c>
      <c r="F1576" s="294"/>
      <c r="G1576" s="2536" t="s">
        <v>2792</v>
      </c>
      <c r="H1576" s="2296"/>
      <c r="I1576" s="2273"/>
      <c r="J1576" s="2294"/>
      <c r="K1576" s="291"/>
      <c r="L1576" s="291"/>
      <c r="M1576" s="291"/>
      <c r="S1576" s="364"/>
      <c r="Z1576" s="609" t="s">
        <v>540</v>
      </c>
      <c r="AA1576" s="609" t="s">
        <v>3137</v>
      </c>
    </row>
    <row r="1577" spans="1:27" ht="18.75" thickBot="1">
      <c r="A1577" s="2712"/>
      <c r="B1577" s="371"/>
      <c r="C1577" s="371"/>
      <c r="D1577" s="2714">
        <f t="shared" si="143"/>
        <v>1</v>
      </c>
      <c r="E1577" s="2719" t="s">
        <v>3032</v>
      </c>
      <c r="F1577" s="294"/>
      <c r="G1577" s="2232" t="s">
        <v>2752</v>
      </c>
      <c r="H1577" s="2239"/>
      <c r="I1577" s="2233">
        <f>SUMPRODUCT($E1571:$E1576,I1571:I1576)</f>
        <v>0</v>
      </c>
      <c r="J1577" s="2234">
        <f>SUMPRODUCT($E1571:$E1576,J1571:J1576)</f>
        <v>0</v>
      </c>
      <c r="K1577" s="291"/>
      <c r="L1577" s="291"/>
      <c r="M1577" s="291"/>
      <c r="S1577" s="364"/>
      <c r="Z1577" s="609" t="s">
        <v>540</v>
      </c>
      <c r="AA1577" s="609" t="s">
        <v>3137</v>
      </c>
    </row>
    <row r="1578" spans="1:27" ht="18">
      <c r="A1578" s="2712"/>
      <c r="B1578" s="371"/>
      <c r="C1578" s="371" t="s">
        <v>2755</v>
      </c>
      <c r="D1578" s="371"/>
      <c r="F1578" s="294"/>
      <c r="G1578" s="301"/>
      <c r="H1578" s="393"/>
      <c r="I1578" s="315"/>
      <c r="J1578" s="315"/>
      <c r="K1578" s="291"/>
      <c r="L1578" s="291"/>
      <c r="M1578" s="291"/>
      <c r="S1578" s="364"/>
      <c r="Z1578" s="609" t="s">
        <v>540</v>
      </c>
      <c r="AA1578" s="609" t="s">
        <v>3137</v>
      </c>
    </row>
    <row r="1579" spans="1:27" ht="36">
      <c r="A1579" s="2712" t="s">
        <v>615</v>
      </c>
      <c r="B1579" s="371">
        <v>9</v>
      </c>
      <c r="C1579" s="371"/>
      <c r="D1579" s="2714" t="str">
        <f>VLOOKUP($A1579,Sheet_NoteList,2,0)</f>
        <v>转移其他应收款且继续涉入形成的资产、负债的金额</v>
      </c>
      <c r="E1579" s="2714" t="s">
        <v>2742</v>
      </c>
      <c r="F1579" s="294"/>
      <c r="G1579" s="372" t="str">
        <f>"("&amp;B1579&amp;")"&amp;D1579</f>
        <v>(9)转移其他应收款且继续涉入形成的资产、负债的金额</v>
      </c>
      <c r="H1579" s="1515" t="str">
        <f>$A1579</f>
        <v>1221o</v>
      </c>
      <c r="I1579" s="343" t="s">
        <v>2743</v>
      </c>
      <c r="J1579" s="301" t="s">
        <v>2744</v>
      </c>
      <c r="K1579" s="2208">
        <f>H1587</f>
        <v>0</v>
      </c>
      <c r="L1579" s="345"/>
      <c r="M1579" s="301"/>
      <c r="N1579" s="3083"/>
      <c r="O1579" s="345"/>
      <c r="P1579" s="301"/>
      <c r="Q1579" s="290" t="str">
        <f>IF($I1579="不适用","",IF(ROUND(SUM($H$1582:$I$1587),2)=0,"请输入",""))</f>
        <v>请输入</v>
      </c>
      <c r="S1579" s="364"/>
      <c r="Z1579" s="609" t="s">
        <v>540</v>
      </c>
      <c r="AA1579" s="609" t="s">
        <v>3137</v>
      </c>
    </row>
    <row r="1580" spans="1:27" ht="0.75" customHeight="1" thickBot="1">
      <c r="A1580" s="2712"/>
      <c r="B1580" s="371"/>
      <c r="C1580" s="371"/>
      <c r="D1580" s="371"/>
      <c r="E1580" s="586"/>
      <c r="F1580" s="586"/>
      <c r="G1580" s="586" t="s">
        <v>3202</v>
      </c>
      <c r="H1580" s="371" t="s">
        <v>3067</v>
      </c>
      <c r="I1580" s="371" t="s">
        <v>6211</v>
      </c>
      <c r="J1580" s="371" t="s">
        <v>3203</v>
      </c>
      <c r="K1580" s="472"/>
      <c r="L1580" s="472"/>
      <c r="M1580" s="472"/>
      <c r="N1580" s="442"/>
      <c r="O1580" s="442"/>
      <c r="P1580" s="442"/>
      <c r="Q1580" s="442"/>
      <c r="R1580" s="443"/>
      <c r="S1580" s="364"/>
      <c r="Z1580" s="609" t="s">
        <v>540</v>
      </c>
      <c r="AA1580" s="609" t="s">
        <v>3137</v>
      </c>
    </row>
    <row r="1581" spans="1:27" ht="24">
      <c r="A1581" s="2712"/>
      <c r="B1581" s="371"/>
      <c r="C1581" s="371"/>
      <c r="D1581" s="371"/>
      <c r="E1581" s="586" t="s">
        <v>2749</v>
      </c>
      <c r="F1581" s="363"/>
      <c r="G1581" s="2531" t="s">
        <v>47</v>
      </c>
      <c r="H1581" s="2532" t="s">
        <v>3068</v>
      </c>
      <c r="I1581" s="2532" t="s">
        <v>3069</v>
      </c>
      <c r="J1581" s="2533" t="s">
        <v>3070</v>
      </c>
      <c r="K1581" s="355" t="s">
        <v>5271</v>
      </c>
      <c r="L1581" s="472"/>
      <c r="M1581" s="472"/>
      <c r="N1581" s="442"/>
      <c r="O1581" s="442"/>
      <c r="P1581" s="442"/>
      <c r="Q1581" s="442"/>
      <c r="R1581" s="443"/>
      <c r="S1581" s="364"/>
      <c r="Z1581" s="609" t="s">
        <v>540</v>
      </c>
      <c r="AA1581" s="609" t="s">
        <v>3137</v>
      </c>
    </row>
    <row r="1582" spans="1:27" ht="18">
      <c r="A1582" s="2712"/>
      <c r="B1582" s="371">
        <v>101</v>
      </c>
      <c r="C1582" s="371" t="s">
        <v>2791</v>
      </c>
      <c r="D1582" s="2714">
        <f t="shared" ref="D1582:D1587" si="144">IF(OR(G1582="*",G1582="",G1582=0),0,COUNTIF($G$1582:$G$1587,G1582))</f>
        <v>0</v>
      </c>
      <c r="E1582" s="2719">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8">
      <c r="A1583" s="2712"/>
      <c r="B1583" s="371">
        <v>102</v>
      </c>
      <c r="C1583" s="371" t="s">
        <v>2791</v>
      </c>
      <c r="D1583" s="2714">
        <f t="shared" si="144"/>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2"/>
      <c r="B1584" s="371">
        <v>103</v>
      </c>
      <c r="C1584" s="371" t="s">
        <v>2791</v>
      </c>
      <c r="D1584" s="2714">
        <f t="shared" si="144"/>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
      <c r="A1585" s="2712"/>
      <c r="B1585" s="371">
        <v>104</v>
      </c>
      <c r="C1585" s="371" t="s">
        <v>2791</v>
      </c>
      <c r="D1585" s="2714">
        <f t="shared" si="144"/>
        <v>0</v>
      </c>
      <c r="E1585" s="2719">
        <v>1</v>
      </c>
      <c r="F1585" s="294"/>
      <c r="G1585" s="2536" t="s">
        <v>2792</v>
      </c>
      <c r="H1585" s="2296"/>
      <c r="I1585" s="2273"/>
      <c r="J1585" s="2294"/>
      <c r="K1585" s="472"/>
      <c r="L1585" s="472"/>
      <c r="M1585" s="472"/>
      <c r="N1585" s="442"/>
      <c r="O1585" s="442"/>
      <c r="P1585" s="442"/>
      <c r="Q1585" s="442"/>
      <c r="R1585" s="443"/>
      <c r="S1585" s="364"/>
      <c r="Z1585" s="609" t="s">
        <v>540</v>
      </c>
      <c r="AA1585" s="609" t="s">
        <v>3137</v>
      </c>
    </row>
    <row r="1586" spans="1:27" ht="18">
      <c r="A1586" s="2712"/>
      <c r="B1586" s="371">
        <v>105</v>
      </c>
      <c r="C1586" s="371" t="s">
        <v>2791</v>
      </c>
      <c r="D1586" s="2714">
        <f t="shared" si="144"/>
        <v>0</v>
      </c>
      <c r="E1586" s="2719">
        <v>1</v>
      </c>
      <c r="F1586" s="294"/>
      <c r="G1586" s="2536" t="s">
        <v>2792</v>
      </c>
      <c r="H1586" s="2296"/>
      <c r="I1586" s="2273"/>
      <c r="J1586" s="2294"/>
      <c r="K1586" s="472"/>
      <c r="L1586" s="472"/>
      <c r="M1586" s="472"/>
      <c r="N1586" s="442"/>
      <c r="O1586" s="442"/>
      <c r="P1586" s="442"/>
      <c r="Q1586" s="442"/>
      <c r="R1586" s="443"/>
      <c r="S1586" s="364"/>
      <c r="Z1586" s="609" t="s">
        <v>540</v>
      </c>
      <c r="AA1586" s="609" t="s">
        <v>3137</v>
      </c>
    </row>
    <row r="1587" spans="1:27" ht="18.75" thickBot="1">
      <c r="A1587" s="2712"/>
      <c r="B1587" s="371"/>
      <c r="C1587" s="371"/>
      <c r="D1587" s="2714">
        <f t="shared" si="144"/>
        <v>1</v>
      </c>
      <c r="E1587" s="2719" t="s">
        <v>3032</v>
      </c>
      <c r="F1587" s="294"/>
      <c r="G1587" s="2232" t="s">
        <v>3071</v>
      </c>
      <c r="H1587" s="2239"/>
      <c r="I1587" s="2233">
        <f>SUMPRODUCT($E1581:$E1586,I1581:I1586)</f>
        <v>0</v>
      </c>
      <c r="J1587" s="2234">
        <f>SUMPRODUCT($E1581:$E1586,J1581:J1586)</f>
        <v>0</v>
      </c>
      <c r="K1587" s="472"/>
      <c r="L1587" s="472"/>
      <c r="M1587" s="472"/>
      <c r="N1587" s="442"/>
      <c r="O1587" s="442"/>
      <c r="P1587" s="442"/>
      <c r="Q1587" s="442"/>
      <c r="R1587" s="443"/>
      <c r="S1587" s="364"/>
      <c r="Z1587" s="609" t="s">
        <v>540</v>
      </c>
      <c r="AA1587" s="609" t="s">
        <v>3137</v>
      </c>
    </row>
    <row r="1588" spans="1:27" ht="18">
      <c r="A1588" s="2712"/>
      <c r="B1588" s="371"/>
      <c r="C1588" s="371" t="s">
        <v>2755</v>
      </c>
      <c r="D1588" s="371"/>
      <c r="F1588" s="294"/>
      <c r="G1588" s="301"/>
      <c r="H1588" s="393"/>
      <c r="I1588" s="315"/>
      <c r="J1588" s="315"/>
      <c r="K1588" s="472"/>
      <c r="L1588" s="472"/>
      <c r="M1588" s="472"/>
      <c r="N1588" s="442"/>
      <c r="O1588" s="442"/>
      <c r="P1588" s="442"/>
      <c r="Q1588" s="442"/>
      <c r="R1588" s="443"/>
      <c r="S1588" s="364"/>
      <c r="Z1588" s="609" t="s">
        <v>540</v>
      </c>
      <c r="AA1588" s="609" t="s">
        <v>3137</v>
      </c>
    </row>
    <row r="1589" spans="1:27" ht="18">
      <c r="A1589" s="2712" t="s">
        <v>629</v>
      </c>
      <c r="B1589" s="371">
        <v>10</v>
      </c>
      <c r="C1589" s="371"/>
      <c r="D1589" s="2714" t="str">
        <f>VLOOKUP($A1589,Sheet_NoteList,2,0)</f>
        <v>外币其他应收款</v>
      </c>
      <c r="E1589" s="2714" t="s">
        <v>6529</v>
      </c>
      <c r="F1589" s="294"/>
      <c r="G1589" s="372" t="str">
        <f>"("&amp;B1589&amp;")"&amp;D1589</f>
        <v>(10)外币其他应收款</v>
      </c>
      <c r="H1589" s="1515" t="str">
        <f>$A1589</f>
        <v>1221c</v>
      </c>
      <c r="I1589" s="343" t="s">
        <v>5606</v>
      </c>
      <c r="J1589" s="301" t="s">
        <v>5604</v>
      </c>
      <c r="K1589" s="2208">
        <f>J1597</f>
        <v>0</v>
      </c>
      <c r="L1589" s="345" t="str">
        <f>IF($I1589="适用",IF(ROUND(K988-K1589,2)&gt;=0,"","#Logical!"),"#N/A")</f>
        <v/>
      </c>
      <c r="M1589" s="301"/>
      <c r="N1589" s="391"/>
      <c r="O1589" s="345"/>
      <c r="P1589" s="301"/>
      <c r="Q1589" s="290" t="str">
        <f>IF($I1589="不适用","",IF(ROUND(SUM($H$1592:$J$1597),2)=0,"请输入",""))</f>
        <v>请输入</v>
      </c>
      <c r="S1589" s="364"/>
      <c r="Z1589" s="609" t="s">
        <v>540</v>
      </c>
      <c r="AA1589" s="609" t="s">
        <v>3137</v>
      </c>
    </row>
    <row r="1590" spans="1:27" ht="0.75" customHeight="1" thickBot="1">
      <c r="A1590" s="2712"/>
      <c r="B1590" s="371"/>
      <c r="C1590" s="371"/>
      <c r="D1590" s="371"/>
      <c r="F1590" s="304"/>
      <c r="G1590" s="304" t="s">
        <v>3204</v>
      </c>
      <c r="H1590" s="304" t="s">
        <v>3073</v>
      </c>
      <c r="I1590" s="304" t="s">
        <v>3074</v>
      </c>
      <c r="J1590" s="304" t="s">
        <v>3075</v>
      </c>
      <c r="K1590" s="387"/>
      <c r="L1590" s="291"/>
      <c r="M1590" s="291"/>
      <c r="N1590" s="291"/>
      <c r="O1590" s="291"/>
      <c r="P1590" s="291"/>
      <c r="Q1590" s="367"/>
      <c r="R1590" s="367"/>
      <c r="S1590" s="364"/>
      <c r="Z1590" s="609" t="s">
        <v>540</v>
      </c>
      <c r="AA1590" s="609" t="s">
        <v>3137</v>
      </c>
    </row>
    <row r="1591" spans="1:27" ht="24">
      <c r="A1591" s="2712"/>
      <c r="B1591" s="371"/>
      <c r="C1591" s="371"/>
      <c r="D1591" s="371"/>
      <c r="E1591" s="2714" t="s">
        <v>2749</v>
      </c>
      <c r="F1591" s="294"/>
      <c r="G1591" s="1631" t="s">
        <v>1371</v>
      </c>
      <c r="H1591" s="1629" t="s">
        <v>3076</v>
      </c>
      <c r="I1591" s="1629" t="s">
        <v>3077</v>
      </c>
      <c r="J1591" s="1630" t="s">
        <v>3078</v>
      </c>
      <c r="K1591" s="355" t="s">
        <v>5602</v>
      </c>
      <c r="L1591" s="291"/>
      <c r="M1591" s="291"/>
      <c r="N1591" s="291"/>
      <c r="O1591" s="291"/>
      <c r="P1591" s="291"/>
      <c r="Q1591" s="367"/>
      <c r="R1591" s="367"/>
      <c r="S1591" s="364"/>
      <c r="Z1591" s="609" t="s">
        <v>540</v>
      </c>
      <c r="AA1591" s="609" t="s">
        <v>3137</v>
      </c>
    </row>
    <row r="1592" spans="1:27" ht="18">
      <c r="A1592" s="2712"/>
      <c r="B1592" s="371">
        <v>101</v>
      </c>
      <c r="C1592" s="371" t="s">
        <v>2791</v>
      </c>
      <c r="D1592" s="2714">
        <f t="shared" ref="D1592:D1597" si="145">IF(OR(G1592="*",G1592="",G1592=0),0,COUNTIF($G$1592:$G$1597,G1592))</f>
        <v>1</v>
      </c>
      <c r="E1592" s="2719">
        <v>1</v>
      </c>
      <c r="F1592" s="294"/>
      <c r="G1592" s="1632" t="s">
        <v>3079</v>
      </c>
      <c r="H1592" s="309"/>
      <c r="I1592" s="360"/>
      <c r="J1592" s="346"/>
      <c r="K1592" s="355" t="s">
        <v>5362</v>
      </c>
      <c r="L1592" s="1520" t="s">
        <v>5363</v>
      </c>
      <c r="M1592" s="291"/>
      <c r="N1592" s="291"/>
      <c r="O1592" s="291"/>
      <c r="P1592" s="291"/>
      <c r="Q1592" s="367"/>
      <c r="R1592" s="367"/>
      <c r="S1592" s="364"/>
      <c r="Z1592" s="609" t="s">
        <v>540</v>
      </c>
      <c r="AA1592" s="609" t="s">
        <v>3137</v>
      </c>
    </row>
    <row r="1593" spans="1:27" ht="18">
      <c r="A1593" s="2712"/>
      <c r="B1593" s="371">
        <v>102</v>
      </c>
      <c r="C1593" s="371" t="s">
        <v>2791</v>
      </c>
      <c r="D1593" s="2714">
        <f t="shared" si="145"/>
        <v>1</v>
      </c>
      <c r="E1593" s="2719">
        <v>1</v>
      </c>
      <c r="F1593" s="294"/>
      <c r="G1593" s="1632" t="s">
        <v>3080</v>
      </c>
      <c r="H1593" s="309"/>
      <c r="I1593" s="360"/>
      <c r="J1593" s="346"/>
      <c r="K1593" s="355" t="s">
        <v>6174</v>
      </c>
      <c r="L1593" s="291"/>
      <c r="M1593" s="291"/>
      <c r="N1593" s="291"/>
      <c r="O1593" s="291"/>
      <c r="P1593" s="291"/>
      <c r="Q1593" s="367"/>
      <c r="R1593" s="367"/>
      <c r="S1593" s="364"/>
      <c r="Z1593" s="609" t="s">
        <v>540</v>
      </c>
      <c r="AA1593" s="609" t="s">
        <v>3137</v>
      </c>
    </row>
    <row r="1594" spans="1:27" ht="18">
      <c r="A1594" s="2712"/>
      <c r="B1594" s="371">
        <v>103</v>
      </c>
      <c r="C1594" s="371" t="s">
        <v>2791</v>
      </c>
      <c r="D1594" s="2714">
        <f t="shared" si="145"/>
        <v>1</v>
      </c>
      <c r="E1594" s="2719">
        <v>1</v>
      </c>
      <c r="F1594" s="294"/>
      <c r="G1594" s="1632" t="s">
        <v>3081</v>
      </c>
      <c r="H1594" s="309"/>
      <c r="I1594" s="360"/>
      <c r="J1594" s="346"/>
      <c r="K1594" s="291"/>
      <c r="L1594" s="291"/>
      <c r="M1594" s="291"/>
      <c r="N1594" s="291"/>
      <c r="O1594" s="291"/>
      <c r="P1594" s="291"/>
      <c r="Q1594" s="367"/>
      <c r="R1594" s="367"/>
      <c r="S1594" s="364"/>
      <c r="Z1594" s="609" t="s">
        <v>540</v>
      </c>
      <c r="AA1594" s="609" t="s">
        <v>3137</v>
      </c>
    </row>
    <row r="1595" spans="1:27" ht="18">
      <c r="A1595" s="2712"/>
      <c r="B1595" s="371">
        <v>104</v>
      </c>
      <c r="C1595" s="371" t="s">
        <v>2791</v>
      </c>
      <c r="D1595" s="2714">
        <f t="shared" si="145"/>
        <v>0</v>
      </c>
      <c r="E1595" s="2719">
        <v>1</v>
      </c>
      <c r="F1595" s="294"/>
      <c r="G1595" s="1632" t="s">
        <v>2792</v>
      </c>
      <c r="H1595" s="309"/>
      <c r="I1595" s="360"/>
      <c r="J1595" s="346"/>
      <c r="K1595" s="291"/>
      <c r="L1595" s="291"/>
      <c r="M1595" s="291"/>
      <c r="N1595" s="291"/>
      <c r="O1595" s="291"/>
      <c r="P1595" s="291"/>
      <c r="Q1595" s="367"/>
      <c r="R1595" s="367"/>
      <c r="S1595" s="364"/>
      <c r="Z1595" s="609" t="s">
        <v>540</v>
      </c>
      <c r="AA1595" s="609" t="s">
        <v>3137</v>
      </c>
    </row>
    <row r="1596" spans="1:27" ht="18">
      <c r="A1596" s="2712"/>
      <c r="B1596" s="371">
        <v>105</v>
      </c>
      <c r="C1596" s="371" t="s">
        <v>2791</v>
      </c>
      <c r="D1596" s="2714">
        <f t="shared" si="145"/>
        <v>0</v>
      </c>
      <c r="E1596" s="2719">
        <v>1</v>
      </c>
      <c r="F1596" s="294"/>
      <c r="G1596" s="1632" t="s">
        <v>2792</v>
      </c>
      <c r="H1596" s="309"/>
      <c r="I1596" s="360"/>
      <c r="J1596" s="346"/>
      <c r="K1596" s="291"/>
      <c r="L1596" s="291"/>
      <c r="M1596" s="291"/>
      <c r="N1596" s="291"/>
      <c r="O1596" s="291"/>
      <c r="P1596" s="291"/>
      <c r="Q1596" s="367"/>
      <c r="R1596" s="367"/>
      <c r="S1596" s="364"/>
      <c r="Z1596" s="609" t="s">
        <v>540</v>
      </c>
      <c r="AA1596" s="609" t="s">
        <v>3137</v>
      </c>
    </row>
    <row r="1597" spans="1:27" ht="18.75" thickBot="1">
      <c r="A1597" s="2712"/>
      <c r="B1597" s="371"/>
      <c r="C1597" s="371"/>
      <c r="D1597" s="2714">
        <f t="shared" si="145"/>
        <v>1</v>
      </c>
      <c r="E1597" s="2719" t="s">
        <v>3032</v>
      </c>
      <c r="F1597" s="294"/>
      <c r="G1597" s="1527" t="s">
        <v>2752</v>
      </c>
      <c r="H1597" s="1523"/>
      <c r="I1597" s="1524"/>
      <c r="J1597" s="1526">
        <f>SUMPRODUCT($E1591:$E1596,J1591:J1596)</f>
        <v>0</v>
      </c>
      <c r="K1597" s="291"/>
      <c r="L1597" s="291"/>
      <c r="M1597" s="291"/>
      <c r="N1597" s="291"/>
      <c r="O1597" s="291"/>
      <c r="P1597" s="291"/>
      <c r="Q1597" s="367"/>
      <c r="R1597" s="367"/>
      <c r="S1597" s="364"/>
      <c r="Z1597" s="609" t="s">
        <v>540</v>
      </c>
      <c r="AA1597" s="609" t="s">
        <v>3137</v>
      </c>
    </row>
    <row r="1598" spans="1:27" ht="18">
      <c r="A1598" s="2712"/>
      <c r="B1598" s="371"/>
      <c r="C1598" s="371" t="s">
        <v>2755</v>
      </c>
      <c r="D1598" s="371"/>
      <c r="F1598" s="294"/>
      <c r="G1598" s="301"/>
      <c r="H1598" s="315"/>
      <c r="I1598" s="393"/>
      <c r="J1598" s="315"/>
      <c r="K1598" s="291"/>
      <c r="L1598" s="291"/>
      <c r="M1598" s="291"/>
      <c r="N1598" s="291"/>
      <c r="O1598" s="291"/>
      <c r="P1598" s="291"/>
      <c r="Q1598" s="367"/>
      <c r="R1598" s="367"/>
      <c r="S1598" s="364"/>
      <c r="Z1598" s="609" t="s">
        <v>540</v>
      </c>
      <c r="AA1598" s="609" t="s">
        <v>3137</v>
      </c>
    </row>
    <row r="1599" spans="1:27" ht="24">
      <c r="A1599" s="2712" t="s">
        <v>654</v>
      </c>
      <c r="B1599" s="371">
        <v>11</v>
      </c>
      <c r="C1599" s="371"/>
      <c r="D1599" s="2714" t="str">
        <f>VLOOKUP($A1599,Sheet_NoteList,2,0)</f>
        <v>关联方应收应付款项——其他应收款</v>
      </c>
      <c r="E1599" s="2714" t="s">
        <v>6529</v>
      </c>
      <c r="F1599" s="294"/>
      <c r="G1599" s="372" t="str">
        <f>"("&amp;B1599&amp;")"&amp;D1599</f>
        <v>(11)关联方应收应付款项——其他应收款</v>
      </c>
      <c r="H1599" s="1515" t="str">
        <f>$A1599</f>
        <v>1221m</v>
      </c>
      <c r="I1599" s="343" t="s">
        <v>5609</v>
      </c>
      <c r="J1599" s="301" t="s">
        <v>5607</v>
      </c>
      <c r="K1599" s="2208">
        <f>H1607-I1607</f>
        <v>0</v>
      </c>
      <c r="L1599" s="345"/>
      <c r="M1599" s="301" t="s">
        <v>5608</v>
      </c>
      <c r="N1599" s="2208">
        <f>J1607-K1607</f>
        <v>0</v>
      </c>
      <c r="O1599" s="345"/>
      <c r="P1599" s="301"/>
      <c r="Q1599" s="290" t="str">
        <f>IF($I1599="不适用","",IF(ROUND(SUM($H$1602:$K$1607),2)=0,"请输入",""))</f>
        <v>请输入</v>
      </c>
      <c r="S1599" s="364"/>
      <c r="Z1599" s="609" t="s">
        <v>540</v>
      </c>
      <c r="AA1599" s="609" t="s">
        <v>3137</v>
      </c>
    </row>
    <row r="1600" spans="1:27" ht="0.75" customHeight="1" thickBot="1">
      <c r="A1600" s="2712"/>
      <c r="B1600" s="371"/>
      <c r="C1600" s="371"/>
      <c r="D1600" s="371"/>
      <c r="F1600" s="304"/>
      <c r="G1600" s="304" t="s">
        <v>3205</v>
      </c>
      <c r="H1600" s="304" t="s">
        <v>2849</v>
      </c>
      <c r="I1600" s="304" t="s">
        <v>3083</v>
      </c>
      <c r="J1600" s="304" t="s">
        <v>3084</v>
      </c>
      <c r="K1600" s="304" t="s">
        <v>3085</v>
      </c>
      <c r="L1600" s="291"/>
      <c r="M1600" s="291"/>
      <c r="N1600" s="291"/>
      <c r="S1600" s="364"/>
      <c r="Z1600" s="609" t="s">
        <v>540</v>
      </c>
      <c r="AA1600" s="609" t="s">
        <v>3137</v>
      </c>
    </row>
    <row r="1601" spans="1:27" ht="24">
      <c r="A1601" s="2712"/>
      <c r="B1601" s="371"/>
      <c r="C1601" s="371"/>
      <c r="D1601" s="371"/>
      <c r="E1601" s="2714" t="s">
        <v>2749</v>
      </c>
      <c r="F1601" s="294"/>
      <c r="G1601" s="1631" t="s">
        <v>1423</v>
      </c>
      <c r="H1601" s="1629" t="s">
        <v>3086</v>
      </c>
      <c r="I1601" s="1629" t="s">
        <v>3055</v>
      </c>
      <c r="J1601" s="1629" t="s">
        <v>3087</v>
      </c>
      <c r="K1601" s="1630" t="s">
        <v>3088</v>
      </c>
      <c r="L1601" s="343" t="s">
        <v>3089</v>
      </c>
      <c r="M1601" s="291"/>
      <c r="N1601" s="291"/>
      <c r="S1601" s="364"/>
      <c r="Z1601" s="609" t="s">
        <v>540</v>
      </c>
      <c r="AA1601" s="609" t="s">
        <v>3137</v>
      </c>
    </row>
    <row r="1602" spans="1:27" ht="18">
      <c r="A1602" s="2712"/>
      <c r="B1602" s="371">
        <v>101</v>
      </c>
      <c r="C1602" s="371" t="s">
        <v>2791</v>
      </c>
      <c r="D1602" s="2714">
        <f t="shared" ref="D1602:D1607" si="146">IF(OR(G1602="*",G1602="",G1602=0),0,COUNTIF($G$1602:$G$1607,G1602))</f>
        <v>0</v>
      </c>
      <c r="E1602" s="2719">
        <v>1</v>
      </c>
      <c r="F1602" s="294"/>
      <c r="G1602" s="1632" t="s">
        <v>2792</v>
      </c>
      <c r="H1602" s="309"/>
      <c r="I1602" s="309"/>
      <c r="J1602" s="309"/>
      <c r="K1602" s="346"/>
      <c r="L1602" s="355" t="s">
        <v>5362</v>
      </c>
      <c r="M1602" s="1520" t="s">
        <v>5603</v>
      </c>
      <c r="N1602" s="291"/>
      <c r="S1602" s="364"/>
      <c r="Z1602" s="609" t="s">
        <v>540</v>
      </c>
      <c r="AA1602" s="609" t="s">
        <v>3137</v>
      </c>
    </row>
    <row r="1603" spans="1:27" ht="18">
      <c r="A1603" s="2712"/>
      <c r="B1603" s="371">
        <v>102</v>
      </c>
      <c r="C1603" s="371" t="s">
        <v>2791</v>
      </c>
      <c r="D1603" s="2714">
        <f t="shared" si="146"/>
        <v>0</v>
      </c>
      <c r="E1603" s="2719">
        <v>1</v>
      </c>
      <c r="F1603" s="294"/>
      <c r="G1603" s="1632" t="s">
        <v>2792</v>
      </c>
      <c r="H1603" s="309"/>
      <c r="I1603" s="309"/>
      <c r="J1603" s="309"/>
      <c r="K1603" s="346"/>
      <c r="L1603" s="355" t="s">
        <v>6174</v>
      </c>
      <c r="M1603" s="291"/>
      <c r="N1603" s="291"/>
      <c r="S1603" s="364"/>
      <c r="Z1603" s="609" t="s">
        <v>540</v>
      </c>
      <c r="AA1603" s="609" t="s">
        <v>3137</v>
      </c>
    </row>
    <row r="1604" spans="1:27" ht="18">
      <c r="A1604" s="2712"/>
      <c r="B1604" s="371">
        <v>103</v>
      </c>
      <c r="C1604" s="371" t="s">
        <v>2791</v>
      </c>
      <c r="D1604" s="2714">
        <f t="shared" si="146"/>
        <v>0</v>
      </c>
      <c r="E1604" s="2719">
        <v>1</v>
      </c>
      <c r="F1604" s="294"/>
      <c r="G1604" s="1632" t="s">
        <v>2792</v>
      </c>
      <c r="H1604" s="309"/>
      <c r="I1604" s="309"/>
      <c r="J1604" s="309"/>
      <c r="K1604" s="346"/>
      <c r="L1604" s="291"/>
      <c r="M1604" s="291"/>
      <c r="N1604" s="291"/>
      <c r="S1604" s="364"/>
      <c r="Z1604" s="609" t="s">
        <v>540</v>
      </c>
      <c r="AA1604" s="609" t="s">
        <v>3137</v>
      </c>
    </row>
    <row r="1605" spans="1:27" ht="18">
      <c r="A1605" s="2712"/>
      <c r="B1605" s="371">
        <v>104</v>
      </c>
      <c r="C1605" s="371" t="s">
        <v>2791</v>
      </c>
      <c r="D1605" s="2714">
        <f t="shared" si="146"/>
        <v>0</v>
      </c>
      <c r="E1605" s="2719">
        <v>1</v>
      </c>
      <c r="F1605" s="294"/>
      <c r="G1605" s="1632" t="s">
        <v>2792</v>
      </c>
      <c r="H1605" s="309"/>
      <c r="I1605" s="309"/>
      <c r="J1605" s="309"/>
      <c r="K1605" s="346"/>
      <c r="L1605" s="291"/>
      <c r="M1605" s="291"/>
      <c r="N1605" s="291"/>
      <c r="S1605" s="364"/>
      <c r="Z1605" s="609" t="s">
        <v>540</v>
      </c>
      <c r="AA1605" s="609" t="s">
        <v>3137</v>
      </c>
    </row>
    <row r="1606" spans="1:27" ht="18">
      <c r="A1606" s="2712"/>
      <c r="B1606" s="371">
        <v>105</v>
      </c>
      <c r="C1606" s="371" t="s">
        <v>2791</v>
      </c>
      <c r="D1606" s="2714">
        <f t="shared" si="146"/>
        <v>0</v>
      </c>
      <c r="E1606" s="2719">
        <v>1</v>
      </c>
      <c r="F1606" s="294"/>
      <c r="G1606" s="1632" t="s">
        <v>2792</v>
      </c>
      <c r="H1606" s="309"/>
      <c r="I1606" s="309"/>
      <c r="J1606" s="309"/>
      <c r="K1606" s="346"/>
      <c r="L1606" s="291"/>
      <c r="M1606" s="291"/>
      <c r="N1606" s="291"/>
      <c r="S1606" s="364"/>
      <c r="Z1606" s="609" t="s">
        <v>540</v>
      </c>
      <c r="AA1606" s="609" t="s">
        <v>3137</v>
      </c>
    </row>
    <row r="1607" spans="1:27" ht="18.75" thickBot="1">
      <c r="A1607" s="2712"/>
      <c r="B1607" s="371"/>
      <c r="C1607" s="371"/>
      <c r="D1607" s="2714">
        <f t="shared" si="146"/>
        <v>1</v>
      </c>
      <c r="E1607" s="2719" t="s">
        <v>3032</v>
      </c>
      <c r="F1607" s="294"/>
      <c r="G1607" s="1527" t="s">
        <v>2752</v>
      </c>
      <c r="H1607" s="1525">
        <f>SUMPRODUCT($E1601:$E1606,H1601:H1606)</f>
        <v>0</v>
      </c>
      <c r="I1607" s="1525">
        <f>SUMPRODUCT($E1601:$E1606,I1601:I1606)</f>
        <v>0</v>
      </c>
      <c r="J1607" s="1525">
        <f>SUMPRODUCT($E1601:$E1606,J1601:J1606)</f>
        <v>0</v>
      </c>
      <c r="K1607" s="1526">
        <f>SUMPRODUCT($E1601:$E1606,K1601:K1606)</f>
        <v>0</v>
      </c>
      <c r="L1607" s="291"/>
      <c r="M1607" s="291"/>
      <c r="N1607" s="291"/>
      <c r="S1607" s="364"/>
      <c r="Z1607" s="609" t="s">
        <v>540</v>
      </c>
      <c r="AA1607" s="609" t="s">
        <v>3137</v>
      </c>
    </row>
    <row r="1608" spans="1:27" ht="18">
      <c r="A1608" s="2712"/>
      <c r="B1608" s="371"/>
      <c r="C1608" s="371" t="s">
        <v>2755</v>
      </c>
      <c r="D1608" s="371"/>
      <c r="F1608" s="294"/>
      <c r="G1608" s="301"/>
      <c r="H1608" s="315"/>
      <c r="I1608" s="315"/>
      <c r="J1608" s="315"/>
      <c r="K1608" s="315"/>
      <c r="L1608" s="291"/>
      <c r="M1608" s="291"/>
      <c r="N1608" s="291"/>
      <c r="S1608" s="364"/>
      <c r="Z1608" s="609" t="s">
        <v>540</v>
      </c>
      <c r="AA1608" s="609" t="s">
        <v>3137</v>
      </c>
    </row>
    <row r="1609" spans="1:27" ht="18">
      <c r="A1609" s="2712" t="s">
        <v>663</v>
      </c>
      <c r="B1609" s="371">
        <v>12</v>
      </c>
      <c r="C1609" s="371"/>
      <c r="D1609" s="2714" t="str">
        <f>VLOOKUP($A1609,Sheet_NoteList,2,0)</f>
        <v>其他应收款补充资料</v>
      </c>
      <c r="E1609" s="2714" t="s">
        <v>6529</v>
      </c>
      <c r="F1609" s="294"/>
      <c r="G1609" s="483" t="str">
        <f>"("&amp;B1609&amp;")"&amp;D1609</f>
        <v>(12)其他应收款补充资料</v>
      </c>
      <c r="H1609" s="1515" t="str">
        <f>$A1609</f>
        <v>1221x</v>
      </c>
      <c r="I1609" s="343" t="s">
        <v>5963</v>
      </c>
      <c r="J1609" s="301" t="s">
        <v>5961</v>
      </c>
      <c r="K1609" s="2208">
        <f>M1616</f>
        <v>0</v>
      </c>
      <c r="L1609" s="345"/>
      <c r="M1609" s="301" t="s">
        <v>5965</v>
      </c>
      <c r="N1609" s="2208">
        <f>H1616</f>
        <v>0</v>
      </c>
      <c r="O1609" s="345"/>
      <c r="P1609" s="301"/>
      <c r="Q1609" s="290" t="str">
        <f>IF($I1609="不适用","",IF(ROUND(SUM($H$1614:$N$1616),2)=0,"请输入",""))</f>
        <v>请输入</v>
      </c>
      <c r="S1609" s="364"/>
      <c r="Z1609" s="609" t="s">
        <v>540</v>
      </c>
      <c r="AA1609" s="609" t="s">
        <v>3137</v>
      </c>
    </row>
    <row r="1610" spans="1:27" ht="0.75" customHeight="1">
      <c r="A1610" s="2712"/>
      <c r="B1610" s="371"/>
      <c r="C1610" s="371"/>
      <c r="D1610" s="371"/>
      <c r="E1610" s="586"/>
      <c r="F1610" s="586"/>
      <c r="G1610" s="586" t="s">
        <v>3176</v>
      </c>
      <c r="H1610" s="371" t="s">
        <v>2904</v>
      </c>
      <c r="I1610" s="371" t="s">
        <v>2905</v>
      </c>
      <c r="J1610" s="371" t="s">
        <v>2906</v>
      </c>
      <c r="K1610" s="371" t="s">
        <v>2907</v>
      </c>
      <c r="L1610" s="371" t="s">
        <v>2908</v>
      </c>
      <c r="M1610" s="371" t="s">
        <v>2909</v>
      </c>
      <c r="N1610" s="371" t="s">
        <v>2910</v>
      </c>
      <c r="O1610" s="291"/>
      <c r="P1610" s="291"/>
      <c r="S1610" s="364"/>
      <c r="Z1610" s="609" t="s">
        <v>540</v>
      </c>
      <c r="AA1610" s="609" t="s">
        <v>3137</v>
      </c>
    </row>
    <row r="1611" spans="1:27" ht="0.75" customHeight="1" thickBot="1">
      <c r="A1611" s="2712"/>
      <c r="B1611" s="371"/>
      <c r="C1611" s="371"/>
      <c r="D1611" s="371"/>
      <c r="E1611" s="586"/>
      <c r="F1611" s="586"/>
      <c r="G1611" s="586"/>
      <c r="H1611" s="371" t="s">
        <v>3020</v>
      </c>
      <c r="I1611" s="371" t="s">
        <v>3021</v>
      </c>
      <c r="J1611" s="371" t="s">
        <v>3022</v>
      </c>
      <c r="K1611" s="371" t="s">
        <v>3023</v>
      </c>
      <c r="L1611" s="371" t="s">
        <v>3024</v>
      </c>
      <c r="M1611" s="371" t="s">
        <v>3025</v>
      </c>
      <c r="N1611" s="371" t="s">
        <v>3026</v>
      </c>
      <c r="O1611" s="291"/>
      <c r="P1611" s="291"/>
      <c r="S1611" s="364"/>
      <c r="Z1611" s="609" t="s">
        <v>540</v>
      </c>
      <c r="AA1611" s="609" t="s">
        <v>3137</v>
      </c>
    </row>
    <row r="1612" spans="1:27" ht="18">
      <c r="A1612" s="2712"/>
      <c r="B1612" s="371"/>
      <c r="C1612" s="371"/>
      <c r="D1612" s="371"/>
      <c r="E1612" s="586" t="s">
        <v>2749</v>
      </c>
      <c r="F1612" s="363"/>
      <c r="G1612" s="3464" t="s">
        <v>47</v>
      </c>
      <c r="H1612" s="3495" t="s">
        <v>2776</v>
      </c>
      <c r="I1612" s="3495" t="s">
        <v>3027</v>
      </c>
      <c r="J1612" s="3495"/>
      <c r="K1612" s="3495" t="s">
        <v>3028</v>
      </c>
      <c r="L1612" s="3495"/>
      <c r="M1612" s="3495"/>
      <c r="N1612" s="3505" t="s">
        <v>2775</v>
      </c>
      <c r="O1612" s="355" t="s">
        <v>6174</v>
      </c>
      <c r="P1612" s="291"/>
      <c r="S1612" s="364"/>
      <c r="Z1612" s="609" t="s">
        <v>540</v>
      </c>
      <c r="AA1612" s="609" t="s">
        <v>3137</v>
      </c>
    </row>
    <row r="1613" spans="1:27" ht="18">
      <c r="A1613" s="2712"/>
      <c r="B1613" s="371"/>
      <c r="C1613" s="371"/>
      <c r="D1613" s="371"/>
      <c r="E1613" s="586" t="s">
        <v>2749</v>
      </c>
      <c r="F1613" s="363"/>
      <c r="G1613" s="3465"/>
      <c r="H1613" s="3592"/>
      <c r="I1613" s="2293" t="s">
        <v>2920</v>
      </c>
      <c r="J1613" s="2293" t="s">
        <v>932</v>
      </c>
      <c r="K1613" s="2293" t="s">
        <v>3029</v>
      </c>
      <c r="L1613" s="2293" t="s">
        <v>3030</v>
      </c>
      <c r="M1613" s="2293" t="s">
        <v>932</v>
      </c>
      <c r="N1613" s="3589"/>
      <c r="O1613" s="355"/>
      <c r="P1613" s="291"/>
      <c r="S1613" s="364"/>
      <c r="Z1613" s="609" t="s">
        <v>540</v>
      </c>
      <c r="AA1613" s="609" t="s">
        <v>3137</v>
      </c>
    </row>
    <row r="1614" spans="1:27" ht="18">
      <c r="A1614" s="2712"/>
      <c r="B1614" s="371">
        <v>101</v>
      </c>
      <c r="C1614" s="371"/>
      <c r="D1614" s="2714">
        <f>IF(OR(G1614="*",G1614="",G1614=0),0,COUNTIF($G$1614:$G$1616,G1614))</f>
        <v>1</v>
      </c>
      <c r="E1614" s="2719">
        <v>1</v>
      </c>
      <c r="F1614" s="294"/>
      <c r="G1614" s="1472" t="s">
        <v>3177</v>
      </c>
      <c r="H1614" s="2273"/>
      <c r="I1614" s="2273"/>
      <c r="J1614" s="2273"/>
      <c r="K1614" s="2273"/>
      <c r="L1614" s="2273"/>
      <c r="M1614" s="2273"/>
      <c r="N1614" s="1475">
        <f>SUM(H1614:J1614)-SUM(K1614:M1614)</f>
        <v>0</v>
      </c>
      <c r="O1614" s="291"/>
      <c r="P1614" s="291"/>
      <c r="S1614" s="364"/>
      <c r="Z1614" s="609" t="s">
        <v>540</v>
      </c>
      <c r="AA1614" s="609" t="s">
        <v>3137</v>
      </c>
    </row>
    <row r="1615" spans="1:27" ht="18">
      <c r="A1615" s="2712"/>
      <c r="B1615" s="371">
        <v>102</v>
      </c>
      <c r="C1615" s="371" t="s">
        <v>2791</v>
      </c>
      <c r="D1615" s="2714">
        <f>IF(OR(G1615="*",G1615="",G1615=0),0,COUNTIF($G$1614:$G$1616,G1615))</f>
        <v>0</v>
      </c>
      <c r="E1615" s="2719">
        <v>1</v>
      </c>
      <c r="F1615" s="294"/>
      <c r="G1615" s="2282" t="s">
        <v>2792</v>
      </c>
      <c r="H1615" s="2273"/>
      <c r="I1615" s="2273"/>
      <c r="J1615" s="2273"/>
      <c r="K1615" s="2273"/>
      <c r="L1615" s="2273"/>
      <c r="M1615" s="2273"/>
      <c r="N1615" s="1475">
        <f>SUM(H1615:J1615)-SUM(K1615:M1615)</f>
        <v>0</v>
      </c>
      <c r="O1615" s="291"/>
      <c r="P1615" s="291"/>
      <c r="S1615" s="364"/>
      <c r="Z1615" s="609" t="s">
        <v>540</v>
      </c>
      <c r="AA1615" s="609" t="s">
        <v>3137</v>
      </c>
    </row>
    <row r="1616" spans="1:27" ht="18.75" thickBot="1">
      <c r="A1616" s="2712"/>
      <c r="B1616" s="371"/>
      <c r="C1616" s="371"/>
      <c r="D1616" s="2714">
        <f>IF(OR(G1616="*",G1616="",G1616=0),0,COUNTIF($G$1614:$G$1616,G1616))</f>
        <v>1</v>
      </c>
      <c r="E1616" s="2719" t="s">
        <v>3032</v>
      </c>
      <c r="F1616" s="294"/>
      <c r="G1616" s="1527" t="s">
        <v>2752</v>
      </c>
      <c r="H1616" s="1525">
        <f t="shared" ref="H1616:N1616" si="147">SUMPRODUCT($E1613:$E1615,H1613:H1615)</f>
        <v>0</v>
      </c>
      <c r="I1616" s="1525">
        <f t="shared" si="147"/>
        <v>0</v>
      </c>
      <c r="J1616" s="1525">
        <f t="shared" si="147"/>
        <v>0</v>
      </c>
      <c r="K1616" s="1525">
        <f t="shared" si="147"/>
        <v>0</v>
      </c>
      <c r="L1616" s="1525">
        <f t="shared" si="147"/>
        <v>0</v>
      </c>
      <c r="M1616" s="1525">
        <f t="shared" si="147"/>
        <v>0</v>
      </c>
      <c r="N1616" s="1526">
        <f t="shared" si="147"/>
        <v>0</v>
      </c>
      <c r="O1616" s="291"/>
      <c r="P1616" s="291"/>
      <c r="S1616" s="364"/>
      <c r="Z1616" s="609" t="s">
        <v>540</v>
      </c>
      <c r="AA1616" s="609" t="s">
        <v>3137</v>
      </c>
    </row>
    <row r="1617" spans="1:29" ht="18">
      <c r="A1617" s="2712"/>
      <c r="B1617" s="371"/>
      <c r="C1617" s="371" t="s">
        <v>2755</v>
      </c>
      <c r="D1617" s="371"/>
      <c r="F1617" s="294"/>
      <c r="G1617" s="301"/>
      <c r="H1617" s="315" t="s">
        <v>3002</v>
      </c>
      <c r="I1617" s="315"/>
      <c r="J1617" s="315"/>
      <c r="K1617" s="315"/>
      <c r="L1617" s="315"/>
      <c r="M1617" s="315"/>
      <c r="N1617" s="315" t="s">
        <v>3002</v>
      </c>
      <c r="O1617" s="291"/>
      <c r="P1617" s="291"/>
      <c r="S1617" s="364"/>
      <c r="Z1617" s="609" t="s">
        <v>540</v>
      </c>
      <c r="AA1617" s="609" t="s">
        <v>3137</v>
      </c>
    </row>
    <row r="1618" spans="1:29" ht="18">
      <c r="A1618" s="2712">
        <v>1400</v>
      </c>
      <c r="B1618" s="371">
        <v>10</v>
      </c>
      <c r="C1618" s="2714" t="str">
        <f>VLOOKUP($A1618,Sheet_Items,2,0)</f>
        <v>存货</v>
      </c>
      <c r="D1618" s="371"/>
      <c r="E1618" s="2714" t="s">
        <v>2739</v>
      </c>
      <c r="F1618" s="294"/>
      <c r="G1618" s="305" t="str">
        <f>B1618&amp;" "&amp;C1618</f>
        <v>10 存货</v>
      </c>
      <c r="H1618" s="306"/>
      <c r="I1618" s="306"/>
      <c r="J1618" s="306" t="s">
        <v>2740</v>
      </c>
      <c r="K1618" s="341">
        <f>VLOOKUP($A1618,Sheet_Trialbal,6,0)</f>
        <v>22601423.91</v>
      </c>
      <c r="L1618" s="342"/>
      <c r="M1618" s="306" t="s">
        <v>2741</v>
      </c>
      <c r="N1618" s="341">
        <f>VLOOKUP($A1618,Sheet_Trialbal,10,0)</f>
        <v>33104385.260000002</v>
      </c>
      <c r="O1618" s="306"/>
      <c r="P1618" s="301"/>
      <c r="S1618" s="364"/>
      <c r="Z1618" s="609" t="s">
        <v>670</v>
      </c>
      <c r="AA1618" s="609" t="s">
        <v>5654</v>
      </c>
    </row>
    <row r="1619" spans="1:29" ht="18">
      <c r="A1619" s="2712" t="s">
        <v>668</v>
      </c>
      <c r="B1619" s="371">
        <v>1</v>
      </c>
      <c r="C1619" s="371"/>
      <c r="D1619" s="2714" t="str">
        <f>VLOOKUP($A1619,Sheet_NoteList,2,0)</f>
        <v>存货分类列示</v>
      </c>
      <c r="E1619" s="2714" t="s">
        <v>2742</v>
      </c>
      <c r="F1619" s="294"/>
      <c r="G1619" s="307" t="str">
        <f>"("&amp;B1619&amp;")"&amp;D1619</f>
        <v>(1)存货分类列示</v>
      </c>
      <c r="H1619" s="1515" t="str">
        <f>$A1619</f>
        <v>1400a</v>
      </c>
      <c r="I1619" s="343" t="s">
        <v>2743</v>
      </c>
      <c r="J1619" s="301" t="s">
        <v>2744</v>
      </c>
      <c r="K1619" s="2208">
        <f>J1636</f>
        <v>22601423.91</v>
      </c>
      <c r="L1619" s="345" t="str">
        <f>IF($I1619="适用",IF(ROUND(K$1618-K1619,2)=0,"F/S",ROUND(K$1618-K1619,2)),"#N/A")</f>
        <v>F/S</v>
      </c>
      <c r="M1619" s="301" t="s">
        <v>2745</v>
      </c>
      <c r="N1619" s="2208">
        <f>M1636</f>
        <v>33104385.260000002</v>
      </c>
      <c r="O1619" s="345" t="str">
        <f>IF($I1619="适用",IF(ROUND(N$1618-N1619,2)=0,"F/S",ROUND(N$1618-N1619,2)),"#N/A")</f>
        <v>F/S</v>
      </c>
      <c r="P1619" s="301"/>
      <c r="Q1619" s="290" t="str">
        <f>IF($I1619="不适用","",IF(ROUND(SUM($H$1624:$M$1636),2)=0,"请输入",""))</f>
        <v/>
      </c>
      <c r="S1619" s="364"/>
      <c r="Z1619" s="609" t="s">
        <v>670</v>
      </c>
      <c r="AA1619" s="609" t="s">
        <v>5654</v>
      </c>
    </row>
    <row r="1620" spans="1:29" ht="0.75" customHeight="1">
      <c r="A1620" s="2712"/>
      <c r="B1620" s="371"/>
      <c r="C1620" s="371"/>
      <c r="D1620" s="371"/>
      <c r="E1620" s="586"/>
      <c r="F1620" s="518"/>
      <c r="G1620" s="518" t="s">
        <v>3206</v>
      </c>
      <c r="H1620" s="304" t="s">
        <v>2882</v>
      </c>
      <c r="I1620" s="304" t="s">
        <v>3207</v>
      </c>
      <c r="J1620" s="304" t="s">
        <v>3208</v>
      </c>
      <c r="K1620" s="304" t="s">
        <v>3209</v>
      </c>
      <c r="L1620" s="304" t="s">
        <v>3210</v>
      </c>
      <c r="M1620" s="304" t="s">
        <v>3211</v>
      </c>
      <c r="N1620" s="291"/>
      <c r="O1620" s="291"/>
      <c r="P1620" s="291"/>
      <c r="Q1620" s="367"/>
      <c r="R1620" s="367"/>
      <c r="S1620" s="364"/>
      <c r="Z1620" s="609" t="s">
        <v>670</v>
      </c>
      <c r="AA1620" s="609" t="s">
        <v>5654</v>
      </c>
    </row>
    <row r="1621" spans="1:29" ht="0.75" customHeight="1" thickBot="1">
      <c r="A1621" s="2712"/>
      <c r="B1621" s="371"/>
      <c r="C1621" s="371"/>
      <c r="D1621" s="371"/>
      <c r="E1621" s="586"/>
      <c r="F1621" s="518"/>
      <c r="G1621" s="518"/>
      <c r="H1621" s="304" t="s">
        <v>2855</v>
      </c>
      <c r="I1621" s="304" t="s">
        <v>3212</v>
      </c>
      <c r="J1621" s="304" t="s">
        <v>2857</v>
      </c>
      <c r="K1621" s="304" t="s">
        <v>3213</v>
      </c>
      <c r="L1621" s="304" t="s">
        <v>3214</v>
      </c>
      <c r="M1621" s="304" t="s">
        <v>3215</v>
      </c>
      <c r="N1621" s="291"/>
      <c r="O1621" s="291"/>
      <c r="P1621" s="291"/>
      <c r="Q1621" s="367"/>
      <c r="R1621" s="367"/>
      <c r="S1621" s="364"/>
      <c r="Z1621" s="609" t="s">
        <v>670</v>
      </c>
      <c r="AA1621" s="609" t="s">
        <v>5654</v>
      </c>
    </row>
    <row r="1622" spans="1:29" ht="18">
      <c r="A1622" s="2712"/>
      <c r="B1622" s="371"/>
      <c r="C1622" s="371"/>
      <c r="D1622" s="371"/>
      <c r="E1622" s="586" t="s">
        <v>2749</v>
      </c>
      <c r="F1622" s="363"/>
      <c r="G1622" s="3487" t="s">
        <v>3216</v>
      </c>
      <c r="H1622" s="3548" t="str">
        <f>$V$2</f>
        <v>2019年12月31日</v>
      </c>
      <c r="I1622" s="3562"/>
      <c r="J1622" s="3549"/>
      <c r="K1622" s="3548" t="str">
        <f>$V$3</f>
        <v>2018年12月31日</v>
      </c>
      <c r="L1622" s="3562"/>
      <c r="M1622" s="3562"/>
      <c r="N1622" s="355" t="s">
        <v>5272</v>
      </c>
      <c r="O1622" s="291"/>
      <c r="P1622" s="291"/>
      <c r="Q1622" s="367"/>
      <c r="R1622" s="367"/>
      <c r="S1622" s="364"/>
      <c r="Z1622" s="609" t="s">
        <v>670</v>
      </c>
      <c r="AA1622" s="609" t="s">
        <v>5654</v>
      </c>
    </row>
    <row r="1623" spans="1:29" ht="18">
      <c r="A1623" s="2712"/>
      <c r="B1623" s="371"/>
      <c r="C1623" s="371"/>
      <c r="D1623" s="371"/>
      <c r="E1623" s="586" t="s">
        <v>2749</v>
      </c>
      <c r="F1623" s="363"/>
      <c r="G1623" s="3488"/>
      <c r="H1623" s="2281" t="s">
        <v>2861</v>
      </c>
      <c r="I1623" s="2281" t="s">
        <v>3217</v>
      </c>
      <c r="J1623" s="2281" t="s">
        <v>2863</v>
      </c>
      <c r="K1623" s="2281" t="s">
        <v>2861</v>
      </c>
      <c r="L1623" s="2281" t="s">
        <v>3217</v>
      </c>
      <c r="M1623" s="421" t="s">
        <v>2863</v>
      </c>
      <c r="N1623" s="291"/>
      <c r="O1623" s="291"/>
      <c r="P1623" s="291"/>
      <c r="Q1623" s="367"/>
      <c r="R1623" s="367"/>
      <c r="S1623" s="364"/>
      <c r="Z1623" s="609" t="s">
        <v>670</v>
      </c>
      <c r="AA1623" s="609" t="s">
        <v>5654</v>
      </c>
    </row>
    <row r="1624" spans="1:29" ht="18">
      <c r="A1624" s="2712"/>
      <c r="B1624" s="371">
        <v>101</v>
      </c>
      <c r="C1624" s="371"/>
      <c r="D1624" s="2714">
        <f t="shared" ref="D1624:D1636" si="148">IF(OR(G1624="*",G1624="",G1624=0),0,COUNTIF($G$1624:$G$1636,G1624))</f>
        <v>1</v>
      </c>
      <c r="E1624" s="2719">
        <v>1</v>
      </c>
      <c r="F1624" s="294"/>
      <c r="G1624" s="1472" t="s">
        <v>299</v>
      </c>
      <c r="H1624" s="2273">
        <v>2353911.85</v>
      </c>
      <c r="I1624" s="2273">
        <v>316029.01</v>
      </c>
      <c r="J1624" s="1474">
        <f>H1624-I1624</f>
        <v>2037882.84</v>
      </c>
      <c r="K1624" s="2273">
        <v>6234369.1799999997</v>
      </c>
      <c r="L1624" s="2273">
        <v>330098.13</v>
      </c>
      <c r="M1624" s="1475">
        <f t="shared" ref="M1624:M1635" si="149">K1624-L1624</f>
        <v>5904271.0499999998</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5654</v>
      </c>
      <c r="AC1624" s="369" t="s">
        <v>6571</v>
      </c>
    </row>
    <row r="1625" spans="1:29" ht="18">
      <c r="A1625" s="2712"/>
      <c r="B1625" s="371">
        <v>102</v>
      </c>
      <c r="C1625" s="371"/>
      <c r="D1625" s="2714">
        <f t="shared" si="148"/>
        <v>1</v>
      </c>
      <c r="E1625" s="2719">
        <v>1</v>
      </c>
      <c r="F1625" s="294"/>
      <c r="G1625" s="1472" t="s">
        <v>3218</v>
      </c>
      <c r="H1625" s="2273">
        <v>2371332.96</v>
      </c>
      <c r="I1625" s="2273">
        <v>38701.93</v>
      </c>
      <c r="J1625" s="1474">
        <f t="shared" ref="J1625:J1635" si="150">H1625-I1625</f>
        <v>2332631.0299999998</v>
      </c>
      <c r="K1625" s="2273">
        <v>2909050.48</v>
      </c>
      <c r="L1625" s="2273">
        <v>2019072.39</v>
      </c>
      <c r="M1625" s="1475">
        <f t="shared" si="149"/>
        <v>889978.09</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5654</v>
      </c>
      <c r="AC1625" s="369" t="s">
        <v>6571</v>
      </c>
    </row>
    <row r="1626" spans="1:29" ht="18">
      <c r="A1626" s="2712"/>
      <c r="B1626" s="371">
        <v>103</v>
      </c>
      <c r="C1626" s="371"/>
      <c r="D1626" s="2714">
        <f t="shared" si="148"/>
        <v>1</v>
      </c>
      <c r="E1626" s="2719">
        <v>1</v>
      </c>
      <c r="F1626" s="294"/>
      <c r="G1626" s="1472" t="s">
        <v>313</v>
      </c>
      <c r="H1626" s="2273">
        <v>15500683.75</v>
      </c>
      <c r="I1626" s="2273">
        <v>7436</v>
      </c>
      <c r="J1626" s="1474">
        <f t="shared" si="150"/>
        <v>15493247.75</v>
      </c>
      <c r="K1626" s="2273">
        <v>24572570.510000002</v>
      </c>
      <c r="L1626" s="2273">
        <v>242862.75</v>
      </c>
      <c r="M1626" s="1475">
        <f t="shared" si="149"/>
        <v>24329707.760000002</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5654</v>
      </c>
      <c r="AC1626" s="369" t="s">
        <v>6571</v>
      </c>
    </row>
    <row r="1627" spans="1:29" ht="18">
      <c r="A1627" s="2712"/>
      <c r="B1627" s="371">
        <v>104</v>
      </c>
      <c r="C1627" s="371"/>
      <c r="D1627" s="2714">
        <f t="shared" si="148"/>
        <v>1</v>
      </c>
      <c r="E1627" s="2719">
        <v>1</v>
      </c>
      <c r="F1627" s="294"/>
      <c r="G1627" s="1472" t="s">
        <v>339</v>
      </c>
      <c r="H1627" s="2273">
        <v>617509.74</v>
      </c>
      <c r="I1627" s="2273"/>
      <c r="J1627" s="1474">
        <f t="shared" si="150"/>
        <v>617509.74</v>
      </c>
      <c r="K1627" s="2273">
        <v>321702.46000000002</v>
      </c>
      <c r="L1627" s="2273">
        <v>46919.81</v>
      </c>
      <c r="M1627" s="1475">
        <f t="shared" si="149"/>
        <v>274782.65000000002</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5654</v>
      </c>
      <c r="AC1627" s="369" t="s">
        <v>6571</v>
      </c>
    </row>
    <row r="1628" spans="1:29" ht="18">
      <c r="A1628" s="2712"/>
      <c r="B1628" s="371">
        <v>105</v>
      </c>
      <c r="C1628" s="371"/>
      <c r="D1628" s="2714">
        <f t="shared" si="148"/>
        <v>1</v>
      </c>
      <c r="E1628" s="2719">
        <v>1</v>
      </c>
      <c r="F1628" s="294"/>
      <c r="G1628" s="1472" t="s">
        <v>346</v>
      </c>
      <c r="H1628" s="2273"/>
      <c r="I1628" s="2273"/>
      <c r="J1628" s="1474">
        <f t="shared" si="150"/>
        <v>0</v>
      </c>
      <c r="K1628" s="2273"/>
      <c r="L1628" s="2273"/>
      <c r="M1628" s="1475">
        <f t="shared" si="149"/>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5654</v>
      </c>
      <c r="AC1628" s="369" t="s">
        <v>6571</v>
      </c>
    </row>
    <row r="1629" spans="1:29" ht="24">
      <c r="A1629" s="2712"/>
      <c r="B1629" s="371">
        <v>106</v>
      </c>
      <c r="C1629" s="371"/>
      <c r="D1629" s="2714">
        <f t="shared" si="148"/>
        <v>1</v>
      </c>
      <c r="E1629" s="2719">
        <v>1</v>
      </c>
      <c r="F1629" s="294"/>
      <c r="G1629" s="1472" t="s">
        <v>3219</v>
      </c>
      <c r="H1629" s="2273"/>
      <c r="I1629" s="2273"/>
      <c r="J1629" s="1474">
        <f t="shared" si="150"/>
        <v>0</v>
      </c>
      <c r="K1629" s="2273"/>
      <c r="L1629" s="2273"/>
      <c r="M1629" s="1475">
        <f t="shared" si="149"/>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5654</v>
      </c>
      <c r="AC1629" s="369" t="s">
        <v>6571</v>
      </c>
    </row>
    <row r="1630" spans="1:29" ht="18">
      <c r="A1630" s="2712"/>
      <c r="B1630" s="371">
        <v>107</v>
      </c>
      <c r="C1630" s="371" t="s">
        <v>2791</v>
      </c>
      <c r="D1630" s="2714">
        <f t="shared" si="148"/>
        <v>1</v>
      </c>
      <c r="E1630" s="2719">
        <v>1</v>
      </c>
      <c r="F1630" s="294"/>
      <c r="G1630" s="2282" t="s">
        <v>692</v>
      </c>
      <c r="H1630" s="2273"/>
      <c r="I1630" s="2273"/>
      <c r="J1630" s="1474">
        <f t="shared" si="150"/>
        <v>0</v>
      </c>
      <c r="K1630" s="2273"/>
      <c r="L1630" s="2273"/>
      <c r="M1630" s="1475">
        <f t="shared" si="149"/>
        <v>0</v>
      </c>
      <c r="N1630" s="1531" t="str">
        <f ca="1">HYPERLINK("#'"&amp;$G$1&amp;"'!"&amp;ADDRESS(ROW(Notes!O1649),COLUMN(Notes!O1649),4),"* 请勿删除此行！点击往勾稽单元格，F5+Enter返回")</f>
        <v>* 请勿删除此行！点击往勾稽单元格，F5+Enter返回</v>
      </c>
      <c r="O1630" s="291"/>
      <c r="P1630" s="291"/>
      <c r="Q1630" s="367"/>
      <c r="R1630" s="367"/>
      <c r="S1630" s="364"/>
      <c r="Z1630" s="609" t="s">
        <v>670</v>
      </c>
      <c r="AA1630" s="609" t="s">
        <v>5654</v>
      </c>
      <c r="AC1630" s="369" t="s">
        <v>6571</v>
      </c>
    </row>
    <row r="1631" spans="1:29" ht="18">
      <c r="A1631" s="2712"/>
      <c r="B1631" s="371">
        <v>108</v>
      </c>
      <c r="C1631" s="371" t="s">
        <v>2791</v>
      </c>
      <c r="D1631" s="2714">
        <f t="shared" si="148"/>
        <v>1</v>
      </c>
      <c r="E1631" s="2719">
        <v>1</v>
      </c>
      <c r="F1631" s="294"/>
      <c r="G1631" s="2282" t="s">
        <v>696</v>
      </c>
      <c r="H1631" s="2273"/>
      <c r="I1631" s="2273"/>
      <c r="J1631" s="1474">
        <f t="shared" si="150"/>
        <v>0</v>
      </c>
      <c r="K1631" s="2273"/>
      <c r="L1631" s="2273"/>
      <c r="M1631" s="1475">
        <f t="shared" si="149"/>
        <v>0</v>
      </c>
      <c r="N1631" s="1531" t="str">
        <f ca="1">HYPERLINK("#'"&amp;$G$1&amp;"'!"&amp;ADDRESS(ROW(Notes!O1650),COLUMN(Notes!O1650),4),"* 请勿删除此行！点击往勾稽单元格，F5+Enter返回")</f>
        <v>* 请勿删除此行！点击往勾稽单元格，F5+Enter返回</v>
      </c>
      <c r="O1631" s="291"/>
      <c r="P1631" s="291"/>
      <c r="Q1631" s="367"/>
      <c r="R1631" s="367"/>
      <c r="S1631" s="364"/>
      <c r="Z1631" s="609" t="s">
        <v>670</v>
      </c>
      <c r="AA1631" s="609" t="s">
        <v>5654</v>
      </c>
      <c r="AC1631" s="369" t="s">
        <v>6571</v>
      </c>
    </row>
    <row r="1632" spans="1:29" ht="18">
      <c r="A1632" s="2712"/>
      <c r="B1632" s="371">
        <v>109</v>
      </c>
      <c r="C1632" s="371" t="s">
        <v>2791</v>
      </c>
      <c r="D1632" s="2714">
        <f t="shared" si="148"/>
        <v>1</v>
      </c>
      <c r="E1632" s="2719">
        <v>1</v>
      </c>
      <c r="F1632" s="294"/>
      <c r="G1632" s="2282" t="s">
        <v>319</v>
      </c>
      <c r="H1632" s="2273">
        <v>2120152.5499999998</v>
      </c>
      <c r="I1632" s="2273"/>
      <c r="J1632" s="1474">
        <f t="shared" si="150"/>
        <v>2120152.5499999998</v>
      </c>
      <c r="K1632" s="2273">
        <v>1705645.71</v>
      </c>
      <c r="L1632" s="2273"/>
      <c r="M1632" s="1475">
        <f t="shared" si="149"/>
        <v>1705645.71</v>
      </c>
      <c r="N1632" s="357"/>
      <c r="O1632" s="291"/>
      <c r="P1632" s="291"/>
      <c r="Q1632" s="367"/>
      <c r="R1632" s="367"/>
      <c r="S1632" s="364"/>
      <c r="Z1632" s="609" t="s">
        <v>670</v>
      </c>
      <c r="AA1632" s="609" t="s">
        <v>5654</v>
      </c>
      <c r="AC1632" s="369" t="s">
        <v>2794</v>
      </c>
    </row>
    <row r="1633" spans="1:27" ht="18">
      <c r="A1633" s="2712"/>
      <c r="B1633" s="371">
        <v>110</v>
      </c>
      <c r="C1633" s="371" t="s">
        <v>2791</v>
      </c>
      <c r="D1633" s="2714">
        <f t="shared" si="148"/>
        <v>0</v>
      </c>
      <c r="E1633" s="2719">
        <v>1</v>
      </c>
      <c r="F1633" s="294"/>
      <c r="G1633" s="2282" t="s">
        <v>2792</v>
      </c>
      <c r="H1633" s="2273"/>
      <c r="I1633" s="2273"/>
      <c r="J1633" s="1474">
        <f t="shared" si="150"/>
        <v>0</v>
      </c>
      <c r="K1633" s="2273"/>
      <c r="L1633" s="2273"/>
      <c r="M1633" s="1475">
        <f t="shared" si="149"/>
        <v>0</v>
      </c>
      <c r="N1633" s="291"/>
      <c r="O1633" s="291"/>
      <c r="P1633" s="291"/>
      <c r="Q1633" s="367"/>
      <c r="R1633" s="367"/>
      <c r="S1633" s="364"/>
      <c r="Z1633" s="609" t="s">
        <v>670</v>
      </c>
      <c r="AA1633" s="609" t="s">
        <v>5654</v>
      </c>
    </row>
    <row r="1634" spans="1:27" ht="18">
      <c r="A1634" s="2712"/>
      <c r="B1634" s="371">
        <v>111</v>
      </c>
      <c r="C1634" s="371" t="s">
        <v>2791</v>
      </c>
      <c r="D1634" s="2714">
        <f t="shared" si="148"/>
        <v>0</v>
      </c>
      <c r="E1634" s="2719">
        <v>1</v>
      </c>
      <c r="F1634" s="294"/>
      <c r="G1634" s="2282" t="s">
        <v>2792</v>
      </c>
      <c r="H1634" s="2273"/>
      <c r="I1634" s="2273"/>
      <c r="J1634" s="1474">
        <f t="shared" si="150"/>
        <v>0</v>
      </c>
      <c r="K1634" s="2273"/>
      <c r="L1634" s="2273"/>
      <c r="M1634" s="1475">
        <f t="shared" si="149"/>
        <v>0</v>
      </c>
      <c r="N1634" s="291"/>
      <c r="O1634" s="291"/>
      <c r="P1634" s="291"/>
      <c r="Q1634" s="367"/>
      <c r="R1634" s="367"/>
      <c r="S1634" s="364"/>
      <c r="Z1634" s="609" t="s">
        <v>670</v>
      </c>
      <c r="AA1634" s="609" t="s">
        <v>5654</v>
      </c>
    </row>
    <row r="1635" spans="1:27" ht="18">
      <c r="A1635" s="2712"/>
      <c r="B1635" s="371">
        <v>112</v>
      </c>
      <c r="C1635" s="371" t="s">
        <v>2791</v>
      </c>
      <c r="D1635" s="2714">
        <f t="shared" si="148"/>
        <v>0</v>
      </c>
      <c r="E1635" s="2719">
        <v>1</v>
      </c>
      <c r="F1635" s="294"/>
      <c r="G1635" s="2282" t="s">
        <v>2792</v>
      </c>
      <c r="H1635" s="2273"/>
      <c r="I1635" s="2273"/>
      <c r="J1635" s="1474">
        <f t="shared" si="150"/>
        <v>0</v>
      </c>
      <c r="K1635" s="2273"/>
      <c r="L1635" s="2273"/>
      <c r="M1635" s="1475">
        <f t="shared" si="149"/>
        <v>0</v>
      </c>
      <c r="N1635" s="291"/>
      <c r="O1635" s="291"/>
      <c r="P1635" s="291"/>
      <c r="Q1635" s="367"/>
      <c r="R1635" s="367"/>
      <c r="S1635" s="364"/>
      <c r="Z1635" s="609" t="s">
        <v>670</v>
      </c>
      <c r="AA1635" s="609" t="s">
        <v>5654</v>
      </c>
    </row>
    <row r="1636" spans="1:27" ht="18.75" thickBot="1">
      <c r="A1636" s="2712"/>
      <c r="B1636" s="371"/>
      <c r="C1636" s="371"/>
      <c r="D1636" s="2714">
        <f t="shared" si="148"/>
        <v>1</v>
      </c>
      <c r="E1636" s="2719" t="s">
        <v>2751</v>
      </c>
      <c r="F1636" s="294"/>
      <c r="G1636" s="374" t="s">
        <v>2752</v>
      </c>
      <c r="H1636" s="1476">
        <f t="shared" ref="H1636:M1636" si="151">SUMPRODUCT($E1623:$E1635,H1623:H1635)</f>
        <v>22963590.850000001</v>
      </c>
      <c r="I1636" s="1476">
        <f t="shared" si="151"/>
        <v>362166.94</v>
      </c>
      <c r="J1636" s="1476">
        <f t="shared" si="151"/>
        <v>22601423.91</v>
      </c>
      <c r="K1636" s="1476">
        <f t="shared" si="151"/>
        <v>35743338.340000004</v>
      </c>
      <c r="L1636" s="1476">
        <f t="shared" si="151"/>
        <v>2638953.08</v>
      </c>
      <c r="M1636" s="1477">
        <f t="shared" si="151"/>
        <v>33104385.260000002</v>
      </c>
      <c r="N1636" s="291"/>
      <c r="O1636" s="291"/>
      <c r="P1636" s="291"/>
      <c r="Q1636" s="367"/>
      <c r="R1636" s="367"/>
      <c r="S1636" s="364"/>
      <c r="Z1636" s="609" t="s">
        <v>670</v>
      </c>
      <c r="AA1636" s="609" t="s">
        <v>5654</v>
      </c>
    </row>
    <row r="1637" spans="1:27" ht="18">
      <c r="A1637" s="2712"/>
      <c r="B1637" s="371"/>
      <c r="C1637" s="371" t="s">
        <v>2755</v>
      </c>
      <c r="D1637" s="371"/>
      <c r="F1637" s="294"/>
      <c r="G1637" s="301"/>
      <c r="H1637" s="315"/>
      <c r="I1637" s="315"/>
      <c r="J1637" s="315"/>
      <c r="K1637" s="315"/>
      <c r="L1637" s="315"/>
      <c r="M1637" s="315"/>
      <c r="N1637" s="291"/>
      <c r="O1637" s="291"/>
      <c r="P1637" s="291"/>
      <c r="Q1637" s="367"/>
      <c r="R1637" s="367"/>
      <c r="S1637" s="364"/>
      <c r="Z1637" s="609" t="s">
        <v>670</v>
      </c>
      <c r="AA1637" s="609" t="s">
        <v>5654</v>
      </c>
    </row>
    <row r="1638" spans="1:27" ht="24">
      <c r="A1638" s="2712" t="s">
        <v>674</v>
      </c>
      <c r="B1638" s="371">
        <v>2</v>
      </c>
      <c r="C1638" s="371"/>
      <c r="D1638" s="2714" t="str">
        <f>VLOOKUP($A1638,Sheet_NoteList,2,0)</f>
        <v>存货跌价准备的增减变动情况</v>
      </c>
      <c r="E1638" s="2714" t="s">
        <v>2742</v>
      </c>
      <c r="F1638" s="294"/>
      <c r="G1638" s="372" t="str">
        <f>"("&amp;B1638&amp;")"&amp;D1638</f>
        <v>(2)存货跌价准备的增减变动情况</v>
      </c>
      <c r="H1638" s="1515" t="str">
        <f>$A1638</f>
        <v>1400b</v>
      </c>
      <c r="I1638" s="343" t="s">
        <v>2743</v>
      </c>
      <c r="J1638" s="301"/>
      <c r="K1638" s="3083"/>
      <c r="L1638" s="315"/>
      <c r="M1638" s="301"/>
      <c r="N1638" s="355"/>
      <c r="O1638" s="315"/>
      <c r="P1638" s="301"/>
      <c r="Q1638" s="290" t="str">
        <f>IF($I1638="不适用","",IF(ROUND(SUM($H$1643:$M$1655),2)=0,"请输入",""))</f>
        <v/>
      </c>
      <c r="S1638" s="364"/>
      <c r="Z1638" s="609" t="s">
        <v>670</v>
      </c>
      <c r="AA1638" s="609" t="s">
        <v>5654</v>
      </c>
    </row>
    <row r="1639" spans="1:27" ht="0.75" customHeight="1">
      <c r="A1639" s="2712"/>
      <c r="B1639" s="371"/>
      <c r="C1639" s="371"/>
      <c r="D1639" s="371"/>
      <c r="E1639" s="586"/>
      <c r="F1639" s="586"/>
      <c r="G1639" s="586" t="s">
        <v>3220</v>
      </c>
      <c r="H1639" s="371" t="s">
        <v>2904</v>
      </c>
      <c r="I1639" s="371" t="s">
        <v>2905</v>
      </c>
      <c r="J1639" s="371" t="s">
        <v>2906</v>
      </c>
      <c r="K1639" s="371" t="s">
        <v>2907</v>
      </c>
      <c r="L1639" s="371" t="s">
        <v>2908</v>
      </c>
      <c r="M1639" s="371" t="s">
        <v>3221</v>
      </c>
      <c r="N1639" s="291"/>
      <c r="O1639" s="291"/>
      <c r="P1639" s="291"/>
      <c r="S1639" s="364"/>
      <c r="Z1639" s="609" t="s">
        <v>670</v>
      </c>
      <c r="AA1639" s="609" t="s">
        <v>5654</v>
      </c>
    </row>
    <row r="1640" spans="1:27" ht="0.75" customHeight="1" thickBot="1">
      <c r="A1640" s="2712"/>
      <c r="B1640" s="371"/>
      <c r="C1640" s="371"/>
      <c r="D1640" s="371"/>
      <c r="E1640" s="586"/>
      <c r="F1640" s="586"/>
      <c r="G1640" s="586"/>
      <c r="H1640" s="371" t="s">
        <v>3020</v>
      </c>
      <c r="I1640" s="371" t="s">
        <v>3021</v>
      </c>
      <c r="J1640" s="371" t="s">
        <v>3022</v>
      </c>
      <c r="K1640" s="371" t="s">
        <v>3222</v>
      </c>
      <c r="L1640" s="371" t="s">
        <v>3025</v>
      </c>
      <c r="M1640" s="371" t="s">
        <v>3026</v>
      </c>
      <c r="N1640" s="423"/>
      <c r="O1640" s="315"/>
      <c r="P1640" s="301"/>
      <c r="S1640" s="364"/>
      <c r="Z1640" s="609" t="s">
        <v>670</v>
      </c>
      <c r="AA1640" s="609" t="s">
        <v>5654</v>
      </c>
    </row>
    <row r="1641" spans="1:27" ht="18.75" thickTop="1">
      <c r="A1641" s="2712"/>
      <c r="B1641" s="371"/>
      <c r="C1641" s="371"/>
      <c r="D1641" s="371"/>
      <c r="E1641" s="586" t="s">
        <v>2749</v>
      </c>
      <c r="F1641" s="363"/>
      <c r="G1641" s="3487" t="s">
        <v>3216</v>
      </c>
      <c r="H1641" s="3563" t="str">
        <f>$V$3</f>
        <v>2018年12月31日</v>
      </c>
      <c r="I1641" s="3519" t="s">
        <v>5352</v>
      </c>
      <c r="J1641" s="3519"/>
      <c r="K1641" s="3519" t="s">
        <v>5353</v>
      </c>
      <c r="L1641" s="3519"/>
      <c r="M1641" s="3537" t="str">
        <f>$V$2</f>
        <v>2019年12月31日</v>
      </c>
      <c r="N1641" s="423"/>
      <c r="O1641" s="1538" t="str">
        <f>H1619&amp;"&gt;本期:"&amp;""</f>
        <v>1400a&gt;本期:</v>
      </c>
      <c r="P1641" s="1534" t="str">
        <f>""&amp;"&gt;上期:"&amp;""</f>
        <v>&gt;上期:</v>
      </c>
      <c r="S1641" s="364"/>
      <c r="Z1641" s="609" t="s">
        <v>670</v>
      </c>
      <c r="AA1641" s="609" t="s">
        <v>5654</v>
      </c>
    </row>
    <row r="1642" spans="1:27" ht="18">
      <c r="A1642" s="2712"/>
      <c r="B1642" s="371"/>
      <c r="C1642" s="371"/>
      <c r="D1642" s="371"/>
      <c r="E1642" s="586" t="s">
        <v>2749</v>
      </c>
      <c r="F1642" s="363"/>
      <c r="G1642" s="3488"/>
      <c r="H1642" s="3564"/>
      <c r="I1642" s="2281" t="s">
        <v>2920</v>
      </c>
      <c r="J1642" s="2281" t="s">
        <v>932</v>
      </c>
      <c r="K1642" s="2281" t="s">
        <v>3223</v>
      </c>
      <c r="L1642" s="2281" t="s">
        <v>932</v>
      </c>
      <c r="M1642" s="3538"/>
      <c r="N1642" s="423"/>
      <c r="O1642" s="1535" t="str">
        <f>I1623</f>
        <v>跌价准备</v>
      </c>
      <c r="P1642" s="1536" t="str">
        <f>L1623</f>
        <v>跌价准备</v>
      </c>
      <c r="S1642" s="364"/>
      <c r="Z1642" s="609" t="s">
        <v>670</v>
      </c>
      <c r="AA1642" s="609" t="s">
        <v>5654</v>
      </c>
    </row>
    <row r="1643" spans="1:27" ht="18">
      <c r="A1643" s="2712"/>
      <c r="B1643" s="371">
        <v>101</v>
      </c>
      <c r="C1643" s="371"/>
      <c r="D1643" s="2714">
        <f t="shared" ref="D1643:D1655" si="152">IF(OR(G1643="*",G1643="",G1643=0),0,COUNTIF($G$1643:$G$1655,G1643))</f>
        <v>1</v>
      </c>
      <c r="E1643" s="2719">
        <v>1</v>
      </c>
      <c r="F1643" s="294"/>
      <c r="G1643" s="1472" t="s">
        <v>299</v>
      </c>
      <c r="H1643" s="2273">
        <v>330098.13</v>
      </c>
      <c r="I1643" s="2273"/>
      <c r="J1643" s="2273"/>
      <c r="K1643" s="2273">
        <v>14069.12</v>
      </c>
      <c r="L1643" s="2273"/>
      <c r="M1643" s="1475">
        <f>SUM(H1643:J1643,-K1643-L1643)</f>
        <v>316029.01</v>
      </c>
      <c r="N1643" s="423"/>
      <c r="O1643" s="1539">
        <f ca="1">HYPERLINK("#'"&amp;$G$1&amp;"'!"&amp;ADDRESS(ROW(Notes!I1624),COLUMN(Notes!I1624),4),I1624-M1643)</f>
        <v>0</v>
      </c>
      <c r="P1643" s="1539">
        <f ca="1">HYPERLINK("#'"&amp;$G$1&amp;"'!"&amp;ADDRESS(ROW(Notes!L1624),COLUMN(Notes!L1624),4),L1624-H1643)</f>
        <v>0</v>
      </c>
      <c r="S1643" s="364"/>
      <c r="Z1643" s="609" t="s">
        <v>670</v>
      </c>
      <c r="AA1643" s="609" t="s">
        <v>5654</v>
      </c>
    </row>
    <row r="1644" spans="1:27" ht="18">
      <c r="A1644" s="2712"/>
      <c r="B1644" s="371">
        <v>102</v>
      </c>
      <c r="C1644" s="371"/>
      <c r="D1644" s="2714">
        <f t="shared" si="152"/>
        <v>1</v>
      </c>
      <c r="E1644" s="2719">
        <v>1</v>
      </c>
      <c r="F1644" s="294"/>
      <c r="G1644" s="1472" t="s">
        <v>3218</v>
      </c>
      <c r="H1644" s="2273">
        <v>2019072.39</v>
      </c>
      <c r="I1644" s="2273">
        <v>38701.93</v>
      </c>
      <c r="J1644" s="2273"/>
      <c r="K1644" s="2273">
        <v>2019072.39</v>
      </c>
      <c r="L1644" s="2273"/>
      <c r="M1644" s="1475">
        <f t="shared" ref="M1644:M1654" si="153">SUM(H1644:J1644,-K1644-L1644)</f>
        <v>38701.93</v>
      </c>
      <c r="N1644" s="423"/>
      <c r="O1644" s="1539">
        <f ca="1">HYPERLINK("#'"&amp;$G$1&amp;"'!"&amp;ADDRESS(ROW(Notes!I1625),COLUMN(Notes!I1625),4),I1625-M1644)</f>
        <v>0</v>
      </c>
      <c r="P1644" s="1539">
        <f ca="1">HYPERLINK("#'"&amp;$G$1&amp;"'!"&amp;ADDRESS(ROW(Notes!L1625),COLUMN(Notes!L1625),4),L1625-H1644)</f>
        <v>0</v>
      </c>
      <c r="S1644" s="364"/>
      <c r="Z1644" s="609" t="s">
        <v>670</v>
      </c>
      <c r="AA1644" s="609" t="s">
        <v>5654</v>
      </c>
    </row>
    <row r="1645" spans="1:27" ht="18">
      <c r="A1645" s="2712"/>
      <c r="B1645" s="371">
        <v>103</v>
      </c>
      <c r="C1645" s="371"/>
      <c r="D1645" s="2714">
        <f t="shared" si="152"/>
        <v>1</v>
      </c>
      <c r="E1645" s="2719">
        <v>1</v>
      </c>
      <c r="F1645" s="294"/>
      <c r="G1645" s="1472" t="s">
        <v>313</v>
      </c>
      <c r="H1645" s="2273">
        <v>242862.75</v>
      </c>
      <c r="I1645" s="2273"/>
      <c r="J1645" s="2273"/>
      <c r="K1645" s="2273">
        <v>235426.75</v>
      </c>
      <c r="L1645" s="2273"/>
      <c r="M1645" s="1475">
        <f t="shared" si="153"/>
        <v>7436</v>
      </c>
      <c r="N1645" s="423"/>
      <c r="O1645" s="1539">
        <f ca="1">HYPERLINK("#'"&amp;$G$1&amp;"'!"&amp;ADDRESS(ROW(Notes!I1626),COLUMN(Notes!I1626),4),I1626-M1645)</f>
        <v>0</v>
      </c>
      <c r="P1645" s="1539">
        <f ca="1">HYPERLINK("#'"&amp;$G$1&amp;"'!"&amp;ADDRESS(ROW(Notes!L1626),COLUMN(Notes!L1626),4),L1626-H1645)</f>
        <v>0</v>
      </c>
      <c r="S1645" s="364"/>
      <c r="Z1645" s="609" t="s">
        <v>670</v>
      </c>
      <c r="AA1645" s="609" t="s">
        <v>5654</v>
      </c>
    </row>
    <row r="1646" spans="1:27" ht="18">
      <c r="A1646" s="2712"/>
      <c r="B1646" s="371">
        <v>104</v>
      </c>
      <c r="C1646" s="371"/>
      <c r="D1646" s="2714">
        <f t="shared" si="152"/>
        <v>1</v>
      </c>
      <c r="E1646" s="2719">
        <v>1</v>
      </c>
      <c r="F1646" s="294"/>
      <c r="G1646" s="1472" t="s">
        <v>339</v>
      </c>
      <c r="H1646" s="2273">
        <v>46919.81</v>
      </c>
      <c r="I1646" s="2273"/>
      <c r="J1646" s="2273"/>
      <c r="K1646" s="2273">
        <v>46919.81</v>
      </c>
      <c r="L1646" s="2273"/>
      <c r="M1646" s="1475">
        <f t="shared" si="153"/>
        <v>0</v>
      </c>
      <c r="N1646" s="423"/>
      <c r="O1646" s="1539">
        <f ca="1">HYPERLINK("#'"&amp;$G$1&amp;"'!"&amp;ADDRESS(ROW(Notes!I1627),COLUMN(Notes!I1627),4),I1627-M1646)</f>
        <v>0</v>
      </c>
      <c r="P1646" s="1539">
        <f ca="1">HYPERLINK("#'"&amp;$G$1&amp;"'!"&amp;ADDRESS(ROW(Notes!L1627),COLUMN(Notes!L1627),4),L1627-H1646)</f>
        <v>0</v>
      </c>
      <c r="S1646" s="364"/>
      <c r="Z1646" s="609" t="s">
        <v>670</v>
      </c>
      <c r="AA1646" s="609" t="s">
        <v>5654</v>
      </c>
    </row>
    <row r="1647" spans="1:27" ht="25.5" customHeight="1">
      <c r="A1647" s="2712"/>
      <c r="B1647" s="371">
        <v>105</v>
      </c>
      <c r="C1647" s="371"/>
      <c r="D1647" s="2714">
        <f t="shared" si="152"/>
        <v>1</v>
      </c>
      <c r="E1647" s="2719">
        <v>1</v>
      </c>
      <c r="F1647" s="294"/>
      <c r="G1647" s="1472" t="s">
        <v>346</v>
      </c>
      <c r="H1647" s="2273"/>
      <c r="I1647" s="2273"/>
      <c r="J1647" s="2273"/>
      <c r="K1647" s="2273"/>
      <c r="L1647" s="2273"/>
      <c r="M1647" s="1475">
        <f t="shared" si="153"/>
        <v>0</v>
      </c>
      <c r="N1647" s="423"/>
      <c r="O1647" s="1539">
        <f ca="1">HYPERLINK("#'"&amp;$G$1&amp;"'!"&amp;ADDRESS(ROW(Notes!I1628),COLUMN(Notes!I1628),4),I1628-M1647)</f>
        <v>0</v>
      </c>
      <c r="P1647" s="1539">
        <f ca="1">HYPERLINK("#'"&amp;$G$1&amp;"'!"&amp;ADDRESS(ROW(Notes!L1628),COLUMN(Notes!L1628),4),L1628-H1647)</f>
        <v>0</v>
      </c>
      <c r="S1647" s="364"/>
      <c r="Z1647" s="609" t="s">
        <v>670</v>
      </c>
      <c r="AA1647" s="609" t="s">
        <v>5654</v>
      </c>
    </row>
    <row r="1648" spans="1:27" ht="24">
      <c r="A1648" s="2712"/>
      <c r="B1648" s="371">
        <v>106</v>
      </c>
      <c r="C1648" s="371"/>
      <c r="D1648" s="2714">
        <f t="shared" si="152"/>
        <v>1</v>
      </c>
      <c r="E1648" s="2719">
        <v>1</v>
      </c>
      <c r="F1648" s="294"/>
      <c r="G1648" s="1472" t="s">
        <v>3219</v>
      </c>
      <c r="H1648" s="2273"/>
      <c r="I1648" s="2273"/>
      <c r="J1648" s="2273"/>
      <c r="K1648" s="2273"/>
      <c r="L1648" s="2273"/>
      <c r="M1648" s="1475">
        <f t="shared" si="153"/>
        <v>0</v>
      </c>
      <c r="N1648" s="423"/>
      <c r="O1648" s="1539">
        <f ca="1">HYPERLINK("#'"&amp;$G$1&amp;"'!"&amp;ADDRESS(ROW(Notes!I1629),COLUMN(Notes!I1629),4),I1629-M1648)</f>
        <v>0</v>
      </c>
      <c r="P1648" s="1539">
        <f ca="1">HYPERLINK("#'"&amp;$G$1&amp;"'!"&amp;ADDRESS(ROW(Notes!L1629),COLUMN(Notes!L1629),4),L1629-H1648)</f>
        <v>0</v>
      </c>
      <c r="S1648" s="364"/>
      <c r="Z1648" s="609" t="s">
        <v>670</v>
      </c>
      <c r="AA1648" s="609" t="s">
        <v>5654</v>
      </c>
    </row>
    <row r="1649" spans="1:29" ht="18">
      <c r="A1649" s="2712"/>
      <c r="B1649" s="371">
        <v>107</v>
      </c>
      <c r="C1649" s="371" t="s">
        <v>2791</v>
      </c>
      <c r="D1649" s="2714">
        <f t="shared" si="152"/>
        <v>1</v>
      </c>
      <c r="E1649" s="2719">
        <v>1</v>
      </c>
      <c r="F1649" s="294"/>
      <c r="G1649" s="2282" t="s">
        <v>692</v>
      </c>
      <c r="H1649" s="2273"/>
      <c r="I1649" s="2273"/>
      <c r="J1649" s="2273"/>
      <c r="K1649" s="2273"/>
      <c r="L1649" s="2273"/>
      <c r="M1649" s="1475">
        <f t="shared" si="153"/>
        <v>0</v>
      </c>
      <c r="N1649" s="423"/>
      <c r="O1649" s="456">
        <f ca="1">HYPERLINK("#'"&amp;$G$1&amp;"'!"&amp;ADDRESS(ROW(Notes!I1630),COLUMN(Notes!I1630),4),I1630-M1649)</f>
        <v>0</v>
      </c>
      <c r="P1649" s="456">
        <f ca="1">HYPERLINK("#'"&amp;$G$1&amp;"'!"&amp;ADDRESS(ROW(Notes!L1630),COLUMN(Notes!L1630),4),L1630-H1649)</f>
        <v>0</v>
      </c>
      <c r="S1649" s="364"/>
      <c r="Z1649" s="609" t="s">
        <v>670</v>
      </c>
      <c r="AA1649" s="609" t="s">
        <v>5654</v>
      </c>
    </row>
    <row r="1650" spans="1:29" ht="18">
      <c r="A1650" s="2712"/>
      <c r="B1650" s="371">
        <v>108</v>
      </c>
      <c r="C1650" s="371" t="s">
        <v>2791</v>
      </c>
      <c r="D1650" s="2714">
        <f t="shared" si="152"/>
        <v>1</v>
      </c>
      <c r="E1650" s="2719">
        <v>1</v>
      </c>
      <c r="F1650" s="294"/>
      <c r="G1650" s="2282" t="s">
        <v>696</v>
      </c>
      <c r="H1650" s="2273"/>
      <c r="I1650" s="2273"/>
      <c r="J1650" s="2273"/>
      <c r="K1650" s="2273"/>
      <c r="L1650" s="2273"/>
      <c r="M1650" s="1475">
        <f t="shared" si="153"/>
        <v>0</v>
      </c>
      <c r="N1650" s="423"/>
      <c r="O1650" s="456">
        <f ca="1">HYPERLINK("#'"&amp;$G$1&amp;"'!"&amp;ADDRESS(ROW(Notes!I1631),COLUMN(Notes!I1631),4),I1631-M1650)</f>
        <v>0</v>
      </c>
      <c r="P1650" s="456">
        <f ca="1">HYPERLINK("#'"&amp;$G$1&amp;"'!"&amp;ADDRESS(ROW(Notes!L1631),COLUMN(Notes!L1631),4),L1631-H1650)</f>
        <v>0</v>
      </c>
      <c r="S1650" s="364"/>
      <c r="Z1650" s="609" t="s">
        <v>670</v>
      </c>
      <c r="AA1650" s="609" t="s">
        <v>5654</v>
      </c>
    </row>
    <row r="1651" spans="1:29" ht="18">
      <c r="A1651" s="2712"/>
      <c r="B1651" s="371">
        <v>109</v>
      </c>
      <c r="C1651" s="371" t="s">
        <v>2791</v>
      </c>
      <c r="D1651" s="2714">
        <f t="shared" si="152"/>
        <v>0</v>
      </c>
      <c r="E1651" s="2719">
        <v>1</v>
      </c>
      <c r="F1651" s="294"/>
      <c r="G1651" s="2282" t="s">
        <v>2792</v>
      </c>
      <c r="H1651" s="2273"/>
      <c r="I1651" s="2273"/>
      <c r="J1651" s="2273"/>
      <c r="K1651" s="2273"/>
      <c r="L1651" s="2273"/>
      <c r="M1651" s="1475">
        <f t="shared" si="153"/>
        <v>0</v>
      </c>
      <c r="N1651" s="423"/>
      <c r="O1651" s="456"/>
      <c r="P1651" s="456"/>
      <c r="S1651" s="364"/>
      <c r="Z1651" s="609" t="s">
        <v>670</v>
      </c>
      <c r="AA1651" s="609" t="s">
        <v>5654</v>
      </c>
    </row>
    <row r="1652" spans="1:29" ht="18">
      <c r="A1652" s="2712"/>
      <c r="B1652" s="371">
        <v>110</v>
      </c>
      <c r="C1652" s="371" t="s">
        <v>2791</v>
      </c>
      <c r="D1652" s="2714">
        <f t="shared" si="152"/>
        <v>0</v>
      </c>
      <c r="E1652" s="2719">
        <v>1</v>
      </c>
      <c r="F1652" s="294"/>
      <c r="G1652" s="2282" t="s">
        <v>2792</v>
      </c>
      <c r="H1652" s="2273"/>
      <c r="I1652" s="2273"/>
      <c r="J1652" s="2273"/>
      <c r="K1652" s="2273"/>
      <c r="L1652" s="2273"/>
      <c r="M1652" s="1475">
        <f t="shared" si="153"/>
        <v>0</v>
      </c>
      <c r="N1652" s="423"/>
      <c r="O1652" s="456"/>
      <c r="P1652" s="456"/>
      <c r="S1652" s="364"/>
      <c r="Z1652" s="609" t="s">
        <v>670</v>
      </c>
      <c r="AA1652" s="609" t="s">
        <v>5654</v>
      </c>
    </row>
    <row r="1653" spans="1:29" ht="18">
      <c r="A1653" s="2712"/>
      <c r="B1653" s="371">
        <v>111</v>
      </c>
      <c r="C1653" s="371" t="s">
        <v>2791</v>
      </c>
      <c r="D1653" s="2714">
        <f t="shared" si="152"/>
        <v>0</v>
      </c>
      <c r="E1653" s="2719">
        <v>1</v>
      </c>
      <c r="F1653" s="294"/>
      <c r="G1653" s="2282" t="s">
        <v>2792</v>
      </c>
      <c r="H1653" s="2273"/>
      <c r="I1653" s="2273"/>
      <c r="J1653" s="2273"/>
      <c r="K1653" s="2273"/>
      <c r="L1653" s="2273"/>
      <c r="M1653" s="1475">
        <f t="shared" si="153"/>
        <v>0</v>
      </c>
      <c r="N1653" s="423"/>
      <c r="O1653" s="456"/>
      <c r="P1653" s="456"/>
      <c r="S1653" s="364"/>
      <c r="Z1653" s="609" t="s">
        <v>670</v>
      </c>
      <c r="AA1653" s="609" t="s">
        <v>5654</v>
      </c>
    </row>
    <row r="1654" spans="1:29" ht="18">
      <c r="A1654" s="2712"/>
      <c r="B1654" s="371">
        <v>112</v>
      </c>
      <c r="C1654" s="371" t="s">
        <v>2791</v>
      </c>
      <c r="D1654" s="2714">
        <f t="shared" si="152"/>
        <v>0</v>
      </c>
      <c r="E1654" s="2719">
        <v>1</v>
      </c>
      <c r="F1654" s="294"/>
      <c r="G1654" s="2282" t="s">
        <v>2792</v>
      </c>
      <c r="H1654" s="2273"/>
      <c r="I1654" s="2273"/>
      <c r="J1654" s="2273"/>
      <c r="K1654" s="2273"/>
      <c r="L1654" s="2273"/>
      <c r="M1654" s="1475">
        <f t="shared" si="153"/>
        <v>0</v>
      </c>
      <c r="N1654" s="423"/>
      <c r="O1654" s="456"/>
      <c r="P1654" s="456"/>
      <c r="S1654" s="364"/>
      <c r="Z1654" s="609" t="s">
        <v>670</v>
      </c>
      <c r="AA1654" s="609" t="s">
        <v>5654</v>
      </c>
    </row>
    <row r="1655" spans="1:29" ht="18.75" thickBot="1">
      <c r="A1655" s="2712"/>
      <c r="B1655" s="371"/>
      <c r="C1655" s="371"/>
      <c r="D1655" s="2714">
        <f t="shared" si="152"/>
        <v>1</v>
      </c>
      <c r="E1655" s="2719" t="s">
        <v>3032</v>
      </c>
      <c r="F1655" s="294"/>
      <c r="G1655" s="374" t="s">
        <v>2752</v>
      </c>
      <c r="H1655" s="1476">
        <f t="shared" ref="H1655:M1655" si="154">SUMPRODUCT($E1642:$E1654,H1642:H1654)</f>
        <v>2638953.08</v>
      </c>
      <c r="I1655" s="1476">
        <f t="shared" si="154"/>
        <v>38701.93</v>
      </c>
      <c r="J1655" s="1476">
        <f t="shared" si="154"/>
        <v>0</v>
      </c>
      <c r="K1655" s="1476">
        <f t="shared" si="154"/>
        <v>2315488.0699999998</v>
      </c>
      <c r="L1655" s="1476">
        <f t="shared" si="154"/>
        <v>0</v>
      </c>
      <c r="M1655" s="1477">
        <f t="shared" si="154"/>
        <v>362166.94</v>
      </c>
      <c r="N1655" s="1593" t="str">
        <f ca="1">HYPERLINK("#'"&amp;$G$1&amp;"'!"&amp;ADDRESS(ROW(Notes!L4882),COLUMN(Notes!L4882),4),"* 请勿删除此行！点击往勾稽单元格，F5+Enter返回")</f>
        <v>* 请勿删除此行！点击往勾稽单元格，F5+Enter返回</v>
      </c>
      <c r="O1655" s="1529">
        <f t="shared" ref="O1655:P1655" ca="1" si="155">SUM(O1643:O1654)</f>
        <v>0</v>
      </c>
      <c r="P1655" s="1529">
        <f t="shared" ca="1" si="155"/>
        <v>0</v>
      </c>
      <c r="S1655" s="364"/>
      <c r="Z1655" s="609" t="s">
        <v>670</v>
      </c>
      <c r="AA1655" s="609" t="s">
        <v>5654</v>
      </c>
      <c r="AC1655" s="369" t="s">
        <v>2794</v>
      </c>
    </row>
    <row r="1656" spans="1:29" ht="18">
      <c r="A1656" s="2712"/>
      <c r="B1656" s="371"/>
      <c r="C1656" s="371" t="s">
        <v>2755</v>
      </c>
      <c r="D1656" s="371"/>
      <c r="F1656" s="294"/>
      <c r="G1656" s="301"/>
      <c r="H1656" s="315"/>
      <c r="I1656" s="315"/>
      <c r="J1656" s="315"/>
      <c r="K1656" s="315"/>
      <c r="L1656" s="315"/>
      <c r="M1656" s="315"/>
      <c r="N1656" s="423"/>
      <c r="O1656" s="1537" t="s">
        <v>5364</v>
      </c>
      <c r="P1656" s="354"/>
      <c r="S1656" s="364"/>
      <c r="Z1656" s="609" t="s">
        <v>670</v>
      </c>
      <c r="AA1656" s="609" t="s">
        <v>5654</v>
      </c>
    </row>
    <row r="1657" spans="1:29" ht="24">
      <c r="A1657" s="2712" t="s">
        <v>678</v>
      </c>
      <c r="B1657" s="371">
        <v>3</v>
      </c>
      <c r="C1657" s="371"/>
      <c r="D1657" s="2714" t="str">
        <f>VLOOKUP($A1657,Sheet_NoteList,2,0)</f>
        <v>存货期末余额中含有借款费用资本化金额的说明</v>
      </c>
      <c r="E1657" s="2714" t="s">
        <v>6529</v>
      </c>
      <c r="F1657" s="294"/>
      <c r="G1657" s="372" t="str">
        <f>"("&amp;B1657&amp;")"&amp;D1657</f>
        <v>(3)存货期末余额中含有借款费用资本化金额的说明</v>
      </c>
      <c r="H1657" s="1515" t="str">
        <f>$A1657</f>
        <v>1400t</v>
      </c>
      <c r="I1657" s="343" t="s">
        <v>5970</v>
      </c>
      <c r="J1657" s="301"/>
      <c r="K1657" s="3083"/>
      <c r="L1657" s="315"/>
      <c r="M1657" s="301"/>
      <c r="N1657" s="3083"/>
      <c r="O1657" s="315"/>
      <c r="P1657" s="301"/>
      <c r="Q1657" s="290" t="str">
        <f>IF($I1657="不适用","",IF(ROUND(SUM($H$1660:$I$1665),2)=0,"请输入",""))</f>
        <v>请输入</v>
      </c>
      <c r="S1657" s="364"/>
      <c r="Z1657" s="609" t="s">
        <v>670</v>
      </c>
      <c r="AA1657" s="609" t="s">
        <v>5654</v>
      </c>
    </row>
    <row r="1658" spans="1:29" ht="0.75" customHeight="1" thickBot="1">
      <c r="A1658" s="2712"/>
      <c r="B1658" s="371"/>
      <c r="C1658" s="371"/>
      <c r="D1658" s="371"/>
      <c r="E1658" s="586"/>
      <c r="F1658" s="518"/>
      <c r="G1658" s="518" t="s">
        <v>3233</v>
      </c>
      <c r="H1658" s="304" t="s">
        <v>3234</v>
      </c>
      <c r="I1658" s="304" t="s">
        <v>3235</v>
      </c>
      <c r="J1658" s="531"/>
      <c r="K1658" s="291"/>
      <c r="L1658" s="291"/>
      <c r="M1658" s="291"/>
      <c r="N1658" s="291"/>
      <c r="O1658" s="291"/>
      <c r="S1658" s="364"/>
      <c r="Z1658" s="609" t="s">
        <v>670</v>
      </c>
      <c r="AA1658" s="609" t="s">
        <v>5654</v>
      </c>
    </row>
    <row r="1659" spans="1:29" ht="24">
      <c r="A1659" s="2712"/>
      <c r="B1659" s="371"/>
      <c r="C1659" s="371"/>
      <c r="D1659" s="371"/>
      <c r="E1659" s="586" t="s">
        <v>2749</v>
      </c>
      <c r="F1659" s="363"/>
      <c r="G1659" s="2540" t="s">
        <v>47</v>
      </c>
      <c r="H1659" s="2542" t="s">
        <v>3236</v>
      </c>
      <c r="I1659" s="2575" t="s">
        <v>2508</v>
      </c>
      <c r="J1659" s="532"/>
      <c r="L1659" s="291"/>
      <c r="M1659" s="291"/>
      <c r="N1659" s="291"/>
      <c r="O1659" s="291"/>
      <c r="S1659" s="364"/>
      <c r="Z1659" s="609" t="s">
        <v>670</v>
      </c>
      <c r="AA1659" s="609" t="s">
        <v>5654</v>
      </c>
    </row>
    <row r="1660" spans="1:29" ht="18">
      <c r="A1660" s="2712"/>
      <c r="B1660" s="371">
        <v>101</v>
      </c>
      <c r="C1660" s="371" t="s">
        <v>2791</v>
      </c>
      <c r="D1660" s="2714">
        <f t="shared" ref="D1660:D1665" si="156">IF(OR(G1660="*",G1660="",G1660=0),0,COUNTIF($G$1660:$G$1665,G1660))</f>
        <v>0</v>
      </c>
      <c r="E1660" s="2719">
        <v>1</v>
      </c>
      <c r="F1660" s="294"/>
      <c r="G1660" s="2546" t="s">
        <v>2792</v>
      </c>
      <c r="H1660" s="2273"/>
      <c r="I1660" s="2274"/>
      <c r="J1660" s="532"/>
      <c r="L1660" s="291"/>
      <c r="M1660" s="291"/>
      <c r="N1660" s="291"/>
      <c r="O1660" s="291"/>
      <c r="S1660" s="364"/>
      <c r="Z1660" s="609" t="s">
        <v>670</v>
      </c>
      <c r="AA1660" s="609" t="s">
        <v>5654</v>
      </c>
    </row>
    <row r="1661" spans="1:29" ht="18">
      <c r="A1661" s="2712"/>
      <c r="B1661" s="371">
        <v>102</v>
      </c>
      <c r="C1661" s="371" t="s">
        <v>2791</v>
      </c>
      <c r="D1661" s="2714">
        <f t="shared" si="156"/>
        <v>0</v>
      </c>
      <c r="E1661" s="2719">
        <v>1</v>
      </c>
      <c r="F1661" s="294"/>
      <c r="G1661" s="2546" t="s">
        <v>2792</v>
      </c>
      <c r="H1661" s="2273"/>
      <c r="I1661" s="2274"/>
      <c r="J1661" s="533"/>
      <c r="K1661" s="291"/>
      <c r="L1661" s="291"/>
      <c r="M1661" s="291"/>
      <c r="N1661" s="291"/>
      <c r="O1661" s="291"/>
      <c r="S1661" s="364"/>
      <c r="Z1661" s="609" t="s">
        <v>670</v>
      </c>
      <c r="AA1661" s="609" t="s">
        <v>5654</v>
      </c>
    </row>
    <row r="1662" spans="1:29" ht="18">
      <c r="A1662" s="2712"/>
      <c r="B1662" s="371">
        <v>103</v>
      </c>
      <c r="C1662" s="371" t="s">
        <v>2791</v>
      </c>
      <c r="D1662" s="2714">
        <f t="shared" si="156"/>
        <v>0</v>
      </c>
      <c r="E1662" s="2719">
        <v>1</v>
      </c>
      <c r="F1662" s="294"/>
      <c r="G1662" s="2546" t="s">
        <v>2792</v>
      </c>
      <c r="H1662" s="2273"/>
      <c r="I1662" s="2274"/>
      <c r="J1662" s="533"/>
      <c r="K1662" s="291"/>
      <c r="L1662" s="291"/>
      <c r="M1662" s="291"/>
      <c r="N1662" s="291"/>
      <c r="O1662" s="291"/>
      <c r="S1662" s="364"/>
      <c r="Z1662" s="609" t="s">
        <v>670</v>
      </c>
      <c r="AA1662" s="609" t="s">
        <v>5654</v>
      </c>
    </row>
    <row r="1663" spans="1:29" ht="18">
      <c r="A1663" s="2712"/>
      <c r="B1663" s="371">
        <v>104</v>
      </c>
      <c r="C1663" s="371" t="s">
        <v>2791</v>
      </c>
      <c r="D1663" s="2714">
        <f t="shared" si="156"/>
        <v>0</v>
      </c>
      <c r="E1663" s="2719">
        <v>1</v>
      </c>
      <c r="F1663" s="294"/>
      <c r="G1663" s="2546" t="s">
        <v>2792</v>
      </c>
      <c r="H1663" s="2273"/>
      <c r="I1663" s="2274"/>
      <c r="J1663" s="533"/>
      <c r="K1663" s="291"/>
      <c r="L1663" s="291"/>
      <c r="M1663" s="291"/>
      <c r="N1663" s="291"/>
      <c r="O1663" s="291"/>
      <c r="S1663" s="364"/>
      <c r="Z1663" s="609" t="s">
        <v>670</v>
      </c>
      <c r="AA1663" s="609" t="s">
        <v>5654</v>
      </c>
    </row>
    <row r="1664" spans="1:29" ht="18">
      <c r="A1664" s="2712"/>
      <c r="B1664" s="371">
        <v>105</v>
      </c>
      <c r="C1664" s="371" t="s">
        <v>2791</v>
      </c>
      <c r="D1664" s="2714">
        <f t="shared" si="156"/>
        <v>0</v>
      </c>
      <c r="E1664" s="2719">
        <v>1</v>
      </c>
      <c r="F1664" s="294"/>
      <c r="G1664" s="2546" t="s">
        <v>2792</v>
      </c>
      <c r="H1664" s="2273"/>
      <c r="I1664" s="2274"/>
      <c r="J1664" s="533"/>
      <c r="K1664" s="291"/>
      <c r="L1664" s="291"/>
      <c r="M1664" s="291"/>
      <c r="N1664" s="291"/>
      <c r="O1664" s="291"/>
      <c r="S1664" s="364"/>
      <c r="Z1664" s="609" t="s">
        <v>670</v>
      </c>
      <c r="AA1664" s="609" t="s">
        <v>5654</v>
      </c>
    </row>
    <row r="1665" spans="1:27" ht="18.75" thickBot="1">
      <c r="A1665" s="2712"/>
      <c r="B1665" s="371"/>
      <c r="C1665" s="371"/>
      <c r="D1665" s="2714">
        <f t="shared" si="156"/>
        <v>1</v>
      </c>
      <c r="E1665" s="2719" t="s">
        <v>3032</v>
      </c>
      <c r="F1665" s="294"/>
      <c r="G1665" s="1527" t="s">
        <v>2752</v>
      </c>
      <c r="H1665" s="1525">
        <f>SUMPRODUCT($E1659:$E1664,H1659:H1664)</f>
        <v>0</v>
      </c>
      <c r="I1665" s="2264"/>
      <c r="J1665" s="534"/>
      <c r="K1665" s="291"/>
      <c r="L1665" s="291"/>
      <c r="M1665" s="291"/>
      <c r="N1665" s="291"/>
      <c r="O1665" s="291"/>
      <c r="S1665" s="364"/>
      <c r="Z1665" s="609" t="s">
        <v>670</v>
      </c>
      <c r="AA1665" s="609" t="s">
        <v>5654</v>
      </c>
    </row>
    <row r="1666" spans="1:27" ht="18">
      <c r="A1666" s="2712"/>
      <c r="B1666" s="371"/>
      <c r="C1666" s="371" t="s">
        <v>2755</v>
      </c>
      <c r="D1666" s="371"/>
      <c r="F1666" s="294"/>
      <c r="G1666" s="301"/>
      <c r="H1666" s="315"/>
      <c r="I1666" s="393"/>
      <c r="J1666" s="533"/>
      <c r="K1666" s="291"/>
      <c r="L1666" s="291"/>
      <c r="M1666" s="291"/>
      <c r="N1666" s="291"/>
      <c r="O1666" s="291"/>
      <c r="S1666" s="364"/>
      <c r="Z1666" s="609" t="s">
        <v>670</v>
      </c>
      <c r="AA1666" s="609" t="s">
        <v>5654</v>
      </c>
    </row>
    <row r="1667" spans="1:27" ht="24">
      <c r="A1667" s="2712" t="s">
        <v>683</v>
      </c>
      <c r="B1667" s="371">
        <v>4</v>
      </c>
      <c r="C1667" s="371"/>
      <c r="D1667" s="2714" t="str">
        <f>VLOOKUP($A1667,Sheet_NoteList,2,0)</f>
        <v>建造合同形成的已完工未结算资产情况</v>
      </c>
      <c r="E1667" s="2714" t="s">
        <v>2742</v>
      </c>
      <c r="F1667" s="294"/>
      <c r="G1667" s="372" t="str">
        <f>"("&amp;B1667&amp;")"&amp;D1667</f>
        <v>(4)建造合同形成的已完工未结算资产情况</v>
      </c>
      <c r="H1667" s="1515" t="str">
        <f>$A1667</f>
        <v>1400h</v>
      </c>
      <c r="I1667" s="343" t="s">
        <v>2743</v>
      </c>
      <c r="J1667" s="301" t="s">
        <v>2744</v>
      </c>
      <c r="K1667" s="2208">
        <f>H1675</f>
        <v>0</v>
      </c>
      <c r="L1667" s="315"/>
      <c r="M1667" s="301"/>
      <c r="N1667" s="3083"/>
      <c r="O1667" s="315"/>
      <c r="P1667" s="301"/>
      <c r="Q1667" s="290" t="str">
        <f>IF($I1667="不适用","",IF(ROUND(SUM($H$1670:$I$1675),2)=0,"请输入",""))</f>
        <v>请输入</v>
      </c>
      <c r="S1667" s="364"/>
      <c r="Z1667" s="609" t="s">
        <v>670</v>
      </c>
      <c r="AA1667" s="609" t="s">
        <v>5654</v>
      </c>
    </row>
    <row r="1668" spans="1:27" ht="0.75" customHeight="1" thickBot="1">
      <c r="A1668" s="2712"/>
      <c r="B1668" s="371"/>
      <c r="C1668" s="371"/>
      <c r="D1668" s="371"/>
      <c r="E1668" s="586"/>
      <c r="F1668" s="586"/>
      <c r="G1668" s="586" t="s">
        <v>3257</v>
      </c>
      <c r="H1668" s="371" t="s">
        <v>2747</v>
      </c>
      <c r="I1668" s="433"/>
      <c r="J1668" s="472"/>
      <c r="K1668" s="472"/>
      <c r="L1668" s="472"/>
      <c r="M1668" s="472"/>
      <c r="N1668" s="472"/>
      <c r="O1668" s="472"/>
      <c r="P1668" s="442"/>
      <c r="Q1668" s="442"/>
      <c r="R1668" s="443"/>
      <c r="S1668" s="364"/>
      <c r="Z1668" s="609" t="s">
        <v>670</v>
      </c>
      <c r="AA1668" s="609" t="s">
        <v>5654</v>
      </c>
    </row>
    <row r="1669" spans="1:27" ht="18">
      <c r="A1669" s="2712"/>
      <c r="B1669" s="371"/>
      <c r="C1669" s="371"/>
      <c r="D1669" s="371"/>
      <c r="E1669" s="586" t="s">
        <v>2749</v>
      </c>
      <c r="F1669" s="363"/>
      <c r="G1669" s="2538" t="s">
        <v>47</v>
      </c>
      <c r="H1669" s="2576" t="str">
        <f>$V$2</f>
        <v>2019年12月31日</v>
      </c>
      <c r="I1669" s="355" t="s">
        <v>5272</v>
      </c>
      <c r="J1669" s="537"/>
      <c r="K1669" s="537"/>
      <c r="L1669" s="472"/>
      <c r="M1669" s="472"/>
      <c r="N1669" s="472"/>
      <c r="O1669" s="472"/>
      <c r="P1669" s="442"/>
      <c r="Q1669" s="442"/>
      <c r="R1669" s="443"/>
      <c r="S1669" s="364"/>
      <c r="Z1669" s="609" t="s">
        <v>670</v>
      </c>
      <c r="AA1669" s="609" t="s">
        <v>5654</v>
      </c>
    </row>
    <row r="1670" spans="1:27" ht="18">
      <c r="A1670" s="2712"/>
      <c r="B1670" s="371">
        <v>101</v>
      </c>
      <c r="C1670" s="371"/>
      <c r="D1670" s="2714">
        <f t="shared" ref="D1670:D1675" si="157">IF(OR(G1670="*",G1670="",G1670=0),0,COUNTIF($G$1670:$G$1675,G1670))</f>
        <v>1</v>
      </c>
      <c r="E1670" s="2719">
        <v>1</v>
      </c>
      <c r="F1670" s="294"/>
      <c r="G1670" s="1472" t="s">
        <v>3258</v>
      </c>
      <c r="H1670" s="2294"/>
      <c r="I1670" s="538"/>
      <c r="J1670" s="537"/>
      <c r="K1670" s="537"/>
      <c r="L1670" s="472"/>
      <c r="M1670" s="472"/>
      <c r="N1670" s="472"/>
      <c r="O1670" s="472"/>
      <c r="P1670" s="442"/>
      <c r="Q1670" s="442"/>
      <c r="R1670" s="443"/>
      <c r="S1670" s="364"/>
      <c r="Z1670" s="609" t="s">
        <v>670</v>
      </c>
      <c r="AA1670" s="609" t="s">
        <v>5654</v>
      </c>
    </row>
    <row r="1671" spans="1:27" ht="18">
      <c r="A1671" s="2712"/>
      <c r="B1671" s="371">
        <v>102</v>
      </c>
      <c r="C1671" s="371"/>
      <c r="D1671" s="2714">
        <f t="shared" si="157"/>
        <v>1</v>
      </c>
      <c r="E1671" s="2719">
        <v>1</v>
      </c>
      <c r="F1671" s="294"/>
      <c r="G1671" s="1472" t="s">
        <v>3259</v>
      </c>
      <c r="H1671" s="2294"/>
      <c r="I1671" s="437"/>
      <c r="J1671" s="472"/>
      <c r="K1671" s="472"/>
      <c r="L1671" s="472"/>
      <c r="M1671" s="472"/>
      <c r="N1671" s="472"/>
      <c r="O1671" s="472"/>
      <c r="P1671" s="442"/>
      <c r="Q1671" s="442"/>
      <c r="R1671" s="443"/>
      <c r="S1671" s="364"/>
      <c r="Z1671" s="609" t="s">
        <v>670</v>
      </c>
      <c r="AA1671" s="609" t="s">
        <v>5654</v>
      </c>
    </row>
    <row r="1672" spans="1:27" ht="18">
      <c r="A1672" s="2712"/>
      <c r="B1672" s="371">
        <v>103</v>
      </c>
      <c r="C1672" s="371"/>
      <c r="D1672" s="2714">
        <f t="shared" si="157"/>
        <v>1</v>
      </c>
      <c r="E1672" s="2719">
        <v>-1</v>
      </c>
      <c r="F1672" s="294"/>
      <c r="G1672" s="1472" t="s">
        <v>3260</v>
      </c>
      <c r="H1672" s="2294"/>
      <c r="I1672" s="437"/>
      <c r="J1672" s="472"/>
      <c r="K1672" s="472"/>
      <c r="L1672" s="472"/>
      <c r="M1672" s="472"/>
      <c r="N1672" s="472"/>
      <c r="O1672" s="472"/>
      <c r="P1672" s="442"/>
      <c r="Q1672" s="442"/>
      <c r="R1672" s="443"/>
      <c r="S1672" s="364"/>
      <c r="Z1672" s="609" t="s">
        <v>670</v>
      </c>
      <c r="AA1672" s="609" t="s">
        <v>5654</v>
      </c>
    </row>
    <row r="1673" spans="1:27" ht="18">
      <c r="A1673" s="2712"/>
      <c r="B1673" s="371">
        <v>104</v>
      </c>
      <c r="C1673" s="371"/>
      <c r="D1673" s="2714">
        <f t="shared" si="157"/>
        <v>1</v>
      </c>
      <c r="E1673" s="2719">
        <v>-1</v>
      </c>
      <c r="F1673" s="294"/>
      <c r="G1673" s="603" t="s">
        <v>3261</v>
      </c>
      <c r="H1673" s="2294"/>
      <c r="I1673" s="437"/>
      <c r="J1673" s="472"/>
      <c r="K1673" s="472"/>
      <c r="L1673" s="472"/>
      <c r="M1673" s="472"/>
      <c r="N1673" s="472"/>
      <c r="O1673" s="472"/>
      <c r="P1673" s="442"/>
      <c r="Q1673" s="442"/>
      <c r="R1673" s="443"/>
      <c r="S1673" s="364"/>
      <c r="Z1673" s="609" t="s">
        <v>670</v>
      </c>
      <c r="AA1673" s="609" t="s">
        <v>5654</v>
      </c>
    </row>
    <row r="1674" spans="1:27" ht="18">
      <c r="A1674" s="2712"/>
      <c r="B1674" s="371">
        <v>105</v>
      </c>
      <c r="C1674" s="371" t="s">
        <v>2791</v>
      </c>
      <c r="D1674" s="2714">
        <f t="shared" si="157"/>
        <v>0</v>
      </c>
      <c r="E1674" s="2719">
        <v>1</v>
      </c>
      <c r="F1674" s="294"/>
      <c r="G1674" s="2546" t="s">
        <v>2792</v>
      </c>
      <c r="H1674" s="2294"/>
      <c r="I1674" s="437"/>
      <c r="J1674" s="472"/>
      <c r="K1674" s="472"/>
      <c r="L1674" s="472"/>
      <c r="M1674" s="472"/>
      <c r="N1674" s="472"/>
      <c r="O1674" s="472"/>
      <c r="P1674" s="442"/>
      <c r="Q1674" s="442"/>
      <c r="R1674" s="443"/>
      <c r="S1674" s="364"/>
      <c r="Z1674" s="609" t="s">
        <v>670</v>
      </c>
      <c r="AA1674" s="609" t="s">
        <v>5654</v>
      </c>
    </row>
    <row r="1675" spans="1:27" ht="24.75" thickBot="1">
      <c r="A1675" s="2712"/>
      <c r="B1675" s="371"/>
      <c r="C1675" s="371"/>
      <c r="D1675" s="2714">
        <f t="shared" si="157"/>
        <v>1</v>
      </c>
      <c r="E1675" s="2719" t="s">
        <v>3032</v>
      </c>
      <c r="F1675" s="294"/>
      <c r="G1675" s="2232" t="s">
        <v>3262</v>
      </c>
      <c r="H1675" s="2234">
        <f>SUMPRODUCT($E1669:$E1674,H1669:H1674)</f>
        <v>0</v>
      </c>
      <c r="I1675" s="437"/>
      <c r="J1675" s="472"/>
      <c r="K1675" s="472"/>
      <c r="L1675" s="472"/>
      <c r="M1675" s="472"/>
      <c r="N1675" s="472"/>
      <c r="O1675" s="472"/>
      <c r="P1675" s="442"/>
      <c r="Q1675" s="442"/>
      <c r="R1675" s="443"/>
      <c r="S1675" s="364"/>
      <c r="Z1675" s="609" t="s">
        <v>670</v>
      </c>
      <c r="AA1675" s="609" t="s">
        <v>5654</v>
      </c>
    </row>
    <row r="1676" spans="1:27" ht="18.75" thickBot="1">
      <c r="A1676" s="2712"/>
      <c r="B1676" s="371"/>
      <c r="C1676" s="371" t="s">
        <v>2755</v>
      </c>
      <c r="D1676" s="371"/>
      <c r="F1676" s="294"/>
      <c r="G1676" s="301"/>
      <c r="H1676" s="527" t="s">
        <v>3002</v>
      </c>
      <c r="I1676" s="437"/>
      <c r="J1676" s="472"/>
      <c r="K1676" s="472"/>
      <c r="L1676" s="472"/>
      <c r="M1676" s="472"/>
      <c r="N1676" s="472"/>
      <c r="O1676" s="472"/>
      <c r="P1676" s="442"/>
      <c r="Q1676" s="442"/>
      <c r="R1676" s="443"/>
      <c r="S1676" s="364"/>
      <c r="Z1676" s="609" t="s">
        <v>670</v>
      </c>
      <c r="AA1676" s="609" t="s">
        <v>5654</v>
      </c>
    </row>
    <row r="1677" spans="1:27" ht="18.75" thickTop="1">
      <c r="A1677" s="2712"/>
      <c r="B1677" s="371"/>
      <c r="C1677" s="371" t="s">
        <v>2565</v>
      </c>
      <c r="D1677" s="371"/>
      <c r="F1677" s="294"/>
      <c r="G1677" s="1559" t="s">
        <v>5365</v>
      </c>
      <c r="H1677" s="1548" t="str">
        <f>G1619</f>
        <v>(1)存货分类列示</v>
      </c>
      <c r="I1677" s="1551" t="s">
        <v>5366</v>
      </c>
      <c r="J1677" s="472"/>
      <c r="K1677" s="472"/>
      <c r="L1677" s="472"/>
      <c r="M1677" s="472"/>
      <c r="N1677" s="472"/>
      <c r="O1677" s="472"/>
      <c r="P1677" s="442"/>
      <c r="Q1677" s="442"/>
      <c r="R1677" s="442"/>
      <c r="S1677" s="364"/>
      <c r="Z1677" s="609" t="s">
        <v>670</v>
      </c>
      <c r="AA1677" s="609" t="s">
        <v>5654</v>
      </c>
    </row>
    <row r="1678" spans="1:27" ht="24">
      <c r="A1678" s="2712"/>
      <c r="B1678" s="371"/>
      <c r="C1678" s="371" t="s">
        <v>2565</v>
      </c>
      <c r="D1678" s="371"/>
      <c r="F1678" s="294"/>
      <c r="G1678" s="316" t="str">
        <f>"注释A:"&amp; G1629</f>
        <v>注释A:建造合同形成的已完工未结算资产</v>
      </c>
      <c r="H1678" s="2250">
        <f ca="1">HYPERLINK("#'"&amp;$G$1&amp;"'!"&amp;ADDRESS(ROW(Notes!J1629),COLUMN(Notes!J1629),4),J1629)</f>
        <v>0</v>
      </c>
      <c r="I1678" s="2634" t="str">
        <f>H1619</f>
        <v>1400a</v>
      </c>
      <c r="J1678" s="472"/>
      <c r="K1678" s="472"/>
      <c r="L1678" s="472"/>
      <c r="M1678" s="472"/>
      <c r="N1678" s="472"/>
      <c r="O1678" s="472"/>
      <c r="P1678" s="442"/>
      <c r="Q1678" s="442"/>
      <c r="R1678" s="442"/>
      <c r="S1678" s="364"/>
      <c r="Z1678" s="609" t="s">
        <v>670</v>
      </c>
      <c r="AA1678" s="609" t="s">
        <v>5654</v>
      </c>
    </row>
    <row r="1679" spans="1:27" ht="24">
      <c r="A1679" s="2712"/>
      <c r="B1679" s="371"/>
      <c r="C1679" s="371" t="s">
        <v>2565</v>
      </c>
      <c r="D1679" s="371"/>
      <c r="F1679" s="294"/>
      <c r="G1679" s="316" t="str">
        <f>"本注释B:"&amp; G1675</f>
        <v>本注释B:建造合同形成的已完工尚未结算资产账面价值</v>
      </c>
      <c r="H1679" s="456">
        <f>H1675</f>
        <v>0</v>
      </c>
      <c r="I1679" s="2637" t="s">
        <v>683</v>
      </c>
      <c r="J1679" s="472"/>
      <c r="K1679" s="472"/>
      <c r="L1679" s="472"/>
      <c r="M1679" s="472"/>
      <c r="N1679" s="472"/>
      <c r="O1679" s="472"/>
      <c r="P1679" s="442"/>
      <c r="Q1679" s="442"/>
      <c r="R1679" s="442"/>
      <c r="S1679" s="364"/>
      <c r="Z1679" s="609" t="s">
        <v>670</v>
      </c>
      <c r="AA1679" s="609" t="s">
        <v>5654</v>
      </c>
    </row>
    <row r="1680" spans="1:27" ht="18.75" thickBot="1">
      <c r="A1680" s="2712"/>
      <c r="B1680" s="371"/>
      <c r="C1680" s="371" t="s">
        <v>2565</v>
      </c>
      <c r="D1680" s="371"/>
      <c r="F1680" s="294"/>
      <c r="G1680" s="1560" t="s">
        <v>2757</v>
      </c>
      <c r="H1680" s="1529">
        <f ca="1">IF(AND(H1678="",H1679=""),"",ROUND(H1678-H1679,2))</f>
        <v>0</v>
      </c>
      <c r="I1680" s="1554"/>
      <c r="J1680" s="472"/>
      <c r="K1680" s="472"/>
      <c r="L1680" s="472"/>
      <c r="M1680" s="472"/>
      <c r="N1680" s="472"/>
      <c r="O1680" s="472"/>
      <c r="P1680" s="442"/>
      <c r="Q1680" s="442"/>
      <c r="R1680" s="442"/>
      <c r="S1680" s="364"/>
      <c r="Z1680" s="609" t="s">
        <v>670</v>
      </c>
      <c r="AA1680" s="609" t="s">
        <v>5654</v>
      </c>
    </row>
    <row r="1681" spans="1:27" ht="18.75" thickTop="1">
      <c r="A1681" s="2712"/>
      <c r="B1681" s="371"/>
      <c r="C1681" s="371" t="s">
        <v>2565</v>
      </c>
      <c r="D1681" s="371"/>
      <c r="F1681" s="294"/>
      <c r="G1681" s="354"/>
      <c r="H1681" s="459" t="str">
        <f ca="1">IF(OR(H1680=0,H1680=""),"√","？")</f>
        <v>√</v>
      </c>
      <c r="I1681" s="1545"/>
      <c r="J1681" s="472"/>
      <c r="K1681" s="472"/>
      <c r="L1681" s="472"/>
      <c r="M1681" s="472"/>
      <c r="N1681" s="472"/>
      <c r="O1681" s="472"/>
      <c r="P1681" s="442"/>
      <c r="Q1681" s="442"/>
      <c r="R1681" s="442"/>
      <c r="S1681" s="364"/>
      <c r="Z1681" s="609" t="s">
        <v>670</v>
      </c>
      <c r="AA1681" s="609" t="s">
        <v>5654</v>
      </c>
    </row>
    <row r="1682" spans="1:27" ht="18">
      <c r="A1682" s="2712"/>
      <c r="B1682" s="371"/>
      <c r="C1682" s="371" t="s">
        <v>2565</v>
      </c>
      <c r="D1682" s="371"/>
      <c r="F1682" s="294"/>
      <c r="G1682" s="460" t="s">
        <v>2759</v>
      </c>
      <c r="H1682" s="461"/>
      <c r="I1682" s="1545"/>
      <c r="J1682" s="472"/>
      <c r="K1682" s="569">
        <f ca="1">SUMIF($H$1681:$I$1681,"&lt;&gt;√",$H$1680:$I$1680)</f>
        <v>0</v>
      </c>
      <c r="L1682" s="2649" t="str">
        <f ca="1">IF(OR(K1682=0,K1682=""),"√","？")</f>
        <v>√</v>
      </c>
      <c r="M1682" s="472"/>
      <c r="N1682" s="472"/>
      <c r="O1682" s="472"/>
      <c r="P1682" s="442"/>
      <c r="Q1682" s="442"/>
      <c r="R1682" s="442"/>
      <c r="S1682" s="364"/>
      <c r="Z1682" s="609" t="s">
        <v>670</v>
      </c>
      <c r="AA1682" s="609" t="s">
        <v>5654</v>
      </c>
    </row>
    <row r="1683" spans="1:27" ht="18">
      <c r="A1683" s="2712"/>
      <c r="B1683" s="371"/>
      <c r="C1683" s="371" t="s">
        <v>2565</v>
      </c>
      <c r="D1683" s="371"/>
      <c r="F1683" s="294"/>
      <c r="G1683" s="354"/>
      <c r="H1683" s="461"/>
      <c r="I1683" s="1545"/>
      <c r="J1683" s="472"/>
      <c r="K1683" s="472"/>
      <c r="L1683" s="472"/>
      <c r="M1683" s="472"/>
      <c r="N1683" s="472"/>
      <c r="O1683" s="472"/>
      <c r="P1683" s="442"/>
      <c r="Q1683" s="442"/>
      <c r="R1683" s="442"/>
      <c r="S1683" s="364"/>
      <c r="Z1683" s="609" t="s">
        <v>670</v>
      </c>
      <c r="AA1683" s="609" t="s">
        <v>5654</v>
      </c>
    </row>
    <row r="1684" spans="1:27" ht="18">
      <c r="A1684" s="2712" t="s">
        <v>691</v>
      </c>
      <c r="B1684" s="371">
        <v>5</v>
      </c>
      <c r="C1684" s="371"/>
      <c r="D1684" s="2714" t="str">
        <f>VLOOKUP($A1684,Sheet_NoteList,2,0)</f>
        <v>开发成本</v>
      </c>
      <c r="E1684" s="2714" t="s">
        <v>6531</v>
      </c>
      <c r="F1684" s="294"/>
      <c r="G1684" s="307" t="str">
        <f>"("&amp;B1684&amp;")"&amp;D1684</f>
        <v>(5)开发成本</v>
      </c>
      <c r="H1684" s="1515" t="str">
        <f>$A1684</f>
        <v>1400d</v>
      </c>
      <c r="I1684" s="343" t="s">
        <v>5964</v>
      </c>
      <c r="J1684" s="301"/>
      <c r="K1684" s="3083"/>
      <c r="L1684" s="315"/>
      <c r="M1684" s="301"/>
      <c r="N1684" s="3083"/>
      <c r="O1684" s="315"/>
      <c r="P1684" s="301"/>
      <c r="Q1684" s="290" t="str">
        <f>IF($I1684="不适用","",IF(ROUND(SUM($H$1687:$M$1692),2)=0,"请输入",""))</f>
        <v>请输入</v>
      </c>
      <c r="S1684" s="364"/>
      <c r="Z1684" s="609" t="s">
        <v>670</v>
      </c>
      <c r="AA1684" s="609" t="s">
        <v>5654</v>
      </c>
    </row>
    <row r="1685" spans="1:27" ht="0.75" customHeight="1" thickBot="1">
      <c r="A1685" s="2712"/>
      <c r="B1685" s="371"/>
      <c r="C1685" s="371"/>
      <c r="D1685" s="371"/>
      <c r="F1685" s="294"/>
      <c r="G1685" s="294" t="s">
        <v>3237</v>
      </c>
      <c r="H1685" s="294" t="s">
        <v>3238</v>
      </c>
      <c r="I1685" s="294" t="s">
        <v>3239</v>
      </c>
      <c r="J1685" s="294" t="s">
        <v>3240</v>
      </c>
      <c r="K1685" s="294" t="s">
        <v>3241</v>
      </c>
      <c r="L1685" s="294" t="s">
        <v>3242</v>
      </c>
      <c r="M1685" s="363" t="s">
        <v>3243</v>
      </c>
      <c r="N1685" s="291"/>
      <c r="O1685" s="291"/>
      <c r="P1685" s="291"/>
      <c r="S1685" s="364"/>
      <c r="Z1685" s="609" t="s">
        <v>670</v>
      </c>
      <c r="AA1685" s="609" t="s">
        <v>5654</v>
      </c>
    </row>
    <row r="1686" spans="1:27" ht="18">
      <c r="A1686" s="2712"/>
      <c r="B1686" s="371"/>
      <c r="C1686" s="371"/>
      <c r="D1686" s="371"/>
      <c r="E1686" s="2714" t="s">
        <v>2749</v>
      </c>
      <c r="F1686" s="294"/>
      <c r="G1686" s="481" t="s">
        <v>1476</v>
      </c>
      <c r="H1686" s="488" t="s">
        <v>3244</v>
      </c>
      <c r="I1686" s="488" t="s">
        <v>3245</v>
      </c>
      <c r="J1686" s="488" t="s">
        <v>3246</v>
      </c>
      <c r="K1686" s="2577" t="s">
        <v>6128</v>
      </c>
      <c r="L1686" s="2578" t="s">
        <v>6129</v>
      </c>
      <c r="M1686" s="519" t="s">
        <v>3247</v>
      </c>
      <c r="N1686" s="291"/>
      <c r="O1686" s="291"/>
      <c r="P1686" s="291"/>
      <c r="Q1686" s="291"/>
      <c r="S1686" s="364"/>
      <c r="Z1686" s="609" t="s">
        <v>670</v>
      </c>
      <c r="AA1686" s="609" t="s">
        <v>5654</v>
      </c>
    </row>
    <row r="1687" spans="1:27" ht="18">
      <c r="A1687" s="2712"/>
      <c r="B1687" s="371">
        <v>101</v>
      </c>
      <c r="C1687" s="371" t="s">
        <v>2791</v>
      </c>
      <c r="D1687" s="2714">
        <f t="shared" ref="D1687:D1692" si="158">IF(OR(G1687="*",G1687="",G1687=0),0,COUNTIF($G$1687:$G$1692,G1687))</f>
        <v>0</v>
      </c>
      <c r="E1687" s="2719">
        <v>1</v>
      </c>
      <c r="F1687" s="294"/>
      <c r="G1687" s="409" t="s">
        <v>2792</v>
      </c>
      <c r="H1687" s="469"/>
      <c r="I1687" s="469"/>
      <c r="J1687" s="383"/>
      <c r="K1687" s="383"/>
      <c r="L1687" s="383"/>
      <c r="M1687" s="401"/>
      <c r="N1687" s="291"/>
      <c r="O1687" s="291"/>
      <c r="P1687" s="291"/>
      <c r="Q1687" s="291"/>
      <c r="S1687" s="364"/>
      <c r="Z1687" s="609" t="s">
        <v>670</v>
      </c>
      <c r="AA1687" s="609" t="s">
        <v>5654</v>
      </c>
    </row>
    <row r="1688" spans="1:27" ht="18">
      <c r="A1688" s="2712"/>
      <c r="B1688" s="371">
        <v>102</v>
      </c>
      <c r="C1688" s="371" t="s">
        <v>2791</v>
      </c>
      <c r="D1688" s="2714">
        <f t="shared" si="158"/>
        <v>0</v>
      </c>
      <c r="E1688" s="2719">
        <v>1</v>
      </c>
      <c r="F1688" s="294"/>
      <c r="G1688" s="409" t="s">
        <v>2792</v>
      </c>
      <c r="H1688" s="469"/>
      <c r="I1688" s="469"/>
      <c r="J1688" s="383"/>
      <c r="K1688" s="383"/>
      <c r="L1688" s="383"/>
      <c r="M1688" s="401"/>
      <c r="N1688" s="291"/>
      <c r="O1688" s="291"/>
      <c r="P1688" s="291"/>
      <c r="Q1688" s="291"/>
      <c r="S1688" s="364"/>
      <c r="Z1688" s="609" t="s">
        <v>670</v>
      </c>
      <c r="AA1688" s="609" t="s">
        <v>5654</v>
      </c>
    </row>
    <row r="1689" spans="1:27" ht="18">
      <c r="A1689" s="2712"/>
      <c r="B1689" s="371">
        <v>103</v>
      </c>
      <c r="C1689" s="371" t="s">
        <v>2791</v>
      </c>
      <c r="D1689" s="2714">
        <f t="shared" si="158"/>
        <v>0</v>
      </c>
      <c r="E1689" s="2719">
        <v>1</v>
      </c>
      <c r="F1689" s="294"/>
      <c r="G1689" s="409" t="s">
        <v>2792</v>
      </c>
      <c r="H1689" s="469"/>
      <c r="I1689" s="469"/>
      <c r="J1689" s="383"/>
      <c r="K1689" s="383"/>
      <c r="L1689" s="383"/>
      <c r="M1689" s="401"/>
      <c r="N1689" s="291"/>
      <c r="O1689" s="291"/>
      <c r="P1689" s="291"/>
      <c r="Q1689" s="291"/>
      <c r="S1689" s="364"/>
      <c r="Z1689" s="609" t="s">
        <v>670</v>
      </c>
      <c r="AA1689" s="609" t="s">
        <v>5654</v>
      </c>
    </row>
    <row r="1690" spans="1:27" ht="18">
      <c r="A1690" s="2712"/>
      <c r="B1690" s="371">
        <v>104</v>
      </c>
      <c r="C1690" s="371" t="s">
        <v>2791</v>
      </c>
      <c r="D1690" s="2714">
        <f t="shared" si="158"/>
        <v>0</v>
      </c>
      <c r="E1690" s="2719">
        <v>1</v>
      </c>
      <c r="F1690" s="294"/>
      <c r="G1690" s="409" t="s">
        <v>2792</v>
      </c>
      <c r="H1690" s="469"/>
      <c r="I1690" s="469"/>
      <c r="J1690" s="383"/>
      <c r="K1690" s="383"/>
      <c r="L1690" s="383"/>
      <c r="M1690" s="401"/>
      <c r="N1690" s="291"/>
      <c r="O1690" s="291"/>
      <c r="P1690" s="291"/>
      <c r="Q1690" s="291"/>
      <c r="S1690" s="364"/>
      <c r="Z1690" s="609" t="s">
        <v>670</v>
      </c>
      <c r="AA1690" s="609" t="s">
        <v>5654</v>
      </c>
    </row>
    <row r="1691" spans="1:27" ht="18">
      <c r="A1691" s="2712"/>
      <c r="B1691" s="371">
        <v>105</v>
      </c>
      <c r="C1691" s="371" t="s">
        <v>2791</v>
      </c>
      <c r="D1691" s="2714">
        <f t="shared" si="158"/>
        <v>0</v>
      </c>
      <c r="E1691" s="2719">
        <v>1</v>
      </c>
      <c r="F1691" s="294"/>
      <c r="G1691" s="409" t="s">
        <v>2792</v>
      </c>
      <c r="H1691" s="469"/>
      <c r="I1691" s="469"/>
      <c r="J1691" s="383"/>
      <c r="K1691" s="383"/>
      <c r="L1691" s="383"/>
      <c r="M1691" s="401"/>
      <c r="N1691" s="291"/>
      <c r="O1691" s="291"/>
      <c r="P1691" s="291"/>
      <c r="Q1691" s="291"/>
      <c r="S1691" s="364"/>
      <c r="Z1691" s="609" t="s">
        <v>670</v>
      </c>
      <c r="AA1691" s="609" t="s">
        <v>5654</v>
      </c>
    </row>
    <row r="1692" spans="1:27" ht="18.75" thickBot="1">
      <c r="A1692" s="2712"/>
      <c r="B1692" s="371"/>
      <c r="C1692" s="371"/>
      <c r="D1692" s="2714">
        <f t="shared" si="158"/>
        <v>1</v>
      </c>
      <c r="E1692" s="2719" t="s">
        <v>3032</v>
      </c>
      <c r="F1692" s="294"/>
      <c r="G1692" s="452" t="s">
        <v>2752</v>
      </c>
      <c r="H1692" s="490"/>
      <c r="I1692" s="490"/>
      <c r="J1692" s="453">
        <f>SUMPRODUCT($E1686:$E1691,J1686:J1691)</f>
        <v>0</v>
      </c>
      <c r="K1692" s="453">
        <f>SUMPRODUCT($E1686:$E1691,K1686:K1691)</f>
        <v>0</v>
      </c>
      <c r="L1692" s="2579">
        <f>SUMPRODUCT($E1686:$E1691,L1686:L1691)</f>
        <v>0</v>
      </c>
      <c r="M1692" s="471">
        <f>SUMPRODUCT($E1686:$E1691,M1686:M1691)</f>
        <v>0</v>
      </c>
      <c r="N1692" s="291"/>
      <c r="O1692" s="291"/>
      <c r="P1692" s="291"/>
      <c r="Q1692" s="291"/>
      <c r="S1692" s="364"/>
      <c r="Z1692" s="609" t="s">
        <v>670</v>
      </c>
      <c r="AA1692" s="609" t="s">
        <v>5654</v>
      </c>
    </row>
    <row r="1693" spans="1:27" ht="18.75" thickBot="1">
      <c r="A1693" s="2712"/>
      <c r="B1693" s="371"/>
      <c r="C1693" s="371" t="s">
        <v>2755</v>
      </c>
      <c r="D1693" s="371"/>
      <c r="F1693" s="294"/>
      <c r="G1693" s="301"/>
      <c r="H1693" s="350"/>
      <c r="I1693" s="350"/>
      <c r="J1693" s="349"/>
      <c r="K1693" s="484" t="s">
        <v>3002</v>
      </c>
      <c r="L1693" s="484" t="s">
        <v>3002</v>
      </c>
      <c r="M1693" s="484" t="s">
        <v>3002</v>
      </c>
      <c r="N1693" s="291"/>
      <c r="O1693" s="291"/>
      <c r="P1693" s="291"/>
      <c r="Q1693" s="291"/>
      <c r="S1693" s="364"/>
      <c r="Z1693" s="609" t="s">
        <v>670</v>
      </c>
      <c r="AA1693" s="609" t="s">
        <v>5654</v>
      </c>
    </row>
    <row r="1694" spans="1:27" ht="18.75" thickTop="1">
      <c r="A1694" s="2712"/>
      <c r="B1694" s="371"/>
      <c r="C1694" s="371" t="s">
        <v>2565</v>
      </c>
      <c r="D1694" s="371"/>
      <c r="F1694" s="294"/>
      <c r="G1694" s="1559" t="s">
        <v>5365</v>
      </c>
      <c r="H1694" s="1548" t="str">
        <f>G1619</f>
        <v>(1)存货分类列示</v>
      </c>
      <c r="I1694" s="1549"/>
      <c r="J1694" s="1549"/>
      <c r="K1694" s="1550"/>
      <c r="L1694" s="1550"/>
      <c r="M1694" s="1550"/>
      <c r="N1694" s="1551" t="s">
        <v>5366</v>
      </c>
      <c r="O1694" s="291"/>
      <c r="P1694" s="291"/>
      <c r="Q1694" s="291"/>
      <c r="S1694" s="364"/>
      <c r="Z1694" s="609" t="s">
        <v>670</v>
      </c>
      <c r="AA1694" s="609" t="s">
        <v>5654</v>
      </c>
    </row>
    <row r="1695" spans="1:27" ht="18">
      <c r="A1695" s="2712"/>
      <c r="B1695" s="371"/>
      <c r="C1695" s="371" t="s">
        <v>2565</v>
      </c>
      <c r="D1695" s="371"/>
      <c r="F1695" s="294"/>
      <c r="G1695" s="316" t="str">
        <f>"注释A:"&amp; G1630</f>
        <v>注释A:开发成本</v>
      </c>
      <c r="H1695" s="351"/>
      <c r="I1695" s="351"/>
      <c r="J1695" s="351"/>
      <c r="K1695" s="2250">
        <f ca="1">HYPERLINK("#'"&amp;$G$1&amp;"'!"&amp;ADDRESS(ROW(Notes!H1630),COLUMN(Notes!H1630),4),H1630)</f>
        <v>0</v>
      </c>
      <c r="L1695" s="2250">
        <f ca="1">HYPERLINK("#'"&amp;$G$1&amp;"'!"&amp;ADDRESS(ROW(Notes!K1630),COLUMN(Notes!K1630),4),K1630)</f>
        <v>0</v>
      </c>
      <c r="M1695" s="2250">
        <f ca="1">HYPERLINK("#'"&amp;$G$1&amp;"'!"&amp;ADDRESS(ROW(Notes!I1630),COLUMN(Notes!I1630),4),I1630)</f>
        <v>0</v>
      </c>
      <c r="N1695" s="2630" t="str">
        <f>H1619</f>
        <v>1400a</v>
      </c>
      <c r="O1695" s="291"/>
      <c r="P1695" s="291"/>
      <c r="Q1695" s="291"/>
      <c r="S1695" s="364"/>
      <c r="Z1695" s="609" t="s">
        <v>670</v>
      </c>
      <c r="AA1695" s="609" t="s">
        <v>5654</v>
      </c>
    </row>
    <row r="1696" spans="1:27" ht="18">
      <c r="A1696" s="2712"/>
      <c r="B1696" s="371"/>
      <c r="C1696" s="371" t="s">
        <v>2565</v>
      </c>
      <c r="D1696" s="371"/>
      <c r="F1696" s="294"/>
      <c r="G1696" s="316" t="str">
        <f>"本注释B:"&amp; G1692</f>
        <v>本注释B:合       计</v>
      </c>
      <c r="H1696" s="351"/>
      <c r="I1696" s="351"/>
      <c r="J1696" s="351"/>
      <c r="K1696" s="456">
        <f>K1692</f>
        <v>0</v>
      </c>
      <c r="L1696" s="456">
        <f t="shared" ref="L1696:M1696" si="159">L1692</f>
        <v>0</v>
      </c>
      <c r="M1696" s="456">
        <f t="shared" si="159"/>
        <v>0</v>
      </c>
      <c r="N1696" s="2636" t="s">
        <v>691</v>
      </c>
      <c r="O1696" s="291"/>
      <c r="P1696" s="291"/>
      <c r="Q1696" s="291"/>
      <c r="S1696" s="364"/>
      <c r="Z1696" s="609" t="s">
        <v>670</v>
      </c>
      <c r="AA1696" s="609" t="s">
        <v>5654</v>
      </c>
    </row>
    <row r="1697" spans="1:27" ht="18.75" thickBot="1">
      <c r="A1697" s="2712"/>
      <c r="B1697" s="371"/>
      <c r="C1697" s="371" t="s">
        <v>2565</v>
      </c>
      <c r="D1697" s="371"/>
      <c r="F1697" s="294"/>
      <c r="G1697" s="1560" t="s">
        <v>2757</v>
      </c>
      <c r="H1697" s="1553"/>
      <c r="I1697" s="1553"/>
      <c r="J1697" s="1553"/>
      <c r="K1697" s="1529">
        <f ca="1">IF(AND(K1695="",K1696=""),"",ROUND(K1695-K1696,2))</f>
        <v>0</v>
      </c>
      <c r="L1697" s="1529">
        <f ca="1">IF(AND(L1695="",L1696=""),"",ROUND(L1695-L1696,2))</f>
        <v>0</v>
      </c>
      <c r="M1697" s="1529">
        <f ca="1">IF(AND(M1695="",M1696=""),"",ROUND(M1695-M1696,2))</f>
        <v>0</v>
      </c>
      <c r="N1697" s="1553"/>
      <c r="O1697" s="291"/>
      <c r="P1697" s="291"/>
      <c r="Q1697" s="291"/>
      <c r="S1697" s="364"/>
      <c r="Z1697" s="609" t="s">
        <v>670</v>
      </c>
      <c r="AA1697" s="609" t="s">
        <v>5654</v>
      </c>
    </row>
    <row r="1698" spans="1:27" ht="18.75" thickTop="1">
      <c r="A1698" s="2712"/>
      <c r="B1698" s="371"/>
      <c r="C1698" s="371" t="s">
        <v>2565</v>
      </c>
      <c r="D1698" s="371"/>
      <c r="F1698" s="294"/>
      <c r="G1698" s="354"/>
      <c r="H1698" s="317"/>
      <c r="I1698" s="317"/>
      <c r="J1698" s="317"/>
      <c r="K1698" s="459" t="str">
        <f ca="1">IF(OR(K1697=0,K1697=""),"√","？")</f>
        <v>√</v>
      </c>
      <c r="L1698" s="459" t="str">
        <f ca="1">IF(OR(L1697=0,L1697=""),"√","？")</f>
        <v>√</v>
      </c>
      <c r="M1698" s="459" t="str">
        <f ca="1">IF(OR(M1697=0,M1697=""),"√","？")</f>
        <v>√</v>
      </c>
      <c r="N1698" s="354"/>
      <c r="O1698" s="291"/>
      <c r="P1698" s="291"/>
      <c r="Q1698" s="291"/>
      <c r="S1698" s="364"/>
      <c r="Z1698" s="609" t="s">
        <v>670</v>
      </c>
      <c r="AA1698" s="609" t="s">
        <v>5654</v>
      </c>
    </row>
    <row r="1699" spans="1:27" ht="18">
      <c r="A1699" s="2712"/>
      <c r="B1699" s="371"/>
      <c r="C1699" s="371" t="s">
        <v>2565</v>
      </c>
      <c r="D1699" s="371"/>
      <c r="F1699" s="294"/>
      <c r="G1699" s="460" t="s">
        <v>2759</v>
      </c>
      <c r="H1699" s="317"/>
      <c r="I1699" s="317"/>
      <c r="J1699" s="317"/>
      <c r="K1699" s="605">
        <f ca="1">SUMIF($H$1698:$N$1698,"&lt;&gt;√",$H$1697:$N$1697)</f>
        <v>0</v>
      </c>
      <c r="L1699" s="353" t="str">
        <f ca="1">IF(OR(K1699=0,K1699=""),"√","？")</f>
        <v>√</v>
      </c>
      <c r="M1699" s="461"/>
      <c r="N1699" s="354"/>
      <c r="O1699" s="291"/>
      <c r="P1699" s="291"/>
      <c r="Q1699" s="291"/>
      <c r="S1699" s="364"/>
      <c r="Z1699" s="609" t="s">
        <v>670</v>
      </c>
      <c r="AA1699" s="609" t="s">
        <v>5654</v>
      </c>
    </row>
    <row r="1700" spans="1:27" ht="18">
      <c r="A1700" s="2712"/>
      <c r="B1700" s="371"/>
      <c r="C1700" s="371" t="s">
        <v>2565</v>
      </c>
      <c r="D1700" s="371"/>
      <c r="F1700" s="294"/>
      <c r="G1700" s="354"/>
      <c r="H1700" s="317"/>
      <c r="I1700" s="317"/>
      <c r="J1700" s="317"/>
      <c r="K1700" s="461"/>
      <c r="L1700" s="461"/>
      <c r="M1700" s="461"/>
      <c r="N1700" s="354"/>
      <c r="O1700" s="291"/>
      <c r="P1700" s="291"/>
      <c r="Q1700" s="291"/>
      <c r="S1700" s="364"/>
      <c r="Z1700" s="609" t="s">
        <v>670</v>
      </c>
      <c r="AA1700" s="609" t="s">
        <v>5654</v>
      </c>
    </row>
    <row r="1701" spans="1:27" ht="18">
      <c r="A1701" s="2712" t="s">
        <v>695</v>
      </c>
      <c r="B1701" s="371">
        <v>6</v>
      </c>
      <c r="C1701" s="371"/>
      <c r="D1701" s="2714" t="str">
        <f>VLOOKUP($A1701,Sheet_NoteList,2,0)</f>
        <v>开发产品</v>
      </c>
      <c r="E1701" s="2714" t="s">
        <v>6531</v>
      </c>
      <c r="F1701" s="294"/>
      <c r="G1701" s="307" t="str">
        <f>"("&amp;B1701&amp;")"&amp;D1701</f>
        <v>(6)开发产品</v>
      </c>
      <c r="H1701" s="1515" t="str">
        <f>$A1701</f>
        <v>1400e</v>
      </c>
      <c r="I1701" s="343" t="s">
        <v>5964</v>
      </c>
      <c r="J1701" s="301"/>
      <c r="K1701" s="3083"/>
      <c r="L1701" s="315"/>
      <c r="M1701" s="301"/>
      <c r="N1701" s="3083"/>
      <c r="O1701" s="315"/>
      <c r="P1701" s="301"/>
      <c r="Q1701" s="290" t="str">
        <f>IF($I1701="不适用","",IF(ROUND(SUM($H$1704:$M$1709),2)=0,"请输入",""))</f>
        <v>请输入</v>
      </c>
      <c r="S1701" s="364"/>
      <c r="Z1701" s="609" t="s">
        <v>670</v>
      </c>
      <c r="AA1701" s="609" t="s">
        <v>5654</v>
      </c>
    </row>
    <row r="1702" spans="1:27" ht="0.75" customHeight="1" thickBot="1">
      <c r="A1702" s="2712"/>
      <c r="B1702" s="371"/>
      <c r="C1702" s="371"/>
      <c r="D1702" s="371"/>
      <c r="F1702" s="294"/>
      <c r="G1702" s="294" t="s">
        <v>3248</v>
      </c>
      <c r="H1702" s="294" t="s">
        <v>3249</v>
      </c>
      <c r="I1702" s="294" t="s">
        <v>2748</v>
      </c>
      <c r="J1702" s="294" t="s">
        <v>3250</v>
      </c>
      <c r="K1702" s="294" t="s">
        <v>3251</v>
      </c>
      <c r="L1702" s="294" t="s">
        <v>3252</v>
      </c>
      <c r="M1702" s="363" t="s">
        <v>3243</v>
      </c>
      <c r="N1702" s="291"/>
      <c r="O1702" s="291"/>
      <c r="P1702" s="291"/>
      <c r="S1702" s="364"/>
      <c r="Z1702" s="609" t="s">
        <v>670</v>
      </c>
      <c r="AA1702" s="609" t="s">
        <v>5654</v>
      </c>
    </row>
    <row r="1703" spans="1:27" ht="18">
      <c r="A1703" s="2712"/>
      <c r="B1703" s="371"/>
      <c r="C1703" s="371"/>
      <c r="D1703" s="371"/>
      <c r="E1703" s="2714" t="s">
        <v>2749</v>
      </c>
      <c r="F1703" s="294"/>
      <c r="G1703" s="481" t="s">
        <v>1476</v>
      </c>
      <c r="H1703" s="488" t="s">
        <v>3253</v>
      </c>
      <c r="I1703" s="2577" t="s">
        <v>6129</v>
      </c>
      <c r="J1703" s="488" t="s">
        <v>3027</v>
      </c>
      <c r="K1703" s="488" t="s">
        <v>3028</v>
      </c>
      <c r="L1703" s="2577" t="s">
        <v>6128</v>
      </c>
      <c r="M1703" s="519" t="s">
        <v>3247</v>
      </c>
      <c r="N1703" s="291"/>
      <c r="O1703" s="291"/>
      <c r="P1703" s="291"/>
      <c r="S1703" s="364"/>
      <c r="Z1703" s="609" t="s">
        <v>670</v>
      </c>
      <c r="AA1703" s="609" t="s">
        <v>5654</v>
      </c>
    </row>
    <row r="1704" spans="1:27" ht="18">
      <c r="A1704" s="2712"/>
      <c r="B1704" s="371">
        <v>101</v>
      </c>
      <c r="C1704" s="371" t="s">
        <v>2791</v>
      </c>
      <c r="D1704" s="2714">
        <f t="shared" ref="D1704:D1709" si="160">IF(OR(G1704="*",G1704="",G1704=0),0,COUNTIF($G$1704:$G$1709,G1704))</f>
        <v>0</v>
      </c>
      <c r="E1704" s="2719">
        <v>1</v>
      </c>
      <c r="F1704" s="294"/>
      <c r="G1704" s="409" t="s">
        <v>2792</v>
      </c>
      <c r="H1704" s="469"/>
      <c r="I1704" s="383"/>
      <c r="J1704" s="383"/>
      <c r="K1704" s="383"/>
      <c r="L1704" s="491">
        <f>I1704+J1704-K1704</f>
        <v>0</v>
      </c>
      <c r="M1704" s="401"/>
      <c r="N1704" s="291"/>
      <c r="O1704" s="291"/>
      <c r="P1704" s="291"/>
      <c r="S1704" s="364"/>
      <c r="Z1704" s="609" t="s">
        <v>670</v>
      </c>
      <c r="AA1704" s="609" t="s">
        <v>5654</v>
      </c>
    </row>
    <row r="1705" spans="1:27" ht="18">
      <c r="A1705" s="2712"/>
      <c r="B1705" s="371">
        <v>102</v>
      </c>
      <c r="C1705" s="371" t="s">
        <v>2791</v>
      </c>
      <c r="D1705" s="2714">
        <f t="shared" si="160"/>
        <v>0</v>
      </c>
      <c r="E1705" s="2719">
        <v>1</v>
      </c>
      <c r="F1705" s="294"/>
      <c r="G1705" s="409" t="s">
        <v>2792</v>
      </c>
      <c r="H1705" s="469"/>
      <c r="I1705" s="383"/>
      <c r="J1705" s="383"/>
      <c r="K1705" s="383"/>
      <c r="L1705" s="491">
        <f>I1705+J1705-K1705</f>
        <v>0</v>
      </c>
      <c r="M1705" s="401"/>
      <c r="N1705" s="291"/>
      <c r="O1705" s="291"/>
      <c r="P1705" s="291"/>
      <c r="S1705" s="364"/>
      <c r="Z1705" s="609" t="s">
        <v>670</v>
      </c>
      <c r="AA1705" s="609" t="s">
        <v>5654</v>
      </c>
    </row>
    <row r="1706" spans="1:27" ht="18">
      <c r="A1706" s="2712"/>
      <c r="B1706" s="371">
        <v>103</v>
      </c>
      <c r="C1706" s="371" t="s">
        <v>2791</v>
      </c>
      <c r="D1706" s="2714">
        <f t="shared" si="160"/>
        <v>0</v>
      </c>
      <c r="E1706" s="2719">
        <v>1</v>
      </c>
      <c r="F1706" s="294"/>
      <c r="G1706" s="409" t="s">
        <v>2792</v>
      </c>
      <c r="H1706" s="469"/>
      <c r="I1706" s="383"/>
      <c r="J1706" s="383"/>
      <c r="K1706" s="383"/>
      <c r="L1706" s="491">
        <f>I1706+J1706-K1706</f>
        <v>0</v>
      </c>
      <c r="M1706" s="401"/>
      <c r="N1706" s="291"/>
      <c r="O1706" s="291"/>
      <c r="P1706" s="291"/>
      <c r="S1706" s="364"/>
      <c r="Z1706" s="609" t="s">
        <v>670</v>
      </c>
      <c r="AA1706" s="609" t="s">
        <v>5654</v>
      </c>
    </row>
    <row r="1707" spans="1:27" ht="18">
      <c r="A1707" s="2712"/>
      <c r="B1707" s="371">
        <v>104</v>
      </c>
      <c r="C1707" s="371" t="s">
        <v>2791</v>
      </c>
      <c r="D1707" s="2714">
        <f t="shared" si="160"/>
        <v>0</v>
      </c>
      <c r="E1707" s="2719">
        <v>1</v>
      </c>
      <c r="F1707" s="294"/>
      <c r="G1707" s="409" t="s">
        <v>2792</v>
      </c>
      <c r="H1707" s="469"/>
      <c r="I1707" s="383"/>
      <c r="J1707" s="383"/>
      <c r="K1707" s="383"/>
      <c r="L1707" s="491">
        <f>I1707+J1707-K1707</f>
        <v>0</v>
      </c>
      <c r="M1707" s="401"/>
      <c r="N1707" s="291"/>
      <c r="O1707" s="291"/>
      <c r="P1707" s="291"/>
      <c r="S1707" s="364"/>
      <c r="Z1707" s="609" t="s">
        <v>670</v>
      </c>
      <c r="AA1707" s="609" t="s">
        <v>5654</v>
      </c>
    </row>
    <row r="1708" spans="1:27" ht="18">
      <c r="A1708" s="2712"/>
      <c r="B1708" s="371">
        <v>105</v>
      </c>
      <c r="C1708" s="371" t="s">
        <v>2791</v>
      </c>
      <c r="D1708" s="2714">
        <f t="shared" si="160"/>
        <v>0</v>
      </c>
      <c r="E1708" s="2719">
        <v>1</v>
      </c>
      <c r="F1708" s="294"/>
      <c r="G1708" s="409" t="s">
        <v>2792</v>
      </c>
      <c r="H1708" s="469"/>
      <c r="I1708" s="383"/>
      <c r="J1708" s="383"/>
      <c r="K1708" s="383"/>
      <c r="L1708" s="491">
        <f>I1708+J1708-K1708</f>
        <v>0</v>
      </c>
      <c r="M1708" s="401"/>
      <c r="N1708" s="291"/>
      <c r="O1708" s="291"/>
      <c r="P1708" s="291"/>
      <c r="S1708" s="364"/>
      <c r="Z1708" s="609" t="s">
        <v>670</v>
      </c>
      <c r="AA1708" s="609" t="s">
        <v>5654</v>
      </c>
    </row>
    <row r="1709" spans="1:27" ht="18.75" thickBot="1">
      <c r="A1709" s="2712"/>
      <c r="B1709" s="371"/>
      <c r="C1709" s="371"/>
      <c r="D1709" s="2714">
        <f t="shared" si="160"/>
        <v>1</v>
      </c>
      <c r="E1709" s="2719" t="s">
        <v>3032</v>
      </c>
      <c r="F1709" s="294"/>
      <c r="G1709" s="452" t="s">
        <v>2752</v>
      </c>
      <c r="H1709" s="490"/>
      <c r="I1709" s="453">
        <f>SUMPRODUCT($E1703:$E1708,I1703:I1708)</f>
        <v>0</v>
      </c>
      <c r="J1709" s="453">
        <f>SUMPRODUCT($E1703:$E1708,J1703:J1708)</f>
        <v>0</v>
      </c>
      <c r="K1709" s="453">
        <f>SUMPRODUCT($E1703:$E1708,K1703:K1708)</f>
        <v>0</v>
      </c>
      <c r="L1709" s="453">
        <f>SUMPRODUCT($E1703:$E1708,L1703:L1708)</f>
        <v>0</v>
      </c>
      <c r="M1709" s="471">
        <f>SUMPRODUCT($E1703:$E1708,M1703:M1708)</f>
        <v>0</v>
      </c>
      <c r="N1709" s="291"/>
      <c r="O1709" s="291"/>
      <c r="P1709" s="291"/>
      <c r="S1709" s="364"/>
      <c r="Z1709" s="609" t="s">
        <v>670</v>
      </c>
      <c r="AA1709" s="609" t="s">
        <v>5654</v>
      </c>
    </row>
    <row r="1710" spans="1:27" ht="18.75" thickBot="1">
      <c r="A1710" s="2712"/>
      <c r="B1710" s="371"/>
      <c r="C1710" s="371" t="s">
        <v>2755</v>
      </c>
      <c r="D1710" s="371"/>
      <c r="F1710" s="294"/>
      <c r="G1710" s="301"/>
      <c r="H1710" s="350"/>
      <c r="I1710" s="484" t="s">
        <v>3002</v>
      </c>
      <c r="J1710" s="349"/>
      <c r="K1710" s="349"/>
      <c r="L1710" s="484" t="s">
        <v>3002</v>
      </c>
      <c r="M1710" s="484" t="s">
        <v>3002</v>
      </c>
      <c r="N1710" s="291"/>
      <c r="O1710" s="291"/>
      <c r="P1710" s="291"/>
      <c r="S1710" s="364"/>
      <c r="Z1710" s="609" t="s">
        <v>670</v>
      </c>
      <c r="AA1710" s="609" t="s">
        <v>5654</v>
      </c>
    </row>
    <row r="1711" spans="1:27" ht="18.75" thickTop="1">
      <c r="A1711" s="2712"/>
      <c r="B1711" s="371"/>
      <c r="C1711" s="371" t="s">
        <v>2565</v>
      </c>
      <c r="D1711" s="371"/>
      <c r="F1711" s="294"/>
      <c r="G1711" s="1559" t="s">
        <v>5365</v>
      </c>
      <c r="H1711" s="1548" t="str">
        <f>G1619</f>
        <v>(1)存货分类列示</v>
      </c>
      <c r="I1711" s="1550"/>
      <c r="J1711" s="1549"/>
      <c r="K1711" s="1549"/>
      <c r="L1711" s="1550"/>
      <c r="M1711" s="1550"/>
      <c r="N1711" s="1551" t="s">
        <v>5366</v>
      </c>
      <c r="O1711" s="291"/>
      <c r="P1711" s="291"/>
      <c r="S1711" s="364"/>
      <c r="Z1711" s="609" t="s">
        <v>670</v>
      </c>
      <c r="AA1711" s="609" t="s">
        <v>5654</v>
      </c>
    </row>
    <row r="1712" spans="1:27" ht="18">
      <c r="A1712" s="2712"/>
      <c r="B1712" s="371"/>
      <c r="C1712" s="371" t="s">
        <v>2565</v>
      </c>
      <c r="D1712" s="371"/>
      <c r="F1712" s="294"/>
      <c r="G1712" s="316" t="str">
        <f>"注释A:"&amp; G1631</f>
        <v>注释A:开发产品</v>
      </c>
      <c r="H1712" s="351"/>
      <c r="I1712" s="2250">
        <f ca="1">HYPERLINK("#'"&amp;$G$1&amp;"'!"&amp;ADDRESS(ROW(Notes!K1631),COLUMN(Notes!K1631),4),K1631)</f>
        <v>0</v>
      </c>
      <c r="J1712" s="351"/>
      <c r="K1712" s="351"/>
      <c r="L1712" s="2250">
        <f ca="1">HYPERLINK("#'"&amp;$G$1&amp;"'!"&amp;ADDRESS(ROW(Notes!H1631),COLUMN(Notes!H1631),4),H1631)</f>
        <v>0</v>
      </c>
      <c r="M1712" s="2250">
        <f ca="1">HYPERLINK("#'"&amp;$G$1&amp;"'!"&amp;ADDRESS(ROW(Notes!I1631),COLUMN(Notes!I1631),4),I1631)</f>
        <v>0</v>
      </c>
      <c r="N1712" s="2630" t="str">
        <f>H1619</f>
        <v>1400a</v>
      </c>
      <c r="O1712" s="291"/>
      <c r="P1712" s="291"/>
      <c r="S1712" s="364"/>
      <c r="Z1712" s="609" t="s">
        <v>670</v>
      </c>
      <c r="AA1712" s="609" t="s">
        <v>5654</v>
      </c>
    </row>
    <row r="1713" spans="1:27" ht="18">
      <c r="A1713" s="2712"/>
      <c r="B1713" s="371"/>
      <c r="C1713" s="371" t="s">
        <v>2565</v>
      </c>
      <c r="D1713" s="371"/>
      <c r="F1713" s="294"/>
      <c r="G1713" s="316" t="str">
        <f>"本注释B:"&amp; G1709</f>
        <v>本注释B:合       计</v>
      </c>
      <c r="H1713" s="351"/>
      <c r="I1713" s="456">
        <f>I1709</f>
        <v>0</v>
      </c>
      <c r="J1713" s="351"/>
      <c r="K1713" s="351"/>
      <c r="L1713" s="456">
        <f>L1709</f>
        <v>0</v>
      </c>
      <c r="M1713" s="456">
        <f>M1709</f>
        <v>0</v>
      </c>
      <c r="N1713" s="2636" t="s">
        <v>695</v>
      </c>
      <c r="O1713" s="291"/>
      <c r="P1713" s="291"/>
      <c r="S1713" s="364"/>
      <c r="Z1713" s="609" t="s">
        <v>670</v>
      </c>
      <c r="AA1713" s="609" t="s">
        <v>5654</v>
      </c>
    </row>
    <row r="1714" spans="1:27" ht="18.75" thickBot="1">
      <c r="A1714" s="2712"/>
      <c r="B1714" s="371"/>
      <c r="C1714" s="371" t="s">
        <v>2565</v>
      </c>
      <c r="D1714" s="371"/>
      <c r="F1714" s="294"/>
      <c r="G1714" s="1560" t="s">
        <v>2757</v>
      </c>
      <c r="H1714" s="1553"/>
      <c r="I1714" s="1529">
        <f ca="1">IF(AND(I1712="",I1713=""),"",ROUND(I1712-I1713,2))</f>
        <v>0</v>
      </c>
      <c r="J1714" s="1553"/>
      <c r="K1714" s="1553"/>
      <c r="L1714" s="1529">
        <f ca="1">IF(AND(L1712="",L1713=""),"",ROUND(L1712-L1713,2))</f>
        <v>0</v>
      </c>
      <c r="M1714" s="1529">
        <f ca="1">IF(AND(M1712="",M1713=""),"",ROUND(M1712-M1713,2))</f>
        <v>0</v>
      </c>
      <c r="N1714" s="1553"/>
      <c r="O1714" s="291"/>
      <c r="P1714" s="291"/>
      <c r="S1714" s="364"/>
      <c r="Z1714" s="609" t="s">
        <v>670</v>
      </c>
      <c r="AA1714" s="609" t="s">
        <v>5654</v>
      </c>
    </row>
    <row r="1715" spans="1:27" ht="18.75" thickTop="1">
      <c r="A1715" s="2712"/>
      <c r="B1715" s="371"/>
      <c r="C1715" s="371" t="s">
        <v>2565</v>
      </c>
      <c r="D1715" s="371"/>
      <c r="F1715" s="294"/>
      <c r="G1715" s="354"/>
      <c r="H1715" s="317"/>
      <c r="I1715" s="459" t="str">
        <f ca="1">IF(OR(I1714=0,I1714=""),"√","？")</f>
        <v>√</v>
      </c>
      <c r="J1715" s="317"/>
      <c r="K1715" s="317"/>
      <c r="L1715" s="459" t="str">
        <f ca="1">IF(OR(L1714=0,L1714=""),"√","？")</f>
        <v>√</v>
      </c>
      <c r="M1715" s="459" t="str">
        <f ca="1">IF(OR(M1714=0,M1714=""),"√","？")</f>
        <v>√</v>
      </c>
      <c r="N1715" s="354"/>
      <c r="O1715" s="291"/>
      <c r="P1715" s="291"/>
      <c r="S1715" s="364"/>
      <c r="Z1715" s="609" t="s">
        <v>670</v>
      </c>
      <c r="AA1715" s="609" t="s">
        <v>5654</v>
      </c>
    </row>
    <row r="1716" spans="1:27" ht="18">
      <c r="A1716" s="2712"/>
      <c r="B1716" s="371"/>
      <c r="C1716" s="371" t="s">
        <v>2565</v>
      </c>
      <c r="D1716" s="371"/>
      <c r="F1716" s="294"/>
      <c r="G1716" s="460" t="s">
        <v>2759</v>
      </c>
      <c r="H1716" s="317"/>
      <c r="I1716" s="461"/>
      <c r="J1716" s="317"/>
      <c r="K1716" s="352">
        <f ca="1">SUMIF($H$1715:$N$1715,"&lt;&gt;√",$H$1714:$N$1714)</f>
        <v>0</v>
      </c>
      <c r="L1716" s="353" t="str">
        <f ca="1">IF(OR(K1716=0,K1716=""),"√","？")</f>
        <v>√</v>
      </c>
      <c r="M1716" s="461"/>
      <c r="N1716" s="354"/>
      <c r="O1716" s="291"/>
      <c r="P1716" s="291"/>
      <c r="S1716" s="364"/>
      <c r="Z1716" s="609" t="s">
        <v>670</v>
      </c>
      <c r="AA1716" s="609" t="s">
        <v>5654</v>
      </c>
    </row>
    <row r="1717" spans="1:27" ht="18">
      <c r="A1717" s="2712"/>
      <c r="B1717" s="371"/>
      <c r="C1717" s="371" t="s">
        <v>2565</v>
      </c>
      <c r="D1717" s="371"/>
      <c r="F1717" s="294"/>
      <c r="G1717" s="354"/>
      <c r="H1717" s="317"/>
      <c r="I1717" s="461"/>
      <c r="J1717" s="317"/>
      <c r="K1717" s="317"/>
      <c r="L1717" s="461"/>
      <c r="M1717" s="461"/>
      <c r="N1717" s="354"/>
      <c r="O1717" s="291"/>
      <c r="P1717" s="291"/>
      <c r="S1717" s="364"/>
      <c r="Z1717" s="609" t="s">
        <v>670</v>
      </c>
      <c r="AA1717" s="609" t="s">
        <v>5654</v>
      </c>
    </row>
    <row r="1718" spans="1:27" ht="18">
      <c r="A1718" s="2712" t="s">
        <v>699</v>
      </c>
      <c r="B1718" s="371">
        <v>7</v>
      </c>
      <c r="C1718" s="371"/>
      <c r="D1718" s="2714" t="str">
        <f>VLOOKUP($A1718,Sheet_NoteList,2,0)</f>
        <v>周转房</v>
      </c>
      <c r="E1718" s="2714" t="s">
        <v>6531</v>
      </c>
      <c r="F1718" s="294"/>
      <c r="G1718" s="307" t="str">
        <f>"("&amp;B1718&amp;")"&amp;D1718</f>
        <v>(7)周转房</v>
      </c>
      <c r="H1718" s="1515" t="str">
        <f>$A1718</f>
        <v>1400g</v>
      </c>
      <c r="I1718" s="343" t="s">
        <v>5963</v>
      </c>
      <c r="J1718" s="301"/>
      <c r="K1718" s="3083"/>
      <c r="L1718" s="315"/>
      <c r="M1718" s="301"/>
      <c r="N1718" s="3083"/>
      <c r="O1718" s="315"/>
      <c r="P1718" s="301"/>
      <c r="Q1718" s="290" t="str">
        <f>IF($I1718="不适用","",IF(ROUND(SUM($H$1721:$K$1726),2)=0,"请输入",""))</f>
        <v>请输入</v>
      </c>
      <c r="S1718" s="364"/>
      <c r="Z1718" s="609" t="s">
        <v>670</v>
      </c>
      <c r="AA1718" s="609" t="s">
        <v>5654</v>
      </c>
    </row>
    <row r="1719" spans="1:27" ht="0.75" customHeight="1" thickBot="1">
      <c r="A1719" s="2712"/>
      <c r="B1719" s="371"/>
      <c r="C1719" s="371"/>
      <c r="D1719" s="371"/>
      <c r="E1719" s="586"/>
      <c r="F1719" s="586"/>
      <c r="G1719" s="586" t="s">
        <v>3254</v>
      </c>
      <c r="H1719" s="371" t="s">
        <v>2904</v>
      </c>
      <c r="I1719" s="371" t="s">
        <v>3255</v>
      </c>
      <c r="J1719" s="371" t="s">
        <v>3256</v>
      </c>
      <c r="K1719" s="371" t="s">
        <v>3241</v>
      </c>
      <c r="L1719" s="291"/>
      <c r="M1719" s="291"/>
      <c r="N1719" s="291"/>
      <c r="O1719" s="291"/>
      <c r="S1719" s="364"/>
      <c r="Z1719" s="609" t="s">
        <v>670</v>
      </c>
      <c r="AA1719" s="609" t="s">
        <v>5654</v>
      </c>
    </row>
    <row r="1720" spans="1:27" ht="18">
      <c r="A1720" s="2712"/>
      <c r="B1720" s="371"/>
      <c r="C1720" s="371"/>
      <c r="D1720" s="371"/>
      <c r="E1720" s="586" t="s">
        <v>2749</v>
      </c>
      <c r="F1720" s="363"/>
      <c r="G1720" s="2286" t="s">
        <v>1476</v>
      </c>
      <c r="H1720" s="2288" t="s">
        <v>2776</v>
      </c>
      <c r="I1720" s="2288" t="s">
        <v>3027</v>
      </c>
      <c r="J1720" s="2288" t="s">
        <v>3028</v>
      </c>
      <c r="K1720" s="2279" t="s">
        <v>2775</v>
      </c>
      <c r="L1720" s="291"/>
      <c r="M1720" s="291"/>
      <c r="N1720" s="291"/>
      <c r="O1720" s="291"/>
      <c r="S1720" s="364"/>
      <c r="Z1720" s="609" t="s">
        <v>670</v>
      </c>
      <c r="AA1720" s="609" t="s">
        <v>5654</v>
      </c>
    </row>
    <row r="1721" spans="1:27" ht="18">
      <c r="A1721" s="2712"/>
      <c r="B1721" s="371">
        <v>101</v>
      </c>
      <c r="C1721" s="371" t="s">
        <v>2791</v>
      </c>
      <c r="D1721" s="2714">
        <f t="shared" ref="D1721:D1726" si="161">IF(OR(G1721="*",G1721="",G1721=0),0,COUNTIF($G$1721:$G$1726,G1721))</f>
        <v>0</v>
      </c>
      <c r="E1721" s="2719">
        <v>1</v>
      </c>
      <c r="F1721" s="294"/>
      <c r="G1721" s="2282" t="s">
        <v>2792</v>
      </c>
      <c r="H1721" s="2273"/>
      <c r="I1721" s="2273"/>
      <c r="J1721" s="2273"/>
      <c r="K1721" s="1475">
        <f>H1721+I1721-J1721</f>
        <v>0</v>
      </c>
      <c r="L1721" s="291"/>
      <c r="M1721" s="291"/>
      <c r="N1721" s="291"/>
      <c r="O1721" s="291"/>
      <c r="S1721" s="364"/>
      <c r="Z1721" s="609" t="s">
        <v>670</v>
      </c>
      <c r="AA1721" s="609" t="s">
        <v>5654</v>
      </c>
    </row>
    <row r="1722" spans="1:27" ht="18">
      <c r="A1722" s="2712"/>
      <c r="B1722" s="371">
        <v>102</v>
      </c>
      <c r="C1722" s="371" t="s">
        <v>2791</v>
      </c>
      <c r="D1722" s="2714">
        <f t="shared" si="161"/>
        <v>0</v>
      </c>
      <c r="E1722" s="2719">
        <v>1</v>
      </c>
      <c r="F1722" s="294"/>
      <c r="G1722" s="2282" t="s">
        <v>2792</v>
      </c>
      <c r="H1722" s="2273"/>
      <c r="I1722" s="2273"/>
      <c r="J1722" s="2273"/>
      <c r="K1722" s="1475">
        <f>H1722+I1722-J1722</f>
        <v>0</v>
      </c>
      <c r="L1722" s="291"/>
      <c r="M1722" s="291"/>
      <c r="N1722" s="291"/>
      <c r="O1722" s="291"/>
      <c r="S1722" s="364"/>
      <c r="Z1722" s="609" t="s">
        <v>670</v>
      </c>
      <c r="AA1722" s="609" t="s">
        <v>5654</v>
      </c>
    </row>
    <row r="1723" spans="1:27" ht="18">
      <c r="A1723" s="2712"/>
      <c r="B1723" s="371">
        <v>103</v>
      </c>
      <c r="C1723" s="371" t="s">
        <v>2791</v>
      </c>
      <c r="D1723" s="2714">
        <f t="shared" si="161"/>
        <v>0</v>
      </c>
      <c r="E1723" s="2719">
        <v>1</v>
      </c>
      <c r="F1723" s="294"/>
      <c r="G1723" s="2282" t="s">
        <v>2792</v>
      </c>
      <c r="H1723" s="2273"/>
      <c r="I1723" s="2273"/>
      <c r="J1723" s="2273"/>
      <c r="K1723" s="1475">
        <f>H1723+I1723-J1723</f>
        <v>0</v>
      </c>
      <c r="L1723" s="291"/>
      <c r="M1723" s="291"/>
      <c r="N1723" s="291"/>
      <c r="O1723" s="291"/>
      <c r="S1723" s="364"/>
      <c r="Z1723" s="609" t="s">
        <v>670</v>
      </c>
      <c r="AA1723" s="609" t="s">
        <v>5654</v>
      </c>
    </row>
    <row r="1724" spans="1:27" ht="18">
      <c r="A1724" s="2712"/>
      <c r="B1724" s="371">
        <v>104</v>
      </c>
      <c r="C1724" s="371" t="s">
        <v>2791</v>
      </c>
      <c r="D1724" s="2714">
        <f t="shared" si="161"/>
        <v>0</v>
      </c>
      <c r="E1724" s="2719">
        <v>1</v>
      </c>
      <c r="F1724" s="294"/>
      <c r="G1724" s="2282" t="s">
        <v>2792</v>
      </c>
      <c r="H1724" s="2273"/>
      <c r="I1724" s="2273"/>
      <c r="J1724" s="2273"/>
      <c r="K1724" s="1475">
        <f>H1724+I1724-J1724</f>
        <v>0</v>
      </c>
      <c r="L1724" s="291"/>
      <c r="M1724" s="291"/>
      <c r="N1724" s="291"/>
      <c r="O1724" s="291"/>
      <c r="S1724" s="364"/>
      <c r="Z1724" s="609" t="s">
        <v>670</v>
      </c>
      <c r="AA1724" s="609" t="s">
        <v>5654</v>
      </c>
    </row>
    <row r="1725" spans="1:27" ht="18">
      <c r="A1725" s="2712"/>
      <c r="B1725" s="371">
        <v>105</v>
      </c>
      <c r="C1725" s="371" t="s">
        <v>2791</v>
      </c>
      <c r="D1725" s="2714">
        <f t="shared" si="161"/>
        <v>0</v>
      </c>
      <c r="E1725" s="2719">
        <v>1</v>
      </c>
      <c r="F1725" s="294"/>
      <c r="G1725" s="2282" t="s">
        <v>2792</v>
      </c>
      <c r="H1725" s="2273"/>
      <c r="I1725" s="2273"/>
      <c r="J1725" s="2273"/>
      <c r="K1725" s="1475">
        <f>H1725+I1725-J1725</f>
        <v>0</v>
      </c>
      <c r="L1725" s="291"/>
      <c r="M1725" s="291"/>
      <c r="N1725" s="291"/>
      <c r="O1725" s="291"/>
      <c r="S1725" s="364"/>
      <c r="Z1725" s="609" t="s">
        <v>670</v>
      </c>
      <c r="AA1725" s="609" t="s">
        <v>5654</v>
      </c>
    </row>
    <row r="1726" spans="1:27" ht="18.75" thickBot="1">
      <c r="A1726" s="2712"/>
      <c r="B1726" s="371"/>
      <c r="C1726" s="371"/>
      <c r="D1726" s="2714">
        <f t="shared" si="161"/>
        <v>1</v>
      </c>
      <c r="E1726" s="2719" t="s">
        <v>3032</v>
      </c>
      <c r="F1726" s="294"/>
      <c r="G1726" s="1527" t="s">
        <v>2752</v>
      </c>
      <c r="H1726" s="1525">
        <f>SUMPRODUCT($E1720:$E1725,H1720:H1725)</f>
        <v>0</v>
      </c>
      <c r="I1726" s="1525">
        <f>SUMPRODUCT($E1720:$E1725,I1720:I1725)</f>
        <v>0</v>
      </c>
      <c r="J1726" s="1525">
        <f>SUMPRODUCT($E1720:$E1725,J1720:J1725)</f>
        <v>0</v>
      </c>
      <c r="K1726" s="1526">
        <f>SUMPRODUCT($E1720:$E1725,K1720:K1725)</f>
        <v>0</v>
      </c>
      <c r="L1726" s="291"/>
      <c r="M1726" s="291"/>
      <c r="N1726" s="291"/>
      <c r="O1726" s="291"/>
      <c r="S1726" s="364"/>
      <c r="Z1726" s="609" t="s">
        <v>670</v>
      </c>
      <c r="AA1726" s="609" t="s">
        <v>5654</v>
      </c>
    </row>
    <row r="1727" spans="1:27" ht="18">
      <c r="A1727" s="2712"/>
      <c r="B1727" s="371"/>
      <c r="C1727" s="371" t="s">
        <v>2755</v>
      </c>
      <c r="D1727" s="371"/>
      <c r="F1727" s="294"/>
      <c r="G1727" s="301"/>
      <c r="H1727" s="315" t="s">
        <v>3002</v>
      </c>
      <c r="I1727" s="315"/>
      <c r="J1727" s="315"/>
      <c r="K1727" s="315" t="s">
        <v>3002</v>
      </c>
      <c r="L1727" s="291"/>
      <c r="M1727" s="291"/>
      <c r="N1727" s="291"/>
      <c r="O1727" s="291"/>
      <c r="S1727" s="364"/>
      <c r="Z1727" s="609" t="s">
        <v>670</v>
      </c>
      <c r="AA1727" s="609" t="s">
        <v>5654</v>
      </c>
    </row>
    <row r="1728" spans="1:27" ht="18">
      <c r="A1728" s="2712" t="s">
        <v>703</v>
      </c>
      <c r="B1728" s="371">
        <v>8</v>
      </c>
      <c r="C1728" s="371"/>
      <c r="D1728" s="2714" t="str">
        <f>VLOOKUP($A1728,Sheet_NoteList,2,0)</f>
        <v>期末用于债务担保的存货</v>
      </c>
      <c r="E1728" s="2714" t="s">
        <v>6529</v>
      </c>
      <c r="F1728" s="294"/>
      <c r="G1728" s="307" t="str">
        <f>"("&amp;B1728&amp;")"&amp;D1728</f>
        <v>(8)期末用于债务担保的存货</v>
      </c>
      <c r="H1728" s="1515" t="str">
        <f>$A1728</f>
        <v>1400s</v>
      </c>
      <c r="I1728" s="343" t="s">
        <v>5964</v>
      </c>
      <c r="J1728" s="301"/>
      <c r="K1728" s="3083"/>
      <c r="L1728" s="315"/>
      <c r="M1728" s="301"/>
      <c r="N1728" s="3083"/>
      <c r="O1728" s="315"/>
      <c r="P1728" s="301"/>
      <c r="S1728" s="364"/>
      <c r="Z1728" s="609" t="s">
        <v>670</v>
      </c>
      <c r="AA1728" s="609" t="s">
        <v>5654</v>
      </c>
    </row>
    <row r="1729" spans="1:27" ht="0.75" customHeight="1" thickBot="1">
      <c r="A1729" s="2712"/>
      <c r="B1729" s="371"/>
      <c r="C1729" s="371"/>
      <c r="D1729" s="371"/>
      <c r="E1729" s="586"/>
      <c r="F1729" s="518"/>
      <c r="G1729" s="518" t="s">
        <v>3263</v>
      </c>
      <c r="H1729" s="304" t="s">
        <v>2747</v>
      </c>
      <c r="I1729" s="304" t="s">
        <v>2850</v>
      </c>
      <c r="J1729" s="304" t="s">
        <v>3264</v>
      </c>
      <c r="K1729" s="291"/>
      <c r="L1729" s="291"/>
      <c r="M1729" s="291"/>
      <c r="N1729" s="291"/>
      <c r="O1729" s="291"/>
      <c r="S1729" s="364"/>
      <c r="Z1729" s="609" t="s">
        <v>670</v>
      </c>
      <c r="AA1729" s="609" t="s">
        <v>5654</v>
      </c>
    </row>
    <row r="1730" spans="1:27" ht="18">
      <c r="A1730" s="2712"/>
      <c r="B1730" s="371"/>
      <c r="C1730" s="371"/>
      <c r="D1730" s="371"/>
      <c r="E1730" s="586" t="s">
        <v>2749</v>
      </c>
      <c r="F1730" s="363"/>
      <c r="G1730" s="2286" t="s">
        <v>1476</v>
      </c>
      <c r="H1730" s="2288" t="s">
        <v>2861</v>
      </c>
      <c r="I1730" s="2288" t="s">
        <v>3217</v>
      </c>
      <c r="J1730" s="2279" t="s">
        <v>3265</v>
      </c>
      <c r="K1730" s="343"/>
      <c r="L1730" s="291"/>
      <c r="M1730" s="291"/>
      <c r="N1730" s="291"/>
      <c r="O1730" s="291"/>
      <c r="S1730" s="364"/>
      <c r="Z1730" s="609" t="s">
        <v>670</v>
      </c>
      <c r="AA1730" s="609" t="s">
        <v>5654</v>
      </c>
    </row>
    <row r="1731" spans="1:27" ht="18">
      <c r="A1731" s="2712"/>
      <c r="B1731" s="371">
        <v>101</v>
      </c>
      <c r="C1731" s="371" t="s">
        <v>2791</v>
      </c>
      <c r="D1731" s="2714">
        <f t="shared" ref="D1731:D1736" si="162">IF(OR(G1731="*",G1731="",G1731=0),0,COUNTIF($G$1731:$G$1736,G1731))</f>
        <v>0</v>
      </c>
      <c r="E1731" s="2719">
        <v>1</v>
      </c>
      <c r="F1731" s="294"/>
      <c r="G1731" s="2282" t="s">
        <v>2792</v>
      </c>
      <c r="H1731" s="2273"/>
      <c r="I1731" s="2273"/>
      <c r="J1731" s="2274"/>
      <c r="K1731" s="355"/>
      <c r="L1731" s="291"/>
      <c r="M1731" s="291"/>
      <c r="N1731" s="291"/>
      <c r="O1731" s="291"/>
      <c r="S1731" s="364"/>
      <c r="Z1731" s="609" t="s">
        <v>670</v>
      </c>
      <c r="AA1731" s="609" t="s">
        <v>5654</v>
      </c>
    </row>
    <row r="1732" spans="1:27" ht="18">
      <c r="A1732" s="2712"/>
      <c r="B1732" s="371">
        <v>102</v>
      </c>
      <c r="C1732" s="371" t="s">
        <v>2791</v>
      </c>
      <c r="D1732" s="2714">
        <f t="shared" si="162"/>
        <v>0</v>
      </c>
      <c r="E1732" s="2719">
        <v>1</v>
      </c>
      <c r="F1732" s="294"/>
      <c r="G1732" s="2282" t="s">
        <v>2792</v>
      </c>
      <c r="H1732" s="2273"/>
      <c r="I1732" s="2273"/>
      <c r="J1732" s="2274"/>
      <c r="K1732" s="291"/>
      <c r="L1732" s="291"/>
      <c r="M1732" s="291"/>
      <c r="N1732" s="291"/>
      <c r="O1732" s="291"/>
      <c r="S1732" s="364"/>
      <c r="Z1732" s="609" t="s">
        <v>670</v>
      </c>
      <c r="AA1732" s="609" t="s">
        <v>5654</v>
      </c>
    </row>
    <row r="1733" spans="1:27" ht="18">
      <c r="A1733" s="2712"/>
      <c r="B1733" s="371">
        <v>103</v>
      </c>
      <c r="C1733" s="371" t="s">
        <v>2791</v>
      </c>
      <c r="D1733" s="2714">
        <f t="shared" si="162"/>
        <v>0</v>
      </c>
      <c r="E1733" s="2719">
        <v>1</v>
      </c>
      <c r="F1733" s="294"/>
      <c r="G1733" s="2282" t="s">
        <v>2792</v>
      </c>
      <c r="H1733" s="2273"/>
      <c r="I1733" s="2273"/>
      <c r="J1733" s="2274"/>
      <c r="K1733" s="291"/>
      <c r="L1733" s="291"/>
      <c r="M1733" s="291"/>
      <c r="N1733" s="291"/>
      <c r="O1733" s="291"/>
      <c r="S1733" s="364"/>
      <c r="Z1733" s="609" t="s">
        <v>670</v>
      </c>
      <c r="AA1733" s="609" t="s">
        <v>5654</v>
      </c>
    </row>
    <row r="1734" spans="1:27" ht="18">
      <c r="A1734" s="2712"/>
      <c r="B1734" s="371">
        <v>104</v>
      </c>
      <c r="C1734" s="371" t="s">
        <v>2791</v>
      </c>
      <c r="D1734" s="2714">
        <f t="shared" si="162"/>
        <v>0</v>
      </c>
      <c r="E1734" s="2719">
        <v>1</v>
      </c>
      <c r="F1734" s="294"/>
      <c r="G1734" s="2282" t="s">
        <v>2792</v>
      </c>
      <c r="H1734" s="2273"/>
      <c r="I1734" s="2273"/>
      <c r="J1734" s="2274"/>
      <c r="K1734" s="291"/>
      <c r="L1734" s="291"/>
      <c r="M1734" s="291"/>
      <c r="N1734" s="291"/>
      <c r="O1734" s="291"/>
      <c r="S1734" s="364"/>
      <c r="Z1734" s="609" t="s">
        <v>670</v>
      </c>
      <c r="AA1734" s="609" t="s">
        <v>5654</v>
      </c>
    </row>
    <row r="1735" spans="1:27" ht="18">
      <c r="A1735" s="2712"/>
      <c r="B1735" s="371">
        <v>105</v>
      </c>
      <c r="C1735" s="371" t="s">
        <v>2791</v>
      </c>
      <c r="D1735" s="2714">
        <f t="shared" si="162"/>
        <v>0</v>
      </c>
      <c r="E1735" s="2719">
        <v>1</v>
      </c>
      <c r="F1735" s="294"/>
      <c r="G1735" s="2282" t="s">
        <v>2792</v>
      </c>
      <c r="H1735" s="2273"/>
      <c r="I1735" s="2273"/>
      <c r="J1735" s="2274"/>
      <c r="K1735" s="291"/>
      <c r="L1735" s="291"/>
      <c r="M1735" s="291"/>
      <c r="N1735" s="291"/>
      <c r="O1735" s="291"/>
      <c r="S1735" s="364"/>
      <c r="Z1735" s="609" t="s">
        <v>670</v>
      </c>
      <c r="AA1735" s="609" t="s">
        <v>5654</v>
      </c>
    </row>
    <row r="1736" spans="1:27" ht="18.75" thickBot="1">
      <c r="A1736" s="2712"/>
      <c r="B1736" s="371"/>
      <c r="C1736" s="371"/>
      <c r="D1736" s="2714">
        <f t="shared" si="162"/>
        <v>1</v>
      </c>
      <c r="E1736" s="2719" t="s">
        <v>3032</v>
      </c>
      <c r="F1736" s="294"/>
      <c r="G1736" s="1527" t="s">
        <v>2752</v>
      </c>
      <c r="H1736" s="1525">
        <f>SUMPRODUCT($E1730:$E1735,H1730:H1735)</f>
        <v>0</v>
      </c>
      <c r="I1736" s="1525">
        <f>SUMPRODUCT($E1730:$E1735,I1730:I1735)</f>
        <v>0</v>
      </c>
      <c r="J1736" s="2264"/>
      <c r="K1736" s="291"/>
      <c r="L1736" s="291"/>
      <c r="M1736" s="291"/>
      <c r="N1736" s="291"/>
      <c r="O1736" s="291"/>
      <c r="S1736" s="364"/>
      <c r="Z1736" s="609" t="s">
        <v>670</v>
      </c>
      <c r="AA1736" s="609" t="s">
        <v>5654</v>
      </c>
    </row>
    <row r="1737" spans="1:27" ht="18">
      <c r="A1737" s="2712"/>
      <c r="B1737" s="371"/>
      <c r="C1737" s="371" t="s">
        <v>2755</v>
      </c>
      <c r="D1737" s="371"/>
      <c r="F1737" s="294"/>
      <c r="G1737" s="301"/>
      <c r="H1737" s="315"/>
      <c r="I1737" s="315"/>
      <c r="J1737" s="393"/>
      <c r="K1737" s="291"/>
      <c r="L1737" s="291"/>
      <c r="M1737" s="291"/>
      <c r="N1737" s="291"/>
      <c r="O1737" s="291"/>
      <c r="S1737" s="364"/>
      <c r="Z1737" s="609" t="s">
        <v>670</v>
      </c>
      <c r="AA1737" s="609" t="s">
        <v>5654</v>
      </c>
    </row>
    <row r="1738" spans="1:27" ht="24">
      <c r="A1738" s="2712" t="s">
        <v>687</v>
      </c>
      <c r="B1738" s="371">
        <v>9</v>
      </c>
      <c r="C1738" s="371"/>
      <c r="D1738" s="2714" t="str">
        <f>VLOOKUP($A1738,Sheet_NoteList,2,0)</f>
        <v>存货跌价准备计提依据与转回情况</v>
      </c>
      <c r="E1738" s="2714" t="s">
        <v>6529</v>
      </c>
      <c r="F1738" s="294"/>
      <c r="G1738" s="372" t="str">
        <f>"("&amp;B1738&amp;")"&amp;D1738</f>
        <v>(9)存货跌价准备计提依据与转回情况</v>
      </c>
      <c r="H1738" s="1515" t="str">
        <f>$A1738</f>
        <v>1400c</v>
      </c>
      <c r="I1738" s="343" t="s">
        <v>5963</v>
      </c>
      <c r="J1738" s="301"/>
      <c r="K1738" s="3083"/>
      <c r="L1738" s="315"/>
      <c r="M1738" s="301"/>
      <c r="N1738" s="3083"/>
      <c r="O1738" s="315"/>
      <c r="P1738" s="301"/>
      <c r="Q1738" s="290" t="str">
        <f>IF($I1738="不适用","",IF(ROUND(SUM($H$1741:$I$1753),2)=0,"请输入",""))</f>
        <v>请输入</v>
      </c>
      <c r="S1738" s="364"/>
      <c r="Z1738" s="609" t="s">
        <v>670</v>
      </c>
      <c r="AA1738" s="609" t="s">
        <v>5654</v>
      </c>
    </row>
    <row r="1739" spans="1:27" ht="0.75" customHeight="1" thickBot="1">
      <c r="A1739" s="2712"/>
      <c r="B1739" s="371"/>
      <c r="C1739" s="371"/>
      <c r="D1739" s="371"/>
      <c r="E1739" s="586"/>
      <c r="F1739" s="586"/>
      <c r="G1739" s="586" t="s">
        <v>3224</v>
      </c>
      <c r="H1739" s="371" t="s">
        <v>3225</v>
      </c>
      <c r="I1739" s="371" t="s">
        <v>3226</v>
      </c>
      <c r="J1739" s="371" t="s">
        <v>3227</v>
      </c>
      <c r="K1739" s="371" t="s">
        <v>3228</v>
      </c>
      <c r="L1739" s="291"/>
      <c r="M1739" s="291"/>
      <c r="N1739" s="291"/>
      <c r="S1739" s="364"/>
      <c r="Z1739" s="609" t="s">
        <v>670</v>
      </c>
      <c r="AA1739" s="609" t="s">
        <v>5654</v>
      </c>
    </row>
    <row r="1740" spans="1:27" ht="36">
      <c r="A1740" s="2712"/>
      <c r="B1740" s="371"/>
      <c r="C1740" s="371"/>
      <c r="D1740" s="371"/>
      <c r="E1740" s="586" t="s">
        <v>2749</v>
      </c>
      <c r="F1740" s="363"/>
      <c r="G1740" s="2286" t="s">
        <v>3216</v>
      </c>
      <c r="H1740" s="2288" t="s">
        <v>3229</v>
      </c>
      <c r="I1740" s="2288" t="s">
        <v>3230</v>
      </c>
      <c r="J1740" s="2288" t="s">
        <v>3231</v>
      </c>
      <c r="K1740" s="2279" t="s">
        <v>3232</v>
      </c>
      <c r="L1740" s="355"/>
      <c r="M1740" s="291"/>
      <c r="N1740" s="291"/>
      <c r="S1740" s="364"/>
      <c r="Z1740" s="609" t="s">
        <v>670</v>
      </c>
      <c r="AA1740" s="609" t="s">
        <v>5654</v>
      </c>
    </row>
    <row r="1741" spans="1:27" ht="18">
      <c r="A1741" s="2712"/>
      <c r="B1741" s="371">
        <v>101</v>
      </c>
      <c r="C1741" s="371"/>
      <c r="D1741" s="2714">
        <f t="shared" ref="D1741:D1753" si="163">IF(OR(G1741="*",G1741="",G1741=0),0,COUNTIF($G$1741:$G$1753,G1741))</f>
        <v>1</v>
      </c>
      <c r="E1741" s="2719">
        <v>1</v>
      </c>
      <c r="F1741" s="294"/>
      <c r="G1741" s="1472" t="s">
        <v>299</v>
      </c>
      <c r="H1741" s="2296"/>
      <c r="I1741" s="2296"/>
      <c r="J1741" s="2273"/>
      <c r="K1741" s="2294"/>
      <c r="L1741" s="291"/>
      <c r="M1741" s="291"/>
      <c r="N1741" s="291"/>
      <c r="S1741" s="364"/>
      <c r="Z1741" s="609" t="s">
        <v>670</v>
      </c>
      <c r="AA1741" s="609" t="s">
        <v>5654</v>
      </c>
    </row>
    <row r="1742" spans="1:27" ht="18">
      <c r="A1742" s="2712"/>
      <c r="B1742" s="371">
        <v>102</v>
      </c>
      <c r="C1742" s="371"/>
      <c r="D1742" s="2714">
        <f t="shared" si="163"/>
        <v>1</v>
      </c>
      <c r="E1742" s="2719">
        <v>1</v>
      </c>
      <c r="F1742" s="294"/>
      <c r="G1742" s="1472" t="s">
        <v>3218</v>
      </c>
      <c r="H1742" s="2296"/>
      <c r="I1742" s="2296"/>
      <c r="J1742" s="2273"/>
      <c r="K1742" s="2294"/>
      <c r="L1742" s="291"/>
      <c r="M1742" s="291"/>
      <c r="N1742" s="291"/>
      <c r="S1742" s="364"/>
      <c r="Z1742" s="609" t="s">
        <v>670</v>
      </c>
      <c r="AA1742" s="609" t="s">
        <v>5654</v>
      </c>
    </row>
    <row r="1743" spans="1:27" ht="18">
      <c r="A1743" s="2712"/>
      <c r="B1743" s="371">
        <v>103</v>
      </c>
      <c r="C1743" s="371"/>
      <c r="D1743" s="2714">
        <f t="shared" si="163"/>
        <v>1</v>
      </c>
      <c r="E1743" s="2719">
        <v>1</v>
      </c>
      <c r="F1743" s="294"/>
      <c r="G1743" s="1472" t="s">
        <v>313</v>
      </c>
      <c r="H1743" s="2296"/>
      <c r="I1743" s="2296"/>
      <c r="J1743" s="2273"/>
      <c r="K1743" s="2294"/>
      <c r="L1743" s="291"/>
      <c r="M1743" s="291"/>
      <c r="N1743" s="291"/>
      <c r="S1743" s="364"/>
      <c r="Z1743" s="609" t="s">
        <v>670</v>
      </c>
      <c r="AA1743" s="609" t="s">
        <v>5654</v>
      </c>
    </row>
    <row r="1744" spans="1:27" ht="18">
      <c r="A1744" s="2712"/>
      <c r="B1744" s="371">
        <v>104</v>
      </c>
      <c r="C1744" s="371"/>
      <c r="D1744" s="2714">
        <f t="shared" si="163"/>
        <v>1</v>
      </c>
      <c r="E1744" s="2719">
        <v>1</v>
      </c>
      <c r="F1744" s="294"/>
      <c r="G1744" s="1472" t="s">
        <v>339</v>
      </c>
      <c r="H1744" s="2296"/>
      <c r="I1744" s="2296"/>
      <c r="J1744" s="2273"/>
      <c r="K1744" s="2294"/>
      <c r="L1744" s="291"/>
      <c r="M1744" s="291"/>
      <c r="N1744" s="291"/>
      <c r="S1744" s="364"/>
      <c r="Z1744" s="609" t="s">
        <v>670</v>
      </c>
      <c r="AA1744" s="609" t="s">
        <v>5654</v>
      </c>
    </row>
    <row r="1745" spans="1:27" ht="24">
      <c r="A1745" s="2712"/>
      <c r="B1745" s="371">
        <v>105</v>
      </c>
      <c r="C1745" s="371"/>
      <c r="D1745" s="2714">
        <f t="shared" si="163"/>
        <v>1</v>
      </c>
      <c r="E1745" s="2719">
        <v>1</v>
      </c>
      <c r="F1745" s="294"/>
      <c r="G1745" s="1472" t="s">
        <v>3219</v>
      </c>
      <c r="H1745" s="2296"/>
      <c r="I1745" s="2296"/>
      <c r="J1745" s="2273"/>
      <c r="K1745" s="2294"/>
      <c r="L1745" s="291"/>
      <c r="M1745" s="291"/>
      <c r="N1745" s="291"/>
      <c r="S1745" s="364"/>
      <c r="Z1745" s="609" t="s">
        <v>670</v>
      </c>
      <c r="AA1745" s="609" t="s">
        <v>5654</v>
      </c>
    </row>
    <row r="1746" spans="1:27" ht="18">
      <c r="A1746" s="2712"/>
      <c r="B1746" s="371">
        <v>106</v>
      </c>
      <c r="C1746" s="371"/>
      <c r="D1746" s="2714">
        <f t="shared" si="163"/>
        <v>1</v>
      </c>
      <c r="E1746" s="2719">
        <v>1</v>
      </c>
      <c r="F1746" s="294"/>
      <c r="G1746" s="1472" t="s">
        <v>346</v>
      </c>
      <c r="H1746" s="2296"/>
      <c r="I1746" s="2296"/>
      <c r="J1746" s="2273"/>
      <c r="K1746" s="2294"/>
      <c r="L1746" s="291"/>
      <c r="M1746" s="291"/>
      <c r="N1746" s="291"/>
      <c r="S1746" s="364"/>
      <c r="Z1746" s="609" t="s">
        <v>670</v>
      </c>
      <c r="AA1746" s="609" t="s">
        <v>5654</v>
      </c>
    </row>
    <row r="1747" spans="1:27" ht="18">
      <c r="A1747" s="2712"/>
      <c r="B1747" s="371">
        <v>107</v>
      </c>
      <c r="C1747" s="371"/>
      <c r="D1747" s="2714">
        <f t="shared" si="163"/>
        <v>1</v>
      </c>
      <c r="E1747" s="2719">
        <v>1</v>
      </c>
      <c r="F1747" s="294"/>
      <c r="G1747" s="1472" t="s">
        <v>692</v>
      </c>
      <c r="H1747" s="2296"/>
      <c r="I1747" s="2296"/>
      <c r="J1747" s="2273"/>
      <c r="K1747" s="2294"/>
      <c r="L1747" s="291"/>
      <c r="M1747" s="291"/>
      <c r="N1747" s="291"/>
      <c r="S1747" s="364"/>
      <c r="Z1747" s="609" t="s">
        <v>670</v>
      </c>
      <c r="AA1747" s="609" t="s">
        <v>5654</v>
      </c>
    </row>
    <row r="1748" spans="1:27" ht="18">
      <c r="A1748" s="2712"/>
      <c r="B1748" s="371">
        <v>108</v>
      </c>
      <c r="C1748" s="371"/>
      <c r="D1748" s="2714">
        <f t="shared" si="163"/>
        <v>1</v>
      </c>
      <c r="E1748" s="2719">
        <v>1</v>
      </c>
      <c r="F1748" s="294"/>
      <c r="G1748" s="1472" t="s">
        <v>696</v>
      </c>
      <c r="H1748" s="2296"/>
      <c r="I1748" s="2296"/>
      <c r="J1748" s="2273"/>
      <c r="K1748" s="2294"/>
      <c r="L1748" s="291"/>
      <c r="M1748" s="291"/>
      <c r="N1748" s="291"/>
      <c r="S1748" s="364"/>
      <c r="Z1748" s="609" t="s">
        <v>670</v>
      </c>
      <c r="AA1748" s="609" t="s">
        <v>5654</v>
      </c>
    </row>
    <row r="1749" spans="1:27" ht="18">
      <c r="A1749" s="2712"/>
      <c r="B1749" s="371">
        <v>109</v>
      </c>
      <c r="C1749" s="371"/>
      <c r="D1749" s="2714">
        <f t="shared" si="163"/>
        <v>1</v>
      </c>
      <c r="E1749" s="2719">
        <v>1</v>
      </c>
      <c r="F1749" s="294"/>
      <c r="G1749" s="1472" t="s">
        <v>700</v>
      </c>
      <c r="H1749" s="2296"/>
      <c r="I1749" s="2296"/>
      <c r="J1749" s="2273"/>
      <c r="K1749" s="2294"/>
      <c r="L1749" s="291"/>
      <c r="M1749" s="291"/>
      <c r="N1749" s="291"/>
      <c r="S1749" s="364"/>
      <c r="Z1749" s="609" t="s">
        <v>670</v>
      </c>
      <c r="AA1749" s="609" t="s">
        <v>5654</v>
      </c>
    </row>
    <row r="1750" spans="1:27" ht="18">
      <c r="A1750" s="2712"/>
      <c r="B1750" s="371">
        <v>110</v>
      </c>
      <c r="C1750" s="371" t="s">
        <v>2791</v>
      </c>
      <c r="D1750" s="2714">
        <f t="shared" si="163"/>
        <v>0</v>
      </c>
      <c r="E1750" s="2719">
        <v>1</v>
      </c>
      <c r="F1750" s="294"/>
      <c r="G1750" s="2282" t="s">
        <v>2792</v>
      </c>
      <c r="H1750" s="2296"/>
      <c r="I1750" s="2296"/>
      <c r="J1750" s="2273"/>
      <c r="K1750" s="2294"/>
      <c r="L1750" s="291"/>
      <c r="M1750" s="291"/>
      <c r="N1750" s="291"/>
      <c r="S1750" s="364"/>
      <c r="Z1750" s="609" t="s">
        <v>670</v>
      </c>
      <c r="AA1750" s="609" t="s">
        <v>5654</v>
      </c>
    </row>
    <row r="1751" spans="1:27" ht="18">
      <c r="A1751" s="2712"/>
      <c r="B1751" s="371">
        <v>111</v>
      </c>
      <c r="C1751" s="371" t="s">
        <v>2791</v>
      </c>
      <c r="D1751" s="2714">
        <f t="shared" si="163"/>
        <v>0</v>
      </c>
      <c r="E1751" s="2719">
        <v>1</v>
      </c>
      <c r="F1751" s="294"/>
      <c r="G1751" s="2282" t="s">
        <v>2792</v>
      </c>
      <c r="H1751" s="2296"/>
      <c r="I1751" s="2296"/>
      <c r="J1751" s="2273"/>
      <c r="K1751" s="2294"/>
      <c r="L1751" s="291"/>
      <c r="M1751" s="291"/>
      <c r="N1751" s="291"/>
      <c r="S1751" s="364"/>
      <c r="Z1751" s="609" t="s">
        <v>670</v>
      </c>
      <c r="AA1751" s="609" t="s">
        <v>5654</v>
      </c>
    </row>
    <row r="1752" spans="1:27" ht="18">
      <c r="A1752" s="2712"/>
      <c r="B1752" s="371">
        <v>112</v>
      </c>
      <c r="C1752" s="371" t="s">
        <v>2791</v>
      </c>
      <c r="D1752" s="2714">
        <f t="shared" si="163"/>
        <v>0</v>
      </c>
      <c r="E1752" s="2719">
        <v>1</v>
      </c>
      <c r="F1752" s="294"/>
      <c r="G1752" s="2282" t="s">
        <v>2792</v>
      </c>
      <c r="H1752" s="2296"/>
      <c r="I1752" s="2296"/>
      <c r="J1752" s="2273"/>
      <c r="K1752" s="2294"/>
      <c r="L1752" s="291"/>
      <c r="M1752" s="291"/>
      <c r="N1752" s="291"/>
      <c r="S1752" s="364"/>
      <c r="Z1752" s="609" t="s">
        <v>670</v>
      </c>
      <c r="AA1752" s="609" t="s">
        <v>5654</v>
      </c>
    </row>
    <row r="1753" spans="1:27" ht="18.75" thickBot="1">
      <c r="A1753" s="2712"/>
      <c r="B1753" s="371"/>
      <c r="C1753" s="371"/>
      <c r="D1753" s="2714">
        <f t="shared" si="163"/>
        <v>1</v>
      </c>
      <c r="E1753" s="2719" t="s">
        <v>3032</v>
      </c>
      <c r="F1753" s="294"/>
      <c r="G1753" s="1527" t="s">
        <v>2752</v>
      </c>
      <c r="H1753" s="2314"/>
      <c r="I1753" s="2314"/>
      <c r="J1753" s="1525">
        <f>SUMPRODUCT($E1740:$E1752,J1740:J1752)</f>
        <v>0</v>
      </c>
      <c r="K1753" s="1526">
        <f>SUMPRODUCT($E1740:$E1752,K1740:K1752)</f>
        <v>0</v>
      </c>
      <c r="L1753" s="291"/>
      <c r="M1753" s="291"/>
      <c r="N1753" s="291"/>
      <c r="S1753" s="364"/>
      <c r="Z1753" s="609" t="s">
        <v>670</v>
      </c>
      <c r="AA1753" s="609" t="s">
        <v>5654</v>
      </c>
    </row>
    <row r="1754" spans="1:27" ht="18">
      <c r="A1754" s="2712"/>
      <c r="B1754" s="371"/>
      <c r="C1754" s="371" t="s">
        <v>2755</v>
      </c>
      <c r="D1754" s="371"/>
      <c r="F1754" s="294"/>
      <c r="G1754" s="301"/>
      <c r="H1754" s="393"/>
      <c r="I1754" s="393"/>
      <c r="J1754" s="315"/>
      <c r="K1754" s="315"/>
      <c r="L1754" s="291"/>
      <c r="M1754" s="291"/>
      <c r="N1754" s="291"/>
      <c r="S1754" s="364"/>
      <c r="Z1754" s="609" t="s">
        <v>670</v>
      </c>
      <c r="AA1754" s="609" t="s">
        <v>5654</v>
      </c>
    </row>
    <row r="1755" spans="1:27" ht="18">
      <c r="A1755" s="2712" t="s">
        <v>709</v>
      </c>
      <c r="B1755" s="371">
        <v>10</v>
      </c>
      <c r="C1755" s="371"/>
      <c r="D1755" s="2714" t="str">
        <f>VLOOKUP($A1755,Sheet_NoteList,2,0)</f>
        <v>存货补充资料</v>
      </c>
      <c r="E1755" s="2714" t="s">
        <v>6529</v>
      </c>
      <c r="F1755" s="294"/>
      <c r="G1755" s="372" t="str">
        <f>"("&amp;B1755&amp;")"&amp;D1755</f>
        <v>(10)存货补充资料</v>
      </c>
      <c r="H1755" s="1515" t="str">
        <f>$A1755</f>
        <v>1400x</v>
      </c>
      <c r="I1755" s="343" t="s">
        <v>5964</v>
      </c>
      <c r="J1755" s="301"/>
      <c r="K1755" s="391"/>
      <c r="L1755" s="315"/>
      <c r="M1755" s="301"/>
      <c r="N1755" s="3083"/>
      <c r="O1755" s="315"/>
      <c r="P1755" s="301"/>
      <c r="Q1755" s="290" t="str">
        <f>IF($I1755="不适用","",IF(ROUND(SUM($H$1758:$Q$1763),2)=0,"请输入",""))</f>
        <v>请输入</v>
      </c>
      <c r="S1755" s="364"/>
      <c r="Z1755" s="609" t="s">
        <v>670</v>
      </c>
      <c r="AA1755" s="609" t="s">
        <v>5654</v>
      </c>
    </row>
    <row r="1756" spans="1:27" ht="0.75" customHeight="1" thickBot="1">
      <c r="A1756" s="2712"/>
      <c r="B1756" s="371"/>
      <c r="C1756" s="371"/>
      <c r="D1756" s="371"/>
      <c r="E1756" s="586"/>
      <c r="F1756" s="586"/>
      <c r="G1756" s="586" t="s">
        <v>3266</v>
      </c>
      <c r="H1756" s="371" t="s">
        <v>2904</v>
      </c>
      <c r="I1756" s="371" t="s">
        <v>3255</v>
      </c>
      <c r="J1756" s="371" t="s">
        <v>3256</v>
      </c>
      <c r="K1756" s="371" t="s">
        <v>3241</v>
      </c>
      <c r="L1756" s="371" t="s">
        <v>3267</v>
      </c>
      <c r="M1756" s="371" t="s">
        <v>3268</v>
      </c>
      <c r="N1756" s="371" t="s">
        <v>3269</v>
      </c>
      <c r="O1756" s="371" t="s">
        <v>3270</v>
      </c>
      <c r="P1756" s="371" t="s">
        <v>3271</v>
      </c>
      <c r="Q1756" s="543" t="s">
        <v>3272</v>
      </c>
      <c r="S1756" s="364"/>
      <c r="Z1756" s="609" t="s">
        <v>670</v>
      </c>
      <c r="AA1756" s="609" t="s">
        <v>5654</v>
      </c>
    </row>
    <row r="1757" spans="1:27" ht="18">
      <c r="A1757" s="2712"/>
      <c r="B1757" s="371"/>
      <c r="C1757" s="371"/>
      <c r="D1757" s="371"/>
      <c r="E1757" s="586" t="s">
        <v>2749</v>
      </c>
      <c r="F1757" s="363"/>
      <c r="G1757" s="2286" t="s">
        <v>47</v>
      </c>
      <c r="H1757" s="2288" t="s">
        <v>3273</v>
      </c>
      <c r="I1757" s="2288" t="s">
        <v>3274</v>
      </c>
      <c r="J1757" s="2288" t="s">
        <v>3275</v>
      </c>
      <c r="K1757" s="2288" t="s">
        <v>3276</v>
      </c>
      <c r="L1757" s="2288" t="s">
        <v>2544</v>
      </c>
      <c r="M1757" s="2288" t="s">
        <v>2549</v>
      </c>
      <c r="N1757" s="2288" t="s">
        <v>3277</v>
      </c>
      <c r="O1757" s="2288" t="s">
        <v>3278</v>
      </c>
      <c r="P1757" s="2288" t="s">
        <v>3279</v>
      </c>
      <c r="Q1757" s="2279" t="s">
        <v>3280</v>
      </c>
      <c r="R1757" s="544" t="s">
        <v>3281</v>
      </c>
      <c r="S1757" s="364"/>
      <c r="Z1757" s="609" t="s">
        <v>670</v>
      </c>
      <c r="AA1757" s="609" t="s">
        <v>5654</v>
      </c>
    </row>
    <row r="1758" spans="1:27" ht="18">
      <c r="A1758" s="2712"/>
      <c r="B1758" s="371">
        <v>101</v>
      </c>
      <c r="C1758" s="371" t="s">
        <v>2791</v>
      </c>
      <c r="D1758" s="2714">
        <f t="shared" ref="D1758:D1763" si="164">IF(OR(G1758="*",G1758="",G1758=0),0,COUNTIF($G$1758:$G$1763,G1758))</f>
        <v>0</v>
      </c>
      <c r="E1758" s="2719">
        <v>1</v>
      </c>
      <c r="F1758" s="294"/>
      <c r="G1758" s="2282" t="s">
        <v>2792</v>
      </c>
      <c r="H1758" s="2273"/>
      <c r="I1758" s="2273"/>
      <c r="J1758" s="2273"/>
      <c r="K1758" s="2273"/>
      <c r="L1758" s="2273"/>
      <c r="M1758" s="2273"/>
      <c r="N1758" s="2273"/>
      <c r="O1758" s="2296"/>
      <c r="P1758" s="2296"/>
      <c r="Q1758" s="2274"/>
      <c r="R1758" s="544" t="s">
        <v>3282</v>
      </c>
      <c r="S1758" s="364"/>
      <c r="Z1758" s="609" t="s">
        <v>670</v>
      </c>
      <c r="AA1758" s="609" t="s">
        <v>5654</v>
      </c>
    </row>
    <row r="1759" spans="1:27" ht="18">
      <c r="A1759" s="2712"/>
      <c r="B1759" s="371">
        <v>102</v>
      </c>
      <c r="C1759" s="371" t="s">
        <v>2791</v>
      </c>
      <c r="D1759" s="2714">
        <f t="shared" si="164"/>
        <v>0</v>
      </c>
      <c r="E1759" s="2719">
        <v>1</v>
      </c>
      <c r="F1759" s="294"/>
      <c r="G1759" s="2282" t="s">
        <v>2792</v>
      </c>
      <c r="H1759" s="2273"/>
      <c r="I1759" s="2273"/>
      <c r="J1759" s="2273"/>
      <c r="K1759" s="2273"/>
      <c r="L1759" s="2273"/>
      <c r="M1759" s="2273"/>
      <c r="N1759" s="2273"/>
      <c r="O1759" s="2296"/>
      <c r="P1759" s="2296"/>
      <c r="Q1759" s="2274"/>
      <c r="S1759" s="364"/>
      <c r="Z1759" s="609" t="s">
        <v>670</v>
      </c>
      <c r="AA1759" s="609" t="s">
        <v>5654</v>
      </c>
    </row>
    <row r="1760" spans="1:27" ht="18">
      <c r="A1760" s="2712"/>
      <c r="B1760" s="371">
        <v>103</v>
      </c>
      <c r="C1760" s="371" t="s">
        <v>2791</v>
      </c>
      <c r="D1760" s="2714">
        <f t="shared" si="164"/>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5654</v>
      </c>
    </row>
    <row r="1761" spans="1:27" ht="18">
      <c r="A1761" s="2712"/>
      <c r="B1761" s="371">
        <v>104</v>
      </c>
      <c r="C1761" s="371" t="s">
        <v>2791</v>
      </c>
      <c r="D1761" s="2714">
        <f t="shared" si="164"/>
        <v>0</v>
      </c>
      <c r="E1761" s="2719">
        <v>1</v>
      </c>
      <c r="F1761" s="294"/>
      <c r="G1761" s="2282" t="s">
        <v>2792</v>
      </c>
      <c r="H1761" s="2273"/>
      <c r="I1761" s="2273"/>
      <c r="J1761" s="2273"/>
      <c r="K1761" s="2273"/>
      <c r="L1761" s="2273"/>
      <c r="M1761" s="2273"/>
      <c r="N1761" s="2273"/>
      <c r="O1761" s="2296"/>
      <c r="P1761" s="2296"/>
      <c r="Q1761" s="2274"/>
      <c r="S1761" s="364"/>
      <c r="Z1761" s="609" t="s">
        <v>670</v>
      </c>
      <c r="AA1761" s="609" t="s">
        <v>5654</v>
      </c>
    </row>
    <row r="1762" spans="1:27" ht="18">
      <c r="A1762" s="2712"/>
      <c r="B1762" s="371">
        <v>105</v>
      </c>
      <c r="C1762" s="371" t="s">
        <v>2791</v>
      </c>
      <c r="D1762" s="2714">
        <f t="shared" si="164"/>
        <v>0</v>
      </c>
      <c r="E1762" s="2719">
        <v>1</v>
      </c>
      <c r="F1762" s="294"/>
      <c r="G1762" s="2282" t="s">
        <v>2792</v>
      </c>
      <c r="H1762" s="2273"/>
      <c r="I1762" s="2273"/>
      <c r="J1762" s="2273"/>
      <c r="K1762" s="2273"/>
      <c r="L1762" s="2273"/>
      <c r="M1762" s="2273"/>
      <c r="N1762" s="2273"/>
      <c r="O1762" s="2296"/>
      <c r="P1762" s="2296"/>
      <c r="Q1762" s="2274"/>
      <c r="S1762" s="364"/>
      <c r="Z1762" s="609" t="s">
        <v>670</v>
      </c>
      <c r="AA1762" s="609" t="s">
        <v>5654</v>
      </c>
    </row>
    <row r="1763" spans="1:27" ht="18.75" thickBot="1">
      <c r="A1763" s="2712"/>
      <c r="B1763" s="371"/>
      <c r="C1763" s="371"/>
      <c r="D1763" s="2714">
        <f t="shared" si="164"/>
        <v>1</v>
      </c>
      <c r="E1763" s="2719" t="s">
        <v>3032</v>
      </c>
      <c r="F1763" s="294"/>
      <c r="G1763" s="1527" t="s">
        <v>2752</v>
      </c>
      <c r="H1763" s="1525">
        <f t="shared" ref="H1763:N1763" si="165">SUMPRODUCT($E1757:$E1762,H1757:H1762)</f>
        <v>0</v>
      </c>
      <c r="I1763" s="1525">
        <f t="shared" si="165"/>
        <v>0</v>
      </c>
      <c r="J1763" s="1525">
        <f t="shared" si="165"/>
        <v>0</v>
      </c>
      <c r="K1763" s="1525">
        <f t="shared" si="165"/>
        <v>0</v>
      </c>
      <c r="L1763" s="1525">
        <f t="shared" si="165"/>
        <v>0</v>
      </c>
      <c r="M1763" s="1525">
        <f t="shared" si="165"/>
        <v>0</v>
      </c>
      <c r="N1763" s="1525">
        <f t="shared" si="165"/>
        <v>0</v>
      </c>
      <c r="O1763" s="2314"/>
      <c r="P1763" s="2314"/>
      <c r="Q1763" s="2264"/>
      <c r="S1763" s="364"/>
      <c r="Z1763" s="609" t="s">
        <v>670</v>
      </c>
      <c r="AA1763" s="609" t="s">
        <v>5654</v>
      </c>
    </row>
    <row r="1764" spans="1:27" ht="18">
      <c r="A1764" s="2712"/>
      <c r="B1764" s="371"/>
      <c r="C1764" s="371" t="s">
        <v>2755</v>
      </c>
      <c r="D1764" s="371"/>
      <c r="F1764" s="294"/>
      <c r="G1764" s="301"/>
      <c r="H1764" s="315"/>
      <c r="I1764" s="315"/>
      <c r="J1764" s="315"/>
      <c r="K1764" s="315"/>
      <c r="L1764" s="315"/>
      <c r="M1764" s="315"/>
      <c r="N1764" s="315"/>
      <c r="O1764" s="315"/>
      <c r="P1764" s="393"/>
      <c r="Q1764" s="545"/>
      <c r="S1764" s="364"/>
      <c r="Z1764" s="609" t="s">
        <v>670</v>
      </c>
      <c r="AA1764" s="609" t="s">
        <v>5654</v>
      </c>
    </row>
    <row r="1765" spans="1:27" ht="18">
      <c r="A1765" s="2712">
        <v>1315</v>
      </c>
      <c r="B1765" s="371">
        <v>11</v>
      </c>
      <c r="C1765" s="2714" t="str">
        <f>VLOOKUP($A1765,Sheet_Items,2,0)</f>
        <v>持有待售资产</v>
      </c>
      <c r="D1765" s="371"/>
      <c r="F1765" s="294"/>
      <c r="G1765" s="1459" t="str">
        <f>B1765&amp;" "&amp;C1765</f>
        <v>11 持有待售资产</v>
      </c>
      <c r="H1765" s="290"/>
      <c r="I1765" s="290"/>
      <c r="J1765" s="540" t="s">
        <v>2740</v>
      </c>
      <c r="K1765" s="341">
        <f>VLOOKUP($A1765,Sheet_Trialbal,6,0)</f>
        <v>0</v>
      </c>
      <c r="L1765" s="541"/>
      <c r="M1765" s="540" t="s">
        <v>2741</v>
      </c>
      <c r="N1765" s="341">
        <f>VLOOKUP($A1765,Sheet_Trialbal,10,0)</f>
        <v>0</v>
      </c>
      <c r="O1765" s="2580"/>
      <c r="S1765" s="364"/>
      <c r="Z1765" s="609" t="s">
        <v>716</v>
      </c>
      <c r="AA1765" s="609" t="s">
        <v>3283</v>
      </c>
    </row>
    <row r="1766" spans="1:27" ht="24">
      <c r="A1766" s="2712" t="s">
        <v>730</v>
      </c>
      <c r="B1766" s="371">
        <v>1</v>
      </c>
      <c r="C1766" s="371"/>
      <c r="D1766" s="2714" t="str">
        <f>VLOOKUP($A1766,Sheet_NoteList,2,0)</f>
        <v>期末持有待售的非流动资产或处置组</v>
      </c>
      <c r="E1766" s="2714" t="s">
        <v>6529</v>
      </c>
      <c r="F1766" s="294"/>
      <c r="G1766" s="372" t="str">
        <f>"("&amp;B1766&amp;")"&amp;D1766</f>
        <v>(1)期末持有待售的非流动资产或处置组</v>
      </c>
      <c r="H1766" s="1515" t="str">
        <f>$A1766</f>
        <v>1315b</v>
      </c>
      <c r="I1766" s="343" t="s">
        <v>5964</v>
      </c>
      <c r="J1766" s="301" t="s">
        <v>5969</v>
      </c>
      <c r="K1766" s="2208">
        <f>H1774</f>
        <v>0</v>
      </c>
      <c r="L1766" s="345"/>
      <c r="M1766" s="301"/>
      <c r="N1766" s="391"/>
      <c r="O1766" s="345"/>
      <c r="P1766" s="301"/>
      <c r="Q1766" s="290" t="str">
        <f>IF($I1766="不适用","",IF(ROUND(SUM($H$1769:$K$1774),2)=0,"请输入",""))</f>
        <v>请输入</v>
      </c>
      <c r="S1766" s="364"/>
      <c r="Z1766" s="609" t="s">
        <v>716</v>
      </c>
      <c r="AA1766" s="609" t="s">
        <v>3283</v>
      </c>
    </row>
    <row r="1767" spans="1:27" ht="0.75" customHeight="1" thickBot="1">
      <c r="A1767" s="2712"/>
      <c r="B1767" s="371">
        <v>1.0999999999999999E-2</v>
      </c>
      <c r="C1767" s="371"/>
      <c r="D1767" s="371"/>
      <c r="F1767" s="293"/>
      <c r="G1767" s="293" t="s">
        <v>3286</v>
      </c>
      <c r="H1767" s="293" t="s">
        <v>3287</v>
      </c>
      <c r="I1767" s="293" t="s">
        <v>2845</v>
      </c>
      <c r="J1767" s="414" t="s">
        <v>3288</v>
      </c>
      <c r="K1767" s="414" t="s">
        <v>3289</v>
      </c>
      <c r="L1767" s="291"/>
      <c r="M1767" s="291"/>
      <c r="S1767" s="364"/>
      <c r="Z1767" s="609" t="s">
        <v>716</v>
      </c>
      <c r="AA1767" s="609" t="s">
        <v>3283</v>
      </c>
    </row>
    <row r="1768" spans="1:27" ht="24">
      <c r="A1768" s="2712"/>
      <c r="B1768" s="371"/>
      <c r="C1768" s="371"/>
      <c r="D1768" s="371"/>
      <c r="E1768" s="2714" t="s">
        <v>2749</v>
      </c>
      <c r="F1768" s="294"/>
      <c r="G1768" s="378" t="s">
        <v>47</v>
      </c>
      <c r="H1768" s="379" t="str">
        <f>$W$2&amp;"账面价值"</f>
        <v>2019年12月31日账面价值</v>
      </c>
      <c r="I1768" s="379" t="str">
        <f>$W$2&amp;"公允价值"</f>
        <v>2019年12月31日公允价值</v>
      </c>
      <c r="J1768" s="522" t="s">
        <v>3284</v>
      </c>
      <c r="K1768" s="523" t="s">
        <v>3285</v>
      </c>
      <c r="L1768" s="355" t="s">
        <v>5273</v>
      </c>
      <c r="M1768" s="291"/>
      <c r="S1768" s="364"/>
      <c r="Z1768" s="609" t="s">
        <v>716</v>
      </c>
      <c r="AA1768" s="609" t="s">
        <v>3283</v>
      </c>
    </row>
    <row r="1769" spans="1:27" ht="18">
      <c r="A1769" s="2712"/>
      <c r="B1769" s="371">
        <v>101</v>
      </c>
      <c r="C1769" s="371" t="s">
        <v>2791</v>
      </c>
      <c r="D1769" s="2714">
        <f t="shared" ref="D1769:D1774" si="166">IF(OR(G1769="*",G1769="",G1769=0),0,COUNTIF($G$1769:$G$1774,G1769))</f>
        <v>0</v>
      </c>
      <c r="E1769" s="2719">
        <v>1</v>
      </c>
      <c r="F1769" s="294"/>
      <c r="G1769" s="409" t="s">
        <v>2792</v>
      </c>
      <c r="H1769" s="383"/>
      <c r="I1769" s="383"/>
      <c r="J1769" s="383"/>
      <c r="K1769" s="492"/>
      <c r="L1769" s="291"/>
      <c r="M1769" s="291"/>
      <c r="S1769" s="364"/>
      <c r="Z1769" s="609" t="s">
        <v>716</v>
      </c>
      <c r="AA1769" s="609" t="s">
        <v>3283</v>
      </c>
    </row>
    <row r="1770" spans="1:27" ht="18">
      <c r="A1770" s="2712"/>
      <c r="B1770" s="371">
        <v>102</v>
      </c>
      <c r="C1770" s="371" t="s">
        <v>2791</v>
      </c>
      <c r="D1770" s="2714">
        <f t="shared" si="166"/>
        <v>0</v>
      </c>
      <c r="E1770" s="2719">
        <v>1</v>
      </c>
      <c r="F1770" s="294"/>
      <c r="G1770" s="409" t="s">
        <v>2792</v>
      </c>
      <c r="H1770" s="383"/>
      <c r="I1770" s="383"/>
      <c r="J1770" s="383"/>
      <c r="K1770" s="492"/>
      <c r="L1770" s="291"/>
      <c r="M1770" s="291"/>
      <c r="S1770" s="364"/>
      <c r="Z1770" s="609" t="s">
        <v>716</v>
      </c>
      <c r="AA1770" s="609" t="s">
        <v>3283</v>
      </c>
    </row>
    <row r="1771" spans="1:27" ht="18">
      <c r="A1771" s="2712"/>
      <c r="B1771" s="371">
        <v>103</v>
      </c>
      <c r="C1771" s="371" t="s">
        <v>2791</v>
      </c>
      <c r="D1771" s="2714">
        <f t="shared" si="166"/>
        <v>0</v>
      </c>
      <c r="E1771" s="2719">
        <v>1</v>
      </c>
      <c r="F1771" s="294"/>
      <c r="G1771" s="409" t="s">
        <v>2792</v>
      </c>
      <c r="H1771" s="383"/>
      <c r="I1771" s="383"/>
      <c r="J1771" s="383"/>
      <c r="K1771" s="492"/>
      <c r="L1771" s="291"/>
      <c r="M1771" s="291"/>
      <c r="S1771" s="364"/>
      <c r="Z1771" s="609" t="s">
        <v>716</v>
      </c>
      <c r="AA1771" s="609" t="s">
        <v>3283</v>
      </c>
    </row>
    <row r="1772" spans="1:27" ht="18">
      <c r="A1772" s="2712"/>
      <c r="B1772" s="371">
        <v>104</v>
      </c>
      <c r="C1772" s="371" t="s">
        <v>2791</v>
      </c>
      <c r="D1772" s="2714">
        <f t="shared" si="166"/>
        <v>0</v>
      </c>
      <c r="E1772" s="2719">
        <v>1</v>
      </c>
      <c r="F1772" s="294"/>
      <c r="G1772" s="409" t="s">
        <v>2792</v>
      </c>
      <c r="H1772" s="383"/>
      <c r="I1772" s="383"/>
      <c r="J1772" s="383"/>
      <c r="K1772" s="492"/>
      <c r="L1772" s="291"/>
      <c r="M1772" s="291"/>
      <c r="S1772" s="364"/>
      <c r="Z1772" s="609" t="s">
        <v>716</v>
      </c>
      <c r="AA1772" s="609" t="s">
        <v>3283</v>
      </c>
    </row>
    <row r="1773" spans="1:27" ht="18">
      <c r="A1773" s="2712"/>
      <c r="B1773" s="371">
        <v>105</v>
      </c>
      <c r="C1773" s="371" t="s">
        <v>2791</v>
      </c>
      <c r="D1773" s="2714">
        <f t="shared" si="166"/>
        <v>0</v>
      </c>
      <c r="E1773" s="2719">
        <v>1</v>
      </c>
      <c r="F1773" s="294"/>
      <c r="G1773" s="409" t="s">
        <v>2792</v>
      </c>
      <c r="H1773" s="383"/>
      <c r="I1773" s="383"/>
      <c r="J1773" s="383"/>
      <c r="K1773" s="492"/>
      <c r="L1773" s="291"/>
      <c r="M1773" s="291"/>
      <c r="S1773" s="364"/>
      <c r="Z1773" s="609" t="s">
        <v>716</v>
      </c>
      <c r="AA1773" s="609" t="s">
        <v>3283</v>
      </c>
    </row>
    <row r="1774" spans="1:27" ht="18.75" thickBot="1">
      <c r="A1774" s="2712"/>
      <c r="B1774" s="371"/>
      <c r="C1774" s="371"/>
      <c r="D1774" s="2714">
        <f t="shared" si="166"/>
        <v>1</v>
      </c>
      <c r="E1774" s="2719" t="s">
        <v>2751</v>
      </c>
      <c r="F1774" s="294"/>
      <c r="G1774" s="403" t="s">
        <v>2752</v>
      </c>
      <c r="H1774" s="503">
        <f>SUMPRODUCT($E1768:$E1773,H1768:H1773)</f>
        <v>0</v>
      </c>
      <c r="I1774" s="503">
        <f>SUMPRODUCT($E1768:$E1773,I1768:I1773)</f>
        <v>0</v>
      </c>
      <c r="J1774" s="503">
        <f>SUMPRODUCT($E1768:$E1773,J1768:J1773)</f>
        <v>0</v>
      </c>
      <c r="K1774" s="513"/>
      <c r="L1774" s="291"/>
      <c r="M1774" s="291"/>
      <c r="S1774" s="364"/>
      <c r="Z1774" s="609" t="s">
        <v>716</v>
      </c>
      <c r="AA1774" s="609" t="s">
        <v>3283</v>
      </c>
    </row>
    <row r="1775" spans="1:27" ht="18">
      <c r="A1775" s="2712"/>
      <c r="B1775" s="371"/>
      <c r="C1775" s="371" t="s">
        <v>2755</v>
      </c>
      <c r="D1775" s="371"/>
      <c r="F1775" s="294"/>
      <c r="G1775" s="368"/>
      <c r="H1775" s="349"/>
      <c r="I1775" s="349"/>
      <c r="J1775" s="349"/>
      <c r="K1775" s="350"/>
      <c r="L1775" s="291"/>
      <c r="M1775" s="291"/>
      <c r="S1775" s="364"/>
      <c r="Z1775" s="609" t="s">
        <v>716</v>
      </c>
      <c r="AA1775" s="609" t="s">
        <v>3283</v>
      </c>
    </row>
    <row r="1776" spans="1:27" ht="24">
      <c r="A1776" s="2712" t="s">
        <v>721</v>
      </c>
      <c r="B1776" s="371">
        <v>2</v>
      </c>
      <c r="C1776" s="371"/>
      <c r="D1776" s="2714" t="str">
        <f>VLOOKUP($A1776,Sheet_NoteList,2,0)</f>
        <v>期末持有待售资产减值准备</v>
      </c>
      <c r="E1776" s="2714" t="s">
        <v>2742</v>
      </c>
      <c r="F1776" s="371"/>
      <c r="G1776" s="372" t="str">
        <f>"("&amp;B1776&amp;")"&amp;D1776</f>
        <v>(2)期末持有待售资产减值准备</v>
      </c>
      <c r="H1776" s="1515" t="str">
        <f>$A1776</f>
        <v>1315f</v>
      </c>
      <c r="I1776" s="343" t="s">
        <v>2743</v>
      </c>
      <c r="J1776" s="301" t="s">
        <v>2744</v>
      </c>
      <c r="K1776" s="2208">
        <f>L1789</f>
        <v>0</v>
      </c>
      <c r="L1776" s="349"/>
      <c r="M1776" s="301" t="s">
        <v>2745</v>
      </c>
      <c r="N1776" s="2208">
        <f>H1789</f>
        <v>0</v>
      </c>
      <c r="O1776" s="349"/>
      <c r="P1776" s="301"/>
      <c r="S1776" s="364"/>
      <c r="Z1776" s="609" t="s">
        <v>716</v>
      </c>
      <c r="AA1776" s="609" t="s">
        <v>3283</v>
      </c>
    </row>
    <row r="1777" spans="1:29" ht="0.75" customHeight="1">
      <c r="A1777" s="2712"/>
      <c r="B1777" s="371"/>
      <c r="C1777" s="371"/>
      <c r="D1777" s="2714"/>
      <c r="E1777" s="586"/>
      <c r="F1777" s="414"/>
      <c r="G1777" s="2248" t="s">
        <v>3291</v>
      </c>
      <c r="H1777" s="293" t="s">
        <v>2904</v>
      </c>
      <c r="I1777" s="293" t="s">
        <v>3255</v>
      </c>
      <c r="J1777" s="293" t="s">
        <v>3227</v>
      </c>
      <c r="K1777" s="418" t="s">
        <v>3292</v>
      </c>
      <c r="L1777" s="418" t="s">
        <v>3252</v>
      </c>
      <c r="M1777" s="293"/>
      <c r="N1777" s="351"/>
      <c r="O1777" s="349"/>
      <c r="P1777" s="301"/>
      <c r="S1777" s="364"/>
      <c r="Z1777" s="609" t="s">
        <v>716</v>
      </c>
      <c r="AA1777" s="609" t="s">
        <v>3283</v>
      </c>
    </row>
    <row r="1778" spans="1:29" ht="0.75" customHeight="1" thickBot="1">
      <c r="A1778" s="2712"/>
      <c r="B1778" s="371"/>
      <c r="C1778" s="371"/>
      <c r="D1778" s="2714"/>
      <c r="E1778" s="586"/>
      <c r="F1778" s="414"/>
      <c r="G1778" s="2248"/>
      <c r="H1778" s="293" t="s">
        <v>3293</v>
      </c>
      <c r="I1778" s="293" t="s">
        <v>3294</v>
      </c>
      <c r="J1778" s="293" t="s">
        <v>3295</v>
      </c>
      <c r="K1778" s="418" t="s">
        <v>3296</v>
      </c>
      <c r="L1778" s="418" t="s">
        <v>3297</v>
      </c>
      <c r="M1778" s="293" t="s">
        <v>3298</v>
      </c>
      <c r="N1778" s="351" t="s">
        <v>3298</v>
      </c>
      <c r="O1778" s="349"/>
      <c r="P1778" s="301"/>
      <c r="S1778" s="364"/>
      <c r="Z1778" s="609" t="s">
        <v>716</v>
      </c>
      <c r="AA1778" s="609" t="s">
        <v>3283</v>
      </c>
    </row>
    <row r="1779" spans="1:29" ht="18" customHeight="1">
      <c r="A1779" s="2712"/>
      <c r="B1779" s="371"/>
      <c r="C1779" s="371"/>
      <c r="D1779" s="2714"/>
      <c r="E1779" s="586" t="s">
        <v>2749</v>
      </c>
      <c r="F1779" s="414"/>
      <c r="G1779" s="3462" t="s">
        <v>47</v>
      </c>
      <c r="H1779" s="3468" t="str">
        <f>$V$3</f>
        <v>2018年12月31日</v>
      </c>
      <c r="I1779" s="3466" t="s">
        <v>3027</v>
      </c>
      <c r="J1779" s="3466" t="s">
        <v>3028</v>
      </c>
      <c r="K1779" s="3466"/>
      <c r="L1779" s="3579" t="str">
        <f>$V$2</f>
        <v>2019年12月31日</v>
      </c>
      <c r="M1779" s="355" t="s">
        <v>5273</v>
      </c>
      <c r="N1779" s="391"/>
      <c r="O1779" s="349"/>
      <c r="P1779" s="301"/>
      <c r="S1779" s="364"/>
      <c r="Z1779" s="609" t="s">
        <v>716</v>
      </c>
      <c r="AA1779" s="609" t="s">
        <v>3283</v>
      </c>
    </row>
    <row r="1780" spans="1:29" ht="18">
      <c r="A1780" s="2712"/>
      <c r="B1780" s="371"/>
      <c r="C1780" s="371"/>
      <c r="D1780" s="2714"/>
      <c r="E1780" s="586" t="s">
        <v>2749</v>
      </c>
      <c r="F1780" s="586"/>
      <c r="G1780" s="3463"/>
      <c r="H1780" s="3469"/>
      <c r="I1780" s="3467"/>
      <c r="J1780" s="2292" t="s">
        <v>3299</v>
      </c>
      <c r="K1780" s="2237" t="s">
        <v>6130</v>
      </c>
      <c r="L1780" s="3580"/>
      <c r="M1780" s="301"/>
      <c r="N1780" s="391"/>
      <c r="O1780" s="349"/>
      <c r="P1780" s="301"/>
      <c r="S1780" s="364"/>
      <c r="Z1780" s="609" t="s">
        <v>716</v>
      </c>
      <c r="AA1780" s="609" t="s">
        <v>3283</v>
      </c>
    </row>
    <row r="1781" spans="1:29" ht="18">
      <c r="A1781" s="2712"/>
      <c r="B1781" s="371">
        <v>101</v>
      </c>
      <c r="C1781" s="371" t="s">
        <v>2791</v>
      </c>
      <c r="D1781" s="2714">
        <f t="shared" ref="D1781:D1789" si="167">IF(OR(G1781="*",G1781="",G1781=0),0,COUNTIF($G$1781:$G$1789,G1781))</f>
        <v>0</v>
      </c>
      <c r="E1781" s="2719">
        <v>1</v>
      </c>
      <c r="F1781" s="371"/>
      <c r="G1781" s="2282" t="s">
        <v>2792</v>
      </c>
      <c r="H1781" s="2273"/>
      <c r="I1781" s="2273"/>
      <c r="J1781" s="2273"/>
      <c r="K1781" s="2273"/>
      <c r="L1781" s="1475">
        <f>H1781+I1781-J1781-K1781</f>
        <v>0</v>
      </c>
      <c r="M1781" s="301"/>
      <c r="N1781" s="391"/>
      <c r="O1781" s="349"/>
      <c r="P1781" s="301"/>
      <c r="S1781" s="364"/>
      <c r="Z1781" s="609" t="s">
        <v>716</v>
      </c>
      <c r="AA1781" s="609" t="s">
        <v>3283</v>
      </c>
    </row>
    <row r="1782" spans="1:29" ht="18">
      <c r="A1782" s="2712"/>
      <c r="B1782" s="371">
        <v>102</v>
      </c>
      <c r="C1782" s="371" t="s">
        <v>2791</v>
      </c>
      <c r="D1782" s="2714">
        <f t="shared" si="167"/>
        <v>0</v>
      </c>
      <c r="E1782" s="2719">
        <v>1</v>
      </c>
      <c r="F1782" s="371"/>
      <c r="G1782" s="2282" t="s">
        <v>2792</v>
      </c>
      <c r="H1782" s="2273"/>
      <c r="I1782" s="2273"/>
      <c r="J1782" s="2273"/>
      <c r="K1782" s="2273"/>
      <c r="L1782" s="1475">
        <f t="shared" ref="L1782:L1788" si="168">H1782+I1782-J1782-K1782</f>
        <v>0</v>
      </c>
      <c r="M1782" s="301"/>
      <c r="N1782" s="391"/>
      <c r="O1782" s="349"/>
      <c r="P1782" s="301"/>
      <c r="S1782" s="364"/>
      <c r="Z1782" s="609" t="s">
        <v>716</v>
      </c>
      <c r="AA1782" s="609" t="s">
        <v>3283</v>
      </c>
    </row>
    <row r="1783" spans="1:29" ht="18">
      <c r="A1783" s="2712"/>
      <c r="B1783" s="371">
        <v>103</v>
      </c>
      <c r="C1783" s="371" t="s">
        <v>2791</v>
      </c>
      <c r="D1783" s="2714">
        <f t="shared" si="167"/>
        <v>0</v>
      </c>
      <c r="E1783" s="2719">
        <v>1</v>
      </c>
      <c r="F1783" s="371"/>
      <c r="G1783" s="2282" t="s">
        <v>2792</v>
      </c>
      <c r="H1783" s="2273"/>
      <c r="I1783" s="2273"/>
      <c r="J1783" s="2273"/>
      <c r="K1783" s="2273"/>
      <c r="L1783" s="1475">
        <f t="shared" si="168"/>
        <v>0</v>
      </c>
      <c r="M1783" s="301"/>
      <c r="N1783" s="391"/>
      <c r="O1783" s="349"/>
      <c r="P1783" s="301"/>
      <c r="S1783" s="364"/>
      <c r="Z1783" s="609" t="s">
        <v>716</v>
      </c>
      <c r="AA1783" s="609" t="s">
        <v>3283</v>
      </c>
    </row>
    <row r="1784" spans="1:29" ht="18">
      <c r="A1784" s="2712"/>
      <c r="B1784" s="371">
        <v>104</v>
      </c>
      <c r="C1784" s="371" t="s">
        <v>2791</v>
      </c>
      <c r="D1784" s="2714">
        <f t="shared" si="167"/>
        <v>0</v>
      </c>
      <c r="E1784" s="2719">
        <v>1</v>
      </c>
      <c r="F1784" s="371"/>
      <c r="G1784" s="2282" t="s">
        <v>2792</v>
      </c>
      <c r="H1784" s="2273"/>
      <c r="I1784" s="2273"/>
      <c r="J1784" s="2273"/>
      <c r="K1784" s="2273"/>
      <c r="L1784" s="1475">
        <f t="shared" si="168"/>
        <v>0</v>
      </c>
      <c r="M1784" s="301"/>
      <c r="N1784" s="391"/>
      <c r="O1784" s="349"/>
      <c r="P1784" s="301"/>
      <c r="S1784" s="364"/>
      <c r="Z1784" s="609" t="s">
        <v>716</v>
      </c>
      <c r="AA1784" s="609" t="s">
        <v>3283</v>
      </c>
    </row>
    <row r="1785" spans="1:29" ht="18">
      <c r="A1785" s="2712"/>
      <c r="B1785" s="371">
        <v>105</v>
      </c>
      <c r="C1785" s="371" t="s">
        <v>2791</v>
      </c>
      <c r="D1785" s="2714">
        <f t="shared" si="167"/>
        <v>0</v>
      </c>
      <c r="E1785" s="2719">
        <v>1</v>
      </c>
      <c r="F1785" s="371"/>
      <c r="G1785" s="2282" t="s">
        <v>2792</v>
      </c>
      <c r="H1785" s="2273"/>
      <c r="I1785" s="2273"/>
      <c r="J1785" s="2273"/>
      <c r="K1785" s="2273"/>
      <c r="L1785" s="1475">
        <f t="shared" si="168"/>
        <v>0</v>
      </c>
      <c r="M1785" s="301"/>
      <c r="N1785" s="391"/>
      <c r="O1785" s="349"/>
      <c r="P1785" s="301"/>
      <c r="S1785" s="364"/>
      <c r="Z1785" s="609" t="s">
        <v>716</v>
      </c>
      <c r="AA1785" s="609" t="s">
        <v>3283</v>
      </c>
    </row>
    <row r="1786" spans="1:29" ht="18">
      <c r="A1786" s="2712"/>
      <c r="B1786" s="371">
        <v>106</v>
      </c>
      <c r="C1786" s="371" t="s">
        <v>2791</v>
      </c>
      <c r="D1786" s="2714">
        <f t="shared" si="167"/>
        <v>0</v>
      </c>
      <c r="E1786" s="2719">
        <v>1</v>
      </c>
      <c r="F1786" s="371"/>
      <c r="G1786" s="2282" t="s">
        <v>2792</v>
      </c>
      <c r="H1786" s="2273"/>
      <c r="I1786" s="2273"/>
      <c r="J1786" s="2273"/>
      <c r="K1786" s="2273"/>
      <c r="L1786" s="1475">
        <f t="shared" si="168"/>
        <v>0</v>
      </c>
      <c r="M1786" s="301"/>
      <c r="N1786" s="391"/>
      <c r="O1786" s="349"/>
      <c r="P1786" s="301"/>
      <c r="S1786" s="364"/>
      <c r="Z1786" s="609" t="s">
        <v>716</v>
      </c>
      <c r="AA1786" s="609" t="s">
        <v>3283</v>
      </c>
    </row>
    <row r="1787" spans="1:29" ht="18">
      <c r="A1787" s="2712"/>
      <c r="B1787" s="371">
        <v>107</v>
      </c>
      <c r="C1787" s="371" t="s">
        <v>2791</v>
      </c>
      <c r="D1787" s="2714">
        <f t="shared" si="167"/>
        <v>0</v>
      </c>
      <c r="E1787" s="2719">
        <v>1</v>
      </c>
      <c r="F1787" s="371"/>
      <c r="G1787" s="2282" t="s">
        <v>2792</v>
      </c>
      <c r="H1787" s="2273"/>
      <c r="I1787" s="2273"/>
      <c r="J1787" s="2273"/>
      <c r="K1787" s="2273"/>
      <c r="L1787" s="1475">
        <f t="shared" si="168"/>
        <v>0</v>
      </c>
      <c r="M1787" s="301"/>
      <c r="N1787" s="391"/>
      <c r="O1787" s="349"/>
      <c r="P1787" s="301"/>
      <c r="S1787" s="364"/>
      <c r="Z1787" s="609" t="s">
        <v>716</v>
      </c>
      <c r="AA1787" s="609" t="s">
        <v>3283</v>
      </c>
    </row>
    <row r="1788" spans="1:29" ht="18">
      <c r="A1788" s="2712"/>
      <c r="B1788" s="371">
        <v>108</v>
      </c>
      <c r="C1788" s="371" t="s">
        <v>2791</v>
      </c>
      <c r="D1788" s="2714">
        <f t="shared" si="167"/>
        <v>0</v>
      </c>
      <c r="E1788" s="2719">
        <v>1</v>
      </c>
      <c r="F1788" s="371"/>
      <c r="G1788" s="2282" t="s">
        <v>2792</v>
      </c>
      <c r="H1788" s="2273"/>
      <c r="I1788" s="2273"/>
      <c r="J1788" s="2273"/>
      <c r="K1788" s="2273"/>
      <c r="L1788" s="1475">
        <f t="shared" si="168"/>
        <v>0</v>
      </c>
      <c r="M1788" s="301"/>
      <c r="N1788" s="391"/>
      <c r="O1788" s="349"/>
      <c r="P1788" s="301"/>
      <c r="S1788" s="364"/>
      <c r="Z1788" s="609" t="s">
        <v>716</v>
      </c>
      <c r="AA1788" s="609" t="s">
        <v>3283</v>
      </c>
    </row>
    <row r="1789" spans="1:29" ht="18.75" thickBot="1">
      <c r="A1789" s="2712"/>
      <c r="B1789" s="371"/>
      <c r="C1789" s="371"/>
      <c r="D1789" s="2714">
        <f t="shared" si="167"/>
        <v>1</v>
      </c>
      <c r="E1789" s="2719" t="s">
        <v>2751</v>
      </c>
      <c r="F1789" s="371"/>
      <c r="G1789" s="2232" t="s">
        <v>2752</v>
      </c>
      <c r="H1789" s="2233">
        <f>SUMPRODUCT($E1780:$E1788,H1780:H1788)</f>
        <v>0</v>
      </c>
      <c r="I1789" s="2233">
        <f>SUMPRODUCT($E1780:$E1788,I1780:I1788)</f>
        <v>0</v>
      </c>
      <c r="J1789" s="2233">
        <f>SUMPRODUCT($E1780:$E1788,J1780:J1788)</f>
        <v>0</v>
      </c>
      <c r="K1789" s="2233">
        <f>SUMPRODUCT($E1780:$E1788,K1780:K1788)</f>
        <v>0</v>
      </c>
      <c r="L1789" s="2234">
        <f>SUMPRODUCT($E1780:$E1788,L1780:L1788)</f>
        <v>0</v>
      </c>
      <c r="M1789" s="1593" t="str">
        <f ca="1">HYPERLINK("#'"&amp;$G$1&amp;"'!"&amp;ADDRESS(ROW(Notes!L4894),COLUMN(Notes!L4894),4),"* 请勿删除此行！点击往勾稽单元格，F5+Enter返回")</f>
        <v>* 请勿删除此行！点击往勾稽单元格，F5+Enter返回</v>
      </c>
      <c r="N1789" s="391"/>
      <c r="O1789" s="349"/>
      <c r="P1789" s="301"/>
      <c r="S1789" s="364"/>
      <c r="Z1789" s="609" t="s">
        <v>716</v>
      </c>
      <c r="AA1789" s="609" t="s">
        <v>3283</v>
      </c>
      <c r="AC1789" s="369" t="s">
        <v>2794</v>
      </c>
    </row>
    <row r="1790" spans="1:29" ht="18">
      <c r="A1790" s="2712"/>
      <c r="B1790" s="371"/>
      <c r="C1790" s="371" t="s">
        <v>2755</v>
      </c>
      <c r="D1790" s="2714"/>
      <c r="F1790" s="371"/>
      <c r="G1790" s="376"/>
      <c r="H1790" s="315"/>
      <c r="I1790" s="396"/>
      <c r="J1790" s="315"/>
      <c r="K1790" s="423"/>
      <c r="L1790" s="315"/>
      <c r="M1790" s="301"/>
      <c r="N1790" s="391"/>
      <c r="O1790" s="349"/>
      <c r="P1790" s="301"/>
      <c r="S1790" s="364"/>
      <c r="Z1790" s="609" t="s">
        <v>716</v>
      </c>
      <c r="AA1790" s="609" t="s">
        <v>3283</v>
      </c>
    </row>
    <row r="1791" spans="1:29" ht="18">
      <c r="A1791" s="2712">
        <v>1495</v>
      </c>
      <c r="B1791" s="371">
        <v>12</v>
      </c>
      <c r="C1791" s="2714" t="str">
        <f>VLOOKUP($A1791,Sheet_Items,2,0)</f>
        <v>一年内到期的非流动资产</v>
      </c>
      <c r="D1791" s="371"/>
      <c r="E1791" s="2714" t="s">
        <v>2739</v>
      </c>
      <c r="F1791" s="294"/>
      <c r="G1791" s="535" t="str">
        <f>B1791&amp;" "&amp;C1791</f>
        <v>12 一年内到期的非流动资产</v>
      </c>
      <c r="H1791" s="306"/>
      <c r="I1791" s="306"/>
      <c r="J1791" s="306" t="s">
        <v>2740</v>
      </c>
      <c r="K1791" s="341">
        <f>VLOOKUP($A1791,Sheet_Trialbal,6,0)</f>
        <v>0</v>
      </c>
      <c r="L1791" s="342"/>
      <c r="M1791" s="306" t="s">
        <v>2741</v>
      </c>
      <c r="N1791" s="341">
        <f>VLOOKUP($A1791,Sheet_Trialbal,10,0)</f>
        <v>0</v>
      </c>
      <c r="O1791" s="306"/>
      <c r="P1791" s="301"/>
      <c r="S1791" s="364"/>
      <c r="Z1791" s="609" t="s">
        <v>749</v>
      </c>
      <c r="AA1791" s="609" t="s">
        <v>3305</v>
      </c>
    </row>
    <row r="1792" spans="1:29" ht="24">
      <c r="A1792" s="2712" t="s">
        <v>747</v>
      </c>
      <c r="B1792" s="371">
        <v>1</v>
      </c>
      <c r="C1792" s="371"/>
      <c r="D1792" s="2714" t="str">
        <f>VLOOKUP($A1792,Sheet_NoteList,2,0)</f>
        <v>一年内到期的非流动资产明细项目</v>
      </c>
      <c r="E1792" s="2714" t="s">
        <v>2742</v>
      </c>
      <c r="F1792" s="294"/>
      <c r="G1792" s="372" t="str">
        <f>"("&amp;B1792&amp;")"&amp;D1792</f>
        <v>(1)一年内到期的非流动资产明细项目</v>
      </c>
      <c r="H1792" s="1515" t="str">
        <f>$A1792</f>
        <v>1495a</v>
      </c>
      <c r="I1792" s="343" t="s">
        <v>2743</v>
      </c>
      <c r="J1792" s="301" t="s">
        <v>2744</v>
      </c>
      <c r="K1792" s="2208">
        <f>H1799</f>
        <v>0</v>
      </c>
      <c r="L1792" s="345" t="str">
        <f>IF($I1792="适用",IF(ROUND(K1791-K1792,2)=0,"F/S",ROUND(K1791-K1792,2)),"#N/A")</f>
        <v>F/S</v>
      </c>
      <c r="M1792" s="301" t="s">
        <v>2745</v>
      </c>
      <c r="N1792" s="2208">
        <f>I1799</f>
        <v>0</v>
      </c>
      <c r="O1792" s="345" t="str">
        <f>IF($I1792="适用",IF(ROUND(N1791-N1792,2)=0,"F/S",ROUND(N1791-N1792,2)),"#N/A")</f>
        <v>F/S</v>
      </c>
      <c r="P1792" s="301"/>
      <c r="Q1792" s="290" t="str">
        <f>IF($I1792="不适用","",IF(ROUND(SUM($H$1795:$I$1799),2)=0,"请输入",""))</f>
        <v>请输入</v>
      </c>
      <c r="S1792" s="364"/>
      <c r="Z1792" s="609" t="s">
        <v>749</v>
      </c>
      <c r="AA1792" s="609" t="s">
        <v>3305</v>
      </c>
    </row>
    <row r="1793" spans="1:27" ht="0.75" customHeight="1" thickBot="1">
      <c r="A1793" s="2712"/>
      <c r="B1793" s="371">
        <v>1.0999999999999999E-2</v>
      </c>
      <c r="C1793" s="371"/>
      <c r="D1793" s="371"/>
      <c r="E1793" s="586"/>
      <c r="F1793" s="518"/>
      <c r="G1793" s="518" t="s">
        <v>3301</v>
      </c>
      <c r="H1793" s="304" t="s">
        <v>2747</v>
      </c>
      <c r="I1793" s="304" t="s">
        <v>2748</v>
      </c>
      <c r="J1793" s="291"/>
      <c r="K1793" s="291"/>
      <c r="L1793" s="291"/>
      <c r="M1793" s="291"/>
      <c r="S1793" s="364"/>
      <c r="Z1793" s="609" t="s">
        <v>749</v>
      </c>
      <c r="AA1793" s="609" t="s">
        <v>3305</v>
      </c>
    </row>
    <row r="1794" spans="1:27" ht="18.75" thickTop="1">
      <c r="A1794" s="2712"/>
      <c r="B1794" s="371"/>
      <c r="C1794" s="371"/>
      <c r="D1794" s="371"/>
      <c r="E1794" s="586" t="s">
        <v>2749</v>
      </c>
      <c r="F1794" s="363"/>
      <c r="G1794" s="2226" t="s">
        <v>47</v>
      </c>
      <c r="H1794" s="2223" t="str">
        <f>$V$2</f>
        <v>2019年12月31日</v>
      </c>
      <c r="I1794" s="2224" t="str">
        <f>$V$3</f>
        <v>2018年12月31日</v>
      </c>
      <c r="J1794" s="355" t="s">
        <v>5274</v>
      </c>
      <c r="K1794" s="1528" t="str">
        <f>""&amp;"&gt;本期:"&amp;""</f>
        <v>&gt;本期:</v>
      </c>
      <c r="L1794" s="1528" t="str">
        <f>""&amp;"&gt;上期:"&amp;""</f>
        <v>&gt;上期:</v>
      </c>
      <c r="M1794" s="2631" t="str">
        <f>""&amp;"NoteID"&amp;""</f>
        <v>NoteID</v>
      </c>
      <c r="S1794" s="364"/>
      <c r="Z1794" s="609" t="s">
        <v>749</v>
      </c>
      <c r="AA1794" s="609" t="s">
        <v>3305</v>
      </c>
    </row>
    <row r="1795" spans="1:27" ht="18">
      <c r="A1795" s="2712"/>
      <c r="B1795" s="371">
        <v>101</v>
      </c>
      <c r="C1795" s="371" t="s">
        <v>2791</v>
      </c>
      <c r="D1795" s="2714">
        <f>IF(OR(G1795="*",G1795="",G1795=0),0,COUNTIF($G$1795:$G$1799,G1795))</f>
        <v>1</v>
      </c>
      <c r="E1795" s="2719">
        <v>1</v>
      </c>
      <c r="F1795" s="294"/>
      <c r="G1795" s="2546" t="s">
        <v>3302</v>
      </c>
      <c r="H1795" s="2273"/>
      <c r="I1795" s="2295">
        <v>0</v>
      </c>
      <c r="J1795" s="424"/>
      <c r="K1795" s="2250">
        <f ca="1">HYPERLINK("#'"&amp;$G$1&amp;"'!"&amp;ADDRESS(ROW(Notes!J1837),COLUMN(Notes!J1837),4),J1837-H1795)</f>
        <v>0</v>
      </c>
      <c r="L1795" s="2250">
        <f ca="1">HYPERLINK("#'"&amp;$G$1&amp;"'!"&amp;ADDRESS(ROW(Notes!M1837),COLUMN(Notes!M1837),4),M1837-I1795)</f>
        <v>0</v>
      </c>
      <c r="M1795" s="2630" t="str">
        <f>H1825</f>
        <v>1505a</v>
      </c>
      <c r="S1795" s="364"/>
      <c r="Z1795" s="609" t="s">
        <v>749</v>
      </c>
      <c r="AA1795" s="609" t="s">
        <v>3305</v>
      </c>
    </row>
    <row r="1796" spans="1:27" ht="18">
      <c r="A1796" s="2712"/>
      <c r="B1796" s="371">
        <v>102</v>
      </c>
      <c r="C1796" s="371" t="s">
        <v>2791</v>
      </c>
      <c r="D1796" s="2714">
        <f>IF(OR(G1796="*",G1796="",G1796=0),0,COUNTIF($G$1795:$G$1799,G1796))</f>
        <v>1</v>
      </c>
      <c r="E1796" s="2719">
        <v>1</v>
      </c>
      <c r="F1796" s="294"/>
      <c r="G1796" s="2546" t="s">
        <v>3303</v>
      </c>
      <c r="H1796" s="2273"/>
      <c r="I1796" s="2295">
        <v>0</v>
      </c>
      <c r="J1796" s="291"/>
      <c r="K1796" s="2250">
        <f ca="1">HYPERLINK("#'"&amp;$G$1&amp;"'!"&amp;ADDRESS(ROW(Notes!M2047),COLUMN(Notes!M2047),4),M2047-H1796)</f>
        <v>0</v>
      </c>
      <c r="L1796" s="2250">
        <f ca="1">HYPERLINK("#'"&amp;$G$1&amp;"'!"&amp;ADDRESS(ROW(Notes!H2047),COLUMN(Notes!H2047),4),H2047-I1796)</f>
        <v>0</v>
      </c>
      <c r="M1796" s="2630" t="str">
        <f>H2034</f>
        <v>1508a</v>
      </c>
      <c r="S1796" s="364"/>
      <c r="Z1796" s="609" t="s">
        <v>749</v>
      </c>
      <c r="AA1796" s="609" t="s">
        <v>3305</v>
      </c>
    </row>
    <row r="1797" spans="1:27" ht="18">
      <c r="A1797" s="2712"/>
      <c r="B1797" s="371">
        <v>103</v>
      </c>
      <c r="C1797" s="371" t="s">
        <v>2791</v>
      </c>
      <c r="D1797" s="2714">
        <f>IF(OR(G1797="*",G1797="",G1797=0),0,COUNTIF($G$1795:$G$1799,G1797))</f>
        <v>1</v>
      </c>
      <c r="E1797" s="2719">
        <v>1</v>
      </c>
      <c r="F1797" s="294"/>
      <c r="G1797" s="2546" t="s">
        <v>3304</v>
      </c>
      <c r="H1797" s="2273"/>
      <c r="I1797" s="2294"/>
      <c r="J1797" s="291"/>
      <c r="K1797" s="2250">
        <f ca="1">HYPERLINK("#'"&amp;$G$1&amp;"'!"&amp;ADDRESS(ROW(Notes!J2217),COLUMN(Notes!J2217),4),J2217-H1797)</f>
        <v>0</v>
      </c>
      <c r="L1797" s="2250">
        <f ca="1">HYPERLINK("#'"&amp;$G$1&amp;"'!"&amp;ADDRESS(ROW(Notes!M2217),COLUMN(Notes!M2217),4),M2217-I1797)</f>
        <v>0</v>
      </c>
      <c r="M1797" s="2630" t="str">
        <f>H2204</f>
        <v>1531a</v>
      </c>
      <c r="S1797" s="364"/>
      <c r="Z1797" s="609" t="s">
        <v>749</v>
      </c>
      <c r="AA1797" s="609" t="s">
        <v>3305</v>
      </c>
    </row>
    <row r="1798" spans="1:27" ht="18">
      <c r="A1798" s="2712"/>
      <c r="B1798" s="371">
        <v>104</v>
      </c>
      <c r="C1798" s="371" t="s">
        <v>2791</v>
      </c>
      <c r="D1798" s="2714">
        <f>IF(OR(G1798="*",G1798="",G1798=0),0,COUNTIF($G$1795:$G$1799,G1798))</f>
        <v>0</v>
      </c>
      <c r="E1798" s="2719">
        <v>1</v>
      </c>
      <c r="F1798" s="294"/>
      <c r="G1798" s="2282" t="s">
        <v>2792</v>
      </c>
      <c r="H1798" s="2273"/>
      <c r="I1798" s="2294"/>
      <c r="J1798" s="291"/>
      <c r="K1798" s="456"/>
      <c r="L1798" s="456"/>
      <c r="M1798" s="456"/>
      <c r="S1798" s="364"/>
      <c r="Z1798" s="609" t="s">
        <v>749</v>
      </c>
      <c r="AA1798" s="609" t="s">
        <v>3305</v>
      </c>
    </row>
    <row r="1799" spans="1:27" ht="18.75" thickBot="1">
      <c r="A1799" s="2712"/>
      <c r="B1799" s="371"/>
      <c r="C1799" s="371"/>
      <c r="D1799" s="2714">
        <f>IF(OR(G1799="*",G1799="",G1799=0),0,COUNTIF($G$1795:$G$1799,G1799))</f>
        <v>1</v>
      </c>
      <c r="E1799" s="2719" t="s">
        <v>2751</v>
      </c>
      <c r="F1799" s="294"/>
      <c r="G1799" s="374" t="s">
        <v>2752</v>
      </c>
      <c r="H1799" s="1476">
        <f>SUMPRODUCT($E1794:$E1798,H1794:H1798)</f>
        <v>0</v>
      </c>
      <c r="I1799" s="1477">
        <f>SUMPRODUCT($E1794:$E1798,I1794:I1798)</f>
        <v>0</v>
      </c>
      <c r="J1799" s="291"/>
      <c r="K1799" s="1529">
        <f t="shared" ref="K1799:M1799" ca="1" si="169">SUM(K1795:K1798)</f>
        <v>0</v>
      </c>
      <c r="L1799" s="1529">
        <f t="shared" ca="1" si="169"/>
        <v>0</v>
      </c>
      <c r="M1799" s="1529">
        <f t="shared" si="169"/>
        <v>0</v>
      </c>
      <c r="S1799" s="364"/>
      <c r="Z1799" s="609" t="s">
        <v>749</v>
      </c>
      <c r="AA1799" s="609" t="s">
        <v>3305</v>
      </c>
    </row>
    <row r="1800" spans="1:27" ht="18">
      <c r="A1800" s="2712"/>
      <c r="B1800" s="371"/>
      <c r="C1800" s="371" t="s">
        <v>2755</v>
      </c>
      <c r="D1800" s="2714"/>
      <c r="E1800" s="2719"/>
      <c r="F1800" s="294"/>
      <c r="G1800" s="301"/>
      <c r="H1800" s="315"/>
      <c r="I1800" s="315"/>
      <c r="J1800" s="291"/>
      <c r="K1800" s="1537" t="s">
        <v>5503</v>
      </c>
      <c r="L1800" s="354"/>
      <c r="M1800" s="354"/>
      <c r="S1800" s="364"/>
      <c r="Z1800" s="609" t="s">
        <v>749</v>
      </c>
      <c r="AA1800" s="609" t="s">
        <v>3305</v>
      </c>
    </row>
    <row r="1801" spans="1:27" ht="24">
      <c r="A1801" s="2712" t="s">
        <v>752</v>
      </c>
      <c r="B1801" s="371">
        <v>2</v>
      </c>
      <c r="C1801" s="371"/>
      <c r="D1801" s="2714" t="str">
        <f>VLOOKUP($A1801,Sheet_NoteList,2,0)</f>
        <v>期末重要的一年内到期的债权投资或其他债权投资</v>
      </c>
      <c r="E1801" s="2714" t="s">
        <v>2742</v>
      </c>
      <c r="F1801" s="293"/>
      <c r="G1801" s="372" t="str">
        <f>"("&amp;B1801&amp;")"&amp;D1801</f>
        <v>(2)期末重要的一年内到期的债权投资或其他债权投资</v>
      </c>
      <c r="H1801" s="1515" t="str">
        <f>$A1801</f>
        <v>1495b</v>
      </c>
      <c r="I1801" s="343" t="s">
        <v>2743</v>
      </c>
      <c r="J1801" s="301" t="s">
        <v>2744</v>
      </c>
      <c r="K1801" s="2208">
        <f>H1811</f>
        <v>0</v>
      </c>
      <c r="L1801" s="349"/>
      <c r="M1801" s="301" t="s">
        <v>2745</v>
      </c>
      <c r="N1801" s="2208">
        <f>L1811</f>
        <v>0</v>
      </c>
      <c r="O1801" s="349"/>
      <c r="P1801" s="301"/>
      <c r="S1801" s="364"/>
      <c r="Z1801" s="609" t="s">
        <v>749</v>
      </c>
      <c r="AA1801" s="609" t="s">
        <v>3305</v>
      </c>
    </row>
    <row r="1802" spans="1:27" ht="0.75" customHeight="1">
      <c r="A1802" s="2712"/>
      <c r="B1802" s="371"/>
      <c r="C1802" s="371"/>
      <c r="D1802" s="2714"/>
      <c r="F1802" s="371"/>
      <c r="G1802" s="405" t="s">
        <v>3306</v>
      </c>
      <c r="H1802" s="371" t="s">
        <v>2747</v>
      </c>
      <c r="I1802" s="371" t="s">
        <v>2947</v>
      </c>
      <c r="J1802" s="371" t="s">
        <v>3307</v>
      </c>
      <c r="K1802" s="547" t="s">
        <v>2898</v>
      </c>
      <c r="L1802" s="547" t="s">
        <v>3035</v>
      </c>
      <c r="M1802" s="371" t="s">
        <v>3308</v>
      </c>
      <c r="N1802" s="547" t="s">
        <v>3309</v>
      </c>
      <c r="O1802" s="547" t="s">
        <v>3310</v>
      </c>
      <c r="P1802" s="433"/>
      <c r="Q1802" s="442"/>
      <c r="R1802" s="443"/>
      <c r="S1802" s="364"/>
      <c r="Z1802" s="609" t="s">
        <v>749</v>
      </c>
      <c r="AA1802" s="609" t="s">
        <v>3305</v>
      </c>
    </row>
    <row r="1803" spans="1:27" ht="0.75" customHeight="1" thickBot="1">
      <c r="A1803" s="2712"/>
      <c r="B1803" s="371"/>
      <c r="C1803" s="371"/>
      <c r="D1803" s="2714"/>
      <c r="F1803" s="371"/>
      <c r="G1803" s="405"/>
      <c r="H1803" s="371" t="s">
        <v>3311</v>
      </c>
      <c r="I1803" s="371" t="s">
        <v>3312</v>
      </c>
      <c r="J1803" s="371" t="s">
        <v>3313</v>
      </c>
      <c r="K1803" s="547" t="s">
        <v>3314</v>
      </c>
      <c r="L1803" s="547" t="s">
        <v>3315</v>
      </c>
      <c r="M1803" s="371" t="s">
        <v>3316</v>
      </c>
      <c r="N1803" s="547" t="s">
        <v>3317</v>
      </c>
      <c r="O1803" s="547" t="s">
        <v>3318</v>
      </c>
      <c r="P1803" s="433"/>
      <c r="Q1803" s="442"/>
      <c r="R1803" s="443"/>
      <c r="S1803" s="364"/>
      <c r="Z1803" s="609" t="s">
        <v>749</v>
      </c>
      <c r="AA1803" s="609" t="s">
        <v>3305</v>
      </c>
    </row>
    <row r="1804" spans="1:27" ht="18" customHeight="1">
      <c r="A1804" s="2712"/>
      <c r="B1804" s="371"/>
      <c r="C1804" s="371"/>
      <c r="D1804" s="2714"/>
      <c r="E1804" s="2714" t="s">
        <v>2749</v>
      </c>
      <c r="F1804" s="293"/>
      <c r="G1804" s="3489" t="s">
        <v>5484</v>
      </c>
      <c r="H1804" s="3470" t="str">
        <f>$V$2</f>
        <v>2019年12月31日</v>
      </c>
      <c r="I1804" s="3471"/>
      <c r="J1804" s="3471"/>
      <c r="K1804" s="3581"/>
      <c r="L1804" s="3582" t="str">
        <f>$V$3</f>
        <v>2018年12月31日</v>
      </c>
      <c r="M1804" s="3583"/>
      <c r="N1804" s="3583"/>
      <c r="O1804" s="3583"/>
      <c r="P1804" s="355" t="s">
        <v>5274</v>
      </c>
      <c r="Q1804" s="442"/>
      <c r="R1804" s="443"/>
      <c r="S1804" s="364"/>
      <c r="Z1804" s="609" t="s">
        <v>749</v>
      </c>
      <c r="AA1804" s="609" t="s">
        <v>3305</v>
      </c>
    </row>
    <row r="1805" spans="1:27" ht="18">
      <c r="A1805" s="2712"/>
      <c r="B1805" s="371"/>
      <c r="C1805" s="371"/>
      <c r="D1805" s="2714"/>
      <c r="E1805" s="2714" t="s">
        <v>2749</v>
      </c>
      <c r="F1805" s="293"/>
      <c r="G1805" s="3490"/>
      <c r="H1805" s="2292" t="s">
        <v>3319</v>
      </c>
      <c r="I1805" s="2292" t="s">
        <v>3320</v>
      </c>
      <c r="J1805" s="2292" t="s">
        <v>3321</v>
      </c>
      <c r="K1805" s="2236" t="s">
        <v>3322</v>
      </c>
      <c r="L1805" s="2236" t="s">
        <v>3319</v>
      </c>
      <c r="M1805" s="2292" t="s">
        <v>3320</v>
      </c>
      <c r="N1805" s="2236" t="s">
        <v>3321</v>
      </c>
      <c r="O1805" s="2312" t="s">
        <v>3322</v>
      </c>
      <c r="P1805" s="435"/>
      <c r="Q1805" s="442"/>
      <c r="R1805" s="443"/>
      <c r="S1805" s="364"/>
      <c r="Z1805" s="609" t="s">
        <v>749</v>
      </c>
      <c r="AA1805" s="609" t="s">
        <v>3305</v>
      </c>
    </row>
    <row r="1806" spans="1:27" ht="18">
      <c r="A1806" s="2712"/>
      <c r="B1806" s="371">
        <v>101</v>
      </c>
      <c r="C1806" s="371" t="s">
        <v>2791</v>
      </c>
      <c r="D1806" s="2714">
        <f t="shared" ref="D1806:D1811" si="170">IF(OR(G1806="*",G1806="",G1806=0),0,COUNTIF($G$1806:$G$1811,G1806))</f>
        <v>0</v>
      </c>
      <c r="E1806" s="2719">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8">
      <c r="A1807" s="2712"/>
      <c r="B1807" s="371">
        <v>102</v>
      </c>
      <c r="C1807" s="371" t="s">
        <v>2791</v>
      </c>
      <c r="D1807" s="2714">
        <f t="shared" si="170"/>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2"/>
      <c r="B1808" s="371">
        <v>103</v>
      </c>
      <c r="C1808" s="371" t="s">
        <v>2791</v>
      </c>
      <c r="D1808" s="2714">
        <f t="shared" si="170"/>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
      <c r="A1809" s="2712"/>
      <c r="B1809" s="371">
        <v>104</v>
      </c>
      <c r="C1809" s="371" t="s">
        <v>2791</v>
      </c>
      <c r="D1809" s="2714">
        <f t="shared" si="170"/>
        <v>0</v>
      </c>
      <c r="E1809" s="2719">
        <v>1</v>
      </c>
      <c r="F1809" s="293"/>
      <c r="G1809" s="319" t="s">
        <v>2792</v>
      </c>
      <c r="H1809" s="309"/>
      <c r="I1809" s="422"/>
      <c r="J1809" s="309"/>
      <c r="K1809" s="431"/>
      <c r="L1809" s="1463">
        <v>0</v>
      </c>
      <c r="M1809" s="1463">
        <v>0</v>
      </c>
      <c r="N1809" s="1485">
        <v>0</v>
      </c>
      <c r="O1809" s="1511">
        <v>0</v>
      </c>
      <c r="P1809" s="438"/>
      <c r="Q1809" s="442"/>
      <c r="R1809" s="443"/>
      <c r="S1809" s="364"/>
      <c r="Z1809" s="609" t="s">
        <v>749</v>
      </c>
      <c r="AA1809" s="609" t="s">
        <v>3305</v>
      </c>
    </row>
    <row r="1810" spans="1:27" ht="18">
      <c r="A1810" s="2712"/>
      <c r="B1810" s="371">
        <v>105</v>
      </c>
      <c r="C1810" s="371" t="s">
        <v>2791</v>
      </c>
      <c r="D1810" s="2714">
        <f t="shared" si="170"/>
        <v>0</v>
      </c>
      <c r="E1810" s="2719">
        <v>1</v>
      </c>
      <c r="F1810" s="293"/>
      <c r="G1810" s="319" t="s">
        <v>2792</v>
      </c>
      <c r="H1810" s="309"/>
      <c r="I1810" s="422"/>
      <c r="J1810" s="309"/>
      <c r="K1810" s="431"/>
      <c r="L1810" s="1463">
        <v>0</v>
      </c>
      <c r="M1810" s="1463">
        <v>0</v>
      </c>
      <c r="N1810" s="1485">
        <v>0</v>
      </c>
      <c r="O1810" s="1511">
        <v>0</v>
      </c>
      <c r="P1810" s="438"/>
      <c r="Q1810" s="442"/>
      <c r="R1810" s="443"/>
      <c r="S1810" s="364"/>
      <c r="Z1810" s="609" t="s">
        <v>749</v>
      </c>
      <c r="AA1810" s="609" t="s">
        <v>3305</v>
      </c>
    </row>
    <row r="1811" spans="1:27" ht="18.75" thickBot="1">
      <c r="A1811" s="2712"/>
      <c r="B1811" s="371"/>
      <c r="C1811" s="371"/>
      <c r="D1811" s="2714">
        <f t="shared" si="170"/>
        <v>1</v>
      </c>
      <c r="E1811" s="2719" t="s">
        <v>2751</v>
      </c>
      <c r="F1811" s="293"/>
      <c r="G1811" s="2232" t="s">
        <v>5482</v>
      </c>
      <c r="H1811" s="2233">
        <f>SUMPRODUCT($E1805:$E1810,H1805:H1810)</f>
        <v>0</v>
      </c>
      <c r="I1811" s="2319">
        <v>0</v>
      </c>
      <c r="J1811" s="2319">
        <v>0</v>
      </c>
      <c r="K1811" s="2320">
        <v>0</v>
      </c>
      <c r="L1811" s="2321">
        <v>0</v>
      </c>
      <c r="M1811" s="2319">
        <v>0</v>
      </c>
      <c r="N1811" s="2319">
        <v>0</v>
      </c>
      <c r="O1811" s="2322">
        <v>0</v>
      </c>
      <c r="P1811" s="440"/>
      <c r="Q1811" s="442"/>
      <c r="R1811" s="443"/>
      <c r="S1811" s="364"/>
      <c r="Z1811" s="609" t="s">
        <v>749</v>
      </c>
      <c r="AA1811" s="609" t="s">
        <v>3305</v>
      </c>
    </row>
    <row r="1812" spans="1:27" ht="18">
      <c r="A1812" s="2712"/>
      <c r="B1812" s="371"/>
      <c r="C1812" s="371" t="s">
        <v>2755</v>
      </c>
      <c r="D1812" s="2714"/>
      <c r="F1812" s="293"/>
      <c r="G1812" s="376"/>
      <c r="H1812" s="315"/>
      <c r="I1812" s="396"/>
      <c r="J1812" s="315"/>
      <c r="K1812" s="392"/>
      <c r="L1812" s="315"/>
      <c r="M1812" s="315"/>
      <c r="N1812" s="423"/>
      <c r="O1812" s="393"/>
      <c r="P1812" s="425"/>
      <c r="Q1812" s="442"/>
      <c r="R1812" s="443"/>
      <c r="S1812" s="364"/>
      <c r="Z1812" s="609" t="s">
        <v>749</v>
      </c>
      <c r="AA1812" s="609" t="s">
        <v>3305</v>
      </c>
    </row>
    <row r="1813" spans="1:27" ht="18">
      <c r="A1813" s="2712">
        <v>1496</v>
      </c>
      <c r="B1813" s="371">
        <v>13</v>
      </c>
      <c r="C1813" s="2714" t="str">
        <f>VLOOKUP($A1813,Sheet_Items,2,0)</f>
        <v>其他流动资产</v>
      </c>
      <c r="D1813" s="371"/>
      <c r="E1813" s="2714" t="s">
        <v>2739</v>
      </c>
      <c r="F1813" s="294"/>
      <c r="G1813" s="305" t="str">
        <f>B1813&amp;" "&amp;C1813</f>
        <v>13 其他流动资产</v>
      </c>
      <c r="H1813" s="306"/>
      <c r="I1813" s="306"/>
      <c r="J1813" s="306" t="s">
        <v>2740</v>
      </c>
      <c r="K1813" s="341">
        <f>VLOOKUP($A1813,Sheet_Trialbal,6,0)</f>
        <v>0</v>
      </c>
      <c r="L1813" s="342"/>
      <c r="M1813" s="306" t="s">
        <v>2741</v>
      </c>
      <c r="N1813" s="341">
        <f>VLOOKUP($A1813,Sheet_Trialbal,10,0)</f>
        <v>0</v>
      </c>
      <c r="O1813" s="306"/>
      <c r="P1813" s="301"/>
      <c r="S1813" s="364"/>
      <c r="Z1813" s="609" t="s">
        <v>758</v>
      </c>
      <c r="AA1813" s="609" t="s">
        <v>5656</v>
      </c>
    </row>
    <row r="1814" spans="1:27" ht="18">
      <c r="A1814" s="2712" t="s">
        <v>756</v>
      </c>
      <c r="B1814" s="371">
        <v>1</v>
      </c>
      <c r="C1814" s="371"/>
      <c r="D1814" s="2714" t="str">
        <f>VLOOKUP($A1814,Sheet_NoteList,2,0)</f>
        <v>其他流动资产明细列示</v>
      </c>
      <c r="E1814" s="2714" t="s">
        <v>2742</v>
      </c>
      <c r="F1814" s="294"/>
      <c r="G1814" s="307" t="str">
        <f>"("&amp;B1814&amp;")"&amp;D1814</f>
        <v>(1)其他流动资产明细列示</v>
      </c>
      <c r="H1814" s="1515" t="str">
        <f>$A1814</f>
        <v>1496a</v>
      </c>
      <c r="I1814" s="343" t="s">
        <v>2743</v>
      </c>
      <c r="J1814" s="301" t="s">
        <v>2744</v>
      </c>
      <c r="K1814" s="2208">
        <f>H1822</f>
        <v>0</v>
      </c>
      <c r="L1814" s="345" t="str">
        <f>IF($I1814="适用",IF(ROUND(K1813-K1814,2)=0,"F/S",ROUND(K1813-K1814,2)),"#N/A")</f>
        <v>F/S</v>
      </c>
      <c r="M1814" s="301" t="s">
        <v>2745</v>
      </c>
      <c r="N1814" s="2208">
        <f>I1822</f>
        <v>0</v>
      </c>
      <c r="O1814" s="345" t="str">
        <f>IF($I1814="适用",IF(ROUND(N1813-N1814,2)=0,"F/S",ROUND(N1813-N1814,2)),"#N/A")</f>
        <v>F/S</v>
      </c>
      <c r="P1814" s="301"/>
      <c r="Q1814" s="290" t="str">
        <f>IF($I1814="不适用","",IF(ROUND(SUM($H$1817:$I$1822),2)=0,"请输入",""))</f>
        <v>请输入</v>
      </c>
      <c r="S1814" s="364"/>
      <c r="Z1814" s="609" t="s">
        <v>758</v>
      </c>
      <c r="AA1814" s="609" t="s">
        <v>5656</v>
      </c>
    </row>
    <row r="1815" spans="1:27" ht="0.75" customHeight="1" thickBot="1">
      <c r="A1815" s="2712"/>
      <c r="B1815" s="371"/>
      <c r="C1815" s="371"/>
      <c r="D1815" s="371"/>
      <c r="F1815" s="371"/>
      <c r="G1815" s="371" t="s">
        <v>3323</v>
      </c>
      <c r="H1815" s="371" t="s">
        <v>2747</v>
      </c>
      <c r="I1815" s="371" t="s">
        <v>2748</v>
      </c>
      <c r="J1815" s="291"/>
      <c r="K1815" s="291"/>
      <c r="L1815" s="291"/>
      <c r="M1815" s="291"/>
      <c r="S1815" s="364"/>
      <c r="Z1815" s="609" t="s">
        <v>758</v>
      </c>
      <c r="AA1815" s="609" t="s">
        <v>5656</v>
      </c>
    </row>
    <row r="1816" spans="1:27" ht="18">
      <c r="A1816" s="2712"/>
      <c r="B1816" s="371"/>
      <c r="C1816" s="371"/>
      <c r="D1816" s="371"/>
      <c r="E1816" s="2714" t="s">
        <v>2749</v>
      </c>
      <c r="F1816" s="294"/>
      <c r="G1816" s="410" t="s">
        <v>47</v>
      </c>
      <c r="H1816" s="1452" t="str">
        <f>$V$2</f>
        <v>2019年12月31日</v>
      </c>
      <c r="I1816" s="1453" t="str">
        <f>$V$3</f>
        <v>2018年12月31日</v>
      </c>
      <c r="J1816" s="355" t="s">
        <v>5275</v>
      </c>
      <c r="K1816" s="291"/>
      <c r="L1816" s="291"/>
      <c r="M1816" s="291"/>
      <c r="S1816" s="364"/>
      <c r="Z1816" s="609" t="s">
        <v>758</v>
      </c>
      <c r="AA1816" s="609" t="s">
        <v>5656</v>
      </c>
    </row>
    <row r="1817" spans="1:27" ht="18">
      <c r="A1817" s="2712"/>
      <c r="B1817" s="371">
        <v>101</v>
      </c>
      <c r="C1817" s="371"/>
      <c r="D1817" s="2714">
        <f t="shared" ref="D1817:D1822" si="171">IF(OR(G1817="*",G1817="",G1817=0),0,COUNTIF($G$1817:$G$1822,G1817))</f>
        <v>1</v>
      </c>
      <c r="E1817" s="2719">
        <v>1</v>
      </c>
      <c r="F1817" s="294"/>
      <c r="G1817" s="308" t="s">
        <v>3324</v>
      </c>
      <c r="H1817" s="309"/>
      <c r="I1817" s="346"/>
      <c r="J1817" s="291"/>
      <c r="K1817" s="291"/>
      <c r="L1817" s="291"/>
      <c r="M1817" s="291"/>
      <c r="S1817" s="364"/>
      <c r="Z1817" s="609" t="s">
        <v>758</v>
      </c>
      <c r="AA1817" s="609" t="s">
        <v>5656</v>
      </c>
    </row>
    <row r="1818" spans="1:27" ht="18">
      <c r="A1818" s="2712"/>
      <c r="B1818" s="371">
        <v>102</v>
      </c>
      <c r="C1818" s="371"/>
      <c r="D1818" s="2714">
        <f t="shared" si="171"/>
        <v>1</v>
      </c>
      <c r="E1818" s="2719">
        <v>1</v>
      </c>
      <c r="F1818" s="294"/>
      <c r="G1818" s="308" t="s">
        <v>3325</v>
      </c>
      <c r="H1818" s="309"/>
      <c r="I1818" s="346"/>
      <c r="J1818" s="291"/>
      <c r="K1818" s="291"/>
      <c r="L1818" s="291"/>
      <c r="M1818" s="291"/>
      <c r="S1818" s="364"/>
      <c r="Z1818" s="609" t="s">
        <v>758</v>
      </c>
      <c r="AA1818" s="609" t="s">
        <v>5656</v>
      </c>
    </row>
    <row r="1819" spans="1:27" ht="18">
      <c r="A1819" s="2712"/>
      <c r="B1819" s="371">
        <v>103</v>
      </c>
      <c r="C1819" s="371" t="s">
        <v>2791</v>
      </c>
      <c r="D1819" s="2714">
        <f t="shared" si="171"/>
        <v>0</v>
      </c>
      <c r="E1819" s="2719">
        <v>1</v>
      </c>
      <c r="F1819" s="294"/>
      <c r="G1819" s="319" t="s">
        <v>2792</v>
      </c>
      <c r="H1819" s="309"/>
      <c r="I1819" s="346"/>
      <c r="J1819" s="291"/>
      <c r="K1819" s="291"/>
      <c r="L1819" s="291"/>
      <c r="M1819" s="291"/>
      <c r="S1819" s="364"/>
      <c r="Z1819" s="609" t="s">
        <v>758</v>
      </c>
      <c r="AA1819" s="609" t="s">
        <v>5656</v>
      </c>
    </row>
    <row r="1820" spans="1:27" ht="18">
      <c r="A1820" s="2712"/>
      <c r="B1820" s="371">
        <v>104</v>
      </c>
      <c r="C1820" s="371" t="s">
        <v>2791</v>
      </c>
      <c r="D1820" s="2714">
        <f t="shared" si="171"/>
        <v>0</v>
      </c>
      <c r="E1820" s="2719">
        <v>1</v>
      </c>
      <c r="F1820" s="294"/>
      <c r="G1820" s="319" t="s">
        <v>2792</v>
      </c>
      <c r="H1820" s="309"/>
      <c r="I1820" s="346"/>
      <c r="J1820" s="291"/>
      <c r="K1820" s="291"/>
      <c r="L1820" s="291"/>
      <c r="M1820" s="291"/>
      <c r="S1820" s="364"/>
      <c r="Z1820" s="609" t="s">
        <v>758</v>
      </c>
      <c r="AA1820" s="609" t="s">
        <v>5656</v>
      </c>
    </row>
    <row r="1821" spans="1:27" ht="18">
      <c r="A1821" s="2712"/>
      <c r="B1821" s="371">
        <v>105</v>
      </c>
      <c r="C1821" s="371" t="s">
        <v>2791</v>
      </c>
      <c r="D1821" s="2714">
        <f t="shared" si="171"/>
        <v>0</v>
      </c>
      <c r="E1821" s="2719">
        <v>1</v>
      </c>
      <c r="F1821" s="294"/>
      <c r="G1821" s="319" t="s">
        <v>2792</v>
      </c>
      <c r="H1821" s="309"/>
      <c r="I1821" s="346"/>
      <c r="J1821" s="291"/>
      <c r="K1821" s="291"/>
      <c r="L1821" s="291"/>
      <c r="M1821" s="291"/>
      <c r="S1821" s="364"/>
      <c r="Z1821" s="609" t="s">
        <v>758</v>
      </c>
      <c r="AA1821" s="609" t="s">
        <v>5656</v>
      </c>
    </row>
    <row r="1822" spans="1:27" ht="18.75" thickBot="1">
      <c r="A1822" s="2712"/>
      <c r="B1822" s="371"/>
      <c r="C1822" s="371"/>
      <c r="D1822" s="2714">
        <f t="shared" si="171"/>
        <v>1</v>
      </c>
      <c r="E1822" s="2719" t="s">
        <v>2751</v>
      </c>
      <c r="F1822" s="294"/>
      <c r="G1822" s="374" t="s">
        <v>2752</v>
      </c>
      <c r="H1822" s="375">
        <f>SUMPRODUCT($E1816:$E1821,H1816:H1821)</f>
        <v>0</v>
      </c>
      <c r="I1822" s="395">
        <f>SUMPRODUCT($E1816:$E1821,I1816:I1821)</f>
        <v>0</v>
      </c>
      <c r="J1822" s="291"/>
      <c r="K1822" s="291"/>
      <c r="L1822" s="291"/>
      <c r="M1822" s="291"/>
      <c r="S1822" s="364"/>
      <c r="Z1822" s="609" t="s">
        <v>758</v>
      </c>
      <c r="AA1822" s="609" t="s">
        <v>5656</v>
      </c>
    </row>
    <row r="1823" spans="1:27" ht="18">
      <c r="A1823" s="2712"/>
      <c r="B1823" s="371"/>
      <c r="C1823" s="371" t="s">
        <v>2755</v>
      </c>
      <c r="D1823" s="2714"/>
      <c r="E1823" s="2719"/>
      <c r="F1823" s="294"/>
      <c r="G1823" s="301"/>
      <c r="H1823" s="315"/>
      <c r="I1823" s="315"/>
      <c r="J1823" s="291"/>
      <c r="K1823" s="291"/>
      <c r="L1823" s="291"/>
      <c r="M1823" s="291"/>
      <c r="S1823" s="364"/>
      <c r="Z1823" s="609" t="s">
        <v>758</v>
      </c>
      <c r="AA1823" s="609" t="s">
        <v>5656</v>
      </c>
    </row>
    <row r="1824" spans="1:27" ht="17.25">
      <c r="A1824" s="2713">
        <v>1505</v>
      </c>
      <c r="B1824" s="371">
        <v>14</v>
      </c>
      <c r="C1824" s="2714" t="str">
        <f>VLOOKUP($A1824,Sheet_Items,2,0)</f>
        <v>债权投资</v>
      </c>
      <c r="D1824" s="371"/>
      <c r="E1824" s="2714" t="s">
        <v>2739</v>
      </c>
      <c r="F1824" s="293"/>
      <c r="G1824" s="305" t="str">
        <f>B1824&amp;" "&amp;C1824</f>
        <v>14 债权投资</v>
      </c>
      <c r="H1824" s="306"/>
      <c r="I1824" s="306"/>
      <c r="J1824" s="306" t="s">
        <v>2740</v>
      </c>
      <c r="K1824" s="341">
        <f>VLOOKUP($A1824,Sheet_Trialbal,6,0)</f>
        <v>0</v>
      </c>
      <c r="L1824" s="342"/>
      <c r="M1824" s="306" t="s">
        <v>2741</v>
      </c>
      <c r="N1824" s="341">
        <f>VLOOKUP($A1824,Sheet_Trialbal,10,0)</f>
        <v>0</v>
      </c>
      <c r="O1824" s="342"/>
      <c r="P1824" s="301"/>
      <c r="S1824" s="364"/>
      <c r="Z1824" s="609" t="s">
        <v>764</v>
      </c>
      <c r="AA1824" s="609" t="s">
        <v>3326</v>
      </c>
    </row>
    <row r="1825" spans="1:29" ht="18">
      <c r="A1825" s="2712" t="s">
        <v>762</v>
      </c>
      <c r="B1825" s="371">
        <v>1</v>
      </c>
      <c r="C1825" s="371"/>
      <c r="D1825" s="2714" t="str">
        <f>VLOOKUP($A1825,Sheet_NoteList,2,0)</f>
        <v>债权投资情况</v>
      </c>
      <c r="E1825" s="2714" t="s">
        <v>2742</v>
      </c>
      <c r="F1825" s="293"/>
      <c r="G1825" s="372" t="str">
        <f>"("&amp;B1825&amp;")"&amp;D1825</f>
        <v>(1)债权投资情况</v>
      </c>
      <c r="H1825" s="1515" t="str">
        <f>$A1825</f>
        <v>1505a</v>
      </c>
      <c r="I1825" s="343" t="s">
        <v>2743</v>
      </c>
      <c r="J1825" s="301" t="s">
        <v>2744</v>
      </c>
      <c r="K1825" s="2208">
        <f>J1838</f>
        <v>0</v>
      </c>
      <c r="L1825" s="349" t="str">
        <f>IF($I1825="适用",IF(ROUND(K$1824-K1825,2)=0,"F/S",ROUND(K$1824-K1825,2)),"#N/A")</f>
        <v>F/S</v>
      </c>
      <c r="M1825" s="301" t="s">
        <v>2745</v>
      </c>
      <c r="N1825" s="2208">
        <f>M1838</f>
        <v>0</v>
      </c>
      <c r="O1825" s="349" t="str">
        <f>IF($I1825="适用",IF(ROUND(N$1824-N1825,2)=0,"F/S",ROUND(N$1824-N1825,2)),"#N/A")</f>
        <v>F/S</v>
      </c>
      <c r="P1825" s="301"/>
      <c r="S1825" s="364"/>
      <c r="Z1825" s="609" t="s">
        <v>764</v>
      </c>
      <c r="AA1825" s="609" t="s">
        <v>3326</v>
      </c>
    </row>
    <row r="1826" spans="1:29" ht="0.75" customHeight="1">
      <c r="A1826" s="2712"/>
      <c r="B1826" s="371"/>
      <c r="C1826" s="371"/>
      <c r="D1826" s="2714"/>
      <c r="F1826" s="371"/>
      <c r="G1826" s="405" t="s">
        <v>3327</v>
      </c>
      <c r="H1826" s="371" t="s">
        <v>2747</v>
      </c>
      <c r="I1826" s="371" t="s">
        <v>2748</v>
      </c>
      <c r="J1826" s="371" t="s">
        <v>2948</v>
      </c>
      <c r="K1826" s="547" t="s">
        <v>3165</v>
      </c>
      <c r="L1826" s="547" t="s">
        <v>3166</v>
      </c>
      <c r="M1826" s="371" t="s">
        <v>3167</v>
      </c>
      <c r="N1826" s="428"/>
      <c r="O1826" s="428"/>
      <c r="P1826" s="433"/>
      <c r="Q1826" s="442"/>
      <c r="R1826" s="443"/>
      <c r="S1826" s="364"/>
      <c r="Z1826" s="609" t="s">
        <v>764</v>
      </c>
      <c r="AA1826" s="609" t="s">
        <v>3326</v>
      </c>
    </row>
    <row r="1827" spans="1:29" ht="0.75" customHeight="1" thickBot="1">
      <c r="A1827" s="2712"/>
      <c r="B1827" s="371"/>
      <c r="C1827" s="371"/>
      <c r="D1827" s="2714"/>
      <c r="F1827" s="371"/>
      <c r="G1827" s="405"/>
      <c r="H1827" s="371" t="s">
        <v>3328</v>
      </c>
      <c r="I1827" s="371" t="s">
        <v>3329</v>
      </c>
      <c r="J1827" s="371" t="s">
        <v>3330</v>
      </c>
      <c r="K1827" s="547" t="s">
        <v>2858</v>
      </c>
      <c r="L1827" s="547" t="s">
        <v>3331</v>
      </c>
      <c r="M1827" s="371" t="s">
        <v>2860</v>
      </c>
      <c r="N1827" s="428"/>
      <c r="O1827" s="428"/>
      <c r="P1827" s="433"/>
      <c r="Q1827" s="442"/>
      <c r="R1827" s="443"/>
      <c r="S1827" s="364"/>
      <c r="Z1827" s="609" t="s">
        <v>764</v>
      </c>
      <c r="AA1827" s="609" t="s">
        <v>3326</v>
      </c>
    </row>
    <row r="1828" spans="1:29" ht="18" customHeight="1">
      <c r="A1828" s="2712"/>
      <c r="B1828" s="371"/>
      <c r="C1828" s="371"/>
      <c r="D1828" s="2714"/>
      <c r="E1828" s="2714" t="s">
        <v>2749</v>
      </c>
      <c r="F1828" s="293"/>
      <c r="G1828" s="3478" t="s">
        <v>47</v>
      </c>
      <c r="H1828" s="3470" t="str">
        <f>$V$2</f>
        <v>2019年12月31日</v>
      </c>
      <c r="I1828" s="3471"/>
      <c r="J1828" s="3581"/>
      <c r="K1828" s="3582" t="str">
        <f>$V$3</f>
        <v>2018年12月31日</v>
      </c>
      <c r="L1828" s="3583"/>
      <c r="M1828" s="3583"/>
      <c r="N1828" s="355" t="s">
        <v>5276</v>
      </c>
      <c r="O1828" s="428"/>
      <c r="P1828" s="433"/>
      <c r="Q1828" s="442"/>
      <c r="R1828" s="443"/>
      <c r="S1828" s="364"/>
      <c r="Z1828" s="609" t="s">
        <v>764</v>
      </c>
      <c r="AA1828" s="609" t="s">
        <v>3326</v>
      </c>
    </row>
    <row r="1829" spans="1:29" ht="18">
      <c r="A1829" s="2712"/>
      <c r="B1829" s="371"/>
      <c r="C1829" s="371"/>
      <c r="D1829" s="2714"/>
      <c r="E1829" s="2714" t="s">
        <v>2749</v>
      </c>
      <c r="F1829" s="293"/>
      <c r="G1829" s="3479"/>
      <c r="H1829" s="2292" t="s">
        <v>2861</v>
      </c>
      <c r="I1829" s="2292" t="s">
        <v>3097</v>
      </c>
      <c r="J1829" s="2292" t="s">
        <v>2863</v>
      </c>
      <c r="K1829" s="2292" t="s">
        <v>2861</v>
      </c>
      <c r="L1829" s="2292" t="s">
        <v>3097</v>
      </c>
      <c r="M1829" s="2238" t="s">
        <v>2863</v>
      </c>
      <c r="N1829" s="434"/>
      <c r="O1829" s="434"/>
      <c r="P1829" s="435"/>
      <c r="Q1829" s="442"/>
      <c r="R1829" s="443"/>
      <c r="S1829" s="364"/>
      <c r="Z1829" s="609" t="s">
        <v>764</v>
      </c>
      <c r="AA1829" s="609" t="s">
        <v>3326</v>
      </c>
    </row>
    <row r="1830" spans="1:29" ht="18">
      <c r="A1830" s="2712"/>
      <c r="B1830" s="371">
        <v>101</v>
      </c>
      <c r="C1830" s="371" t="s">
        <v>2791</v>
      </c>
      <c r="D1830" s="2714">
        <f t="shared" ref="D1830:D1838" si="172">IF(OR(G1830="*",G1830="",G1830=0),0,COUNTIF($G$1830:$G$1838,G1830))</f>
        <v>0</v>
      </c>
      <c r="E1830" s="2719" t="s">
        <v>2939</v>
      </c>
      <c r="F1830" s="293"/>
      <c r="G1830" s="319" t="s">
        <v>2792</v>
      </c>
      <c r="H1830" s="309"/>
      <c r="I1830" s="422"/>
      <c r="J1830" s="309">
        <f>H1830-I1830</f>
        <v>0</v>
      </c>
      <c r="K1830" s="1463">
        <v>0</v>
      </c>
      <c r="L1830" s="1463">
        <v>0</v>
      </c>
      <c r="M1830" s="1473">
        <v>0</v>
      </c>
      <c r="N1830" s="439"/>
      <c r="O1830" s="437"/>
      <c r="P1830" s="438"/>
      <c r="Q1830" s="442"/>
      <c r="R1830" s="443"/>
      <c r="S1830" s="364"/>
      <c r="Z1830" s="609" t="s">
        <v>764</v>
      </c>
      <c r="AA1830" s="609" t="s">
        <v>3326</v>
      </c>
    </row>
    <row r="1831" spans="1:29" ht="18">
      <c r="A1831" s="2712"/>
      <c r="B1831" s="371">
        <v>101.001</v>
      </c>
      <c r="C1831" s="371" t="s">
        <v>2791</v>
      </c>
      <c r="D1831" s="2714">
        <f t="shared" si="172"/>
        <v>0</v>
      </c>
      <c r="E1831" s="2719" t="s">
        <v>2939</v>
      </c>
      <c r="F1831" s="293"/>
      <c r="G1831" s="319" t="s">
        <v>2792</v>
      </c>
      <c r="H1831" s="309"/>
      <c r="I1831" s="422"/>
      <c r="J1831" s="309">
        <f t="shared" ref="J1831:J1835" si="173">H1831-I1831</f>
        <v>0</v>
      </c>
      <c r="K1831" s="1463">
        <v>0</v>
      </c>
      <c r="L1831" s="1463">
        <v>0</v>
      </c>
      <c r="M1831" s="1473">
        <v>0</v>
      </c>
      <c r="N1831" s="439"/>
      <c r="O1831" s="437"/>
      <c r="P1831" s="438"/>
      <c r="Q1831" s="442"/>
      <c r="R1831" s="443"/>
      <c r="S1831" s="364"/>
      <c r="Z1831" s="609" t="s">
        <v>764</v>
      </c>
      <c r="AA1831" s="609" t="s">
        <v>3326</v>
      </c>
    </row>
    <row r="1832" spans="1:29" ht="18">
      <c r="A1832" s="2712"/>
      <c r="B1832" s="371">
        <v>101.002</v>
      </c>
      <c r="C1832" s="371" t="s">
        <v>2791</v>
      </c>
      <c r="D1832" s="2714">
        <f t="shared" si="172"/>
        <v>0</v>
      </c>
      <c r="E1832" s="2719" t="s">
        <v>2939</v>
      </c>
      <c r="F1832" s="293"/>
      <c r="G1832" s="319" t="s">
        <v>2792</v>
      </c>
      <c r="H1832" s="309"/>
      <c r="I1832" s="422"/>
      <c r="J1832" s="309">
        <f t="shared" si="173"/>
        <v>0</v>
      </c>
      <c r="K1832" s="1463">
        <v>0</v>
      </c>
      <c r="L1832" s="1463">
        <v>0</v>
      </c>
      <c r="M1832" s="1473">
        <v>0</v>
      </c>
      <c r="N1832" s="439"/>
      <c r="O1832" s="437"/>
      <c r="P1832" s="438"/>
      <c r="Q1832" s="442"/>
      <c r="R1832" s="443"/>
      <c r="S1832" s="364"/>
      <c r="Z1832" s="609" t="s">
        <v>764</v>
      </c>
      <c r="AA1832" s="609" t="s">
        <v>3326</v>
      </c>
    </row>
    <row r="1833" spans="1:29" ht="18">
      <c r="A1833" s="2712"/>
      <c r="B1833" s="371">
        <v>101.003</v>
      </c>
      <c r="C1833" s="371" t="s">
        <v>2791</v>
      </c>
      <c r="D1833" s="2714">
        <f t="shared" si="172"/>
        <v>0</v>
      </c>
      <c r="E1833" s="2719" t="s">
        <v>2939</v>
      </c>
      <c r="F1833" s="293"/>
      <c r="G1833" s="319" t="s">
        <v>2792</v>
      </c>
      <c r="H1833" s="309"/>
      <c r="I1833" s="422"/>
      <c r="J1833" s="309">
        <f t="shared" si="173"/>
        <v>0</v>
      </c>
      <c r="K1833" s="1463">
        <v>0</v>
      </c>
      <c r="L1833" s="1463">
        <v>0</v>
      </c>
      <c r="M1833" s="1473">
        <v>0</v>
      </c>
      <c r="N1833" s="439"/>
      <c r="O1833" s="437"/>
      <c r="P1833" s="438"/>
      <c r="Q1833" s="442"/>
      <c r="R1833" s="443"/>
      <c r="S1833" s="364"/>
      <c r="Z1833" s="609" t="s">
        <v>764</v>
      </c>
      <c r="AA1833" s="609" t="s">
        <v>3326</v>
      </c>
    </row>
    <row r="1834" spans="1:29" ht="18">
      <c r="A1834" s="2712"/>
      <c r="B1834" s="371">
        <v>101.004</v>
      </c>
      <c r="C1834" s="371" t="s">
        <v>2791</v>
      </c>
      <c r="D1834" s="2714">
        <f t="shared" si="172"/>
        <v>0</v>
      </c>
      <c r="E1834" s="2719" t="s">
        <v>2939</v>
      </c>
      <c r="F1834" s="293"/>
      <c r="G1834" s="319" t="s">
        <v>2792</v>
      </c>
      <c r="H1834" s="309"/>
      <c r="I1834" s="422"/>
      <c r="J1834" s="309">
        <f t="shared" si="173"/>
        <v>0</v>
      </c>
      <c r="K1834" s="1463">
        <v>0</v>
      </c>
      <c r="L1834" s="1463">
        <v>0</v>
      </c>
      <c r="M1834" s="1473">
        <v>0</v>
      </c>
      <c r="N1834" s="439"/>
      <c r="O1834" s="437"/>
      <c r="P1834" s="438"/>
      <c r="Q1834" s="442"/>
      <c r="R1834" s="443"/>
      <c r="S1834" s="364"/>
      <c r="Z1834" s="609" t="s">
        <v>764</v>
      </c>
      <c r="AA1834" s="609" t="s">
        <v>3326</v>
      </c>
    </row>
    <row r="1835" spans="1:29" ht="18">
      <c r="A1835" s="2712"/>
      <c r="B1835" s="371">
        <v>101.005</v>
      </c>
      <c r="C1835" s="371" t="s">
        <v>2791</v>
      </c>
      <c r="D1835" s="2714">
        <f t="shared" si="172"/>
        <v>0</v>
      </c>
      <c r="E1835" s="2719" t="s">
        <v>2939</v>
      </c>
      <c r="F1835" s="293"/>
      <c r="G1835" s="319" t="s">
        <v>2792</v>
      </c>
      <c r="H1835" s="309"/>
      <c r="I1835" s="422"/>
      <c r="J1835" s="309">
        <f t="shared" si="173"/>
        <v>0</v>
      </c>
      <c r="K1835" s="1463">
        <v>0</v>
      </c>
      <c r="L1835" s="1463">
        <v>0</v>
      </c>
      <c r="M1835" s="1473">
        <v>0</v>
      </c>
      <c r="N1835" s="439"/>
      <c r="O1835" s="437"/>
      <c r="P1835" s="438"/>
      <c r="Q1835" s="442"/>
      <c r="R1835" s="443"/>
      <c r="S1835" s="364"/>
      <c r="Z1835" s="609" t="s">
        <v>764</v>
      </c>
      <c r="AA1835" s="609" t="s">
        <v>3326</v>
      </c>
    </row>
    <row r="1836" spans="1:29" ht="18">
      <c r="A1836" s="2712"/>
      <c r="B1836" s="371">
        <v>102</v>
      </c>
      <c r="C1836" s="371" t="s">
        <v>2793</v>
      </c>
      <c r="D1836" s="2714">
        <f t="shared" si="172"/>
        <v>1</v>
      </c>
      <c r="E1836" s="2719">
        <v>1</v>
      </c>
      <c r="F1836" s="293"/>
      <c r="G1836" s="549" t="s">
        <v>2939</v>
      </c>
      <c r="H1836" s="377">
        <f t="shared" ref="H1836:J1836" si="174">SUMIF($E$1829:$E$1837,$G1836,H$1829:H$1837)</f>
        <v>0</v>
      </c>
      <c r="I1836" s="377">
        <f t="shared" si="174"/>
        <v>0</v>
      </c>
      <c r="J1836" s="377">
        <f t="shared" si="174"/>
        <v>0</v>
      </c>
      <c r="K1836" s="1463">
        <v>0</v>
      </c>
      <c r="L1836" s="1463">
        <v>0</v>
      </c>
      <c r="M1836" s="1473">
        <v>0</v>
      </c>
      <c r="N1836" s="439"/>
      <c r="O1836" s="437"/>
      <c r="P1836" s="438"/>
      <c r="Q1836" s="442"/>
      <c r="R1836" s="443"/>
      <c r="S1836" s="364"/>
      <c r="Z1836" s="609" t="s">
        <v>764</v>
      </c>
      <c r="AA1836" s="609" t="s">
        <v>3326</v>
      </c>
    </row>
    <row r="1837" spans="1:29" ht="18">
      <c r="A1837" s="2712"/>
      <c r="B1837" s="371">
        <v>103</v>
      </c>
      <c r="C1837" s="371"/>
      <c r="D1837" s="2714">
        <f t="shared" si="172"/>
        <v>1</v>
      </c>
      <c r="E1837" s="2719">
        <v>-1</v>
      </c>
      <c r="F1837" s="293"/>
      <c r="G1837" s="308" t="s">
        <v>3332</v>
      </c>
      <c r="H1837" s="309"/>
      <c r="I1837" s="422"/>
      <c r="J1837" s="309">
        <f>H1837-I1837</f>
        <v>0</v>
      </c>
      <c r="K1837" s="1463">
        <v>0</v>
      </c>
      <c r="L1837" s="1463">
        <v>0</v>
      </c>
      <c r="M1837" s="1473">
        <v>0</v>
      </c>
      <c r="N1837" s="1531" t="str">
        <f ca="1">HYPERLINK("#'"&amp;$G$1&amp;"'!"&amp;ADDRESS(ROW(Notes!K1795),COLUMN(Notes!K1795),4),"* 请勿删除此行！点击往勾稽单元格，F5+Enter返回")</f>
        <v>* 请勿删除此行！点击往勾稽单元格，F5+Enter返回</v>
      </c>
      <c r="O1837" s="437"/>
      <c r="P1837" s="438"/>
      <c r="Q1837" s="442"/>
      <c r="R1837" s="443"/>
      <c r="S1837" s="364"/>
      <c r="Z1837" s="609" t="s">
        <v>764</v>
      </c>
      <c r="AA1837" s="609" t="s">
        <v>3326</v>
      </c>
      <c r="AC1837" s="369" t="s">
        <v>6571</v>
      </c>
    </row>
    <row r="1838" spans="1:29" ht="18.75" thickBot="1">
      <c r="A1838" s="2712"/>
      <c r="B1838" s="371"/>
      <c r="C1838" s="371"/>
      <c r="D1838" s="2714">
        <f t="shared" si="172"/>
        <v>1</v>
      </c>
      <c r="E1838" s="2719" t="s">
        <v>2751</v>
      </c>
      <c r="F1838" s="293"/>
      <c r="G1838" s="2232" t="s">
        <v>2752</v>
      </c>
      <c r="H1838" s="2323">
        <f t="shared" ref="H1838:J1838" si="175">SUMPRODUCT($E1829:$E1837,H1829:H1837)</f>
        <v>0</v>
      </c>
      <c r="I1838" s="2323">
        <f t="shared" si="175"/>
        <v>0</v>
      </c>
      <c r="J1838" s="2323">
        <f t="shared" si="175"/>
        <v>0</v>
      </c>
      <c r="K1838" s="2324">
        <v>0</v>
      </c>
      <c r="L1838" s="2324">
        <v>0</v>
      </c>
      <c r="M1838" s="2325">
        <v>0</v>
      </c>
      <c r="N1838" s="1587" t="str">
        <f ca="1">HYPERLINK("#'"&amp;$G$1&amp;"'!"&amp;ADDRESS(ROW(Notes!H1865),COLUMN(Notes!H1865),4),"* 请勿删除此行！点击往勾稽单元格，F5+Enter返回")</f>
        <v>* 请勿删除此行！点击往勾稽单元格，F5+Enter返回</v>
      </c>
      <c r="O1838" s="437"/>
      <c r="P1838" s="440"/>
      <c r="Q1838" s="442"/>
      <c r="R1838" s="443"/>
      <c r="S1838" s="364"/>
      <c r="Z1838" s="609" t="s">
        <v>764</v>
      </c>
      <c r="AA1838" s="609" t="s">
        <v>3326</v>
      </c>
      <c r="AC1838" s="369" t="s">
        <v>6571</v>
      </c>
    </row>
    <row r="1839" spans="1:29" ht="18">
      <c r="A1839" s="2712"/>
      <c r="B1839" s="371"/>
      <c r="C1839" s="371" t="s">
        <v>2755</v>
      </c>
      <c r="D1839" s="2714"/>
      <c r="F1839" s="293"/>
      <c r="G1839" s="376"/>
      <c r="H1839" s="315"/>
      <c r="I1839" s="396"/>
      <c r="J1839" s="315"/>
      <c r="K1839" s="423"/>
      <c r="L1839" s="315"/>
      <c r="M1839" s="315"/>
      <c r="N1839" s="426"/>
      <c r="O1839" s="427"/>
      <c r="P1839" s="425"/>
      <c r="Q1839" s="442"/>
      <c r="R1839" s="443"/>
      <c r="S1839" s="364"/>
      <c r="Z1839" s="609" t="s">
        <v>764</v>
      </c>
      <c r="AA1839" s="609" t="s">
        <v>3326</v>
      </c>
    </row>
    <row r="1840" spans="1:29" ht="18">
      <c r="A1840" s="2712" t="s">
        <v>768</v>
      </c>
      <c r="B1840" s="371">
        <v>2</v>
      </c>
      <c r="C1840" s="371"/>
      <c r="D1840" s="2714" t="str">
        <f>VLOOKUP($A1840,Sheet_NoteList,2,0)</f>
        <v>期末重要的债权投资</v>
      </c>
      <c r="E1840" s="2714" t="s">
        <v>2742</v>
      </c>
      <c r="F1840" s="293"/>
      <c r="G1840" s="372" t="str">
        <f>"("&amp;B1840&amp;")"&amp;D1840</f>
        <v>(2)期末重要的债权投资</v>
      </c>
      <c r="H1840" s="1515" t="str">
        <f>$A1840</f>
        <v>1505b</v>
      </c>
      <c r="I1840" s="343" t="s">
        <v>2743</v>
      </c>
      <c r="J1840" s="301" t="s">
        <v>2744</v>
      </c>
      <c r="K1840" s="2208">
        <f>H1853</f>
        <v>0</v>
      </c>
      <c r="L1840" s="349"/>
      <c r="M1840" s="301" t="s">
        <v>2745</v>
      </c>
      <c r="N1840" s="2208">
        <f>L1853</f>
        <v>0</v>
      </c>
      <c r="O1840" s="349"/>
      <c r="P1840" s="301"/>
      <c r="S1840" s="364"/>
      <c r="Z1840" s="609" t="s">
        <v>764</v>
      </c>
      <c r="AA1840" s="609" t="s">
        <v>3326</v>
      </c>
    </row>
    <row r="1841" spans="1:27" ht="0.75" customHeight="1">
      <c r="A1841" s="2712"/>
      <c r="B1841" s="371"/>
      <c r="C1841" s="371"/>
      <c r="D1841" s="2714"/>
      <c r="F1841" s="371"/>
      <c r="G1841" s="405" t="s">
        <v>3333</v>
      </c>
      <c r="H1841" s="371" t="s">
        <v>2747</v>
      </c>
      <c r="I1841" s="371" t="s">
        <v>3334</v>
      </c>
      <c r="J1841" s="371" t="s">
        <v>2957</v>
      </c>
      <c r="K1841" s="547" t="s">
        <v>2898</v>
      </c>
      <c r="L1841" s="547" t="s">
        <v>3035</v>
      </c>
      <c r="M1841" s="371" t="s">
        <v>3335</v>
      </c>
      <c r="N1841" s="547" t="s">
        <v>3336</v>
      </c>
      <c r="O1841" s="547" t="s">
        <v>3310</v>
      </c>
      <c r="P1841" s="433"/>
      <c r="Q1841" s="442"/>
      <c r="R1841" s="443"/>
      <c r="S1841" s="364"/>
      <c r="Z1841" s="609" t="s">
        <v>764</v>
      </c>
      <c r="AA1841" s="609" t="s">
        <v>3326</v>
      </c>
    </row>
    <row r="1842" spans="1:27" ht="0.75" customHeight="1" thickBot="1">
      <c r="A1842" s="2712"/>
      <c r="B1842" s="371"/>
      <c r="C1842" s="371"/>
      <c r="D1842" s="2714"/>
      <c r="F1842" s="371"/>
      <c r="G1842" s="405"/>
      <c r="H1842" s="371" t="s">
        <v>3311</v>
      </c>
      <c r="I1842" s="371" t="s">
        <v>3312</v>
      </c>
      <c r="J1842" s="371" t="s">
        <v>3313</v>
      </c>
      <c r="K1842" s="547" t="s">
        <v>3314</v>
      </c>
      <c r="L1842" s="547" t="s">
        <v>3337</v>
      </c>
      <c r="M1842" s="371" t="s">
        <v>3338</v>
      </c>
      <c r="N1842" s="547" t="s">
        <v>3339</v>
      </c>
      <c r="O1842" s="547" t="s">
        <v>3340</v>
      </c>
      <c r="P1842" s="433"/>
      <c r="Q1842" s="442"/>
      <c r="R1842" s="443"/>
      <c r="S1842" s="364"/>
      <c r="Z1842" s="609" t="s">
        <v>764</v>
      </c>
      <c r="AA1842" s="609" t="s">
        <v>3326</v>
      </c>
    </row>
    <row r="1843" spans="1:27" ht="18" customHeight="1">
      <c r="A1843" s="2712"/>
      <c r="B1843" s="371"/>
      <c r="C1843" s="371"/>
      <c r="D1843" s="2714"/>
      <c r="E1843" s="2714" t="s">
        <v>2749</v>
      </c>
      <c r="F1843" s="293"/>
      <c r="G1843" s="3478" t="s">
        <v>5132</v>
      </c>
      <c r="H1843" s="3470" t="str">
        <f>$V$2</f>
        <v>2019年12月31日</v>
      </c>
      <c r="I1843" s="3471"/>
      <c r="J1843" s="3471"/>
      <c r="K1843" s="3581"/>
      <c r="L1843" s="3582" t="str">
        <f>$V$3</f>
        <v>2018年12月31日</v>
      </c>
      <c r="M1843" s="3583"/>
      <c r="N1843" s="3583"/>
      <c r="O1843" s="3583"/>
      <c r="P1843" s="355" t="s">
        <v>5276</v>
      </c>
      <c r="Q1843" s="442"/>
      <c r="R1843" s="443"/>
      <c r="S1843" s="364"/>
      <c r="Z1843" s="609" t="s">
        <v>764</v>
      </c>
      <c r="AA1843" s="609" t="s">
        <v>3326</v>
      </c>
    </row>
    <row r="1844" spans="1:27" ht="18">
      <c r="A1844" s="2712"/>
      <c r="B1844" s="371"/>
      <c r="C1844" s="371"/>
      <c r="D1844" s="2714"/>
      <c r="E1844" s="2714" t="s">
        <v>2749</v>
      </c>
      <c r="F1844" s="293"/>
      <c r="G1844" s="3479"/>
      <c r="H1844" s="2292" t="s">
        <v>3319</v>
      </c>
      <c r="I1844" s="2292" t="s">
        <v>3320</v>
      </c>
      <c r="J1844" s="2292" t="s">
        <v>3321</v>
      </c>
      <c r="K1844" s="2236" t="s">
        <v>3322</v>
      </c>
      <c r="L1844" s="2236" t="s">
        <v>3319</v>
      </c>
      <c r="M1844" s="2292" t="s">
        <v>3320</v>
      </c>
      <c r="N1844" s="2236" t="s">
        <v>3321</v>
      </c>
      <c r="O1844" s="2312" t="s">
        <v>3322</v>
      </c>
      <c r="P1844" s="435"/>
      <c r="Q1844" s="442"/>
      <c r="R1844" s="443"/>
      <c r="S1844" s="364"/>
      <c r="Z1844" s="609" t="s">
        <v>764</v>
      </c>
      <c r="AA1844" s="609" t="s">
        <v>3326</v>
      </c>
    </row>
    <row r="1845" spans="1:27" ht="18">
      <c r="A1845" s="2712"/>
      <c r="B1845" s="371">
        <v>101</v>
      </c>
      <c r="C1845" s="371" t="s">
        <v>2791</v>
      </c>
      <c r="D1845" s="2714">
        <f t="shared" ref="D1845:D1853" si="176">IF(OR(G1845="*",G1845="",G1845=0),0,COUNTIF($G$1845:$G$1853,G1845))</f>
        <v>0</v>
      </c>
      <c r="E1845" s="2719">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8">
      <c r="A1846" s="2712"/>
      <c r="B1846" s="371">
        <v>102</v>
      </c>
      <c r="C1846" s="371" t="s">
        <v>2791</v>
      </c>
      <c r="D1846" s="2714">
        <f t="shared" si="176"/>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2"/>
      <c r="B1847" s="371">
        <v>103</v>
      </c>
      <c r="C1847" s="371" t="s">
        <v>2791</v>
      </c>
      <c r="D1847" s="2714">
        <f t="shared" si="176"/>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2"/>
      <c r="B1848" s="371">
        <v>104</v>
      </c>
      <c r="C1848" s="371" t="s">
        <v>2791</v>
      </c>
      <c r="D1848" s="2714">
        <f t="shared" si="176"/>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2"/>
      <c r="B1849" s="371">
        <v>105</v>
      </c>
      <c r="C1849" s="371" t="s">
        <v>2791</v>
      </c>
      <c r="D1849" s="2714">
        <f t="shared" si="176"/>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2"/>
      <c r="B1850" s="371">
        <v>106</v>
      </c>
      <c r="C1850" s="371" t="s">
        <v>2791</v>
      </c>
      <c r="D1850" s="2714">
        <f t="shared" si="176"/>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
      <c r="A1851" s="2712"/>
      <c r="B1851" s="371">
        <v>107</v>
      </c>
      <c r="C1851" s="371" t="s">
        <v>2791</v>
      </c>
      <c r="D1851" s="2714">
        <f t="shared" si="176"/>
        <v>0</v>
      </c>
      <c r="E1851" s="2719">
        <v>1</v>
      </c>
      <c r="F1851" s="293"/>
      <c r="G1851" s="319" t="s">
        <v>2792</v>
      </c>
      <c r="H1851" s="309"/>
      <c r="I1851" s="422"/>
      <c r="J1851" s="309"/>
      <c r="K1851" s="431"/>
      <c r="L1851" s="1463">
        <v>0</v>
      </c>
      <c r="M1851" s="1463">
        <v>0</v>
      </c>
      <c r="N1851" s="1463">
        <v>0</v>
      </c>
      <c r="O1851" s="1511">
        <v>0</v>
      </c>
      <c r="P1851" s="438"/>
      <c r="Q1851" s="442"/>
      <c r="R1851" s="443"/>
      <c r="S1851" s="364"/>
      <c r="Z1851" s="609" t="s">
        <v>764</v>
      </c>
      <c r="AA1851" s="609" t="s">
        <v>3326</v>
      </c>
    </row>
    <row r="1852" spans="1:27" ht="18">
      <c r="A1852" s="2712"/>
      <c r="B1852" s="371">
        <v>108</v>
      </c>
      <c r="C1852" s="371" t="s">
        <v>2791</v>
      </c>
      <c r="D1852" s="2714">
        <f t="shared" si="176"/>
        <v>0</v>
      </c>
      <c r="E1852" s="2719">
        <v>1</v>
      </c>
      <c r="F1852" s="293"/>
      <c r="G1852" s="319" t="s">
        <v>2792</v>
      </c>
      <c r="H1852" s="309"/>
      <c r="I1852" s="422"/>
      <c r="J1852" s="309"/>
      <c r="K1852" s="431"/>
      <c r="L1852" s="1463">
        <v>0</v>
      </c>
      <c r="M1852" s="1463">
        <v>0</v>
      </c>
      <c r="N1852" s="1463">
        <v>0</v>
      </c>
      <c r="O1852" s="1511">
        <v>0</v>
      </c>
      <c r="P1852" s="438"/>
      <c r="Q1852" s="442"/>
      <c r="R1852" s="443"/>
      <c r="S1852" s="364"/>
      <c r="Z1852" s="609" t="s">
        <v>764</v>
      </c>
      <c r="AA1852" s="609" t="s">
        <v>3326</v>
      </c>
    </row>
    <row r="1853" spans="1:27" ht="18.75" thickBot="1">
      <c r="A1853" s="2712"/>
      <c r="B1853" s="371"/>
      <c r="C1853" s="371"/>
      <c r="D1853" s="2714">
        <f t="shared" si="176"/>
        <v>1</v>
      </c>
      <c r="E1853" s="2719" t="s">
        <v>2751</v>
      </c>
      <c r="F1853" s="293"/>
      <c r="G1853" s="2232" t="s">
        <v>5139</v>
      </c>
      <c r="H1853" s="2323">
        <f>SUMPRODUCT($E1844:$E1852,H1844:H1852)</f>
        <v>0</v>
      </c>
      <c r="I1853" s="2319">
        <v>0</v>
      </c>
      <c r="J1853" s="2319">
        <v>0</v>
      </c>
      <c r="K1853" s="2320">
        <v>0</v>
      </c>
      <c r="L1853" s="2324">
        <v>0</v>
      </c>
      <c r="M1853" s="2324">
        <v>0</v>
      </c>
      <c r="N1853" s="2324">
        <v>0</v>
      </c>
      <c r="O1853" s="2322">
        <v>0</v>
      </c>
      <c r="P1853" s="440"/>
      <c r="Q1853" s="442"/>
      <c r="R1853" s="443"/>
      <c r="S1853" s="364"/>
      <c r="Z1853" s="609" t="s">
        <v>764</v>
      </c>
      <c r="AA1853" s="609" t="s">
        <v>3326</v>
      </c>
    </row>
    <row r="1854" spans="1:27" ht="18">
      <c r="A1854" s="2712"/>
      <c r="B1854" s="371"/>
      <c r="C1854" s="371" t="s">
        <v>2755</v>
      </c>
      <c r="D1854" s="2714"/>
      <c r="F1854" s="293"/>
      <c r="G1854" s="376"/>
      <c r="H1854" s="315"/>
      <c r="I1854" s="396"/>
      <c r="J1854" s="315"/>
      <c r="K1854" s="392"/>
      <c r="L1854" s="315"/>
      <c r="M1854" s="315"/>
      <c r="N1854" s="423"/>
      <c r="O1854" s="393"/>
      <c r="P1854" s="425"/>
      <c r="Q1854" s="442"/>
      <c r="R1854" s="443"/>
      <c r="S1854" s="364"/>
      <c r="Z1854" s="609" t="s">
        <v>764</v>
      </c>
      <c r="AA1854" s="609" t="s">
        <v>3326</v>
      </c>
    </row>
    <row r="1855" spans="1:27" ht="24">
      <c r="A1855" s="2712" t="s">
        <v>773</v>
      </c>
      <c r="B1855" s="371">
        <v>3</v>
      </c>
      <c r="C1855" s="371"/>
      <c r="D1855" s="2714" t="str">
        <f>VLOOKUP($A1855,Sheet_NoteList,2,0)</f>
        <v>债权投资按减值计提方法分类披露（三阶段模型）</v>
      </c>
      <c r="E1855" s="2714" t="s">
        <v>2742</v>
      </c>
      <c r="F1855" s="293"/>
      <c r="G1855" s="372" t="str">
        <f>"("&amp;B1855&amp;")"&amp;D1855</f>
        <v>(3)债权投资按减值计提方法分类披露（三阶段模型）</v>
      </c>
      <c r="H1855" s="1515" t="str">
        <f>$A1855</f>
        <v>1505g</v>
      </c>
      <c r="I1855" s="343" t="s">
        <v>2743</v>
      </c>
      <c r="J1855" s="301" t="s">
        <v>2744</v>
      </c>
      <c r="K1855" s="2208">
        <f ca="1">L1862</f>
        <v>0</v>
      </c>
      <c r="L1855" s="349" t="str">
        <f ca="1">IF($I1855="适用",IF(ROUND(K$1824-K1855,2)=0,"F/S",ROUND(K$1824-K1855,2)),"#N/A")</f>
        <v>F/S</v>
      </c>
      <c r="M1855" s="301" t="s">
        <v>2745</v>
      </c>
      <c r="N1855" s="2208">
        <f>I1862</f>
        <v>0</v>
      </c>
      <c r="O1855" s="349" t="str">
        <f>IF($I1855="适用",IF(ROUND(N$1824-N1855,2)=0,"F/S",ROUND(N$1824-N1855,2)),"#N/A")</f>
        <v>F/S</v>
      </c>
      <c r="P1855" s="301"/>
      <c r="S1855" s="364"/>
      <c r="Z1855" s="609" t="s">
        <v>764</v>
      </c>
      <c r="AA1855" s="609" t="s">
        <v>3326</v>
      </c>
    </row>
    <row r="1856" spans="1:27" ht="0.75" customHeight="1" thickBot="1">
      <c r="A1856" s="2712"/>
      <c r="B1856" s="371"/>
      <c r="C1856" s="371"/>
      <c r="D1856" s="2714"/>
      <c r="E1856" s="586"/>
      <c r="F1856" s="586"/>
      <c r="G1856" s="2222" t="s">
        <v>3341</v>
      </c>
      <c r="H1856" s="1615" t="s">
        <v>6205</v>
      </c>
      <c r="I1856" s="371" t="s">
        <v>6212</v>
      </c>
      <c r="J1856" s="371" t="s">
        <v>6213</v>
      </c>
      <c r="K1856" s="1602"/>
      <c r="L1856" s="1602"/>
      <c r="M1856" s="1602"/>
      <c r="N1856" s="1602"/>
      <c r="O1856" s="1602"/>
      <c r="P1856" s="1602"/>
      <c r="Q1856" s="1602"/>
      <c r="R1856" s="1602"/>
      <c r="S1856" s="364"/>
      <c r="Z1856" s="609" t="s">
        <v>764</v>
      </c>
      <c r="AA1856" s="609" t="s">
        <v>3326</v>
      </c>
    </row>
    <row r="1857" spans="1:27" ht="18.75" thickTop="1">
      <c r="A1857" s="2712"/>
      <c r="B1857" s="371"/>
      <c r="C1857" s="371"/>
      <c r="D1857" s="2714"/>
      <c r="E1857" s="586" t="s">
        <v>2749</v>
      </c>
      <c r="F1857" s="414"/>
      <c r="G1857" s="2287" t="s">
        <v>5928</v>
      </c>
      <c r="H1857" s="2308" t="s">
        <v>5128</v>
      </c>
      <c r="I1857" s="2308" t="s">
        <v>5143</v>
      </c>
      <c r="J1857" s="2291" t="s">
        <v>2863</v>
      </c>
      <c r="K1857" s="355" t="s">
        <v>5276</v>
      </c>
      <c r="L1857" s="1582" t="str">
        <f>H1857</f>
        <v>账面余额</v>
      </c>
      <c r="M1857" s="1582" t="str">
        <f>I1857</f>
        <v>减值准备</v>
      </c>
      <c r="N1857" s="1582" t="str">
        <f>J1857</f>
        <v>账面价值</v>
      </c>
      <c r="O1857" s="2656" t="str">
        <f>""&amp;"NoteID"&amp;""</f>
        <v>NoteID</v>
      </c>
      <c r="P1857" s="1602"/>
      <c r="Q1857" s="1602"/>
      <c r="R1857" s="1602"/>
      <c r="S1857" s="364"/>
      <c r="Z1857" s="609" t="s">
        <v>764</v>
      </c>
      <c r="AA1857" s="609" t="s">
        <v>3326</v>
      </c>
    </row>
    <row r="1858" spans="1:27" ht="18">
      <c r="A1858" s="2712"/>
      <c r="B1858" s="371">
        <v>101</v>
      </c>
      <c r="C1858" s="371"/>
      <c r="D1858" s="2714">
        <f t="shared" ref="D1858:D1862" si="177">IF(OR(G1858="*",G1858="",G1858=0),0,COUNTIF($G$1858:$G$1862,G1858))</f>
        <v>1</v>
      </c>
      <c r="E1858" s="2719">
        <v>1</v>
      </c>
      <c r="F1858" s="293"/>
      <c r="G1858" s="1472" t="s">
        <v>5925</v>
      </c>
      <c r="H1858" s="2273"/>
      <c r="I1858" s="2273"/>
      <c r="J1858" s="2294"/>
      <c r="K1858" s="1602"/>
      <c r="L1858" s="2655">
        <f ca="1">HYPERLINK("#'"&amp;$G$1&amp;"'!"&amp;ADDRESS(ROW(Notes!H1882),COLUMN(Notes!H1882),4),H1882-H1858)</f>
        <v>0</v>
      </c>
      <c r="M1858" s="2655">
        <f ca="1">HYPERLINK("#'"&amp;$G$1&amp;"'!"&amp;ADDRESS(ROW(Notes!J1882),COLUMN(Notes!J1882),4),J1882-I1858)</f>
        <v>0</v>
      </c>
      <c r="N1858" s="2655">
        <f ca="1">HYPERLINK("#'"&amp;$G$1&amp;"'!"&amp;ADDRESS(ROW(Notes!K1882),COLUMN(Notes!K1882),4),K1882-J1858)</f>
        <v>0</v>
      </c>
      <c r="O1858" s="2648" t="str">
        <f>H1871</f>
        <v>1505c</v>
      </c>
      <c r="P1858" s="1602"/>
      <c r="Q1858" s="1602"/>
      <c r="R1858" s="1602"/>
      <c r="S1858" s="364"/>
      <c r="Z1858" s="609" t="s">
        <v>764</v>
      </c>
      <c r="AA1858" s="609" t="s">
        <v>3326</v>
      </c>
    </row>
    <row r="1859" spans="1:27" ht="18">
      <c r="A1859" s="2712"/>
      <c r="B1859" s="371">
        <v>102</v>
      </c>
      <c r="C1859" s="371"/>
      <c r="D1859" s="2714">
        <f t="shared" si="177"/>
        <v>1</v>
      </c>
      <c r="E1859" s="2719">
        <v>1</v>
      </c>
      <c r="F1859" s="293"/>
      <c r="G1859" s="1472" t="s">
        <v>5926</v>
      </c>
      <c r="H1859" s="2273"/>
      <c r="I1859" s="2273"/>
      <c r="J1859" s="2294"/>
      <c r="K1859" s="1602"/>
      <c r="L1859" s="2655">
        <f ca="1">HYPERLINK("#'"&amp;$G$1&amp;"'!"&amp;ADDRESS(ROW(Notes!H1895),COLUMN(Notes!H1895),4),H1895-H1859)</f>
        <v>0</v>
      </c>
      <c r="M1859" s="2655">
        <f ca="1">HYPERLINK("#'"&amp;$G$1&amp;"'!"&amp;ADDRESS(ROW(Notes!J1895),COLUMN(Notes!J1895),4),J1895-I1859)</f>
        <v>0</v>
      </c>
      <c r="N1859" s="2655">
        <f ca="1">HYPERLINK("#'"&amp;$G$1&amp;"'!"&amp;ADDRESS(ROW(Notes!K1895),COLUMN(Notes!K1895),4),K1895-J1859)</f>
        <v>0</v>
      </c>
      <c r="O1859" s="2648" t="str">
        <f>H1884</f>
        <v>1505d</v>
      </c>
      <c r="P1859" s="1602"/>
      <c r="Q1859" s="1602"/>
      <c r="R1859" s="1602"/>
      <c r="S1859" s="364"/>
      <c r="Z1859" s="609" t="s">
        <v>764</v>
      </c>
      <c r="AA1859" s="609" t="s">
        <v>3326</v>
      </c>
    </row>
    <row r="1860" spans="1:27" ht="18">
      <c r="A1860" s="2712"/>
      <c r="B1860" s="371">
        <v>103</v>
      </c>
      <c r="C1860" s="371"/>
      <c r="D1860" s="2714">
        <f t="shared" si="177"/>
        <v>1</v>
      </c>
      <c r="E1860" s="2719">
        <v>1</v>
      </c>
      <c r="F1860" s="293"/>
      <c r="G1860" s="1472" t="s">
        <v>5927</v>
      </c>
      <c r="H1860" s="2273"/>
      <c r="I1860" s="2273"/>
      <c r="J1860" s="2294"/>
      <c r="K1860" s="1602"/>
      <c r="L1860" s="2655">
        <f ca="1">HYPERLINK("#'"&amp;$G$1&amp;"'!"&amp;ADDRESS(ROW(Notes!H1908),COLUMN(Notes!H1908),4),H1908-H1860)</f>
        <v>0</v>
      </c>
      <c r="M1860" s="2655">
        <f ca="1">HYPERLINK("#'"&amp;$G$1&amp;"'!"&amp;ADDRESS(ROW(Notes!J1908),COLUMN(Notes!J1908),4),J1908-I1860)</f>
        <v>0</v>
      </c>
      <c r="N1860" s="2655">
        <f ca="1">HYPERLINK("#'"&amp;$G$1&amp;"'!"&amp;ADDRESS(ROW(Notes!K1908),COLUMN(Notes!K1908),4),K1908-J1860)</f>
        <v>0</v>
      </c>
      <c r="O1860" s="2648" t="str">
        <f>H1897</f>
        <v>1505e</v>
      </c>
      <c r="P1860" s="1602"/>
      <c r="Q1860" s="1602"/>
      <c r="R1860" s="1602"/>
      <c r="S1860" s="364"/>
      <c r="Z1860" s="609" t="s">
        <v>764</v>
      </c>
      <c r="AA1860" s="609" t="s">
        <v>3326</v>
      </c>
    </row>
    <row r="1861" spans="1:27" ht="18">
      <c r="A1861" s="2712"/>
      <c r="B1861" s="371">
        <v>104</v>
      </c>
      <c r="C1861" s="371" t="s">
        <v>2791</v>
      </c>
      <c r="D1861" s="2714">
        <f t="shared" si="177"/>
        <v>0</v>
      </c>
      <c r="E1861" s="2719">
        <v>0</v>
      </c>
      <c r="F1861" s="293"/>
      <c r="G1861" s="2282" t="s">
        <v>2792</v>
      </c>
      <c r="H1861" s="2273"/>
      <c r="I1861" s="2273"/>
      <c r="J1861" s="2294"/>
      <c r="K1861" s="1602"/>
      <c r="L1861" s="2646"/>
      <c r="M1861" s="2646"/>
      <c r="N1861" s="2646"/>
      <c r="O1861" s="2646"/>
      <c r="P1861" s="1602"/>
      <c r="Q1861" s="1602"/>
      <c r="R1861" s="1602"/>
      <c r="S1861" s="364"/>
      <c r="Z1861" s="609" t="s">
        <v>764</v>
      </c>
      <c r="AA1861" s="609" t="s">
        <v>3326</v>
      </c>
    </row>
    <row r="1862" spans="1:27" ht="18.75" thickBot="1">
      <c r="A1862" s="2712"/>
      <c r="B1862" s="371"/>
      <c r="C1862" s="371"/>
      <c r="D1862" s="2714">
        <f t="shared" si="177"/>
        <v>1</v>
      </c>
      <c r="E1862" s="2719" t="s">
        <v>2751</v>
      </c>
      <c r="F1862" s="293"/>
      <c r="G1862" s="2232" t="s">
        <v>2752</v>
      </c>
      <c r="H1862" s="2233">
        <f>SUMPRODUCT($E1857:$E1861,H1857:H1861)</f>
        <v>0</v>
      </c>
      <c r="I1862" s="2233">
        <f>SUMPRODUCT($E1857:$E1861,I1857:I1861)</f>
        <v>0</v>
      </c>
      <c r="J1862" s="2234">
        <f>SUMPRODUCT($E1857:$E1861,J1857:J1861)</f>
        <v>0</v>
      </c>
      <c r="K1862" s="1602"/>
      <c r="L1862" s="1555">
        <f t="shared" ref="L1862:O1862" ca="1" si="178">SUM(L1858:L1861)</f>
        <v>0</v>
      </c>
      <c r="M1862" s="1555">
        <f t="shared" ca="1" si="178"/>
        <v>0</v>
      </c>
      <c r="N1862" s="1555">
        <f t="shared" ca="1" si="178"/>
        <v>0</v>
      </c>
      <c r="O1862" s="1555">
        <f t="shared" si="178"/>
        <v>0</v>
      </c>
      <c r="P1862" s="1602"/>
      <c r="Q1862" s="1602"/>
      <c r="R1862" s="1602"/>
      <c r="S1862" s="364"/>
      <c r="Z1862" s="609" t="s">
        <v>764</v>
      </c>
      <c r="AA1862" s="609" t="s">
        <v>3326</v>
      </c>
    </row>
    <row r="1863" spans="1:27" ht="18.75" thickBot="1">
      <c r="A1863" s="2712"/>
      <c r="B1863" s="371"/>
      <c r="C1863" s="371" t="s">
        <v>2755</v>
      </c>
      <c r="D1863" s="2714"/>
      <c r="F1863" s="293"/>
      <c r="G1863" s="376"/>
      <c r="H1863" s="527" t="s">
        <v>3002</v>
      </c>
      <c r="I1863" s="2251" t="s">
        <v>3002</v>
      </c>
      <c r="J1863" s="527" t="s">
        <v>3002</v>
      </c>
      <c r="K1863" s="1602"/>
      <c r="L1863" s="2654" t="s">
        <v>5503</v>
      </c>
      <c r="M1863" s="2645"/>
      <c r="N1863" s="2645"/>
      <c r="O1863" s="2645"/>
      <c r="P1863" s="1602"/>
      <c r="Q1863" s="1602"/>
      <c r="R1863" s="1602"/>
      <c r="S1863" s="364"/>
      <c r="Z1863" s="609" t="s">
        <v>764</v>
      </c>
      <c r="AA1863" s="609" t="s">
        <v>3326</v>
      </c>
    </row>
    <row r="1864" spans="1:27" ht="18.75" thickTop="1">
      <c r="A1864" s="2712"/>
      <c r="B1864" s="371"/>
      <c r="C1864" s="371" t="s">
        <v>2565</v>
      </c>
      <c r="D1864" s="2714"/>
      <c r="F1864" s="293"/>
      <c r="G1864" s="1547" t="s">
        <v>5365</v>
      </c>
      <c r="H1864" s="1548" t="str">
        <f>G1825</f>
        <v>(1)债权投资情况</v>
      </c>
      <c r="I1864" s="1550"/>
      <c r="J1864" s="1550"/>
      <c r="K1864" s="1551" t="s">
        <v>5366</v>
      </c>
      <c r="L1864" s="1602"/>
      <c r="M1864" s="1602"/>
      <c r="N1864" s="1602"/>
      <c r="O1864" s="1602"/>
      <c r="P1864" s="1602"/>
      <c r="Q1864" s="1602"/>
      <c r="R1864" s="1602"/>
      <c r="S1864" s="364"/>
      <c r="Z1864" s="609" t="s">
        <v>764</v>
      </c>
      <c r="AA1864" s="609" t="s">
        <v>3326</v>
      </c>
    </row>
    <row r="1865" spans="1:27" ht="18">
      <c r="A1865" s="2712"/>
      <c r="B1865" s="371"/>
      <c r="C1865" s="371" t="s">
        <v>2565</v>
      </c>
      <c r="D1865" s="2714"/>
      <c r="F1865" s="293"/>
      <c r="G1865" s="604" t="str">
        <f>"注释A:"&amp; G1838</f>
        <v>注释A:合       计</v>
      </c>
      <c r="H1865" s="2250">
        <f ca="1">HYPERLINK("#'"&amp;$G$1&amp;"'!"&amp;ADDRESS(ROW(Notes!H1838),COLUMN(Notes!H1838),4),H1838)</f>
        <v>0</v>
      </c>
      <c r="I1865" s="2250">
        <f ca="1">HYPERLINK("#'"&amp;$G$1&amp;"'!"&amp;ADDRESS(ROW(Notes!I1838),COLUMN(Notes!I1838),4),I1838)</f>
        <v>0</v>
      </c>
      <c r="J1865" s="2250">
        <f ca="1">HYPERLINK("#'"&amp;$G$1&amp;"'!"&amp;ADDRESS(ROW(Notes!J1838),COLUMN(Notes!J1838),4),J1838)</f>
        <v>0</v>
      </c>
      <c r="K1865" s="2648" t="str">
        <f>H1825</f>
        <v>1505a</v>
      </c>
      <c r="L1865" s="1602"/>
      <c r="M1865" s="1602"/>
      <c r="N1865" s="1602"/>
      <c r="O1865" s="1602"/>
      <c r="P1865" s="1602"/>
      <c r="Q1865" s="1602"/>
      <c r="R1865" s="1602"/>
      <c r="S1865" s="364"/>
      <c r="Z1865" s="609" t="s">
        <v>764</v>
      </c>
      <c r="AA1865" s="609" t="s">
        <v>3326</v>
      </c>
    </row>
    <row r="1866" spans="1:27" ht="18">
      <c r="A1866" s="2712"/>
      <c r="B1866" s="371"/>
      <c r="C1866" s="371" t="s">
        <v>2565</v>
      </c>
      <c r="D1866" s="2714"/>
      <c r="F1866" s="293"/>
      <c r="G1866" s="604" t="str">
        <f>"本注释B:"&amp; G1862</f>
        <v>本注释B:合       计</v>
      </c>
      <c r="H1866" s="456">
        <f>H1862</f>
        <v>0</v>
      </c>
      <c r="I1866" s="456">
        <f t="shared" ref="I1866:J1866" si="179">I1862</f>
        <v>0</v>
      </c>
      <c r="J1866" s="456">
        <f t="shared" si="179"/>
        <v>0</v>
      </c>
      <c r="K1866" s="2647" t="s">
        <v>773</v>
      </c>
      <c r="L1866" s="1602"/>
      <c r="M1866" s="1602"/>
      <c r="N1866" s="1602"/>
      <c r="O1866" s="1602"/>
      <c r="P1866" s="1602"/>
      <c r="Q1866" s="1602"/>
      <c r="R1866" s="1602"/>
      <c r="S1866" s="364"/>
      <c r="Z1866" s="609" t="s">
        <v>764</v>
      </c>
      <c r="AA1866" s="609" t="s">
        <v>3326</v>
      </c>
    </row>
    <row r="1867" spans="1:27" ht="18.75" thickBot="1">
      <c r="A1867" s="2712"/>
      <c r="B1867" s="371"/>
      <c r="C1867" s="371" t="s">
        <v>2565</v>
      </c>
      <c r="D1867" s="2714"/>
      <c r="F1867" s="293"/>
      <c r="G1867" s="1552" t="s">
        <v>2757</v>
      </c>
      <c r="H1867" s="1529">
        <f ca="1">IF(AND(H1865="",H1866=""),"",ROUND(H1865-H1866,2))</f>
        <v>0</v>
      </c>
      <c r="I1867" s="1529">
        <f ca="1">IF(AND(I1865="",I1866=""),"",ROUND(I1865-I1866,2))</f>
        <v>0</v>
      </c>
      <c r="J1867" s="1529">
        <f ca="1">IF(AND(J1865="",J1866=""),"",ROUND(J1865-J1866,2))</f>
        <v>0</v>
      </c>
      <c r="K1867" s="1554"/>
      <c r="L1867" s="1602"/>
      <c r="M1867" s="1602"/>
      <c r="N1867" s="1602"/>
      <c r="O1867" s="1602"/>
      <c r="P1867" s="1602"/>
      <c r="Q1867" s="1602"/>
      <c r="R1867" s="1602"/>
      <c r="S1867" s="364"/>
      <c r="Z1867" s="609" t="s">
        <v>764</v>
      </c>
      <c r="AA1867" s="609" t="s">
        <v>3326</v>
      </c>
    </row>
    <row r="1868" spans="1:27" ht="18.75" thickTop="1">
      <c r="A1868" s="2712"/>
      <c r="B1868" s="371"/>
      <c r="C1868" s="371" t="s">
        <v>2565</v>
      </c>
      <c r="D1868" s="2714"/>
      <c r="F1868" s="293"/>
      <c r="G1868" s="1543"/>
      <c r="H1868" s="459" t="str">
        <f ca="1">IF(OR(H1867=0,H1867=""),"√","？")</f>
        <v>√</v>
      </c>
      <c r="I1868" s="459" t="str">
        <f ca="1">IF(OR(I1867=0,I1867=""),"√","？")</f>
        <v>√</v>
      </c>
      <c r="J1868" s="459" t="str">
        <f ca="1">IF(OR(J1867=0,J1867=""),"√","？")</f>
        <v>√</v>
      </c>
      <c r="K1868" s="2645"/>
      <c r="L1868" s="1602"/>
      <c r="M1868" s="1602"/>
      <c r="N1868" s="1602"/>
      <c r="O1868" s="1602"/>
      <c r="P1868" s="1602"/>
      <c r="Q1868" s="1602"/>
      <c r="R1868" s="1602"/>
      <c r="S1868" s="364"/>
      <c r="Z1868" s="609" t="s">
        <v>764</v>
      </c>
      <c r="AA1868" s="609" t="s">
        <v>3326</v>
      </c>
    </row>
    <row r="1869" spans="1:27" ht="18">
      <c r="A1869" s="2712"/>
      <c r="B1869" s="371"/>
      <c r="C1869" s="371" t="s">
        <v>2565</v>
      </c>
      <c r="D1869" s="2714"/>
      <c r="F1869" s="293"/>
      <c r="G1869" s="1557" t="s">
        <v>2759</v>
      </c>
      <c r="H1869" s="461"/>
      <c r="I1869" s="461"/>
      <c r="J1869" s="461"/>
      <c r="K1869" s="2650">
        <f ca="1">SUMIF($H$1868:$K$1868,"&lt;&gt;√",$H$1867:$K$1867)</f>
        <v>0</v>
      </c>
      <c r="L1869" s="2651" t="str">
        <f ca="1">IF(OR(K1869=0,K1869=""),"√","？")</f>
        <v>√</v>
      </c>
      <c r="M1869" s="1602"/>
      <c r="N1869" s="1602"/>
      <c r="O1869" s="1602"/>
      <c r="P1869" s="1602"/>
      <c r="Q1869" s="1602"/>
      <c r="R1869" s="1602"/>
      <c r="S1869" s="364"/>
      <c r="Z1869" s="609" t="s">
        <v>764</v>
      </c>
      <c r="AA1869" s="609" t="s">
        <v>3326</v>
      </c>
    </row>
    <row r="1870" spans="1:27" ht="18">
      <c r="A1870" s="2712"/>
      <c r="B1870" s="371"/>
      <c r="C1870" s="371" t="s">
        <v>2565</v>
      </c>
      <c r="D1870" s="2714"/>
      <c r="F1870" s="293"/>
      <c r="G1870" s="1543"/>
      <c r="H1870" s="461"/>
      <c r="I1870" s="461"/>
      <c r="J1870" s="461"/>
      <c r="K1870" s="2645"/>
      <c r="L1870" s="1602"/>
      <c r="M1870" s="1602"/>
      <c r="N1870" s="1602"/>
      <c r="O1870" s="1602"/>
      <c r="P1870" s="1602"/>
      <c r="Q1870" s="1602"/>
      <c r="R1870" s="1602"/>
      <c r="S1870" s="364"/>
      <c r="Z1870" s="609" t="s">
        <v>764</v>
      </c>
      <c r="AA1870" s="609" t="s">
        <v>3326</v>
      </c>
    </row>
    <row r="1871" spans="1:27" ht="24">
      <c r="A1871" s="2712" t="s">
        <v>788</v>
      </c>
      <c r="B1871" s="371">
        <v>3.1</v>
      </c>
      <c r="C1871" s="371"/>
      <c r="D1871" s="2714" t="str">
        <f>VLOOKUP($A1871,Sheet_NoteList,2,0)</f>
        <v>期末处于第一阶段的债权投资的减值准备</v>
      </c>
      <c r="E1871" s="2714" t="s">
        <v>2742</v>
      </c>
      <c r="F1871" s="293"/>
      <c r="G1871" s="372" t="str">
        <f>"("&amp;B1871&amp;")"&amp;D1871</f>
        <v>(3.1)期末处于第一阶段的债权投资的减值准备</v>
      </c>
      <c r="H1871" s="1515" t="str">
        <f>$A1871</f>
        <v>1505c</v>
      </c>
      <c r="I1871" s="343" t="s">
        <v>2743</v>
      </c>
      <c r="J1871" s="301" t="s">
        <v>2744</v>
      </c>
      <c r="K1871" s="2208">
        <f>K1882</f>
        <v>0</v>
      </c>
      <c r="L1871" s="349"/>
      <c r="M1871" s="301"/>
      <c r="N1871" s="391"/>
      <c r="O1871" s="349"/>
      <c r="P1871" s="301"/>
      <c r="S1871" s="364"/>
      <c r="Z1871" s="609" t="s">
        <v>764</v>
      </c>
      <c r="AA1871" s="609" t="s">
        <v>3326</v>
      </c>
    </row>
    <row r="1872" spans="1:27" ht="0.75" customHeight="1" thickBot="1">
      <c r="A1872" s="2712"/>
      <c r="B1872" s="371"/>
      <c r="C1872" s="371"/>
      <c r="D1872" s="2714"/>
      <c r="E1872" s="586"/>
      <c r="F1872" s="586"/>
      <c r="G1872" s="2222" t="s">
        <v>3358</v>
      </c>
      <c r="H1872" s="371" t="s">
        <v>2747</v>
      </c>
      <c r="I1872" s="371" t="s">
        <v>2947</v>
      </c>
      <c r="J1872" s="371" t="s">
        <v>2948</v>
      </c>
      <c r="K1872" s="547" t="s">
        <v>3359</v>
      </c>
      <c r="L1872" s="547" t="s">
        <v>3145</v>
      </c>
      <c r="M1872" s="433"/>
      <c r="N1872" s="428"/>
      <c r="O1872" s="428"/>
      <c r="P1872" s="433"/>
      <c r="Q1872" s="442"/>
      <c r="R1872" s="443"/>
      <c r="S1872" s="364"/>
      <c r="Z1872" s="609" t="s">
        <v>764</v>
      </c>
      <c r="AA1872" s="609" t="s">
        <v>3326</v>
      </c>
    </row>
    <row r="1873" spans="1:29" ht="36">
      <c r="A1873" s="2712"/>
      <c r="B1873" s="371"/>
      <c r="C1873" s="371"/>
      <c r="D1873" s="2714"/>
      <c r="E1873" s="586" t="s">
        <v>2749</v>
      </c>
      <c r="F1873" s="414"/>
      <c r="G1873" s="2287" t="s">
        <v>5133</v>
      </c>
      <c r="H1873" s="2289" t="s">
        <v>5128</v>
      </c>
      <c r="I1873" s="2289" t="s">
        <v>3360</v>
      </c>
      <c r="J1873" s="2289" t="s">
        <v>5143</v>
      </c>
      <c r="K1873" s="2290" t="s">
        <v>5127</v>
      </c>
      <c r="L1873" s="2310" t="s">
        <v>3147</v>
      </c>
      <c r="M1873" s="355" t="s">
        <v>5276</v>
      </c>
      <c r="N1873" s="434"/>
      <c r="O1873" s="434"/>
      <c r="P1873" s="435"/>
      <c r="Q1873" s="442"/>
      <c r="R1873" s="443"/>
      <c r="S1873" s="364"/>
      <c r="Z1873" s="609" t="s">
        <v>764</v>
      </c>
      <c r="AA1873" s="609" t="s">
        <v>3326</v>
      </c>
    </row>
    <row r="1874" spans="1:29" ht="18">
      <c r="A1874" s="2712"/>
      <c r="B1874" s="371">
        <v>101</v>
      </c>
      <c r="C1874" s="371"/>
      <c r="D1874" s="2714">
        <f t="shared" ref="D1874:D1882" si="180">IF(OR(G1874="*",G1874="",G1874=0),0,COUNTIF($G$1874:$G$1882,G1874))</f>
        <v>1</v>
      </c>
      <c r="E1874" s="2719">
        <v>1</v>
      </c>
      <c r="F1874" s="293"/>
      <c r="G1874" s="1472" t="s">
        <v>3093</v>
      </c>
      <c r="H1874" s="2273">
        <f>SUM(H1875:H1877)</f>
        <v>0</v>
      </c>
      <c r="I1874" s="2296"/>
      <c r="J1874" s="2273">
        <f>SUM(J1875:J1877)</f>
        <v>0</v>
      </c>
      <c r="K1874" s="1474">
        <f>H1874-J1874</f>
        <v>0</v>
      </c>
      <c r="L1874" s="2274"/>
      <c r="M1874" s="355"/>
      <c r="N1874" s="439"/>
      <c r="O1874" s="437"/>
      <c r="P1874" s="438"/>
      <c r="Q1874" s="442"/>
      <c r="R1874" s="443"/>
      <c r="S1874" s="364"/>
      <c r="Z1874" s="609" t="s">
        <v>764</v>
      </c>
      <c r="AA1874" s="609" t="s">
        <v>3326</v>
      </c>
    </row>
    <row r="1875" spans="1:29" ht="18">
      <c r="A1875" s="2712"/>
      <c r="B1875" s="371">
        <v>102</v>
      </c>
      <c r="C1875" s="371" t="s">
        <v>2791</v>
      </c>
      <c r="D1875" s="2714">
        <f t="shared" si="180"/>
        <v>1</v>
      </c>
      <c r="E1875" s="2719">
        <v>0</v>
      </c>
      <c r="F1875" s="293"/>
      <c r="G1875" s="2282" t="s">
        <v>2829</v>
      </c>
      <c r="H1875" s="2273"/>
      <c r="I1875" s="2296"/>
      <c r="J1875" s="2273"/>
      <c r="K1875" s="1474">
        <f t="shared" ref="K1875:K1881" si="181">H1875-J1875</f>
        <v>0</v>
      </c>
      <c r="L1875" s="2274"/>
      <c r="M1875" s="355" t="s">
        <v>6134</v>
      </c>
      <c r="N1875" s="439"/>
      <c r="O1875" s="437"/>
      <c r="P1875" s="438"/>
      <c r="Q1875" s="442"/>
      <c r="R1875" s="443"/>
      <c r="S1875" s="364"/>
      <c r="Z1875" s="609" t="s">
        <v>764</v>
      </c>
      <c r="AA1875" s="609" t="s">
        <v>3326</v>
      </c>
    </row>
    <row r="1876" spans="1:29" ht="18">
      <c r="A1876" s="2712"/>
      <c r="B1876" s="371">
        <v>103</v>
      </c>
      <c r="C1876" s="371" t="s">
        <v>2791</v>
      </c>
      <c r="D1876" s="2714">
        <f t="shared" si="180"/>
        <v>0</v>
      </c>
      <c r="E1876" s="2719">
        <v>0</v>
      </c>
      <c r="F1876" s="293"/>
      <c r="G1876" s="2282" t="s">
        <v>2792</v>
      </c>
      <c r="H1876" s="2273"/>
      <c r="I1876" s="2296"/>
      <c r="J1876" s="2273"/>
      <c r="K1876" s="1474">
        <f t="shared" si="181"/>
        <v>0</v>
      </c>
      <c r="L1876" s="2274"/>
      <c r="M1876" s="438"/>
      <c r="N1876" s="439"/>
      <c r="O1876" s="437"/>
      <c r="P1876" s="438"/>
      <c r="Q1876" s="442"/>
      <c r="R1876" s="443"/>
      <c r="S1876" s="364"/>
      <c r="Z1876" s="609" t="s">
        <v>764</v>
      </c>
      <c r="AA1876" s="609" t="s">
        <v>3326</v>
      </c>
    </row>
    <row r="1877" spans="1:29" ht="18">
      <c r="A1877" s="2712"/>
      <c r="B1877" s="371">
        <v>104</v>
      </c>
      <c r="C1877" s="371" t="s">
        <v>2791</v>
      </c>
      <c r="D1877" s="2714">
        <f t="shared" si="180"/>
        <v>0</v>
      </c>
      <c r="E1877" s="2719">
        <v>0</v>
      </c>
      <c r="F1877" s="293"/>
      <c r="G1877" s="2282" t="s">
        <v>2792</v>
      </c>
      <c r="H1877" s="2273"/>
      <c r="I1877" s="2296"/>
      <c r="J1877" s="2273"/>
      <c r="K1877" s="1474">
        <f t="shared" si="181"/>
        <v>0</v>
      </c>
      <c r="L1877" s="2274"/>
      <c r="M1877" s="438"/>
      <c r="N1877" s="439"/>
      <c r="O1877" s="437"/>
      <c r="P1877" s="438"/>
      <c r="Q1877" s="442"/>
      <c r="R1877" s="443"/>
      <c r="S1877" s="364"/>
      <c r="Z1877" s="609" t="s">
        <v>764</v>
      </c>
      <c r="AA1877" s="609" t="s">
        <v>3326</v>
      </c>
    </row>
    <row r="1878" spans="1:29" ht="18">
      <c r="A1878" s="2712"/>
      <c r="B1878" s="371">
        <v>105</v>
      </c>
      <c r="C1878" s="371"/>
      <c r="D1878" s="2714">
        <f t="shared" si="180"/>
        <v>1</v>
      </c>
      <c r="E1878" s="2719">
        <v>1</v>
      </c>
      <c r="F1878" s="293"/>
      <c r="G1878" s="1472" t="s">
        <v>3094</v>
      </c>
      <c r="H1878" s="2273">
        <f>SUM(H1879:H1881)</f>
        <v>0</v>
      </c>
      <c r="I1878" s="2296"/>
      <c r="J1878" s="2273">
        <f>SUM(J1879:J1881)</f>
        <v>0</v>
      </c>
      <c r="K1878" s="1474">
        <f t="shared" si="181"/>
        <v>0</v>
      </c>
      <c r="L1878" s="2274"/>
      <c r="M1878" s="438"/>
      <c r="N1878" s="439"/>
      <c r="O1878" s="437"/>
      <c r="P1878" s="438"/>
      <c r="Q1878" s="442"/>
      <c r="R1878" s="443"/>
      <c r="S1878" s="364"/>
      <c r="Z1878" s="609" t="s">
        <v>764</v>
      </c>
      <c r="AA1878" s="609" t="s">
        <v>3326</v>
      </c>
    </row>
    <row r="1879" spans="1:29" ht="18">
      <c r="A1879" s="2712"/>
      <c r="B1879" s="371">
        <v>106</v>
      </c>
      <c r="C1879" s="371" t="s">
        <v>2791</v>
      </c>
      <c r="D1879" s="2714">
        <f t="shared" si="180"/>
        <v>1</v>
      </c>
      <c r="E1879" s="2719">
        <v>0</v>
      </c>
      <c r="F1879" s="293"/>
      <c r="G1879" s="2282" t="s">
        <v>2831</v>
      </c>
      <c r="H1879" s="2273"/>
      <c r="I1879" s="2296"/>
      <c r="J1879" s="2273"/>
      <c r="K1879" s="1474">
        <f t="shared" si="181"/>
        <v>0</v>
      </c>
      <c r="L1879" s="2274"/>
      <c r="M1879" s="355"/>
      <c r="N1879" s="439"/>
      <c r="O1879" s="437"/>
      <c r="P1879" s="438"/>
      <c r="Q1879" s="442"/>
      <c r="R1879" s="443"/>
      <c r="S1879" s="364"/>
      <c r="Z1879" s="609" t="s">
        <v>764</v>
      </c>
      <c r="AA1879" s="609" t="s">
        <v>3326</v>
      </c>
    </row>
    <row r="1880" spans="1:29" ht="18">
      <c r="A1880" s="2712"/>
      <c r="B1880" s="371">
        <v>107</v>
      </c>
      <c r="C1880" s="371" t="s">
        <v>2791</v>
      </c>
      <c r="D1880" s="2714">
        <f t="shared" si="180"/>
        <v>0</v>
      </c>
      <c r="E1880" s="2719">
        <v>0</v>
      </c>
      <c r="F1880" s="293"/>
      <c r="G1880" s="2282" t="s">
        <v>2792</v>
      </c>
      <c r="H1880" s="2273"/>
      <c r="I1880" s="2296"/>
      <c r="J1880" s="2273"/>
      <c r="K1880" s="1474">
        <f t="shared" si="181"/>
        <v>0</v>
      </c>
      <c r="L1880" s="2274"/>
      <c r="M1880" s="438"/>
      <c r="N1880" s="439"/>
      <c r="O1880" s="437"/>
      <c r="P1880" s="438"/>
      <c r="Q1880" s="442"/>
      <c r="R1880" s="443"/>
      <c r="S1880" s="364"/>
      <c r="Z1880" s="609" t="s">
        <v>764</v>
      </c>
      <c r="AA1880" s="609" t="s">
        <v>3326</v>
      </c>
    </row>
    <row r="1881" spans="1:29" ht="18">
      <c r="A1881" s="2712"/>
      <c r="B1881" s="371">
        <v>108</v>
      </c>
      <c r="C1881" s="371" t="s">
        <v>2791</v>
      </c>
      <c r="D1881" s="2714">
        <f t="shared" si="180"/>
        <v>0</v>
      </c>
      <c r="E1881" s="2719">
        <v>0</v>
      </c>
      <c r="F1881" s="293"/>
      <c r="G1881" s="2282" t="s">
        <v>2792</v>
      </c>
      <c r="H1881" s="2273"/>
      <c r="I1881" s="2296"/>
      <c r="J1881" s="2273"/>
      <c r="K1881" s="1474">
        <f t="shared" si="181"/>
        <v>0</v>
      </c>
      <c r="L1881" s="2274"/>
      <c r="M1881" s="438"/>
      <c r="N1881" s="439"/>
      <c r="O1881" s="437"/>
      <c r="P1881" s="438"/>
      <c r="Q1881" s="442"/>
      <c r="R1881" s="443"/>
      <c r="S1881" s="364"/>
      <c r="Z1881" s="609" t="s">
        <v>764</v>
      </c>
      <c r="AA1881" s="609" t="s">
        <v>3326</v>
      </c>
    </row>
    <row r="1882" spans="1:29" ht="18.75" thickBot="1">
      <c r="A1882" s="2712"/>
      <c r="B1882" s="371"/>
      <c r="C1882" s="371"/>
      <c r="D1882" s="2714">
        <f t="shared" si="180"/>
        <v>1</v>
      </c>
      <c r="E1882" s="2719" t="s">
        <v>2751</v>
      </c>
      <c r="F1882" s="293"/>
      <c r="G1882" s="2232" t="s">
        <v>2752</v>
      </c>
      <c r="H1882" s="2233">
        <f>SUMPRODUCT($E1873:$E1881,H1873:H1881)</f>
        <v>0</v>
      </c>
      <c r="I1882" s="2240"/>
      <c r="J1882" s="2233">
        <f>SUMPRODUCT($E1873:$E1881,J1873:J1881)</f>
        <v>0</v>
      </c>
      <c r="K1882" s="2233">
        <f>SUMPRODUCT($E1873:$E1881,K1873:K1881)</f>
        <v>0</v>
      </c>
      <c r="L1882" s="2242"/>
      <c r="M1882" s="1595" t="str">
        <f ca="1">HYPERLINK("#'"&amp;$G$1&amp;"'!"&amp;ADDRESS(ROW(Notes!L1858),COLUMN(Notes!L1858),4),"* 请勿删除此行！点击往勾稽单元格，F5+Enter返回")</f>
        <v>* 请勿删除此行！点击往勾稽单元格，F5+Enter返回</v>
      </c>
      <c r="N1882" s="439"/>
      <c r="O1882" s="437"/>
      <c r="P1882" s="440"/>
      <c r="Q1882" s="442"/>
      <c r="R1882" s="443"/>
      <c r="S1882" s="364"/>
      <c r="Z1882" s="609" t="s">
        <v>764</v>
      </c>
      <c r="AA1882" s="609" t="s">
        <v>3326</v>
      </c>
      <c r="AC1882" s="369" t="s">
        <v>6571</v>
      </c>
    </row>
    <row r="1883" spans="1:29" ht="18">
      <c r="A1883" s="2712"/>
      <c r="B1883" s="371"/>
      <c r="C1883" s="371" t="s">
        <v>2755</v>
      </c>
      <c r="D1883" s="2714"/>
      <c r="F1883" s="293"/>
      <c r="G1883" s="376"/>
      <c r="H1883" s="315"/>
      <c r="I1883" s="432"/>
      <c r="J1883" s="315"/>
      <c r="K1883" s="423"/>
      <c r="L1883" s="393"/>
      <c r="M1883" s="425"/>
      <c r="N1883" s="426"/>
      <c r="O1883" s="427"/>
      <c r="P1883" s="425"/>
      <c r="Q1883" s="442"/>
      <c r="R1883" s="443"/>
      <c r="S1883" s="364"/>
      <c r="Z1883" s="609" t="s">
        <v>764</v>
      </c>
      <c r="AA1883" s="609" t="s">
        <v>3326</v>
      </c>
    </row>
    <row r="1884" spans="1:29" ht="24">
      <c r="A1884" s="2712" t="s">
        <v>792</v>
      </c>
      <c r="B1884" s="371">
        <v>3.2</v>
      </c>
      <c r="C1884" s="371"/>
      <c r="D1884" s="2714" t="str">
        <f>VLOOKUP($A1884,Sheet_NoteList,2,0)</f>
        <v>期末处于第二阶段的债权投资的减值准备</v>
      </c>
      <c r="E1884" s="2714" t="s">
        <v>2742</v>
      </c>
      <c r="F1884" s="293"/>
      <c r="G1884" s="372" t="str">
        <f>"("&amp;B1884&amp;")"&amp;D1884</f>
        <v>(3.2)期末处于第二阶段的债权投资的减值准备</v>
      </c>
      <c r="H1884" s="1515" t="str">
        <f>$A1884</f>
        <v>1505d</v>
      </c>
      <c r="I1884" s="343" t="s">
        <v>2743</v>
      </c>
      <c r="J1884" s="301" t="s">
        <v>2744</v>
      </c>
      <c r="K1884" s="2208">
        <f>K1895</f>
        <v>0</v>
      </c>
      <c r="L1884" s="349"/>
      <c r="M1884" s="301"/>
      <c r="N1884" s="391"/>
      <c r="O1884" s="349"/>
      <c r="P1884" s="301"/>
      <c r="S1884" s="364"/>
      <c r="Z1884" s="609" t="s">
        <v>764</v>
      </c>
      <c r="AA1884" s="609" t="s">
        <v>3326</v>
      </c>
    </row>
    <row r="1885" spans="1:29" ht="0.75" customHeight="1" thickBot="1">
      <c r="A1885" s="2712"/>
      <c r="B1885" s="371"/>
      <c r="C1885" s="371"/>
      <c r="D1885" s="2714"/>
      <c r="E1885" s="586"/>
      <c r="F1885" s="586"/>
      <c r="G1885" s="2222" t="s">
        <v>3361</v>
      </c>
      <c r="H1885" s="371" t="s">
        <v>2747</v>
      </c>
      <c r="I1885" s="371" t="s">
        <v>2947</v>
      </c>
      <c r="J1885" s="371" t="s">
        <v>2948</v>
      </c>
      <c r="K1885" s="547" t="s">
        <v>3359</v>
      </c>
      <c r="L1885" s="547" t="s">
        <v>3145</v>
      </c>
      <c r="M1885" s="433"/>
      <c r="N1885" s="428"/>
      <c r="O1885" s="428"/>
      <c r="P1885" s="433"/>
      <c r="Q1885" s="442"/>
      <c r="R1885" s="443"/>
      <c r="S1885" s="364"/>
      <c r="Z1885" s="609" t="s">
        <v>764</v>
      </c>
      <c r="AA1885" s="609" t="s">
        <v>3326</v>
      </c>
    </row>
    <row r="1886" spans="1:29" ht="36">
      <c r="A1886" s="2712"/>
      <c r="B1886" s="371"/>
      <c r="C1886" s="371"/>
      <c r="D1886" s="2714"/>
      <c r="E1886" s="586" t="s">
        <v>2749</v>
      </c>
      <c r="F1886" s="414"/>
      <c r="G1886" s="2287" t="s">
        <v>6012</v>
      </c>
      <c r="H1886" s="2289" t="s">
        <v>2861</v>
      </c>
      <c r="I1886" s="2289" t="s">
        <v>3148</v>
      </c>
      <c r="J1886" s="2289" t="s">
        <v>3097</v>
      </c>
      <c r="K1886" s="2309" t="s">
        <v>2863</v>
      </c>
      <c r="L1886" s="2310" t="s">
        <v>3147</v>
      </c>
      <c r="M1886" s="355" t="s">
        <v>5276</v>
      </c>
      <c r="N1886" s="434"/>
      <c r="O1886" s="434"/>
      <c r="P1886" s="435"/>
      <c r="Q1886" s="442"/>
      <c r="R1886" s="443"/>
      <c r="S1886" s="364"/>
      <c r="Z1886" s="609" t="s">
        <v>764</v>
      </c>
      <c r="AA1886" s="609" t="s">
        <v>3326</v>
      </c>
    </row>
    <row r="1887" spans="1:29" ht="18">
      <c r="A1887" s="2712"/>
      <c r="B1887" s="371">
        <v>101</v>
      </c>
      <c r="C1887" s="371"/>
      <c r="D1887" s="2714">
        <f t="shared" ref="D1887:D1895" si="182">IF(OR(G1887="*",G1887="",G1887=0),0,COUNTIF($G$1887:$G$1895,G1887))</f>
        <v>1</v>
      </c>
      <c r="E1887" s="2719">
        <v>1</v>
      </c>
      <c r="F1887" s="293"/>
      <c r="G1887" s="1472" t="s">
        <v>3093</v>
      </c>
      <c r="H1887" s="2273">
        <f>SUM(H1888:H1890)</f>
        <v>0</v>
      </c>
      <c r="I1887" s="2296"/>
      <c r="J1887" s="2273">
        <f>SUM(J1888:J1890)</f>
        <v>0</v>
      </c>
      <c r="K1887" s="1474">
        <f t="shared" ref="K1887:K1894" si="183">H1887-J1887</f>
        <v>0</v>
      </c>
      <c r="L1887" s="2274"/>
      <c r="M1887" s="355"/>
      <c r="N1887" s="439"/>
      <c r="O1887" s="437"/>
      <c r="P1887" s="438"/>
      <c r="Q1887" s="442"/>
      <c r="R1887" s="443"/>
      <c r="S1887" s="364"/>
      <c r="Z1887" s="609" t="s">
        <v>764</v>
      </c>
      <c r="AA1887" s="609" t="s">
        <v>3326</v>
      </c>
    </row>
    <row r="1888" spans="1:29" ht="18">
      <c r="A1888" s="2712"/>
      <c r="B1888" s="371">
        <v>102</v>
      </c>
      <c r="C1888" s="371" t="s">
        <v>2791</v>
      </c>
      <c r="D1888" s="2714">
        <f t="shared" si="182"/>
        <v>1</v>
      </c>
      <c r="E1888" s="2719">
        <v>0</v>
      </c>
      <c r="F1888" s="293"/>
      <c r="G1888" s="2282" t="s">
        <v>2829</v>
      </c>
      <c r="H1888" s="2273"/>
      <c r="I1888" s="2296"/>
      <c r="J1888" s="2273"/>
      <c r="K1888" s="1474">
        <f t="shared" si="183"/>
        <v>0</v>
      </c>
      <c r="L1888" s="2274"/>
      <c r="M1888" s="355" t="s">
        <v>6134</v>
      </c>
      <c r="N1888" s="439"/>
      <c r="O1888" s="437"/>
      <c r="P1888" s="438"/>
      <c r="Q1888" s="442"/>
      <c r="R1888" s="443"/>
      <c r="S1888" s="364"/>
      <c r="Z1888" s="609" t="s">
        <v>764</v>
      </c>
      <c r="AA1888" s="609" t="s">
        <v>3326</v>
      </c>
    </row>
    <row r="1889" spans="1:29" ht="18">
      <c r="A1889" s="2712"/>
      <c r="B1889" s="371">
        <v>103</v>
      </c>
      <c r="C1889" s="371" t="s">
        <v>2791</v>
      </c>
      <c r="D1889" s="2714">
        <f t="shared" si="182"/>
        <v>0</v>
      </c>
      <c r="E1889" s="2719">
        <v>0</v>
      </c>
      <c r="F1889" s="293"/>
      <c r="G1889" s="2282" t="s">
        <v>2792</v>
      </c>
      <c r="H1889" s="2273"/>
      <c r="I1889" s="2296"/>
      <c r="J1889" s="2273"/>
      <c r="K1889" s="1474">
        <f t="shared" si="183"/>
        <v>0</v>
      </c>
      <c r="L1889" s="2274"/>
      <c r="M1889" s="438"/>
      <c r="N1889" s="439"/>
      <c r="O1889" s="437"/>
      <c r="P1889" s="438"/>
      <c r="Q1889" s="442"/>
      <c r="R1889" s="443"/>
      <c r="S1889" s="364"/>
      <c r="Z1889" s="609" t="s">
        <v>764</v>
      </c>
      <c r="AA1889" s="609" t="s">
        <v>3326</v>
      </c>
    </row>
    <row r="1890" spans="1:29" ht="18">
      <c r="A1890" s="2712"/>
      <c r="B1890" s="371">
        <v>104</v>
      </c>
      <c r="C1890" s="371" t="s">
        <v>2791</v>
      </c>
      <c r="D1890" s="2714">
        <f t="shared" si="182"/>
        <v>0</v>
      </c>
      <c r="E1890" s="2719">
        <v>0</v>
      </c>
      <c r="F1890" s="293"/>
      <c r="G1890" s="2282" t="s">
        <v>2792</v>
      </c>
      <c r="H1890" s="2273"/>
      <c r="I1890" s="2296"/>
      <c r="J1890" s="2273"/>
      <c r="K1890" s="1474">
        <f t="shared" si="183"/>
        <v>0</v>
      </c>
      <c r="L1890" s="2274"/>
      <c r="M1890" s="438"/>
      <c r="N1890" s="439"/>
      <c r="O1890" s="437"/>
      <c r="P1890" s="438"/>
      <c r="Q1890" s="442"/>
      <c r="R1890" s="443"/>
      <c r="S1890" s="364"/>
      <c r="Z1890" s="609" t="s">
        <v>764</v>
      </c>
      <c r="AA1890" s="609" t="s">
        <v>3326</v>
      </c>
    </row>
    <row r="1891" spans="1:29" ht="18">
      <c r="A1891" s="2712"/>
      <c r="B1891" s="371">
        <v>105</v>
      </c>
      <c r="C1891" s="371"/>
      <c r="D1891" s="2714">
        <f t="shared" si="182"/>
        <v>1</v>
      </c>
      <c r="E1891" s="2719">
        <v>1</v>
      </c>
      <c r="F1891" s="293"/>
      <c r="G1891" s="1472" t="s">
        <v>3094</v>
      </c>
      <c r="H1891" s="2273">
        <f>SUM(H1892:H1894)</f>
        <v>0</v>
      </c>
      <c r="I1891" s="2296"/>
      <c r="J1891" s="2273">
        <f>SUM(J1892:J1894)</f>
        <v>0</v>
      </c>
      <c r="K1891" s="1474">
        <f t="shared" si="183"/>
        <v>0</v>
      </c>
      <c r="L1891" s="2274"/>
      <c r="M1891" s="438"/>
      <c r="N1891" s="439"/>
      <c r="O1891" s="437"/>
      <c r="P1891" s="438"/>
      <c r="Q1891" s="442"/>
      <c r="R1891" s="443"/>
      <c r="S1891" s="364"/>
      <c r="Z1891" s="609" t="s">
        <v>764</v>
      </c>
      <c r="AA1891" s="609" t="s">
        <v>3326</v>
      </c>
    </row>
    <row r="1892" spans="1:29" ht="18">
      <c r="A1892" s="2712"/>
      <c r="B1892" s="371">
        <v>106</v>
      </c>
      <c r="C1892" s="371" t="s">
        <v>2791</v>
      </c>
      <c r="D1892" s="2714">
        <f t="shared" si="182"/>
        <v>1</v>
      </c>
      <c r="E1892" s="2719">
        <v>0</v>
      </c>
      <c r="F1892" s="293"/>
      <c r="G1892" s="2282" t="s">
        <v>2831</v>
      </c>
      <c r="H1892" s="2273"/>
      <c r="I1892" s="2296"/>
      <c r="J1892" s="2273"/>
      <c r="K1892" s="1474">
        <f t="shared" si="183"/>
        <v>0</v>
      </c>
      <c r="L1892" s="2274"/>
      <c r="M1892" s="355"/>
      <c r="N1892" s="439"/>
      <c r="O1892" s="437"/>
      <c r="P1892" s="438"/>
      <c r="Q1892" s="442"/>
      <c r="R1892" s="443"/>
      <c r="S1892" s="364"/>
      <c r="Z1892" s="609" t="s">
        <v>764</v>
      </c>
      <c r="AA1892" s="609" t="s">
        <v>3326</v>
      </c>
    </row>
    <row r="1893" spans="1:29" ht="18">
      <c r="A1893" s="2712"/>
      <c r="B1893" s="371">
        <v>107</v>
      </c>
      <c r="C1893" s="371" t="s">
        <v>2791</v>
      </c>
      <c r="D1893" s="2714">
        <f t="shared" si="182"/>
        <v>0</v>
      </c>
      <c r="E1893" s="2719">
        <v>0</v>
      </c>
      <c r="F1893" s="293"/>
      <c r="G1893" s="2282" t="s">
        <v>2792</v>
      </c>
      <c r="H1893" s="2273"/>
      <c r="I1893" s="2296"/>
      <c r="J1893" s="2273"/>
      <c r="K1893" s="1474">
        <f t="shared" si="183"/>
        <v>0</v>
      </c>
      <c r="L1893" s="2274"/>
      <c r="M1893" s="438"/>
      <c r="N1893" s="439"/>
      <c r="O1893" s="437"/>
      <c r="P1893" s="438"/>
      <c r="Q1893" s="442"/>
      <c r="R1893" s="443"/>
      <c r="S1893" s="364"/>
      <c r="Z1893" s="609" t="s">
        <v>764</v>
      </c>
      <c r="AA1893" s="609" t="s">
        <v>3326</v>
      </c>
    </row>
    <row r="1894" spans="1:29" ht="18">
      <c r="A1894" s="2712"/>
      <c r="B1894" s="371">
        <v>108</v>
      </c>
      <c r="C1894" s="371" t="s">
        <v>2791</v>
      </c>
      <c r="D1894" s="2714">
        <f t="shared" si="182"/>
        <v>0</v>
      </c>
      <c r="E1894" s="2719">
        <v>0</v>
      </c>
      <c r="F1894" s="293"/>
      <c r="G1894" s="2282" t="s">
        <v>2792</v>
      </c>
      <c r="H1894" s="2273"/>
      <c r="I1894" s="2296"/>
      <c r="J1894" s="2273"/>
      <c r="K1894" s="1474">
        <f t="shared" si="183"/>
        <v>0</v>
      </c>
      <c r="L1894" s="2274"/>
      <c r="M1894" s="438"/>
      <c r="N1894" s="439"/>
      <c r="O1894" s="437"/>
      <c r="P1894" s="438"/>
      <c r="Q1894" s="442"/>
      <c r="R1894" s="443"/>
      <c r="S1894" s="364"/>
      <c r="Z1894" s="609" t="s">
        <v>764</v>
      </c>
      <c r="AA1894" s="609" t="s">
        <v>3326</v>
      </c>
    </row>
    <row r="1895" spans="1:29" ht="18.75" thickBot="1">
      <c r="A1895" s="2712"/>
      <c r="B1895" s="371"/>
      <c r="C1895" s="371"/>
      <c r="D1895" s="2714">
        <f t="shared" si="182"/>
        <v>1</v>
      </c>
      <c r="E1895" s="2719" t="s">
        <v>2751</v>
      </c>
      <c r="F1895" s="293"/>
      <c r="G1895" s="2232" t="s">
        <v>2752</v>
      </c>
      <c r="H1895" s="2233">
        <f>SUMPRODUCT($E1886:$E1894,H1886:H1894)</f>
        <v>0</v>
      </c>
      <c r="I1895" s="2240"/>
      <c r="J1895" s="2233">
        <f>SUMPRODUCT($E1886:$E1894,J1886:J1894)</f>
        <v>0</v>
      </c>
      <c r="K1895" s="2233">
        <f>SUMPRODUCT($E1886:$E1894,K1886:K1894)</f>
        <v>0</v>
      </c>
      <c r="L1895" s="2242"/>
      <c r="M1895" s="1595" t="str">
        <f ca="1">HYPERLINK("#'"&amp;$G$1&amp;"'!"&amp;ADDRESS(ROW(Notes!L1859),COLUMN(Notes!L1859),4),"* 请勿删除此行！点击往勾稽单元格，F5+Enter返回")</f>
        <v>* 请勿删除此行！点击往勾稽单元格，F5+Enter返回</v>
      </c>
      <c r="N1895" s="439"/>
      <c r="O1895" s="437"/>
      <c r="P1895" s="440"/>
      <c r="Q1895" s="442"/>
      <c r="R1895" s="443"/>
      <c r="S1895" s="364"/>
      <c r="Z1895" s="609" t="s">
        <v>764</v>
      </c>
      <c r="AA1895" s="609" t="s">
        <v>3326</v>
      </c>
      <c r="AC1895" s="369" t="s">
        <v>6571</v>
      </c>
    </row>
    <row r="1896" spans="1:29" ht="18">
      <c r="A1896" s="2712"/>
      <c r="B1896" s="371"/>
      <c r="C1896" s="371" t="s">
        <v>2755</v>
      </c>
      <c r="D1896" s="2714"/>
      <c r="F1896" s="293"/>
      <c r="G1896" s="376"/>
      <c r="H1896" s="315"/>
      <c r="I1896" s="432"/>
      <c r="J1896" s="315"/>
      <c r="K1896" s="423"/>
      <c r="L1896" s="393"/>
      <c r="M1896" s="425"/>
      <c r="N1896" s="426"/>
      <c r="O1896" s="427"/>
      <c r="P1896" s="425"/>
      <c r="Q1896" s="442"/>
      <c r="R1896" s="443"/>
      <c r="S1896" s="364"/>
      <c r="Z1896" s="609" t="s">
        <v>764</v>
      </c>
      <c r="AA1896" s="609" t="s">
        <v>3326</v>
      </c>
    </row>
    <row r="1897" spans="1:29" ht="24">
      <c r="A1897" s="2712" t="s">
        <v>795</v>
      </c>
      <c r="B1897" s="371">
        <v>3.3</v>
      </c>
      <c r="C1897" s="371"/>
      <c r="D1897" s="2714" t="str">
        <f>VLOOKUP($A1897,Sheet_NoteList,2,0)</f>
        <v>期末处于第三阶段的债权投资的减值准备</v>
      </c>
      <c r="E1897" s="2714" t="s">
        <v>2742</v>
      </c>
      <c r="F1897" s="293"/>
      <c r="G1897" s="372" t="str">
        <f>"("&amp;B1897&amp;")"&amp;D1897</f>
        <v>(3.3)期末处于第三阶段的债权投资的减值准备</v>
      </c>
      <c r="H1897" s="1515" t="str">
        <f>$A1897</f>
        <v>1505e</v>
      </c>
      <c r="I1897" s="343" t="s">
        <v>2743</v>
      </c>
      <c r="J1897" s="301" t="s">
        <v>2744</v>
      </c>
      <c r="K1897" s="2208">
        <f>K1908</f>
        <v>0</v>
      </c>
      <c r="L1897" s="349"/>
      <c r="M1897" s="301"/>
      <c r="N1897" s="391"/>
      <c r="O1897" s="349"/>
      <c r="P1897" s="301"/>
      <c r="S1897" s="364"/>
      <c r="Z1897" s="609" t="s">
        <v>764</v>
      </c>
      <c r="AA1897" s="609" t="s">
        <v>3326</v>
      </c>
    </row>
    <row r="1898" spans="1:29" ht="0.75" customHeight="1" thickBot="1">
      <c r="A1898" s="2712"/>
      <c r="B1898" s="371"/>
      <c r="C1898" s="371"/>
      <c r="D1898" s="2714"/>
      <c r="E1898" s="586"/>
      <c r="F1898" s="586"/>
      <c r="G1898" s="2222" t="s">
        <v>3362</v>
      </c>
      <c r="H1898" s="371" t="s">
        <v>2747</v>
      </c>
      <c r="I1898" s="371" t="s">
        <v>2947</v>
      </c>
      <c r="J1898" s="371" t="s">
        <v>2948</v>
      </c>
      <c r="K1898" s="547" t="s">
        <v>3359</v>
      </c>
      <c r="L1898" s="547" t="s">
        <v>3145</v>
      </c>
      <c r="M1898" s="433"/>
      <c r="N1898" s="428"/>
      <c r="O1898" s="428"/>
      <c r="P1898" s="433"/>
      <c r="Q1898" s="442"/>
      <c r="R1898" s="443"/>
      <c r="S1898" s="364"/>
      <c r="Z1898" s="609" t="s">
        <v>764</v>
      </c>
      <c r="AA1898" s="609" t="s">
        <v>3326</v>
      </c>
    </row>
    <row r="1899" spans="1:29" ht="36">
      <c r="A1899" s="2712"/>
      <c r="B1899" s="371"/>
      <c r="C1899" s="371"/>
      <c r="D1899" s="2714"/>
      <c r="E1899" s="586" t="s">
        <v>2749</v>
      </c>
      <c r="F1899" s="414"/>
      <c r="G1899" s="2287" t="s">
        <v>6012</v>
      </c>
      <c r="H1899" s="2289" t="s">
        <v>2861</v>
      </c>
      <c r="I1899" s="2289" t="s">
        <v>3148</v>
      </c>
      <c r="J1899" s="2289" t="s">
        <v>3097</v>
      </c>
      <c r="K1899" s="2309" t="s">
        <v>2863</v>
      </c>
      <c r="L1899" s="2310" t="s">
        <v>3147</v>
      </c>
      <c r="M1899" s="355" t="s">
        <v>5276</v>
      </c>
      <c r="N1899" s="434"/>
      <c r="O1899" s="434"/>
      <c r="P1899" s="435"/>
      <c r="Q1899" s="442"/>
      <c r="R1899" s="443"/>
      <c r="S1899" s="364"/>
      <c r="Z1899" s="609" t="s">
        <v>764</v>
      </c>
      <c r="AA1899" s="609" t="s">
        <v>3326</v>
      </c>
    </row>
    <row r="1900" spans="1:29" ht="18">
      <c r="A1900" s="2712"/>
      <c r="B1900" s="371">
        <v>101</v>
      </c>
      <c r="C1900" s="371"/>
      <c r="D1900" s="2714">
        <f t="shared" ref="D1900:D1908" si="184">IF(OR(G1900="*",G1900="",G1900=0),0,COUNTIF($G$1900:$G$1908,G1900))</f>
        <v>1</v>
      </c>
      <c r="E1900" s="2719">
        <v>1</v>
      </c>
      <c r="F1900" s="293"/>
      <c r="G1900" s="1472" t="s">
        <v>3093</v>
      </c>
      <c r="H1900" s="2273">
        <f>SUM(H1901:H1903)</f>
        <v>0</v>
      </c>
      <c r="I1900" s="2296"/>
      <c r="J1900" s="2273">
        <f>SUM(J1901:J1903)</f>
        <v>0</v>
      </c>
      <c r="K1900" s="1474">
        <f>H1900-J1900</f>
        <v>0</v>
      </c>
      <c r="L1900" s="2274"/>
      <c r="M1900" s="355"/>
      <c r="N1900" s="439"/>
      <c r="O1900" s="437"/>
      <c r="P1900" s="438"/>
      <c r="Q1900" s="442"/>
      <c r="R1900" s="443"/>
      <c r="S1900" s="364"/>
      <c r="Z1900" s="609" t="s">
        <v>764</v>
      </c>
      <c r="AA1900" s="609" t="s">
        <v>3326</v>
      </c>
    </row>
    <row r="1901" spans="1:29" ht="18">
      <c r="A1901" s="2712"/>
      <c r="B1901" s="371">
        <v>102</v>
      </c>
      <c r="C1901" s="371" t="s">
        <v>2791</v>
      </c>
      <c r="D1901" s="2714">
        <f t="shared" si="184"/>
        <v>1</v>
      </c>
      <c r="E1901" s="2719">
        <v>0</v>
      </c>
      <c r="F1901" s="293"/>
      <c r="G1901" s="2282" t="s">
        <v>2829</v>
      </c>
      <c r="H1901" s="2273"/>
      <c r="I1901" s="2296"/>
      <c r="J1901" s="2273"/>
      <c r="K1901" s="1474">
        <f t="shared" ref="K1901:K1907" si="185">H1901-J1901</f>
        <v>0</v>
      </c>
      <c r="L1901" s="2274"/>
      <c r="M1901" s="355" t="s">
        <v>6134</v>
      </c>
      <c r="N1901" s="439"/>
      <c r="O1901" s="437"/>
      <c r="P1901" s="438"/>
      <c r="Q1901" s="442"/>
      <c r="R1901" s="443"/>
      <c r="S1901" s="364"/>
      <c r="Z1901" s="609" t="s">
        <v>764</v>
      </c>
      <c r="AA1901" s="609" t="s">
        <v>3326</v>
      </c>
    </row>
    <row r="1902" spans="1:29" ht="18">
      <c r="A1902" s="2712"/>
      <c r="B1902" s="371">
        <v>103</v>
      </c>
      <c r="C1902" s="371" t="s">
        <v>2791</v>
      </c>
      <c r="D1902" s="2714">
        <f t="shared" si="184"/>
        <v>0</v>
      </c>
      <c r="E1902" s="2719">
        <v>0</v>
      </c>
      <c r="F1902" s="293"/>
      <c r="G1902" s="2282" t="s">
        <v>2792</v>
      </c>
      <c r="H1902" s="2273"/>
      <c r="I1902" s="2296"/>
      <c r="J1902" s="2273"/>
      <c r="K1902" s="1474">
        <f t="shared" si="185"/>
        <v>0</v>
      </c>
      <c r="L1902" s="2274"/>
      <c r="M1902" s="438"/>
      <c r="N1902" s="439"/>
      <c r="O1902" s="437"/>
      <c r="P1902" s="438"/>
      <c r="Q1902" s="442"/>
      <c r="R1902" s="443"/>
      <c r="S1902" s="364"/>
      <c r="Z1902" s="609" t="s">
        <v>764</v>
      </c>
      <c r="AA1902" s="609" t="s">
        <v>3326</v>
      </c>
    </row>
    <row r="1903" spans="1:29" ht="18">
      <c r="A1903" s="2712"/>
      <c r="B1903" s="371">
        <v>104</v>
      </c>
      <c r="C1903" s="371" t="s">
        <v>2791</v>
      </c>
      <c r="D1903" s="2714">
        <f t="shared" si="184"/>
        <v>0</v>
      </c>
      <c r="E1903" s="2719">
        <v>0</v>
      </c>
      <c r="F1903" s="293"/>
      <c r="G1903" s="2282" t="s">
        <v>2792</v>
      </c>
      <c r="H1903" s="2273"/>
      <c r="I1903" s="2296"/>
      <c r="J1903" s="2273"/>
      <c r="K1903" s="1474">
        <f t="shared" si="185"/>
        <v>0</v>
      </c>
      <c r="L1903" s="2274"/>
      <c r="M1903" s="438"/>
      <c r="N1903" s="439"/>
      <c r="O1903" s="437"/>
      <c r="P1903" s="438"/>
      <c r="Q1903" s="442"/>
      <c r="R1903" s="443"/>
      <c r="S1903" s="364"/>
      <c r="Z1903" s="609" t="s">
        <v>764</v>
      </c>
      <c r="AA1903" s="609" t="s">
        <v>3326</v>
      </c>
    </row>
    <row r="1904" spans="1:29" ht="18">
      <c r="A1904" s="2712"/>
      <c r="B1904" s="371">
        <v>105</v>
      </c>
      <c r="C1904" s="371"/>
      <c r="D1904" s="2714">
        <f t="shared" si="184"/>
        <v>1</v>
      </c>
      <c r="E1904" s="2719">
        <v>1</v>
      </c>
      <c r="F1904" s="293"/>
      <c r="G1904" s="1472" t="s">
        <v>3094</v>
      </c>
      <c r="H1904" s="2273">
        <f>SUM(H1905:H1907)</f>
        <v>0</v>
      </c>
      <c r="I1904" s="2296"/>
      <c r="J1904" s="2273">
        <f>SUM(J1905:J1907)</f>
        <v>0</v>
      </c>
      <c r="K1904" s="1474">
        <f t="shared" si="185"/>
        <v>0</v>
      </c>
      <c r="L1904" s="2274"/>
      <c r="M1904" s="438"/>
      <c r="N1904" s="439"/>
      <c r="O1904" s="437"/>
      <c r="P1904" s="438"/>
      <c r="Q1904" s="442"/>
      <c r="R1904" s="443"/>
      <c r="S1904" s="364"/>
      <c r="Z1904" s="609" t="s">
        <v>764</v>
      </c>
      <c r="AA1904" s="609" t="s">
        <v>3326</v>
      </c>
    </row>
    <row r="1905" spans="1:29" ht="18">
      <c r="A1905" s="2712"/>
      <c r="B1905" s="371">
        <v>106</v>
      </c>
      <c r="C1905" s="371" t="s">
        <v>2791</v>
      </c>
      <c r="D1905" s="2714">
        <f t="shared" si="184"/>
        <v>1</v>
      </c>
      <c r="E1905" s="2719">
        <v>0</v>
      </c>
      <c r="F1905" s="293"/>
      <c r="G1905" s="2282" t="s">
        <v>2831</v>
      </c>
      <c r="H1905" s="2273"/>
      <c r="I1905" s="2296"/>
      <c r="J1905" s="2273"/>
      <c r="K1905" s="1474">
        <f t="shared" si="185"/>
        <v>0</v>
      </c>
      <c r="L1905" s="2274"/>
      <c r="M1905" s="355"/>
      <c r="N1905" s="439"/>
      <c r="O1905" s="437"/>
      <c r="P1905" s="438"/>
      <c r="Q1905" s="442"/>
      <c r="R1905" s="443"/>
      <c r="S1905" s="364"/>
      <c r="Z1905" s="609" t="s">
        <v>764</v>
      </c>
      <c r="AA1905" s="609" t="s">
        <v>3326</v>
      </c>
    </row>
    <row r="1906" spans="1:29" ht="18">
      <c r="A1906" s="2712"/>
      <c r="B1906" s="371">
        <v>107</v>
      </c>
      <c r="C1906" s="371" t="s">
        <v>2791</v>
      </c>
      <c r="D1906" s="2714">
        <f t="shared" si="184"/>
        <v>0</v>
      </c>
      <c r="E1906" s="2719">
        <v>0</v>
      </c>
      <c r="F1906" s="293"/>
      <c r="G1906" s="2282" t="s">
        <v>2792</v>
      </c>
      <c r="H1906" s="2273"/>
      <c r="I1906" s="2296"/>
      <c r="J1906" s="2273"/>
      <c r="K1906" s="1474">
        <f t="shared" si="185"/>
        <v>0</v>
      </c>
      <c r="L1906" s="2274"/>
      <c r="M1906" s="438"/>
      <c r="N1906" s="439"/>
      <c r="O1906" s="437"/>
      <c r="P1906" s="438"/>
      <c r="Q1906" s="442"/>
      <c r="R1906" s="443"/>
      <c r="S1906" s="364"/>
      <c r="Z1906" s="609" t="s">
        <v>764</v>
      </c>
      <c r="AA1906" s="609" t="s">
        <v>3326</v>
      </c>
    </row>
    <row r="1907" spans="1:29" ht="18">
      <c r="A1907" s="2712"/>
      <c r="B1907" s="371">
        <v>108</v>
      </c>
      <c r="C1907" s="371" t="s">
        <v>2791</v>
      </c>
      <c r="D1907" s="2714">
        <f t="shared" si="184"/>
        <v>0</v>
      </c>
      <c r="E1907" s="2719">
        <v>0</v>
      </c>
      <c r="F1907" s="293"/>
      <c r="G1907" s="2282" t="s">
        <v>2792</v>
      </c>
      <c r="H1907" s="2273"/>
      <c r="I1907" s="2296"/>
      <c r="J1907" s="2273"/>
      <c r="K1907" s="1474">
        <f t="shared" si="185"/>
        <v>0</v>
      </c>
      <c r="L1907" s="2274"/>
      <c r="M1907" s="438"/>
      <c r="N1907" s="439"/>
      <c r="O1907" s="437"/>
      <c r="P1907" s="438"/>
      <c r="Q1907" s="442"/>
      <c r="R1907" s="443"/>
      <c r="S1907" s="364"/>
      <c r="Z1907" s="609" t="s">
        <v>764</v>
      </c>
      <c r="AA1907" s="609" t="s">
        <v>3326</v>
      </c>
    </row>
    <row r="1908" spans="1:29" ht="18.75" thickBot="1">
      <c r="A1908" s="2712"/>
      <c r="B1908" s="371"/>
      <c r="C1908" s="371"/>
      <c r="D1908" s="2714">
        <f t="shared" si="184"/>
        <v>1</v>
      </c>
      <c r="E1908" s="2719" t="s">
        <v>2751</v>
      </c>
      <c r="F1908" s="293"/>
      <c r="G1908" s="2232" t="s">
        <v>2752</v>
      </c>
      <c r="H1908" s="2233">
        <f>SUMPRODUCT($E1899:$E1907,H1899:H1907)</f>
        <v>0</v>
      </c>
      <c r="I1908" s="2240"/>
      <c r="J1908" s="2233">
        <f>SUMPRODUCT($E1899:$E1907,J1899:J1907)</f>
        <v>0</v>
      </c>
      <c r="K1908" s="2233">
        <f>SUMPRODUCT($E1899:$E1907,K1899:K1907)</f>
        <v>0</v>
      </c>
      <c r="L1908" s="2242"/>
      <c r="M1908" s="1595" t="str">
        <f ca="1">HYPERLINK("#'"&amp;$G$1&amp;"'!"&amp;ADDRESS(ROW(Notes!L1860),COLUMN(Notes!L1860),4),"* 请勿删除此行！点击往勾稽单元格，F5+Enter返回")</f>
        <v>* 请勿删除此行！点击往勾稽单元格，F5+Enter返回</v>
      </c>
      <c r="N1908" s="439"/>
      <c r="O1908" s="437"/>
      <c r="P1908" s="440"/>
      <c r="Q1908" s="442"/>
      <c r="R1908" s="443"/>
      <c r="S1908" s="364"/>
      <c r="Z1908" s="609" t="s">
        <v>764</v>
      </c>
      <c r="AA1908" s="609" t="s">
        <v>3326</v>
      </c>
      <c r="AC1908" s="369" t="s">
        <v>6571</v>
      </c>
    </row>
    <row r="1909" spans="1:29" ht="18">
      <c r="A1909" s="2712"/>
      <c r="B1909" s="371"/>
      <c r="C1909" s="371" t="s">
        <v>2755</v>
      </c>
      <c r="D1909" s="2714"/>
      <c r="F1909" s="293"/>
      <c r="G1909" s="376"/>
      <c r="H1909" s="315"/>
      <c r="I1909" s="432"/>
      <c r="J1909" s="315"/>
      <c r="K1909" s="423"/>
      <c r="L1909" s="393"/>
      <c r="M1909" s="425"/>
      <c r="N1909" s="426"/>
      <c r="O1909" s="427"/>
      <c r="P1909" s="425"/>
      <c r="Q1909" s="442"/>
      <c r="R1909" s="443"/>
      <c r="S1909" s="364"/>
      <c r="Z1909" s="609" t="s">
        <v>764</v>
      </c>
      <c r="AA1909" s="609" t="s">
        <v>3326</v>
      </c>
    </row>
    <row r="1910" spans="1:29" ht="24">
      <c r="A1910" s="2712" t="s">
        <v>799</v>
      </c>
      <c r="B1910" s="371">
        <v>4</v>
      </c>
      <c r="C1910" s="371"/>
      <c r="D1910" s="2714" t="str">
        <f>VLOOKUP($A1910,Sheet_NoteList,2,0)</f>
        <v>本期债权投资减值准备的变动情况</v>
      </c>
      <c r="E1910" s="2714" t="s">
        <v>2742</v>
      </c>
      <c r="F1910" s="293"/>
      <c r="G1910" s="372" t="str">
        <f>"("&amp;B1910&amp;")"&amp;D1910</f>
        <v>(4)本期债权投资减值准备的变动情况</v>
      </c>
      <c r="H1910" s="1515" t="str">
        <f>$A1910</f>
        <v>1505k</v>
      </c>
      <c r="I1910" s="343" t="s">
        <v>2743</v>
      </c>
      <c r="J1910" s="301" t="s">
        <v>2744</v>
      </c>
      <c r="K1910" s="2208">
        <f>H1920</f>
        <v>0</v>
      </c>
      <c r="L1910" s="349" t="str">
        <f>IF($I1910="适用",IF(ROUND(K$1824-K1910,2)=0,"F/S",ROUND(K$1824-K1910,2)),"#N/A")</f>
        <v>F/S</v>
      </c>
      <c r="M1910" s="301" t="s">
        <v>2745</v>
      </c>
      <c r="N1910" s="2208">
        <f>I1920</f>
        <v>0</v>
      </c>
      <c r="O1910" s="349" t="str">
        <f>IF($I1910="适用",IF(ROUND(N$1824-N1910,2)=0,"F/S",ROUND(N$1824-N1910,2)),"#N/A")</f>
        <v>F/S</v>
      </c>
      <c r="P1910" s="301"/>
      <c r="S1910" s="364"/>
      <c r="Z1910" s="609" t="s">
        <v>764</v>
      </c>
      <c r="AA1910" s="609" t="s">
        <v>3326</v>
      </c>
    </row>
    <row r="1911" spans="1:29" ht="0.75" customHeight="1">
      <c r="A1911" s="2712"/>
      <c r="B1911" s="371"/>
      <c r="C1911" s="371"/>
      <c r="D1911" s="2714"/>
      <c r="E1911" s="586"/>
      <c r="F1911" s="586"/>
      <c r="G1911" s="2222" t="s">
        <v>3363</v>
      </c>
      <c r="H1911" s="371" t="s">
        <v>2747</v>
      </c>
      <c r="I1911" s="371" t="s">
        <v>2748</v>
      </c>
      <c r="J1911" s="371" t="s">
        <v>2948</v>
      </c>
      <c r="K1911" s="547" t="s">
        <v>3165</v>
      </c>
      <c r="L1911" s="547" t="s">
        <v>3166</v>
      </c>
      <c r="M1911" s="371" t="s">
        <v>3167</v>
      </c>
      <c r="N1911" s="547" t="s">
        <v>3037</v>
      </c>
      <c r="O1911" s="428"/>
      <c r="P1911" s="433"/>
      <c r="Q1911" s="442"/>
      <c r="R1911" s="443"/>
      <c r="S1911" s="364"/>
      <c r="Z1911" s="609" t="s">
        <v>764</v>
      </c>
      <c r="AA1911" s="609" t="s">
        <v>3326</v>
      </c>
    </row>
    <row r="1912" spans="1:29" ht="0.75" customHeight="1" thickBot="1">
      <c r="A1912" s="2712"/>
      <c r="B1912" s="371"/>
      <c r="C1912" s="371"/>
      <c r="D1912" s="2714"/>
      <c r="E1912" s="586"/>
      <c r="F1912" s="586"/>
      <c r="G1912" s="2222"/>
      <c r="H1912" s="371" t="s">
        <v>2911</v>
      </c>
      <c r="I1912" s="371" t="s">
        <v>2912</v>
      </c>
      <c r="J1912" s="371" t="s">
        <v>3038</v>
      </c>
      <c r="K1912" s="547" t="s">
        <v>2914</v>
      </c>
      <c r="L1912" s="547" t="s">
        <v>2915</v>
      </c>
      <c r="M1912" s="371" t="s">
        <v>2916</v>
      </c>
      <c r="N1912" s="547" t="s">
        <v>2917</v>
      </c>
      <c r="O1912" s="428"/>
      <c r="P1912" s="433"/>
      <c r="Q1912" s="442"/>
      <c r="R1912" s="443"/>
      <c r="S1912" s="364"/>
      <c r="Z1912" s="609" t="s">
        <v>764</v>
      </c>
      <c r="AA1912" s="609" t="s">
        <v>3326</v>
      </c>
    </row>
    <row r="1913" spans="1:29" ht="15" customHeight="1">
      <c r="A1913" s="2712"/>
      <c r="B1913" s="371"/>
      <c r="C1913" s="371"/>
      <c r="D1913" s="2714"/>
      <c r="E1913" s="586" t="s">
        <v>2749</v>
      </c>
      <c r="F1913" s="586"/>
      <c r="G1913" s="3462" t="s">
        <v>6013</v>
      </c>
      <c r="H1913" s="3468" t="str">
        <f>$V$3</f>
        <v>2018年12月31日</v>
      </c>
      <c r="I1913" s="3466" t="s">
        <v>6014</v>
      </c>
      <c r="J1913" s="3468" t="str">
        <f>$X$3</f>
        <v>2019年1月1日</v>
      </c>
      <c r="K1913" s="3496" t="s">
        <v>2919</v>
      </c>
      <c r="L1913" s="3496"/>
      <c r="M1913" s="3496"/>
      <c r="N1913" s="3579" t="str">
        <f>$V$2</f>
        <v>2019年12月31日</v>
      </c>
      <c r="O1913" s="355" t="s">
        <v>5276</v>
      </c>
      <c r="P1913" s="433"/>
      <c r="Q1913" s="442"/>
      <c r="R1913" s="443"/>
      <c r="S1913" s="364"/>
      <c r="Z1913" s="609" t="s">
        <v>764</v>
      </c>
      <c r="AA1913" s="609" t="s">
        <v>3326</v>
      </c>
    </row>
    <row r="1914" spans="1:29" ht="18">
      <c r="A1914" s="2712"/>
      <c r="B1914" s="371"/>
      <c r="C1914" s="371"/>
      <c r="D1914" s="2714"/>
      <c r="E1914" s="586" t="s">
        <v>2749</v>
      </c>
      <c r="F1914" s="414"/>
      <c r="G1914" s="3463"/>
      <c r="H1914" s="3469"/>
      <c r="I1914" s="3467"/>
      <c r="J1914" s="3469"/>
      <c r="K1914" s="2237" t="s">
        <v>6015</v>
      </c>
      <c r="L1914" s="2237" t="s">
        <v>6016</v>
      </c>
      <c r="M1914" s="2292" t="s">
        <v>6017</v>
      </c>
      <c r="N1914" s="3580"/>
      <c r="O1914" s="434"/>
      <c r="P1914" s="435"/>
      <c r="Q1914" s="442"/>
      <c r="R1914" s="443"/>
      <c r="S1914" s="364"/>
      <c r="Z1914" s="609" t="s">
        <v>764</v>
      </c>
      <c r="AA1914" s="609" t="s">
        <v>3326</v>
      </c>
    </row>
    <row r="1915" spans="1:29" ht="18">
      <c r="A1915" s="2712"/>
      <c r="B1915" s="371">
        <v>101</v>
      </c>
      <c r="C1915" s="371" t="s">
        <v>2791</v>
      </c>
      <c r="D1915" s="2714">
        <f t="shared" ref="D1915:D1920" si="186">IF(OR(G1915="*",G1915="",G1915=0),0,COUNTIF($G$1915:$G$1920,G1915))</f>
        <v>0</v>
      </c>
      <c r="E1915" s="2719">
        <v>1</v>
      </c>
      <c r="F1915" s="293"/>
      <c r="G1915" s="2282" t="s">
        <v>5144</v>
      </c>
      <c r="H1915" s="2273"/>
      <c r="I1915" s="2273"/>
      <c r="J1915" s="1474">
        <f>SUM(H1915:I1915)</f>
        <v>0</v>
      </c>
      <c r="K1915" s="2273"/>
      <c r="L1915" s="2273"/>
      <c r="M1915" s="2273"/>
      <c r="N1915" s="1475">
        <f>SUM(J1915:K1915,-L1915,-M1915)</f>
        <v>0</v>
      </c>
      <c r="O1915" s="437"/>
      <c r="P1915" s="438"/>
      <c r="Q1915" s="442"/>
      <c r="R1915" s="443"/>
      <c r="S1915" s="364"/>
      <c r="Z1915" s="609" t="s">
        <v>764</v>
      </c>
      <c r="AA1915" s="609" t="s">
        <v>3326</v>
      </c>
    </row>
    <row r="1916" spans="1:29" ht="18">
      <c r="A1916" s="2712"/>
      <c r="B1916" s="371">
        <v>102</v>
      </c>
      <c r="C1916" s="371" t="s">
        <v>2791</v>
      </c>
      <c r="D1916" s="2714">
        <f t="shared" si="186"/>
        <v>0</v>
      </c>
      <c r="E1916" s="2719">
        <v>1</v>
      </c>
      <c r="F1916" s="293"/>
      <c r="G1916" s="2282" t="s">
        <v>5144</v>
      </c>
      <c r="H1916" s="2273"/>
      <c r="I1916" s="2273"/>
      <c r="J1916" s="1474">
        <f t="shared" ref="J1916:J1919" si="187">SUM(H1916:I1916)</f>
        <v>0</v>
      </c>
      <c r="K1916" s="2273"/>
      <c r="L1916" s="2273"/>
      <c r="M1916" s="2273"/>
      <c r="N1916" s="1475">
        <f t="shared" ref="N1916:N1919" si="188">SUM(J1916:K1916,-L1916,-M1916)</f>
        <v>0</v>
      </c>
      <c r="O1916" s="437"/>
      <c r="P1916" s="438"/>
      <c r="Q1916" s="442"/>
      <c r="R1916" s="443"/>
      <c r="S1916" s="364"/>
      <c r="Z1916" s="609" t="s">
        <v>764</v>
      </c>
      <c r="AA1916" s="609" t="s">
        <v>3326</v>
      </c>
    </row>
    <row r="1917" spans="1:29" ht="18">
      <c r="A1917" s="2712"/>
      <c r="B1917" s="371">
        <v>103</v>
      </c>
      <c r="C1917" s="371" t="s">
        <v>2791</v>
      </c>
      <c r="D1917" s="2714">
        <f t="shared" si="186"/>
        <v>0</v>
      </c>
      <c r="E1917" s="2719">
        <v>1</v>
      </c>
      <c r="F1917" s="293"/>
      <c r="G1917" s="2282" t="s">
        <v>5144</v>
      </c>
      <c r="H1917" s="2273"/>
      <c r="I1917" s="2273"/>
      <c r="J1917" s="1474">
        <f t="shared" si="187"/>
        <v>0</v>
      </c>
      <c r="K1917" s="2273"/>
      <c r="L1917" s="2273"/>
      <c r="M1917" s="2273"/>
      <c r="N1917" s="1475">
        <f t="shared" si="188"/>
        <v>0</v>
      </c>
      <c r="O1917" s="437"/>
      <c r="P1917" s="438"/>
      <c r="Q1917" s="442"/>
      <c r="R1917" s="443"/>
      <c r="S1917" s="364"/>
      <c r="Z1917" s="609" t="s">
        <v>764</v>
      </c>
      <c r="AA1917" s="609" t="s">
        <v>3326</v>
      </c>
    </row>
    <row r="1918" spans="1:29" ht="18">
      <c r="A1918" s="2712"/>
      <c r="B1918" s="371">
        <v>104</v>
      </c>
      <c r="C1918" s="371" t="s">
        <v>2791</v>
      </c>
      <c r="D1918" s="2714">
        <f t="shared" si="186"/>
        <v>0</v>
      </c>
      <c r="E1918" s="2719">
        <v>1</v>
      </c>
      <c r="F1918" s="293"/>
      <c r="G1918" s="2282" t="s">
        <v>5144</v>
      </c>
      <c r="H1918" s="2273"/>
      <c r="I1918" s="2273"/>
      <c r="J1918" s="1474">
        <f t="shared" si="187"/>
        <v>0</v>
      </c>
      <c r="K1918" s="2273"/>
      <c r="L1918" s="2273"/>
      <c r="M1918" s="2273"/>
      <c r="N1918" s="1475">
        <f t="shared" si="188"/>
        <v>0</v>
      </c>
      <c r="O1918" s="437"/>
      <c r="P1918" s="438"/>
      <c r="Q1918" s="442"/>
      <c r="R1918" s="443"/>
      <c r="S1918" s="364"/>
      <c r="Z1918" s="609" t="s">
        <v>764</v>
      </c>
      <c r="AA1918" s="609" t="s">
        <v>3326</v>
      </c>
    </row>
    <row r="1919" spans="1:29" ht="18">
      <c r="A1919" s="2712"/>
      <c r="B1919" s="371">
        <v>105</v>
      </c>
      <c r="C1919" s="371" t="s">
        <v>2791</v>
      </c>
      <c r="D1919" s="2714">
        <f t="shared" si="186"/>
        <v>0</v>
      </c>
      <c r="E1919" s="2719">
        <v>1</v>
      </c>
      <c r="F1919" s="293"/>
      <c r="G1919" s="2282" t="s">
        <v>5144</v>
      </c>
      <c r="H1919" s="2273"/>
      <c r="I1919" s="2273"/>
      <c r="J1919" s="1474">
        <f t="shared" si="187"/>
        <v>0</v>
      </c>
      <c r="K1919" s="2273"/>
      <c r="L1919" s="2273"/>
      <c r="M1919" s="2273"/>
      <c r="N1919" s="1475">
        <f t="shared" si="188"/>
        <v>0</v>
      </c>
      <c r="O1919" s="437"/>
      <c r="P1919" s="438"/>
      <c r="Q1919" s="442"/>
      <c r="R1919" s="443"/>
      <c r="S1919" s="364"/>
      <c r="Z1919" s="609" t="s">
        <v>764</v>
      </c>
      <c r="AA1919" s="609" t="s">
        <v>3326</v>
      </c>
    </row>
    <row r="1920" spans="1:29" ht="18.75" thickBot="1">
      <c r="A1920" s="2712"/>
      <c r="B1920" s="371"/>
      <c r="C1920" s="371"/>
      <c r="D1920" s="2714">
        <f t="shared" si="186"/>
        <v>1</v>
      </c>
      <c r="E1920" s="2719" t="s">
        <v>2751</v>
      </c>
      <c r="F1920" s="293"/>
      <c r="G1920" s="2326" t="s">
        <v>2752</v>
      </c>
      <c r="H1920" s="2233">
        <f t="shared" ref="H1920:N1920" si="189">SUMPRODUCT($E1914:$E1919,H1914:H1919)</f>
        <v>0</v>
      </c>
      <c r="I1920" s="2233">
        <f t="shared" si="189"/>
        <v>0</v>
      </c>
      <c r="J1920" s="2233">
        <f t="shared" si="189"/>
        <v>0</v>
      </c>
      <c r="K1920" s="2233">
        <f t="shared" si="189"/>
        <v>0</v>
      </c>
      <c r="L1920" s="2233">
        <f t="shared" si="189"/>
        <v>0</v>
      </c>
      <c r="M1920" s="2233">
        <f t="shared" si="189"/>
        <v>0</v>
      </c>
      <c r="N1920" s="2234">
        <f t="shared" si="189"/>
        <v>0</v>
      </c>
      <c r="O1920" s="437"/>
      <c r="P1920" s="440"/>
      <c r="Q1920" s="442"/>
      <c r="R1920" s="443"/>
      <c r="S1920" s="364"/>
      <c r="Z1920" s="609" t="s">
        <v>764</v>
      </c>
      <c r="AA1920" s="609" t="s">
        <v>3326</v>
      </c>
    </row>
    <row r="1921" spans="1:27" ht="18.75" thickBot="1">
      <c r="A1921" s="2712"/>
      <c r="B1921" s="371"/>
      <c r="C1921" s="371" t="s">
        <v>2755</v>
      </c>
      <c r="D1921" s="2714"/>
      <c r="F1921" s="293"/>
      <c r="G1921" s="376"/>
      <c r="H1921" s="527" t="s">
        <v>3002</v>
      </c>
      <c r="I1921" s="446"/>
      <c r="J1921" s="425"/>
      <c r="K1921" s="577"/>
      <c r="L1921" s="425"/>
      <c r="M1921" s="425"/>
      <c r="N1921" s="2652" t="s">
        <v>3002</v>
      </c>
      <c r="O1921" s="427"/>
      <c r="P1921" s="425"/>
      <c r="Q1921" s="442"/>
      <c r="R1921" s="443"/>
      <c r="S1921" s="364"/>
      <c r="Z1921" s="609" t="s">
        <v>764</v>
      </c>
      <c r="AA1921" s="609" t="s">
        <v>3326</v>
      </c>
    </row>
    <row r="1922" spans="1:27" ht="18.75" thickTop="1">
      <c r="A1922" s="2712"/>
      <c r="B1922" s="371"/>
      <c r="C1922" s="371" t="s">
        <v>2565</v>
      </c>
      <c r="D1922" s="2714"/>
      <c r="F1922" s="293"/>
      <c r="G1922" s="1547" t="s">
        <v>5365</v>
      </c>
      <c r="H1922" s="1548" t="str">
        <f>G1825</f>
        <v>(1)债权投资情况</v>
      </c>
      <c r="I1922" s="1549"/>
      <c r="J1922" s="1549"/>
      <c r="K1922" s="1549"/>
      <c r="L1922" s="1549"/>
      <c r="M1922" s="1549"/>
      <c r="N1922" s="1550"/>
      <c r="O1922" s="1551" t="s">
        <v>5366</v>
      </c>
      <c r="P1922" s="425"/>
      <c r="Q1922" s="442"/>
      <c r="R1922" s="442"/>
      <c r="S1922" s="364"/>
      <c r="Z1922" s="609" t="s">
        <v>764</v>
      </c>
      <c r="AA1922" s="609" t="s">
        <v>3326</v>
      </c>
    </row>
    <row r="1923" spans="1:27" ht="18">
      <c r="A1923" s="2712"/>
      <c r="B1923" s="371"/>
      <c r="C1923" s="371" t="s">
        <v>2565</v>
      </c>
      <c r="D1923" s="2714"/>
      <c r="F1923" s="293"/>
      <c r="G1923" s="604" t="str">
        <f>"注释A:"&amp; G1838</f>
        <v>注释A:合       计</v>
      </c>
      <c r="H1923" s="2250">
        <f ca="1">HYPERLINK("#'"&amp;$G$1&amp;"'!"&amp;ADDRESS(ROW(Notes!L1838),COLUMN(Notes!L1838),4),L1838)</f>
        <v>0</v>
      </c>
      <c r="I1923" s="1541"/>
      <c r="J1923" s="1541"/>
      <c r="K1923" s="1541"/>
      <c r="L1923" s="1541"/>
      <c r="M1923" s="1541"/>
      <c r="N1923" s="2653">
        <f ca="1">HYPERLINK("#'"&amp;$G$1&amp;"'!"&amp;ADDRESS(ROW(Notes!I1838),COLUMN(Notes!I1838),4),I1838)</f>
        <v>0</v>
      </c>
      <c r="O1923" s="2634" t="str">
        <f>H1825</f>
        <v>1505a</v>
      </c>
      <c r="P1923" s="425"/>
      <c r="Q1923" s="442"/>
      <c r="R1923" s="442"/>
      <c r="S1923" s="364"/>
      <c r="Z1923" s="609" t="s">
        <v>764</v>
      </c>
      <c r="AA1923" s="609" t="s">
        <v>3326</v>
      </c>
    </row>
    <row r="1924" spans="1:27" ht="18">
      <c r="A1924" s="2712"/>
      <c r="B1924" s="371"/>
      <c r="C1924" s="371" t="s">
        <v>2565</v>
      </c>
      <c r="D1924" s="2714"/>
      <c r="F1924" s="293"/>
      <c r="G1924" s="604" t="str">
        <f>"本注释B:"&amp; G1920</f>
        <v>本注释B:合       计</v>
      </c>
      <c r="H1924" s="456">
        <f>H1920</f>
        <v>0</v>
      </c>
      <c r="I1924" s="1541"/>
      <c r="J1924" s="1541"/>
      <c r="K1924" s="1541"/>
      <c r="L1924" s="1541"/>
      <c r="M1924" s="1541"/>
      <c r="N1924" s="1542">
        <f>N1920</f>
        <v>0</v>
      </c>
      <c r="O1924" s="2637" t="s">
        <v>799</v>
      </c>
      <c r="P1924" s="425"/>
      <c r="Q1924" s="442"/>
      <c r="R1924" s="442"/>
      <c r="S1924" s="364"/>
      <c r="Z1924" s="609" t="s">
        <v>764</v>
      </c>
      <c r="AA1924" s="609" t="s">
        <v>3326</v>
      </c>
    </row>
    <row r="1925" spans="1:27" ht="18.75" thickBot="1">
      <c r="A1925" s="2712"/>
      <c r="B1925" s="371"/>
      <c r="C1925" s="371" t="s">
        <v>2565</v>
      </c>
      <c r="D1925" s="2714"/>
      <c r="F1925" s="293"/>
      <c r="G1925" s="1552" t="s">
        <v>2757</v>
      </c>
      <c r="H1925" s="1529">
        <f ca="1">IF(AND(H1923="",H1924=""),"",ROUND(H1923-H1924,2))</f>
        <v>0</v>
      </c>
      <c r="I1925" s="1554"/>
      <c r="J1925" s="1554"/>
      <c r="K1925" s="1554"/>
      <c r="L1925" s="1554"/>
      <c r="M1925" s="1554"/>
      <c r="N1925" s="1555">
        <f ca="1">IF(AND(N1923="",N1924=""),"",ROUND(N1923-N1924,2))</f>
        <v>0</v>
      </c>
      <c r="O1925" s="1554"/>
      <c r="P1925" s="425"/>
      <c r="Q1925" s="442"/>
      <c r="R1925" s="442"/>
      <c r="S1925" s="364"/>
      <c r="Z1925" s="609" t="s">
        <v>764</v>
      </c>
      <c r="AA1925" s="609" t="s">
        <v>3326</v>
      </c>
    </row>
    <row r="1926" spans="1:27" ht="18.75" thickTop="1">
      <c r="A1926" s="2712"/>
      <c r="B1926" s="371"/>
      <c r="C1926" s="371" t="s">
        <v>2565</v>
      </c>
      <c r="D1926" s="2714"/>
      <c r="F1926" s="293"/>
      <c r="G1926" s="1543"/>
      <c r="H1926" s="459" t="str">
        <f ca="1">IF(OR(H1925=0,H1925=""),"√","？")</f>
        <v>√</v>
      </c>
      <c r="I1926" s="1545"/>
      <c r="J1926" s="1545"/>
      <c r="K1926" s="1545"/>
      <c r="L1926" s="1545"/>
      <c r="M1926" s="1545"/>
      <c r="N1926" s="1556" t="str">
        <f ca="1">IF(OR(N1925=0,N1925=""),"√","？")</f>
        <v>√</v>
      </c>
      <c r="O1926" s="1545"/>
      <c r="P1926" s="425"/>
      <c r="Q1926" s="442"/>
      <c r="R1926" s="442"/>
      <c r="S1926" s="364"/>
      <c r="Z1926" s="609" t="s">
        <v>764</v>
      </c>
      <c r="AA1926" s="609" t="s">
        <v>3326</v>
      </c>
    </row>
    <row r="1927" spans="1:27" ht="18">
      <c r="A1927" s="2712"/>
      <c r="B1927" s="371"/>
      <c r="C1927" s="371" t="s">
        <v>2565</v>
      </c>
      <c r="D1927" s="2714"/>
      <c r="F1927" s="293"/>
      <c r="G1927" s="1557" t="s">
        <v>2759</v>
      </c>
      <c r="H1927" s="461"/>
      <c r="I1927" s="1545"/>
      <c r="J1927" s="1545"/>
      <c r="K1927" s="2255">
        <f ca="1">SUMIF($H$1926:$O$1926,"&lt;&gt;√",$H$1925:$O$1925)</f>
        <v>0</v>
      </c>
      <c r="L1927" s="2252" t="str">
        <f ca="1">IF(OR(K1927=0,K1927=""),"√","？")</f>
        <v>√</v>
      </c>
      <c r="M1927" s="1545"/>
      <c r="N1927" s="1546"/>
      <c r="O1927" s="1545"/>
      <c r="P1927" s="425"/>
      <c r="Q1927" s="442"/>
      <c r="R1927" s="442"/>
      <c r="S1927" s="364"/>
      <c r="Z1927" s="609" t="s">
        <v>764</v>
      </c>
      <c r="AA1927" s="609" t="s">
        <v>3326</v>
      </c>
    </row>
    <row r="1928" spans="1:27" ht="18">
      <c r="A1928" s="2712"/>
      <c r="B1928" s="371"/>
      <c r="C1928" s="371" t="s">
        <v>2565</v>
      </c>
      <c r="D1928" s="2714"/>
      <c r="F1928" s="293"/>
      <c r="G1928" s="1543"/>
      <c r="H1928" s="461"/>
      <c r="I1928" s="1545"/>
      <c r="J1928" s="1545"/>
      <c r="K1928" s="1545"/>
      <c r="L1928" s="1545"/>
      <c r="M1928" s="1545"/>
      <c r="N1928" s="1546"/>
      <c r="O1928" s="1545"/>
      <c r="P1928" s="425"/>
      <c r="Q1928" s="442"/>
      <c r="R1928" s="442"/>
      <c r="S1928" s="364"/>
      <c r="Z1928" s="609" t="s">
        <v>764</v>
      </c>
      <c r="AA1928" s="609" t="s">
        <v>3326</v>
      </c>
    </row>
    <row r="1929" spans="1:27" ht="24">
      <c r="A1929" s="2712" t="s">
        <v>784</v>
      </c>
      <c r="B1929" s="371">
        <v>4</v>
      </c>
      <c r="C1929" s="371"/>
      <c r="D1929" s="2714" t="str">
        <f>VLOOKUP($A1929,Sheet_NoteList,2,0)</f>
        <v>本期债权投资减值准备的变动情况（备选格式）</v>
      </c>
      <c r="E1929" s="2714" t="s">
        <v>2742</v>
      </c>
      <c r="F1929" s="293"/>
      <c r="G1929" s="372" t="str">
        <f>"("&amp;B1929&amp;")"&amp;D1929</f>
        <v>(4)本期债权投资减值准备的变动情况（备选格式）</v>
      </c>
      <c r="H1929" s="1515" t="str">
        <f>$A1929</f>
        <v>1505f</v>
      </c>
      <c r="I1929" s="343" t="s">
        <v>2743</v>
      </c>
      <c r="J1929" s="301" t="s">
        <v>2744</v>
      </c>
      <c r="K1929" s="2208">
        <f>H1946</f>
        <v>0</v>
      </c>
      <c r="L1929" s="349"/>
      <c r="M1929" s="301"/>
      <c r="N1929" s="391"/>
      <c r="O1929" s="349"/>
      <c r="P1929" s="301"/>
      <c r="S1929" s="364"/>
      <c r="Z1929" s="609" t="s">
        <v>764</v>
      </c>
      <c r="AA1929" s="609" t="s">
        <v>3326</v>
      </c>
    </row>
    <row r="1930" spans="1:27" ht="0.75" customHeight="1">
      <c r="A1930" s="2712"/>
      <c r="B1930" s="371"/>
      <c r="C1930" s="371"/>
      <c r="D1930" s="2714"/>
      <c r="E1930" s="586"/>
      <c r="F1930" s="586"/>
      <c r="G1930" s="2222" t="s">
        <v>3343</v>
      </c>
      <c r="H1930" s="371" t="s">
        <v>2747</v>
      </c>
      <c r="I1930" s="371" t="s">
        <v>2748</v>
      </c>
      <c r="J1930" s="371" t="s">
        <v>2948</v>
      </c>
      <c r="K1930" s="547" t="s">
        <v>3034</v>
      </c>
      <c r="L1930" s="428"/>
      <c r="M1930" s="433"/>
      <c r="N1930" s="428"/>
      <c r="O1930" s="428"/>
      <c r="P1930" s="433"/>
      <c r="Q1930" s="442"/>
      <c r="R1930" s="443"/>
      <c r="S1930" s="364"/>
      <c r="Z1930" s="609" t="s">
        <v>764</v>
      </c>
      <c r="AA1930" s="609" t="s">
        <v>3326</v>
      </c>
    </row>
    <row r="1931" spans="1:27" ht="0.75" customHeight="1" thickBot="1">
      <c r="A1931" s="2712"/>
      <c r="B1931" s="371"/>
      <c r="C1931" s="371"/>
      <c r="D1931" s="2714"/>
      <c r="E1931" s="586"/>
      <c r="F1931" s="586"/>
      <c r="G1931" s="2222"/>
      <c r="H1931" s="371" t="s">
        <v>3344</v>
      </c>
      <c r="I1931" s="371" t="s">
        <v>3345</v>
      </c>
      <c r="J1931" s="371" t="s">
        <v>3346</v>
      </c>
      <c r="K1931" s="547" t="s">
        <v>3347</v>
      </c>
      <c r="L1931" s="428"/>
      <c r="M1931" s="433"/>
      <c r="N1931" s="428"/>
      <c r="O1931" s="428"/>
      <c r="P1931" s="433"/>
      <c r="Q1931" s="442"/>
      <c r="R1931" s="443"/>
      <c r="S1931" s="364"/>
      <c r="Z1931" s="609" t="s">
        <v>764</v>
      </c>
      <c r="AA1931" s="609" t="s">
        <v>3326</v>
      </c>
    </row>
    <row r="1932" spans="1:27" ht="18" customHeight="1">
      <c r="A1932" s="2712"/>
      <c r="B1932" s="371"/>
      <c r="C1932" s="371"/>
      <c r="D1932" s="2714"/>
      <c r="E1932" s="586" t="s">
        <v>2749</v>
      </c>
      <c r="F1932" s="414"/>
      <c r="G1932" s="3462" t="s">
        <v>3097</v>
      </c>
      <c r="H1932" s="2289" t="s">
        <v>3348</v>
      </c>
      <c r="I1932" s="2289" t="s">
        <v>3349</v>
      </c>
      <c r="J1932" s="2289" t="s">
        <v>3350</v>
      </c>
      <c r="K1932" s="3474" t="s">
        <v>3351</v>
      </c>
      <c r="L1932" s="355" t="s">
        <v>5276</v>
      </c>
      <c r="M1932" s="433"/>
      <c r="N1932" s="428"/>
      <c r="O1932" s="428"/>
      <c r="P1932" s="433"/>
      <c r="Q1932" s="442"/>
      <c r="R1932" s="443"/>
      <c r="S1932" s="364"/>
      <c r="Z1932" s="609" t="s">
        <v>764</v>
      </c>
      <c r="AA1932" s="609" t="s">
        <v>3326</v>
      </c>
    </row>
    <row r="1933" spans="1:27" ht="36">
      <c r="A1933" s="2712"/>
      <c r="B1933" s="371"/>
      <c r="C1933" s="371"/>
      <c r="D1933" s="2714"/>
      <c r="E1933" s="586" t="s">
        <v>2749</v>
      </c>
      <c r="F1933" s="414"/>
      <c r="G1933" s="3463"/>
      <c r="H1933" s="2292" t="s">
        <v>3352</v>
      </c>
      <c r="I1933" s="2292" t="s">
        <v>3353</v>
      </c>
      <c r="J1933" s="2292" t="s">
        <v>3354</v>
      </c>
      <c r="K1933" s="3475"/>
      <c r="L1933" s="1530" t="s">
        <v>6352</v>
      </c>
      <c r="M1933" s="435"/>
      <c r="N1933" s="434"/>
      <c r="O1933" s="434"/>
      <c r="P1933" s="435"/>
      <c r="Q1933" s="442"/>
      <c r="R1933" s="443"/>
      <c r="S1933" s="364"/>
      <c r="Z1933" s="609" t="s">
        <v>764</v>
      </c>
      <c r="AA1933" s="609" t="s">
        <v>3326</v>
      </c>
    </row>
    <row r="1934" spans="1:27" ht="18">
      <c r="A1934" s="2712"/>
      <c r="B1934" s="371">
        <v>101</v>
      </c>
      <c r="C1934" s="371"/>
      <c r="D1934" s="2714">
        <f t="shared" ref="D1934:D1946" si="190">IF(OR(G1934="*",G1934="",G1934=0),0,COUNTIF($G$1934:$G$1946,G1934))</f>
        <v>1</v>
      </c>
      <c r="E1934" s="2719">
        <v>1</v>
      </c>
      <c r="F1934" s="293"/>
      <c r="G1934" s="1472" t="str">
        <f>$X$3&amp;"余额"</f>
        <v>2019年1月1日余额</v>
      </c>
      <c r="H1934" s="2273"/>
      <c r="I1934" s="2273"/>
      <c r="J1934" s="2273"/>
      <c r="K1934" s="1475">
        <f>SUM(H1934:J1934)</f>
        <v>0</v>
      </c>
      <c r="L1934" s="437"/>
      <c r="M1934" s="438"/>
      <c r="N1934" s="439"/>
      <c r="O1934" s="437"/>
      <c r="P1934" s="438"/>
      <c r="Q1934" s="442"/>
      <c r="R1934" s="443"/>
      <c r="S1934" s="364"/>
      <c r="Z1934" s="609" t="s">
        <v>764</v>
      </c>
      <c r="AA1934" s="609" t="s">
        <v>3326</v>
      </c>
    </row>
    <row r="1935" spans="1:27" ht="18">
      <c r="A1935" s="2712"/>
      <c r="B1935" s="371">
        <v>102</v>
      </c>
      <c r="C1935" s="371"/>
      <c r="D1935" s="2714">
        <f t="shared" si="190"/>
        <v>1</v>
      </c>
      <c r="E1935" s="2719" t="s">
        <v>41</v>
      </c>
      <c r="F1935" s="293"/>
      <c r="G1935" s="1472" t="str">
        <f>$X$3&amp;"余额在本期"</f>
        <v>2019年1月1日余额在本期</v>
      </c>
      <c r="H1935" s="2273"/>
      <c r="I1935" s="2273"/>
      <c r="J1935" s="2273"/>
      <c r="K1935" s="2294"/>
      <c r="L1935" s="437"/>
      <c r="M1935" s="438"/>
      <c r="N1935" s="439"/>
      <c r="O1935" s="437"/>
      <c r="P1935" s="438"/>
      <c r="Q1935" s="442"/>
      <c r="R1935" s="443"/>
      <c r="S1935" s="364"/>
      <c r="Z1935" s="609" t="s">
        <v>764</v>
      </c>
      <c r="AA1935" s="609" t="s">
        <v>3326</v>
      </c>
    </row>
    <row r="1936" spans="1:27" ht="24">
      <c r="A1936" s="2712"/>
      <c r="B1936" s="371">
        <v>103</v>
      </c>
      <c r="C1936" s="371"/>
      <c r="D1936" s="2714">
        <f t="shared" si="190"/>
        <v>1</v>
      </c>
      <c r="E1936" s="2719">
        <v>1</v>
      </c>
      <c r="F1936" s="293"/>
      <c r="G1936" s="1472" t="s">
        <v>6020</v>
      </c>
      <c r="H1936" s="2273"/>
      <c r="I1936" s="2297">
        <v>0</v>
      </c>
      <c r="J1936" s="2297">
        <v>0</v>
      </c>
      <c r="K1936" s="1475">
        <f>SUM(H1936:J1936)</f>
        <v>0</v>
      </c>
      <c r="L1936" s="1491"/>
      <c r="M1936" s="438"/>
      <c r="N1936" s="439"/>
      <c r="O1936" s="437"/>
      <c r="P1936" s="438"/>
      <c r="Q1936" s="442"/>
      <c r="R1936" s="443"/>
      <c r="S1936" s="364"/>
      <c r="Z1936" s="609" t="s">
        <v>764</v>
      </c>
      <c r="AA1936" s="609" t="s">
        <v>3326</v>
      </c>
    </row>
    <row r="1937" spans="1:27" ht="24">
      <c r="A1937" s="2712"/>
      <c r="B1937" s="371">
        <v>104</v>
      </c>
      <c r="C1937" s="371"/>
      <c r="D1937" s="2714">
        <f t="shared" si="190"/>
        <v>1</v>
      </c>
      <c r="E1937" s="2719">
        <v>1</v>
      </c>
      <c r="F1937" s="293"/>
      <c r="G1937" s="1472" t="s">
        <v>6018</v>
      </c>
      <c r="H1937" s="2273"/>
      <c r="I1937" s="2273"/>
      <c r="J1937" s="2297">
        <v>0</v>
      </c>
      <c r="K1937" s="1475">
        <f t="shared" ref="K1937:K1945" si="191">SUM(H1937:J1937)</f>
        <v>0</v>
      </c>
      <c r="L1937" s="1491"/>
      <c r="M1937" s="438"/>
      <c r="N1937" s="439"/>
      <c r="O1937" s="437"/>
      <c r="P1937" s="438"/>
      <c r="Q1937" s="442"/>
      <c r="R1937" s="443"/>
      <c r="S1937" s="364"/>
      <c r="Z1937" s="609" t="s">
        <v>764</v>
      </c>
      <c r="AA1937" s="609" t="s">
        <v>3326</v>
      </c>
    </row>
    <row r="1938" spans="1:27" ht="24">
      <c r="A1938" s="2712"/>
      <c r="B1938" s="371">
        <v>105</v>
      </c>
      <c r="C1938" s="371"/>
      <c r="D1938" s="2714">
        <f t="shared" si="190"/>
        <v>1</v>
      </c>
      <c r="E1938" s="2719">
        <v>1</v>
      </c>
      <c r="F1938" s="293"/>
      <c r="G1938" s="1472" t="s">
        <v>6019</v>
      </c>
      <c r="H1938" s="2297">
        <v>0</v>
      </c>
      <c r="I1938" s="2297">
        <v>0</v>
      </c>
      <c r="J1938" s="2273"/>
      <c r="K1938" s="1475">
        <f t="shared" si="191"/>
        <v>0</v>
      </c>
      <c r="L1938" s="1491"/>
      <c r="M1938" s="438"/>
      <c r="N1938" s="439"/>
      <c r="O1938" s="437"/>
      <c r="P1938" s="438"/>
      <c r="Q1938" s="442"/>
      <c r="R1938" s="443"/>
      <c r="S1938" s="364"/>
      <c r="Z1938" s="609" t="s">
        <v>764</v>
      </c>
      <c r="AA1938" s="609" t="s">
        <v>3326</v>
      </c>
    </row>
    <row r="1939" spans="1:27" ht="24">
      <c r="A1939" s="2712"/>
      <c r="B1939" s="371">
        <v>106</v>
      </c>
      <c r="C1939" s="371"/>
      <c r="D1939" s="2714">
        <f t="shared" si="190"/>
        <v>1</v>
      </c>
      <c r="E1939" s="2719">
        <v>1</v>
      </c>
      <c r="F1939" s="293"/>
      <c r="G1939" s="1472" t="s">
        <v>6021</v>
      </c>
      <c r="H1939" s="2297">
        <v>0</v>
      </c>
      <c r="I1939" s="2273"/>
      <c r="J1939" s="2273"/>
      <c r="K1939" s="1475">
        <f t="shared" si="191"/>
        <v>0</v>
      </c>
      <c r="L1939" s="1491"/>
      <c r="M1939" s="438"/>
      <c r="N1939" s="439"/>
      <c r="O1939" s="437"/>
      <c r="P1939" s="438"/>
      <c r="Q1939" s="442"/>
      <c r="R1939" s="443"/>
      <c r="S1939" s="364"/>
      <c r="Z1939" s="609" t="s">
        <v>764</v>
      </c>
      <c r="AA1939" s="609" t="s">
        <v>3326</v>
      </c>
    </row>
    <row r="1940" spans="1:27" ht="18">
      <c r="A1940" s="2712"/>
      <c r="B1940" s="371">
        <v>107</v>
      </c>
      <c r="C1940" s="371"/>
      <c r="D1940" s="2714">
        <f t="shared" si="190"/>
        <v>1</v>
      </c>
      <c r="E1940" s="2719">
        <v>1</v>
      </c>
      <c r="F1940" s="293"/>
      <c r="G1940" s="1472" t="s">
        <v>6022</v>
      </c>
      <c r="H1940" s="2273"/>
      <c r="I1940" s="2273"/>
      <c r="J1940" s="2273"/>
      <c r="K1940" s="1475">
        <f t="shared" si="191"/>
        <v>0</v>
      </c>
      <c r="L1940" s="437"/>
      <c r="M1940" s="438"/>
      <c r="N1940" s="439"/>
      <c r="O1940" s="437"/>
      <c r="P1940" s="438"/>
      <c r="Q1940" s="442"/>
      <c r="R1940" s="443"/>
      <c r="S1940" s="364"/>
      <c r="Z1940" s="609" t="s">
        <v>764</v>
      </c>
      <c r="AA1940" s="609" t="s">
        <v>3326</v>
      </c>
    </row>
    <row r="1941" spans="1:27" ht="18">
      <c r="A1941" s="2712"/>
      <c r="B1941" s="371">
        <v>108</v>
      </c>
      <c r="C1941" s="371"/>
      <c r="D1941" s="2714">
        <f t="shared" si="190"/>
        <v>1</v>
      </c>
      <c r="E1941" s="2719">
        <v>-1</v>
      </c>
      <c r="F1941" s="293"/>
      <c r="G1941" s="1472" t="s">
        <v>6023</v>
      </c>
      <c r="H1941" s="2273"/>
      <c r="I1941" s="2273"/>
      <c r="J1941" s="2273"/>
      <c r="K1941" s="1475">
        <f t="shared" si="191"/>
        <v>0</v>
      </c>
      <c r="L1941" s="355" t="s">
        <v>6135</v>
      </c>
      <c r="M1941" s="438"/>
      <c r="N1941" s="439"/>
      <c r="O1941" s="437"/>
      <c r="P1941" s="438"/>
      <c r="Q1941" s="442"/>
      <c r="R1941" s="443"/>
      <c r="S1941" s="364"/>
      <c r="Z1941" s="609" t="s">
        <v>764</v>
      </c>
      <c r="AA1941" s="609" t="s">
        <v>3326</v>
      </c>
    </row>
    <row r="1942" spans="1:27" ht="18">
      <c r="A1942" s="2712"/>
      <c r="B1942" s="371">
        <v>109</v>
      </c>
      <c r="C1942" s="371"/>
      <c r="D1942" s="2714">
        <f t="shared" si="190"/>
        <v>1</v>
      </c>
      <c r="E1942" s="2719">
        <v>-1</v>
      </c>
      <c r="F1942" s="293"/>
      <c r="G1942" s="603" t="s">
        <v>3356</v>
      </c>
      <c r="H1942" s="2273"/>
      <c r="I1942" s="2273"/>
      <c r="J1942" s="2273"/>
      <c r="K1942" s="1475">
        <f t="shared" si="191"/>
        <v>0</v>
      </c>
      <c r="L1942" s="355" t="s">
        <v>6135</v>
      </c>
      <c r="M1942" s="438"/>
      <c r="N1942" s="439"/>
      <c r="O1942" s="437"/>
      <c r="P1942" s="438"/>
      <c r="Q1942" s="442"/>
      <c r="R1942" s="443"/>
      <c r="S1942" s="364"/>
      <c r="Z1942" s="609" t="s">
        <v>764</v>
      </c>
      <c r="AA1942" s="609" t="s">
        <v>3326</v>
      </c>
    </row>
    <row r="1943" spans="1:27" ht="18">
      <c r="A1943" s="2712"/>
      <c r="B1943" s="371">
        <v>110</v>
      </c>
      <c r="C1943" s="371"/>
      <c r="D1943" s="2714">
        <f t="shared" si="190"/>
        <v>1</v>
      </c>
      <c r="E1943" s="2719">
        <v>-1</v>
      </c>
      <c r="F1943" s="293"/>
      <c r="G1943" s="603" t="s">
        <v>3357</v>
      </c>
      <c r="H1943" s="2273"/>
      <c r="I1943" s="2273"/>
      <c r="J1943" s="2273"/>
      <c r="K1943" s="1475">
        <f t="shared" si="191"/>
        <v>0</v>
      </c>
      <c r="L1943" s="355" t="s">
        <v>6135</v>
      </c>
      <c r="M1943" s="438"/>
      <c r="N1943" s="439"/>
      <c r="O1943" s="437"/>
      <c r="P1943" s="438"/>
      <c r="Q1943" s="442"/>
      <c r="R1943" s="443"/>
      <c r="S1943" s="364"/>
      <c r="Z1943" s="609" t="s">
        <v>764</v>
      </c>
      <c r="AA1943" s="609" t="s">
        <v>3326</v>
      </c>
    </row>
    <row r="1944" spans="1:27" ht="24">
      <c r="A1944" s="2712"/>
      <c r="B1944" s="371">
        <v>111</v>
      </c>
      <c r="C1944" s="371"/>
      <c r="D1944" s="2714">
        <f t="shared" si="190"/>
        <v>1</v>
      </c>
      <c r="E1944" s="2719">
        <v>1</v>
      </c>
      <c r="F1944" s="293"/>
      <c r="G1944" s="1472" t="s">
        <v>6024</v>
      </c>
      <c r="H1944" s="2273"/>
      <c r="I1944" s="2273"/>
      <c r="J1944" s="2273"/>
      <c r="K1944" s="1475">
        <f t="shared" si="191"/>
        <v>0</v>
      </c>
      <c r="L1944" s="355" t="s">
        <v>6132</v>
      </c>
      <c r="M1944" s="438"/>
      <c r="N1944" s="439"/>
      <c r="O1944" s="437"/>
      <c r="P1944" s="438"/>
      <c r="Q1944" s="442"/>
      <c r="R1944" s="443"/>
      <c r="S1944" s="364"/>
      <c r="Z1944" s="609" t="s">
        <v>764</v>
      </c>
      <c r="AA1944" s="609" t="s">
        <v>3326</v>
      </c>
    </row>
    <row r="1945" spans="1:27" ht="18">
      <c r="A1945" s="2712"/>
      <c r="B1945" s="371">
        <v>112</v>
      </c>
      <c r="C1945" s="371" t="s">
        <v>2791</v>
      </c>
      <c r="D1945" s="2714">
        <f t="shared" si="190"/>
        <v>0</v>
      </c>
      <c r="E1945" s="2719">
        <v>1</v>
      </c>
      <c r="F1945" s="293"/>
      <c r="G1945" s="2282" t="s">
        <v>2792</v>
      </c>
      <c r="H1945" s="2273"/>
      <c r="I1945" s="2273"/>
      <c r="J1945" s="2273"/>
      <c r="K1945" s="1475">
        <f t="shared" si="191"/>
        <v>0</v>
      </c>
      <c r="L1945" s="355" t="s">
        <v>6132</v>
      </c>
      <c r="M1945" s="438"/>
      <c r="N1945" s="439"/>
      <c r="O1945" s="437"/>
      <c r="P1945" s="438"/>
      <c r="Q1945" s="442"/>
      <c r="R1945" s="443"/>
      <c r="S1945" s="364"/>
      <c r="Z1945" s="609" t="s">
        <v>764</v>
      </c>
      <c r="AA1945" s="609" t="s">
        <v>3326</v>
      </c>
    </row>
    <row r="1946" spans="1:27" ht="18.75" thickBot="1">
      <c r="A1946" s="2712"/>
      <c r="B1946" s="371"/>
      <c r="C1946" s="371"/>
      <c r="D1946" s="2714">
        <f t="shared" si="190"/>
        <v>1</v>
      </c>
      <c r="E1946" s="2719" t="s">
        <v>6553</v>
      </c>
      <c r="F1946" s="293"/>
      <c r="G1946" s="2232" t="str">
        <f>$W$2&amp;"余额"</f>
        <v>2019年12月31日余额</v>
      </c>
      <c r="H1946" s="2233">
        <f>SUMPRODUCT($E1933:$E1945,H1933:H1945)</f>
        <v>0</v>
      </c>
      <c r="I1946" s="2233">
        <f>SUMPRODUCT($E1933:$E1945,I1933:I1945)</f>
        <v>0</v>
      </c>
      <c r="J1946" s="2233">
        <f>SUMPRODUCT($E1933:$E1945,J1933:J1945)</f>
        <v>0</v>
      </c>
      <c r="K1946" s="2234">
        <f>SUMPRODUCT($E1933:$E1945,K1933:K1945)</f>
        <v>0</v>
      </c>
      <c r="L1946" s="437"/>
      <c r="M1946" s="440"/>
      <c r="N1946" s="439"/>
      <c r="O1946" s="437"/>
      <c r="P1946" s="440"/>
      <c r="Q1946" s="442"/>
      <c r="R1946" s="443"/>
      <c r="S1946" s="364"/>
      <c r="Z1946" s="609" t="s">
        <v>764</v>
      </c>
      <c r="AA1946" s="609" t="s">
        <v>3326</v>
      </c>
    </row>
    <row r="1947" spans="1:27" ht="18">
      <c r="A1947" s="2712"/>
      <c r="B1947" s="371"/>
      <c r="C1947" s="371" t="s">
        <v>2755</v>
      </c>
      <c r="D1947" s="2714"/>
      <c r="F1947" s="293"/>
      <c r="G1947" s="376"/>
      <c r="H1947" s="315"/>
      <c r="I1947" s="396"/>
      <c r="J1947" s="315"/>
      <c r="K1947" s="423"/>
      <c r="L1947" s="427"/>
      <c r="M1947" s="425"/>
      <c r="N1947" s="426"/>
      <c r="O1947" s="427"/>
      <c r="P1947" s="425"/>
      <c r="Q1947" s="442"/>
      <c r="R1947" s="443"/>
      <c r="S1947" s="364"/>
      <c r="Z1947" s="609" t="s">
        <v>764</v>
      </c>
      <c r="AA1947" s="609" t="s">
        <v>3326</v>
      </c>
    </row>
    <row r="1948" spans="1:27" ht="18">
      <c r="A1948" s="2712">
        <v>1503</v>
      </c>
      <c r="B1948" s="371">
        <v>15</v>
      </c>
      <c r="C1948" s="2714" t="str">
        <f>VLOOKUP($A1948,Sheet_Items,2,0)</f>
        <v>可供出售金融资产</v>
      </c>
      <c r="D1948" s="371"/>
      <c r="E1948" s="2714" t="s">
        <v>2739</v>
      </c>
      <c r="F1948" s="294"/>
      <c r="G1948" s="305" t="str">
        <f>B1948&amp;" "&amp;C1948</f>
        <v>15 可供出售金融资产</v>
      </c>
      <c r="H1948" s="306"/>
      <c r="I1948" s="306"/>
      <c r="J1948" s="306" t="s">
        <v>2740</v>
      </c>
      <c r="K1948" s="341">
        <f>VLOOKUP($A1948,Sheet_Trialbal,6,0)</f>
        <v>0</v>
      </c>
      <c r="L1948" s="342"/>
      <c r="M1948" s="306" t="s">
        <v>2741</v>
      </c>
      <c r="N1948" s="341">
        <f>VLOOKUP($A1948,Sheet_Trialbal,10,0)</f>
        <v>3003000</v>
      </c>
      <c r="O1948" s="306"/>
      <c r="P1948" s="301"/>
      <c r="S1948" s="364"/>
      <c r="Z1948" s="609" t="s">
        <v>806</v>
      </c>
      <c r="AA1948" s="609" t="s">
        <v>3380</v>
      </c>
    </row>
    <row r="1949" spans="1:27" ht="18">
      <c r="A1949" s="2712" t="s">
        <v>804</v>
      </c>
      <c r="B1949" s="371">
        <v>1</v>
      </c>
      <c r="C1949" s="371"/>
      <c r="D1949" s="2714" t="str">
        <f>VLOOKUP($A1949,Sheet_NoteList,2,0)</f>
        <v>可供出售金融资产情况</v>
      </c>
      <c r="E1949" s="2714" t="s">
        <v>2742</v>
      </c>
      <c r="F1949" s="294"/>
      <c r="G1949" s="307" t="str">
        <f>"("&amp;B1949&amp;")"&amp;D1949</f>
        <v>(1)可供出售金融资产情况</v>
      </c>
      <c r="H1949" s="1515" t="str">
        <f>$A1949</f>
        <v>1503a</v>
      </c>
      <c r="I1949" s="343" t="s">
        <v>2743</v>
      </c>
      <c r="J1949" s="301" t="s">
        <v>2744</v>
      </c>
      <c r="K1949" s="2208">
        <f>J1961</f>
        <v>0</v>
      </c>
      <c r="L1949" s="345" t="str">
        <f>IF($I1949="适用",IF(ROUND(K1948-K1949,2)=0,"F/S",ROUND(K1948-K1949,2)),"#N/A")</f>
        <v>F/S</v>
      </c>
      <c r="M1949" s="301" t="s">
        <v>2745</v>
      </c>
      <c r="N1949" s="2208">
        <f>M1961</f>
        <v>3003000</v>
      </c>
      <c r="O1949" s="345" t="str">
        <f>IF($I1949="适用",IF(ROUND(N1948-N1949,2)=0,"F/S",ROUND(N1948-N1949,2)),"#N/A")</f>
        <v>F/S</v>
      </c>
      <c r="P1949" s="301"/>
      <c r="Q1949" s="290" t="str">
        <f>IF($I1949="不适用","",IF(ROUND(SUM($H$1954:$M$1961),2)=0,"请输入",""))</f>
        <v/>
      </c>
      <c r="S1949" s="364"/>
      <c r="Z1949" s="609" t="s">
        <v>806</v>
      </c>
      <c r="AA1949" s="609" t="s">
        <v>3380</v>
      </c>
    </row>
    <row r="1950" spans="1:27" ht="0.75" customHeight="1">
      <c r="A1950" s="2712"/>
      <c r="B1950" s="371"/>
      <c r="C1950" s="371"/>
      <c r="D1950" s="371"/>
      <c r="F1950" s="371"/>
      <c r="G1950" s="371" t="s">
        <v>3364</v>
      </c>
      <c r="H1950" s="371" t="s">
        <v>2882</v>
      </c>
      <c r="I1950" s="371" t="s">
        <v>3365</v>
      </c>
      <c r="J1950" s="371" t="s">
        <v>3208</v>
      </c>
      <c r="K1950" s="371" t="s">
        <v>3209</v>
      </c>
      <c r="L1950" s="371" t="s">
        <v>3366</v>
      </c>
      <c r="M1950" s="371" t="s">
        <v>3211</v>
      </c>
      <c r="S1950" s="364"/>
      <c r="Z1950" s="609" t="s">
        <v>806</v>
      </c>
      <c r="AA1950" s="609" t="s">
        <v>3380</v>
      </c>
    </row>
    <row r="1951" spans="1:27" ht="0.75" customHeight="1" thickBot="1">
      <c r="A1951" s="2712"/>
      <c r="B1951" s="371"/>
      <c r="C1951" s="371"/>
      <c r="D1951" s="371"/>
      <c r="F1951" s="371"/>
      <c r="G1951" s="371"/>
      <c r="H1951" s="371" t="s">
        <v>2855</v>
      </c>
      <c r="I1951" s="371" t="s">
        <v>3096</v>
      </c>
      <c r="J1951" s="371" t="s">
        <v>2857</v>
      </c>
      <c r="K1951" s="371" t="s">
        <v>3213</v>
      </c>
      <c r="L1951" s="371" t="s">
        <v>3367</v>
      </c>
      <c r="M1951" s="371" t="s">
        <v>3215</v>
      </c>
      <c r="S1951" s="364"/>
      <c r="Z1951" s="609" t="s">
        <v>806</v>
      </c>
      <c r="AA1951" s="609" t="s">
        <v>3380</v>
      </c>
    </row>
    <row r="1952" spans="1:27" ht="18" customHeight="1">
      <c r="A1952" s="2712"/>
      <c r="B1952" s="371"/>
      <c r="C1952" s="371"/>
      <c r="D1952" s="371"/>
      <c r="E1952" s="2714" t="s">
        <v>2749</v>
      </c>
      <c r="F1952" s="387"/>
      <c r="G1952" s="3491" t="s">
        <v>47</v>
      </c>
      <c r="H1952" s="3576" t="str">
        <f>$V$2</f>
        <v>2019年12月31日</v>
      </c>
      <c r="I1952" s="3561"/>
      <c r="J1952" s="3577"/>
      <c r="K1952" s="3560" t="str">
        <f>$V$3</f>
        <v>2018年12月31日</v>
      </c>
      <c r="L1952" s="3561"/>
      <c r="M1952" s="3561"/>
      <c r="N1952" s="355" t="s">
        <v>5277</v>
      </c>
      <c r="S1952" s="364"/>
      <c r="Z1952" s="609" t="s">
        <v>806</v>
      </c>
      <c r="AA1952" s="609" t="s">
        <v>3380</v>
      </c>
    </row>
    <row r="1953" spans="1:29" ht="18">
      <c r="A1953" s="2712"/>
      <c r="B1953" s="371"/>
      <c r="C1953" s="371"/>
      <c r="D1953" s="371"/>
      <c r="E1953" s="2714" t="s">
        <v>2749</v>
      </c>
      <c r="F1953" s="294"/>
      <c r="G1953" s="3492"/>
      <c r="H1953" s="2316" t="s">
        <v>2861</v>
      </c>
      <c r="I1953" s="2316" t="s">
        <v>3097</v>
      </c>
      <c r="J1953" s="2317" t="s">
        <v>2863</v>
      </c>
      <c r="K1953" s="2317" t="s">
        <v>2861</v>
      </c>
      <c r="L1953" s="2317" t="s">
        <v>3097</v>
      </c>
      <c r="M1953" s="2318" t="s">
        <v>2863</v>
      </c>
      <c r="S1953" s="364"/>
      <c r="Z1953" s="609" t="s">
        <v>806</v>
      </c>
      <c r="AA1953" s="609" t="s">
        <v>3380</v>
      </c>
    </row>
    <row r="1954" spans="1:29" ht="18">
      <c r="A1954" s="2712"/>
      <c r="B1954" s="371">
        <v>101</v>
      </c>
      <c r="C1954" s="371"/>
      <c r="D1954" s="2714">
        <f t="shared" ref="D1954:D1961" si="192">IF(OR(G1954="*",G1954="",G1954=0),0,COUNTIF($G$1954:$G$1961,G1954))</f>
        <v>1</v>
      </c>
      <c r="E1954" s="2719">
        <v>1</v>
      </c>
      <c r="F1954" s="294"/>
      <c r="G1954" s="380" t="s">
        <v>3368</v>
      </c>
      <c r="H1954" s="2327">
        <v>0</v>
      </c>
      <c r="I1954" s="2327">
        <v>0</v>
      </c>
      <c r="J1954" s="2327">
        <v>0</v>
      </c>
      <c r="K1954" s="383"/>
      <c r="L1954" s="383"/>
      <c r="M1954" s="401">
        <f>K1954-L1954</f>
        <v>0</v>
      </c>
      <c r="S1954" s="364"/>
      <c r="Z1954" s="609" t="s">
        <v>806</v>
      </c>
      <c r="AA1954" s="609" t="s">
        <v>3380</v>
      </c>
    </row>
    <row r="1955" spans="1:29" ht="18">
      <c r="A1955" s="2712"/>
      <c r="B1955" s="371">
        <v>102</v>
      </c>
      <c r="C1955" s="371"/>
      <c r="D1955" s="2714">
        <f t="shared" si="192"/>
        <v>1</v>
      </c>
      <c r="E1955" s="2719">
        <v>1</v>
      </c>
      <c r="F1955" s="294"/>
      <c r="G1955" s="380" t="s">
        <v>3369</v>
      </c>
      <c r="H1955" s="2327">
        <f>SUM(H1956:H1957)</f>
        <v>0</v>
      </c>
      <c r="I1955" s="2327">
        <f t="shared" ref="I1955:M1955" si="193">SUM(I1956:I1957)</f>
        <v>0</v>
      </c>
      <c r="J1955" s="2327">
        <f t="shared" si="193"/>
        <v>0</v>
      </c>
      <c r="K1955" s="381">
        <f t="shared" si="193"/>
        <v>3003000</v>
      </c>
      <c r="L1955" s="381">
        <f t="shared" si="193"/>
        <v>0</v>
      </c>
      <c r="M1955" s="401">
        <f t="shared" si="193"/>
        <v>3003000</v>
      </c>
      <c r="S1955" s="364"/>
      <c r="Z1955" s="609" t="s">
        <v>806</v>
      </c>
      <c r="AA1955" s="609" t="s">
        <v>3380</v>
      </c>
    </row>
    <row r="1956" spans="1:29" ht="18">
      <c r="A1956" s="2712"/>
      <c r="B1956" s="371">
        <v>102.001</v>
      </c>
      <c r="C1956" s="371"/>
      <c r="D1956" s="2714">
        <f t="shared" si="192"/>
        <v>1</v>
      </c>
      <c r="E1956" s="2719">
        <v>0</v>
      </c>
      <c r="F1956" s="294"/>
      <c r="G1956" s="382" t="s">
        <v>6131</v>
      </c>
      <c r="H1956" s="2327">
        <v>0</v>
      </c>
      <c r="I1956" s="2327">
        <v>0</v>
      </c>
      <c r="J1956" s="2327">
        <v>0</v>
      </c>
      <c r="K1956" s="383"/>
      <c r="L1956" s="383"/>
      <c r="M1956" s="401">
        <f t="shared" ref="M1956:M1960" si="194">K1956-L1956</f>
        <v>0</v>
      </c>
      <c r="N1956" s="355" t="s">
        <v>6134</v>
      </c>
      <c r="S1956" s="364"/>
      <c r="Z1956" s="609" t="s">
        <v>806</v>
      </c>
      <c r="AA1956" s="609" t="s">
        <v>3380</v>
      </c>
    </row>
    <row r="1957" spans="1:29" ht="18">
      <c r="A1957" s="2712"/>
      <c r="B1957" s="371">
        <v>102.002</v>
      </c>
      <c r="C1957" s="371"/>
      <c r="D1957" s="2714">
        <f t="shared" si="192"/>
        <v>1</v>
      </c>
      <c r="E1957" s="2719">
        <v>0</v>
      </c>
      <c r="F1957" s="294"/>
      <c r="G1957" s="382" t="s">
        <v>3370</v>
      </c>
      <c r="H1957" s="2327"/>
      <c r="I1957" s="2327">
        <v>0</v>
      </c>
      <c r="J1957" s="2327">
        <f>H1957-I1957</f>
        <v>0</v>
      </c>
      <c r="K1957" s="383">
        <v>3003000</v>
      </c>
      <c r="L1957" s="383"/>
      <c r="M1957" s="401">
        <f t="shared" si="194"/>
        <v>3003000</v>
      </c>
      <c r="N1957" s="355" t="s">
        <v>6134</v>
      </c>
      <c r="S1957" s="364"/>
      <c r="Z1957" s="609" t="s">
        <v>806</v>
      </c>
      <c r="AA1957" s="609" t="s">
        <v>3380</v>
      </c>
      <c r="AC1957" s="369" t="s">
        <v>2794</v>
      </c>
    </row>
    <row r="1958" spans="1:29" ht="18">
      <c r="A1958" s="2712"/>
      <c r="B1958" s="371">
        <v>102.999</v>
      </c>
      <c r="C1958" s="371" t="s">
        <v>2791</v>
      </c>
      <c r="D1958" s="2714">
        <f t="shared" si="192"/>
        <v>0</v>
      </c>
      <c r="E1958" s="2719">
        <v>1</v>
      </c>
      <c r="F1958" s="294"/>
      <c r="G1958" s="553" t="s">
        <v>2792</v>
      </c>
      <c r="H1958" s="386"/>
      <c r="I1958" s="386"/>
      <c r="J1958" s="383"/>
      <c r="K1958" s="386"/>
      <c r="L1958" s="386"/>
      <c r="M1958" s="401">
        <f t="shared" si="194"/>
        <v>0</v>
      </c>
      <c r="S1958" s="364"/>
      <c r="Z1958" s="609" t="s">
        <v>806</v>
      </c>
      <c r="AA1958" s="609" t="s">
        <v>3380</v>
      </c>
    </row>
    <row r="1959" spans="1:29" ht="18">
      <c r="A1959" s="2712"/>
      <c r="B1959" s="371">
        <v>103</v>
      </c>
      <c r="C1959" s="371" t="s">
        <v>2791</v>
      </c>
      <c r="D1959" s="2714">
        <f t="shared" si="192"/>
        <v>0</v>
      </c>
      <c r="E1959" s="2719">
        <v>1</v>
      </c>
      <c r="F1959" s="294"/>
      <c r="G1959" s="553" t="s">
        <v>2792</v>
      </c>
      <c r="H1959" s="383"/>
      <c r="I1959" s="383"/>
      <c r="J1959" s="383"/>
      <c r="K1959" s="383"/>
      <c r="L1959" s="383"/>
      <c r="M1959" s="401">
        <f t="shared" si="194"/>
        <v>0</v>
      </c>
      <c r="S1959" s="364"/>
      <c r="Z1959" s="609" t="s">
        <v>806</v>
      </c>
      <c r="AA1959" s="609" t="s">
        <v>3380</v>
      </c>
    </row>
    <row r="1960" spans="1:29" ht="18">
      <c r="A1960" s="2712"/>
      <c r="B1960" s="371">
        <v>104</v>
      </c>
      <c r="C1960" s="371" t="s">
        <v>2791</v>
      </c>
      <c r="D1960" s="2714">
        <f t="shared" si="192"/>
        <v>0</v>
      </c>
      <c r="E1960" s="2719">
        <v>1</v>
      </c>
      <c r="F1960" s="294"/>
      <c r="G1960" s="409" t="s">
        <v>2792</v>
      </c>
      <c r="H1960" s="383"/>
      <c r="I1960" s="383"/>
      <c r="J1960" s="383"/>
      <c r="K1960" s="383"/>
      <c r="L1960" s="383"/>
      <c r="M1960" s="401">
        <f t="shared" si="194"/>
        <v>0</v>
      </c>
      <c r="S1960" s="364"/>
      <c r="Z1960" s="609" t="s">
        <v>806</v>
      </c>
      <c r="AA1960" s="609" t="s">
        <v>3380</v>
      </c>
    </row>
    <row r="1961" spans="1:29" ht="18.75" thickBot="1">
      <c r="A1961" s="2712"/>
      <c r="B1961" s="371"/>
      <c r="C1961" s="371"/>
      <c r="D1961" s="2714">
        <f t="shared" si="192"/>
        <v>1</v>
      </c>
      <c r="E1961" s="2719" t="s">
        <v>2751</v>
      </c>
      <c r="F1961" s="294"/>
      <c r="G1961" s="2328" t="s">
        <v>2752</v>
      </c>
      <c r="H1961" s="2329">
        <f t="shared" ref="H1961:M1961" si="195">SUMPRODUCT($E1953:$E1960,H1953:H1960)</f>
        <v>0</v>
      </c>
      <c r="I1961" s="2329">
        <f t="shared" si="195"/>
        <v>0</v>
      </c>
      <c r="J1961" s="2329">
        <f t="shared" si="195"/>
        <v>0</v>
      </c>
      <c r="K1961" s="2329">
        <f t="shared" si="195"/>
        <v>3003000</v>
      </c>
      <c r="L1961" s="2329">
        <f t="shared" si="195"/>
        <v>0</v>
      </c>
      <c r="M1961" s="2330">
        <f t="shared" si="195"/>
        <v>3003000</v>
      </c>
      <c r="S1961" s="364"/>
      <c r="Z1961" s="609" t="s">
        <v>806</v>
      </c>
      <c r="AA1961" s="609" t="s">
        <v>3380</v>
      </c>
    </row>
    <row r="1962" spans="1:29" ht="18">
      <c r="A1962" s="2712"/>
      <c r="B1962" s="371"/>
      <c r="C1962" s="371" t="s">
        <v>2755</v>
      </c>
      <c r="D1962" s="371"/>
      <c r="F1962" s="294"/>
      <c r="G1962" s="301"/>
      <c r="H1962" s="315"/>
      <c r="I1962" s="315"/>
      <c r="J1962" s="315"/>
      <c r="K1962" s="315"/>
      <c r="L1962" s="315"/>
      <c r="M1962" s="315"/>
      <c r="S1962" s="364"/>
      <c r="Z1962" s="609" t="s">
        <v>806</v>
      </c>
      <c r="AA1962" s="609" t="s">
        <v>3380</v>
      </c>
    </row>
    <row r="1963" spans="1:29" ht="24">
      <c r="A1963" s="2712" t="s">
        <v>830</v>
      </c>
      <c r="B1963" s="371">
        <v>2</v>
      </c>
      <c r="C1963" s="371"/>
      <c r="D1963" s="2714" t="str">
        <f>VLOOKUP($A1963,Sheet_NoteList,2,0)</f>
        <v>按公允价值计量的可供出售金融资产</v>
      </c>
      <c r="E1963" s="2714" t="s">
        <v>6529</v>
      </c>
      <c r="F1963" s="294"/>
      <c r="G1963" s="372" t="str">
        <f>"("&amp;B1963&amp;")"&amp;D1963</f>
        <v>(2)按公允价值计量的可供出售金融资产</v>
      </c>
      <c r="H1963" s="1515" t="str">
        <f>$A1963</f>
        <v>1503e</v>
      </c>
      <c r="I1963" s="343" t="s">
        <v>5963</v>
      </c>
      <c r="J1963" s="301"/>
      <c r="K1963" s="3083"/>
      <c r="L1963" s="315"/>
      <c r="M1963" s="301"/>
      <c r="N1963" s="3083"/>
      <c r="O1963" s="315"/>
      <c r="P1963" s="301"/>
      <c r="Q1963" s="290" t="str">
        <f>IF($I1963="不适用","",IF(ROUND(SUM($H$1968:$K$1971),2)=0,"请输入",""))</f>
        <v>请输入</v>
      </c>
      <c r="S1963" s="364"/>
      <c r="Z1963" s="609" t="s">
        <v>806</v>
      </c>
      <c r="AA1963" s="609" t="s">
        <v>3380</v>
      </c>
    </row>
    <row r="1964" spans="1:29" ht="0.75" customHeight="1">
      <c r="A1964" s="2712"/>
      <c r="B1964" s="371">
        <v>1.0999999999999999E-2</v>
      </c>
      <c r="C1964" s="371"/>
      <c r="D1964" s="371"/>
      <c r="E1964" s="586"/>
      <c r="F1964" s="586"/>
      <c r="G1964" s="586" t="s">
        <v>3374</v>
      </c>
      <c r="H1964" s="371" t="s">
        <v>6521</v>
      </c>
      <c r="I1964" s="371" t="s">
        <v>6522</v>
      </c>
      <c r="J1964" s="371" t="s">
        <v>6523</v>
      </c>
      <c r="K1964" s="371" t="s">
        <v>6524</v>
      </c>
      <c r="L1964" s="291"/>
      <c r="M1964" s="301"/>
      <c r="S1964" s="364"/>
      <c r="Z1964" s="609" t="s">
        <v>806</v>
      </c>
      <c r="AA1964" s="609" t="s">
        <v>3380</v>
      </c>
    </row>
    <row r="1965" spans="1:29" ht="0.75" customHeight="1" thickBot="1">
      <c r="A1965" s="2712"/>
      <c r="B1965" s="371"/>
      <c r="C1965" s="371"/>
      <c r="D1965" s="371"/>
      <c r="E1965" s="586"/>
      <c r="F1965" s="586"/>
      <c r="G1965" s="586"/>
      <c r="H1965" s="371" t="s">
        <v>6400</v>
      </c>
      <c r="I1965" s="371" t="s">
        <v>6401</v>
      </c>
      <c r="J1965" s="371" t="s">
        <v>6402</v>
      </c>
      <c r="K1965" s="371" t="s">
        <v>6403</v>
      </c>
      <c r="L1965" s="291"/>
      <c r="M1965" s="301"/>
      <c r="S1965" s="364"/>
      <c r="Z1965" s="609" t="s">
        <v>806</v>
      </c>
      <c r="AA1965" s="609" t="s">
        <v>3380</v>
      </c>
    </row>
    <row r="1966" spans="1:29" ht="18" customHeight="1">
      <c r="A1966" s="2712"/>
      <c r="B1966" s="371"/>
      <c r="C1966" s="371"/>
      <c r="D1966" s="371"/>
      <c r="E1966" s="586" t="s">
        <v>2749</v>
      </c>
      <c r="F1966" s="414"/>
      <c r="G1966" s="3462" t="s">
        <v>3372</v>
      </c>
      <c r="H1966" s="3458" t="str">
        <f>$V$3</f>
        <v>2018年12月31日</v>
      </c>
      <c r="I1966" s="3458"/>
      <c r="J1966" s="3458"/>
      <c r="K1966" s="3459"/>
      <c r="L1966" s="355" t="s">
        <v>5277</v>
      </c>
      <c r="M1966" s="301"/>
      <c r="S1966" s="364"/>
      <c r="Z1966" s="609" t="s">
        <v>806</v>
      </c>
      <c r="AA1966" s="609" t="s">
        <v>3380</v>
      </c>
    </row>
    <row r="1967" spans="1:29" ht="36">
      <c r="A1967" s="2712"/>
      <c r="B1967" s="371"/>
      <c r="C1967" s="371"/>
      <c r="D1967" s="371"/>
      <c r="E1967" s="586" t="s">
        <v>2749</v>
      </c>
      <c r="F1967" s="363"/>
      <c r="G1967" s="3463"/>
      <c r="H1967" s="2686" t="s">
        <v>6042</v>
      </c>
      <c r="I1967" s="2686" t="s">
        <v>6043</v>
      </c>
      <c r="J1967" s="2686" t="s">
        <v>6044</v>
      </c>
      <c r="K1967" s="2689" t="s">
        <v>6045</v>
      </c>
      <c r="M1967" s="301"/>
      <c r="S1967" s="364"/>
      <c r="Z1967" s="609" t="s">
        <v>806</v>
      </c>
      <c r="AA1967" s="609" t="s">
        <v>3380</v>
      </c>
    </row>
    <row r="1968" spans="1:29" ht="18">
      <c r="A1968" s="2712"/>
      <c r="B1968" s="371">
        <v>101</v>
      </c>
      <c r="C1968" s="371"/>
      <c r="D1968" s="2714">
        <f>IF(OR(G1968="*",G1968="",G1968=0),0,COUNTIF($G$1968:$G$1971,G1968))</f>
        <v>1</v>
      </c>
      <c r="E1968" s="2719">
        <v>1</v>
      </c>
      <c r="F1968" s="294"/>
      <c r="G1968" s="1472" t="s">
        <v>3369</v>
      </c>
      <c r="H1968" s="2273"/>
      <c r="I1968" s="2273"/>
      <c r="J1968" s="2273"/>
      <c r="K1968" s="2294"/>
      <c r="L1968" s="355" t="str">
        <f>IF(ROUND((H1968-I1968)-(J1968+K1968),2)=0,"","请检查左表4列数据关系！")</f>
        <v/>
      </c>
      <c r="M1968" s="291"/>
      <c r="S1968" s="364"/>
      <c r="Z1968" s="609" t="s">
        <v>806</v>
      </c>
      <c r="AA1968" s="609" t="s">
        <v>3380</v>
      </c>
    </row>
    <row r="1969" spans="1:27" ht="18">
      <c r="A1969" s="2712"/>
      <c r="B1969" s="371">
        <v>102</v>
      </c>
      <c r="C1969" s="371"/>
      <c r="D1969" s="2714">
        <f>IF(OR(G1969="*",G1969="",G1969=0),0,COUNTIF($G$1968:$G$1971,G1969))</f>
        <v>1</v>
      </c>
      <c r="E1969" s="2719">
        <v>1</v>
      </c>
      <c r="F1969" s="294"/>
      <c r="G1969" s="1472" t="s">
        <v>3368</v>
      </c>
      <c r="H1969" s="2273"/>
      <c r="I1969" s="2273"/>
      <c r="J1969" s="2273"/>
      <c r="K1969" s="2294"/>
      <c r="L1969" s="355" t="str">
        <f>IF(ROUND((H1969-I1969)-(J1969+K1969),2)=0,"","请检查左表4列数据关系！")</f>
        <v/>
      </c>
      <c r="M1969" s="291"/>
      <c r="S1969" s="364"/>
      <c r="Z1969" s="609" t="s">
        <v>806</v>
      </c>
      <c r="AA1969" s="609" t="s">
        <v>3380</v>
      </c>
    </row>
    <row r="1970" spans="1:27" ht="18">
      <c r="A1970" s="2712"/>
      <c r="B1970" s="371">
        <v>103</v>
      </c>
      <c r="C1970" s="371" t="s">
        <v>2791</v>
      </c>
      <c r="D1970" s="2714">
        <f>IF(OR(G1970="*",G1970="",G1970=0),0,COUNTIF($G$1968:$G$1971,G1970))</f>
        <v>0</v>
      </c>
      <c r="E1970" s="2719">
        <v>1</v>
      </c>
      <c r="F1970" s="294"/>
      <c r="G1970" s="2690" t="s">
        <v>2792</v>
      </c>
      <c r="H1970" s="2273"/>
      <c r="I1970" s="2273"/>
      <c r="J1970" s="2273"/>
      <c r="K1970" s="2294"/>
      <c r="L1970" s="355" t="str">
        <f>IF(ROUND((H1970-I1970)-(J1970+K1970),2)=0,"","请检查左表4列数据关系！")</f>
        <v/>
      </c>
      <c r="M1970" s="291"/>
      <c r="S1970" s="364"/>
      <c r="Z1970" s="609" t="s">
        <v>806</v>
      </c>
      <c r="AA1970" s="609" t="s">
        <v>3380</v>
      </c>
    </row>
    <row r="1971" spans="1:27" ht="18.75" thickBot="1">
      <c r="A1971" s="2712"/>
      <c r="B1971" s="371"/>
      <c r="C1971" s="371"/>
      <c r="D1971" s="2714">
        <f>IF(OR(G1971="*",G1971="",G1971=0),0,COUNTIF($G$1968:$G$1971,G1971))</f>
        <v>1</v>
      </c>
      <c r="E1971" s="2719" t="s">
        <v>3032</v>
      </c>
      <c r="F1971" s="294"/>
      <c r="G1971" s="2232" t="s">
        <v>2752</v>
      </c>
      <c r="H1971" s="2233">
        <f>SUMPRODUCT($E1967:$E1970,H1967:H1970)</f>
        <v>0</v>
      </c>
      <c r="I1971" s="2233">
        <f>SUMPRODUCT($E1967:$E1970,I1967:I1970)</f>
        <v>0</v>
      </c>
      <c r="J1971" s="2233">
        <f>SUMPRODUCT($E1967:$E1970,J1967:J1970)</f>
        <v>0</v>
      </c>
      <c r="K1971" s="2234">
        <f>SUMPRODUCT($E1967:$E1970,K1967:K1970)</f>
        <v>0</v>
      </c>
      <c r="L1971" s="291"/>
      <c r="M1971" s="291"/>
      <c r="S1971" s="364"/>
      <c r="Z1971" s="609" t="s">
        <v>806</v>
      </c>
      <c r="AA1971" s="609" t="s">
        <v>3380</v>
      </c>
    </row>
    <row r="1972" spans="1:27" ht="18">
      <c r="A1972" s="2712"/>
      <c r="B1972" s="371"/>
      <c r="C1972" s="371" t="s">
        <v>2755</v>
      </c>
      <c r="D1972" s="371"/>
      <c r="F1972" s="294"/>
      <c r="G1972" s="301"/>
      <c r="H1972" s="315"/>
      <c r="I1972" s="315"/>
      <c r="J1972" s="315"/>
      <c r="K1972" s="315"/>
      <c r="L1972" s="291"/>
      <c r="M1972" s="291"/>
      <c r="S1972" s="364"/>
      <c r="Z1972" s="609" t="s">
        <v>806</v>
      </c>
      <c r="AA1972" s="609" t="s">
        <v>3380</v>
      </c>
    </row>
    <row r="1973" spans="1:27" ht="24">
      <c r="A1973" s="2712" t="s">
        <v>813</v>
      </c>
      <c r="B1973" s="371">
        <v>3</v>
      </c>
      <c r="C1973" s="371"/>
      <c r="D1973" s="2714" t="str">
        <f>VLOOKUP($A1973,Sheet_NoteList,2,0)</f>
        <v>按成本计量的可供出售金融资产</v>
      </c>
      <c r="E1973" s="2714" t="s">
        <v>2742</v>
      </c>
      <c r="F1973" s="293"/>
      <c r="G1973" s="372" t="str">
        <f>"("&amp;B1973&amp;")"&amp;D1973</f>
        <v>(3)按成本计量的可供出售金融资产</v>
      </c>
      <c r="H1973" s="1515" t="str">
        <f>$A1973</f>
        <v>1503i</v>
      </c>
      <c r="I1973" s="343" t="s">
        <v>2743</v>
      </c>
      <c r="J1973" s="301"/>
      <c r="K1973" s="391"/>
      <c r="L1973" s="349"/>
      <c r="M1973" s="301"/>
      <c r="N1973" s="391"/>
      <c r="O1973" s="349"/>
      <c r="P1973" s="301"/>
      <c r="S1973" s="364"/>
      <c r="Z1973" s="609" t="s">
        <v>806</v>
      </c>
      <c r="AA1973" s="609" t="s">
        <v>3371</v>
      </c>
    </row>
    <row r="1974" spans="1:27" ht="0.75" customHeight="1">
      <c r="A1974" s="2712"/>
      <c r="B1974" s="371"/>
      <c r="C1974" s="371"/>
      <c r="D1974" s="2714"/>
      <c r="E1974" s="586"/>
      <c r="F1974" s="586"/>
      <c r="G1974" s="2222" t="s">
        <v>3375</v>
      </c>
      <c r="H1974" s="371" t="s">
        <v>5413</v>
      </c>
      <c r="I1974" s="371" t="s">
        <v>5414</v>
      </c>
      <c r="J1974" s="371" t="s">
        <v>5415</v>
      </c>
      <c r="K1974" s="547" t="s">
        <v>5416</v>
      </c>
      <c r="L1974" s="433"/>
      <c r="M1974" s="433"/>
      <c r="N1974" s="433"/>
      <c r="O1974" s="428"/>
      <c r="P1974" s="428"/>
      <c r="Q1974" s="433"/>
      <c r="R1974" s="443"/>
      <c r="S1974" s="364"/>
      <c r="Z1974" s="609" t="s">
        <v>806</v>
      </c>
      <c r="AA1974" s="609" t="s">
        <v>3371</v>
      </c>
    </row>
    <row r="1975" spans="1:27" ht="0.75" customHeight="1" thickBot="1">
      <c r="A1975" s="2712"/>
      <c r="B1975" s="371"/>
      <c r="C1975" s="371"/>
      <c r="D1975" s="2714"/>
      <c r="E1975" s="586"/>
      <c r="F1975" s="586"/>
      <c r="G1975" s="2222"/>
      <c r="H1975" s="371" t="s">
        <v>5417</v>
      </c>
      <c r="I1975" s="371" t="s">
        <v>5418</v>
      </c>
      <c r="J1975" s="371" t="s">
        <v>5419</v>
      </c>
      <c r="K1975" s="547" t="s">
        <v>5420</v>
      </c>
      <c r="L1975" s="428"/>
      <c r="M1975" s="433"/>
      <c r="N1975" s="428"/>
      <c r="O1975" s="428"/>
      <c r="P1975" s="433"/>
      <c r="Q1975" s="433"/>
      <c r="R1975" s="443"/>
      <c r="S1975" s="364"/>
      <c r="Z1975" s="609" t="s">
        <v>806</v>
      </c>
      <c r="AA1975" s="609" t="s">
        <v>3371</v>
      </c>
    </row>
    <row r="1976" spans="1:27" ht="18" customHeight="1">
      <c r="A1976" s="2712"/>
      <c r="B1976" s="371"/>
      <c r="C1976" s="371"/>
      <c r="D1976" s="2714"/>
      <c r="E1976" s="586" t="s">
        <v>2749</v>
      </c>
      <c r="F1976" s="414"/>
      <c r="G1976" s="3462" t="s">
        <v>3376</v>
      </c>
      <c r="H1976" s="3466" t="s">
        <v>2861</v>
      </c>
      <c r="I1976" s="3466"/>
      <c r="J1976" s="3466"/>
      <c r="K1976" s="3494"/>
      <c r="L1976" s="355" t="s">
        <v>5277</v>
      </c>
      <c r="M1976" s="1507"/>
      <c r="N1976" s="1507"/>
      <c r="O1976" s="1507"/>
      <c r="P1976" s="1507"/>
      <c r="Q1976" s="3614"/>
      <c r="R1976" s="443"/>
      <c r="S1976" s="364"/>
      <c r="Z1976" s="609" t="s">
        <v>806</v>
      </c>
      <c r="AA1976" s="609" t="s">
        <v>3371</v>
      </c>
    </row>
    <row r="1977" spans="1:27" ht="18">
      <c r="A1977" s="2712"/>
      <c r="B1977" s="371"/>
      <c r="C1977" s="371"/>
      <c r="D1977" s="2714"/>
      <c r="E1977" s="586" t="s">
        <v>2749</v>
      </c>
      <c r="F1977" s="414"/>
      <c r="G1977" s="3463"/>
      <c r="H1977" s="2472" t="str">
        <f>$Y$3</f>
        <v>2017年12月31日</v>
      </c>
      <c r="I1977" s="2292" t="s">
        <v>3027</v>
      </c>
      <c r="J1977" s="2292" t="s">
        <v>3028</v>
      </c>
      <c r="K1977" s="2332" t="str">
        <f>$V$3</f>
        <v>2018年12月31日</v>
      </c>
      <c r="L1977" s="355" t="s">
        <v>6136</v>
      </c>
      <c r="M1977" s="479"/>
      <c r="N1977" s="479"/>
      <c r="O1977" s="1460"/>
      <c r="P1977" s="1507"/>
      <c r="Q1977" s="3614"/>
      <c r="R1977" s="443"/>
      <c r="S1977" s="364"/>
      <c r="Z1977" s="609" t="s">
        <v>806</v>
      </c>
      <c r="AA1977" s="609" t="s">
        <v>3371</v>
      </c>
    </row>
    <row r="1978" spans="1:27" ht="18">
      <c r="A1978" s="2712"/>
      <c r="B1978" s="371">
        <v>101</v>
      </c>
      <c r="C1978" s="371" t="s">
        <v>2791</v>
      </c>
      <c r="D1978" s="2714">
        <f t="shared" ref="D1978:D1986" si="196">IF(OR(G1978="*",G1978="",G1978=0),0,COUNTIF($G$1978:$G$1986,G1978))</f>
        <v>0</v>
      </c>
      <c r="E1978" s="2719">
        <v>1</v>
      </c>
      <c r="F1978" s="293"/>
      <c r="G1978" s="2282" t="s">
        <v>2792</v>
      </c>
      <c r="H1978" s="2273"/>
      <c r="I1978" s="2273"/>
      <c r="J1978" s="2273"/>
      <c r="K1978" s="1475">
        <f>H1978+I1978-J1978</f>
        <v>0</v>
      </c>
      <c r="L1978" s="438"/>
      <c r="M1978" s="438"/>
      <c r="N1978" s="520"/>
      <c r="O1978" s="438"/>
      <c r="P1978" s="437"/>
      <c r="Q1978" s="438"/>
      <c r="R1978" s="443"/>
      <c r="S1978" s="364"/>
      <c r="Z1978" s="609" t="s">
        <v>806</v>
      </c>
      <c r="AA1978" s="609" t="s">
        <v>3371</v>
      </c>
    </row>
    <row r="1979" spans="1:27" ht="18">
      <c r="A1979" s="2712"/>
      <c r="B1979" s="371">
        <v>102</v>
      </c>
      <c r="C1979" s="371" t="s">
        <v>2791</v>
      </c>
      <c r="D1979" s="2714">
        <f t="shared" si="196"/>
        <v>0</v>
      </c>
      <c r="E1979" s="2719">
        <v>1</v>
      </c>
      <c r="F1979" s="293"/>
      <c r="G1979" s="2282" t="s">
        <v>2792</v>
      </c>
      <c r="H1979" s="2273"/>
      <c r="I1979" s="2273"/>
      <c r="J1979" s="2273"/>
      <c r="K1979" s="1475">
        <f t="shared" ref="K1979:K1985" si="197">H1979+I1979-J1979</f>
        <v>0</v>
      </c>
      <c r="L1979" s="438"/>
      <c r="M1979" s="438"/>
      <c r="N1979" s="520"/>
      <c r="O1979" s="438"/>
      <c r="P1979" s="437"/>
      <c r="Q1979" s="438"/>
      <c r="R1979" s="443"/>
      <c r="S1979" s="364"/>
      <c r="Z1979" s="609" t="s">
        <v>806</v>
      </c>
      <c r="AA1979" s="609" t="s">
        <v>3371</v>
      </c>
    </row>
    <row r="1980" spans="1:27" ht="18">
      <c r="A1980" s="2712"/>
      <c r="B1980" s="371">
        <v>103</v>
      </c>
      <c r="C1980" s="371" t="s">
        <v>2791</v>
      </c>
      <c r="D1980" s="2714">
        <f t="shared" si="196"/>
        <v>0</v>
      </c>
      <c r="E1980" s="2719">
        <v>1</v>
      </c>
      <c r="F1980" s="293"/>
      <c r="G1980" s="2282" t="s">
        <v>2792</v>
      </c>
      <c r="H1980" s="2273"/>
      <c r="I1980" s="2273"/>
      <c r="J1980" s="2273"/>
      <c r="K1980" s="1475">
        <f t="shared" si="197"/>
        <v>0</v>
      </c>
      <c r="L1980" s="438"/>
      <c r="M1980" s="438"/>
      <c r="N1980" s="520"/>
      <c r="O1980" s="438"/>
      <c r="P1980" s="437"/>
      <c r="Q1980" s="438"/>
      <c r="R1980" s="443"/>
      <c r="S1980" s="364"/>
      <c r="Z1980" s="609" t="s">
        <v>806</v>
      </c>
      <c r="AA1980" s="609" t="s">
        <v>3371</v>
      </c>
    </row>
    <row r="1981" spans="1:27" ht="18">
      <c r="A1981" s="2712"/>
      <c r="B1981" s="371">
        <v>104</v>
      </c>
      <c r="C1981" s="371" t="s">
        <v>2791</v>
      </c>
      <c r="D1981" s="2714">
        <f t="shared" si="196"/>
        <v>0</v>
      </c>
      <c r="E1981" s="2719">
        <v>1</v>
      </c>
      <c r="F1981" s="293"/>
      <c r="G1981" s="2282" t="s">
        <v>2792</v>
      </c>
      <c r="H1981" s="2273"/>
      <c r="I1981" s="2273"/>
      <c r="J1981" s="2273"/>
      <c r="K1981" s="1475">
        <f t="shared" si="197"/>
        <v>0</v>
      </c>
      <c r="L1981" s="438"/>
      <c r="M1981" s="438"/>
      <c r="N1981" s="520"/>
      <c r="O1981" s="438"/>
      <c r="P1981" s="437"/>
      <c r="Q1981" s="438"/>
      <c r="R1981" s="443"/>
      <c r="S1981" s="364"/>
      <c r="Z1981" s="609" t="s">
        <v>806</v>
      </c>
      <c r="AA1981" s="609" t="s">
        <v>3371</v>
      </c>
    </row>
    <row r="1982" spans="1:27" ht="18">
      <c r="A1982" s="2712"/>
      <c r="B1982" s="371">
        <v>105</v>
      </c>
      <c r="C1982" s="371" t="s">
        <v>2791</v>
      </c>
      <c r="D1982" s="2714">
        <f t="shared" si="196"/>
        <v>0</v>
      </c>
      <c r="E1982" s="2719">
        <v>1</v>
      </c>
      <c r="F1982" s="293"/>
      <c r="G1982" s="2282" t="s">
        <v>2792</v>
      </c>
      <c r="H1982" s="2273"/>
      <c r="I1982" s="2273"/>
      <c r="J1982" s="2273"/>
      <c r="K1982" s="1475">
        <f t="shared" si="197"/>
        <v>0</v>
      </c>
      <c r="L1982" s="438"/>
      <c r="M1982" s="438"/>
      <c r="N1982" s="520"/>
      <c r="O1982" s="438"/>
      <c r="P1982" s="437"/>
      <c r="Q1982" s="438"/>
      <c r="R1982" s="443"/>
      <c r="S1982" s="364"/>
      <c r="Z1982" s="609" t="s">
        <v>806</v>
      </c>
      <c r="AA1982" s="609" t="s">
        <v>3371</v>
      </c>
    </row>
    <row r="1983" spans="1:27" ht="18">
      <c r="A1983" s="2712"/>
      <c r="B1983" s="371">
        <v>106</v>
      </c>
      <c r="C1983" s="371" t="s">
        <v>2791</v>
      </c>
      <c r="D1983" s="2714">
        <f t="shared" si="196"/>
        <v>0</v>
      </c>
      <c r="E1983" s="2719">
        <v>1</v>
      </c>
      <c r="F1983" s="293"/>
      <c r="G1983" s="2282" t="s">
        <v>2792</v>
      </c>
      <c r="H1983" s="2273"/>
      <c r="I1983" s="2273"/>
      <c r="J1983" s="2273"/>
      <c r="K1983" s="1475">
        <f t="shared" si="197"/>
        <v>0</v>
      </c>
      <c r="L1983" s="438"/>
      <c r="M1983" s="438"/>
      <c r="N1983" s="520"/>
      <c r="O1983" s="438"/>
      <c r="P1983" s="437"/>
      <c r="Q1983" s="438"/>
      <c r="R1983" s="443"/>
      <c r="S1983" s="364"/>
      <c r="Z1983" s="609" t="s">
        <v>806</v>
      </c>
      <c r="AA1983" s="609" t="s">
        <v>3371</v>
      </c>
    </row>
    <row r="1984" spans="1:27" ht="18">
      <c r="A1984" s="2712"/>
      <c r="B1984" s="371">
        <v>107</v>
      </c>
      <c r="C1984" s="371" t="s">
        <v>2791</v>
      </c>
      <c r="D1984" s="2714">
        <f t="shared" si="196"/>
        <v>0</v>
      </c>
      <c r="E1984" s="2719">
        <v>1</v>
      </c>
      <c r="F1984" s="293"/>
      <c r="G1984" s="2282" t="s">
        <v>2792</v>
      </c>
      <c r="H1984" s="2273"/>
      <c r="I1984" s="2273"/>
      <c r="J1984" s="2273"/>
      <c r="K1984" s="1475">
        <f t="shared" si="197"/>
        <v>0</v>
      </c>
      <c r="L1984" s="438"/>
      <c r="M1984" s="438"/>
      <c r="N1984" s="520"/>
      <c r="O1984" s="438"/>
      <c r="P1984" s="437"/>
      <c r="Q1984" s="438"/>
      <c r="R1984" s="443"/>
      <c r="S1984" s="364"/>
      <c r="Z1984" s="609" t="s">
        <v>806</v>
      </c>
      <c r="AA1984" s="609" t="s">
        <v>3371</v>
      </c>
    </row>
    <row r="1985" spans="1:27" ht="18">
      <c r="A1985" s="2712"/>
      <c r="B1985" s="371">
        <v>108</v>
      </c>
      <c r="C1985" s="371" t="s">
        <v>2791</v>
      </c>
      <c r="D1985" s="2714">
        <f t="shared" si="196"/>
        <v>0</v>
      </c>
      <c r="E1985" s="2719">
        <v>1</v>
      </c>
      <c r="F1985" s="293"/>
      <c r="G1985" s="2282" t="s">
        <v>2792</v>
      </c>
      <c r="H1985" s="2273"/>
      <c r="I1985" s="2273"/>
      <c r="J1985" s="2273"/>
      <c r="K1985" s="1475">
        <f t="shared" si="197"/>
        <v>0</v>
      </c>
      <c r="L1985" s="438"/>
      <c r="M1985" s="438"/>
      <c r="N1985" s="520"/>
      <c r="O1985" s="438"/>
      <c r="P1985" s="437"/>
      <c r="Q1985" s="438"/>
      <c r="R1985" s="443"/>
      <c r="S1985" s="364"/>
      <c r="Z1985" s="609" t="s">
        <v>806</v>
      </c>
      <c r="AA1985" s="609" t="s">
        <v>3371</v>
      </c>
    </row>
    <row r="1986" spans="1:27" ht="18.75" thickBot="1">
      <c r="A1986" s="2712"/>
      <c r="B1986" s="371"/>
      <c r="C1986" s="371"/>
      <c r="D1986" s="2714">
        <f t="shared" si="196"/>
        <v>1</v>
      </c>
      <c r="E1986" s="2719" t="s">
        <v>2751</v>
      </c>
      <c r="F1986" s="293"/>
      <c r="G1986" s="2232" t="s">
        <v>2752</v>
      </c>
      <c r="H1986" s="2233">
        <f>SUMPRODUCT($E1977:$E1985,H1977:H1985)</f>
        <v>0</v>
      </c>
      <c r="I1986" s="2233">
        <f>SUMPRODUCT($E1977:$E1985,I1977:I1985)</f>
        <v>0</v>
      </c>
      <c r="J1986" s="2233">
        <f>SUMPRODUCT($E1977:$E1985,J1977:J1985)</f>
        <v>0</v>
      </c>
      <c r="K1986" s="2234">
        <f>SUMPRODUCT($E1977:$E1985,K1977:K1985)</f>
        <v>0</v>
      </c>
      <c r="L1986" s="517"/>
      <c r="M1986" s="517"/>
      <c r="N1986" s="517"/>
      <c r="O1986" s="517"/>
      <c r="P1986" s="1461"/>
      <c r="Q1986" s="517"/>
      <c r="R1986" s="443"/>
      <c r="S1986" s="364"/>
      <c r="Z1986" s="609" t="s">
        <v>806</v>
      </c>
      <c r="AA1986" s="609" t="s">
        <v>3371</v>
      </c>
    </row>
    <row r="1987" spans="1:27" ht="18">
      <c r="A1987" s="2712"/>
      <c r="B1987" s="371"/>
      <c r="C1987" s="371" t="s">
        <v>2755</v>
      </c>
      <c r="D1987" s="2714"/>
      <c r="F1987" s="293"/>
      <c r="G1987" s="376"/>
      <c r="H1987" s="315"/>
      <c r="I1987" s="396"/>
      <c r="J1987" s="315"/>
      <c r="K1987" s="423"/>
      <c r="L1987" s="425"/>
      <c r="M1987" s="425"/>
      <c r="N1987" s="577"/>
      <c r="O1987" s="425"/>
      <c r="P1987" s="427"/>
      <c r="Q1987" s="425"/>
      <c r="R1987" s="443"/>
      <c r="S1987" s="364"/>
      <c r="Z1987" s="609" t="s">
        <v>806</v>
      </c>
      <c r="AA1987" s="609" t="s">
        <v>3371</v>
      </c>
    </row>
    <row r="1988" spans="1:27" ht="24">
      <c r="A1988" s="2712" t="s">
        <v>817</v>
      </c>
      <c r="B1988" s="371">
        <v>3.1</v>
      </c>
      <c r="C1988" s="371"/>
      <c r="D1988" s="2714" t="str">
        <f>VLOOKUP($A1988,Sheet_NoteList,2,0)</f>
        <v>按成本计量的可供出售金融资产（续）</v>
      </c>
      <c r="E1988" s="2714" t="s">
        <v>2742</v>
      </c>
      <c r="F1988" s="293"/>
      <c r="G1988" s="372" t="str">
        <f>"("&amp;B1988&amp;")"&amp;D1988</f>
        <v>(3.1)按成本计量的可供出售金融资产（续）</v>
      </c>
      <c r="H1988" s="1515" t="str">
        <f>$A1988</f>
        <v>1503j</v>
      </c>
      <c r="I1988" s="343" t="s">
        <v>2743</v>
      </c>
      <c r="J1988" s="301"/>
      <c r="K1988" s="391"/>
      <c r="L1988" s="349"/>
      <c r="M1988" s="301"/>
      <c r="N1988" s="391"/>
      <c r="O1988" s="349"/>
      <c r="P1988" s="301"/>
      <c r="S1988" s="364"/>
      <c r="Z1988" s="609" t="s">
        <v>806</v>
      </c>
      <c r="AA1988" s="609" t="s">
        <v>3371</v>
      </c>
    </row>
    <row r="1989" spans="1:27" ht="0.75" customHeight="1">
      <c r="A1989" s="2712"/>
      <c r="B1989" s="371"/>
      <c r="C1989" s="371"/>
      <c r="D1989" s="2714"/>
      <c r="E1989" s="586"/>
      <c r="F1989" s="586"/>
      <c r="G1989" s="2222" t="s">
        <v>3377</v>
      </c>
      <c r="H1989" s="371" t="s">
        <v>5421</v>
      </c>
      <c r="I1989" s="371" t="s">
        <v>5422</v>
      </c>
      <c r="J1989" s="371" t="s">
        <v>5423</v>
      </c>
      <c r="K1989" s="547" t="s">
        <v>5424</v>
      </c>
      <c r="L1989" s="547" t="s">
        <v>5425</v>
      </c>
      <c r="M1989" s="371" t="s">
        <v>5426</v>
      </c>
      <c r="N1989" s="428"/>
      <c r="O1989" s="428"/>
      <c r="P1989" s="433"/>
      <c r="Q1989" s="442"/>
      <c r="R1989" s="443"/>
      <c r="S1989" s="364"/>
      <c r="Z1989" s="609" t="s">
        <v>806</v>
      </c>
      <c r="AA1989" s="609" t="s">
        <v>3371</v>
      </c>
    </row>
    <row r="1990" spans="1:27" ht="0.75" customHeight="1" thickBot="1">
      <c r="A1990" s="2712"/>
      <c r="B1990" s="371"/>
      <c r="C1990" s="371"/>
      <c r="D1990" s="2714"/>
      <c r="E1990" s="586"/>
      <c r="F1990" s="586"/>
      <c r="G1990" s="2222"/>
      <c r="H1990" s="371" t="s">
        <v>5427</v>
      </c>
      <c r="I1990" s="371" t="s">
        <v>5428</v>
      </c>
      <c r="J1990" s="371" t="s">
        <v>5429</v>
      </c>
      <c r="K1990" s="547" t="s">
        <v>5430</v>
      </c>
      <c r="L1990" s="547" t="s">
        <v>5431</v>
      </c>
      <c r="M1990" s="371" t="s">
        <v>5432</v>
      </c>
      <c r="N1990" s="428"/>
      <c r="O1990" s="428"/>
      <c r="P1990" s="433"/>
      <c r="Q1990" s="442"/>
      <c r="R1990" s="443"/>
      <c r="S1990" s="364"/>
      <c r="Z1990" s="609" t="s">
        <v>806</v>
      </c>
      <c r="AA1990" s="609" t="s">
        <v>3371</v>
      </c>
    </row>
    <row r="1991" spans="1:27" ht="18" customHeight="1">
      <c r="A1991" s="2712"/>
      <c r="B1991" s="371"/>
      <c r="C1991" s="371"/>
      <c r="D1991" s="2714"/>
      <c r="E1991" s="586" t="s">
        <v>2749</v>
      </c>
      <c r="F1991" s="414"/>
      <c r="G1991" s="3462" t="s">
        <v>3376</v>
      </c>
      <c r="H1991" s="3466" t="s">
        <v>3097</v>
      </c>
      <c r="I1991" s="3466"/>
      <c r="J1991" s="3466"/>
      <c r="K1991" s="3466"/>
      <c r="L1991" s="3466" t="s">
        <v>3378</v>
      </c>
      <c r="M1991" s="3494" t="s">
        <v>3379</v>
      </c>
      <c r="N1991" s="355" t="s">
        <v>5277</v>
      </c>
      <c r="O1991" s="428"/>
      <c r="P1991" s="433"/>
      <c r="Q1991" s="442"/>
      <c r="R1991" s="443"/>
      <c r="S1991" s="364"/>
      <c r="Z1991" s="609" t="s">
        <v>806</v>
      </c>
      <c r="AA1991" s="609" t="s">
        <v>3371</v>
      </c>
    </row>
    <row r="1992" spans="1:27" ht="18">
      <c r="A1992" s="2712"/>
      <c r="B1992" s="371"/>
      <c r="C1992" s="371"/>
      <c r="D1992" s="2714"/>
      <c r="E1992" s="586" t="s">
        <v>2749</v>
      </c>
      <c r="F1992" s="414"/>
      <c r="G1992" s="3463"/>
      <c r="H1992" s="2472" t="str">
        <f>$Y$3</f>
        <v>2017年12月31日</v>
      </c>
      <c r="I1992" s="2292" t="s">
        <v>3027</v>
      </c>
      <c r="J1992" s="2292" t="s">
        <v>3028</v>
      </c>
      <c r="K1992" s="2331" t="str">
        <f>$V$3</f>
        <v>2018年12月31日</v>
      </c>
      <c r="L1992" s="3467"/>
      <c r="M1992" s="3578"/>
      <c r="N1992" s="355" t="s">
        <v>6136</v>
      </c>
      <c r="O1992" s="434"/>
      <c r="P1992" s="435"/>
      <c r="Q1992" s="442"/>
      <c r="R1992" s="443"/>
      <c r="S1992" s="364"/>
      <c r="Z1992" s="609" t="s">
        <v>806</v>
      </c>
      <c r="AA1992" s="609" t="s">
        <v>3371</v>
      </c>
    </row>
    <row r="1993" spans="1:27" ht="18">
      <c r="A1993" s="2712"/>
      <c r="B1993" s="371">
        <v>101</v>
      </c>
      <c r="C1993" s="371" t="s">
        <v>2791</v>
      </c>
      <c r="D1993" s="2714">
        <f t="shared" ref="D1993:D2001" si="198">IF(OR(G1993="*",G1993="",G1993=0),0,COUNTIF($G$1993:$G$2001,G1993))</f>
        <v>0</v>
      </c>
      <c r="E1993" s="2719">
        <v>1</v>
      </c>
      <c r="F1993" s="293"/>
      <c r="G1993" s="2282" t="s">
        <v>2792</v>
      </c>
      <c r="H1993" s="2273"/>
      <c r="I1993" s="2273"/>
      <c r="J1993" s="2273"/>
      <c r="K1993" s="1474">
        <f>H1993+I1993-J1993</f>
        <v>0</v>
      </c>
      <c r="L1993" s="2296"/>
      <c r="M1993" s="2294"/>
      <c r="N1993" s="439"/>
      <c r="O1993" s="437"/>
      <c r="P1993" s="438"/>
      <c r="Q1993" s="442"/>
      <c r="R1993" s="443"/>
      <c r="S1993" s="364"/>
      <c r="Z1993" s="609" t="s">
        <v>806</v>
      </c>
      <c r="AA1993" s="609" t="s">
        <v>3371</v>
      </c>
    </row>
    <row r="1994" spans="1:27" ht="18">
      <c r="A1994" s="2712"/>
      <c r="B1994" s="371">
        <v>102</v>
      </c>
      <c r="C1994" s="371" t="s">
        <v>2791</v>
      </c>
      <c r="D1994" s="2714">
        <f t="shared" si="198"/>
        <v>0</v>
      </c>
      <c r="E1994" s="2719">
        <v>1</v>
      </c>
      <c r="F1994" s="293"/>
      <c r="G1994" s="2282" t="s">
        <v>2792</v>
      </c>
      <c r="H1994" s="2273"/>
      <c r="I1994" s="2273"/>
      <c r="J1994" s="2273"/>
      <c r="K1994" s="1474">
        <f t="shared" ref="K1994:K2000" si="199">H1994+I1994-J1994</f>
        <v>0</v>
      </c>
      <c r="L1994" s="2296"/>
      <c r="M1994" s="2294"/>
      <c r="N1994" s="439"/>
      <c r="O1994" s="437"/>
      <c r="P1994" s="438"/>
      <c r="Q1994" s="442"/>
      <c r="R1994" s="443"/>
      <c r="S1994" s="364"/>
      <c r="Z1994" s="609" t="s">
        <v>806</v>
      </c>
      <c r="AA1994" s="609" t="s">
        <v>3371</v>
      </c>
    </row>
    <row r="1995" spans="1:27" ht="18">
      <c r="A1995" s="2712"/>
      <c r="B1995" s="371">
        <v>103</v>
      </c>
      <c r="C1995" s="371" t="s">
        <v>2791</v>
      </c>
      <c r="D1995" s="2714">
        <f t="shared" si="198"/>
        <v>0</v>
      </c>
      <c r="E1995" s="2719">
        <v>1</v>
      </c>
      <c r="F1995" s="293"/>
      <c r="G1995" s="2282" t="s">
        <v>2792</v>
      </c>
      <c r="H1995" s="2273"/>
      <c r="I1995" s="2273"/>
      <c r="J1995" s="2273"/>
      <c r="K1995" s="1474">
        <f t="shared" si="199"/>
        <v>0</v>
      </c>
      <c r="L1995" s="2296"/>
      <c r="M1995" s="2294"/>
      <c r="N1995" s="439"/>
      <c r="O1995" s="437"/>
      <c r="P1995" s="438"/>
      <c r="Q1995" s="442"/>
      <c r="R1995" s="443"/>
      <c r="S1995" s="364"/>
      <c r="Z1995" s="609" t="s">
        <v>806</v>
      </c>
      <c r="AA1995" s="609" t="s">
        <v>3371</v>
      </c>
    </row>
    <row r="1996" spans="1:27" ht="18">
      <c r="A1996" s="2712"/>
      <c r="B1996" s="371">
        <v>104</v>
      </c>
      <c r="C1996" s="371" t="s">
        <v>2791</v>
      </c>
      <c r="D1996" s="2714">
        <f t="shared" si="198"/>
        <v>0</v>
      </c>
      <c r="E1996" s="2719">
        <v>1</v>
      </c>
      <c r="F1996" s="293"/>
      <c r="G1996" s="2282" t="s">
        <v>2792</v>
      </c>
      <c r="H1996" s="2273"/>
      <c r="I1996" s="2273"/>
      <c r="J1996" s="2273"/>
      <c r="K1996" s="1474">
        <f t="shared" si="199"/>
        <v>0</v>
      </c>
      <c r="L1996" s="2296"/>
      <c r="M1996" s="2294"/>
      <c r="N1996" s="439"/>
      <c r="O1996" s="437"/>
      <c r="P1996" s="438"/>
      <c r="Q1996" s="442"/>
      <c r="R1996" s="443"/>
      <c r="S1996" s="364"/>
      <c r="Z1996" s="609" t="s">
        <v>806</v>
      </c>
      <c r="AA1996" s="609" t="s">
        <v>3371</v>
      </c>
    </row>
    <row r="1997" spans="1:27" ht="18">
      <c r="A1997" s="2712"/>
      <c r="B1997" s="371">
        <v>105</v>
      </c>
      <c r="C1997" s="371" t="s">
        <v>2791</v>
      </c>
      <c r="D1997" s="2714">
        <f t="shared" si="198"/>
        <v>0</v>
      </c>
      <c r="E1997" s="2719">
        <v>1</v>
      </c>
      <c r="F1997" s="293"/>
      <c r="G1997" s="2282" t="s">
        <v>2792</v>
      </c>
      <c r="H1997" s="2273"/>
      <c r="I1997" s="2273"/>
      <c r="J1997" s="2273"/>
      <c r="K1997" s="1474">
        <f t="shared" si="199"/>
        <v>0</v>
      </c>
      <c r="L1997" s="2296"/>
      <c r="M1997" s="2294"/>
      <c r="N1997" s="439"/>
      <c r="O1997" s="437"/>
      <c r="P1997" s="438"/>
      <c r="Q1997" s="442"/>
      <c r="R1997" s="443"/>
      <c r="S1997" s="364"/>
      <c r="Z1997" s="609" t="s">
        <v>806</v>
      </c>
      <c r="AA1997" s="609" t="s">
        <v>3371</v>
      </c>
    </row>
    <row r="1998" spans="1:27" ht="18">
      <c r="A1998" s="2712"/>
      <c r="B1998" s="371">
        <v>106</v>
      </c>
      <c r="C1998" s="371" t="s">
        <v>2791</v>
      </c>
      <c r="D1998" s="2714">
        <f t="shared" si="198"/>
        <v>0</v>
      </c>
      <c r="E1998" s="2719">
        <v>1</v>
      </c>
      <c r="F1998" s="293"/>
      <c r="G1998" s="2282" t="s">
        <v>2792</v>
      </c>
      <c r="H1998" s="2273"/>
      <c r="I1998" s="2273"/>
      <c r="J1998" s="2273"/>
      <c r="K1998" s="1474">
        <f t="shared" si="199"/>
        <v>0</v>
      </c>
      <c r="L1998" s="2296"/>
      <c r="M1998" s="2294"/>
      <c r="N1998" s="439"/>
      <c r="O1998" s="437"/>
      <c r="P1998" s="438"/>
      <c r="Q1998" s="442"/>
      <c r="R1998" s="443"/>
      <c r="S1998" s="364"/>
      <c r="Z1998" s="609" t="s">
        <v>806</v>
      </c>
      <c r="AA1998" s="609" t="s">
        <v>3371</v>
      </c>
    </row>
    <row r="1999" spans="1:27" ht="18">
      <c r="A1999" s="2712"/>
      <c r="B1999" s="371">
        <v>107</v>
      </c>
      <c r="C1999" s="371" t="s">
        <v>2791</v>
      </c>
      <c r="D1999" s="2714">
        <f t="shared" si="198"/>
        <v>0</v>
      </c>
      <c r="E1999" s="2719">
        <v>1</v>
      </c>
      <c r="F1999" s="293"/>
      <c r="G1999" s="2282" t="s">
        <v>2792</v>
      </c>
      <c r="H1999" s="2273"/>
      <c r="I1999" s="2273"/>
      <c r="J1999" s="2273"/>
      <c r="K1999" s="1474">
        <f t="shared" si="199"/>
        <v>0</v>
      </c>
      <c r="L1999" s="2296"/>
      <c r="M1999" s="2294"/>
      <c r="N1999" s="439"/>
      <c r="O1999" s="437"/>
      <c r="P1999" s="438"/>
      <c r="Q1999" s="442"/>
      <c r="R1999" s="443"/>
      <c r="S1999" s="364"/>
      <c r="Z1999" s="609" t="s">
        <v>806</v>
      </c>
      <c r="AA1999" s="609" t="s">
        <v>3371</v>
      </c>
    </row>
    <row r="2000" spans="1:27" ht="18">
      <c r="A2000" s="2712"/>
      <c r="B2000" s="371">
        <v>108</v>
      </c>
      <c r="C2000" s="371" t="s">
        <v>2791</v>
      </c>
      <c r="D2000" s="2714">
        <f t="shared" si="198"/>
        <v>0</v>
      </c>
      <c r="E2000" s="2719">
        <v>1</v>
      </c>
      <c r="F2000" s="293"/>
      <c r="G2000" s="2282" t="s">
        <v>2792</v>
      </c>
      <c r="H2000" s="2273"/>
      <c r="I2000" s="2273"/>
      <c r="J2000" s="2273"/>
      <c r="K2000" s="1474">
        <f t="shared" si="199"/>
        <v>0</v>
      </c>
      <c r="L2000" s="2296"/>
      <c r="M2000" s="2294"/>
      <c r="N2000" s="439"/>
      <c r="O2000" s="437"/>
      <c r="P2000" s="438"/>
      <c r="Q2000" s="442"/>
      <c r="R2000" s="443"/>
      <c r="S2000" s="364"/>
      <c r="Z2000" s="609" t="s">
        <v>806</v>
      </c>
      <c r="AA2000" s="609" t="s">
        <v>3371</v>
      </c>
    </row>
    <row r="2001" spans="1:31" ht="18.75" thickBot="1">
      <c r="A2001" s="2712"/>
      <c r="B2001" s="371"/>
      <c r="C2001" s="371"/>
      <c r="D2001" s="2714">
        <f t="shared" si="198"/>
        <v>1</v>
      </c>
      <c r="E2001" s="2719" t="s">
        <v>2751</v>
      </c>
      <c r="F2001" s="293"/>
      <c r="G2001" s="2232" t="s">
        <v>2752</v>
      </c>
      <c r="H2001" s="2233">
        <f>SUMPRODUCT($E1992:$E2000,H1992:H2000)</f>
        <v>0</v>
      </c>
      <c r="I2001" s="2233">
        <f>SUMPRODUCT($E1992:$E2000,I1992:I2000)</f>
        <v>0</v>
      </c>
      <c r="J2001" s="2233">
        <f>SUMPRODUCT($E1992:$E2000,J1992:J2000)</f>
        <v>0</v>
      </c>
      <c r="K2001" s="2233">
        <f>SUMPRODUCT($E1992:$E2000,K1992:K2000)</f>
        <v>0</v>
      </c>
      <c r="L2001" s="2239"/>
      <c r="M2001" s="2234">
        <f>SUMPRODUCT($E1992:$E2000,M1992:M2000)</f>
        <v>0</v>
      </c>
      <c r="N2001" s="439"/>
      <c r="O2001" s="437"/>
      <c r="P2001" s="440"/>
      <c r="Q2001" s="442"/>
      <c r="R2001" s="443"/>
      <c r="S2001" s="364"/>
      <c r="Z2001" s="609" t="s">
        <v>806</v>
      </c>
      <c r="AA2001" s="609" t="s">
        <v>3371</v>
      </c>
    </row>
    <row r="2002" spans="1:31" ht="18">
      <c r="A2002" s="2712"/>
      <c r="B2002" s="371"/>
      <c r="C2002" s="371" t="s">
        <v>2755</v>
      </c>
      <c r="D2002" s="2714"/>
      <c r="F2002" s="293"/>
      <c r="G2002" s="376"/>
      <c r="H2002" s="315"/>
      <c r="I2002" s="396"/>
      <c r="J2002" s="315"/>
      <c r="K2002" s="423"/>
      <c r="L2002" s="393"/>
      <c r="M2002" s="315"/>
      <c r="N2002" s="426"/>
      <c r="O2002" s="427"/>
      <c r="P2002" s="425"/>
      <c r="Q2002" s="442"/>
      <c r="R2002" s="443"/>
      <c r="S2002" s="364"/>
      <c r="Z2002" s="609" t="s">
        <v>806</v>
      </c>
      <c r="AA2002" s="609" t="s">
        <v>3371</v>
      </c>
    </row>
    <row r="2003" spans="1:31" ht="24">
      <c r="A2003" s="2712" t="s">
        <v>821</v>
      </c>
      <c r="B2003" s="371">
        <v>4</v>
      </c>
      <c r="C2003" s="371"/>
      <c r="D2003" s="2714" t="str">
        <f>VLOOKUP($A2003,Sheet_NoteList,2,0)</f>
        <v>可供出售金融资产减值的变动情况</v>
      </c>
      <c r="E2003" s="2714" t="s">
        <v>2742</v>
      </c>
      <c r="F2003" s="293"/>
      <c r="G2003" s="372" t="str">
        <f>"("&amp;B2003&amp;")"&amp;D2003</f>
        <v>(4)可供出售金融资产减值的变动情况</v>
      </c>
      <c r="H2003" s="1515" t="str">
        <f>$A2003</f>
        <v>1503k</v>
      </c>
      <c r="I2003" s="343" t="s">
        <v>2743</v>
      </c>
      <c r="J2003" s="301" t="s">
        <v>2744</v>
      </c>
      <c r="K2003" s="2208">
        <f>J2013</f>
        <v>0</v>
      </c>
      <c r="L2003" s="349"/>
      <c r="M2003" s="301"/>
      <c r="N2003" s="391"/>
      <c r="O2003" s="349"/>
      <c r="P2003" s="301"/>
      <c r="S2003" s="364"/>
      <c r="Z2003" s="609" t="s">
        <v>806</v>
      </c>
      <c r="AA2003" s="609" t="s">
        <v>3380</v>
      </c>
    </row>
    <row r="2004" spans="1:31" ht="0.75" customHeight="1" thickBot="1">
      <c r="A2004" s="2712"/>
      <c r="B2004" s="371"/>
      <c r="C2004" s="371"/>
      <c r="D2004" s="2714"/>
      <c r="E2004" s="586"/>
      <c r="F2004" s="586"/>
      <c r="G2004" s="2222" t="s">
        <v>3381</v>
      </c>
      <c r="H2004" s="371" t="s">
        <v>2747</v>
      </c>
      <c r="I2004" s="371" t="s">
        <v>2748</v>
      </c>
      <c r="J2004" s="371" t="s">
        <v>2948</v>
      </c>
      <c r="K2004" s="428"/>
      <c r="L2004" s="428"/>
      <c r="M2004" s="433"/>
      <c r="N2004" s="428"/>
      <c r="O2004" s="428"/>
      <c r="P2004" s="433"/>
      <c r="Q2004" s="442"/>
      <c r="R2004" s="443"/>
      <c r="S2004" s="364"/>
      <c r="Z2004" s="609" t="s">
        <v>806</v>
      </c>
      <c r="AA2004" s="609" t="s">
        <v>3380</v>
      </c>
    </row>
    <row r="2005" spans="1:31" ht="24">
      <c r="A2005" s="2712"/>
      <c r="B2005" s="371"/>
      <c r="C2005" s="371"/>
      <c r="D2005" s="2714"/>
      <c r="E2005" s="586" t="s">
        <v>2749</v>
      </c>
      <c r="F2005" s="414"/>
      <c r="G2005" s="2287" t="s">
        <v>3372</v>
      </c>
      <c r="H2005" s="2289" t="s">
        <v>3369</v>
      </c>
      <c r="I2005" s="2289" t="s">
        <v>3368</v>
      </c>
      <c r="J2005" s="2291" t="s">
        <v>3351</v>
      </c>
      <c r="K2005" s="355" t="s">
        <v>5277</v>
      </c>
      <c r="L2005" s="434"/>
      <c r="M2005" s="435"/>
      <c r="N2005" s="434"/>
      <c r="O2005" s="434"/>
      <c r="P2005" s="435"/>
      <c r="Q2005" s="442"/>
      <c r="R2005" s="443"/>
      <c r="S2005" s="364"/>
      <c r="Z2005" s="609" t="s">
        <v>806</v>
      </c>
      <c r="AA2005" s="609" t="s">
        <v>3380</v>
      </c>
    </row>
    <row r="2006" spans="1:31" ht="24">
      <c r="A2006" s="2712"/>
      <c r="B2006" s="371">
        <v>101</v>
      </c>
      <c r="C2006" s="371"/>
      <c r="D2006" s="2714">
        <f t="shared" ref="D2006:D2013" si="200">IF(OR(G2006="*",G2006="",G2006=0),0,COUNTIF($G$2006:$G$2013,G2006))</f>
        <v>1</v>
      </c>
      <c r="E2006" s="2719">
        <v>1</v>
      </c>
      <c r="F2006" s="293"/>
      <c r="G2006" s="1472" t="str">
        <f>$Y$3&amp;"已计提减值余额"</f>
        <v>2017年12月31日已计提减值余额</v>
      </c>
      <c r="H2006" s="2273"/>
      <c r="I2006" s="2273"/>
      <c r="J2006" s="1475">
        <f>H2006+I2006</f>
        <v>0</v>
      </c>
      <c r="K2006" s="355" t="s">
        <v>6136</v>
      </c>
      <c r="L2006" s="437"/>
      <c r="M2006" s="438"/>
      <c r="N2006" s="439"/>
      <c r="O2006" s="437"/>
      <c r="P2006" s="438"/>
      <c r="Q2006" s="442"/>
      <c r="R2006" s="443"/>
      <c r="S2006" s="364"/>
      <c r="Z2006" s="609" t="s">
        <v>806</v>
      </c>
      <c r="AA2006" s="609" t="s">
        <v>3380</v>
      </c>
    </row>
    <row r="2007" spans="1:31" ht="18">
      <c r="A2007" s="2712"/>
      <c r="B2007" s="371">
        <v>103</v>
      </c>
      <c r="C2007" s="371"/>
      <c r="D2007" s="2714">
        <f t="shared" si="200"/>
        <v>1</v>
      </c>
      <c r="E2007" s="2719">
        <v>1</v>
      </c>
      <c r="F2007" s="293"/>
      <c r="G2007" s="1472" t="s">
        <v>3355</v>
      </c>
      <c r="H2007" s="2273"/>
      <c r="I2007" s="2273"/>
      <c r="J2007" s="1475">
        <f t="shared" ref="J2007:J2012" si="201">H2007+I2007</f>
        <v>0</v>
      </c>
      <c r="K2007" s="439"/>
      <c r="L2007" s="437"/>
      <c r="M2007" s="438"/>
      <c r="N2007" s="439"/>
      <c r="O2007" s="437"/>
      <c r="P2007" s="438"/>
      <c r="Q2007" s="442"/>
      <c r="R2007" s="443"/>
      <c r="S2007" s="364"/>
      <c r="Z2007" s="609" t="s">
        <v>806</v>
      </c>
      <c r="AA2007" s="609" t="s">
        <v>3380</v>
      </c>
    </row>
    <row r="2008" spans="1:31" ht="18">
      <c r="A2008" s="2712"/>
      <c r="B2008" s="371">
        <v>104</v>
      </c>
      <c r="C2008" s="371"/>
      <c r="D2008" s="2714">
        <f t="shared" si="200"/>
        <v>1</v>
      </c>
      <c r="E2008" s="2719">
        <v>0</v>
      </c>
      <c r="F2008" s="293"/>
      <c r="G2008" s="1472" t="s">
        <v>3382</v>
      </c>
      <c r="H2008" s="2273"/>
      <c r="I2008" s="2273"/>
      <c r="J2008" s="1475">
        <f t="shared" si="201"/>
        <v>0</v>
      </c>
      <c r="K2008" s="439"/>
      <c r="L2008" s="437"/>
      <c r="M2008" s="438"/>
      <c r="N2008" s="439"/>
      <c r="O2008" s="437"/>
      <c r="P2008" s="438"/>
      <c r="Q2008" s="442"/>
      <c r="R2008" s="443"/>
      <c r="S2008" s="364"/>
      <c r="Z2008" s="609" t="s">
        <v>806</v>
      </c>
      <c r="AA2008" s="609" t="s">
        <v>3380</v>
      </c>
    </row>
    <row r="2009" spans="1:31" ht="18">
      <c r="A2009" s="2712"/>
      <c r="B2009" s="371">
        <v>105</v>
      </c>
      <c r="C2009" s="371"/>
      <c r="D2009" s="2714">
        <f t="shared" si="200"/>
        <v>1</v>
      </c>
      <c r="E2009" s="2719">
        <v>-1</v>
      </c>
      <c r="F2009" s="293"/>
      <c r="G2009" s="1472" t="s">
        <v>3028</v>
      </c>
      <c r="H2009" s="2273"/>
      <c r="I2009" s="2273"/>
      <c r="J2009" s="1475">
        <f t="shared" si="201"/>
        <v>0</v>
      </c>
      <c r="K2009" s="439"/>
      <c r="L2009" s="437"/>
      <c r="M2009" s="438"/>
      <c r="N2009" s="439"/>
      <c r="O2009" s="437"/>
      <c r="P2009" s="438"/>
      <c r="Q2009" s="442"/>
      <c r="R2009" s="443"/>
      <c r="S2009" s="364"/>
      <c r="Z2009" s="609" t="s">
        <v>806</v>
      </c>
      <c r="AA2009" s="609" t="s">
        <v>3380</v>
      </c>
    </row>
    <row r="2010" spans="1:31" ht="18">
      <c r="A2010" s="2712"/>
      <c r="B2010" s="371">
        <v>107</v>
      </c>
      <c r="C2010" s="371"/>
      <c r="D2010" s="2714">
        <f t="shared" si="200"/>
        <v>1</v>
      </c>
      <c r="E2010" s="2719">
        <v>0</v>
      </c>
      <c r="F2010" s="293"/>
      <c r="G2010" s="1472" t="s">
        <v>3383</v>
      </c>
      <c r="H2010" s="2273"/>
      <c r="I2010" s="2273"/>
      <c r="J2010" s="1475">
        <f t="shared" si="201"/>
        <v>0</v>
      </c>
      <c r="K2010" s="439"/>
      <c r="L2010" s="437"/>
      <c r="M2010" s="438"/>
      <c r="N2010" s="439"/>
      <c r="O2010" s="437"/>
      <c r="P2010" s="438"/>
      <c r="Q2010" s="442"/>
      <c r="R2010" s="443"/>
      <c r="S2010" s="364"/>
      <c r="Z2010" s="609" t="s">
        <v>806</v>
      </c>
      <c r="AA2010" s="609" t="s">
        <v>3380</v>
      </c>
    </row>
    <row r="2011" spans="1:31" ht="18">
      <c r="A2011" s="2712"/>
      <c r="B2011" s="371">
        <v>108</v>
      </c>
      <c r="C2011" s="371" t="s">
        <v>2791</v>
      </c>
      <c r="D2011" s="2714">
        <f t="shared" si="200"/>
        <v>1</v>
      </c>
      <c r="E2011" s="2719">
        <v>1</v>
      </c>
      <c r="F2011" s="293"/>
      <c r="G2011" s="2546" t="s">
        <v>6133</v>
      </c>
      <c r="H2011" s="2273"/>
      <c r="I2011" s="2273"/>
      <c r="J2011" s="1475">
        <f t="shared" si="201"/>
        <v>0</v>
      </c>
      <c r="K2011" s="355" t="s">
        <v>6132</v>
      </c>
      <c r="L2011" s="437"/>
      <c r="M2011" s="438"/>
      <c r="N2011" s="439"/>
      <c r="O2011" s="437"/>
      <c r="P2011" s="438"/>
      <c r="Q2011" s="442"/>
      <c r="R2011" s="443"/>
      <c r="S2011" s="364"/>
      <c r="Z2011" s="609" t="s">
        <v>806</v>
      </c>
      <c r="AA2011" s="609" t="s">
        <v>3380</v>
      </c>
    </row>
    <row r="2012" spans="1:31" ht="18">
      <c r="A2012" s="2712"/>
      <c r="B2012" s="371">
        <v>109</v>
      </c>
      <c r="C2012" s="371" t="s">
        <v>2791</v>
      </c>
      <c r="D2012" s="2714">
        <f t="shared" si="200"/>
        <v>0</v>
      </c>
      <c r="E2012" s="2719">
        <v>1</v>
      </c>
      <c r="F2012" s="293"/>
      <c r="G2012" s="2282" t="s">
        <v>2792</v>
      </c>
      <c r="H2012" s="2273"/>
      <c r="I2012" s="2273"/>
      <c r="J2012" s="1475">
        <f t="shared" si="201"/>
        <v>0</v>
      </c>
      <c r="K2012" s="355" t="s">
        <v>6132</v>
      </c>
      <c r="L2012" s="437"/>
      <c r="M2012" s="438"/>
      <c r="N2012" s="439"/>
      <c r="O2012" s="437"/>
      <c r="P2012" s="438"/>
      <c r="Q2012" s="442"/>
      <c r="R2012" s="443"/>
      <c r="S2012" s="364"/>
      <c r="Z2012" s="609" t="s">
        <v>806</v>
      </c>
      <c r="AA2012" s="609" t="s">
        <v>3380</v>
      </c>
    </row>
    <row r="2013" spans="1:31" ht="24.75" thickBot="1">
      <c r="A2013" s="2712"/>
      <c r="B2013" s="371"/>
      <c r="C2013" s="371"/>
      <c r="D2013" s="2714">
        <f t="shared" si="200"/>
        <v>1</v>
      </c>
      <c r="E2013" s="2719" t="s">
        <v>2751</v>
      </c>
      <c r="F2013" s="293"/>
      <c r="G2013" s="2232" t="str">
        <f>$W$3&amp;"已计提减值余额"</f>
        <v>2018年12月31日已计提减值余额</v>
      </c>
      <c r="H2013" s="2233">
        <f>SUMPRODUCT($E2005:$E2012,H2005:H2012)</f>
        <v>0</v>
      </c>
      <c r="I2013" s="2233">
        <f>SUMPRODUCT($E2005:$E2012,I2005:I2012)</f>
        <v>0</v>
      </c>
      <c r="J2013" s="2234">
        <f>SUMPRODUCT($E2005:$E2012,J2005:J2012)</f>
        <v>0</v>
      </c>
      <c r="K2013" s="439"/>
      <c r="L2013" s="437"/>
      <c r="M2013" s="440"/>
      <c r="N2013" s="439"/>
      <c r="O2013" s="437"/>
      <c r="P2013" s="440"/>
      <c r="Q2013" s="442"/>
      <c r="R2013" s="443"/>
      <c r="S2013" s="364"/>
      <c r="Z2013" s="609" t="s">
        <v>806</v>
      </c>
      <c r="AA2013" s="609" t="s">
        <v>3380</v>
      </c>
    </row>
    <row r="2014" spans="1:31" ht="18">
      <c r="A2014" s="2712"/>
      <c r="B2014" s="371"/>
      <c r="C2014" s="371" t="s">
        <v>2755</v>
      </c>
      <c r="D2014" s="2714"/>
      <c r="F2014" s="293"/>
      <c r="G2014" s="376"/>
      <c r="H2014" s="315"/>
      <c r="I2014" s="396"/>
      <c r="J2014" s="315"/>
      <c r="K2014" s="426"/>
      <c r="L2014" s="427"/>
      <c r="M2014" s="425"/>
      <c r="N2014" s="426"/>
      <c r="O2014" s="427"/>
      <c r="P2014" s="425"/>
      <c r="Q2014" s="442"/>
      <c r="R2014" s="443"/>
      <c r="S2014" s="364"/>
      <c r="Z2014" s="609" t="s">
        <v>806</v>
      </c>
      <c r="AA2014" s="609" t="s">
        <v>3380</v>
      </c>
    </row>
    <row r="2015" spans="1:31" ht="24" hidden="1">
      <c r="A2015" s="2712" t="s">
        <v>841</v>
      </c>
      <c r="B2015" s="371">
        <v>4</v>
      </c>
      <c r="C2015" s="371"/>
      <c r="D2015" s="2714" t="str">
        <f>VLOOKUP($A2015,Sheet_NoteList,2,0)</f>
        <v>报告期内可供出售金融资产减值的变动情况</v>
      </c>
      <c r="E2015" s="2714" t="s">
        <v>6611</v>
      </c>
      <c r="F2015" s="294"/>
      <c r="G2015" s="372" t="str">
        <f>"("&amp;B2015&amp;")"&amp;D2015</f>
        <v>(4)报告期内可供出售金融资产减值的变动情况</v>
      </c>
      <c r="H2015" s="1515" t="str">
        <f>$A2015</f>
        <v>1503d</v>
      </c>
      <c r="I2015" s="343" t="s">
        <v>6614</v>
      </c>
      <c r="J2015" s="301" t="s">
        <v>6613</v>
      </c>
      <c r="K2015" s="301"/>
      <c r="L2015" s="315"/>
      <c r="M2015" s="301" t="s">
        <v>6613</v>
      </c>
      <c r="N2015" s="423"/>
      <c r="O2015" s="315"/>
      <c r="P2015" s="301"/>
      <c r="Q2015" s="290" t="str">
        <f>IF($I2015="不适用","",IF(ROUND(SUM($H$2018:$M$2021),2)=0,"请输入",""))</f>
        <v/>
      </c>
      <c r="S2015" s="364"/>
      <c r="Z2015" s="609" t="s">
        <v>806</v>
      </c>
      <c r="AA2015" s="609" t="s">
        <v>3380</v>
      </c>
      <c r="AE2015" s="369" t="s">
        <v>2761</v>
      </c>
    </row>
    <row r="2016" spans="1:31" ht="0.75" hidden="1" customHeight="1" thickBot="1">
      <c r="A2016" s="2712"/>
      <c r="B2016" s="371">
        <v>2.3E-2</v>
      </c>
      <c r="C2016" s="371"/>
      <c r="D2016" s="371"/>
      <c r="F2016" s="304"/>
      <c r="G2016" s="304" t="s">
        <v>3384</v>
      </c>
      <c r="H2016" s="304" t="s">
        <v>2904</v>
      </c>
      <c r="I2016" s="304" t="s">
        <v>3385</v>
      </c>
      <c r="J2016" s="499" t="s">
        <v>3386</v>
      </c>
      <c r="K2016" s="499" t="s">
        <v>3251</v>
      </c>
      <c r="L2016" s="304" t="s">
        <v>3387</v>
      </c>
      <c r="M2016" s="304" t="s">
        <v>3221</v>
      </c>
      <c r="N2016" s="291"/>
      <c r="O2016" s="291"/>
      <c r="P2016" s="291"/>
      <c r="S2016" s="364"/>
      <c r="Z2016" s="609" t="s">
        <v>806</v>
      </c>
      <c r="AA2016" s="609" t="s">
        <v>3380</v>
      </c>
      <c r="AE2016" s="369" t="s">
        <v>2761</v>
      </c>
    </row>
    <row r="2017" spans="1:31" ht="24" hidden="1">
      <c r="A2017" s="2712"/>
      <c r="B2017" s="371"/>
      <c r="C2017" s="371"/>
      <c r="D2017" s="371"/>
      <c r="E2017" s="2714" t="s">
        <v>2749</v>
      </c>
      <c r="F2017" s="294"/>
      <c r="G2017" s="450" t="s">
        <v>3372</v>
      </c>
      <c r="H2017" s="482" t="s">
        <v>3388</v>
      </c>
      <c r="I2017" s="482" t="s">
        <v>3355</v>
      </c>
      <c r="J2017" s="482" t="s">
        <v>3382</v>
      </c>
      <c r="K2017" s="482" t="s">
        <v>3028</v>
      </c>
      <c r="L2017" s="482" t="s">
        <v>3383</v>
      </c>
      <c r="M2017" s="500" t="s">
        <v>3389</v>
      </c>
      <c r="N2017" s="424" t="s">
        <v>5988</v>
      </c>
      <c r="P2017" s="291"/>
      <c r="S2017" s="364"/>
      <c r="Z2017" s="609" t="s">
        <v>806</v>
      </c>
      <c r="AA2017" s="609" t="s">
        <v>3380</v>
      </c>
      <c r="AE2017" s="369" t="s">
        <v>2761</v>
      </c>
    </row>
    <row r="2018" spans="1:31" ht="18" hidden="1">
      <c r="A2018" s="2712"/>
      <c r="B2018" s="371">
        <v>101</v>
      </c>
      <c r="C2018" s="371"/>
      <c r="D2018" s="2714">
        <f>IF(OR(G2018="*",G2018="",G2018=0),0,COUNTIF($G$2018:$G$2021,G2018))</f>
        <v>1</v>
      </c>
      <c r="E2018" s="2719">
        <v>1</v>
      </c>
      <c r="F2018" s="294"/>
      <c r="G2018" s="380" t="s">
        <v>3369</v>
      </c>
      <c r="H2018" s="383"/>
      <c r="I2018" s="383"/>
      <c r="J2018" s="383"/>
      <c r="K2018" s="383"/>
      <c r="L2018" s="383"/>
      <c r="M2018" s="489">
        <f>H2018+I2018-K2018</f>
        <v>0</v>
      </c>
      <c r="P2018" s="291"/>
      <c r="Q2018" s="367"/>
      <c r="R2018" s="367"/>
      <c r="S2018" s="364"/>
      <c r="Z2018" s="609" t="s">
        <v>806</v>
      </c>
      <c r="AA2018" s="609" t="s">
        <v>3380</v>
      </c>
      <c r="AE2018" s="369" t="s">
        <v>2761</v>
      </c>
    </row>
    <row r="2019" spans="1:31" ht="18" hidden="1">
      <c r="A2019" s="2712"/>
      <c r="B2019" s="371">
        <v>102</v>
      </c>
      <c r="C2019" s="371"/>
      <c r="D2019" s="2714">
        <f>IF(OR(G2019="*",G2019="",G2019=0),0,COUNTIF($G$2018:$G$2021,G2019))</f>
        <v>1</v>
      </c>
      <c r="E2019" s="2719">
        <v>1</v>
      </c>
      <c r="F2019" s="294"/>
      <c r="G2019" s="380" t="s">
        <v>3368</v>
      </c>
      <c r="H2019" s="383"/>
      <c r="I2019" s="383"/>
      <c r="J2019" s="383"/>
      <c r="K2019" s="383"/>
      <c r="L2019" s="383"/>
      <c r="M2019" s="489">
        <f>H2019+I2019-K2019</f>
        <v>0</v>
      </c>
      <c r="P2019" s="291"/>
      <c r="Q2019" s="367"/>
      <c r="R2019" s="367"/>
      <c r="S2019" s="364"/>
      <c r="Z2019" s="609" t="s">
        <v>806</v>
      </c>
      <c r="AA2019" s="609" t="s">
        <v>3380</v>
      </c>
      <c r="AE2019" s="369" t="s">
        <v>2761</v>
      </c>
    </row>
    <row r="2020" spans="1:31" ht="18" hidden="1">
      <c r="A2020" s="2712"/>
      <c r="B2020" s="371">
        <v>103</v>
      </c>
      <c r="C2020" s="371" t="s">
        <v>2791</v>
      </c>
      <c r="D2020" s="2714">
        <f>IF(OR(G2020="*",G2020="",G2020=0),0,COUNTIF($G$2018:$G$2021,G2020))</f>
        <v>0</v>
      </c>
      <c r="E2020" s="2719">
        <v>1</v>
      </c>
      <c r="F2020" s="294"/>
      <c r="G2020" s="409" t="s">
        <v>2792</v>
      </c>
      <c r="H2020" s="383"/>
      <c r="I2020" s="383"/>
      <c r="J2020" s="383"/>
      <c r="K2020" s="383"/>
      <c r="L2020" s="383"/>
      <c r="M2020" s="489">
        <f>H2020+I2020-K2020</f>
        <v>0</v>
      </c>
      <c r="P2020" s="291"/>
      <c r="Q2020" s="367"/>
      <c r="R2020" s="367"/>
      <c r="S2020" s="364"/>
      <c r="Z2020" s="609" t="s">
        <v>806</v>
      </c>
      <c r="AA2020" s="609" t="s">
        <v>3380</v>
      </c>
      <c r="AE2020" s="369" t="s">
        <v>2761</v>
      </c>
    </row>
    <row r="2021" spans="1:31" ht="18.75" hidden="1" thickBot="1">
      <c r="A2021" s="2712"/>
      <c r="B2021" s="371"/>
      <c r="C2021" s="371"/>
      <c r="D2021" s="2714">
        <f>IF(OR(G2021="*",G2021="",G2021=0),0,COUNTIF($G$2018:$G$2021,G2021))</f>
        <v>1</v>
      </c>
      <c r="E2021" s="2719" t="s">
        <v>3032</v>
      </c>
      <c r="F2021" s="294"/>
      <c r="G2021" s="452" t="s">
        <v>2752</v>
      </c>
      <c r="H2021" s="453">
        <f t="shared" ref="H2021:M2021" si="202">SUMPRODUCT($E2017:$E2020,H2017:H2020)</f>
        <v>0</v>
      </c>
      <c r="I2021" s="453">
        <f t="shared" si="202"/>
        <v>0</v>
      </c>
      <c r="J2021" s="453">
        <f t="shared" si="202"/>
        <v>0</v>
      </c>
      <c r="K2021" s="453">
        <f t="shared" si="202"/>
        <v>0</v>
      </c>
      <c r="L2021" s="453">
        <f t="shared" si="202"/>
        <v>0</v>
      </c>
      <c r="M2021" s="471">
        <f t="shared" si="202"/>
        <v>0</v>
      </c>
      <c r="P2021" s="291"/>
      <c r="Q2021" s="367"/>
      <c r="R2021" s="367"/>
      <c r="S2021" s="364"/>
      <c r="Z2021" s="609" t="s">
        <v>806</v>
      </c>
      <c r="AA2021" s="609" t="s">
        <v>3380</v>
      </c>
      <c r="AE2021" s="369" t="s">
        <v>2761</v>
      </c>
    </row>
    <row r="2022" spans="1:31" ht="18" hidden="1">
      <c r="A2022" s="2712"/>
      <c r="B2022" s="371"/>
      <c r="C2022" s="371" t="s">
        <v>2755</v>
      </c>
      <c r="D2022" s="371"/>
      <c r="F2022" s="294"/>
      <c r="G2022" s="301"/>
      <c r="H2022" s="349"/>
      <c r="I2022" s="349"/>
      <c r="J2022" s="350"/>
      <c r="K2022" s="350"/>
      <c r="L2022" s="349"/>
      <c r="M2022" s="350"/>
      <c r="P2022" s="291"/>
      <c r="Q2022" s="367"/>
      <c r="R2022" s="367"/>
      <c r="S2022" s="364"/>
      <c r="Z2022" s="609" t="s">
        <v>806</v>
      </c>
      <c r="AA2022" s="609" t="s">
        <v>3380</v>
      </c>
      <c r="AE2022" s="369" t="s">
        <v>2761</v>
      </c>
    </row>
    <row r="2023" spans="1:31" ht="48">
      <c r="A2023" s="2712" t="s">
        <v>825</v>
      </c>
      <c r="B2023" s="371">
        <v>5</v>
      </c>
      <c r="C2023" s="371"/>
      <c r="D2023" s="2714" t="str">
        <f>VLOOKUP($A2023,Sheet_NoteList,2,0)</f>
        <v>可供出售权益工具公允价值严重下跌或非暂时性下跌但未计提减值准备的相关说明</v>
      </c>
      <c r="E2023" s="2714" t="s">
        <v>2742</v>
      </c>
      <c r="F2023" s="294"/>
      <c r="G2023" s="372" t="str">
        <f>"("&amp;B2023&amp;")"&amp;D2023</f>
        <v>(5)可供出售权益工具公允价值严重下跌或非暂时性下跌但未计提减值准备的相关说明</v>
      </c>
      <c r="H2023" s="1515" t="str">
        <f>$A2023</f>
        <v>1503g</v>
      </c>
      <c r="I2023" s="343" t="s">
        <v>2743</v>
      </c>
      <c r="J2023" s="301"/>
      <c r="K2023" s="3083"/>
      <c r="L2023" s="315"/>
      <c r="M2023" s="301"/>
      <c r="N2023" s="3083"/>
      <c r="O2023" s="315"/>
      <c r="P2023" s="301"/>
      <c r="Q2023" s="290" t="str">
        <f>IF($I2023="不适用","",IF(ROUND(SUM($H$2026:$M$2031),2)=0,"请输入",""))</f>
        <v>请输入</v>
      </c>
      <c r="S2023" s="364"/>
      <c r="Z2023" s="609" t="s">
        <v>806</v>
      </c>
      <c r="AA2023" s="609" t="s">
        <v>3380</v>
      </c>
    </row>
    <row r="2024" spans="1:31" ht="0.75" customHeight="1" thickBot="1">
      <c r="A2024" s="2712"/>
      <c r="B2024" s="371">
        <v>1.0999999999999999E-2</v>
      </c>
      <c r="C2024" s="371"/>
      <c r="D2024" s="371"/>
      <c r="E2024" s="586"/>
      <c r="F2024" s="518"/>
      <c r="G2024" s="518" t="s">
        <v>3390</v>
      </c>
      <c r="H2024" s="304" t="s">
        <v>3391</v>
      </c>
      <c r="I2024" s="304" t="s">
        <v>2845</v>
      </c>
      <c r="J2024" s="304" t="s">
        <v>3392</v>
      </c>
      <c r="K2024" s="304" t="s">
        <v>3393</v>
      </c>
      <c r="L2024" s="304" t="s">
        <v>3394</v>
      </c>
      <c r="M2024" s="304" t="s">
        <v>3395</v>
      </c>
      <c r="N2024" s="291"/>
      <c r="O2024" s="291"/>
      <c r="P2024" s="291"/>
      <c r="S2024" s="364"/>
      <c r="Z2024" s="609" t="s">
        <v>806</v>
      </c>
      <c r="AA2024" s="609" t="s">
        <v>3380</v>
      </c>
    </row>
    <row r="2025" spans="1:31" ht="36">
      <c r="A2025" s="2712"/>
      <c r="B2025" s="371"/>
      <c r="C2025" s="371"/>
      <c r="D2025" s="371"/>
      <c r="E2025" s="586" t="s">
        <v>2749</v>
      </c>
      <c r="F2025" s="363"/>
      <c r="G2025" s="2287" t="s">
        <v>3396</v>
      </c>
      <c r="H2025" s="2289" t="s">
        <v>3397</v>
      </c>
      <c r="I2025" s="2289" t="str">
        <f>$W$3&amp;"公允价值"</f>
        <v>2018年12月31日公允价值</v>
      </c>
      <c r="J2025" s="2289" t="s">
        <v>3398</v>
      </c>
      <c r="K2025" s="2289" t="s">
        <v>3399</v>
      </c>
      <c r="L2025" s="2289" t="s">
        <v>3373</v>
      </c>
      <c r="M2025" s="2291" t="s">
        <v>3400</v>
      </c>
      <c r="N2025" s="355" t="s">
        <v>5277</v>
      </c>
      <c r="P2025" s="291"/>
      <c r="S2025" s="364"/>
      <c r="Z2025" s="609" t="s">
        <v>806</v>
      </c>
      <c r="AA2025" s="609" t="s">
        <v>3380</v>
      </c>
    </row>
    <row r="2026" spans="1:31" ht="18">
      <c r="A2026" s="2712"/>
      <c r="B2026" s="371">
        <v>101</v>
      </c>
      <c r="C2026" s="371" t="s">
        <v>2791</v>
      </c>
      <c r="D2026" s="2714">
        <f t="shared" ref="D2026:D2031" si="203">IF(OR(G2026="*",G2026="",G2026=0),0,COUNTIF($G$2026:$G$2031,G2026))</f>
        <v>0</v>
      </c>
      <c r="E2026" s="2719">
        <v>1</v>
      </c>
      <c r="F2026" s="294"/>
      <c r="G2026" s="2282" t="s">
        <v>2792</v>
      </c>
      <c r="H2026" s="2273"/>
      <c r="I2026" s="2273"/>
      <c r="J2026" s="2296"/>
      <c r="K2026" s="2296"/>
      <c r="L2026" s="2273"/>
      <c r="M2026" s="2274"/>
      <c r="P2026" s="291"/>
      <c r="Q2026" s="367"/>
      <c r="R2026" s="367"/>
      <c r="S2026" s="364"/>
      <c r="Z2026" s="609" t="s">
        <v>806</v>
      </c>
      <c r="AA2026" s="609" t="s">
        <v>3380</v>
      </c>
    </row>
    <row r="2027" spans="1:31" ht="18">
      <c r="A2027" s="2712"/>
      <c r="B2027" s="371">
        <v>102</v>
      </c>
      <c r="C2027" s="371" t="s">
        <v>2791</v>
      </c>
      <c r="D2027" s="2714">
        <f t="shared" si="203"/>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2"/>
      <c r="B2028" s="371">
        <v>103</v>
      </c>
      <c r="C2028" s="371" t="s">
        <v>2791</v>
      </c>
      <c r="D2028" s="2714">
        <f t="shared" si="203"/>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8">
      <c r="A2029" s="2712"/>
      <c r="B2029" s="371">
        <v>104</v>
      </c>
      <c r="C2029" s="371" t="s">
        <v>2791</v>
      </c>
      <c r="D2029" s="2714">
        <f t="shared" si="203"/>
        <v>0</v>
      </c>
      <c r="E2029" s="2719">
        <v>1</v>
      </c>
      <c r="F2029" s="294"/>
      <c r="G2029" s="2282" t="s">
        <v>2792</v>
      </c>
      <c r="H2029" s="2273"/>
      <c r="I2029" s="2273"/>
      <c r="J2029" s="2296"/>
      <c r="K2029" s="2296"/>
      <c r="L2029" s="2273"/>
      <c r="M2029" s="2274"/>
      <c r="P2029" s="291"/>
      <c r="Q2029" s="367"/>
      <c r="R2029" s="367"/>
      <c r="S2029" s="364"/>
      <c r="Z2029" s="609" t="s">
        <v>806</v>
      </c>
      <c r="AA2029" s="609" t="s">
        <v>3380</v>
      </c>
    </row>
    <row r="2030" spans="1:31" ht="18">
      <c r="A2030" s="2712"/>
      <c r="B2030" s="371">
        <v>105</v>
      </c>
      <c r="C2030" s="371" t="s">
        <v>2791</v>
      </c>
      <c r="D2030" s="2714">
        <f t="shared" si="203"/>
        <v>0</v>
      </c>
      <c r="E2030" s="2719">
        <v>1</v>
      </c>
      <c r="F2030" s="294"/>
      <c r="G2030" s="2282" t="s">
        <v>2792</v>
      </c>
      <c r="H2030" s="2273"/>
      <c r="I2030" s="2273"/>
      <c r="J2030" s="2296"/>
      <c r="K2030" s="2296"/>
      <c r="L2030" s="2273"/>
      <c r="M2030" s="2274"/>
      <c r="P2030" s="291"/>
      <c r="Q2030" s="367"/>
      <c r="R2030" s="367"/>
      <c r="S2030" s="364"/>
      <c r="Z2030" s="609" t="s">
        <v>806</v>
      </c>
      <c r="AA2030" s="609" t="s">
        <v>3380</v>
      </c>
    </row>
    <row r="2031" spans="1:31" ht="18.75" thickBot="1">
      <c r="A2031" s="2712"/>
      <c r="B2031" s="371"/>
      <c r="C2031" s="371"/>
      <c r="D2031" s="2714">
        <f t="shared" si="203"/>
        <v>1</v>
      </c>
      <c r="E2031" s="2719" t="s">
        <v>3032</v>
      </c>
      <c r="F2031" s="294"/>
      <c r="G2031" s="2232" t="s">
        <v>2752</v>
      </c>
      <c r="H2031" s="2233">
        <f>SUMPRODUCT($E2025:$E2030,H2025:H2030)</f>
        <v>0</v>
      </c>
      <c r="I2031" s="2233">
        <f>SUMPRODUCT($E2025:$E2030,I2025:I2030)</f>
        <v>0</v>
      </c>
      <c r="J2031" s="2239"/>
      <c r="K2031" s="2239"/>
      <c r="L2031" s="2233">
        <f>SUMPRODUCT($E2025:$E2030,L2025:L2030)</f>
        <v>0</v>
      </c>
      <c r="M2031" s="2311">
        <f>SUMPRODUCT($E2025:$E2028,M2025:M2028)</f>
        <v>0</v>
      </c>
      <c r="P2031" s="291"/>
      <c r="Q2031" s="367"/>
      <c r="R2031" s="367"/>
      <c r="S2031" s="364"/>
      <c r="Z2031" s="609" t="s">
        <v>806</v>
      </c>
      <c r="AA2031" s="609" t="s">
        <v>3380</v>
      </c>
    </row>
    <row r="2032" spans="1:31" ht="18">
      <c r="A2032" s="2712"/>
      <c r="B2032" s="371"/>
      <c r="C2032" s="371" t="s">
        <v>2755</v>
      </c>
      <c r="D2032" s="371"/>
      <c r="F2032" s="294"/>
      <c r="G2032" s="301"/>
      <c r="H2032" s="315"/>
      <c r="I2032" s="315"/>
      <c r="J2032" s="393"/>
      <c r="K2032" s="393"/>
      <c r="L2032" s="315"/>
      <c r="M2032" s="393"/>
      <c r="P2032" s="291"/>
      <c r="Q2032" s="367"/>
      <c r="R2032" s="367"/>
      <c r="S2032" s="364"/>
      <c r="Z2032" s="609" t="s">
        <v>806</v>
      </c>
      <c r="AA2032" s="609" t="s">
        <v>3380</v>
      </c>
    </row>
    <row r="2033" spans="1:29" ht="17.25">
      <c r="A2033" s="2713">
        <v>1508</v>
      </c>
      <c r="B2033" s="371">
        <v>16</v>
      </c>
      <c r="C2033" s="2714" t="str">
        <f>VLOOKUP($A2033,Sheet_Items,2,0)</f>
        <v>其他债权投资</v>
      </c>
      <c r="D2033" s="371"/>
      <c r="E2033" s="2714" t="s">
        <v>2739</v>
      </c>
      <c r="F2033" s="293"/>
      <c r="G2033" s="305" t="str">
        <f>B2033&amp;" "&amp;C2033</f>
        <v>16 其他债权投资</v>
      </c>
      <c r="H2033" s="306"/>
      <c r="I2033" s="306"/>
      <c r="J2033" s="306" t="s">
        <v>2740</v>
      </c>
      <c r="K2033" s="341">
        <f>VLOOKUP($A2033,Sheet_Trialbal,6,0)</f>
        <v>0</v>
      </c>
      <c r="L2033" s="342"/>
      <c r="M2033" s="306" t="s">
        <v>2741</v>
      </c>
      <c r="N2033" s="341">
        <f>VLOOKUP($A2033,Sheet_Trialbal,10,0)</f>
        <v>0</v>
      </c>
      <c r="O2033" s="342"/>
      <c r="P2033" s="301"/>
      <c r="S2033" s="364"/>
      <c r="Z2033" s="609" t="s">
        <v>849</v>
      </c>
      <c r="AA2033" s="609" t="s">
        <v>3401</v>
      </c>
    </row>
    <row r="2034" spans="1:29" ht="18">
      <c r="A2034" s="2712" t="s">
        <v>847</v>
      </c>
      <c r="B2034" s="371">
        <v>1</v>
      </c>
      <c r="C2034" s="371"/>
      <c r="D2034" s="2714" t="str">
        <f>VLOOKUP($A2034,Sheet_NoteList,2,0)</f>
        <v>其他债权投资情况</v>
      </c>
      <c r="E2034" s="2714" t="s">
        <v>2742</v>
      </c>
      <c r="F2034" s="293"/>
      <c r="G2034" s="372" t="str">
        <f>"("&amp;B2034&amp;")"&amp;D2034</f>
        <v>(1)其他债权投资情况</v>
      </c>
      <c r="H2034" s="1515" t="str">
        <f>$A2034</f>
        <v>1508a</v>
      </c>
      <c r="I2034" s="343" t="s">
        <v>2743</v>
      </c>
      <c r="J2034" s="301" t="s">
        <v>2744</v>
      </c>
      <c r="K2034" s="2208">
        <f>M2048</f>
        <v>0</v>
      </c>
      <c r="L2034" s="349" t="str">
        <f>IF($I2034="适用",IF(ROUND(K$2033-K2034,2)=0,"F/S",ROUND(K$2033-K2034,2)),"#N/A")</f>
        <v>F/S</v>
      </c>
      <c r="M2034" s="301" t="s">
        <v>2745</v>
      </c>
      <c r="N2034" s="2208">
        <f>H2048</f>
        <v>0</v>
      </c>
      <c r="O2034" s="349" t="str">
        <f>IF($I2034="适用",IF(ROUND(N$2033-N2034,2)=0,"F/S",ROUND(N$2033-N2034,2)),"#N/A")</f>
        <v>F/S</v>
      </c>
      <c r="P2034" s="301"/>
      <c r="S2034" s="364"/>
      <c r="Z2034" s="609" t="s">
        <v>849</v>
      </c>
      <c r="AA2034" s="609" t="s">
        <v>3401</v>
      </c>
    </row>
    <row r="2035" spans="1:29" ht="0.75" customHeight="1" thickBot="1">
      <c r="A2035" s="2712"/>
      <c r="B2035" s="371"/>
      <c r="C2035" s="371"/>
      <c r="D2035" s="2714"/>
      <c r="E2035" s="586"/>
      <c r="F2035" s="586"/>
      <c r="G2035" s="2222" t="s">
        <v>3402</v>
      </c>
      <c r="H2035" s="371" t="s">
        <v>2747</v>
      </c>
      <c r="I2035" s="371" t="s">
        <v>2748</v>
      </c>
      <c r="J2035" s="371" t="s">
        <v>2948</v>
      </c>
      <c r="K2035" s="547" t="s">
        <v>3403</v>
      </c>
      <c r="L2035" s="547" t="s">
        <v>3404</v>
      </c>
      <c r="M2035" s="371" t="s">
        <v>3167</v>
      </c>
      <c r="N2035" s="547" t="s">
        <v>3037</v>
      </c>
      <c r="O2035" s="547" t="s">
        <v>3405</v>
      </c>
      <c r="P2035" s="371" t="s">
        <v>3406</v>
      </c>
      <c r="Q2035" s="543" t="s">
        <v>3407</v>
      </c>
      <c r="S2035" s="364"/>
      <c r="Z2035" s="609" t="s">
        <v>849</v>
      </c>
      <c r="AA2035" s="609" t="s">
        <v>3401</v>
      </c>
    </row>
    <row r="2036" spans="1:29" ht="36">
      <c r="A2036" s="2712"/>
      <c r="B2036" s="371"/>
      <c r="C2036" s="371"/>
      <c r="D2036" s="2714"/>
      <c r="E2036" s="586" t="s">
        <v>2749</v>
      </c>
      <c r="F2036" s="414"/>
      <c r="G2036" s="2287" t="s">
        <v>5132</v>
      </c>
      <c r="H2036" s="2289" t="str">
        <f>$W$3&amp;"公允价值"</f>
        <v>2018年12月31日公允价值</v>
      </c>
      <c r="I2036" s="2289" t="s">
        <v>2918</v>
      </c>
      <c r="J2036" s="2289" t="s">
        <v>3408</v>
      </c>
      <c r="K2036" s="2309" t="s">
        <v>3409</v>
      </c>
      <c r="L2036" s="2309" t="s">
        <v>3410</v>
      </c>
      <c r="M2036" s="2289" t="str">
        <f>$W$2&amp;"公允价值"</f>
        <v>2019年12月31日公允价值</v>
      </c>
      <c r="N2036" s="2309" t="s">
        <v>3411</v>
      </c>
      <c r="O2036" s="2309" t="s">
        <v>3412</v>
      </c>
      <c r="P2036" s="2289" t="s">
        <v>3413</v>
      </c>
      <c r="Q2036" s="2291" t="s">
        <v>2508</v>
      </c>
      <c r="R2036" s="355" t="s">
        <v>5278</v>
      </c>
      <c r="S2036" s="364"/>
      <c r="Z2036" s="609" t="s">
        <v>849</v>
      </c>
      <c r="AA2036" s="609" t="s">
        <v>3401</v>
      </c>
    </row>
    <row r="2037" spans="1:29" ht="18">
      <c r="A2037" s="2712"/>
      <c r="B2037" s="371">
        <v>101</v>
      </c>
      <c r="C2037" s="371"/>
      <c r="D2037" s="2714">
        <f t="shared" ref="D2037:D2048" si="204">IF(OR(G2037="*",G2037="",G2037=0),0,COUNTIF($G$2037:$G$2048,G2037))</f>
        <v>1</v>
      </c>
      <c r="E2037" s="2719" t="s">
        <v>2939</v>
      </c>
      <c r="F2037" s="293"/>
      <c r="G2037" s="1472" t="s">
        <v>3414</v>
      </c>
      <c r="H2037" s="2297">
        <v>0</v>
      </c>
      <c r="I2037" s="2273"/>
      <c r="J2037" s="2273">
        <f>H2037+I2037</f>
        <v>0</v>
      </c>
      <c r="K2037" s="2273"/>
      <c r="L2037" s="2273"/>
      <c r="M2037" s="2273">
        <f>J2037+K2037+L2037</f>
        <v>0</v>
      </c>
      <c r="N2037" s="2273"/>
      <c r="O2037" s="2273"/>
      <c r="P2037" s="2273"/>
      <c r="Q2037" s="2274"/>
      <c r="S2037" s="364"/>
      <c r="Z2037" s="609" t="s">
        <v>849</v>
      </c>
      <c r="AA2037" s="609" t="s">
        <v>3401</v>
      </c>
    </row>
    <row r="2038" spans="1:29" ht="18">
      <c r="A2038" s="2712"/>
      <c r="B2038" s="371">
        <v>101.001</v>
      </c>
      <c r="C2038" s="371"/>
      <c r="D2038" s="2714">
        <f t="shared" si="204"/>
        <v>1</v>
      </c>
      <c r="E2038" s="2719" t="s">
        <v>2939</v>
      </c>
      <c r="F2038" s="293"/>
      <c r="G2038" s="1472" t="s">
        <v>3415</v>
      </c>
      <c r="H2038" s="2297">
        <v>0</v>
      </c>
      <c r="I2038" s="2273"/>
      <c r="J2038" s="2273">
        <f t="shared" ref="J2038:J2047" si="205">H2038+I2038</f>
        <v>0</v>
      </c>
      <c r="K2038" s="2273"/>
      <c r="L2038" s="2273"/>
      <c r="M2038" s="2273">
        <f t="shared" ref="M2038:M2047" si="206">J2038+K2038+L2038</f>
        <v>0</v>
      </c>
      <c r="N2038" s="2273"/>
      <c r="O2038" s="2273"/>
      <c r="P2038" s="2273"/>
      <c r="Q2038" s="2274"/>
      <c r="S2038" s="364"/>
      <c r="Z2038" s="609" t="s">
        <v>849</v>
      </c>
      <c r="AA2038" s="609" t="s">
        <v>3401</v>
      </c>
    </row>
    <row r="2039" spans="1:29" ht="18">
      <c r="A2039" s="2712"/>
      <c r="B2039" s="371">
        <v>101.002</v>
      </c>
      <c r="C2039" s="371"/>
      <c r="D2039" s="2714">
        <f t="shared" si="204"/>
        <v>1</v>
      </c>
      <c r="E2039" s="2719" t="s">
        <v>2939</v>
      </c>
      <c r="F2039" s="293"/>
      <c r="G2039" s="1472" t="s">
        <v>3416</v>
      </c>
      <c r="H2039" s="2297">
        <v>0</v>
      </c>
      <c r="I2039" s="2273"/>
      <c r="J2039" s="2273">
        <f t="shared" si="205"/>
        <v>0</v>
      </c>
      <c r="K2039" s="2273"/>
      <c r="L2039" s="2273"/>
      <c r="M2039" s="2273">
        <f t="shared" si="206"/>
        <v>0</v>
      </c>
      <c r="N2039" s="2273"/>
      <c r="O2039" s="2273"/>
      <c r="P2039" s="2273"/>
      <c r="Q2039" s="2274"/>
      <c r="S2039" s="364"/>
      <c r="Z2039" s="609" t="s">
        <v>849</v>
      </c>
      <c r="AA2039" s="609" t="s">
        <v>3401</v>
      </c>
    </row>
    <row r="2040" spans="1:29" ht="18">
      <c r="A2040" s="2712"/>
      <c r="B2040" s="371">
        <v>101.003</v>
      </c>
      <c r="C2040" s="371"/>
      <c r="D2040" s="2714">
        <f t="shared" si="204"/>
        <v>1</v>
      </c>
      <c r="E2040" s="2719" t="s">
        <v>2939</v>
      </c>
      <c r="F2040" s="293"/>
      <c r="G2040" s="1472" t="s">
        <v>3417</v>
      </c>
      <c r="H2040" s="2297">
        <v>0</v>
      </c>
      <c r="I2040" s="2273"/>
      <c r="J2040" s="2273">
        <f t="shared" si="205"/>
        <v>0</v>
      </c>
      <c r="K2040" s="2273"/>
      <c r="L2040" s="2273"/>
      <c r="M2040" s="2273">
        <f t="shared" si="206"/>
        <v>0</v>
      </c>
      <c r="N2040" s="2273"/>
      <c r="O2040" s="2273"/>
      <c r="P2040" s="2273"/>
      <c r="Q2040" s="2274"/>
      <c r="S2040" s="364"/>
      <c r="Z2040" s="609" t="s">
        <v>849</v>
      </c>
      <c r="AA2040" s="609" t="s">
        <v>3401</v>
      </c>
    </row>
    <row r="2041" spans="1:29" ht="18">
      <c r="A2041" s="2712"/>
      <c r="B2041" s="371">
        <v>101.004</v>
      </c>
      <c r="C2041" s="371"/>
      <c r="D2041" s="2714">
        <f t="shared" si="204"/>
        <v>1</v>
      </c>
      <c r="E2041" s="2719" t="s">
        <v>2939</v>
      </c>
      <c r="F2041" s="293"/>
      <c r="G2041" s="1472" t="s">
        <v>3418</v>
      </c>
      <c r="H2041" s="2297">
        <v>0</v>
      </c>
      <c r="I2041" s="2273"/>
      <c r="J2041" s="2273">
        <f t="shared" si="205"/>
        <v>0</v>
      </c>
      <c r="K2041" s="2273"/>
      <c r="L2041" s="2273"/>
      <c r="M2041" s="2273">
        <f t="shared" si="206"/>
        <v>0</v>
      </c>
      <c r="N2041" s="2273"/>
      <c r="O2041" s="2273"/>
      <c r="P2041" s="2273"/>
      <c r="Q2041" s="2274"/>
      <c r="S2041" s="364"/>
      <c r="Z2041" s="609" t="s">
        <v>849</v>
      </c>
      <c r="AA2041" s="609" t="s">
        <v>3401</v>
      </c>
    </row>
    <row r="2042" spans="1:29" ht="18">
      <c r="A2042" s="2712"/>
      <c r="B2042" s="371">
        <v>101.005</v>
      </c>
      <c r="C2042" s="371"/>
      <c r="D2042" s="2714">
        <f t="shared" si="204"/>
        <v>1</v>
      </c>
      <c r="E2042" s="2719" t="s">
        <v>2939</v>
      </c>
      <c r="F2042" s="293"/>
      <c r="G2042" s="1472" t="s">
        <v>3419</v>
      </c>
      <c r="H2042" s="2297">
        <v>0</v>
      </c>
      <c r="I2042" s="2273"/>
      <c r="J2042" s="2273">
        <f t="shared" si="205"/>
        <v>0</v>
      </c>
      <c r="K2042" s="2273"/>
      <c r="L2042" s="2273"/>
      <c r="M2042" s="2273">
        <f t="shared" si="206"/>
        <v>0</v>
      </c>
      <c r="N2042" s="2273"/>
      <c r="O2042" s="2273"/>
      <c r="P2042" s="2273"/>
      <c r="Q2042" s="2274"/>
      <c r="S2042" s="364"/>
      <c r="Z2042" s="609" t="s">
        <v>849</v>
      </c>
      <c r="AA2042" s="609" t="s">
        <v>3401</v>
      </c>
    </row>
    <row r="2043" spans="1:29" ht="18">
      <c r="A2043" s="2712"/>
      <c r="B2043" s="371">
        <v>101.006</v>
      </c>
      <c r="C2043" s="371"/>
      <c r="D2043" s="2714">
        <f t="shared" si="204"/>
        <v>1</v>
      </c>
      <c r="E2043" s="2719" t="s">
        <v>2939</v>
      </c>
      <c r="F2043" s="293"/>
      <c r="G2043" s="1472" t="s">
        <v>3420</v>
      </c>
      <c r="H2043" s="2297">
        <v>0</v>
      </c>
      <c r="I2043" s="2273"/>
      <c r="J2043" s="2273">
        <f t="shared" si="205"/>
        <v>0</v>
      </c>
      <c r="K2043" s="2273"/>
      <c r="L2043" s="2273"/>
      <c r="M2043" s="2273">
        <f t="shared" si="206"/>
        <v>0</v>
      </c>
      <c r="N2043" s="2273"/>
      <c r="O2043" s="2273"/>
      <c r="P2043" s="2273"/>
      <c r="Q2043" s="2274"/>
      <c r="S2043" s="364"/>
      <c r="Z2043" s="609" t="s">
        <v>849</v>
      </c>
      <c r="AA2043" s="609" t="s">
        <v>3401</v>
      </c>
    </row>
    <row r="2044" spans="1:29" ht="18">
      <c r="A2044" s="2712"/>
      <c r="B2044" s="371">
        <v>101.00700000000001</v>
      </c>
      <c r="C2044" s="371"/>
      <c r="D2044" s="2714">
        <f t="shared" si="204"/>
        <v>1</v>
      </c>
      <c r="E2044" s="2719" t="s">
        <v>2939</v>
      </c>
      <c r="F2044" s="293"/>
      <c r="G2044" s="1472" t="s">
        <v>932</v>
      </c>
      <c r="H2044" s="2297">
        <v>0</v>
      </c>
      <c r="I2044" s="2273"/>
      <c r="J2044" s="2273">
        <f t="shared" si="205"/>
        <v>0</v>
      </c>
      <c r="K2044" s="2273"/>
      <c r="L2044" s="2273"/>
      <c r="M2044" s="2273">
        <f t="shared" si="206"/>
        <v>0</v>
      </c>
      <c r="N2044" s="2273"/>
      <c r="O2044" s="2273"/>
      <c r="P2044" s="2273"/>
      <c r="Q2044" s="2274"/>
      <c r="S2044" s="364"/>
      <c r="Z2044" s="609" t="s">
        <v>849</v>
      </c>
      <c r="AA2044" s="609" t="s">
        <v>3401</v>
      </c>
    </row>
    <row r="2045" spans="1:29" ht="18">
      <c r="A2045" s="2712"/>
      <c r="B2045" s="371">
        <v>101.008</v>
      </c>
      <c r="C2045" s="371" t="s">
        <v>2791</v>
      </c>
      <c r="D2045" s="2714">
        <f t="shared" si="204"/>
        <v>0</v>
      </c>
      <c r="E2045" s="2719" t="s">
        <v>2939</v>
      </c>
      <c r="F2045" s="293"/>
      <c r="G2045" s="2282" t="s">
        <v>2792</v>
      </c>
      <c r="H2045" s="2297">
        <v>0</v>
      </c>
      <c r="I2045" s="2273"/>
      <c r="J2045" s="2273">
        <f t="shared" si="205"/>
        <v>0</v>
      </c>
      <c r="K2045" s="2273"/>
      <c r="L2045" s="2273"/>
      <c r="M2045" s="2273">
        <f t="shared" si="206"/>
        <v>0</v>
      </c>
      <c r="N2045" s="2273"/>
      <c r="O2045" s="2273"/>
      <c r="P2045" s="2273"/>
      <c r="Q2045" s="2274"/>
      <c r="S2045" s="364"/>
      <c r="Z2045" s="609" t="s">
        <v>849</v>
      </c>
      <c r="AA2045" s="609" t="s">
        <v>3401</v>
      </c>
    </row>
    <row r="2046" spans="1:29" ht="18">
      <c r="A2046" s="2712"/>
      <c r="B2046" s="371">
        <v>102</v>
      </c>
      <c r="C2046" s="371" t="s">
        <v>2793</v>
      </c>
      <c r="D2046" s="2714">
        <f t="shared" si="204"/>
        <v>1</v>
      </c>
      <c r="E2046" s="2719">
        <v>1</v>
      </c>
      <c r="F2046" s="293"/>
      <c r="G2046" s="1472" t="s">
        <v>2939</v>
      </c>
      <c r="H2046" s="2333">
        <v>0</v>
      </c>
      <c r="I2046" s="1474">
        <f t="shared" ref="I2046:P2046" si="207">SUMIF($E$2036:$E$2047,$G2046,I$2036:I$2047)</f>
        <v>0</v>
      </c>
      <c r="J2046" s="1474">
        <f t="shared" si="207"/>
        <v>0</v>
      </c>
      <c r="K2046" s="1474">
        <f t="shared" si="207"/>
        <v>0</v>
      </c>
      <c r="L2046" s="1474">
        <f t="shared" si="207"/>
        <v>0</v>
      </c>
      <c r="M2046" s="1474">
        <f t="shared" si="207"/>
        <v>0</v>
      </c>
      <c r="N2046" s="1474">
        <f t="shared" si="207"/>
        <v>0</v>
      </c>
      <c r="O2046" s="1474">
        <f t="shared" si="207"/>
        <v>0</v>
      </c>
      <c r="P2046" s="1474">
        <f t="shared" si="207"/>
        <v>0</v>
      </c>
      <c r="Q2046" s="2274"/>
      <c r="S2046" s="364"/>
      <c r="Z2046" s="609" t="s">
        <v>849</v>
      </c>
      <c r="AA2046" s="609" t="s">
        <v>3401</v>
      </c>
    </row>
    <row r="2047" spans="1:29" ht="24">
      <c r="A2047" s="2712"/>
      <c r="B2047" s="371">
        <v>103</v>
      </c>
      <c r="C2047" s="371"/>
      <c r="D2047" s="2714">
        <f t="shared" si="204"/>
        <v>1</v>
      </c>
      <c r="E2047" s="2719">
        <v>-1</v>
      </c>
      <c r="F2047" s="293"/>
      <c r="G2047" s="1472" t="s">
        <v>3421</v>
      </c>
      <c r="H2047" s="2273"/>
      <c r="I2047" s="2273"/>
      <c r="J2047" s="2273">
        <f t="shared" si="205"/>
        <v>0</v>
      </c>
      <c r="K2047" s="2273"/>
      <c r="L2047" s="2273"/>
      <c r="M2047" s="2273">
        <f t="shared" si="206"/>
        <v>0</v>
      </c>
      <c r="N2047" s="2273"/>
      <c r="O2047" s="2273"/>
      <c r="P2047" s="2273"/>
      <c r="Q2047" s="2274"/>
      <c r="R2047" s="1596" t="str">
        <f ca="1">HYPERLINK("#'"&amp;$G$1&amp;"'!"&amp;ADDRESS(ROW(Notes!K1796),COLUMN(Notes!K1796),4),"* 请勿删除此行！点击往勾稽单元格，F5+Enter返回")</f>
        <v>* 请勿删除此行！点击往勾稽单元格，F5+Enter返回</v>
      </c>
      <c r="S2047" s="364"/>
      <c r="Z2047" s="609" t="s">
        <v>849</v>
      </c>
      <c r="AA2047" s="609" t="s">
        <v>3401</v>
      </c>
      <c r="AC2047" s="369" t="s">
        <v>6571</v>
      </c>
    </row>
    <row r="2048" spans="1:29" ht="18.75" thickBot="1">
      <c r="A2048" s="2712"/>
      <c r="B2048" s="371"/>
      <c r="C2048" s="371"/>
      <c r="D2048" s="2714">
        <f t="shared" si="204"/>
        <v>1</v>
      </c>
      <c r="E2048" s="2719" t="s">
        <v>2751</v>
      </c>
      <c r="F2048" s="293"/>
      <c r="G2048" s="2232" t="s">
        <v>5139</v>
      </c>
      <c r="H2048" s="2334">
        <v>0</v>
      </c>
      <c r="I2048" s="2233">
        <f t="shared" ref="I2048:P2048" si="208">SUMPRODUCT($E2036:$E2047,I2036:I2047)</f>
        <v>0</v>
      </c>
      <c r="J2048" s="2233">
        <f t="shared" si="208"/>
        <v>0</v>
      </c>
      <c r="K2048" s="2233">
        <f t="shared" si="208"/>
        <v>0</v>
      </c>
      <c r="L2048" s="2233">
        <f t="shared" si="208"/>
        <v>0</v>
      </c>
      <c r="M2048" s="2233">
        <f t="shared" si="208"/>
        <v>0</v>
      </c>
      <c r="N2048" s="2233">
        <f t="shared" si="208"/>
        <v>0</v>
      </c>
      <c r="O2048" s="2233">
        <f t="shared" si="208"/>
        <v>0</v>
      </c>
      <c r="P2048" s="2233">
        <f t="shared" si="208"/>
        <v>0</v>
      </c>
      <c r="Q2048" s="2242"/>
      <c r="R2048" s="1596" t="str">
        <f ca="1">HYPERLINK("#'"&amp;$G$1&amp;"'!"&amp;ADDRESS(ROW(Notes!I2075),COLUMN(Notes!I2075),4),"* 请勿删除此行！点击往勾稽单元格，F5+Enter返回")</f>
        <v>* 请勿删除此行！点击往勾稽单元格，F5+Enter返回</v>
      </c>
      <c r="S2048" s="364"/>
      <c r="Z2048" s="609" t="s">
        <v>849</v>
      </c>
      <c r="AA2048" s="609" t="s">
        <v>3401</v>
      </c>
      <c r="AC2048" s="369" t="s">
        <v>2794</v>
      </c>
    </row>
    <row r="2049" spans="1:27" ht="18">
      <c r="A2049" s="2712"/>
      <c r="B2049" s="371"/>
      <c r="C2049" s="371" t="s">
        <v>2755</v>
      </c>
      <c r="D2049" s="2714"/>
      <c r="F2049" s="293"/>
      <c r="G2049" s="376"/>
      <c r="H2049" s="315"/>
      <c r="I2049" s="396"/>
      <c r="J2049" s="315"/>
      <c r="K2049" s="423"/>
      <c r="L2049" s="315"/>
      <c r="M2049" s="315"/>
      <c r="N2049" s="423"/>
      <c r="O2049" s="315"/>
      <c r="P2049" s="315"/>
      <c r="Q2049" s="545"/>
      <c r="S2049" s="364"/>
      <c r="Z2049" s="609" t="s">
        <v>849</v>
      </c>
      <c r="AA2049" s="609" t="s">
        <v>3401</v>
      </c>
    </row>
    <row r="2050" spans="1:27" ht="24">
      <c r="A2050" s="2712" t="s">
        <v>853</v>
      </c>
      <c r="B2050" s="371">
        <v>2</v>
      </c>
      <c r="C2050" s="371"/>
      <c r="D2050" s="2714" t="str">
        <f>VLOOKUP($A2050,Sheet_NoteList,2,0)</f>
        <v>期末重要的其他债权投资</v>
      </c>
      <c r="E2050" s="2714" t="s">
        <v>2742</v>
      </c>
      <c r="F2050" s="293"/>
      <c r="G2050" s="372" t="str">
        <f>"("&amp;B2050&amp;")"&amp;D2050</f>
        <v>(2)期末重要的其他债权投资</v>
      </c>
      <c r="H2050" s="1515" t="str">
        <f>$A2050</f>
        <v>1508b</v>
      </c>
      <c r="I2050" s="343" t="s">
        <v>2743</v>
      </c>
      <c r="J2050" s="301" t="s">
        <v>2744</v>
      </c>
      <c r="K2050" s="2208">
        <f>H2063</f>
        <v>0</v>
      </c>
      <c r="L2050" s="349"/>
      <c r="M2050" s="301" t="s">
        <v>2745</v>
      </c>
      <c r="N2050" s="2208">
        <f>L2063</f>
        <v>0</v>
      </c>
      <c r="O2050" s="349"/>
      <c r="P2050" s="301"/>
      <c r="S2050" s="364"/>
      <c r="Z2050" s="609" t="s">
        <v>849</v>
      </c>
      <c r="AA2050" s="609" t="s">
        <v>3401</v>
      </c>
    </row>
    <row r="2051" spans="1:27" ht="0.75" customHeight="1">
      <c r="A2051" s="2712"/>
      <c r="B2051" s="371"/>
      <c r="C2051" s="371"/>
      <c r="D2051" s="2714"/>
      <c r="E2051" s="586"/>
      <c r="F2051" s="586"/>
      <c r="G2051" s="2222" t="s">
        <v>3422</v>
      </c>
      <c r="H2051" s="371" t="s">
        <v>2747</v>
      </c>
      <c r="I2051" s="371" t="s">
        <v>2947</v>
      </c>
      <c r="J2051" s="371" t="s">
        <v>3307</v>
      </c>
      <c r="K2051" s="547" t="s">
        <v>2898</v>
      </c>
      <c r="L2051" s="547" t="s">
        <v>2950</v>
      </c>
      <c r="M2051" s="371" t="s">
        <v>3308</v>
      </c>
      <c r="N2051" s="547" t="s">
        <v>3309</v>
      </c>
      <c r="O2051" s="547" t="s">
        <v>3310</v>
      </c>
      <c r="P2051" s="433"/>
      <c r="Q2051" s="442"/>
      <c r="R2051" s="443"/>
      <c r="S2051" s="364"/>
      <c r="Z2051" s="609" t="s">
        <v>849</v>
      </c>
      <c r="AA2051" s="609" t="s">
        <v>3401</v>
      </c>
    </row>
    <row r="2052" spans="1:27" ht="0.75" customHeight="1" thickBot="1">
      <c r="A2052" s="2712"/>
      <c r="B2052" s="371"/>
      <c r="C2052" s="371"/>
      <c r="D2052" s="2714"/>
      <c r="E2052" s="586"/>
      <c r="F2052" s="586"/>
      <c r="G2052" s="2222"/>
      <c r="H2052" s="371" t="s">
        <v>3311</v>
      </c>
      <c r="I2052" s="371" t="s">
        <v>3312</v>
      </c>
      <c r="J2052" s="371" t="s">
        <v>3313</v>
      </c>
      <c r="K2052" s="547" t="s">
        <v>3314</v>
      </c>
      <c r="L2052" s="547" t="s">
        <v>3315</v>
      </c>
      <c r="M2052" s="371" t="s">
        <v>3316</v>
      </c>
      <c r="N2052" s="547" t="s">
        <v>3317</v>
      </c>
      <c r="O2052" s="547" t="s">
        <v>3318</v>
      </c>
      <c r="P2052" s="433"/>
      <c r="Q2052" s="442"/>
      <c r="R2052" s="443"/>
      <c r="S2052" s="364"/>
      <c r="Z2052" s="609" t="s">
        <v>849</v>
      </c>
      <c r="AA2052" s="609" t="s">
        <v>3401</v>
      </c>
    </row>
    <row r="2053" spans="1:27" ht="18" customHeight="1">
      <c r="A2053" s="2712"/>
      <c r="B2053" s="371"/>
      <c r="C2053" s="371"/>
      <c r="D2053" s="2714"/>
      <c r="E2053" s="586" t="s">
        <v>2749</v>
      </c>
      <c r="F2053" s="414"/>
      <c r="G2053" s="3462" t="s">
        <v>5132</v>
      </c>
      <c r="H2053" s="3470" t="str">
        <f>$V$2</f>
        <v>2019年12月31日</v>
      </c>
      <c r="I2053" s="3471"/>
      <c r="J2053" s="3471"/>
      <c r="K2053" s="3581"/>
      <c r="L2053" s="3582" t="str">
        <f>$V$3</f>
        <v>2018年12月31日</v>
      </c>
      <c r="M2053" s="3583"/>
      <c r="N2053" s="3583"/>
      <c r="O2053" s="3583"/>
      <c r="P2053" s="355" t="s">
        <v>5278</v>
      </c>
      <c r="Q2053" s="442"/>
      <c r="R2053" s="443"/>
      <c r="S2053" s="364"/>
      <c r="Z2053" s="609" t="s">
        <v>849</v>
      </c>
      <c r="AA2053" s="609" t="s">
        <v>3401</v>
      </c>
    </row>
    <row r="2054" spans="1:27" ht="18">
      <c r="A2054" s="2712"/>
      <c r="B2054" s="371"/>
      <c r="C2054" s="371"/>
      <c r="D2054" s="2714"/>
      <c r="E2054" s="586" t="s">
        <v>2749</v>
      </c>
      <c r="F2054" s="414"/>
      <c r="G2054" s="3463"/>
      <c r="H2054" s="2292" t="s">
        <v>3319</v>
      </c>
      <c r="I2054" s="2292" t="s">
        <v>3320</v>
      </c>
      <c r="J2054" s="2292" t="s">
        <v>3321</v>
      </c>
      <c r="K2054" s="2236" t="s">
        <v>3322</v>
      </c>
      <c r="L2054" s="2236" t="s">
        <v>3319</v>
      </c>
      <c r="M2054" s="2292" t="s">
        <v>3320</v>
      </c>
      <c r="N2054" s="2236" t="s">
        <v>3321</v>
      </c>
      <c r="O2054" s="2312" t="s">
        <v>3322</v>
      </c>
      <c r="P2054" s="435"/>
      <c r="Q2054" s="442"/>
      <c r="R2054" s="443"/>
      <c r="S2054" s="364"/>
      <c r="Z2054" s="609" t="s">
        <v>849</v>
      </c>
      <c r="AA2054" s="609" t="s">
        <v>3401</v>
      </c>
    </row>
    <row r="2055" spans="1:27" ht="18">
      <c r="A2055" s="2712"/>
      <c r="B2055" s="371">
        <v>101</v>
      </c>
      <c r="C2055" s="371" t="s">
        <v>2791</v>
      </c>
      <c r="D2055" s="2714">
        <f t="shared" ref="D2055:D2063" si="209">IF(OR(G2055="*",G2055="",G2055=0),0,COUNTIF($G$2055:$G$2063,G2055))</f>
        <v>0</v>
      </c>
      <c r="E2055" s="2719">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8">
      <c r="A2056" s="2712"/>
      <c r="B2056" s="371">
        <v>102</v>
      </c>
      <c r="C2056" s="371" t="s">
        <v>2791</v>
      </c>
      <c r="D2056" s="2714">
        <f t="shared" si="209"/>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8">
      <c r="A2057" s="2712"/>
      <c r="B2057" s="371">
        <v>103</v>
      </c>
      <c r="C2057" s="371" t="s">
        <v>2791</v>
      </c>
      <c r="D2057" s="2714">
        <f t="shared" si="209"/>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8">
      <c r="A2058" s="2712"/>
      <c r="B2058" s="371">
        <v>104</v>
      </c>
      <c r="C2058" s="371" t="s">
        <v>2791</v>
      </c>
      <c r="D2058" s="2714">
        <f t="shared" si="209"/>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8">
      <c r="A2059" s="2712"/>
      <c r="B2059" s="371">
        <v>105</v>
      </c>
      <c r="C2059" s="371" t="s">
        <v>2791</v>
      </c>
      <c r="D2059" s="2714">
        <f t="shared" si="209"/>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8">
      <c r="A2060" s="2712"/>
      <c r="B2060" s="371">
        <v>106</v>
      </c>
      <c r="C2060" s="371" t="s">
        <v>2791</v>
      </c>
      <c r="D2060" s="2714">
        <f t="shared" si="209"/>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8">
      <c r="A2061" s="2712"/>
      <c r="B2061" s="371">
        <v>107</v>
      </c>
      <c r="C2061" s="371" t="s">
        <v>2791</v>
      </c>
      <c r="D2061" s="2714">
        <f t="shared" si="209"/>
        <v>0</v>
      </c>
      <c r="E2061" s="2719">
        <v>1</v>
      </c>
      <c r="F2061" s="293"/>
      <c r="G2061" s="2282" t="s">
        <v>2792</v>
      </c>
      <c r="H2061" s="2273"/>
      <c r="I2061" s="2296"/>
      <c r="J2061" s="2296"/>
      <c r="K2061" s="2296"/>
      <c r="L2061" s="2297">
        <v>0</v>
      </c>
      <c r="M2061" s="2335">
        <v>0</v>
      </c>
      <c r="N2061" s="2335">
        <v>0</v>
      </c>
      <c r="O2061" s="2336">
        <v>0</v>
      </c>
      <c r="P2061" s="438"/>
      <c r="Q2061" s="442"/>
      <c r="R2061" s="443"/>
      <c r="S2061" s="364"/>
      <c r="Z2061" s="609" t="s">
        <v>849</v>
      </c>
      <c r="AA2061" s="609" t="s">
        <v>3401</v>
      </c>
    </row>
    <row r="2062" spans="1:27" ht="18">
      <c r="A2062" s="2712"/>
      <c r="B2062" s="371">
        <v>108</v>
      </c>
      <c r="C2062" s="371" t="s">
        <v>2791</v>
      </c>
      <c r="D2062" s="2714">
        <f t="shared" si="209"/>
        <v>0</v>
      </c>
      <c r="E2062" s="2719">
        <v>1</v>
      </c>
      <c r="F2062" s="293"/>
      <c r="G2062" s="2282" t="s">
        <v>2792</v>
      </c>
      <c r="H2062" s="2273"/>
      <c r="I2062" s="2296"/>
      <c r="J2062" s="2296"/>
      <c r="K2062" s="2296"/>
      <c r="L2062" s="2297">
        <v>0</v>
      </c>
      <c r="M2062" s="2335">
        <v>0</v>
      </c>
      <c r="N2062" s="2335">
        <v>0</v>
      </c>
      <c r="O2062" s="2336">
        <v>0</v>
      </c>
      <c r="P2062" s="438"/>
      <c r="Q2062" s="442"/>
      <c r="R2062" s="443"/>
      <c r="S2062" s="364"/>
      <c r="Z2062" s="609" t="s">
        <v>849</v>
      </c>
      <c r="AA2062" s="609" t="s">
        <v>3401</v>
      </c>
    </row>
    <row r="2063" spans="1:27" ht="18.75" thickBot="1">
      <c r="A2063" s="2712"/>
      <c r="B2063" s="371"/>
      <c r="C2063" s="371"/>
      <c r="D2063" s="2714">
        <f t="shared" si="209"/>
        <v>1</v>
      </c>
      <c r="E2063" s="2719" t="s">
        <v>2751</v>
      </c>
      <c r="F2063" s="293"/>
      <c r="G2063" s="2232" t="s">
        <v>5139</v>
      </c>
      <c r="H2063" s="2233">
        <f>SUMPRODUCT($E2054:$E2062,H2054:H2062)</f>
        <v>0</v>
      </c>
      <c r="I2063" s="2240"/>
      <c r="J2063" s="2240"/>
      <c r="K2063" s="2239"/>
      <c r="L2063" s="2334">
        <v>0</v>
      </c>
      <c r="M2063" s="2337">
        <v>0</v>
      </c>
      <c r="N2063" s="2337">
        <v>0</v>
      </c>
      <c r="O2063" s="2338">
        <v>0</v>
      </c>
      <c r="P2063" s="440"/>
      <c r="Q2063" s="442"/>
      <c r="R2063" s="443"/>
      <c r="S2063" s="364"/>
      <c r="Z2063" s="609" t="s">
        <v>849</v>
      </c>
      <c r="AA2063" s="609" t="s">
        <v>3401</v>
      </c>
    </row>
    <row r="2064" spans="1:27" ht="18">
      <c r="A2064" s="2712"/>
      <c r="B2064" s="371"/>
      <c r="C2064" s="371" t="s">
        <v>2755</v>
      </c>
      <c r="D2064" s="2714"/>
      <c r="F2064" s="293"/>
      <c r="G2064" s="376"/>
      <c r="H2064" s="315"/>
      <c r="I2064" s="432"/>
      <c r="J2064" s="393"/>
      <c r="K2064" s="392"/>
      <c r="L2064" s="315"/>
      <c r="M2064" s="393"/>
      <c r="N2064" s="392"/>
      <c r="O2064" s="393"/>
      <c r="P2064" s="425"/>
      <c r="Q2064" s="442"/>
      <c r="R2064" s="443"/>
      <c r="S2064" s="364"/>
      <c r="Z2064" s="609" t="s">
        <v>849</v>
      </c>
      <c r="AA2064" s="609" t="s">
        <v>3401</v>
      </c>
    </row>
    <row r="2065" spans="1:29" ht="36">
      <c r="A2065" s="2712" t="s">
        <v>859</v>
      </c>
      <c r="B2065" s="371">
        <v>3</v>
      </c>
      <c r="C2065" s="371"/>
      <c r="D2065" s="2714" t="str">
        <f>VLOOKUP($A2065,Sheet_NoteList,2,0)</f>
        <v>其他债权投资按减值计提方法分类披露（三阶段模型）</v>
      </c>
      <c r="E2065" s="2714" t="s">
        <v>2742</v>
      </c>
      <c r="F2065" s="293"/>
      <c r="G2065" s="372" t="str">
        <f>"("&amp;B2065&amp;")"&amp;D2065</f>
        <v>(3)其他债权投资按减值计提方法分类披露（三阶段模型）</v>
      </c>
      <c r="H2065" s="1515" t="str">
        <f>$A2065</f>
        <v>1508c</v>
      </c>
      <c r="I2065" s="343" t="s">
        <v>2743</v>
      </c>
      <c r="J2065" s="301" t="s">
        <v>2744</v>
      </c>
      <c r="K2065" s="2208">
        <f>I2072</f>
        <v>0</v>
      </c>
      <c r="L2065" s="349"/>
      <c r="M2065" s="301"/>
      <c r="N2065" s="391"/>
      <c r="O2065" s="349"/>
      <c r="P2065" s="301"/>
      <c r="S2065" s="364"/>
      <c r="Z2065" s="609" t="s">
        <v>849</v>
      </c>
      <c r="AA2065" s="609" t="s">
        <v>3401</v>
      </c>
    </row>
    <row r="2066" spans="1:29" ht="0.75" customHeight="1" thickBot="1">
      <c r="A2066" s="2712"/>
      <c r="B2066" s="371"/>
      <c r="C2066" s="371"/>
      <c r="D2066" s="2714"/>
      <c r="E2066" s="586"/>
      <c r="F2066" s="586"/>
      <c r="G2066" s="2222" t="s">
        <v>3423</v>
      </c>
      <c r="H2066" s="1615" t="s">
        <v>6465</v>
      </c>
      <c r="I2066" s="371" t="s">
        <v>6525</v>
      </c>
      <c r="J2066" s="293"/>
      <c r="K2066" s="1602"/>
      <c r="L2066" s="1602"/>
      <c r="M2066" s="1602"/>
      <c r="N2066" s="1602"/>
      <c r="O2066" s="1602"/>
      <c r="P2066" s="1602"/>
      <c r="Q2066" s="1602"/>
      <c r="R2066" s="1602"/>
      <c r="S2066" s="364"/>
      <c r="Z2066" s="609" t="s">
        <v>849</v>
      </c>
      <c r="AA2066" s="609" t="s">
        <v>3401</v>
      </c>
    </row>
    <row r="2067" spans="1:29" ht="24.75" thickTop="1">
      <c r="A2067" s="2712"/>
      <c r="B2067" s="371"/>
      <c r="C2067" s="371"/>
      <c r="D2067" s="2714"/>
      <c r="E2067" s="586" t="s">
        <v>2749</v>
      </c>
      <c r="F2067" s="414"/>
      <c r="G2067" s="2684" t="s">
        <v>5928</v>
      </c>
      <c r="H2067" s="2308" t="s">
        <v>6390</v>
      </c>
      <c r="I2067" s="2707" t="s">
        <v>5143</v>
      </c>
      <c r="J2067" s="355" t="s">
        <v>5278</v>
      </c>
      <c r="K2067" s="1602"/>
      <c r="L2067" s="1582" t="str">
        <f>I2067</f>
        <v>减值准备</v>
      </c>
      <c r="M2067" s="2656" t="str">
        <f>""&amp;"NoteID"&amp;""</f>
        <v>NoteID</v>
      </c>
      <c r="N2067" s="1602"/>
      <c r="P2067" s="1602"/>
      <c r="Q2067" s="1602"/>
      <c r="R2067" s="1602"/>
      <c r="S2067" s="364"/>
      <c r="Z2067" s="609" t="s">
        <v>849</v>
      </c>
      <c r="AA2067" s="609" t="s">
        <v>3401</v>
      </c>
    </row>
    <row r="2068" spans="1:29" ht="18">
      <c r="A2068" s="2712"/>
      <c r="B2068" s="371">
        <v>101</v>
      </c>
      <c r="C2068" s="371"/>
      <c r="D2068" s="2714">
        <f t="shared" ref="D2068:D2072" si="210">IF(OR(G2068="*",G2068="",G2068=0),0,COUNTIF($G$2068:$G$2072,G2068))</f>
        <v>1</v>
      </c>
      <c r="E2068" s="2719">
        <v>1</v>
      </c>
      <c r="F2068" s="293"/>
      <c r="G2068" s="1472" t="s">
        <v>5925</v>
      </c>
      <c r="H2068" s="2296"/>
      <c r="I2068" s="2294"/>
      <c r="J2068" s="293"/>
      <c r="K2068" s="1602"/>
      <c r="L2068" s="2655">
        <f ca="1">HYPERLINK("#'"&amp;$G$1&amp;"'!"&amp;ADDRESS(ROW(Notes!J2092),COLUMN(Notes!J2092),4),J2092-I2068)</f>
        <v>0</v>
      </c>
      <c r="M2068" s="2648" t="str">
        <f>H2081</f>
        <v>1508d</v>
      </c>
      <c r="N2068" s="1602"/>
      <c r="P2068" s="1602"/>
      <c r="Q2068" s="1602"/>
      <c r="R2068" s="1602"/>
      <c r="S2068" s="364"/>
      <c r="Z2068" s="609" t="s">
        <v>849</v>
      </c>
      <c r="AA2068" s="609" t="s">
        <v>3401</v>
      </c>
    </row>
    <row r="2069" spans="1:29" ht="18">
      <c r="A2069" s="2712"/>
      <c r="B2069" s="371">
        <v>102</v>
      </c>
      <c r="C2069" s="371"/>
      <c r="D2069" s="2714">
        <f t="shared" si="210"/>
        <v>1</v>
      </c>
      <c r="E2069" s="2719">
        <v>1</v>
      </c>
      <c r="F2069" s="293"/>
      <c r="G2069" s="1472" t="s">
        <v>5926</v>
      </c>
      <c r="H2069" s="2296"/>
      <c r="I2069" s="2294"/>
      <c r="J2069" s="293"/>
      <c r="K2069" s="1602"/>
      <c r="L2069" s="2655">
        <f ca="1">HYPERLINK("#'"&amp;$G$1&amp;"'!"&amp;ADDRESS(ROW(Notes!J2105),COLUMN(Notes!J2105),4),J2105-I2069)</f>
        <v>0</v>
      </c>
      <c r="M2069" s="2648" t="str">
        <f>H2094</f>
        <v>1508e</v>
      </c>
      <c r="N2069" s="1602"/>
      <c r="P2069" s="1602"/>
      <c r="Q2069" s="1602"/>
      <c r="R2069" s="1602"/>
      <c r="S2069" s="364"/>
      <c r="Z2069" s="609" t="s">
        <v>849</v>
      </c>
      <c r="AA2069" s="609" t="s">
        <v>3401</v>
      </c>
    </row>
    <row r="2070" spans="1:29" ht="18">
      <c r="A2070" s="2712"/>
      <c r="B2070" s="371">
        <v>103</v>
      </c>
      <c r="C2070" s="371"/>
      <c r="D2070" s="2714">
        <f t="shared" si="210"/>
        <v>1</v>
      </c>
      <c r="E2070" s="2719">
        <v>1</v>
      </c>
      <c r="F2070" s="293"/>
      <c r="G2070" s="1472" t="s">
        <v>5927</v>
      </c>
      <c r="H2070" s="2296"/>
      <c r="I2070" s="2294"/>
      <c r="J2070" s="293"/>
      <c r="K2070" s="1602"/>
      <c r="L2070" s="2655">
        <f ca="1">HYPERLINK("#'"&amp;$G$1&amp;"'!"&amp;ADDRESS(ROW(Notes!J2118),COLUMN(Notes!J2118),4),J2118-I2070)</f>
        <v>0</v>
      </c>
      <c r="M2070" s="2648" t="str">
        <f>H2107</f>
        <v>1508f</v>
      </c>
      <c r="N2070" s="1602"/>
      <c r="P2070" s="1602"/>
      <c r="Q2070" s="1602"/>
      <c r="R2070" s="1602"/>
      <c r="S2070" s="364"/>
      <c r="Z2070" s="609" t="s">
        <v>849</v>
      </c>
      <c r="AA2070" s="609" t="s">
        <v>3401</v>
      </c>
    </row>
    <row r="2071" spans="1:29" ht="18">
      <c r="A2071" s="2712"/>
      <c r="B2071" s="371">
        <v>104</v>
      </c>
      <c r="C2071" s="371" t="s">
        <v>2791</v>
      </c>
      <c r="D2071" s="2714">
        <f t="shared" si="210"/>
        <v>0</v>
      </c>
      <c r="E2071" s="2719">
        <v>0</v>
      </c>
      <c r="F2071" s="293"/>
      <c r="G2071" s="2690" t="s">
        <v>2792</v>
      </c>
      <c r="H2071" s="2296"/>
      <c r="I2071" s="2294"/>
      <c r="J2071" s="293"/>
      <c r="K2071" s="1602"/>
      <c r="L2071" s="2646"/>
      <c r="M2071" s="2646"/>
      <c r="N2071" s="1602"/>
      <c r="P2071" s="1602"/>
      <c r="Q2071" s="1602"/>
      <c r="R2071" s="1602"/>
      <c r="S2071" s="364"/>
      <c r="Z2071" s="609" t="s">
        <v>849</v>
      </c>
      <c r="AA2071" s="609" t="s">
        <v>3401</v>
      </c>
    </row>
    <row r="2072" spans="1:29" ht="18.75" thickBot="1">
      <c r="A2072" s="2712"/>
      <c r="B2072" s="371"/>
      <c r="C2072" s="371"/>
      <c r="D2072" s="2714">
        <f t="shared" si="210"/>
        <v>1</v>
      </c>
      <c r="E2072" s="2719" t="s">
        <v>2751</v>
      </c>
      <c r="F2072" s="293"/>
      <c r="G2072" s="2232" t="s">
        <v>5139</v>
      </c>
      <c r="H2072" s="2239"/>
      <c r="I2072" s="2234">
        <f>SUMPRODUCT($E2067:$E2071,I2067:I2071)</f>
        <v>0</v>
      </c>
      <c r="J2072" s="1593" t="str">
        <f ca="1">HYPERLINK("#'"&amp;$G$1&amp;"'!"&amp;ADDRESS(ROW(Notes!N2133),COLUMN(Notes!N2133),4),"* 请勿删除此行！点击往勾稽单元格，F5+Enter返回")</f>
        <v>* 请勿删除此行！点击往勾稽单元格，F5+Enter返回</v>
      </c>
      <c r="K2072" s="1602"/>
      <c r="L2072" s="1555">
        <f ca="1">SUM(L2068:L2071)</f>
        <v>0</v>
      </c>
      <c r="M2072" s="1555">
        <f>SUM(M2068:M2071)</f>
        <v>0</v>
      </c>
      <c r="N2072" s="1602"/>
      <c r="P2072" s="1602"/>
      <c r="Q2072" s="1602"/>
      <c r="R2072" s="1602"/>
      <c r="S2072" s="364"/>
      <c r="Z2072" s="609" t="s">
        <v>849</v>
      </c>
      <c r="AA2072" s="609" t="s">
        <v>3401</v>
      </c>
      <c r="AC2072" s="369" t="s">
        <v>2794</v>
      </c>
    </row>
    <row r="2073" spans="1:29" ht="18.75" thickBot="1">
      <c r="A2073" s="2712"/>
      <c r="B2073" s="371"/>
      <c r="C2073" s="371" t="s">
        <v>2755</v>
      </c>
      <c r="D2073" s="2714"/>
      <c r="F2073" s="293"/>
      <c r="G2073" s="376"/>
      <c r="H2073" s="393"/>
      <c r="I2073" s="2251" t="s">
        <v>3002</v>
      </c>
      <c r="J2073" s="293"/>
      <c r="K2073" s="1602"/>
      <c r="L2073" s="2654" t="s">
        <v>5503</v>
      </c>
      <c r="M2073" s="2645"/>
      <c r="N2073" s="1602"/>
      <c r="O2073" s="2645"/>
      <c r="P2073" s="1602"/>
      <c r="Q2073" s="1602"/>
      <c r="R2073" s="1602"/>
      <c r="S2073" s="364"/>
      <c r="Z2073" s="609" t="s">
        <v>849</v>
      </c>
      <c r="AA2073" s="609" t="s">
        <v>3401</v>
      </c>
    </row>
    <row r="2074" spans="1:29" ht="18.75" thickTop="1">
      <c r="A2074" s="2712"/>
      <c r="B2074" s="371"/>
      <c r="C2074" s="371" t="s">
        <v>2565</v>
      </c>
      <c r="D2074" s="2714"/>
      <c r="F2074" s="293"/>
      <c r="G2074" s="1547" t="s">
        <v>5365</v>
      </c>
      <c r="H2074" s="1548" t="str">
        <f>G2034</f>
        <v>(1)其他债权投资情况</v>
      </c>
      <c r="I2074" s="1550"/>
      <c r="J2074" s="1551" t="s">
        <v>5366</v>
      </c>
      <c r="K2074" s="1602"/>
      <c r="L2074" s="2654"/>
      <c r="M2074" s="2645"/>
      <c r="N2074" s="1602"/>
      <c r="O2074" s="2645"/>
      <c r="P2074" s="1602"/>
      <c r="Q2074" s="1602"/>
      <c r="R2074" s="1602"/>
      <c r="S2074" s="364"/>
      <c r="Z2074" s="609" t="s">
        <v>849</v>
      </c>
      <c r="AA2074" s="609" t="s">
        <v>3401</v>
      </c>
    </row>
    <row r="2075" spans="1:29" ht="18">
      <c r="A2075" s="2712"/>
      <c r="B2075" s="371"/>
      <c r="C2075" s="371" t="s">
        <v>2565</v>
      </c>
      <c r="D2075" s="2714"/>
      <c r="F2075" s="293"/>
      <c r="G2075" s="604" t="str">
        <f>"注释A:"&amp; G2048</f>
        <v>注释A:合       计</v>
      </c>
      <c r="H2075" s="351"/>
      <c r="I2075" s="2250">
        <f ca="1">HYPERLINK("#'"&amp;$G$1&amp;"'!"&amp;ADDRESS(ROW(Notes!P2048),COLUMN(Notes!P2048),4),P2048)</f>
        <v>0</v>
      </c>
      <c r="J2075" s="2630" t="str">
        <f>H2034</f>
        <v>1508a</v>
      </c>
      <c r="K2075" s="1602"/>
      <c r="L2075" s="2654"/>
      <c r="M2075" s="2645"/>
      <c r="N2075" s="1602"/>
      <c r="O2075" s="2645"/>
      <c r="P2075" s="1602"/>
      <c r="Q2075" s="1602"/>
      <c r="R2075" s="1602"/>
      <c r="S2075" s="364"/>
      <c r="Z2075" s="609" t="s">
        <v>849</v>
      </c>
      <c r="AA2075" s="609" t="s">
        <v>3401</v>
      </c>
    </row>
    <row r="2076" spans="1:29" ht="18">
      <c r="A2076" s="2712"/>
      <c r="B2076" s="371"/>
      <c r="C2076" s="371" t="s">
        <v>2565</v>
      </c>
      <c r="D2076" s="2714"/>
      <c r="F2076" s="293"/>
      <c r="G2076" s="604" t="str">
        <f>"本注释B:"&amp; G2072</f>
        <v>本注释B:合       计</v>
      </c>
      <c r="H2076" s="351"/>
      <c r="I2076" s="456">
        <f>I2072</f>
        <v>0</v>
      </c>
      <c r="J2076" s="2636" t="s">
        <v>859</v>
      </c>
      <c r="K2076" s="1602"/>
      <c r="L2076" s="2654"/>
      <c r="M2076" s="2645"/>
      <c r="N2076" s="1602"/>
      <c r="O2076" s="2645"/>
      <c r="P2076" s="1602"/>
      <c r="Q2076" s="1602"/>
      <c r="R2076" s="1602"/>
      <c r="S2076" s="364"/>
      <c r="Z2076" s="609" t="s">
        <v>849</v>
      </c>
      <c r="AA2076" s="609" t="s">
        <v>3401</v>
      </c>
    </row>
    <row r="2077" spans="1:29" ht="18.75" thickBot="1">
      <c r="A2077" s="2712"/>
      <c r="B2077" s="371"/>
      <c r="C2077" s="371" t="s">
        <v>2565</v>
      </c>
      <c r="D2077" s="2714"/>
      <c r="F2077" s="293"/>
      <c r="G2077" s="1552" t="s">
        <v>2757</v>
      </c>
      <c r="H2077" s="1553"/>
      <c r="I2077" s="1529">
        <f ca="1">IF(AND(I2075="",I2076=""),"",ROUND(I2075-I2076,2))</f>
        <v>0</v>
      </c>
      <c r="J2077" s="1553"/>
      <c r="K2077" s="1602"/>
      <c r="L2077" s="2654"/>
      <c r="M2077" s="2645"/>
      <c r="N2077" s="1602"/>
      <c r="O2077" s="2645"/>
      <c r="P2077" s="1602"/>
      <c r="Q2077" s="1602"/>
      <c r="R2077" s="1602"/>
      <c r="S2077" s="364"/>
      <c r="Z2077" s="609" t="s">
        <v>849</v>
      </c>
      <c r="AA2077" s="609" t="s">
        <v>3401</v>
      </c>
    </row>
    <row r="2078" spans="1:29" ht="18.75" thickTop="1">
      <c r="A2078" s="2712"/>
      <c r="B2078" s="371"/>
      <c r="C2078" s="371" t="s">
        <v>2565</v>
      </c>
      <c r="D2078" s="2714"/>
      <c r="F2078" s="293"/>
      <c r="G2078" s="1543"/>
      <c r="H2078" s="317"/>
      <c r="I2078" s="459" t="str">
        <f ca="1">IF(OR(I2077=0,I2077=""),"√","？")</f>
        <v>√</v>
      </c>
      <c r="J2078" s="354"/>
      <c r="K2078" s="1602"/>
      <c r="L2078" s="2654"/>
      <c r="M2078" s="2645"/>
      <c r="N2078" s="1602"/>
      <c r="O2078" s="2645"/>
      <c r="P2078" s="1602"/>
      <c r="Q2078" s="1602"/>
      <c r="R2078" s="1602"/>
      <c r="S2078" s="364"/>
      <c r="Z2078" s="609" t="s">
        <v>849</v>
      </c>
      <c r="AA2078" s="609" t="s">
        <v>3401</v>
      </c>
    </row>
    <row r="2079" spans="1:29" ht="18">
      <c r="A2079" s="2712"/>
      <c r="B2079" s="371"/>
      <c r="C2079" s="371" t="s">
        <v>2565</v>
      </c>
      <c r="D2079" s="2714"/>
      <c r="F2079" s="293"/>
      <c r="G2079" s="1557" t="s">
        <v>2759</v>
      </c>
      <c r="H2079" s="317"/>
      <c r="I2079" s="461"/>
      <c r="J2079" s="354"/>
      <c r="K2079" s="2708">
        <f ca="1">SUMIF($H$2078:$J$2078,"&lt;&gt;√",$H$2077:$J$2077)</f>
        <v>0</v>
      </c>
      <c r="L2079" s="2709" t="str">
        <f ca="1">IF(OR(K2079=0,K2079=""),"√","？")</f>
        <v>√</v>
      </c>
      <c r="M2079" s="2645"/>
      <c r="N2079" s="1602"/>
      <c r="O2079" s="2645"/>
      <c r="P2079" s="1602"/>
      <c r="Q2079" s="1602"/>
      <c r="R2079" s="1602"/>
      <c r="S2079" s="364"/>
      <c r="Z2079" s="609" t="s">
        <v>849</v>
      </c>
      <c r="AA2079" s="609" t="s">
        <v>3401</v>
      </c>
    </row>
    <row r="2080" spans="1:29" ht="18">
      <c r="A2080" s="2712"/>
      <c r="B2080" s="371"/>
      <c r="C2080" s="371" t="s">
        <v>2565</v>
      </c>
      <c r="D2080" s="2714"/>
      <c r="F2080" s="293"/>
      <c r="G2080" s="1543"/>
      <c r="H2080" s="317"/>
      <c r="I2080" s="461"/>
      <c r="J2080" s="354"/>
      <c r="K2080" s="1602"/>
      <c r="L2080" s="2654"/>
      <c r="M2080" s="2645"/>
      <c r="N2080" s="1602"/>
      <c r="O2080" s="2645"/>
      <c r="P2080" s="1602"/>
      <c r="Q2080" s="1602"/>
      <c r="R2080" s="1602"/>
      <c r="S2080" s="364"/>
      <c r="Z2080" s="609" t="s">
        <v>849</v>
      </c>
      <c r="AA2080" s="609" t="s">
        <v>3401</v>
      </c>
    </row>
    <row r="2081" spans="1:29" ht="24">
      <c r="A2081" s="2712" t="s">
        <v>885</v>
      </c>
      <c r="B2081" s="371">
        <v>3.1</v>
      </c>
      <c r="C2081" s="371"/>
      <c r="D2081" s="2714" t="str">
        <f>VLOOKUP($A2081,Sheet_NoteList,2,0)</f>
        <v>期末处于第一阶段的其他债权投资的减值准备</v>
      </c>
      <c r="E2081" s="2714" t="s">
        <v>2742</v>
      </c>
      <c r="F2081" s="293"/>
      <c r="G2081" s="372" t="str">
        <f>"("&amp;B2081&amp;")"&amp;D2081</f>
        <v>(3.1)期末处于第一阶段的其他债权投资的减值准备</v>
      </c>
      <c r="H2081" s="1515" t="str">
        <f>$A2081</f>
        <v>1508d</v>
      </c>
      <c r="I2081" s="343" t="s">
        <v>2743</v>
      </c>
      <c r="J2081" s="301" t="s">
        <v>2744</v>
      </c>
      <c r="K2081" s="2208">
        <f>J2092</f>
        <v>0</v>
      </c>
      <c r="L2081" s="349"/>
      <c r="M2081" s="301"/>
      <c r="N2081" s="391"/>
      <c r="O2081" s="349"/>
      <c r="P2081" s="301"/>
      <c r="S2081" s="364"/>
      <c r="Z2081" s="609" t="s">
        <v>849</v>
      </c>
      <c r="AA2081" s="609" t="s">
        <v>3401</v>
      </c>
    </row>
    <row r="2082" spans="1:29" ht="0.75" customHeight="1" thickBot="1">
      <c r="A2082" s="2712"/>
      <c r="B2082" s="371"/>
      <c r="C2082" s="371"/>
      <c r="D2082" s="2714"/>
      <c r="E2082" s="586"/>
      <c r="F2082" s="586"/>
      <c r="G2082" s="2222" t="s">
        <v>3425</v>
      </c>
      <c r="H2082" s="371" t="s">
        <v>6526</v>
      </c>
      <c r="I2082" s="547" t="s">
        <v>2947</v>
      </c>
      <c r="J2082" s="371" t="s">
        <v>2948</v>
      </c>
      <c r="K2082" s="547" t="s">
        <v>6527</v>
      </c>
      <c r="L2082" s="1602"/>
      <c r="M2082" s="1602"/>
      <c r="N2082" s="1602"/>
      <c r="O2082" s="1602"/>
      <c r="P2082" s="1602"/>
      <c r="Q2082" s="1602"/>
      <c r="R2082" s="1602"/>
      <c r="S2082" s="364"/>
      <c r="Z2082" s="609" t="s">
        <v>849</v>
      </c>
      <c r="AA2082" s="609" t="s">
        <v>3401</v>
      </c>
    </row>
    <row r="2083" spans="1:29" ht="36">
      <c r="A2083" s="2712"/>
      <c r="B2083" s="371"/>
      <c r="C2083" s="371"/>
      <c r="D2083" s="2714"/>
      <c r="E2083" s="586" t="s">
        <v>2749</v>
      </c>
      <c r="F2083" s="414"/>
      <c r="G2083" s="2684" t="s">
        <v>6404</v>
      </c>
      <c r="H2083" s="2308" t="s">
        <v>6405</v>
      </c>
      <c r="I2083" s="2685" t="s">
        <v>3360</v>
      </c>
      <c r="J2083" s="2685" t="s">
        <v>3097</v>
      </c>
      <c r="K2083" s="2687" t="s">
        <v>6406</v>
      </c>
      <c r="L2083" s="355" t="s">
        <v>5278</v>
      </c>
      <c r="M2083" s="1602"/>
      <c r="N2083" s="1602"/>
      <c r="O2083" s="1602"/>
      <c r="P2083" s="1602"/>
      <c r="Q2083" s="1602"/>
      <c r="R2083" s="1602"/>
      <c r="S2083" s="364"/>
      <c r="Z2083" s="609" t="s">
        <v>849</v>
      </c>
      <c r="AA2083" s="609" t="s">
        <v>3401</v>
      </c>
    </row>
    <row r="2084" spans="1:29" ht="18">
      <c r="A2084" s="2712"/>
      <c r="B2084" s="371">
        <v>101</v>
      </c>
      <c r="C2084" s="371"/>
      <c r="D2084" s="2714">
        <f t="shared" ref="D2084:D2092" si="211">IF(OR(G2084="*",G2084="",G2084=0),0,COUNTIF($G$2084:$G$2092,G2084))</f>
        <v>1</v>
      </c>
      <c r="E2084" s="2719">
        <v>1</v>
      </c>
      <c r="F2084" s="293"/>
      <c r="G2084" s="1472" t="s">
        <v>3093</v>
      </c>
      <c r="H2084" s="2296"/>
      <c r="I2084" s="2296"/>
      <c r="J2084" s="1474">
        <f>SUM(J2085:J2087)</f>
        <v>0</v>
      </c>
      <c r="K2084" s="2274"/>
      <c r="L2084" s="1602"/>
      <c r="M2084" s="1602"/>
      <c r="N2084" s="1602"/>
      <c r="O2084" s="1602"/>
      <c r="P2084" s="1602"/>
      <c r="Q2084" s="1602"/>
      <c r="R2084" s="1602"/>
      <c r="S2084" s="364"/>
      <c r="Z2084" s="609" t="s">
        <v>849</v>
      </c>
      <c r="AA2084" s="609" t="s">
        <v>3401</v>
      </c>
    </row>
    <row r="2085" spans="1:29" ht="18">
      <c r="A2085" s="2712"/>
      <c r="B2085" s="371">
        <v>102</v>
      </c>
      <c r="C2085" s="371" t="s">
        <v>2791</v>
      </c>
      <c r="D2085" s="2714">
        <f t="shared" si="211"/>
        <v>1</v>
      </c>
      <c r="E2085" s="2719">
        <v>0</v>
      </c>
      <c r="F2085" s="293"/>
      <c r="G2085" s="2690" t="s">
        <v>2829</v>
      </c>
      <c r="H2085" s="2296"/>
      <c r="I2085" s="2296"/>
      <c r="J2085" s="2273"/>
      <c r="K2085" s="2274"/>
      <c r="L2085" s="1602"/>
      <c r="M2085" s="1602"/>
      <c r="N2085" s="1602"/>
      <c r="O2085" s="1602"/>
      <c r="P2085" s="1602"/>
      <c r="Q2085" s="1602"/>
      <c r="R2085" s="1602"/>
      <c r="S2085" s="364"/>
      <c r="Z2085" s="609" t="s">
        <v>849</v>
      </c>
      <c r="AA2085" s="609" t="s">
        <v>3401</v>
      </c>
    </row>
    <row r="2086" spans="1:29" ht="18">
      <c r="A2086" s="2712"/>
      <c r="B2086" s="371">
        <v>103</v>
      </c>
      <c r="C2086" s="371" t="s">
        <v>2791</v>
      </c>
      <c r="D2086" s="2714">
        <f t="shared" si="211"/>
        <v>0</v>
      </c>
      <c r="E2086" s="2719">
        <v>0</v>
      </c>
      <c r="F2086" s="293"/>
      <c r="G2086" s="2690" t="s">
        <v>2792</v>
      </c>
      <c r="H2086" s="2296"/>
      <c r="I2086" s="2296"/>
      <c r="J2086" s="2273"/>
      <c r="K2086" s="2274"/>
      <c r="L2086" s="1602"/>
      <c r="M2086" s="1602"/>
      <c r="N2086" s="1602"/>
      <c r="O2086" s="1602"/>
      <c r="P2086" s="1602"/>
      <c r="Q2086" s="1602"/>
      <c r="R2086" s="1602"/>
      <c r="S2086" s="364"/>
      <c r="Z2086" s="609" t="s">
        <v>849</v>
      </c>
      <c r="AA2086" s="609" t="s">
        <v>3401</v>
      </c>
    </row>
    <row r="2087" spans="1:29" ht="18">
      <c r="A2087" s="2712"/>
      <c r="B2087" s="371">
        <v>104</v>
      </c>
      <c r="C2087" s="371" t="s">
        <v>2791</v>
      </c>
      <c r="D2087" s="2714">
        <f t="shared" si="211"/>
        <v>0</v>
      </c>
      <c r="E2087" s="2719">
        <v>0</v>
      </c>
      <c r="F2087" s="293"/>
      <c r="G2087" s="2690" t="s">
        <v>2792</v>
      </c>
      <c r="H2087" s="2296"/>
      <c r="I2087" s="2296"/>
      <c r="J2087" s="2273"/>
      <c r="K2087" s="2274"/>
      <c r="L2087" s="1602"/>
      <c r="M2087" s="1602"/>
      <c r="N2087" s="1602"/>
      <c r="O2087" s="1602"/>
      <c r="P2087" s="1602"/>
      <c r="Q2087" s="1602"/>
      <c r="R2087" s="1602"/>
      <c r="S2087" s="364"/>
      <c r="Z2087" s="609" t="s">
        <v>849</v>
      </c>
      <c r="AA2087" s="609" t="s">
        <v>3401</v>
      </c>
    </row>
    <row r="2088" spans="1:29" ht="18">
      <c r="A2088" s="2712"/>
      <c r="B2088" s="371">
        <v>105</v>
      </c>
      <c r="C2088" s="371"/>
      <c r="D2088" s="2714">
        <f t="shared" si="211"/>
        <v>1</v>
      </c>
      <c r="E2088" s="2719">
        <v>1</v>
      </c>
      <c r="F2088" s="293"/>
      <c r="G2088" s="1472" t="s">
        <v>3094</v>
      </c>
      <c r="H2088" s="2296"/>
      <c r="I2088" s="2296"/>
      <c r="J2088" s="1474">
        <f>SUM(J2089:J2091)</f>
        <v>0</v>
      </c>
      <c r="K2088" s="2274"/>
      <c r="L2088" s="1602"/>
      <c r="M2088" s="1602"/>
      <c r="N2088" s="1602"/>
      <c r="O2088" s="1602"/>
      <c r="P2088" s="1602"/>
      <c r="Q2088" s="1602"/>
      <c r="R2088" s="1602"/>
      <c r="S2088" s="364"/>
      <c r="Z2088" s="609" t="s">
        <v>849</v>
      </c>
      <c r="AA2088" s="609" t="s">
        <v>3401</v>
      </c>
    </row>
    <row r="2089" spans="1:29" ht="18">
      <c r="A2089" s="2712"/>
      <c r="B2089" s="371">
        <v>106</v>
      </c>
      <c r="C2089" s="371" t="s">
        <v>2791</v>
      </c>
      <c r="D2089" s="2714">
        <f t="shared" si="211"/>
        <v>1</v>
      </c>
      <c r="E2089" s="2719">
        <v>0</v>
      </c>
      <c r="F2089" s="293"/>
      <c r="G2089" s="2690" t="s">
        <v>2831</v>
      </c>
      <c r="H2089" s="2296"/>
      <c r="I2089" s="2296"/>
      <c r="J2089" s="2273"/>
      <c r="K2089" s="2274"/>
      <c r="L2089" s="1602"/>
      <c r="M2089" s="1602"/>
      <c r="N2089" s="1602"/>
      <c r="O2089" s="1602"/>
      <c r="P2089" s="1602"/>
      <c r="Q2089" s="1602"/>
      <c r="R2089" s="1602"/>
      <c r="S2089" s="364"/>
      <c r="Z2089" s="609" t="s">
        <v>849</v>
      </c>
      <c r="AA2089" s="609" t="s">
        <v>3401</v>
      </c>
    </row>
    <row r="2090" spans="1:29" ht="18">
      <c r="A2090" s="2712"/>
      <c r="B2090" s="371">
        <v>107</v>
      </c>
      <c r="C2090" s="371" t="s">
        <v>2791</v>
      </c>
      <c r="D2090" s="2714">
        <f t="shared" si="211"/>
        <v>0</v>
      </c>
      <c r="E2090" s="2719">
        <v>0</v>
      </c>
      <c r="F2090" s="293"/>
      <c r="G2090" s="2690" t="s">
        <v>2792</v>
      </c>
      <c r="H2090" s="2296"/>
      <c r="I2090" s="2296"/>
      <c r="J2090" s="2273"/>
      <c r="K2090" s="2274"/>
      <c r="L2090" s="1602"/>
      <c r="M2090" s="1602"/>
      <c r="N2090" s="1602"/>
      <c r="O2090" s="1602"/>
      <c r="P2090" s="1602"/>
      <c r="Q2090" s="1602"/>
      <c r="R2090" s="1602"/>
      <c r="S2090" s="364"/>
      <c r="Z2090" s="609" t="s">
        <v>849</v>
      </c>
      <c r="AA2090" s="609" t="s">
        <v>3401</v>
      </c>
    </row>
    <row r="2091" spans="1:29" ht="18">
      <c r="A2091" s="2712"/>
      <c r="B2091" s="371">
        <v>108</v>
      </c>
      <c r="C2091" s="371" t="s">
        <v>2791</v>
      </c>
      <c r="D2091" s="2714">
        <f t="shared" si="211"/>
        <v>0</v>
      </c>
      <c r="E2091" s="2719">
        <v>0</v>
      </c>
      <c r="F2091" s="293"/>
      <c r="G2091" s="2690" t="s">
        <v>2792</v>
      </c>
      <c r="H2091" s="2296"/>
      <c r="I2091" s="2296"/>
      <c r="J2091" s="2273"/>
      <c r="K2091" s="2274"/>
      <c r="L2091" s="1602"/>
      <c r="M2091" s="1602"/>
      <c r="N2091" s="1602"/>
      <c r="O2091" s="1602"/>
      <c r="P2091" s="1602"/>
      <c r="Q2091" s="1602"/>
      <c r="R2091" s="1602"/>
      <c r="S2091" s="364"/>
      <c r="Z2091" s="609" t="s">
        <v>849</v>
      </c>
      <c r="AA2091" s="609" t="s">
        <v>3401</v>
      </c>
    </row>
    <row r="2092" spans="1:29" ht="18.75" thickBot="1">
      <c r="A2092" s="2712"/>
      <c r="B2092" s="371"/>
      <c r="C2092" s="371"/>
      <c r="D2092" s="2714">
        <f t="shared" si="211"/>
        <v>1</v>
      </c>
      <c r="E2092" s="2719" t="s">
        <v>2751</v>
      </c>
      <c r="F2092" s="293"/>
      <c r="G2092" s="2232" t="s">
        <v>5139</v>
      </c>
      <c r="H2092" s="2239"/>
      <c r="I2092" s="2239"/>
      <c r="J2092" s="2233">
        <f>SUMPRODUCT($E2083:$E2091,J2083:J2091)</f>
        <v>0</v>
      </c>
      <c r="K2092" s="2242"/>
      <c r="L2092" s="2674" t="str">
        <f ca="1">HYPERLINK("#'"&amp;$G$1&amp;"'!"&amp;ADDRESS(ROW(Notes!L2068),COLUMN(Notes!L2068),4),"* 请勿删除此行！点击往勾稽单元格，F5+Enter返回")</f>
        <v>* 请勿删除此行！点击往勾稽单元格，F5+Enter返回</v>
      </c>
      <c r="M2092" s="1602"/>
      <c r="N2092" s="1602"/>
      <c r="O2092" s="1602"/>
      <c r="P2092" s="1602"/>
      <c r="Q2092" s="1602"/>
      <c r="R2092" s="1602"/>
      <c r="S2092" s="364"/>
      <c r="Z2092" s="609" t="s">
        <v>849</v>
      </c>
      <c r="AA2092" s="609" t="s">
        <v>3401</v>
      </c>
      <c r="AC2092" s="369" t="s">
        <v>6571</v>
      </c>
    </row>
    <row r="2093" spans="1:29" ht="18">
      <c r="A2093" s="2712"/>
      <c r="B2093" s="371"/>
      <c r="C2093" s="371" t="s">
        <v>2755</v>
      </c>
      <c r="D2093" s="2714"/>
      <c r="F2093" s="293"/>
      <c r="G2093" s="376"/>
      <c r="H2093" s="393"/>
      <c r="I2093" s="432"/>
      <c r="J2093" s="315"/>
      <c r="K2093" s="392"/>
      <c r="L2093" s="1602"/>
      <c r="M2093" s="1602"/>
      <c r="N2093" s="1602"/>
      <c r="O2093" s="1602"/>
      <c r="P2093" s="1602"/>
      <c r="Q2093" s="1602"/>
      <c r="R2093" s="1602"/>
      <c r="S2093" s="364"/>
      <c r="Z2093" s="609" t="s">
        <v>849</v>
      </c>
      <c r="AA2093" s="609" t="s">
        <v>3401</v>
      </c>
    </row>
    <row r="2094" spans="1:29" ht="24">
      <c r="A2094" s="2712" t="s">
        <v>889</v>
      </c>
      <c r="B2094" s="371">
        <v>3.2</v>
      </c>
      <c r="C2094" s="371"/>
      <c r="D2094" s="2714" t="str">
        <f>VLOOKUP($A2094,Sheet_NoteList,2,0)</f>
        <v>期末处于第二阶段的其他债权投资的减值准备</v>
      </c>
      <c r="E2094" s="2714" t="s">
        <v>2742</v>
      </c>
      <c r="F2094" s="293"/>
      <c r="G2094" s="372" t="str">
        <f>"("&amp;B2094&amp;")"&amp;D2094</f>
        <v>(3.2)期末处于第二阶段的其他债权投资的减值准备</v>
      </c>
      <c r="H2094" s="1515" t="str">
        <f>$A2094</f>
        <v>1508e</v>
      </c>
      <c r="I2094" s="343" t="s">
        <v>2743</v>
      </c>
      <c r="J2094" s="301" t="s">
        <v>2744</v>
      </c>
      <c r="K2094" s="2208">
        <f>J2105</f>
        <v>0</v>
      </c>
      <c r="L2094" s="349"/>
      <c r="M2094" s="301"/>
      <c r="N2094" s="391"/>
      <c r="O2094" s="349"/>
      <c r="P2094" s="301"/>
      <c r="S2094" s="364"/>
      <c r="Z2094" s="609" t="s">
        <v>849</v>
      </c>
      <c r="AA2094" s="609" t="s">
        <v>3401</v>
      </c>
    </row>
    <row r="2095" spans="1:29" ht="0.75" customHeight="1" thickBot="1">
      <c r="A2095" s="2712"/>
      <c r="B2095" s="371"/>
      <c r="C2095" s="371"/>
      <c r="D2095" s="2714"/>
      <c r="E2095" s="586"/>
      <c r="F2095" s="586"/>
      <c r="G2095" s="2222" t="s">
        <v>3426</v>
      </c>
      <c r="H2095" s="371" t="s">
        <v>6526</v>
      </c>
      <c r="I2095" s="371" t="s">
        <v>2947</v>
      </c>
      <c r="J2095" s="371" t="s">
        <v>2948</v>
      </c>
      <c r="K2095" s="547" t="s">
        <v>6527</v>
      </c>
      <c r="L2095" s="1602"/>
      <c r="M2095" s="1602"/>
      <c r="N2095" s="1602"/>
      <c r="O2095" s="1602"/>
      <c r="P2095" s="1602"/>
      <c r="Q2095" s="1602"/>
      <c r="R2095" s="1602"/>
      <c r="S2095" s="364"/>
      <c r="Z2095" s="609" t="s">
        <v>849</v>
      </c>
      <c r="AA2095" s="609" t="s">
        <v>3401</v>
      </c>
    </row>
    <row r="2096" spans="1:29" ht="36">
      <c r="A2096" s="2712"/>
      <c r="B2096" s="371"/>
      <c r="C2096" s="371"/>
      <c r="D2096" s="2714"/>
      <c r="E2096" s="586" t="s">
        <v>2749</v>
      </c>
      <c r="F2096" s="414"/>
      <c r="G2096" s="2684" t="s">
        <v>6407</v>
      </c>
      <c r="H2096" s="2308" t="s">
        <v>6408</v>
      </c>
      <c r="I2096" s="2685" t="s">
        <v>3148</v>
      </c>
      <c r="J2096" s="2685" t="s">
        <v>3097</v>
      </c>
      <c r="K2096" s="2687" t="s">
        <v>6409</v>
      </c>
      <c r="L2096" s="355" t="s">
        <v>5278</v>
      </c>
      <c r="M2096" s="1602"/>
      <c r="N2096" s="1602"/>
      <c r="O2096" s="1602"/>
      <c r="P2096" s="1602"/>
      <c r="Q2096" s="1602"/>
      <c r="R2096" s="1602"/>
      <c r="S2096" s="364"/>
      <c r="Z2096" s="609" t="s">
        <v>849</v>
      </c>
      <c r="AA2096" s="609" t="s">
        <v>3401</v>
      </c>
    </row>
    <row r="2097" spans="1:29" ht="18">
      <c r="A2097" s="2712"/>
      <c r="B2097" s="371">
        <v>101</v>
      </c>
      <c r="C2097" s="371"/>
      <c r="D2097" s="2714">
        <f t="shared" ref="D2097:D2105" si="212">IF(OR(G2097="*",G2097="",G2097=0),0,COUNTIF($G$2097:$G$2105,G2097))</f>
        <v>1</v>
      </c>
      <c r="E2097" s="2719">
        <v>1</v>
      </c>
      <c r="F2097" s="293"/>
      <c r="G2097" s="1472" t="s">
        <v>3093</v>
      </c>
      <c r="H2097" s="2296"/>
      <c r="I2097" s="2296"/>
      <c r="J2097" s="1474">
        <f>SUM(J2098:J2100)</f>
        <v>0</v>
      </c>
      <c r="K2097" s="2274"/>
      <c r="L2097" s="1602"/>
      <c r="M2097" s="1602"/>
      <c r="N2097" s="1602"/>
      <c r="O2097" s="1602"/>
      <c r="P2097" s="1602"/>
      <c r="Q2097" s="1602"/>
      <c r="R2097" s="1602"/>
      <c r="S2097" s="364"/>
      <c r="Z2097" s="609" t="s">
        <v>849</v>
      </c>
      <c r="AA2097" s="609" t="s">
        <v>3401</v>
      </c>
    </row>
    <row r="2098" spans="1:29" ht="18">
      <c r="A2098" s="2712"/>
      <c r="B2098" s="371">
        <v>102</v>
      </c>
      <c r="C2098" s="371" t="s">
        <v>2791</v>
      </c>
      <c r="D2098" s="2714">
        <f t="shared" si="212"/>
        <v>1</v>
      </c>
      <c r="E2098" s="2719">
        <v>0</v>
      </c>
      <c r="F2098" s="293"/>
      <c r="G2098" s="2690" t="s">
        <v>2829</v>
      </c>
      <c r="H2098" s="2296"/>
      <c r="I2098" s="2296"/>
      <c r="J2098" s="2273"/>
      <c r="K2098" s="2274"/>
      <c r="L2098" s="1602"/>
      <c r="M2098" s="1602"/>
      <c r="N2098" s="1602"/>
      <c r="O2098" s="1602"/>
      <c r="P2098" s="1602"/>
      <c r="Q2098" s="1602"/>
      <c r="R2098" s="1602"/>
      <c r="S2098" s="364"/>
      <c r="Z2098" s="609" t="s">
        <v>849</v>
      </c>
      <c r="AA2098" s="609" t="s">
        <v>3401</v>
      </c>
    </row>
    <row r="2099" spans="1:29" ht="18">
      <c r="A2099" s="2712"/>
      <c r="B2099" s="371">
        <v>103</v>
      </c>
      <c r="C2099" s="371" t="s">
        <v>2791</v>
      </c>
      <c r="D2099" s="2714">
        <f t="shared" si="212"/>
        <v>0</v>
      </c>
      <c r="E2099" s="2719">
        <v>0</v>
      </c>
      <c r="F2099" s="293"/>
      <c r="G2099" s="2690" t="s">
        <v>2792</v>
      </c>
      <c r="H2099" s="2296"/>
      <c r="I2099" s="2296"/>
      <c r="J2099" s="2273"/>
      <c r="K2099" s="2274"/>
      <c r="L2099" s="1602"/>
      <c r="M2099" s="1602"/>
      <c r="N2099" s="1602"/>
      <c r="O2099" s="1602"/>
      <c r="P2099" s="1602"/>
      <c r="Q2099" s="1602"/>
      <c r="R2099" s="1602"/>
      <c r="S2099" s="364"/>
      <c r="Z2099" s="609" t="s">
        <v>849</v>
      </c>
      <c r="AA2099" s="609" t="s">
        <v>3401</v>
      </c>
    </row>
    <row r="2100" spans="1:29" ht="18">
      <c r="A2100" s="2712"/>
      <c r="B2100" s="371">
        <v>104</v>
      </c>
      <c r="C2100" s="371" t="s">
        <v>2791</v>
      </c>
      <c r="D2100" s="2714">
        <f t="shared" si="212"/>
        <v>0</v>
      </c>
      <c r="E2100" s="2719">
        <v>0</v>
      </c>
      <c r="F2100" s="293"/>
      <c r="G2100" s="2690" t="s">
        <v>2792</v>
      </c>
      <c r="H2100" s="2296"/>
      <c r="I2100" s="2296"/>
      <c r="J2100" s="2273"/>
      <c r="K2100" s="2274"/>
      <c r="L2100" s="1602"/>
      <c r="M2100" s="1602"/>
      <c r="N2100" s="1602"/>
      <c r="O2100" s="1602"/>
      <c r="P2100" s="1602"/>
      <c r="Q2100" s="1602"/>
      <c r="R2100" s="1602"/>
      <c r="S2100" s="364"/>
      <c r="Z2100" s="609" t="s">
        <v>849</v>
      </c>
      <c r="AA2100" s="609" t="s">
        <v>3401</v>
      </c>
    </row>
    <row r="2101" spans="1:29" ht="18">
      <c r="A2101" s="2712"/>
      <c r="B2101" s="371">
        <v>105</v>
      </c>
      <c r="C2101" s="371"/>
      <c r="D2101" s="2714">
        <f t="shared" si="212"/>
        <v>1</v>
      </c>
      <c r="E2101" s="2719">
        <v>1</v>
      </c>
      <c r="F2101" s="293"/>
      <c r="G2101" s="1472" t="s">
        <v>3094</v>
      </c>
      <c r="H2101" s="2296"/>
      <c r="I2101" s="2296"/>
      <c r="J2101" s="1474">
        <f>SUM(J2102:J2104)</f>
        <v>0</v>
      </c>
      <c r="K2101" s="2274"/>
      <c r="L2101" s="1602"/>
      <c r="M2101" s="1602"/>
      <c r="N2101" s="1602"/>
      <c r="O2101" s="1602"/>
      <c r="P2101" s="1602"/>
      <c r="Q2101" s="1602"/>
      <c r="R2101" s="1602"/>
      <c r="S2101" s="364"/>
      <c r="Z2101" s="609" t="s">
        <v>849</v>
      </c>
      <c r="AA2101" s="609" t="s">
        <v>3401</v>
      </c>
    </row>
    <row r="2102" spans="1:29" ht="18">
      <c r="A2102" s="2712"/>
      <c r="B2102" s="371">
        <v>106</v>
      </c>
      <c r="C2102" s="371" t="s">
        <v>2791</v>
      </c>
      <c r="D2102" s="2714">
        <f t="shared" si="212"/>
        <v>1</v>
      </c>
      <c r="E2102" s="2719">
        <v>0</v>
      </c>
      <c r="F2102" s="293"/>
      <c r="G2102" s="2690" t="s">
        <v>2831</v>
      </c>
      <c r="H2102" s="2296"/>
      <c r="I2102" s="2296"/>
      <c r="J2102" s="2273"/>
      <c r="K2102" s="2274"/>
      <c r="L2102" s="1602"/>
      <c r="M2102" s="1602"/>
      <c r="N2102" s="1602"/>
      <c r="O2102" s="1602"/>
      <c r="P2102" s="1602"/>
      <c r="Q2102" s="1602"/>
      <c r="R2102" s="1602"/>
      <c r="S2102" s="364"/>
      <c r="Z2102" s="609" t="s">
        <v>849</v>
      </c>
      <c r="AA2102" s="609" t="s">
        <v>3401</v>
      </c>
    </row>
    <row r="2103" spans="1:29" ht="18">
      <c r="A2103" s="2712"/>
      <c r="B2103" s="371">
        <v>107</v>
      </c>
      <c r="C2103" s="371" t="s">
        <v>2791</v>
      </c>
      <c r="D2103" s="2714">
        <f t="shared" si="212"/>
        <v>0</v>
      </c>
      <c r="E2103" s="2719">
        <v>0</v>
      </c>
      <c r="F2103" s="293"/>
      <c r="G2103" s="2690" t="s">
        <v>2792</v>
      </c>
      <c r="H2103" s="2296"/>
      <c r="I2103" s="2296"/>
      <c r="J2103" s="2273"/>
      <c r="K2103" s="2274"/>
      <c r="L2103" s="1602"/>
      <c r="M2103" s="1602"/>
      <c r="N2103" s="1602"/>
      <c r="O2103" s="1602"/>
      <c r="P2103" s="1602"/>
      <c r="Q2103" s="1602"/>
      <c r="R2103" s="1602"/>
      <c r="S2103" s="364"/>
      <c r="Z2103" s="609" t="s">
        <v>849</v>
      </c>
      <c r="AA2103" s="609" t="s">
        <v>3401</v>
      </c>
    </row>
    <row r="2104" spans="1:29" ht="18">
      <c r="A2104" s="2712"/>
      <c r="B2104" s="371">
        <v>108</v>
      </c>
      <c r="C2104" s="371" t="s">
        <v>2791</v>
      </c>
      <c r="D2104" s="2714">
        <f t="shared" si="212"/>
        <v>0</v>
      </c>
      <c r="E2104" s="2719">
        <v>0</v>
      </c>
      <c r="F2104" s="293"/>
      <c r="G2104" s="2690" t="s">
        <v>2792</v>
      </c>
      <c r="H2104" s="2296"/>
      <c r="I2104" s="2296"/>
      <c r="J2104" s="2273"/>
      <c r="K2104" s="2274"/>
      <c r="L2104" s="1602"/>
      <c r="M2104" s="1602"/>
      <c r="N2104" s="1602"/>
      <c r="O2104" s="1602"/>
      <c r="P2104" s="1602"/>
      <c r="Q2104" s="1602"/>
      <c r="R2104" s="1602"/>
      <c r="S2104" s="364"/>
      <c r="Z2104" s="609" t="s">
        <v>849</v>
      </c>
      <c r="AA2104" s="609" t="s">
        <v>3401</v>
      </c>
    </row>
    <row r="2105" spans="1:29" ht="18.75" thickBot="1">
      <c r="A2105" s="2712"/>
      <c r="B2105" s="371"/>
      <c r="C2105" s="371"/>
      <c r="D2105" s="2714">
        <f t="shared" si="212"/>
        <v>1</v>
      </c>
      <c r="E2105" s="2719" t="s">
        <v>2751</v>
      </c>
      <c r="F2105" s="293"/>
      <c r="G2105" s="2232" t="s">
        <v>2752</v>
      </c>
      <c r="H2105" s="2239"/>
      <c r="I2105" s="2239"/>
      <c r="J2105" s="2233">
        <f>SUMPRODUCT($E2096:$E2104,J2096:J2104)</f>
        <v>0</v>
      </c>
      <c r="K2105" s="2242"/>
      <c r="L2105" s="2674" t="str">
        <f ca="1">HYPERLINK("#'"&amp;$G$1&amp;"'!"&amp;ADDRESS(ROW(Notes!L2069),COLUMN(Notes!L2069),4),"* 请勿删除此行！点击往勾稽单元格，F5+Enter返回")</f>
        <v>* 请勿删除此行！点击往勾稽单元格，F5+Enter返回</v>
      </c>
      <c r="M2105" s="1602"/>
      <c r="N2105" s="1602"/>
      <c r="O2105" s="1602"/>
      <c r="P2105" s="1602"/>
      <c r="Q2105" s="1602"/>
      <c r="R2105" s="1602"/>
      <c r="S2105" s="364"/>
      <c r="Z2105" s="609" t="s">
        <v>849</v>
      </c>
      <c r="AA2105" s="609" t="s">
        <v>3401</v>
      </c>
      <c r="AC2105" s="369" t="s">
        <v>6571</v>
      </c>
    </row>
    <row r="2106" spans="1:29" ht="18">
      <c r="A2106" s="2712"/>
      <c r="B2106" s="371"/>
      <c r="C2106" s="371" t="s">
        <v>2755</v>
      </c>
      <c r="D2106" s="2714"/>
      <c r="F2106" s="293"/>
      <c r="G2106" s="376"/>
      <c r="H2106" s="393"/>
      <c r="I2106" s="432"/>
      <c r="J2106" s="315"/>
      <c r="K2106" s="392"/>
      <c r="L2106" s="1602"/>
      <c r="M2106" s="1602"/>
      <c r="N2106" s="1602"/>
      <c r="O2106" s="1602"/>
      <c r="P2106" s="1602"/>
      <c r="Q2106" s="1602"/>
      <c r="R2106" s="1602"/>
      <c r="S2106" s="364"/>
      <c r="Z2106" s="609" t="s">
        <v>849</v>
      </c>
      <c r="AA2106" s="609" t="s">
        <v>3401</v>
      </c>
    </row>
    <row r="2107" spans="1:29" ht="24">
      <c r="A2107" s="2712" t="s">
        <v>894</v>
      </c>
      <c r="B2107" s="371">
        <v>3.3</v>
      </c>
      <c r="C2107" s="371"/>
      <c r="D2107" s="2714" t="str">
        <f>VLOOKUP($A2107,Sheet_NoteList,2,0)</f>
        <v>期末处于第三阶段的其他债权投资的减值准备</v>
      </c>
      <c r="E2107" s="2714" t="s">
        <v>2742</v>
      </c>
      <c r="F2107" s="293"/>
      <c r="G2107" s="372" t="str">
        <f>"("&amp;B2107&amp;")"&amp;D2107</f>
        <v>(3.3)期末处于第三阶段的其他债权投资的减值准备</v>
      </c>
      <c r="H2107" s="1515" t="str">
        <f>$A2107</f>
        <v>1508f</v>
      </c>
      <c r="I2107" s="343" t="s">
        <v>2743</v>
      </c>
      <c r="J2107" s="301" t="s">
        <v>2744</v>
      </c>
      <c r="K2107" s="2208">
        <f>J2118</f>
        <v>0</v>
      </c>
      <c r="L2107" s="349"/>
      <c r="M2107" s="301"/>
      <c r="N2107" s="391"/>
      <c r="O2107" s="349"/>
      <c r="P2107" s="301"/>
      <c r="S2107" s="364"/>
      <c r="Z2107" s="609" t="s">
        <v>849</v>
      </c>
      <c r="AA2107" s="609" t="s">
        <v>3401</v>
      </c>
    </row>
    <row r="2108" spans="1:29" ht="0.75" customHeight="1" thickBot="1">
      <c r="A2108" s="2712"/>
      <c r="B2108" s="371"/>
      <c r="C2108" s="371"/>
      <c r="D2108" s="2714"/>
      <c r="E2108" s="586"/>
      <c r="F2108" s="586"/>
      <c r="G2108" s="2222" t="s">
        <v>3427</v>
      </c>
      <c r="H2108" s="371" t="s">
        <v>6526</v>
      </c>
      <c r="I2108" s="371" t="s">
        <v>2947</v>
      </c>
      <c r="J2108" s="371" t="s">
        <v>2948</v>
      </c>
      <c r="K2108" s="547" t="s">
        <v>6527</v>
      </c>
      <c r="L2108" s="1602"/>
      <c r="M2108" s="1602"/>
      <c r="N2108" s="1602"/>
      <c r="O2108" s="1602"/>
      <c r="P2108" s="1602"/>
      <c r="Q2108" s="1602"/>
      <c r="R2108" s="1602"/>
      <c r="S2108" s="364"/>
      <c r="Z2108" s="609" t="s">
        <v>849</v>
      </c>
      <c r="AA2108" s="609" t="s">
        <v>3401</v>
      </c>
    </row>
    <row r="2109" spans="1:29" ht="36">
      <c r="A2109" s="2712"/>
      <c r="B2109" s="371"/>
      <c r="C2109" s="371"/>
      <c r="D2109" s="2714"/>
      <c r="E2109" s="586" t="s">
        <v>2749</v>
      </c>
      <c r="F2109" s="414"/>
      <c r="G2109" s="2684" t="s">
        <v>6410</v>
      </c>
      <c r="H2109" s="2308" t="s">
        <v>6411</v>
      </c>
      <c r="I2109" s="2685" t="s">
        <v>3148</v>
      </c>
      <c r="J2109" s="2685" t="s">
        <v>3097</v>
      </c>
      <c r="K2109" s="2687" t="s">
        <v>6412</v>
      </c>
      <c r="L2109" s="355" t="s">
        <v>5278</v>
      </c>
      <c r="M2109" s="1602"/>
      <c r="N2109" s="1602"/>
      <c r="O2109" s="1602"/>
      <c r="P2109" s="1602"/>
      <c r="Q2109" s="1602"/>
      <c r="R2109" s="1602"/>
      <c r="S2109" s="364"/>
      <c r="Z2109" s="609" t="s">
        <v>849</v>
      </c>
      <c r="AA2109" s="609" t="s">
        <v>3401</v>
      </c>
    </row>
    <row r="2110" spans="1:29" ht="18">
      <c r="A2110" s="2712"/>
      <c r="B2110" s="371">
        <v>101</v>
      </c>
      <c r="C2110" s="371"/>
      <c r="D2110" s="2714">
        <f t="shared" ref="D2110:D2118" si="213">IF(OR(G2110="*",G2110="",G2110=0),0,COUNTIF($G$2110:$G$2118,G2110))</f>
        <v>1</v>
      </c>
      <c r="E2110" s="2719">
        <v>1</v>
      </c>
      <c r="F2110" s="293"/>
      <c r="G2110" s="1472" t="s">
        <v>3093</v>
      </c>
      <c r="H2110" s="2296"/>
      <c r="I2110" s="2296"/>
      <c r="J2110" s="1474">
        <f>SUM(J2111:J2113)</f>
        <v>0</v>
      </c>
      <c r="K2110" s="2274"/>
      <c r="L2110" s="1602"/>
      <c r="M2110" s="1602"/>
      <c r="N2110" s="1602"/>
      <c r="O2110" s="1602"/>
      <c r="P2110" s="1602"/>
      <c r="Q2110" s="1602"/>
      <c r="R2110" s="1602"/>
      <c r="S2110" s="364"/>
      <c r="Z2110" s="609" t="s">
        <v>849</v>
      </c>
      <c r="AA2110" s="609" t="s">
        <v>3401</v>
      </c>
    </row>
    <row r="2111" spans="1:29" ht="18">
      <c r="A2111" s="2712"/>
      <c r="B2111" s="371">
        <v>102</v>
      </c>
      <c r="C2111" s="371" t="s">
        <v>2791</v>
      </c>
      <c r="D2111" s="2714">
        <f t="shared" si="213"/>
        <v>1</v>
      </c>
      <c r="E2111" s="2719">
        <v>0</v>
      </c>
      <c r="F2111" s="293"/>
      <c r="G2111" s="2690" t="s">
        <v>2829</v>
      </c>
      <c r="H2111" s="2296"/>
      <c r="I2111" s="2296"/>
      <c r="J2111" s="2273"/>
      <c r="K2111" s="2274"/>
      <c r="L2111" s="1602"/>
      <c r="M2111" s="1602"/>
      <c r="N2111" s="1602"/>
      <c r="O2111" s="1602"/>
      <c r="P2111" s="1602"/>
      <c r="Q2111" s="1602"/>
      <c r="R2111" s="1602"/>
      <c r="S2111" s="364"/>
      <c r="Z2111" s="609" t="s">
        <v>849</v>
      </c>
      <c r="AA2111" s="609" t="s">
        <v>3401</v>
      </c>
    </row>
    <row r="2112" spans="1:29" ht="18">
      <c r="A2112" s="2712"/>
      <c r="B2112" s="371">
        <v>103</v>
      </c>
      <c r="C2112" s="371" t="s">
        <v>2791</v>
      </c>
      <c r="D2112" s="2714">
        <f t="shared" si="213"/>
        <v>0</v>
      </c>
      <c r="E2112" s="2719">
        <v>0</v>
      </c>
      <c r="F2112" s="293"/>
      <c r="G2112" s="2690" t="s">
        <v>2792</v>
      </c>
      <c r="H2112" s="2296"/>
      <c r="I2112" s="2296"/>
      <c r="J2112" s="2273"/>
      <c r="K2112" s="2274"/>
      <c r="L2112" s="1602"/>
      <c r="M2112" s="1602"/>
      <c r="N2112" s="1602"/>
      <c r="O2112" s="1602"/>
      <c r="P2112" s="1602"/>
      <c r="Q2112" s="1602"/>
      <c r="R2112" s="1602"/>
      <c r="S2112" s="364"/>
      <c r="Z2112" s="609" t="s">
        <v>849</v>
      </c>
      <c r="AA2112" s="609" t="s">
        <v>3401</v>
      </c>
    </row>
    <row r="2113" spans="1:29" ht="18">
      <c r="A2113" s="2712"/>
      <c r="B2113" s="371">
        <v>104</v>
      </c>
      <c r="C2113" s="371" t="s">
        <v>2791</v>
      </c>
      <c r="D2113" s="2714">
        <f t="shared" si="213"/>
        <v>0</v>
      </c>
      <c r="E2113" s="2719">
        <v>0</v>
      </c>
      <c r="F2113" s="293"/>
      <c r="G2113" s="2690" t="s">
        <v>2792</v>
      </c>
      <c r="H2113" s="2296"/>
      <c r="I2113" s="2296"/>
      <c r="J2113" s="2273"/>
      <c r="K2113" s="2274"/>
      <c r="L2113" s="1602"/>
      <c r="M2113" s="1602"/>
      <c r="N2113" s="1602"/>
      <c r="O2113" s="1602"/>
      <c r="P2113" s="1602"/>
      <c r="Q2113" s="1602"/>
      <c r="R2113" s="1602"/>
      <c r="S2113" s="364"/>
      <c r="Z2113" s="609" t="s">
        <v>849</v>
      </c>
      <c r="AA2113" s="609" t="s">
        <v>3401</v>
      </c>
    </row>
    <row r="2114" spans="1:29" ht="18">
      <c r="A2114" s="2712"/>
      <c r="B2114" s="371">
        <v>105</v>
      </c>
      <c r="C2114" s="371"/>
      <c r="D2114" s="2714">
        <f t="shared" si="213"/>
        <v>1</v>
      </c>
      <c r="E2114" s="2719">
        <v>1</v>
      </c>
      <c r="F2114" s="293"/>
      <c r="G2114" s="1472" t="s">
        <v>3094</v>
      </c>
      <c r="H2114" s="2296"/>
      <c r="I2114" s="2296"/>
      <c r="J2114" s="1474">
        <f>SUM(J2115:J2117)</f>
        <v>0</v>
      </c>
      <c r="K2114" s="2274"/>
      <c r="L2114" s="1602"/>
      <c r="M2114" s="1602"/>
      <c r="N2114" s="1602"/>
      <c r="O2114" s="1602"/>
      <c r="P2114" s="1602"/>
      <c r="Q2114" s="1602"/>
      <c r="R2114" s="1602"/>
      <c r="S2114" s="364"/>
      <c r="Z2114" s="609" t="s">
        <v>849</v>
      </c>
      <c r="AA2114" s="609" t="s">
        <v>3401</v>
      </c>
    </row>
    <row r="2115" spans="1:29" ht="18">
      <c r="A2115" s="2712"/>
      <c r="B2115" s="371">
        <v>106</v>
      </c>
      <c r="C2115" s="371" t="s">
        <v>2791</v>
      </c>
      <c r="D2115" s="2714">
        <f t="shared" si="213"/>
        <v>1</v>
      </c>
      <c r="E2115" s="2719">
        <v>0</v>
      </c>
      <c r="F2115" s="293"/>
      <c r="G2115" s="2690" t="s">
        <v>2831</v>
      </c>
      <c r="H2115" s="2296"/>
      <c r="I2115" s="2296"/>
      <c r="J2115" s="2273"/>
      <c r="K2115" s="2274"/>
      <c r="L2115" s="1602"/>
      <c r="M2115" s="1602"/>
      <c r="N2115" s="1602"/>
      <c r="O2115" s="1602"/>
      <c r="P2115" s="1602"/>
      <c r="Q2115" s="1602"/>
      <c r="R2115" s="1602"/>
      <c r="S2115" s="364"/>
      <c r="Z2115" s="609" t="s">
        <v>849</v>
      </c>
      <c r="AA2115" s="609" t="s">
        <v>3401</v>
      </c>
    </row>
    <row r="2116" spans="1:29" ht="18">
      <c r="A2116" s="2712"/>
      <c r="B2116" s="371">
        <v>107</v>
      </c>
      <c r="C2116" s="371" t="s">
        <v>2791</v>
      </c>
      <c r="D2116" s="2714">
        <f t="shared" si="213"/>
        <v>0</v>
      </c>
      <c r="E2116" s="2719">
        <v>0</v>
      </c>
      <c r="F2116" s="293"/>
      <c r="G2116" s="2690" t="s">
        <v>2792</v>
      </c>
      <c r="H2116" s="2296"/>
      <c r="I2116" s="2296"/>
      <c r="J2116" s="2273"/>
      <c r="K2116" s="2274"/>
      <c r="L2116" s="1602"/>
      <c r="M2116" s="1602"/>
      <c r="N2116" s="1602"/>
      <c r="O2116" s="1602"/>
      <c r="P2116" s="1602"/>
      <c r="Q2116" s="1602"/>
      <c r="R2116" s="1602"/>
      <c r="S2116" s="364"/>
      <c r="Z2116" s="609" t="s">
        <v>849</v>
      </c>
      <c r="AA2116" s="609" t="s">
        <v>3401</v>
      </c>
    </row>
    <row r="2117" spans="1:29" ht="18">
      <c r="A2117" s="2712"/>
      <c r="B2117" s="371">
        <v>108</v>
      </c>
      <c r="C2117" s="371" t="s">
        <v>2791</v>
      </c>
      <c r="D2117" s="2714">
        <f t="shared" si="213"/>
        <v>0</v>
      </c>
      <c r="E2117" s="2719">
        <v>0</v>
      </c>
      <c r="F2117" s="293"/>
      <c r="G2117" s="2690" t="s">
        <v>2792</v>
      </c>
      <c r="H2117" s="2296"/>
      <c r="I2117" s="2296"/>
      <c r="J2117" s="2273"/>
      <c r="K2117" s="2274"/>
      <c r="L2117" s="1602"/>
      <c r="M2117" s="1602"/>
      <c r="N2117" s="1602"/>
      <c r="O2117" s="1602"/>
      <c r="P2117" s="1602"/>
      <c r="Q2117" s="1602"/>
      <c r="R2117" s="1602"/>
      <c r="S2117" s="364"/>
      <c r="Z2117" s="609" t="s">
        <v>849</v>
      </c>
      <c r="AA2117" s="609" t="s">
        <v>3401</v>
      </c>
    </row>
    <row r="2118" spans="1:29" ht="18.75" thickBot="1">
      <c r="A2118" s="2712"/>
      <c r="B2118" s="371"/>
      <c r="C2118" s="371"/>
      <c r="D2118" s="2714">
        <f t="shared" si="213"/>
        <v>1</v>
      </c>
      <c r="E2118" s="2719" t="s">
        <v>2751</v>
      </c>
      <c r="F2118" s="293"/>
      <c r="G2118" s="2232" t="s">
        <v>2752</v>
      </c>
      <c r="H2118" s="2239"/>
      <c r="I2118" s="2239"/>
      <c r="J2118" s="2233">
        <f>SUMPRODUCT($E2109:$E2117,J2109:J2117)</f>
        <v>0</v>
      </c>
      <c r="K2118" s="2242"/>
      <c r="L2118" s="2674" t="str">
        <f ca="1">HYPERLINK("#'"&amp;$G$1&amp;"'!"&amp;ADDRESS(ROW(Notes!L2070),COLUMN(Notes!L2070),4),"* 请勿删除此行！点击往勾稽单元格，F5+Enter返回")</f>
        <v>* 请勿删除此行！点击往勾稽单元格，F5+Enter返回</v>
      </c>
      <c r="M2118" s="1602"/>
      <c r="N2118" s="1602"/>
      <c r="O2118" s="1602"/>
      <c r="P2118" s="1602"/>
      <c r="Q2118" s="1602"/>
      <c r="R2118" s="1602"/>
      <c r="S2118" s="364"/>
      <c r="Z2118" s="609" t="s">
        <v>849</v>
      </c>
      <c r="AA2118" s="609" t="s">
        <v>3401</v>
      </c>
      <c r="AC2118" s="369" t="s">
        <v>6571</v>
      </c>
    </row>
    <row r="2119" spans="1:29" ht="18">
      <c r="A2119" s="2712"/>
      <c r="B2119" s="371"/>
      <c r="C2119" s="371" t="s">
        <v>2755</v>
      </c>
      <c r="D2119" s="2714"/>
      <c r="F2119" s="293"/>
      <c r="G2119" s="376"/>
      <c r="H2119" s="393"/>
      <c r="I2119" s="432"/>
      <c r="J2119" s="315"/>
      <c r="K2119" s="392"/>
      <c r="L2119" s="1602"/>
      <c r="M2119" s="1602"/>
      <c r="N2119" s="1602"/>
      <c r="O2119" s="1602"/>
      <c r="P2119" s="1602"/>
      <c r="Q2119" s="1602"/>
      <c r="R2119" s="1602"/>
      <c r="S2119" s="364"/>
      <c r="Z2119" s="609" t="s">
        <v>849</v>
      </c>
      <c r="AA2119" s="609" t="s">
        <v>3401</v>
      </c>
    </row>
    <row r="2120" spans="1:29" ht="24">
      <c r="A2120" s="2712" t="s">
        <v>898</v>
      </c>
      <c r="B2120" s="371">
        <v>4</v>
      </c>
      <c r="C2120" s="371"/>
      <c r="D2120" s="2714" t="str">
        <f>VLOOKUP($A2120,Sheet_NoteList,2,0)</f>
        <v>其他债权投资减值准备的变动情况</v>
      </c>
      <c r="E2120" s="2714" t="s">
        <v>2742</v>
      </c>
      <c r="F2120" s="293"/>
      <c r="G2120" s="372" t="str">
        <f>"("&amp;B2120&amp;")"&amp;D2120</f>
        <v>(4)其他债权投资减值准备的变动情况</v>
      </c>
      <c r="H2120" s="1515" t="str">
        <f>$A2120</f>
        <v>1508k</v>
      </c>
      <c r="I2120" s="343" t="s">
        <v>2743</v>
      </c>
      <c r="J2120" s="301" t="s">
        <v>2744</v>
      </c>
      <c r="K2120" s="2208">
        <f>N2130</f>
        <v>0</v>
      </c>
      <c r="L2120" s="349"/>
      <c r="M2120" s="301"/>
      <c r="N2120" s="391"/>
      <c r="O2120" s="349"/>
      <c r="P2120" s="301"/>
      <c r="S2120" s="364"/>
      <c r="Z2120" s="609" t="s">
        <v>849</v>
      </c>
      <c r="AA2120" s="609" t="s">
        <v>3401</v>
      </c>
    </row>
    <row r="2121" spans="1:29" ht="0.75" customHeight="1">
      <c r="A2121" s="2712"/>
      <c r="B2121" s="371"/>
      <c r="C2121" s="371"/>
      <c r="D2121" s="2714"/>
      <c r="E2121" s="586"/>
      <c r="F2121" s="586"/>
      <c r="G2121" s="2222" t="s">
        <v>3428</v>
      </c>
      <c r="H2121" s="371" t="s">
        <v>2747</v>
      </c>
      <c r="I2121" s="371" t="s">
        <v>2748</v>
      </c>
      <c r="J2121" s="371" t="s">
        <v>2948</v>
      </c>
      <c r="K2121" s="547" t="s">
        <v>3165</v>
      </c>
      <c r="L2121" s="547" t="s">
        <v>3166</v>
      </c>
      <c r="M2121" s="371" t="s">
        <v>3167</v>
      </c>
      <c r="N2121" s="547" t="s">
        <v>3037</v>
      </c>
      <c r="O2121" s="428"/>
      <c r="P2121" s="433"/>
      <c r="Q2121" s="442"/>
      <c r="R2121" s="443"/>
      <c r="S2121" s="364"/>
      <c r="Z2121" s="609" t="s">
        <v>849</v>
      </c>
      <c r="AA2121" s="609" t="s">
        <v>3401</v>
      </c>
    </row>
    <row r="2122" spans="1:29" ht="0.75" customHeight="1" thickBot="1">
      <c r="A2122" s="2712"/>
      <c r="B2122" s="371"/>
      <c r="C2122" s="371"/>
      <c r="D2122" s="2714"/>
      <c r="E2122" s="586"/>
      <c r="F2122" s="586"/>
      <c r="G2122" s="2222"/>
      <c r="H2122" s="371" t="s">
        <v>2911</v>
      </c>
      <c r="I2122" s="371" t="s">
        <v>2912</v>
      </c>
      <c r="J2122" s="371" t="s">
        <v>3038</v>
      </c>
      <c r="K2122" s="547" t="s">
        <v>2914</v>
      </c>
      <c r="L2122" s="547" t="s">
        <v>2915</v>
      </c>
      <c r="M2122" s="371" t="s">
        <v>2916</v>
      </c>
      <c r="N2122" s="547" t="s">
        <v>2917</v>
      </c>
      <c r="O2122" s="428"/>
      <c r="P2122" s="433"/>
      <c r="Q2122" s="442"/>
      <c r="R2122" s="443"/>
      <c r="S2122" s="364"/>
      <c r="Z2122" s="609" t="s">
        <v>849</v>
      </c>
      <c r="AA2122" s="609" t="s">
        <v>3401</v>
      </c>
    </row>
    <row r="2123" spans="1:29" ht="18" customHeight="1">
      <c r="A2123" s="2712"/>
      <c r="B2123" s="371"/>
      <c r="C2123" s="371"/>
      <c r="D2123" s="2714"/>
      <c r="E2123" s="586" t="s">
        <v>2749</v>
      </c>
      <c r="F2123" s="414"/>
      <c r="G2123" s="3462" t="s">
        <v>5115</v>
      </c>
      <c r="H2123" s="3468" t="str">
        <f>$V$3</f>
        <v>2018年12月31日</v>
      </c>
      <c r="I2123" s="3466" t="s">
        <v>5207</v>
      </c>
      <c r="J2123" s="3468" t="str">
        <f>$X$3</f>
        <v>2019年1月1日</v>
      </c>
      <c r="K2123" s="3496" t="s">
        <v>2919</v>
      </c>
      <c r="L2123" s="3496"/>
      <c r="M2123" s="3496"/>
      <c r="N2123" s="3579" t="str">
        <f>$V$2</f>
        <v>2019年12月31日</v>
      </c>
      <c r="O2123" s="428"/>
      <c r="P2123" s="433"/>
      <c r="Q2123" s="442"/>
      <c r="R2123" s="443"/>
      <c r="S2123" s="364"/>
      <c r="Z2123" s="609" t="s">
        <v>849</v>
      </c>
      <c r="AA2123" s="609" t="s">
        <v>3401</v>
      </c>
    </row>
    <row r="2124" spans="1:29" ht="18">
      <c r="A2124" s="2712"/>
      <c r="B2124" s="371"/>
      <c r="C2124" s="371"/>
      <c r="D2124" s="2714"/>
      <c r="E2124" s="586" t="s">
        <v>2749</v>
      </c>
      <c r="F2124" s="414"/>
      <c r="G2124" s="3463"/>
      <c r="H2124" s="3469"/>
      <c r="I2124" s="3467"/>
      <c r="J2124" s="3469"/>
      <c r="K2124" s="2237" t="s">
        <v>5208</v>
      </c>
      <c r="L2124" s="2237" t="s">
        <v>5209</v>
      </c>
      <c r="M2124" s="2292" t="s">
        <v>5210</v>
      </c>
      <c r="N2124" s="3580"/>
      <c r="O2124" s="434"/>
      <c r="P2124" s="435"/>
      <c r="Q2124" s="442"/>
      <c r="R2124" s="443"/>
      <c r="S2124" s="364"/>
      <c r="Z2124" s="609" t="s">
        <v>849</v>
      </c>
      <c r="AA2124" s="609" t="s">
        <v>3401</v>
      </c>
    </row>
    <row r="2125" spans="1:29" ht="18">
      <c r="A2125" s="2712"/>
      <c r="B2125" s="371">
        <v>101</v>
      </c>
      <c r="C2125" s="371" t="s">
        <v>2791</v>
      </c>
      <c r="D2125" s="2714">
        <f t="shared" ref="D2125:D2130" si="214">IF(OR(G2125="*",G2125="",G2125=0),0,COUNTIF($G$2125:$G$2130,G2125))</f>
        <v>0</v>
      </c>
      <c r="E2125" s="2719">
        <v>1</v>
      </c>
      <c r="F2125" s="293"/>
      <c r="G2125" s="2282" t="s">
        <v>5144</v>
      </c>
      <c r="H2125" s="2273"/>
      <c r="I2125" s="2273"/>
      <c r="J2125" s="1474">
        <f>SUM(H2125:I2125)</f>
        <v>0</v>
      </c>
      <c r="K2125" s="2273"/>
      <c r="L2125" s="2273"/>
      <c r="M2125" s="2273"/>
      <c r="N2125" s="1475">
        <f>SUM(J2125:K2125,-L2125,-M2125)</f>
        <v>0</v>
      </c>
      <c r="O2125" s="437"/>
      <c r="P2125" s="438"/>
      <c r="Q2125" s="442"/>
      <c r="R2125" s="443"/>
      <c r="S2125" s="364"/>
      <c r="Z2125" s="609" t="s">
        <v>849</v>
      </c>
      <c r="AA2125" s="609" t="s">
        <v>3401</v>
      </c>
    </row>
    <row r="2126" spans="1:29" ht="18">
      <c r="A2126" s="2712"/>
      <c r="B2126" s="371">
        <v>102</v>
      </c>
      <c r="C2126" s="371" t="s">
        <v>2791</v>
      </c>
      <c r="D2126" s="2714">
        <f t="shared" si="214"/>
        <v>0</v>
      </c>
      <c r="E2126" s="2719">
        <v>1</v>
      </c>
      <c r="F2126" s="293"/>
      <c r="G2126" s="2282" t="s">
        <v>5144</v>
      </c>
      <c r="H2126" s="2273"/>
      <c r="I2126" s="2273"/>
      <c r="J2126" s="1474">
        <f t="shared" ref="J2126:J2129" si="215">SUM(H2126:I2126)</f>
        <v>0</v>
      </c>
      <c r="K2126" s="2273"/>
      <c r="L2126" s="2273"/>
      <c r="M2126" s="2273"/>
      <c r="N2126" s="1475">
        <f t="shared" ref="N2126:N2129" si="216">SUM(J2126:K2126,-L2126,-M2126)</f>
        <v>0</v>
      </c>
      <c r="O2126" s="437"/>
      <c r="P2126" s="438"/>
      <c r="Q2126" s="442"/>
      <c r="R2126" s="443"/>
      <c r="S2126" s="364"/>
      <c r="Z2126" s="609" t="s">
        <v>849</v>
      </c>
      <c r="AA2126" s="609" t="s">
        <v>3401</v>
      </c>
    </row>
    <row r="2127" spans="1:29" ht="18">
      <c r="A2127" s="2712"/>
      <c r="B2127" s="371">
        <v>103</v>
      </c>
      <c r="C2127" s="371" t="s">
        <v>2791</v>
      </c>
      <c r="D2127" s="2714">
        <f t="shared" si="214"/>
        <v>0</v>
      </c>
      <c r="E2127" s="2719">
        <v>1</v>
      </c>
      <c r="F2127" s="293"/>
      <c r="G2127" s="2282" t="s">
        <v>5144</v>
      </c>
      <c r="H2127" s="2273"/>
      <c r="I2127" s="2273"/>
      <c r="J2127" s="1474">
        <f t="shared" si="215"/>
        <v>0</v>
      </c>
      <c r="K2127" s="2273"/>
      <c r="L2127" s="2273"/>
      <c r="M2127" s="2273"/>
      <c r="N2127" s="1475">
        <f t="shared" si="216"/>
        <v>0</v>
      </c>
      <c r="O2127" s="437"/>
      <c r="P2127" s="438"/>
      <c r="Q2127" s="442"/>
      <c r="R2127" s="443"/>
      <c r="S2127" s="364"/>
      <c r="Z2127" s="609" t="s">
        <v>849</v>
      </c>
      <c r="AA2127" s="609" t="s">
        <v>3401</v>
      </c>
    </row>
    <row r="2128" spans="1:29" ht="18">
      <c r="A2128" s="2712"/>
      <c r="B2128" s="371">
        <v>104</v>
      </c>
      <c r="C2128" s="371" t="s">
        <v>2791</v>
      </c>
      <c r="D2128" s="2714">
        <f t="shared" si="214"/>
        <v>0</v>
      </c>
      <c r="E2128" s="2719">
        <v>1</v>
      </c>
      <c r="F2128" s="293"/>
      <c r="G2128" s="2282" t="s">
        <v>5144</v>
      </c>
      <c r="H2128" s="2273"/>
      <c r="I2128" s="2339"/>
      <c r="J2128" s="1474">
        <f t="shared" si="215"/>
        <v>0</v>
      </c>
      <c r="K2128" s="2273"/>
      <c r="L2128" s="2273"/>
      <c r="M2128" s="2273"/>
      <c r="N2128" s="1475">
        <f t="shared" si="216"/>
        <v>0</v>
      </c>
      <c r="O2128" s="437"/>
      <c r="P2128" s="438"/>
      <c r="Q2128" s="442"/>
      <c r="R2128" s="443"/>
      <c r="S2128" s="364"/>
      <c r="Z2128" s="609" t="s">
        <v>849</v>
      </c>
      <c r="AA2128" s="609" t="s">
        <v>3401</v>
      </c>
      <c r="AC2128" s="369" t="s">
        <v>2794</v>
      </c>
    </row>
    <row r="2129" spans="1:27" ht="18">
      <c r="A2129" s="2712"/>
      <c r="B2129" s="371">
        <v>105</v>
      </c>
      <c r="C2129" s="371" t="s">
        <v>2791</v>
      </c>
      <c r="D2129" s="2714">
        <f t="shared" si="214"/>
        <v>0</v>
      </c>
      <c r="E2129" s="2719">
        <v>1</v>
      </c>
      <c r="F2129" s="293"/>
      <c r="G2129" s="2282" t="s">
        <v>5144</v>
      </c>
      <c r="H2129" s="2273"/>
      <c r="I2129" s="2273"/>
      <c r="J2129" s="1474">
        <f t="shared" si="215"/>
        <v>0</v>
      </c>
      <c r="K2129" s="2273"/>
      <c r="L2129" s="2273"/>
      <c r="M2129" s="2273"/>
      <c r="N2129" s="1475">
        <f t="shared" si="216"/>
        <v>0</v>
      </c>
      <c r="O2129" s="437"/>
      <c r="P2129" s="438"/>
      <c r="Q2129" s="442"/>
      <c r="R2129" s="443"/>
      <c r="S2129" s="364"/>
      <c r="Z2129" s="609" t="s">
        <v>849</v>
      </c>
      <c r="AA2129" s="609" t="s">
        <v>3401</v>
      </c>
    </row>
    <row r="2130" spans="1:27" ht="18.75" thickBot="1">
      <c r="A2130" s="2712"/>
      <c r="B2130" s="371"/>
      <c r="C2130" s="371"/>
      <c r="D2130" s="2714">
        <f t="shared" si="214"/>
        <v>1</v>
      </c>
      <c r="E2130" s="2719" t="s">
        <v>2751</v>
      </c>
      <c r="F2130" s="293"/>
      <c r="G2130" s="2232" t="s">
        <v>2752</v>
      </c>
      <c r="H2130" s="2233">
        <f t="shared" ref="H2130:N2130" si="217">SUMPRODUCT($E2124:$E2129,H2124:H2129)</f>
        <v>0</v>
      </c>
      <c r="I2130" s="2233">
        <f t="shared" si="217"/>
        <v>0</v>
      </c>
      <c r="J2130" s="2233">
        <f t="shared" si="217"/>
        <v>0</v>
      </c>
      <c r="K2130" s="2233">
        <f t="shared" si="217"/>
        <v>0</v>
      </c>
      <c r="L2130" s="2233">
        <f t="shared" si="217"/>
        <v>0</v>
      </c>
      <c r="M2130" s="2233">
        <f t="shared" si="217"/>
        <v>0</v>
      </c>
      <c r="N2130" s="2234">
        <f t="shared" si="217"/>
        <v>0</v>
      </c>
      <c r="O2130" s="437"/>
      <c r="P2130" s="440"/>
      <c r="Q2130" s="442"/>
      <c r="R2130" s="443"/>
      <c r="S2130" s="364"/>
      <c r="Z2130" s="609" t="s">
        <v>849</v>
      </c>
      <c r="AA2130" s="609" t="s">
        <v>3401</v>
      </c>
    </row>
    <row r="2131" spans="1:27" ht="18.75" thickBot="1">
      <c r="A2131" s="2712"/>
      <c r="B2131" s="371"/>
      <c r="C2131" s="371" t="s">
        <v>2755</v>
      </c>
      <c r="D2131" s="2714"/>
      <c r="F2131" s="293"/>
      <c r="G2131" s="376"/>
      <c r="H2131" s="315"/>
      <c r="I2131" s="446"/>
      <c r="J2131" s="425"/>
      <c r="K2131" s="577"/>
      <c r="L2131" s="425"/>
      <c r="M2131" s="425"/>
      <c r="N2131" s="2652" t="s">
        <v>3002</v>
      </c>
      <c r="O2131" s="427"/>
      <c r="P2131" s="425"/>
      <c r="Q2131" s="442"/>
      <c r="R2131" s="443"/>
      <c r="S2131" s="364"/>
      <c r="Z2131" s="609" t="s">
        <v>849</v>
      </c>
      <c r="AA2131" s="609" t="s">
        <v>3401</v>
      </c>
    </row>
    <row r="2132" spans="1:27" ht="18.75" thickTop="1">
      <c r="A2132" s="2712"/>
      <c r="B2132" s="371"/>
      <c r="C2132" s="371" t="s">
        <v>2565</v>
      </c>
      <c r="D2132" s="2714"/>
      <c r="F2132" s="293"/>
      <c r="G2132" s="1547" t="s">
        <v>5365</v>
      </c>
      <c r="H2132" s="1548" t="str">
        <f>G2065</f>
        <v>(3)其他债权投资按减值计提方法分类披露（三阶段模型）</v>
      </c>
      <c r="I2132" s="1549"/>
      <c r="J2132" s="1549"/>
      <c r="K2132" s="1549"/>
      <c r="L2132" s="1549"/>
      <c r="M2132" s="1549"/>
      <c r="N2132" s="1550"/>
      <c r="O2132" s="1551" t="s">
        <v>5366</v>
      </c>
      <c r="P2132" s="425"/>
      <c r="Q2132" s="442"/>
      <c r="R2132" s="442"/>
      <c r="S2132" s="364"/>
      <c r="Z2132" s="609" t="s">
        <v>849</v>
      </c>
      <c r="AA2132" s="609" t="s">
        <v>3401</v>
      </c>
    </row>
    <row r="2133" spans="1:27" ht="18">
      <c r="A2133" s="2712"/>
      <c r="B2133" s="371"/>
      <c r="C2133" s="371" t="s">
        <v>2565</v>
      </c>
      <c r="D2133" s="2714"/>
      <c r="F2133" s="293"/>
      <c r="G2133" s="604" t="str">
        <f>"注释A:"&amp; G2072</f>
        <v>注释A:合       计</v>
      </c>
      <c r="H2133" s="351"/>
      <c r="I2133" s="1541"/>
      <c r="J2133" s="1541"/>
      <c r="K2133" s="1541"/>
      <c r="L2133" s="1541"/>
      <c r="M2133" s="1541"/>
      <c r="N2133" s="2653">
        <f ca="1">HYPERLINK("#'"&amp;$G$1&amp;"'!"&amp;ADDRESS(ROW(Notes!I2072),COLUMN(Notes!I2072),4),I2072)</f>
        <v>0</v>
      </c>
      <c r="O2133" s="2634" t="str">
        <f>H2065</f>
        <v>1508c</v>
      </c>
      <c r="P2133" s="425"/>
      <c r="Q2133" s="442"/>
      <c r="R2133" s="442"/>
      <c r="S2133" s="364"/>
      <c r="Z2133" s="609" t="s">
        <v>849</v>
      </c>
      <c r="AA2133" s="609" t="s">
        <v>3401</v>
      </c>
    </row>
    <row r="2134" spans="1:27" ht="18">
      <c r="A2134" s="2712"/>
      <c r="B2134" s="371"/>
      <c r="C2134" s="371" t="s">
        <v>2565</v>
      </c>
      <c r="D2134" s="2714"/>
      <c r="F2134" s="293"/>
      <c r="G2134" s="604" t="str">
        <f>"本注释B:"&amp; G2130</f>
        <v>本注释B:合       计</v>
      </c>
      <c r="H2134" s="351"/>
      <c r="I2134" s="1541"/>
      <c r="J2134" s="1541"/>
      <c r="K2134" s="1541"/>
      <c r="L2134" s="1541"/>
      <c r="M2134" s="1541"/>
      <c r="N2134" s="1542">
        <f>N2130</f>
        <v>0</v>
      </c>
      <c r="O2134" s="2637" t="s">
        <v>898</v>
      </c>
      <c r="P2134" s="425"/>
      <c r="Q2134" s="442"/>
      <c r="R2134" s="442"/>
      <c r="S2134" s="364"/>
      <c r="Z2134" s="609" t="s">
        <v>849</v>
      </c>
      <c r="AA2134" s="609" t="s">
        <v>3401</v>
      </c>
    </row>
    <row r="2135" spans="1:27" ht="18.75" thickBot="1">
      <c r="A2135" s="2712"/>
      <c r="B2135" s="371"/>
      <c r="C2135" s="371" t="s">
        <v>2565</v>
      </c>
      <c r="D2135" s="2714"/>
      <c r="F2135" s="293"/>
      <c r="G2135" s="1552" t="s">
        <v>2757</v>
      </c>
      <c r="H2135" s="1553"/>
      <c r="I2135" s="1554"/>
      <c r="J2135" s="1554"/>
      <c r="K2135" s="1554"/>
      <c r="L2135" s="1554"/>
      <c r="M2135" s="1554"/>
      <c r="N2135" s="1555">
        <f ca="1">IF(AND(N2133="",N2134=""),"",ROUND(N2133-N2134,2))</f>
        <v>0</v>
      </c>
      <c r="O2135" s="1554"/>
      <c r="P2135" s="425"/>
      <c r="Q2135" s="442"/>
      <c r="R2135" s="442"/>
      <c r="S2135" s="364"/>
      <c r="Z2135" s="609" t="s">
        <v>849</v>
      </c>
      <c r="AA2135" s="609" t="s">
        <v>3401</v>
      </c>
    </row>
    <row r="2136" spans="1:27" ht="18.75" thickTop="1">
      <c r="A2136" s="2712"/>
      <c r="B2136" s="371"/>
      <c r="C2136" s="371" t="s">
        <v>2565</v>
      </c>
      <c r="D2136" s="2714"/>
      <c r="F2136" s="293"/>
      <c r="G2136" s="1543"/>
      <c r="H2136" s="317"/>
      <c r="I2136" s="1545"/>
      <c r="J2136" s="1545"/>
      <c r="K2136" s="1545"/>
      <c r="L2136" s="1545"/>
      <c r="M2136" s="1545"/>
      <c r="N2136" s="1556" t="str">
        <f ca="1">IF(OR(N2135=0,N2135=""),"√","？")</f>
        <v>√</v>
      </c>
      <c r="O2136" s="1545"/>
      <c r="P2136" s="425"/>
      <c r="Q2136" s="442"/>
      <c r="R2136" s="442"/>
      <c r="S2136" s="364"/>
      <c r="Z2136" s="609" t="s">
        <v>849</v>
      </c>
      <c r="AA2136" s="609" t="s">
        <v>3401</v>
      </c>
    </row>
    <row r="2137" spans="1:27" ht="18">
      <c r="A2137" s="2712"/>
      <c r="B2137" s="371"/>
      <c r="C2137" s="371" t="s">
        <v>2565</v>
      </c>
      <c r="D2137" s="2714"/>
      <c r="F2137" s="293"/>
      <c r="G2137" s="1557" t="s">
        <v>2759</v>
      </c>
      <c r="H2137" s="317"/>
      <c r="I2137" s="1545"/>
      <c r="J2137" s="1545"/>
      <c r="K2137" s="2255">
        <f ca="1">SUMIF($H$2136:$O$2136,"&lt;&gt;√",$H$2135:$O$2135)</f>
        <v>0</v>
      </c>
      <c r="L2137" s="2252" t="str">
        <f ca="1">IF(OR(K2137=0,K2137=""),"√","？")</f>
        <v>√</v>
      </c>
      <c r="M2137" s="1545"/>
      <c r="N2137" s="1546"/>
      <c r="O2137" s="1545"/>
      <c r="P2137" s="425"/>
      <c r="Q2137" s="442"/>
      <c r="R2137" s="442"/>
      <c r="S2137" s="364"/>
      <c r="Z2137" s="609" t="s">
        <v>849</v>
      </c>
      <c r="AA2137" s="609" t="s">
        <v>3401</v>
      </c>
    </row>
    <row r="2138" spans="1:27" ht="18">
      <c r="A2138" s="2712"/>
      <c r="B2138" s="371"/>
      <c r="C2138" s="371" t="s">
        <v>2565</v>
      </c>
      <c r="D2138" s="2714"/>
      <c r="F2138" s="293"/>
      <c r="G2138" s="1543"/>
      <c r="H2138" s="317"/>
      <c r="I2138" s="1545"/>
      <c r="J2138" s="1545"/>
      <c r="K2138" s="1545"/>
      <c r="L2138" s="1545"/>
      <c r="M2138" s="1545"/>
      <c r="N2138" s="1546"/>
      <c r="O2138" s="1545"/>
      <c r="P2138" s="425"/>
      <c r="Q2138" s="442"/>
      <c r="R2138" s="442"/>
      <c r="S2138" s="364"/>
      <c r="Z2138" s="609" t="s">
        <v>849</v>
      </c>
      <c r="AA2138" s="609" t="s">
        <v>3401</v>
      </c>
    </row>
    <row r="2139" spans="1:27" ht="24">
      <c r="A2139" s="2712" t="s">
        <v>880</v>
      </c>
      <c r="B2139" s="371">
        <v>4</v>
      </c>
      <c r="C2139" s="371"/>
      <c r="D2139" s="2714" t="str">
        <f>VLOOKUP($A2139,Sheet_NoteList,2,0)</f>
        <v>其他债权投资减值准备的变动情况（备选格式）</v>
      </c>
      <c r="E2139" s="2714" t="s">
        <v>2742</v>
      </c>
      <c r="F2139" s="293"/>
      <c r="G2139" s="372" t="str">
        <f>"("&amp;B2139&amp;")"&amp;D2139</f>
        <v>(4)其他债权投资减值准备的变动情况（备选格式）</v>
      </c>
      <c r="H2139" s="1515" t="str">
        <f>$A2139</f>
        <v>1508g</v>
      </c>
      <c r="I2139" s="343" t="s">
        <v>2743</v>
      </c>
      <c r="J2139" s="301" t="s">
        <v>2744</v>
      </c>
      <c r="K2139" s="2208">
        <f>H2156</f>
        <v>0</v>
      </c>
      <c r="L2139" s="349"/>
      <c r="M2139" s="301"/>
      <c r="N2139" s="391"/>
      <c r="O2139" s="349"/>
      <c r="P2139" s="301"/>
      <c r="S2139" s="364"/>
      <c r="Z2139" s="609" t="s">
        <v>849</v>
      </c>
      <c r="AA2139" s="609" t="s">
        <v>3401</v>
      </c>
    </row>
    <row r="2140" spans="1:27" ht="0.75" customHeight="1">
      <c r="A2140" s="2712"/>
      <c r="B2140" s="371"/>
      <c r="C2140" s="371"/>
      <c r="D2140" s="2714"/>
      <c r="F2140" s="371"/>
      <c r="G2140" s="405" t="s">
        <v>3424</v>
      </c>
      <c r="H2140" s="371" t="s">
        <v>2747</v>
      </c>
      <c r="I2140" s="371" t="s">
        <v>2748</v>
      </c>
      <c r="J2140" s="371" t="s">
        <v>2948</v>
      </c>
      <c r="K2140" s="547" t="s">
        <v>3034</v>
      </c>
      <c r="L2140" s="428"/>
      <c r="M2140" s="433"/>
      <c r="N2140" s="428"/>
      <c r="O2140" s="428"/>
      <c r="P2140" s="433"/>
      <c r="Q2140" s="442"/>
      <c r="R2140" s="443"/>
      <c r="S2140" s="364"/>
      <c r="Z2140" s="609" t="s">
        <v>849</v>
      </c>
      <c r="AA2140" s="609" t="s">
        <v>3401</v>
      </c>
    </row>
    <row r="2141" spans="1:27" ht="0.75" customHeight="1" thickBot="1">
      <c r="A2141" s="2712"/>
      <c r="B2141" s="371"/>
      <c r="C2141" s="371"/>
      <c r="D2141" s="2714"/>
      <c r="F2141" s="371"/>
      <c r="G2141" s="405"/>
      <c r="H2141" s="371" t="s">
        <v>3344</v>
      </c>
      <c r="I2141" s="371" t="s">
        <v>3345</v>
      </c>
      <c r="J2141" s="371" t="s">
        <v>3346</v>
      </c>
      <c r="K2141" s="547" t="s">
        <v>3347</v>
      </c>
      <c r="L2141" s="428"/>
      <c r="M2141" s="433"/>
      <c r="N2141" s="428"/>
      <c r="O2141" s="428"/>
      <c r="P2141" s="433"/>
      <c r="Q2141" s="442"/>
      <c r="R2141" s="443"/>
      <c r="S2141" s="364"/>
      <c r="Z2141" s="609" t="s">
        <v>849</v>
      </c>
      <c r="AA2141" s="609" t="s">
        <v>3401</v>
      </c>
    </row>
    <row r="2142" spans="1:27" ht="18" customHeight="1">
      <c r="A2142" s="2712"/>
      <c r="B2142" s="371"/>
      <c r="C2142" s="371"/>
      <c r="D2142" s="2714"/>
      <c r="E2142" s="2714" t="s">
        <v>2749</v>
      </c>
      <c r="F2142" s="293"/>
      <c r="G2142" s="3478" t="s">
        <v>5851</v>
      </c>
      <c r="H2142" s="2289" t="s">
        <v>3348</v>
      </c>
      <c r="I2142" s="2289" t="s">
        <v>3349</v>
      </c>
      <c r="J2142" s="2289" t="s">
        <v>3350</v>
      </c>
      <c r="K2142" s="3620" t="s">
        <v>3351</v>
      </c>
      <c r="L2142" s="355" t="s">
        <v>5278</v>
      </c>
      <c r="M2142" s="433"/>
      <c r="N2142" s="428"/>
      <c r="O2142" s="428"/>
      <c r="P2142" s="433"/>
      <c r="Q2142" s="442"/>
      <c r="R2142" s="443"/>
      <c r="S2142" s="364"/>
      <c r="Z2142" s="609" t="s">
        <v>849</v>
      </c>
      <c r="AA2142" s="609" t="s">
        <v>3401</v>
      </c>
    </row>
    <row r="2143" spans="1:27" ht="36">
      <c r="A2143" s="2712"/>
      <c r="B2143" s="371"/>
      <c r="C2143" s="371"/>
      <c r="D2143" s="2714"/>
      <c r="E2143" s="2714" t="s">
        <v>2749</v>
      </c>
      <c r="F2143" s="293"/>
      <c r="G2143" s="3479"/>
      <c r="H2143" s="2292" t="s">
        <v>3352</v>
      </c>
      <c r="I2143" s="2292" t="s">
        <v>3353</v>
      </c>
      <c r="J2143" s="2292" t="s">
        <v>3354</v>
      </c>
      <c r="K2143" s="3621"/>
      <c r="L2143" s="434"/>
      <c r="M2143" s="435"/>
      <c r="N2143" s="434"/>
      <c r="O2143" s="434"/>
      <c r="P2143" s="435"/>
      <c r="Q2143" s="442"/>
      <c r="R2143" s="443"/>
      <c r="S2143" s="364"/>
      <c r="Z2143" s="609" t="s">
        <v>849</v>
      </c>
      <c r="AA2143" s="609" t="s">
        <v>3401</v>
      </c>
    </row>
    <row r="2144" spans="1:27" ht="18">
      <c r="A2144" s="2712"/>
      <c r="B2144" s="371">
        <v>101</v>
      </c>
      <c r="C2144" s="371"/>
      <c r="D2144" s="2714">
        <f t="shared" ref="D2144:D2156" si="218">IF(OR(G2144="*",G2144="",G2144=0),0,COUNTIF($G$2144:$G$2156,G2144))</f>
        <v>1</v>
      </c>
      <c r="E2144" s="2719">
        <v>1</v>
      </c>
      <c r="F2144" s="293"/>
      <c r="G2144" s="308" t="str">
        <f>$X$3&amp;"余额"</f>
        <v>2019年1月1日余额</v>
      </c>
      <c r="H2144" s="309"/>
      <c r="I2144" s="422"/>
      <c r="J2144" s="309"/>
      <c r="K2144" s="361">
        <f>SUM(H2144:J2144)</f>
        <v>0</v>
      </c>
      <c r="L2144" s="437"/>
      <c r="M2144" s="438"/>
      <c r="N2144" s="439"/>
      <c r="O2144" s="437"/>
      <c r="P2144" s="438"/>
      <c r="Q2144" s="442"/>
      <c r="R2144" s="443"/>
      <c r="S2144" s="364"/>
      <c r="Z2144" s="609" t="s">
        <v>849</v>
      </c>
      <c r="AA2144" s="609" t="s">
        <v>3401</v>
      </c>
    </row>
    <row r="2145" spans="1:27" ht="18">
      <c r="A2145" s="2712"/>
      <c r="B2145" s="371">
        <v>102</v>
      </c>
      <c r="C2145" s="371"/>
      <c r="D2145" s="2714">
        <f t="shared" si="218"/>
        <v>1</v>
      </c>
      <c r="E2145" s="2719" t="s">
        <v>41</v>
      </c>
      <c r="F2145" s="293"/>
      <c r="G2145" s="308" t="str">
        <f>$X$3&amp;"余额在本期"</f>
        <v>2019年1月1日余额在本期</v>
      </c>
      <c r="H2145" s="309"/>
      <c r="I2145" s="422"/>
      <c r="J2145" s="309"/>
      <c r="K2145" s="361"/>
      <c r="L2145" s="437"/>
      <c r="M2145" s="438"/>
      <c r="N2145" s="439"/>
      <c r="O2145" s="437"/>
      <c r="P2145" s="438"/>
      <c r="Q2145" s="442"/>
      <c r="R2145" s="443"/>
      <c r="S2145" s="364"/>
      <c r="Z2145" s="609" t="s">
        <v>849</v>
      </c>
      <c r="AA2145" s="609" t="s">
        <v>3401</v>
      </c>
    </row>
    <row r="2146" spans="1:27" ht="24">
      <c r="A2146" s="2712"/>
      <c r="B2146" s="371">
        <v>103</v>
      </c>
      <c r="C2146" s="371"/>
      <c r="D2146" s="2714">
        <f t="shared" si="218"/>
        <v>1</v>
      </c>
      <c r="E2146" s="2719">
        <v>1</v>
      </c>
      <c r="F2146" s="293"/>
      <c r="G2146" s="578" t="s">
        <v>5200</v>
      </c>
      <c r="H2146" s="309"/>
      <c r="I2146" s="1463">
        <v>0</v>
      </c>
      <c r="J2146" s="1463">
        <v>0</v>
      </c>
      <c r="K2146" s="361">
        <f>SUM(H2146:J2146)</f>
        <v>0</v>
      </c>
      <c r="L2146" s="1491"/>
      <c r="M2146" s="438"/>
      <c r="N2146" s="439"/>
      <c r="O2146" s="437"/>
      <c r="P2146" s="438"/>
      <c r="Q2146" s="442"/>
      <c r="R2146" s="443"/>
      <c r="S2146" s="364"/>
      <c r="Z2146" s="609" t="s">
        <v>849</v>
      </c>
      <c r="AA2146" s="609" t="s">
        <v>3401</v>
      </c>
    </row>
    <row r="2147" spans="1:27" ht="24">
      <c r="A2147" s="2712"/>
      <c r="B2147" s="371">
        <v>104</v>
      </c>
      <c r="C2147" s="371"/>
      <c r="D2147" s="2714">
        <f t="shared" si="218"/>
        <v>1</v>
      </c>
      <c r="E2147" s="2719">
        <v>1</v>
      </c>
      <c r="F2147" s="293"/>
      <c r="G2147" s="578" t="s">
        <v>5201</v>
      </c>
      <c r="H2147" s="309"/>
      <c r="I2147" s="309"/>
      <c r="J2147" s="1463">
        <v>0</v>
      </c>
      <c r="K2147" s="361">
        <f t="shared" ref="K2147:K2155" si="219">SUM(H2147:J2147)</f>
        <v>0</v>
      </c>
      <c r="L2147" s="1491"/>
      <c r="M2147" s="438"/>
      <c r="N2147" s="439"/>
      <c r="O2147" s="437"/>
      <c r="P2147" s="438"/>
      <c r="Q2147" s="442"/>
      <c r="R2147" s="443"/>
      <c r="S2147" s="364"/>
      <c r="Z2147" s="609" t="s">
        <v>849</v>
      </c>
      <c r="AA2147" s="609" t="s">
        <v>3401</v>
      </c>
    </row>
    <row r="2148" spans="1:27" ht="24">
      <c r="A2148" s="2712"/>
      <c r="B2148" s="371">
        <v>105</v>
      </c>
      <c r="C2148" s="371"/>
      <c r="D2148" s="2714">
        <f t="shared" si="218"/>
        <v>1</v>
      </c>
      <c r="E2148" s="2719">
        <v>1</v>
      </c>
      <c r="F2148" s="293"/>
      <c r="G2148" s="578" t="s">
        <v>5202</v>
      </c>
      <c r="H2148" s="1463">
        <v>0</v>
      </c>
      <c r="I2148" s="1463">
        <v>0</v>
      </c>
      <c r="J2148" s="309"/>
      <c r="K2148" s="361">
        <f t="shared" si="219"/>
        <v>0</v>
      </c>
      <c r="L2148" s="1491"/>
      <c r="M2148" s="438"/>
      <c r="N2148" s="439"/>
      <c r="O2148" s="437"/>
      <c r="P2148" s="438"/>
      <c r="Q2148" s="442"/>
      <c r="R2148" s="443"/>
      <c r="S2148" s="364"/>
      <c r="Z2148" s="609" t="s">
        <v>849</v>
      </c>
      <c r="AA2148" s="609" t="s">
        <v>3401</v>
      </c>
    </row>
    <row r="2149" spans="1:27" ht="24">
      <c r="A2149" s="2712"/>
      <c r="B2149" s="371">
        <v>106</v>
      </c>
      <c r="C2149" s="371"/>
      <c r="D2149" s="2714">
        <f t="shared" si="218"/>
        <v>1</v>
      </c>
      <c r="E2149" s="2719">
        <v>1</v>
      </c>
      <c r="F2149" s="293"/>
      <c r="G2149" s="578" t="s">
        <v>5203</v>
      </c>
      <c r="H2149" s="1463">
        <v>0</v>
      </c>
      <c r="I2149" s="309"/>
      <c r="J2149" s="309"/>
      <c r="K2149" s="361">
        <f t="shared" si="219"/>
        <v>0</v>
      </c>
      <c r="L2149" s="1491"/>
      <c r="M2149" s="438"/>
      <c r="N2149" s="439"/>
      <c r="O2149" s="437"/>
      <c r="P2149" s="438"/>
      <c r="Q2149" s="442"/>
      <c r="R2149" s="443"/>
      <c r="S2149" s="364"/>
      <c r="Z2149" s="609" t="s">
        <v>849</v>
      </c>
      <c r="AA2149" s="609" t="s">
        <v>3401</v>
      </c>
    </row>
    <row r="2150" spans="1:27" ht="18">
      <c r="A2150" s="2712"/>
      <c r="B2150" s="371">
        <v>107</v>
      </c>
      <c r="C2150" s="371"/>
      <c r="D2150" s="2714">
        <f t="shared" si="218"/>
        <v>1</v>
      </c>
      <c r="E2150" s="2719">
        <v>1</v>
      </c>
      <c r="F2150" s="293"/>
      <c r="G2150" s="1484" t="s">
        <v>5204</v>
      </c>
      <c r="H2150" s="309"/>
      <c r="I2150" s="422"/>
      <c r="J2150" s="309"/>
      <c r="K2150" s="361">
        <f t="shared" si="219"/>
        <v>0</v>
      </c>
      <c r="L2150" s="437"/>
      <c r="M2150" s="438"/>
      <c r="N2150" s="439"/>
      <c r="O2150" s="437"/>
      <c r="P2150" s="438"/>
      <c r="Q2150" s="442"/>
      <c r="R2150" s="443"/>
      <c r="S2150" s="364"/>
      <c r="Z2150" s="609" t="s">
        <v>849</v>
      </c>
      <c r="AA2150" s="609" t="s">
        <v>3401</v>
      </c>
    </row>
    <row r="2151" spans="1:27" ht="18">
      <c r="A2151" s="2712"/>
      <c r="B2151" s="371">
        <v>108</v>
      </c>
      <c r="C2151" s="371"/>
      <c r="D2151" s="2714">
        <f t="shared" si="218"/>
        <v>1</v>
      </c>
      <c r="E2151" s="2719">
        <v>-1</v>
      </c>
      <c r="F2151" s="293"/>
      <c r="G2151" s="1484" t="s">
        <v>5205</v>
      </c>
      <c r="H2151" s="309"/>
      <c r="I2151" s="422"/>
      <c r="J2151" s="309"/>
      <c r="K2151" s="361">
        <f t="shared" si="219"/>
        <v>0</v>
      </c>
      <c r="L2151" s="437"/>
      <c r="M2151" s="438"/>
      <c r="N2151" s="439"/>
      <c r="O2151" s="437"/>
      <c r="P2151" s="438"/>
      <c r="Q2151" s="442"/>
      <c r="R2151" s="443"/>
      <c r="S2151" s="364"/>
      <c r="Z2151" s="609" t="s">
        <v>849</v>
      </c>
      <c r="AA2151" s="609" t="s">
        <v>3401</v>
      </c>
    </row>
    <row r="2152" spans="1:27" ht="18">
      <c r="A2152" s="2712"/>
      <c r="B2152" s="371">
        <v>109</v>
      </c>
      <c r="C2152" s="371"/>
      <c r="D2152" s="2714">
        <f t="shared" si="218"/>
        <v>1</v>
      </c>
      <c r="E2152" s="2719">
        <v>-1</v>
      </c>
      <c r="F2152" s="293"/>
      <c r="G2152" s="578" t="s">
        <v>3356</v>
      </c>
      <c r="H2152" s="309"/>
      <c r="I2152" s="422"/>
      <c r="J2152" s="309"/>
      <c r="K2152" s="361">
        <f t="shared" si="219"/>
        <v>0</v>
      </c>
      <c r="L2152" s="437"/>
      <c r="M2152" s="438"/>
      <c r="N2152" s="439"/>
      <c r="O2152" s="437"/>
      <c r="P2152" s="438"/>
      <c r="Q2152" s="442"/>
      <c r="R2152" s="443"/>
      <c r="S2152" s="364"/>
      <c r="Z2152" s="609" t="s">
        <v>849</v>
      </c>
      <c r="AA2152" s="609" t="s">
        <v>3401</v>
      </c>
    </row>
    <row r="2153" spans="1:27" ht="18">
      <c r="A2153" s="2712"/>
      <c r="B2153" s="371">
        <v>110</v>
      </c>
      <c r="C2153" s="371"/>
      <c r="D2153" s="2714">
        <f t="shared" si="218"/>
        <v>1</v>
      </c>
      <c r="E2153" s="2719">
        <v>-1</v>
      </c>
      <c r="F2153" s="293"/>
      <c r="G2153" s="578" t="s">
        <v>3357</v>
      </c>
      <c r="H2153" s="309"/>
      <c r="I2153" s="422"/>
      <c r="J2153" s="309"/>
      <c r="K2153" s="361">
        <f t="shared" si="219"/>
        <v>0</v>
      </c>
      <c r="L2153" s="437"/>
      <c r="M2153" s="438"/>
      <c r="N2153" s="439"/>
      <c r="O2153" s="437"/>
      <c r="P2153" s="438"/>
      <c r="Q2153" s="442"/>
      <c r="R2153" s="443"/>
      <c r="S2153" s="364"/>
      <c r="Z2153" s="609" t="s">
        <v>849</v>
      </c>
      <c r="AA2153" s="609" t="s">
        <v>3401</v>
      </c>
    </row>
    <row r="2154" spans="1:27" ht="24">
      <c r="A2154" s="2712"/>
      <c r="B2154" s="371">
        <v>111</v>
      </c>
      <c r="C2154" s="371"/>
      <c r="D2154" s="2714">
        <f t="shared" si="218"/>
        <v>1</v>
      </c>
      <c r="E2154" s="2719">
        <v>1</v>
      </c>
      <c r="F2154" s="293"/>
      <c r="G2154" s="1484" t="s">
        <v>5206</v>
      </c>
      <c r="H2154" s="309"/>
      <c r="I2154" s="422"/>
      <c r="J2154" s="309"/>
      <c r="K2154" s="361">
        <f t="shared" si="219"/>
        <v>0</v>
      </c>
      <c r="L2154" s="437"/>
      <c r="M2154" s="438"/>
      <c r="N2154" s="439"/>
      <c r="O2154" s="437"/>
      <c r="P2154" s="438"/>
      <c r="Q2154" s="442"/>
      <c r="R2154" s="443"/>
      <c r="S2154" s="364"/>
      <c r="Z2154" s="609" t="s">
        <v>849</v>
      </c>
      <c r="AA2154" s="609" t="s">
        <v>3401</v>
      </c>
    </row>
    <row r="2155" spans="1:27" ht="18">
      <c r="A2155" s="2712"/>
      <c r="B2155" s="371">
        <v>112</v>
      </c>
      <c r="C2155" s="371" t="s">
        <v>2791</v>
      </c>
      <c r="D2155" s="2714">
        <f t="shared" si="218"/>
        <v>0</v>
      </c>
      <c r="E2155" s="2719">
        <v>1</v>
      </c>
      <c r="F2155" s="293"/>
      <c r="G2155" s="1462" t="s">
        <v>5145</v>
      </c>
      <c r="H2155" s="309"/>
      <c r="I2155" s="422"/>
      <c r="J2155" s="309"/>
      <c r="K2155" s="361">
        <f t="shared" si="219"/>
        <v>0</v>
      </c>
      <c r="L2155" s="437"/>
      <c r="M2155" s="438"/>
      <c r="N2155" s="439"/>
      <c r="O2155" s="437"/>
      <c r="P2155" s="438"/>
      <c r="Q2155" s="442"/>
      <c r="R2155" s="443"/>
      <c r="S2155" s="364"/>
      <c r="Z2155" s="609" t="s">
        <v>849</v>
      </c>
      <c r="AA2155" s="609" t="s">
        <v>3401</v>
      </c>
    </row>
    <row r="2156" spans="1:27" ht="18.75" thickBot="1">
      <c r="A2156" s="2712"/>
      <c r="B2156" s="371"/>
      <c r="C2156" s="371"/>
      <c r="D2156" s="2714">
        <f t="shared" si="218"/>
        <v>1</v>
      </c>
      <c r="E2156" s="2719" t="s">
        <v>2751</v>
      </c>
      <c r="F2156" s="293"/>
      <c r="G2156" s="2232" t="str">
        <f>$W$2&amp;"余额"</f>
        <v>2019年12月31日余额</v>
      </c>
      <c r="H2156" s="2323">
        <f>SUMPRODUCT($E2143:$E2155,H2143:H2155)</f>
        <v>0</v>
      </c>
      <c r="I2156" s="2323">
        <f>SUMPRODUCT($E2143:$E2155,I2143:I2155)</f>
        <v>0</v>
      </c>
      <c r="J2156" s="2323">
        <f>SUMPRODUCT($E2143:$E2155,J2143:J2155)</f>
        <v>0</v>
      </c>
      <c r="K2156" s="2340">
        <f>SUMPRODUCT($E2143:$E2155,K2143:K2155)</f>
        <v>0</v>
      </c>
      <c r="L2156" s="437"/>
      <c r="M2156" s="440"/>
      <c r="N2156" s="439"/>
      <c r="O2156" s="437"/>
      <c r="P2156" s="440"/>
      <c r="Q2156" s="442"/>
      <c r="R2156" s="443"/>
      <c r="S2156" s="364"/>
      <c r="Z2156" s="609" t="s">
        <v>849</v>
      </c>
      <c r="AA2156" s="609" t="s">
        <v>3401</v>
      </c>
    </row>
    <row r="2157" spans="1:27" ht="18">
      <c r="A2157" s="2712"/>
      <c r="B2157" s="371"/>
      <c r="C2157" s="371" t="s">
        <v>2755</v>
      </c>
      <c r="D2157" s="2714"/>
      <c r="F2157" s="293"/>
      <c r="G2157" s="376"/>
      <c r="H2157" s="315"/>
      <c r="I2157" s="396"/>
      <c r="J2157" s="315"/>
      <c r="K2157" s="423"/>
      <c r="L2157" s="427"/>
      <c r="M2157" s="425"/>
      <c r="N2157" s="426"/>
      <c r="O2157" s="427"/>
      <c r="P2157" s="425"/>
      <c r="Q2157" s="442"/>
      <c r="R2157" s="443"/>
      <c r="S2157" s="364"/>
      <c r="Z2157" s="609" t="s">
        <v>849</v>
      </c>
      <c r="AA2157" s="609" t="s">
        <v>3401</v>
      </c>
    </row>
    <row r="2158" spans="1:27" ht="18">
      <c r="A2158" s="2712">
        <v>1501</v>
      </c>
      <c r="B2158" s="371">
        <v>17</v>
      </c>
      <c r="C2158" s="2714" t="str">
        <f>VLOOKUP($A2158,Sheet_Items,2,0)</f>
        <v>持有至到期投资</v>
      </c>
      <c r="D2158" s="371"/>
      <c r="E2158" s="2714" t="s">
        <v>2739</v>
      </c>
      <c r="F2158" s="294"/>
      <c r="G2158" s="305" t="str">
        <f>B2158&amp;" "&amp;C2158</f>
        <v>17 持有至到期投资</v>
      </c>
      <c r="H2158" s="306"/>
      <c r="I2158" s="306"/>
      <c r="J2158" s="306" t="s">
        <v>2740</v>
      </c>
      <c r="K2158" s="341">
        <f>VLOOKUP($A2158,Sheet_Trialbal,6,0)</f>
        <v>0</v>
      </c>
      <c r="L2158" s="342"/>
      <c r="M2158" s="306" t="s">
        <v>2741</v>
      </c>
      <c r="N2158" s="341">
        <f>VLOOKUP($A2158,Sheet_Trialbal,10,0)</f>
        <v>0</v>
      </c>
      <c r="O2158" s="306"/>
      <c r="P2158" s="301"/>
      <c r="S2158" s="364"/>
      <c r="Z2158" s="609" t="s">
        <v>904</v>
      </c>
      <c r="AA2158" s="609" t="s">
        <v>5659</v>
      </c>
    </row>
    <row r="2159" spans="1:27" ht="18">
      <c r="A2159" s="2712" t="s">
        <v>902</v>
      </c>
      <c r="B2159" s="371">
        <v>1</v>
      </c>
      <c r="C2159" s="371"/>
      <c r="D2159" s="2714" t="str">
        <f>VLOOKUP($A2159,Sheet_NoteList,2,0)</f>
        <v>持有至到期投资情况</v>
      </c>
      <c r="E2159" s="2714" t="s">
        <v>2742</v>
      </c>
      <c r="F2159" s="294"/>
      <c r="G2159" s="307" t="str">
        <f>"("&amp;B2159&amp;")"&amp;D2159</f>
        <v>(1)持有至到期投资情况</v>
      </c>
      <c r="H2159" s="1515" t="str">
        <f>$A2159</f>
        <v>1501a</v>
      </c>
      <c r="I2159" s="343" t="s">
        <v>2743</v>
      </c>
      <c r="J2159" s="301" t="s">
        <v>2744</v>
      </c>
      <c r="K2159" s="2208">
        <f>J2171</f>
        <v>0</v>
      </c>
      <c r="L2159" s="345" t="str">
        <f>IF($I2159="适用",IF(ROUND(K2158-K2159,2)=0,"F/S",ROUND(K2158-K2159,2)),"#N/A")</f>
        <v>F/S</v>
      </c>
      <c r="M2159" s="301" t="s">
        <v>2745</v>
      </c>
      <c r="N2159" s="2208">
        <f>M2171</f>
        <v>0</v>
      </c>
      <c r="O2159" s="345" t="str">
        <f>IF($I2159="适用",IF(ROUND(N2158-N2159,2)=0,"F/S",ROUND(N2158-N2159,2)),"#N/A")</f>
        <v>F/S</v>
      </c>
      <c r="P2159" s="301"/>
      <c r="Q2159" s="290" t="str">
        <f>IF($I2159="不适用","",IF(ROUND(SUM($H$2164:$M$2171),2)=0,"请输入",""))</f>
        <v>请输入</v>
      </c>
      <c r="S2159" s="364"/>
      <c r="Z2159" s="609" t="s">
        <v>904</v>
      </c>
      <c r="AA2159" s="609" t="s">
        <v>5659</v>
      </c>
    </row>
    <row r="2160" spans="1:27" ht="0.75" customHeight="1">
      <c r="A2160" s="2712"/>
      <c r="B2160" s="371">
        <v>0.124</v>
      </c>
      <c r="C2160" s="371"/>
      <c r="D2160" s="371"/>
      <c r="F2160" s="371"/>
      <c r="G2160" s="371" t="s">
        <v>3429</v>
      </c>
      <c r="H2160" s="371" t="s">
        <v>2882</v>
      </c>
      <c r="I2160" s="371" t="s">
        <v>3365</v>
      </c>
      <c r="J2160" s="371" t="s">
        <v>3208</v>
      </c>
      <c r="K2160" s="371" t="s">
        <v>3209</v>
      </c>
      <c r="L2160" s="371" t="s">
        <v>3366</v>
      </c>
      <c r="M2160" s="371" t="s">
        <v>3211</v>
      </c>
      <c r="S2160" s="364"/>
      <c r="Z2160" s="609" t="s">
        <v>904</v>
      </c>
      <c r="AA2160" s="609" t="s">
        <v>5659</v>
      </c>
    </row>
    <row r="2161" spans="1:27" ht="0.75" customHeight="1" thickBot="1">
      <c r="A2161" s="2712"/>
      <c r="B2161" s="371">
        <v>0.125</v>
      </c>
      <c r="C2161" s="371"/>
      <c r="D2161" s="371"/>
      <c r="F2161" s="371"/>
      <c r="G2161" s="371"/>
      <c r="H2161" s="371" t="s">
        <v>2855</v>
      </c>
      <c r="I2161" s="371" t="s">
        <v>3096</v>
      </c>
      <c r="J2161" s="371" t="s">
        <v>2857</v>
      </c>
      <c r="K2161" s="371" t="s">
        <v>3213</v>
      </c>
      <c r="L2161" s="371" t="s">
        <v>3367</v>
      </c>
      <c r="M2161" s="371" t="s">
        <v>3215</v>
      </c>
      <c r="S2161" s="364"/>
      <c r="Z2161" s="609" t="s">
        <v>904</v>
      </c>
      <c r="AA2161" s="609" t="s">
        <v>5659</v>
      </c>
    </row>
    <row r="2162" spans="1:27" ht="18" customHeight="1">
      <c r="A2162" s="2712"/>
      <c r="B2162" s="371"/>
      <c r="C2162" s="371"/>
      <c r="D2162" s="371"/>
      <c r="E2162" s="2714" t="s">
        <v>2749</v>
      </c>
      <c r="F2162" s="387"/>
      <c r="G2162" s="3539" t="s">
        <v>47</v>
      </c>
      <c r="H2162" s="3576" t="str">
        <f>$V$2</f>
        <v>2019年12月31日</v>
      </c>
      <c r="I2162" s="3561"/>
      <c r="J2162" s="3577"/>
      <c r="K2162" s="3560" t="str">
        <f>$V$3</f>
        <v>2018年12月31日</v>
      </c>
      <c r="L2162" s="3561"/>
      <c r="M2162" s="3561"/>
      <c r="N2162" s="355" t="s">
        <v>5279</v>
      </c>
      <c r="S2162" s="364"/>
      <c r="Z2162" s="609" t="s">
        <v>904</v>
      </c>
      <c r="AA2162" s="609" t="s">
        <v>5659</v>
      </c>
    </row>
    <row r="2163" spans="1:27" ht="18">
      <c r="A2163" s="2712"/>
      <c r="B2163" s="371"/>
      <c r="C2163" s="371"/>
      <c r="D2163" s="371"/>
      <c r="E2163" s="2714" t="s">
        <v>2749</v>
      </c>
      <c r="F2163" s="294"/>
      <c r="G2163" s="3540"/>
      <c r="H2163" s="554" t="s">
        <v>2861</v>
      </c>
      <c r="I2163" s="554" t="s">
        <v>3097</v>
      </c>
      <c r="J2163" s="555" t="s">
        <v>2863</v>
      </c>
      <c r="K2163" s="555" t="s">
        <v>2861</v>
      </c>
      <c r="L2163" s="555" t="s">
        <v>3097</v>
      </c>
      <c r="M2163" s="556" t="s">
        <v>2863</v>
      </c>
      <c r="S2163" s="364"/>
      <c r="Z2163" s="609" t="s">
        <v>904</v>
      </c>
      <c r="AA2163" s="609" t="s">
        <v>5659</v>
      </c>
    </row>
    <row r="2164" spans="1:27" ht="18">
      <c r="A2164" s="2712"/>
      <c r="B2164" s="371">
        <v>101</v>
      </c>
      <c r="C2164" s="371" t="s">
        <v>2791</v>
      </c>
      <c r="D2164" s="2714">
        <f t="shared" ref="D2164:D2171" si="220">IF(OR(G2164="*",G2164="",G2164=0),0,COUNTIF($G$2164:$G$2171,G2164))</f>
        <v>0</v>
      </c>
      <c r="E2164" s="2719">
        <v>1</v>
      </c>
      <c r="F2164" s="294"/>
      <c r="G2164" s="409" t="s">
        <v>2792</v>
      </c>
      <c r="H2164" s="2327">
        <v>0</v>
      </c>
      <c r="I2164" s="2327">
        <v>0</v>
      </c>
      <c r="J2164" s="2327">
        <v>0</v>
      </c>
      <c r="K2164" s="383"/>
      <c r="L2164" s="383"/>
      <c r="M2164" s="401">
        <f t="shared" ref="M2164:M2170" si="221">K2164-L2164</f>
        <v>0</v>
      </c>
      <c r="S2164" s="364"/>
      <c r="Z2164" s="609" t="s">
        <v>904</v>
      </c>
      <c r="AA2164" s="609" t="s">
        <v>5659</v>
      </c>
    </row>
    <row r="2165" spans="1:27" ht="18">
      <c r="A2165" s="2712"/>
      <c r="B2165" s="371">
        <v>102</v>
      </c>
      <c r="C2165" s="371" t="s">
        <v>2791</v>
      </c>
      <c r="D2165" s="2714">
        <f t="shared" si="220"/>
        <v>0</v>
      </c>
      <c r="E2165" s="2719">
        <v>1</v>
      </c>
      <c r="F2165" s="294"/>
      <c r="G2165" s="409" t="s">
        <v>2792</v>
      </c>
      <c r="H2165" s="2327">
        <v>0</v>
      </c>
      <c r="I2165" s="2327">
        <v>0</v>
      </c>
      <c r="J2165" s="2327">
        <v>0</v>
      </c>
      <c r="K2165" s="383"/>
      <c r="L2165" s="383"/>
      <c r="M2165" s="401">
        <f t="shared" si="221"/>
        <v>0</v>
      </c>
      <c r="S2165" s="364"/>
      <c r="Z2165" s="609" t="s">
        <v>904</v>
      </c>
      <c r="AA2165" s="609" t="s">
        <v>5659</v>
      </c>
    </row>
    <row r="2166" spans="1:27" ht="18">
      <c r="A2166" s="2712"/>
      <c r="B2166" s="371">
        <v>103</v>
      </c>
      <c r="C2166" s="371" t="s">
        <v>2791</v>
      </c>
      <c r="D2166" s="2714">
        <f t="shared" si="220"/>
        <v>0</v>
      </c>
      <c r="E2166" s="2719">
        <v>1</v>
      </c>
      <c r="F2166" s="294"/>
      <c r="G2166" s="409" t="s">
        <v>2792</v>
      </c>
      <c r="H2166" s="2327">
        <v>0</v>
      </c>
      <c r="I2166" s="2327">
        <v>0</v>
      </c>
      <c r="J2166" s="2327">
        <v>0</v>
      </c>
      <c r="K2166" s="383"/>
      <c r="L2166" s="383"/>
      <c r="M2166" s="401">
        <f t="shared" si="221"/>
        <v>0</v>
      </c>
      <c r="S2166" s="364"/>
      <c r="Z2166" s="609" t="s">
        <v>904</v>
      </c>
      <c r="AA2166" s="609" t="s">
        <v>5659</v>
      </c>
    </row>
    <row r="2167" spans="1:27" ht="18">
      <c r="A2167" s="2712"/>
      <c r="B2167" s="371">
        <v>104</v>
      </c>
      <c r="C2167" s="371" t="s">
        <v>2791</v>
      </c>
      <c r="D2167" s="2714">
        <f t="shared" si="220"/>
        <v>0</v>
      </c>
      <c r="E2167" s="2719">
        <v>1</v>
      </c>
      <c r="F2167" s="294"/>
      <c r="G2167" s="409" t="s">
        <v>2792</v>
      </c>
      <c r="H2167" s="2327">
        <v>0</v>
      </c>
      <c r="I2167" s="2327">
        <v>0</v>
      </c>
      <c r="J2167" s="2327">
        <v>0</v>
      </c>
      <c r="K2167" s="383"/>
      <c r="L2167" s="383"/>
      <c r="M2167" s="401">
        <f t="shared" si="221"/>
        <v>0</v>
      </c>
      <c r="S2167" s="364"/>
      <c r="Z2167" s="609" t="s">
        <v>904</v>
      </c>
      <c r="AA2167" s="609" t="s">
        <v>5659</v>
      </c>
    </row>
    <row r="2168" spans="1:27" ht="18">
      <c r="A2168" s="2712"/>
      <c r="B2168" s="371">
        <v>105</v>
      </c>
      <c r="C2168" s="371" t="s">
        <v>2791</v>
      </c>
      <c r="D2168" s="2714">
        <f t="shared" si="220"/>
        <v>0</v>
      </c>
      <c r="E2168" s="2719">
        <v>1</v>
      </c>
      <c r="F2168" s="294"/>
      <c r="G2168" s="409" t="s">
        <v>2792</v>
      </c>
      <c r="H2168" s="2327">
        <v>0</v>
      </c>
      <c r="I2168" s="2327">
        <v>0</v>
      </c>
      <c r="J2168" s="2327">
        <v>0</v>
      </c>
      <c r="K2168" s="383"/>
      <c r="L2168" s="383"/>
      <c r="M2168" s="401">
        <f t="shared" si="221"/>
        <v>0</v>
      </c>
      <c r="S2168" s="364"/>
      <c r="Z2168" s="609" t="s">
        <v>904</v>
      </c>
      <c r="AA2168" s="609" t="s">
        <v>5659</v>
      </c>
    </row>
    <row r="2169" spans="1:27" ht="18">
      <c r="A2169" s="2712"/>
      <c r="B2169" s="371">
        <v>106</v>
      </c>
      <c r="C2169" s="371" t="s">
        <v>2791</v>
      </c>
      <c r="D2169" s="2714">
        <f t="shared" si="220"/>
        <v>0</v>
      </c>
      <c r="E2169" s="2719">
        <v>1</v>
      </c>
      <c r="F2169" s="294"/>
      <c r="G2169" s="409" t="s">
        <v>2792</v>
      </c>
      <c r="H2169" s="2327">
        <v>0</v>
      </c>
      <c r="I2169" s="2327">
        <v>0</v>
      </c>
      <c r="J2169" s="2327">
        <v>0</v>
      </c>
      <c r="K2169" s="386"/>
      <c r="L2169" s="386"/>
      <c r="M2169" s="401">
        <f t="shared" si="221"/>
        <v>0</v>
      </c>
      <c r="S2169" s="364"/>
      <c r="Z2169" s="609" t="s">
        <v>904</v>
      </c>
      <c r="AA2169" s="609" t="s">
        <v>5659</v>
      </c>
    </row>
    <row r="2170" spans="1:27" ht="18">
      <c r="A2170" s="2712"/>
      <c r="B2170" s="371">
        <v>107</v>
      </c>
      <c r="C2170" s="371" t="s">
        <v>2791</v>
      </c>
      <c r="D2170" s="2714">
        <f t="shared" si="220"/>
        <v>0</v>
      </c>
      <c r="E2170" s="2719">
        <v>1</v>
      </c>
      <c r="F2170" s="294"/>
      <c r="G2170" s="409" t="s">
        <v>2792</v>
      </c>
      <c r="H2170" s="2327">
        <v>0</v>
      </c>
      <c r="I2170" s="2327">
        <v>0</v>
      </c>
      <c r="J2170" s="2327">
        <v>0</v>
      </c>
      <c r="K2170" s="383"/>
      <c r="L2170" s="383"/>
      <c r="M2170" s="401">
        <f t="shared" si="221"/>
        <v>0</v>
      </c>
      <c r="S2170" s="364"/>
      <c r="Z2170" s="609" t="s">
        <v>904</v>
      </c>
      <c r="AA2170" s="609" t="s">
        <v>5659</v>
      </c>
    </row>
    <row r="2171" spans="1:27" ht="18.75" thickBot="1">
      <c r="A2171" s="2712"/>
      <c r="B2171" s="371"/>
      <c r="C2171" s="371"/>
      <c r="D2171" s="2714">
        <f t="shared" si="220"/>
        <v>1</v>
      </c>
      <c r="E2171" s="2719" t="s">
        <v>3032</v>
      </c>
      <c r="F2171" s="294"/>
      <c r="G2171" s="403" t="s">
        <v>2752</v>
      </c>
      <c r="H2171" s="404">
        <f t="shared" ref="H2171:M2171" si="222">SUMPRODUCT($E2163:$E2170,H2163:H2170)</f>
        <v>0</v>
      </c>
      <c r="I2171" s="404">
        <f t="shared" si="222"/>
        <v>0</v>
      </c>
      <c r="J2171" s="404">
        <f t="shared" si="222"/>
        <v>0</v>
      </c>
      <c r="K2171" s="404">
        <f t="shared" si="222"/>
        <v>0</v>
      </c>
      <c r="L2171" s="404">
        <f t="shared" si="222"/>
        <v>0</v>
      </c>
      <c r="M2171" s="413">
        <f t="shared" si="222"/>
        <v>0</v>
      </c>
      <c r="S2171" s="364"/>
      <c r="Z2171" s="609" t="s">
        <v>904</v>
      </c>
      <c r="AA2171" s="609" t="s">
        <v>5659</v>
      </c>
    </row>
    <row r="2172" spans="1:27" ht="18">
      <c r="A2172" s="2712"/>
      <c r="B2172" s="371"/>
      <c r="C2172" s="371" t="s">
        <v>2755</v>
      </c>
      <c r="D2172" s="371"/>
      <c r="F2172" s="294"/>
      <c r="G2172" s="557"/>
      <c r="H2172" s="315"/>
      <c r="I2172" s="315"/>
      <c r="J2172" s="315"/>
      <c r="K2172" s="315"/>
      <c r="L2172" s="315"/>
      <c r="M2172" s="315"/>
      <c r="S2172" s="364"/>
      <c r="Z2172" s="609" t="s">
        <v>904</v>
      </c>
      <c r="AA2172" s="609" t="s">
        <v>5659</v>
      </c>
    </row>
    <row r="2173" spans="1:27" ht="18">
      <c r="A2173" s="2712" t="s">
        <v>910</v>
      </c>
      <c r="B2173" s="371">
        <v>2</v>
      </c>
      <c r="C2173" s="371"/>
      <c r="D2173" s="2714" t="str">
        <f>VLOOKUP($A2173,Sheet_NoteList,2,0)</f>
        <v>重要的持有至到期投资</v>
      </c>
      <c r="E2173" s="2714" t="s">
        <v>2742</v>
      </c>
      <c r="F2173" s="294"/>
      <c r="G2173" s="372" t="str">
        <f>"("&amp;B2173&amp;")"&amp;D2173</f>
        <v>(2)重要的持有至到期投资</v>
      </c>
      <c r="H2173" s="1515" t="str">
        <f>$A2173</f>
        <v>1501d</v>
      </c>
      <c r="I2173" s="343" t="s">
        <v>2743</v>
      </c>
      <c r="J2173" s="301"/>
      <c r="K2173" s="3083"/>
      <c r="L2173" s="315"/>
      <c r="M2173" s="301"/>
      <c r="N2173" s="3083"/>
      <c r="O2173" s="315"/>
      <c r="P2173" s="301"/>
      <c r="Q2173" s="290" t="str">
        <f>IF($I2173="不适用","",IF(ROUND(SUM($H$2176:$K$2181),2)=0,"请输入",""))</f>
        <v>请输入</v>
      </c>
      <c r="S2173" s="364"/>
      <c r="Z2173" s="609" t="s">
        <v>904</v>
      </c>
      <c r="AA2173" s="609" t="s">
        <v>5659</v>
      </c>
    </row>
    <row r="2174" spans="1:27" ht="0.75" customHeight="1" thickBot="1">
      <c r="A2174" s="2712"/>
      <c r="B2174" s="371">
        <v>1.0999999999999999E-2</v>
      </c>
      <c r="C2174" s="371"/>
      <c r="D2174" s="371"/>
      <c r="F2174" s="304"/>
      <c r="G2174" s="304" t="s">
        <v>3430</v>
      </c>
      <c r="H2174" s="304" t="s">
        <v>3431</v>
      </c>
      <c r="I2174" s="304" t="s">
        <v>3432</v>
      </c>
      <c r="J2174" s="518" t="s">
        <v>3433</v>
      </c>
      <c r="K2174" s="518" t="s">
        <v>3434</v>
      </c>
      <c r="L2174" s="291"/>
      <c r="M2174" s="291"/>
      <c r="S2174" s="364"/>
      <c r="Z2174" s="609" t="s">
        <v>904</v>
      </c>
      <c r="AA2174" s="609" t="s">
        <v>5659</v>
      </c>
    </row>
    <row r="2175" spans="1:27" ht="18">
      <c r="A2175" s="2712"/>
      <c r="B2175" s="371">
        <v>1.2E-2</v>
      </c>
      <c r="C2175" s="371"/>
      <c r="D2175" s="371"/>
      <c r="E2175" s="2714" t="s">
        <v>2749</v>
      </c>
      <c r="F2175" s="294"/>
      <c r="G2175" s="378" t="s">
        <v>3435</v>
      </c>
      <c r="H2175" s="398" t="s">
        <v>3319</v>
      </c>
      <c r="I2175" s="398" t="s">
        <v>3320</v>
      </c>
      <c r="J2175" s="559" t="s">
        <v>3321</v>
      </c>
      <c r="K2175" s="560" t="s">
        <v>3322</v>
      </c>
      <c r="L2175" s="355" t="s">
        <v>5279</v>
      </c>
      <c r="M2175" s="291"/>
      <c r="S2175" s="364"/>
      <c r="Z2175" s="609" t="s">
        <v>904</v>
      </c>
      <c r="AA2175" s="609" t="s">
        <v>5659</v>
      </c>
    </row>
    <row r="2176" spans="1:27" ht="18">
      <c r="A2176" s="2712"/>
      <c r="B2176" s="371">
        <v>101</v>
      </c>
      <c r="C2176" s="371" t="s">
        <v>2791</v>
      </c>
      <c r="D2176" s="2714">
        <f t="shared" ref="D2176:D2181" si="223">IF(OR(G2176="*",G2176="",G2176=0),0,COUNTIF($G$2176:$G$2181,G2176))</f>
        <v>0</v>
      </c>
      <c r="E2176" s="2719">
        <v>1</v>
      </c>
      <c r="F2176" s="294"/>
      <c r="G2176" s="409" t="s">
        <v>2792</v>
      </c>
      <c r="H2176" s="383"/>
      <c r="I2176" s="469"/>
      <c r="J2176" s="469"/>
      <c r="K2176" s="492"/>
      <c r="L2176" s="291"/>
      <c r="M2176" s="291"/>
      <c r="S2176" s="364"/>
      <c r="Z2176" s="609" t="s">
        <v>904</v>
      </c>
      <c r="AA2176" s="609" t="s">
        <v>5659</v>
      </c>
    </row>
    <row r="2177" spans="1:27" ht="18">
      <c r="A2177" s="2712"/>
      <c r="B2177" s="371">
        <v>102</v>
      </c>
      <c r="C2177" s="371" t="s">
        <v>2791</v>
      </c>
      <c r="D2177" s="2714">
        <f t="shared" si="223"/>
        <v>0</v>
      </c>
      <c r="E2177" s="2719">
        <v>1</v>
      </c>
      <c r="F2177" s="294"/>
      <c r="G2177" s="409" t="s">
        <v>2792</v>
      </c>
      <c r="H2177" s="383"/>
      <c r="I2177" s="469"/>
      <c r="J2177" s="469"/>
      <c r="K2177" s="492"/>
      <c r="L2177" s="291"/>
      <c r="M2177" s="291"/>
      <c r="S2177" s="364"/>
      <c r="Z2177" s="609" t="s">
        <v>904</v>
      </c>
      <c r="AA2177" s="609" t="s">
        <v>5659</v>
      </c>
    </row>
    <row r="2178" spans="1:27" ht="18">
      <c r="A2178" s="2712"/>
      <c r="B2178" s="371">
        <v>103</v>
      </c>
      <c r="C2178" s="371" t="s">
        <v>2791</v>
      </c>
      <c r="D2178" s="2714">
        <f t="shared" si="223"/>
        <v>0</v>
      </c>
      <c r="E2178" s="2719">
        <v>1</v>
      </c>
      <c r="F2178" s="294"/>
      <c r="G2178" s="409" t="s">
        <v>2792</v>
      </c>
      <c r="H2178" s="383"/>
      <c r="I2178" s="469"/>
      <c r="J2178" s="469"/>
      <c r="K2178" s="492"/>
      <c r="L2178" s="291"/>
      <c r="M2178" s="291"/>
      <c r="S2178" s="364"/>
      <c r="Z2178" s="609" t="s">
        <v>904</v>
      </c>
      <c r="AA2178" s="609" t="s">
        <v>5659</v>
      </c>
    </row>
    <row r="2179" spans="1:27" ht="18">
      <c r="A2179" s="2712"/>
      <c r="B2179" s="371">
        <v>104</v>
      </c>
      <c r="C2179" s="371" t="s">
        <v>2791</v>
      </c>
      <c r="D2179" s="2714">
        <f t="shared" si="223"/>
        <v>0</v>
      </c>
      <c r="E2179" s="2719">
        <v>1</v>
      </c>
      <c r="F2179" s="294"/>
      <c r="G2179" s="409" t="s">
        <v>2792</v>
      </c>
      <c r="H2179" s="383"/>
      <c r="I2179" s="469"/>
      <c r="J2179" s="469"/>
      <c r="K2179" s="492"/>
      <c r="L2179" s="291"/>
      <c r="M2179" s="291"/>
      <c r="S2179" s="364"/>
      <c r="Z2179" s="609" t="s">
        <v>904</v>
      </c>
      <c r="AA2179" s="609" t="s">
        <v>5659</v>
      </c>
    </row>
    <row r="2180" spans="1:27" ht="18">
      <c r="A2180" s="2712"/>
      <c r="B2180" s="371">
        <v>105</v>
      </c>
      <c r="C2180" s="371" t="s">
        <v>2791</v>
      </c>
      <c r="D2180" s="2714">
        <f t="shared" si="223"/>
        <v>0</v>
      </c>
      <c r="E2180" s="2719">
        <v>1</v>
      </c>
      <c r="F2180" s="294"/>
      <c r="G2180" s="409" t="s">
        <v>2792</v>
      </c>
      <c r="H2180" s="383"/>
      <c r="I2180" s="469"/>
      <c r="J2180" s="469"/>
      <c r="K2180" s="492"/>
      <c r="L2180" s="291"/>
      <c r="M2180" s="291"/>
      <c r="S2180" s="364"/>
      <c r="Z2180" s="609" t="s">
        <v>904</v>
      </c>
      <c r="AA2180" s="609" t="s">
        <v>5659</v>
      </c>
    </row>
    <row r="2181" spans="1:27" ht="18.75" thickBot="1">
      <c r="A2181" s="2712"/>
      <c r="B2181" s="371"/>
      <c r="C2181" s="371"/>
      <c r="D2181" s="2714">
        <f t="shared" si="223"/>
        <v>1</v>
      </c>
      <c r="E2181" s="2719" t="s">
        <v>3032</v>
      </c>
      <c r="F2181" s="294"/>
      <c r="G2181" s="403" t="s">
        <v>2752</v>
      </c>
      <c r="H2181" s="503">
        <f>SUMPRODUCT($E2175:$E2180,H2175:H2180)</f>
        <v>0</v>
      </c>
      <c r="I2181" s="512"/>
      <c r="J2181" s="512"/>
      <c r="K2181" s="513"/>
      <c r="L2181" s="291"/>
      <c r="M2181" s="291"/>
      <c r="S2181" s="364"/>
      <c r="Z2181" s="609" t="s">
        <v>904</v>
      </c>
      <c r="AA2181" s="609" t="s">
        <v>5659</v>
      </c>
    </row>
    <row r="2182" spans="1:27" ht="18">
      <c r="A2182" s="2712"/>
      <c r="B2182" s="371"/>
      <c r="C2182" s="371" t="s">
        <v>2755</v>
      </c>
      <c r="D2182" s="371"/>
      <c r="F2182" s="294"/>
      <c r="G2182" s="301"/>
      <c r="H2182" s="349"/>
      <c r="I2182" s="350"/>
      <c r="J2182" s="350"/>
      <c r="K2182" s="350"/>
      <c r="L2182" s="291"/>
      <c r="M2182" s="291"/>
      <c r="S2182" s="364"/>
      <c r="Z2182" s="609" t="s">
        <v>904</v>
      </c>
      <c r="AA2182" s="609" t="s">
        <v>5659</v>
      </c>
    </row>
    <row r="2183" spans="1:27" ht="24">
      <c r="A2183" s="2712" t="s">
        <v>917</v>
      </c>
      <c r="B2183" s="371">
        <v>3</v>
      </c>
      <c r="C2183" s="371"/>
      <c r="D2183" s="2714" t="str">
        <f>VLOOKUP($A2183,Sheet_NoteList,2,0)</f>
        <v>本期重分类的持有至到期投资</v>
      </c>
      <c r="E2183" s="2714" t="s">
        <v>6529</v>
      </c>
      <c r="F2183" s="294"/>
      <c r="G2183" s="372" t="str">
        <f>"("&amp;B2183&amp;")"&amp;D2183</f>
        <v>(3)本期重分类的持有至到期投资</v>
      </c>
      <c r="H2183" s="1515" t="str">
        <f>$A2183</f>
        <v>1501e</v>
      </c>
      <c r="I2183" s="343" t="s">
        <v>5963</v>
      </c>
      <c r="J2183" s="301"/>
      <c r="K2183" s="3083"/>
      <c r="L2183" s="315"/>
      <c r="M2183" s="301"/>
      <c r="N2183" s="3083"/>
      <c r="O2183" s="315"/>
      <c r="P2183" s="301"/>
      <c r="Q2183" s="290" t="str">
        <f>IF($I2183="不适用","",IF(ROUND(SUM($H$2186:$J$2191),2)=0,"请输入",""))</f>
        <v>请输入</v>
      </c>
      <c r="S2183" s="364"/>
      <c r="Z2183" s="609" t="s">
        <v>904</v>
      </c>
      <c r="AA2183" s="609" t="s">
        <v>5659</v>
      </c>
    </row>
    <row r="2184" spans="1:27" ht="0.75" customHeight="1" thickBot="1">
      <c r="A2184" s="2712"/>
      <c r="B2184" s="371">
        <v>0.01</v>
      </c>
      <c r="C2184" s="371"/>
      <c r="D2184" s="371"/>
      <c r="E2184" s="586"/>
      <c r="F2184" s="518"/>
      <c r="G2184" s="518" t="s">
        <v>3436</v>
      </c>
      <c r="H2184" s="304" t="s">
        <v>3437</v>
      </c>
      <c r="I2184" s="304" t="s">
        <v>3438</v>
      </c>
      <c r="J2184" s="304" t="s">
        <v>2929</v>
      </c>
      <c r="K2184" s="291"/>
      <c r="L2184" s="291"/>
      <c r="M2184" s="291"/>
      <c r="S2184" s="364"/>
      <c r="Z2184" s="609" t="s">
        <v>904</v>
      </c>
      <c r="AA2184" s="609" t="s">
        <v>5659</v>
      </c>
    </row>
    <row r="2185" spans="1:27" ht="36">
      <c r="A2185" s="2712"/>
      <c r="B2185" s="371"/>
      <c r="C2185" s="371"/>
      <c r="D2185" s="371"/>
      <c r="E2185" s="586" t="s">
        <v>2749</v>
      </c>
      <c r="F2185" s="363"/>
      <c r="G2185" s="2286" t="s">
        <v>47</v>
      </c>
      <c r="H2185" s="2288" t="s">
        <v>3439</v>
      </c>
      <c r="I2185" s="2288" t="s">
        <v>3440</v>
      </c>
      <c r="J2185" s="2279" t="s">
        <v>6026</v>
      </c>
      <c r="K2185" s="343"/>
      <c r="L2185" s="291"/>
      <c r="M2185" s="291"/>
      <c r="S2185" s="364"/>
      <c r="Z2185" s="609" t="s">
        <v>904</v>
      </c>
      <c r="AA2185" s="609" t="s">
        <v>5659</v>
      </c>
    </row>
    <row r="2186" spans="1:27" ht="18">
      <c r="A2186" s="2712"/>
      <c r="B2186" s="371">
        <v>101</v>
      </c>
      <c r="C2186" s="371" t="s">
        <v>2791</v>
      </c>
      <c r="D2186" s="2714">
        <f t="shared" ref="D2186:D2191" si="224">IF(OR(G2186="*",G2186="",G2186=0),0,COUNTIF($G$2186:$G$2191,G2186))</f>
        <v>0</v>
      </c>
      <c r="E2186" s="2719">
        <v>1</v>
      </c>
      <c r="F2186" s="294"/>
      <c r="G2186" s="2282" t="s">
        <v>2792</v>
      </c>
      <c r="H2186" s="2273"/>
      <c r="I2186" s="2296"/>
      <c r="J2186" s="2274"/>
      <c r="K2186" s="291"/>
      <c r="L2186" s="291"/>
      <c r="M2186" s="291"/>
      <c r="S2186" s="364"/>
      <c r="Z2186" s="609" t="s">
        <v>904</v>
      </c>
      <c r="AA2186" s="609" t="s">
        <v>5659</v>
      </c>
    </row>
    <row r="2187" spans="1:27" ht="18">
      <c r="A2187" s="2712"/>
      <c r="B2187" s="371">
        <v>102</v>
      </c>
      <c r="C2187" s="371" t="s">
        <v>2791</v>
      </c>
      <c r="D2187" s="2714">
        <f t="shared" si="224"/>
        <v>0</v>
      </c>
      <c r="E2187" s="2719">
        <v>1</v>
      </c>
      <c r="F2187" s="294"/>
      <c r="G2187" s="2282" t="s">
        <v>2792</v>
      </c>
      <c r="H2187" s="2273"/>
      <c r="I2187" s="2296"/>
      <c r="J2187" s="2274"/>
      <c r="K2187" s="291"/>
      <c r="L2187" s="291"/>
      <c r="M2187" s="291"/>
      <c r="S2187" s="364"/>
      <c r="Z2187" s="609" t="s">
        <v>904</v>
      </c>
      <c r="AA2187" s="609" t="s">
        <v>5659</v>
      </c>
    </row>
    <row r="2188" spans="1:27" ht="18">
      <c r="A2188" s="2712"/>
      <c r="B2188" s="371">
        <v>103</v>
      </c>
      <c r="C2188" s="371" t="s">
        <v>2791</v>
      </c>
      <c r="D2188" s="2714">
        <f t="shared" si="224"/>
        <v>0</v>
      </c>
      <c r="E2188" s="2719">
        <v>1</v>
      </c>
      <c r="F2188" s="294"/>
      <c r="G2188" s="2282" t="s">
        <v>2792</v>
      </c>
      <c r="H2188" s="2273"/>
      <c r="I2188" s="2296"/>
      <c r="J2188" s="2274"/>
      <c r="K2188" s="291"/>
      <c r="L2188" s="291"/>
      <c r="M2188" s="291"/>
      <c r="S2188" s="364"/>
      <c r="Z2188" s="609" t="s">
        <v>904</v>
      </c>
      <c r="AA2188" s="609" t="s">
        <v>5659</v>
      </c>
    </row>
    <row r="2189" spans="1:27" ht="18">
      <c r="A2189" s="2712"/>
      <c r="B2189" s="371">
        <v>104</v>
      </c>
      <c r="C2189" s="371" t="s">
        <v>2791</v>
      </c>
      <c r="D2189" s="2714">
        <f t="shared" si="224"/>
        <v>0</v>
      </c>
      <c r="E2189" s="2719">
        <v>1</v>
      </c>
      <c r="F2189" s="294"/>
      <c r="G2189" s="2282" t="s">
        <v>2792</v>
      </c>
      <c r="H2189" s="2273"/>
      <c r="I2189" s="2296"/>
      <c r="J2189" s="2274"/>
      <c r="K2189" s="291"/>
      <c r="L2189" s="291"/>
      <c r="M2189" s="291"/>
      <c r="S2189" s="364"/>
      <c r="Z2189" s="609" t="s">
        <v>904</v>
      </c>
      <c r="AA2189" s="609" t="s">
        <v>5659</v>
      </c>
    </row>
    <row r="2190" spans="1:27" ht="18">
      <c r="A2190" s="2712"/>
      <c r="B2190" s="371">
        <v>105</v>
      </c>
      <c r="C2190" s="371" t="s">
        <v>2791</v>
      </c>
      <c r="D2190" s="2714">
        <f t="shared" si="224"/>
        <v>0</v>
      </c>
      <c r="E2190" s="2719">
        <v>1</v>
      </c>
      <c r="F2190" s="294"/>
      <c r="G2190" s="2282" t="s">
        <v>2792</v>
      </c>
      <c r="H2190" s="2273"/>
      <c r="I2190" s="2296"/>
      <c r="J2190" s="2274"/>
      <c r="K2190" s="291"/>
      <c r="L2190" s="291"/>
      <c r="M2190" s="291"/>
      <c r="S2190" s="364"/>
      <c r="Z2190" s="609" t="s">
        <v>904</v>
      </c>
      <c r="AA2190" s="609" t="s">
        <v>5659</v>
      </c>
    </row>
    <row r="2191" spans="1:27" ht="18.75" thickBot="1">
      <c r="A2191" s="2712"/>
      <c r="B2191" s="371"/>
      <c r="C2191" s="371"/>
      <c r="D2191" s="2714">
        <f t="shared" si="224"/>
        <v>1</v>
      </c>
      <c r="E2191" s="2719" t="s">
        <v>3032</v>
      </c>
      <c r="F2191" s="294"/>
      <c r="G2191" s="1527" t="s">
        <v>2752</v>
      </c>
      <c r="H2191" s="1525">
        <f>SUMPRODUCT($E2185:$E2190,H2185:H2190)</f>
        <v>0</v>
      </c>
      <c r="I2191" s="2314"/>
      <c r="J2191" s="2264"/>
      <c r="K2191" s="291"/>
      <c r="L2191" s="291"/>
      <c r="M2191" s="291"/>
      <c r="S2191" s="364"/>
      <c r="Z2191" s="609" t="s">
        <v>904</v>
      </c>
      <c r="AA2191" s="609" t="s">
        <v>5659</v>
      </c>
    </row>
    <row r="2192" spans="1:27" ht="18">
      <c r="A2192" s="2712"/>
      <c r="B2192" s="371"/>
      <c r="C2192" s="371" t="s">
        <v>2755</v>
      </c>
      <c r="D2192" s="371"/>
      <c r="F2192" s="294"/>
      <c r="G2192" s="301"/>
      <c r="H2192" s="315"/>
      <c r="I2192" s="393"/>
      <c r="J2192" s="393"/>
      <c r="K2192" s="291"/>
      <c r="L2192" s="291"/>
      <c r="M2192" s="291"/>
      <c r="S2192" s="364"/>
      <c r="Z2192" s="609" t="s">
        <v>904</v>
      </c>
      <c r="AA2192" s="609" t="s">
        <v>5659</v>
      </c>
    </row>
    <row r="2193" spans="1:27" ht="18">
      <c r="A2193" s="2712" t="s">
        <v>5585</v>
      </c>
      <c r="B2193" s="371">
        <v>4</v>
      </c>
      <c r="C2193" s="371"/>
      <c r="D2193" s="2714" t="str">
        <f>VLOOKUP($A2193,Sheet_NoteList,2,0)</f>
        <v>外币持有至到期投资</v>
      </c>
      <c r="E2193" s="2714" t="s">
        <v>6529</v>
      </c>
      <c r="F2193" s="293"/>
      <c r="G2193" s="372" t="str">
        <f>"("&amp;B2193&amp;")"&amp;D2193</f>
        <v>(4)外币持有至到期投资</v>
      </c>
      <c r="H2193" s="1515" t="str">
        <f>$A2193</f>
        <v>1501f</v>
      </c>
      <c r="I2193" s="343" t="s">
        <v>5589</v>
      </c>
      <c r="J2193" s="301" t="s">
        <v>5590</v>
      </c>
      <c r="K2193" s="2208">
        <f>H2201</f>
        <v>0</v>
      </c>
      <c r="L2193" s="349" t="str">
        <f>IF($I2193="适用",IF(ROUND(K$2158-K2193,2)=0,"F/S",ROUND(K$2158-K2193,2)),"#N/A")</f>
        <v>F/S</v>
      </c>
      <c r="M2193" s="301" t="s">
        <v>5591</v>
      </c>
      <c r="N2193" s="2208">
        <f>I2201</f>
        <v>0</v>
      </c>
      <c r="O2193" s="349" t="str">
        <f>IF($I2193="适用",IF(ROUND(N$2158-N2193,2)=0,"F/S",ROUND(N$2158-N2193,2)),"#N/A")</f>
        <v>F/S</v>
      </c>
      <c r="P2193" s="301"/>
      <c r="S2193" s="364"/>
      <c r="Z2193" s="609" t="s">
        <v>904</v>
      </c>
      <c r="AA2193" s="609" t="s">
        <v>5659</v>
      </c>
    </row>
    <row r="2194" spans="1:27" ht="0.75" customHeight="1" thickBot="1">
      <c r="A2194" s="2712"/>
      <c r="B2194" s="371"/>
      <c r="C2194" s="371"/>
      <c r="D2194" s="2714"/>
      <c r="F2194" s="371"/>
      <c r="G2194" s="405" t="s">
        <v>5593</v>
      </c>
      <c r="H2194" s="371" t="s">
        <v>3073</v>
      </c>
      <c r="I2194" s="371" t="s">
        <v>3074</v>
      </c>
      <c r="J2194" s="371" t="s">
        <v>3075</v>
      </c>
      <c r="K2194" s="391"/>
      <c r="L2194" s="349"/>
      <c r="M2194" s="301"/>
      <c r="N2194" s="391"/>
      <c r="O2194" s="349"/>
      <c r="P2194" s="301"/>
      <c r="S2194" s="364"/>
      <c r="Z2194" s="609" t="s">
        <v>904</v>
      </c>
      <c r="AA2194" s="609" t="s">
        <v>5659</v>
      </c>
    </row>
    <row r="2195" spans="1:27" ht="24">
      <c r="A2195" s="2712"/>
      <c r="B2195" s="371"/>
      <c r="C2195" s="371"/>
      <c r="D2195" s="2714"/>
      <c r="E2195" s="2714" t="s">
        <v>2749</v>
      </c>
      <c r="F2195" s="293"/>
      <c r="G2195" s="1633" t="s">
        <v>47</v>
      </c>
      <c r="H2195" s="1625" t="s">
        <v>3076</v>
      </c>
      <c r="I2195" s="1625" t="s">
        <v>3077</v>
      </c>
      <c r="J2195" s="1626" t="s">
        <v>3078</v>
      </c>
      <c r="K2195" s="355" t="s">
        <v>5602</v>
      </c>
      <c r="L2195" s="291"/>
      <c r="M2195" s="301"/>
      <c r="N2195" s="391"/>
      <c r="O2195" s="349"/>
      <c r="P2195" s="301"/>
      <c r="S2195" s="364"/>
      <c r="Z2195" s="609" t="s">
        <v>904</v>
      </c>
      <c r="AA2195" s="609" t="s">
        <v>5659</v>
      </c>
    </row>
    <row r="2196" spans="1:27" ht="18">
      <c r="A2196" s="2712"/>
      <c r="B2196" s="371">
        <v>101</v>
      </c>
      <c r="C2196" s="371" t="s">
        <v>2791</v>
      </c>
      <c r="D2196" s="2714">
        <f t="shared" ref="D2196:D2201" si="225">IF(OR(G2196="*",G2196="",G2196=0),0,COUNTIF($G$2196:$G$2201,G2196))</f>
        <v>1</v>
      </c>
      <c r="E2196" s="2719">
        <v>1</v>
      </c>
      <c r="F2196" s="293"/>
      <c r="G2196" s="1624" t="s">
        <v>3079</v>
      </c>
      <c r="H2196" s="2327">
        <v>0</v>
      </c>
      <c r="I2196" s="430"/>
      <c r="J2196" s="2327">
        <v>0</v>
      </c>
      <c r="K2196" s="355" t="s">
        <v>5362</v>
      </c>
      <c r="L2196" s="1520" t="s">
        <v>5363</v>
      </c>
      <c r="M2196" s="301"/>
      <c r="N2196" s="391"/>
      <c r="O2196" s="349"/>
      <c r="P2196" s="301"/>
      <c r="S2196" s="364"/>
      <c r="Z2196" s="609" t="s">
        <v>904</v>
      </c>
      <c r="AA2196" s="609" t="s">
        <v>5659</v>
      </c>
    </row>
    <row r="2197" spans="1:27" ht="18">
      <c r="A2197" s="2712"/>
      <c r="B2197" s="371">
        <v>102</v>
      </c>
      <c r="C2197" s="371" t="s">
        <v>2791</v>
      </c>
      <c r="D2197" s="2714">
        <f t="shared" si="225"/>
        <v>1</v>
      </c>
      <c r="E2197" s="2719">
        <v>1</v>
      </c>
      <c r="F2197" s="293"/>
      <c r="G2197" s="1624" t="s">
        <v>3080</v>
      </c>
      <c r="H2197" s="2327">
        <v>0</v>
      </c>
      <c r="I2197" s="430"/>
      <c r="J2197" s="2327">
        <v>0</v>
      </c>
      <c r="K2197" s="391"/>
      <c r="L2197" s="349"/>
      <c r="M2197" s="301"/>
      <c r="N2197" s="391"/>
      <c r="O2197" s="349"/>
      <c r="P2197" s="301"/>
      <c r="S2197" s="364"/>
      <c r="Z2197" s="609" t="s">
        <v>904</v>
      </c>
      <c r="AA2197" s="609" t="s">
        <v>5659</v>
      </c>
    </row>
    <row r="2198" spans="1:27" ht="18">
      <c r="A2198" s="2712"/>
      <c r="B2198" s="371">
        <v>103</v>
      </c>
      <c r="C2198" s="371" t="s">
        <v>2791</v>
      </c>
      <c r="D2198" s="2714">
        <f t="shared" si="225"/>
        <v>1</v>
      </c>
      <c r="E2198" s="2719">
        <v>1</v>
      </c>
      <c r="F2198" s="293"/>
      <c r="G2198" s="1624" t="s">
        <v>3081</v>
      </c>
      <c r="H2198" s="2327">
        <v>0</v>
      </c>
      <c r="I2198" s="430"/>
      <c r="J2198" s="2327">
        <v>0</v>
      </c>
      <c r="K2198" s="391"/>
      <c r="L2198" s="349"/>
      <c r="M2198" s="301"/>
      <c r="N2198" s="391"/>
      <c r="O2198" s="349"/>
      <c r="P2198" s="301"/>
      <c r="S2198" s="364"/>
      <c r="Z2198" s="609" t="s">
        <v>904</v>
      </c>
      <c r="AA2198" s="609" t="s">
        <v>5659</v>
      </c>
    </row>
    <row r="2199" spans="1:27" ht="18">
      <c r="A2199" s="2712"/>
      <c r="B2199" s="371">
        <v>104</v>
      </c>
      <c r="C2199" s="371" t="s">
        <v>2791</v>
      </c>
      <c r="D2199" s="2714">
        <f t="shared" si="225"/>
        <v>0</v>
      </c>
      <c r="E2199" s="2719">
        <v>1</v>
      </c>
      <c r="F2199" s="293"/>
      <c r="G2199" s="1624" t="s">
        <v>2792</v>
      </c>
      <c r="H2199" s="2327">
        <v>0</v>
      </c>
      <c r="I2199" s="430"/>
      <c r="J2199" s="2327">
        <v>0</v>
      </c>
      <c r="K2199" s="391"/>
      <c r="L2199" s="349"/>
      <c r="M2199" s="301"/>
      <c r="N2199" s="391"/>
      <c r="O2199" s="349"/>
      <c r="P2199" s="301"/>
      <c r="S2199" s="364"/>
      <c r="Z2199" s="609" t="s">
        <v>904</v>
      </c>
      <c r="AA2199" s="609" t="s">
        <v>5659</v>
      </c>
    </row>
    <row r="2200" spans="1:27" ht="18">
      <c r="A2200" s="2712"/>
      <c r="B2200" s="371">
        <v>105</v>
      </c>
      <c r="C2200" s="371" t="s">
        <v>2791</v>
      </c>
      <c r="D2200" s="2714">
        <f t="shared" si="225"/>
        <v>0</v>
      </c>
      <c r="E2200" s="2719">
        <v>1</v>
      </c>
      <c r="F2200" s="293"/>
      <c r="G2200" s="1624" t="s">
        <v>2792</v>
      </c>
      <c r="H2200" s="2327">
        <v>0</v>
      </c>
      <c r="I2200" s="430"/>
      <c r="J2200" s="2327">
        <v>0</v>
      </c>
      <c r="K2200" s="391"/>
      <c r="L2200" s="349"/>
      <c r="M2200" s="301"/>
      <c r="N2200" s="391"/>
      <c r="O2200" s="349"/>
      <c r="P2200" s="301"/>
      <c r="S2200" s="364"/>
      <c r="Z2200" s="609" t="s">
        <v>904</v>
      </c>
      <c r="AA2200" s="609" t="s">
        <v>5659</v>
      </c>
    </row>
    <row r="2201" spans="1:27" ht="18.75" thickBot="1">
      <c r="A2201" s="2712"/>
      <c r="B2201" s="371"/>
      <c r="C2201" s="371"/>
      <c r="D2201" s="2714">
        <f t="shared" si="225"/>
        <v>1</v>
      </c>
      <c r="E2201" s="2719" t="s">
        <v>2751</v>
      </c>
      <c r="F2201" s="293"/>
      <c r="G2201" s="1527" t="s">
        <v>2752</v>
      </c>
      <c r="H2201" s="1525"/>
      <c r="I2201" s="1565"/>
      <c r="J2201" s="1526">
        <f>SUMPRODUCT($E2195:$E2200,J2195:J2200)</f>
        <v>0</v>
      </c>
      <c r="K2201" s="391"/>
      <c r="L2201" s="349"/>
      <c r="M2201" s="301"/>
      <c r="N2201" s="391"/>
      <c r="O2201" s="349"/>
      <c r="P2201" s="301"/>
      <c r="S2201" s="364"/>
      <c r="Z2201" s="609" t="s">
        <v>904</v>
      </c>
      <c r="AA2201" s="609" t="s">
        <v>5659</v>
      </c>
    </row>
    <row r="2202" spans="1:27" ht="18">
      <c r="A2202" s="2712"/>
      <c r="B2202" s="371"/>
      <c r="C2202" s="371" t="s">
        <v>2755</v>
      </c>
      <c r="D2202" s="2714"/>
      <c r="F2202" s="293"/>
      <c r="G2202" s="376"/>
      <c r="H2202" s="1574"/>
      <c r="I2202" s="432"/>
      <c r="J2202" s="315"/>
      <c r="K2202" s="391"/>
      <c r="L2202" s="349"/>
      <c r="M2202" s="301"/>
      <c r="N2202" s="391"/>
      <c r="O2202" s="349"/>
      <c r="P2202" s="301"/>
      <c r="S2202" s="364"/>
      <c r="Z2202" s="609" t="s">
        <v>904</v>
      </c>
      <c r="AA2202" s="609" t="s">
        <v>5659</v>
      </c>
    </row>
    <row r="2203" spans="1:27" ht="18">
      <c r="A2203" s="2712">
        <v>1531</v>
      </c>
      <c r="B2203" s="371">
        <v>18</v>
      </c>
      <c r="C2203" s="2714" t="str">
        <f>VLOOKUP($A2203,Sheet_Items,2,0)</f>
        <v>长期应收款</v>
      </c>
      <c r="D2203" s="371"/>
      <c r="E2203" s="2714" t="s">
        <v>2739</v>
      </c>
      <c r="F2203" s="294"/>
      <c r="G2203" s="305" t="str">
        <f>B2203&amp;" "&amp;C2203</f>
        <v>18 长期应收款</v>
      </c>
      <c r="H2203" s="306"/>
      <c r="I2203" s="306"/>
      <c r="J2203" s="306" t="s">
        <v>2740</v>
      </c>
      <c r="K2203" s="341">
        <f>VLOOKUP($A2203,Sheet_Trialbal,6,0)</f>
        <v>0</v>
      </c>
      <c r="L2203" s="342"/>
      <c r="M2203" s="306" t="s">
        <v>2741</v>
      </c>
      <c r="N2203" s="341">
        <f>VLOOKUP($A2203,Sheet_Trialbal,10,0)</f>
        <v>0</v>
      </c>
      <c r="O2203" s="306"/>
      <c r="P2203" s="301"/>
      <c r="S2203" s="364"/>
      <c r="Z2203" s="609" t="s">
        <v>925</v>
      </c>
      <c r="AA2203" s="609" t="s">
        <v>3451</v>
      </c>
    </row>
    <row r="2204" spans="1:27" ht="18">
      <c r="A2204" s="2712" t="s">
        <v>923</v>
      </c>
      <c r="B2204" s="371">
        <v>1</v>
      </c>
      <c r="C2204" s="371"/>
      <c r="D2204" s="2714" t="str">
        <f>VLOOKUP($A2204,Sheet_NoteList,2,0)</f>
        <v>长期应收款情况</v>
      </c>
      <c r="E2204" s="2714" t="s">
        <v>2742</v>
      </c>
      <c r="F2204" s="294"/>
      <c r="G2204" s="307" t="str">
        <f>"("&amp;B2204&amp;")"&amp;D2204</f>
        <v>(1)长期应收款情况</v>
      </c>
      <c r="H2204" s="1515" t="str">
        <f>$A2204</f>
        <v>1531a</v>
      </c>
      <c r="I2204" s="343" t="s">
        <v>2743</v>
      </c>
      <c r="J2204" s="301" t="s">
        <v>2744</v>
      </c>
      <c r="K2204" s="2208">
        <f>J2218</f>
        <v>0</v>
      </c>
      <c r="L2204" s="345" t="str">
        <f>IF($I2204="适用",IF(ROUND(K$2203-K2204,2)=0,"F/S",ROUND(K$2203-K2204,2)),"#N/A")</f>
        <v>F/S</v>
      </c>
      <c r="M2204" s="301" t="s">
        <v>2745</v>
      </c>
      <c r="N2204" s="2208">
        <f>M2218</f>
        <v>0</v>
      </c>
      <c r="O2204" s="345" t="str">
        <f>IF($I2204="适用",IF(ROUND(N$2203-N2204,2)=0,"F/S",ROUND(N$2203-N2204,2)),"#N/A")</f>
        <v>F/S</v>
      </c>
      <c r="P2204" s="301"/>
      <c r="Q2204" s="290" t="str">
        <f>IF($I2204="不适用","",IF(ROUND(SUM($H$2209:$N$2218),2)=0,"请输入",""))</f>
        <v>请输入</v>
      </c>
      <c r="S2204" s="364"/>
      <c r="Z2204" s="609" t="s">
        <v>925</v>
      </c>
      <c r="AA2204" s="609" t="s">
        <v>3451</v>
      </c>
    </row>
    <row r="2205" spans="1:27" ht="0.75" customHeight="1">
      <c r="A2205" s="2712"/>
      <c r="B2205" s="371"/>
      <c r="C2205" s="371"/>
      <c r="D2205" s="371"/>
      <c r="E2205" s="586"/>
      <c r="F2205" s="586"/>
      <c r="G2205" s="586" t="s">
        <v>3441</v>
      </c>
      <c r="H2205" s="371" t="s">
        <v>2882</v>
      </c>
      <c r="I2205" s="371" t="s">
        <v>3365</v>
      </c>
      <c r="J2205" s="371" t="s">
        <v>3208</v>
      </c>
      <c r="K2205" s="371" t="s">
        <v>3209</v>
      </c>
      <c r="L2205" s="371" t="s">
        <v>3366</v>
      </c>
      <c r="M2205" s="371" t="s">
        <v>3211</v>
      </c>
      <c r="N2205" s="371" t="s">
        <v>3442</v>
      </c>
      <c r="S2205" s="364"/>
      <c r="Z2205" s="609" t="s">
        <v>925</v>
      </c>
      <c r="AA2205" s="609" t="s">
        <v>3451</v>
      </c>
    </row>
    <row r="2206" spans="1:27" ht="0.75" customHeight="1" thickBot="1">
      <c r="A2206" s="2712"/>
      <c r="B2206" s="371"/>
      <c r="C2206" s="371"/>
      <c r="D2206" s="371"/>
      <c r="E2206" s="586"/>
      <c r="F2206" s="586"/>
      <c r="G2206" s="586"/>
      <c r="H2206" s="371" t="s">
        <v>2855</v>
      </c>
      <c r="I2206" s="371" t="s">
        <v>2856</v>
      </c>
      <c r="J2206" s="371" t="s">
        <v>2857</v>
      </c>
      <c r="K2206" s="371" t="s">
        <v>3213</v>
      </c>
      <c r="L2206" s="371" t="s">
        <v>3169</v>
      </c>
      <c r="M2206" s="371" t="s">
        <v>3215</v>
      </c>
      <c r="N2206" s="371" t="s">
        <v>3443</v>
      </c>
      <c r="S2206" s="364"/>
      <c r="Z2206" s="609" t="s">
        <v>925</v>
      </c>
      <c r="AA2206" s="609" t="s">
        <v>3451</v>
      </c>
    </row>
    <row r="2207" spans="1:27" ht="18" customHeight="1">
      <c r="A2207" s="2712"/>
      <c r="B2207" s="371"/>
      <c r="C2207" s="371"/>
      <c r="D2207" s="371"/>
      <c r="E2207" s="586" t="s">
        <v>2749</v>
      </c>
      <c r="F2207" s="2341"/>
      <c r="G2207" s="3487" t="s">
        <v>47</v>
      </c>
      <c r="H2207" s="3548" t="str">
        <f>$V$2</f>
        <v>2019年12月31日</v>
      </c>
      <c r="I2207" s="3562"/>
      <c r="J2207" s="3549"/>
      <c r="K2207" s="3548" t="str">
        <f>$V$3</f>
        <v>2018年12月31日</v>
      </c>
      <c r="L2207" s="3562"/>
      <c r="M2207" s="3549"/>
      <c r="N2207" s="3595" t="s">
        <v>3444</v>
      </c>
      <c r="O2207" s="355" t="s">
        <v>5280</v>
      </c>
      <c r="S2207" s="364"/>
      <c r="Z2207" s="609" t="s">
        <v>925</v>
      </c>
      <c r="AA2207" s="609" t="s">
        <v>3451</v>
      </c>
    </row>
    <row r="2208" spans="1:27" ht="18">
      <c r="A2208" s="2712"/>
      <c r="B2208" s="371"/>
      <c r="C2208" s="371"/>
      <c r="D2208" s="371"/>
      <c r="E2208" s="586" t="s">
        <v>2749</v>
      </c>
      <c r="F2208" s="363"/>
      <c r="G2208" s="3488"/>
      <c r="H2208" s="2281" t="s">
        <v>2861</v>
      </c>
      <c r="I2208" s="2281" t="s">
        <v>2862</v>
      </c>
      <c r="J2208" s="2281" t="s">
        <v>2863</v>
      </c>
      <c r="K2208" s="2281" t="s">
        <v>2861</v>
      </c>
      <c r="L2208" s="2281" t="s">
        <v>2862</v>
      </c>
      <c r="M2208" s="2281" t="s">
        <v>2863</v>
      </c>
      <c r="N2208" s="3596"/>
      <c r="S2208" s="364"/>
      <c r="Z2208" s="609" t="s">
        <v>925</v>
      </c>
      <c r="AA2208" s="609" t="s">
        <v>3451</v>
      </c>
    </row>
    <row r="2209" spans="1:29" ht="18">
      <c r="A2209" s="2712"/>
      <c r="B2209" s="371">
        <v>101</v>
      </c>
      <c r="C2209" s="371"/>
      <c r="D2209" s="2714">
        <f t="shared" ref="D2209:D2218" si="226">IF(OR(G2209="*",G2209="",G2209=0),0,COUNTIF($G$2209:$G$2218,G2209))</f>
        <v>1</v>
      </c>
      <c r="E2209" s="2719">
        <v>1</v>
      </c>
      <c r="F2209" s="294"/>
      <c r="G2209" s="1472" t="s">
        <v>3445</v>
      </c>
      <c r="H2209" s="2273"/>
      <c r="I2209" s="2273"/>
      <c r="J2209" s="1474">
        <f>H2209-I2209</f>
        <v>0</v>
      </c>
      <c r="K2209" s="2273"/>
      <c r="L2209" s="2273"/>
      <c r="M2209" s="1474">
        <f>K2209-L2209</f>
        <v>0</v>
      </c>
      <c r="N2209" s="2274"/>
      <c r="S2209" s="364"/>
      <c r="Z2209" s="609" t="s">
        <v>925</v>
      </c>
      <c r="AA2209" s="609" t="s">
        <v>3451</v>
      </c>
    </row>
    <row r="2210" spans="1:29" ht="18">
      <c r="A2210" s="2712"/>
      <c r="B2210" s="371">
        <v>102</v>
      </c>
      <c r="C2210" s="371"/>
      <c r="D2210" s="2714">
        <f t="shared" si="226"/>
        <v>1</v>
      </c>
      <c r="E2210" s="2719">
        <v>0</v>
      </c>
      <c r="F2210" s="294"/>
      <c r="G2210" s="1472" t="s">
        <v>3446</v>
      </c>
      <c r="H2210" s="2273"/>
      <c r="I2210" s="2273"/>
      <c r="J2210" s="1474">
        <f>H2210-I2210</f>
        <v>0</v>
      </c>
      <c r="K2210" s="2273"/>
      <c r="L2210" s="2273"/>
      <c r="M2210" s="1474">
        <f>K2210-L2210</f>
        <v>0</v>
      </c>
      <c r="N2210" s="2274"/>
      <c r="S2210" s="364"/>
      <c r="Z2210" s="609" t="s">
        <v>925</v>
      </c>
      <c r="AA2210" s="609" t="s">
        <v>3451</v>
      </c>
    </row>
    <row r="2211" spans="1:29" ht="18">
      <c r="A2211" s="2712"/>
      <c r="B2211" s="371">
        <v>103</v>
      </c>
      <c r="C2211" s="371"/>
      <c r="D2211" s="2714">
        <f t="shared" si="226"/>
        <v>1</v>
      </c>
      <c r="E2211" s="2719">
        <v>1</v>
      </c>
      <c r="F2211" s="294"/>
      <c r="G2211" s="1472" t="s">
        <v>3447</v>
      </c>
      <c r="H2211" s="2273"/>
      <c r="I2211" s="2273"/>
      <c r="J2211" s="1474">
        <f t="shared" ref="J2211:J2216" si="227">H2211-I2211</f>
        <v>0</v>
      </c>
      <c r="K2211" s="2273"/>
      <c r="L2211" s="2273"/>
      <c r="M2211" s="1474">
        <f t="shared" ref="M2211:M2216" si="228">K2211-L2211</f>
        <v>0</v>
      </c>
      <c r="N2211" s="2274"/>
      <c r="S2211" s="364"/>
      <c r="Z2211" s="609" t="s">
        <v>925</v>
      </c>
      <c r="AA2211" s="609" t="s">
        <v>3451</v>
      </c>
    </row>
    <row r="2212" spans="1:29" ht="18">
      <c r="A2212" s="2712"/>
      <c r="B2212" s="371">
        <v>104</v>
      </c>
      <c r="C2212" s="371"/>
      <c r="D2212" s="2714">
        <f t="shared" si="226"/>
        <v>1</v>
      </c>
      <c r="E2212" s="2719">
        <v>1</v>
      </c>
      <c r="F2212" s="294"/>
      <c r="G2212" s="1472" t="s">
        <v>3448</v>
      </c>
      <c r="H2212" s="2273"/>
      <c r="I2212" s="2273"/>
      <c r="J2212" s="1474">
        <f t="shared" si="227"/>
        <v>0</v>
      </c>
      <c r="K2212" s="2273"/>
      <c r="L2212" s="2273"/>
      <c r="M2212" s="1474">
        <f t="shared" si="228"/>
        <v>0</v>
      </c>
      <c r="N2212" s="2274"/>
      <c r="S2212" s="364"/>
      <c r="Z2212" s="609" t="s">
        <v>925</v>
      </c>
      <c r="AA2212" s="609" t="s">
        <v>3451</v>
      </c>
    </row>
    <row r="2213" spans="1:29" ht="18">
      <c r="A2213" s="2712"/>
      <c r="B2213" s="371">
        <v>105</v>
      </c>
      <c r="C2213" s="371"/>
      <c r="D2213" s="2714">
        <f t="shared" si="226"/>
        <v>1</v>
      </c>
      <c r="E2213" s="2719">
        <v>1</v>
      </c>
      <c r="F2213" s="294"/>
      <c r="G2213" s="1472" t="s">
        <v>3449</v>
      </c>
      <c r="H2213" s="2273"/>
      <c r="I2213" s="2273"/>
      <c r="J2213" s="1474">
        <f t="shared" si="227"/>
        <v>0</v>
      </c>
      <c r="K2213" s="2273"/>
      <c r="L2213" s="2273"/>
      <c r="M2213" s="1474">
        <f t="shared" si="228"/>
        <v>0</v>
      </c>
      <c r="N2213" s="2274"/>
      <c r="S2213" s="364"/>
      <c r="Z2213" s="609" t="s">
        <v>925</v>
      </c>
      <c r="AA2213" s="609" t="s">
        <v>3451</v>
      </c>
    </row>
    <row r="2214" spans="1:29" ht="18">
      <c r="A2214" s="2712"/>
      <c r="B2214" s="371">
        <v>106</v>
      </c>
      <c r="C2214" s="371"/>
      <c r="D2214" s="2714">
        <f t="shared" si="226"/>
        <v>1</v>
      </c>
      <c r="E2214" s="2719">
        <v>1</v>
      </c>
      <c r="F2214" s="294"/>
      <c r="G2214" s="1472" t="s">
        <v>3450</v>
      </c>
      <c r="H2214" s="2273"/>
      <c r="I2214" s="2273"/>
      <c r="J2214" s="1474">
        <f t="shared" si="227"/>
        <v>0</v>
      </c>
      <c r="K2214" s="2273"/>
      <c r="L2214" s="2273"/>
      <c r="M2214" s="1474">
        <f t="shared" si="228"/>
        <v>0</v>
      </c>
      <c r="N2214" s="2274"/>
      <c r="S2214" s="364"/>
      <c r="Z2214" s="609" t="s">
        <v>925</v>
      </c>
      <c r="AA2214" s="609" t="s">
        <v>3451</v>
      </c>
    </row>
    <row r="2215" spans="1:29" ht="18">
      <c r="A2215" s="2712"/>
      <c r="B2215" s="371">
        <v>107</v>
      </c>
      <c r="C2215" s="371" t="s">
        <v>2791</v>
      </c>
      <c r="D2215" s="2714">
        <f t="shared" si="226"/>
        <v>0</v>
      </c>
      <c r="E2215" s="2719">
        <v>1</v>
      </c>
      <c r="F2215" s="294"/>
      <c r="G2215" s="2282" t="s">
        <v>2792</v>
      </c>
      <c r="H2215" s="2273"/>
      <c r="I2215" s="2273"/>
      <c r="J2215" s="1474">
        <f t="shared" si="227"/>
        <v>0</v>
      </c>
      <c r="K2215" s="2273"/>
      <c r="L2215" s="2273"/>
      <c r="M2215" s="1474">
        <f t="shared" si="228"/>
        <v>0</v>
      </c>
      <c r="N2215" s="2274"/>
      <c r="S2215" s="364"/>
      <c r="Z2215" s="609" t="s">
        <v>925</v>
      </c>
      <c r="AA2215" s="609" t="s">
        <v>3451</v>
      </c>
    </row>
    <row r="2216" spans="1:29" ht="18">
      <c r="A2216" s="2712"/>
      <c r="B2216" s="371">
        <v>108</v>
      </c>
      <c r="C2216" s="371" t="s">
        <v>2791</v>
      </c>
      <c r="D2216" s="2714">
        <f t="shared" si="226"/>
        <v>0</v>
      </c>
      <c r="E2216" s="2719">
        <v>1</v>
      </c>
      <c r="F2216" s="294"/>
      <c r="G2216" s="2282" t="s">
        <v>2792</v>
      </c>
      <c r="H2216" s="2273"/>
      <c r="I2216" s="2273"/>
      <c r="J2216" s="1474">
        <f t="shared" si="227"/>
        <v>0</v>
      </c>
      <c r="K2216" s="2273"/>
      <c r="L2216" s="2273"/>
      <c r="M2216" s="1474">
        <f t="shared" si="228"/>
        <v>0</v>
      </c>
      <c r="N2216" s="2274"/>
      <c r="S2216" s="364"/>
      <c r="Z2216" s="609" t="s">
        <v>925</v>
      </c>
      <c r="AA2216" s="609" t="s">
        <v>3451</v>
      </c>
    </row>
    <row r="2217" spans="1:29" ht="18">
      <c r="A2217" s="2712"/>
      <c r="B2217" s="371">
        <v>109</v>
      </c>
      <c r="C2217" s="371" t="s">
        <v>2791</v>
      </c>
      <c r="D2217" s="2714">
        <f t="shared" si="226"/>
        <v>1</v>
      </c>
      <c r="E2217" s="2719">
        <v>-1</v>
      </c>
      <c r="F2217" s="294"/>
      <c r="G2217" s="2690" t="s">
        <v>6399</v>
      </c>
      <c r="H2217" s="2273"/>
      <c r="I2217" s="2273"/>
      <c r="J2217" s="2273">
        <v>0</v>
      </c>
      <c r="K2217" s="2273"/>
      <c r="L2217" s="2273"/>
      <c r="M2217" s="2273">
        <v>0</v>
      </c>
      <c r="N2217" s="2274"/>
      <c r="O2217" s="1532" t="str">
        <f ca="1">HYPERLINK("#'"&amp;$G$1&amp;"'!"&amp;ADDRESS(ROW(Notes!K1797),COLUMN(Notes!K1797),4),"* 请勿删除此行！点击往勾稽单元格，F5+Enter返回")</f>
        <v>* 请勿删除此行！点击往勾稽单元格，F5+Enter返回</v>
      </c>
      <c r="S2217" s="364"/>
      <c r="Z2217" s="609" t="s">
        <v>925</v>
      </c>
      <c r="AA2217" s="609" t="s">
        <v>3451</v>
      </c>
      <c r="AC2217" s="369" t="s">
        <v>6571</v>
      </c>
    </row>
    <row r="2218" spans="1:29" ht="18.75" thickBot="1">
      <c r="A2218" s="2712"/>
      <c r="B2218" s="371"/>
      <c r="C2218" s="371"/>
      <c r="D2218" s="2714">
        <f t="shared" si="226"/>
        <v>1</v>
      </c>
      <c r="E2218" s="2719" t="s">
        <v>2751</v>
      </c>
      <c r="F2218" s="294"/>
      <c r="G2218" s="374" t="s">
        <v>2752</v>
      </c>
      <c r="H2218" s="1476">
        <f t="shared" ref="H2218:M2218" si="229">SUMPRODUCT($E2208:$E2217,H2208:H2217)</f>
        <v>0</v>
      </c>
      <c r="I2218" s="1476">
        <f t="shared" si="229"/>
        <v>0</v>
      </c>
      <c r="J2218" s="1476">
        <f t="shared" si="229"/>
        <v>0</v>
      </c>
      <c r="K2218" s="1476">
        <f t="shared" si="229"/>
        <v>0</v>
      </c>
      <c r="L2218" s="1476">
        <f t="shared" si="229"/>
        <v>0</v>
      </c>
      <c r="M2218" s="1476">
        <f t="shared" si="229"/>
        <v>0</v>
      </c>
      <c r="N2218" s="2258"/>
      <c r="O2218" s="1532" t="str">
        <f ca="1">HYPERLINK("#'"&amp;$G$1&amp;"'!"&amp;ADDRESS(ROW(Notes!H2230),COLUMN(Notes!H2230),4),"* 请勿删除此行！点击往勾稽单元格，F5+Enter返回")</f>
        <v>* 请勿删除此行！点击往勾稽单元格，F5+Enter返回</v>
      </c>
      <c r="S2218" s="364"/>
      <c r="Z2218" s="609" t="s">
        <v>925</v>
      </c>
      <c r="AA2218" s="609" t="s">
        <v>3451</v>
      </c>
      <c r="AC2218" s="369" t="s">
        <v>6571</v>
      </c>
    </row>
    <row r="2219" spans="1:29" ht="18">
      <c r="A2219" s="2712"/>
      <c r="B2219" s="371"/>
      <c r="C2219" s="371" t="s">
        <v>2755</v>
      </c>
      <c r="D2219" s="371"/>
      <c r="F2219" s="294"/>
      <c r="G2219" s="301"/>
      <c r="H2219" s="315"/>
      <c r="I2219" s="315"/>
      <c r="J2219" s="315"/>
      <c r="K2219" s="315"/>
      <c r="L2219" s="315"/>
      <c r="M2219" s="315"/>
      <c r="N2219" s="393"/>
      <c r="S2219" s="364"/>
      <c r="Z2219" s="609" t="s">
        <v>925</v>
      </c>
      <c r="AA2219" s="609" t="s">
        <v>3451</v>
      </c>
    </row>
    <row r="2220" spans="1:29" ht="36">
      <c r="A2220" s="2712" t="s">
        <v>5917</v>
      </c>
      <c r="B2220" s="371">
        <v>2.1</v>
      </c>
      <c r="C2220" s="371"/>
      <c r="D2220" s="2714" t="str">
        <f>VLOOKUP($A2220,Sheet_NoteList,2,0)</f>
        <v>长期应收款按坏账计提方法分类披露（三阶段模型）</v>
      </c>
      <c r="E2220" s="2714" t="s">
        <v>6529</v>
      </c>
      <c r="F2220" s="293"/>
      <c r="G2220" s="372" t="str">
        <f>"("&amp;B2220&amp;")"&amp;D2220</f>
        <v>(2.1)长期应收款按坏账计提方法分类披露（三阶段模型）</v>
      </c>
      <c r="H2220" s="1515" t="str">
        <f>$A2220</f>
        <v>1531t</v>
      </c>
      <c r="I2220" s="343" t="s">
        <v>5948</v>
      </c>
      <c r="J2220" s="301" t="s">
        <v>5949</v>
      </c>
      <c r="K2220" s="2208">
        <f>H2227</f>
        <v>0</v>
      </c>
      <c r="L2220" s="349" t="str">
        <f>IF($I2220="适用",IF(ROUND(K$2203-K2220,2)=0,"F/S",ROUND(K$2203-K2220,2)),"#N/A")</f>
        <v>F/S</v>
      </c>
      <c r="M2220" s="301"/>
      <c r="N2220" s="391"/>
      <c r="O2220" s="349"/>
      <c r="P2220" s="301"/>
      <c r="S2220" s="364"/>
      <c r="Z2220" s="609" t="s">
        <v>925</v>
      </c>
      <c r="AA2220" s="609" t="s">
        <v>3451</v>
      </c>
    </row>
    <row r="2221" spans="1:29" ht="0.75" customHeight="1" thickBot="1">
      <c r="A2221" s="2712"/>
      <c r="B2221" s="371"/>
      <c r="C2221" s="371"/>
      <c r="D2221" s="2714"/>
      <c r="E2221" s="586"/>
      <c r="F2221" s="586"/>
      <c r="G2221" s="2222" t="s">
        <v>5950</v>
      </c>
      <c r="H2221" s="1615" t="s">
        <v>6176</v>
      </c>
      <c r="I2221" s="371" t="s">
        <v>6215</v>
      </c>
      <c r="J2221" s="371" t="s">
        <v>6216</v>
      </c>
      <c r="K2221" s="391"/>
      <c r="L2221" s="349"/>
      <c r="M2221" s="301"/>
      <c r="N2221" s="391"/>
      <c r="O2221" s="349"/>
      <c r="P2221" s="301"/>
      <c r="S2221" s="364"/>
      <c r="Z2221" s="609" t="s">
        <v>925</v>
      </c>
      <c r="AA2221" s="609" t="s">
        <v>3451</v>
      </c>
    </row>
    <row r="2222" spans="1:29" ht="18.75" thickTop="1">
      <c r="A2222" s="2712"/>
      <c r="B2222" s="371"/>
      <c r="C2222" s="371"/>
      <c r="D2222" s="2714"/>
      <c r="E2222" s="586" t="s">
        <v>2749</v>
      </c>
      <c r="F2222" s="414"/>
      <c r="G2222" s="2287" t="s">
        <v>6027</v>
      </c>
      <c r="H2222" s="2230" t="s">
        <v>2861</v>
      </c>
      <c r="I2222" s="2230" t="s">
        <v>2862</v>
      </c>
      <c r="J2222" s="2291" t="s">
        <v>2863</v>
      </c>
      <c r="K2222" s="355" t="s">
        <v>5280</v>
      </c>
      <c r="L2222" s="1582" t="str">
        <f>H2222</f>
        <v>账面余额</v>
      </c>
      <c r="M2222" s="1582" t="str">
        <f>I2222</f>
        <v>坏账准备</v>
      </c>
      <c r="N2222" s="2657" t="str">
        <f>J2222</f>
        <v>账面价值</v>
      </c>
      <c r="O2222" s="2656" t="str">
        <f>""&amp;"NoteID"&amp;""</f>
        <v>NoteID</v>
      </c>
      <c r="P2222" s="301"/>
      <c r="S2222" s="364"/>
      <c r="Z2222" s="609" t="s">
        <v>925</v>
      </c>
      <c r="AA2222" s="609" t="s">
        <v>3451</v>
      </c>
    </row>
    <row r="2223" spans="1:29" ht="18">
      <c r="A2223" s="2712"/>
      <c r="B2223" s="371">
        <v>101</v>
      </c>
      <c r="C2223" s="371"/>
      <c r="D2223" s="2714">
        <f t="shared" ref="D2223:D2227" si="230">IF(OR(G2223="*",G2223="",G2223=0),0,COUNTIF($G$2223:$G$2227,G2223))</f>
        <v>1</v>
      </c>
      <c r="E2223" s="2719">
        <v>1</v>
      </c>
      <c r="F2223" s="293"/>
      <c r="G2223" s="1472" t="s">
        <v>6028</v>
      </c>
      <c r="H2223" s="2273"/>
      <c r="I2223" s="2273"/>
      <c r="J2223" s="1475">
        <f>H2223-I2223</f>
        <v>0</v>
      </c>
      <c r="K2223" s="391"/>
      <c r="L2223" s="2250">
        <f ca="1">HYPERLINK("#'"&amp;$G$1&amp;"'!"&amp;ADDRESS(ROW(Notes!H2247),COLUMN(Notes!H2247),4),H2247-H2223)</f>
        <v>0</v>
      </c>
      <c r="M2223" s="2250">
        <f ca="1">HYPERLINK("#'"&amp;$G$1&amp;"'!"&amp;ADDRESS(ROW(Notes!J2247),COLUMN(Notes!J2247),4),J2247-I2223)</f>
        <v>0</v>
      </c>
      <c r="N2223" s="2250">
        <f ca="1">HYPERLINK("#'"&amp;$G$1&amp;"'!"&amp;ADDRESS(ROW(Notes!K2247),COLUMN(Notes!K2247),4),K2247-J2223)</f>
        <v>0</v>
      </c>
      <c r="O2223" s="2630" t="str">
        <f>H2236</f>
        <v>1531i</v>
      </c>
      <c r="P2223" s="301"/>
      <c r="S2223" s="364"/>
      <c r="Z2223" s="609" t="s">
        <v>925</v>
      </c>
      <c r="AA2223" s="609" t="s">
        <v>3451</v>
      </c>
    </row>
    <row r="2224" spans="1:29" ht="18">
      <c r="A2224" s="2712"/>
      <c r="B2224" s="371">
        <v>102</v>
      </c>
      <c r="C2224" s="371"/>
      <c r="D2224" s="2714">
        <f t="shared" si="230"/>
        <v>1</v>
      </c>
      <c r="E2224" s="2719">
        <v>1</v>
      </c>
      <c r="F2224" s="293"/>
      <c r="G2224" s="1472" t="s">
        <v>6029</v>
      </c>
      <c r="H2224" s="2273"/>
      <c r="I2224" s="2273"/>
      <c r="J2224" s="1475">
        <f t="shared" ref="J2224:J2226" si="231">H2224-I2224</f>
        <v>0</v>
      </c>
      <c r="K2224" s="391"/>
      <c r="L2224" s="2250">
        <f ca="1">HYPERLINK("#'"&amp;$G$1&amp;"'!"&amp;ADDRESS(ROW(Notes!H2260),COLUMN(Notes!H2260),4),H2260-H2224)</f>
        <v>0</v>
      </c>
      <c r="M2224" s="2250">
        <f ca="1">HYPERLINK("#'"&amp;$G$1&amp;"'!"&amp;ADDRESS(ROW(Notes!J2260),COLUMN(Notes!J2260),4),J2260-I2224)</f>
        <v>0</v>
      </c>
      <c r="N2224" s="2250">
        <f ca="1">HYPERLINK("#'"&amp;$G$1&amp;"'!"&amp;ADDRESS(ROW(Notes!K2260),COLUMN(Notes!K2260),4),K2260-J2224)</f>
        <v>0</v>
      </c>
      <c r="O2224" s="2630" t="str">
        <f>H2249</f>
        <v>1531j</v>
      </c>
      <c r="P2224" s="301"/>
      <c r="S2224" s="364"/>
      <c r="Z2224" s="609" t="s">
        <v>925</v>
      </c>
      <c r="AA2224" s="609" t="s">
        <v>3451</v>
      </c>
    </row>
    <row r="2225" spans="1:27" ht="18">
      <c r="A2225" s="2712"/>
      <c r="B2225" s="371">
        <v>103</v>
      </c>
      <c r="C2225" s="371"/>
      <c r="D2225" s="2714">
        <f t="shared" si="230"/>
        <v>1</v>
      </c>
      <c r="E2225" s="2719">
        <v>1</v>
      </c>
      <c r="F2225" s="293"/>
      <c r="G2225" s="1472" t="s">
        <v>6030</v>
      </c>
      <c r="H2225" s="2273"/>
      <c r="I2225" s="2273"/>
      <c r="J2225" s="1475">
        <f t="shared" si="231"/>
        <v>0</v>
      </c>
      <c r="K2225" s="391"/>
      <c r="L2225" s="2250">
        <f ca="1">HYPERLINK("#'"&amp;$G$1&amp;"'!"&amp;ADDRESS(ROW(Notes!H2273),COLUMN(Notes!H2273),4),H2273-H2225)</f>
        <v>0</v>
      </c>
      <c r="M2225" s="2250">
        <f ca="1">HYPERLINK("#'"&amp;$G$1&amp;"'!"&amp;ADDRESS(ROW(Notes!J2273),COLUMN(Notes!J2273),4),J2273-I2225)</f>
        <v>0</v>
      </c>
      <c r="N2225" s="2250">
        <f ca="1">HYPERLINK("#'"&amp;$G$1&amp;"'!"&amp;ADDRESS(ROW(Notes!K2273),COLUMN(Notes!K2273),4),K2273-J2225)</f>
        <v>0</v>
      </c>
      <c r="O2225" s="2630" t="str">
        <f>H2262</f>
        <v>1531k</v>
      </c>
      <c r="P2225" s="301"/>
      <c r="S2225" s="364"/>
      <c r="Z2225" s="609" t="s">
        <v>925</v>
      </c>
      <c r="AA2225" s="609" t="s">
        <v>3451</v>
      </c>
    </row>
    <row r="2226" spans="1:27" ht="18">
      <c r="A2226" s="2712"/>
      <c r="B2226" s="371">
        <v>104</v>
      </c>
      <c r="C2226" s="371" t="s">
        <v>2791</v>
      </c>
      <c r="D2226" s="2714">
        <f t="shared" si="230"/>
        <v>0</v>
      </c>
      <c r="E2226" s="2719">
        <v>1</v>
      </c>
      <c r="F2226" s="293"/>
      <c r="G2226" s="2282" t="s">
        <v>2792</v>
      </c>
      <c r="H2226" s="2273"/>
      <c r="I2226" s="2273"/>
      <c r="J2226" s="1475">
        <f t="shared" si="231"/>
        <v>0</v>
      </c>
      <c r="K2226" s="391"/>
      <c r="L2226" s="456"/>
      <c r="M2226" s="456"/>
      <c r="N2226" s="456"/>
      <c r="O2226" s="456"/>
      <c r="P2226" s="301"/>
      <c r="S2226" s="364"/>
      <c r="Z2226" s="609" t="s">
        <v>925</v>
      </c>
      <c r="AA2226" s="609" t="s">
        <v>3451</v>
      </c>
    </row>
    <row r="2227" spans="1:27" ht="18.75" thickBot="1">
      <c r="A2227" s="2712"/>
      <c r="B2227" s="371"/>
      <c r="C2227" s="371"/>
      <c r="D2227" s="2714">
        <f t="shared" si="230"/>
        <v>1</v>
      </c>
      <c r="E2227" s="2719" t="s">
        <v>2751</v>
      </c>
      <c r="F2227" s="293"/>
      <c r="G2227" s="2232" t="s">
        <v>2752</v>
      </c>
      <c r="H2227" s="2233">
        <f>SUMPRODUCT($E2222:$E2226,H2222:H2226)</f>
        <v>0</v>
      </c>
      <c r="I2227" s="2233">
        <f>SUMPRODUCT($E2222:$E2226,I2222:I2226)</f>
        <v>0</v>
      </c>
      <c r="J2227" s="2234">
        <f>SUMPRODUCT($E2222:$E2226,J2222:J2226)</f>
        <v>0</v>
      </c>
      <c r="K2227" s="391"/>
      <c r="L2227" s="1529">
        <f t="shared" ref="L2227:O2227" ca="1" si="232">SUM(L2223:L2226)</f>
        <v>0</v>
      </c>
      <c r="M2227" s="1529">
        <f t="shared" ca="1" si="232"/>
        <v>0</v>
      </c>
      <c r="N2227" s="1529">
        <f t="shared" ca="1" si="232"/>
        <v>0</v>
      </c>
      <c r="O2227" s="1529">
        <f t="shared" si="232"/>
        <v>0</v>
      </c>
      <c r="P2227" s="301"/>
      <c r="S2227" s="364"/>
      <c r="Z2227" s="609" t="s">
        <v>925</v>
      </c>
      <c r="AA2227" s="609" t="s">
        <v>3451</v>
      </c>
    </row>
    <row r="2228" spans="1:27" ht="18.75" thickBot="1">
      <c r="A2228" s="2712"/>
      <c r="B2228" s="371"/>
      <c r="C2228" s="371" t="s">
        <v>2755</v>
      </c>
      <c r="D2228" s="2714"/>
      <c r="F2228" s="293"/>
      <c r="G2228" s="376"/>
      <c r="H2228" s="2624" t="s">
        <v>3002</v>
      </c>
      <c r="I2228" s="2251" t="s">
        <v>3002</v>
      </c>
      <c r="J2228" s="527" t="s">
        <v>3002</v>
      </c>
      <c r="K2228" s="391"/>
      <c r="L2228" s="1537" t="s">
        <v>5493</v>
      </c>
      <c r="M2228" s="354"/>
      <c r="N2228" s="317"/>
      <c r="O2228" s="317"/>
      <c r="P2228" s="301"/>
      <c r="S2228" s="364"/>
      <c r="Z2228" s="609" t="s">
        <v>925</v>
      </c>
      <c r="AA2228" s="609" t="s">
        <v>3451</v>
      </c>
    </row>
    <row r="2229" spans="1:27" ht="18.75" thickTop="1">
      <c r="A2229" s="2712"/>
      <c r="B2229" s="371"/>
      <c r="C2229" s="371" t="s">
        <v>2565</v>
      </c>
      <c r="D2229" s="2714"/>
      <c r="F2229" s="293"/>
      <c r="G2229" s="1547" t="s">
        <v>5365</v>
      </c>
      <c r="H2229" s="1548" t="str">
        <f>G2204</f>
        <v>(1)长期应收款情况</v>
      </c>
      <c r="I2229" s="1550"/>
      <c r="J2229" s="1550"/>
      <c r="K2229" s="1551" t="s">
        <v>5366</v>
      </c>
      <c r="L2229" s="349"/>
      <c r="M2229" s="301"/>
      <c r="N2229" s="391"/>
      <c r="O2229" s="349"/>
      <c r="P2229" s="301"/>
      <c r="S2229" s="364"/>
      <c r="Z2229" s="609" t="s">
        <v>925</v>
      </c>
      <c r="AA2229" s="609" t="s">
        <v>3451</v>
      </c>
    </row>
    <row r="2230" spans="1:27" ht="18">
      <c r="A2230" s="2712"/>
      <c r="B2230" s="371"/>
      <c r="C2230" s="371" t="s">
        <v>2565</v>
      </c>
      <c r="D2230" s="2714"/>
      <c r="F2230" s="293"/>
      <c r="G2230" s="604" t="str">
        <f>"注释A:"&amp; G2218</f>
        <v>注释A:合       计</v>
      </c>
      <c r="H2230" s="2250">
        <f ca="1">HYPERLINK("#'"&amp;$G$1&amp;"'!"&amp;ADDRESS(ROW(Notes!H2218),COLUMN(Notes!H2218),4),H2218)</f>
        <v>0</v>
      </c>
      <c r="I2230" s="2250">
        <f ca="1">HYPERLINK("#'"&amp;$G$1&amp;"'!"&amp;ADDRESS(ROW(Notes!I2218),COLUMN(Notes!I2218),4),I2218)</f>
        <v>0</v>
      </c>
      <c r="J2230" s="2250">
        <f ca="1">HYPERLINK("#'"&amp;$G$1&amp;"'!"&amp;ADDRESS(ROW(Notes!J2218),COLUMN(Notes!J2218),4),J2218)</f>
        <v>0</v>
      </c>
      <c r="K2230" s="2630" t="str">
        <f>H2204</f>
        <v>1531a</v>
      </c>
      <c r="L2230" s="349"/>
      <c r="M2230" s="301"/>
      <c r="N2230" s="391"/>
      <c r="O2230" s="349"/>
      <c r="P2230" s="301"/>
      <c r="S2230" s="364"/>
      <c r="Z2230" s="609" t="s">
        <v>925</v>
      </c>
      <c r="AA2230" s="609" t="s">
        <v>3451</v>
      </c>
    </row>
    <row r="2231" spans="1:27" ht="18">
      <c r="A2231" s="2712"/>
      <c r="B2231" s="371"/>
      <c r="C2231" s="371" t="s">
        <v>2565</v>
      </c>
      <c r="D2231" s="2714"/>
      <c r="F2231" s="293"/>
      <c r="G2231" s="604" t="str">
        <f>"本注释B:"&amp; G2227</f>
        <v>本注释B:合       计</v>
      </c>
      <c r="H2231" s="456">
        <f>H2227</f>
        <v>0</v>
      </c>
      <c r="I2231" s="456">
        <f t="shared" ref="I2231:J2231" si="233">I2227</f>
        <v>0</v>
      </c>
      <c r="J2231" s="456">
        <f t="shared" si="233"/>
        <v>0</v>
      </c>
      <c r="K2231" s="2636" t="s">
        <v>5917</v>
      </c>
      <c r="L2231" s="349"/>
      <c r="M2231" s="301"/>
      <c r="N2231" s="391"/>
      <c r="O2231" s="349"/>
      <c r="P2231" s="301"/>
      <c r="S2231" s="364"/>
      <c r="Z2231" s="609" t="s">
        <v>925</v>
      </c>
      <c r="AA2231" s="609" t="s">
        <v>3451</v>
      </c>
    </row>
    <row r="2232" spans="1:27" ht="18.75" thickBot="1">
      <c r="A2232" s="2712"/>
      <c r="B2232" s="371"/>
      <c r="C2232" s="371" t="s">
        <v>2565</v>
      </c>
      <c r="D2232" s="2714"/>
      <c r="F2232" s="293"/>
      <c r="G2232" s="1552" t="s">
        <v>2757</v>
      </c>
      <c r="H2232" s="1529">
        <f ca="1">IF(AND(H2230="",H2231=""),"",ROUND(H2230-H2231,2))</f>
        <v>0</v>
      </c>
      <c r="I2232" s="1529">
        <f ca="1">IF(AND(I2230="",I2231=""),"",ROUND(I2230-I2231,2))</f>
        <v>0</v>
      </c>
      <c r="J2232" s="1529">
        <f ca="1">IF(AND(J2230="",J2231=""),"",ROUND(J2230-J2231,2))</f>
        <v>0</v>
      </c>
      <c r="K2232" s="1553"/>
      <c r="L2232" s="349"/>
      <c r="M2232" s="301"/>
      <c r="N2232" s="391"/>
      <c r="O2232" s="349"/>
      <c r="P2232" s="301"/>
      <c r="S2232" s="364"/>
      <c r="Z2232" s="609" t="s">
        <v>925</v>
      </c>
      <c r="AA2232" s="609" t="s">
        <v>3451</v>
      </c>
    </row>
    <row r="2233" spans="1:27" ht="18.75" thickTop="1">
      <c r="A2233" s="2712"/>
      <c r="B2233" s="371"/>
      <c r="C2233" s="371" t="s">
        <v>2565</v>
      </c>
      <c r="D2233" s="2714"/>
      <c r="F2233" s="293"/>
      <c r="G2233" s="1543"/>
      <c r="H2233" s="459" t="str">
        <f ca="1">IF(OR(H2232=0,H2232=""),"√","？")</f>
        <v>√</v>
      </c>
      <c r="I2233" s="459" t="str">
        <f ca="1">IF(OR(I2232=0,I2232=""),"√","？")</f>
        <v>√</v>
      </c>
      <c r="J2233" s="459" t="str">
        <f ca="1">IF(OR(J2232=0,J2232=""),"√","？")</f>
        <v>√</v>
      </c>
      <c r="K2233" s="317"/>
      <c r="L2233" s="349"/>
      <c r="M2233" s="301"/>
      <c r="N2233" s="391"/>
      <c r="O2233" s="349"/>
      <c r="P2233" s="301"/>
      <c r="S2233" s="364"/>
      <c r="Z2233" s="609" t="s">
        <v>925</v>
      </c>
      <c r="AA2233" s="609" t="s">
        <v>3451</v>
      </c>
    </row>
    <row r="2234" spans="1:27" ht="18">
      <c r="A2234" s="2712"/>
      <c r="B2234" s="371"/>
      <c r="C2234" s="371" t="s">
        <v>2565</v>
      </c>
      <c r="D2234" s="2714"/>
      <c r="F2234" s="293"/>
      <c r="G2234" s="1557" t="s">
        <v>2759</v>
      </c>
      <c r="H2234" s="461"/>
      <c r="I2234" s="461"/>
      <c r="J2234" s="461"/>
      <c r="K2234" s="352">
        <f ca="1">SUMIF($H$2233:$K$2233,"&lt;&gt;√",$H$2232:$K$2232)</f>
        <v>0</v>
      </c>
      <c r="L2234" s="2626" t="str">
        <f ca="1">IF(OR(K2234=0,K2234=""),"√","？")</f>
        <v>√</v>
      </c>
      <c r="M2234" s="301"/>
      <c r="N2234" s="391"/>
      <c r="O2234" s="349"/>
      <c r="P2234" s="301"/>
      <c r="S2234" s="364"/>
      <c r="Z2234" s="609" t="s">
        <v>925</v>
      </c>
      <c r="AA2234" s="609" t="s">
        <v>3451</v>
      </c>
    </row>
    <row r="2235" spans="1:27" ht="18">
      <c r="A2235" s="2712"/>
      <c r="B2235" s="371"/>
      <c r="C2235" s="371" t="s">
        <v>2565</v>
      </c>
      <c r="D2235" s="2714"/>
      <c r="F2235" s="293"/>
      <c r="G2235" s="1543"/>
      <c r="H2235" s="461"/>
      <c r="I2235" s="461"/>
      <c r="J2235" s="461"/>
      <c r="K2235" s="317"/>
      <c r="L2235" s="349"/>
      <c r="M2235" s="301"/>
      <c r="N2235" s="391"/>
      <c r="O2235" s="349"/>
      <c r="P2235" s="301"/>
      <c r="S2235" s="364"/>
      <c r="Z2235" s="609" t="s">
        <v>925</v>
      </c>
      <c r="AA2235" s="609" t="s">
        <v>3451</v>
      </c>
    </row>
    <row r="2236" spans="1:27" ht="36">
      <c r="A2236" s="2712" t="s">
        <v>928</v>
      </c>
      <c r="B2236" s="371" t="s">
        <v>6554</v>
      </c>
      <c r="C2236" s="371"/>
      <c r="D2236" s="2714" t="str">
        <f>VLOOKUP($A2236,Sheet_NoteList,2,0)</f>
        <v>期末处于第一阶段的长期应收款坏账准备（三阶段模型）</v>
      </c>
      <c r="E2236" s="2714" t="s">
        <v>2742</v>
      </c>
      <c r="F2236" s="293"/>
      <c r="G2236" s="372" t="str">
        <f>"("&amp;B2236&amp;")"&amp;D2236</f>
        <v>(2.1A)期末处于第一阶段的长期应收款坏账准备（三阶段模型）</v>
      </c>
      <c r="H2236" s="1515" t="str">
        <f>$A2236</f>
        <v>1531i</v>
      </c>
      <c r="I2236" s="343" t="s">
        <v>2743</v>
      </c>
      <c r="J2236" s="301" t="s">
        <v>2744</v>
      </c>
      <c r="K2236" s="2208">
        <f>K2247</f>
        <v>0</v>
      </c>
      <c r="L2236" s="349"/>
      <c r="M2236" s="301"/>
      <c r="N2236" s="391"/>
      <c r="O2236" s="349"/>
      <c r="P2236" s="301"/>
      <c r="S2236" s="364"/>
      <c r="Z2236" s="609" t="s">
        <v>925</v>
      </c>
      <c r="AA2236" s="609" t="s">
        <v>3451</v>
      </c>
    </row>
    <row r="2237" spans="1:27" ht="0.75" customHeight="1" thickBot="1">
      <c r="A2237" s="2712"/>
      <c r="B2237" s="371"/>
      <c r="C2237" s="371"/>
      <c r="D2237" s="2714"/>
      <c r="E2237" s="586"/>
      <c r="F2237" s="586"/>
      <c r="G2237" s="2222" t="s">
        <v>3452</v>
      </c>
      <c r="H2237" s="371" t="s">
        <v>2747</v>
      </c>
      <c r="I2237" s="371" t="s">
        <v>2947</v>
      </c>
      <c r="J2237" s="371" t="s">
        <v>2948</v>
      </c>
      <c r="K2237" s="547" t="s">
        <v>3034</v>
      </c>
      <c r="L2237" s="547" t="s">
        <v>3453</v>
      </c>
      <c r="M2237" s="433"/>
      <c r="N2237" s="428"/>
      <c r="O2237" s="428"/>
      <c r="P2237" s="433"/>
      <c r="Q2237" s="442"/>
      <c r="R2237" s="443"/>
      <c r="S2237" s="364"/>
      <c r="Z2237" s="609" t="s">
        <v>925</v>
      </c>
      <c r="AA2237" s="609" t="s">
        <v>3451</v>
      </c>
    </row>
    <row r="2238" spans="1:27" ht="36">
      <c r="A2238" s="2712"/>
      <c r="B2238" s="371"/>
      <c r="C2238" s="371"/>
      <c r="D2238" s="2714"/>
      <c r="E2238" s="586" t="s">
        <v>2749</v>
      </c>
      <c r="F2238" s="414"/>
      <c r="G2238" s="2287" t="s">
        <v>5133</v>
      </c>
      <c r="H2238" s="2289" t="s">
        <v>2861</v>
      </c>
      <c r="I2238" s="2289" t="s">
        <v>3146</v>
      </c>
      <c r="J2238" s="2289" t="s">
        <v>2862</v>
      </c>
      <c r="K2238" s="2309" t="s">
        <v>2863</v>
      </c>
      <c r="L2238" s="2310" t="s">
        <v>3147</v>
      </c>
      <c r="M2238" s="355" t="s">
        <v>5280</v>
      </c>
      <c r="N2238" s="434"/>
      <c r="O2238" s="434"/>
      <c r="P2238" s="435"/>
      <c r="Q2238" s="442"/>
      <c r="R2238" s="443"/>
      <c r="S2238" s="364"/>
      <c r="Z2238" s="609" t="s">
        <v>925</v>
      </c>
      <c r="AA2238" s="609" t="s">
        <v>3451</v>
      </c>
    </row>
    <row r="2239" spans="1:27" ht="18">
      <c r="A2239" s="2712"/>
      <c r="B2239" s="371">
        <v>101</v>
      </c>
      <c r="C2239" s="371"/>
      <c r="D2239" s="2714">
        <f t="shared" ref="D2239:D2247" si="234">IF(OR(G2239="*",G2239="",G2239=0),0,COUNTIF($G$2239:$G$2247,G2239))</f>
        <v>1</v>
      </c>
      <c r="E2239" s="2719">
        <v>1</v>
      </c>
      <c r="F2239" s="293"/>
      <c r="G2239" s="1472" t="s">
        <v>2890</v>
      </c>
      <c r="H2239" s="2273">
        <f>SUM(H2240:H2242)</f>
        <v>0</v>
      </c>
      <c r="I2239" s="2296"/>
      <c r="J2239" s="2273">
        <f>SUM(J2240:J2242)</f>
        <v>0</v>
      </c>
      <c r="K2239" s="1474">
        <f>H2239-J2239</f>
        <v>0</v>
      </c>
      <c r="L2239" s="2274"/>
      <c r="M2239" s="438"/>
      <c r="N2239" s="439"/>
      <c r="O2239" s="437"/>
      <c r="P2239" s="438"/>
      <c r="Q2239" s="442"/>
      <c r="R2239" s="443"/>
      <c r="S2239" s="364"/>
      <c r="Z2239" s="609" t="s">
        <v>925</v>
      </c>
      <c r="AA2239" s="609" t="s">
        <v>3451</v>
      </c>
    </row>
    <row r="2240" spans="1:27" ht="18">
      <c r="A2240" s="2712"/>
      <c r="B2240" s="371">
        <v>102</v>
      </c>
      <c r="C2240" s="371" t="s">
        <v>2791</v>
      </c>
      <c r="D2240" s="2714">
        <f t="shared" si="234"/>
        <v>0</v>
      </c>
      <c r="E2240" s="2719">
        <v>0</v>
      </c>
      <c r="F2240" s="293"/>
      <c r="G2240" s="2282" t="s">
        <v>2792</v>
      </c>
      <c r="H2240" s="2273"/>
      <c r="I2240" s="2296"/>
      <c r="J2240" s="2273"/>
      <c r="K2240" s="1474">
        <f t="shared" ref="K2240:K2246" si="235">H2240-J2240</f>
        <v>0</v>
      </c>
      <c r="L2240" s="2274"/>
      <c r="M2240" s="438"/>
      <c r="N2240" s="439"/>
      <c r="O2240" s="437"/>
      <c r="P2240" s="438"/>
      <c r="Q2240" s="442"/>
      <c r="R2240" s="443"/>
      <c r="S2240" s="364"/>
      <c r="Z2240" s="609" t="s">
        <v>925</v>
      </c>
      <c r="AA2240" s="609" t="s">
        <v>3451</v>
      </c>
    </row>
    <row r="2241" spans="1:29" ht="18">
      <c r="A2241" s="2712"/>
      <c r="B2241" s="371">
        <v>103</v>
      </c>
      <c r="C2241" s="371" t="s">
        <v>2791</v>
      </c>
      <c r="D2241" s="2714">
        <f t="shared" si="234"/>
        <v>0</v>
      </c>
      <c r="E2241" s="2719">
        <v>0</v>
      </c>
      <c r="F2241" s="293"/>
      <c r="G2241" s="2282" t="s">
        <v>2792</v>
      </c>
      <c r="H2241" s="2273"/>
      <c r="I2241" s="2296"/>
      <c r="J2241" s="2273"/>
      <c r="K2241" s="1474">
        <f t="shared" si="235"/>
        <v>0</v>
      </c>
      <c r="L2241" s="2274"/>
      <c r="M2241" s="438"/>
      <c r="N2241" s="439"/>
      <c r="O2241" s="437"/>
      <c r="P2241" s="438"/>
      <c r="Q2241" s="442"/>
      <c r="R2241" s="443"/>
      <c r="S2241" s="364"/>
      <c r="Z2241" s="609" t="s">
        <v>925</v>
      </c>
      <c r="AA2241" s="609" t="s">
        <v>3451</v>
      </c>
    </row>
    <row r="2242" spans="1:29" ht="18">
      <c r="A2242" s="2712"/>
      <c r="B2242" s="371">
        <v>104</v>
      </c>
      <c r="C2242" s="371" t="s">
        <v>2791</v>
      </c>
      <c r="D2242" s="2714">
        <f t="shared" si="234"/>
        <v>0</v>
      </c>
      <c r="E2242" s="2719">
        <v>0</v>
      </c>
      <c r="F2242" s="293"/>
      <c r="G2242" s="2282" t="s">
        <v>2792</v>
      </c>
      <c r="H2242" s="2273"/>
      <c r="I2242" s="2296"/>
      <c r="J2242" s="2273"/>
      <c r="K2242" s="1474">
        <f t="shared" si="235"/>
        <v>0</v>
      </c>
      <c r="L2242" s="2274"/>
      <c r="M2242" s="438"/>
      <c r="N2242" s="439"/>
      <c r="O2242" s="437"/>
      <c r="P2242" s="438"/>
      <c r="Q2242" s="442"/>
      <c r="R2242" s="443"/>
      <c r="S2242" s="364"/>
      <c r="Z2242" s="609" t="s">
        <v>925</v>
      </c>
      <c r="AA2242" s="609" t="s">
        <v>3451</v>
      </c>
    </row>
    <row r="2243" spans="1:29" ht="18">
      <c r="A2243" s="2712"/>
      <c r="B2243" s="371">
        <v>105</v>
      </c>
      <c r="C2243" s="371"/>
      <c r="D2243" s="2714">
        <f t="shared" si="234"/>
        <v>1</v>
      </c>
      <c r="E2243" s="2719">
        <v>1</v>
      </c>
      <c r="F2243" s="293"/>
      <c r="G2243" s="1472" t="s">
        <v>2892</v>
      </c>
      <c r="H2243" s="2273">
        <f>SUM(H2244:H2246)</f>
        <v>0</v>
      </c>
      <c r="I2243" s="2296"/>
      <c r="J2243" s="2273">
        <f>SUM(J2244:J2246)</f>
        <v>0</v>
      </c>
      <c r="K2243" s="1474">
        <f t="shared" si="235"/>
        <v>0</v>
      </c>
      <c r="L2243" s="2274"/>
      <c r="M2243" s="438"/>
      <c r="N2243" s="439"/>
      <c r="O2243" s="437"/>
      <c r="P2243" s="438"/>
      <c r="Q2243" s="442"/>
      <c r="R2243" s="443"/>
      <c r="S2243" s="364"/>
      <c r="Z2243" s="609" t="s">
        <v>925</v>
      </c>
      <c r="AA2243" s="609" t="s">
        <v>3451</v>
      </c>
    </row>
    <row r="2244" spans="1:29" ht="18">
      <c r="A2244" s="2712"/>
      <c r="B2244" s="371">
        <v>106</v>
      </c>
      <c r="C2244" s="371" t="s">
        <v>2791</v>
      </c>
      <c r="D2244" s="2714">
        <f t="shared" si="234"/>
        <v>0</v>
      </c>
      <c r="E2244" s="2719">
        <v>0</v>
      </c>
      <c r="F2244" s="293"/>
      <c r="G2244" s="2282" t="s">
        <v>2792</v>
      </c>
      <c r="H2244" s="2273"/>
      <c r="I2244" s="2296"/>
      <c r="J2244" s="2273"/>
      <c r="K2244" s="1474">
        <f t="shared" si="235"/>
        <v>0</v>
      </c>
      <c r="L2244" s="2274"/>
      <c r="M2244" s="438"/>
      <c r="N2244" s="439"/>
      <c r="O2244" s="437"/>
      <c r="P2244" s="438"/>
      <c r="Q2244" s="442"/>
      <c r="R2244" s="443"/>
      <c r="S2244" s="364"/>
      <c r="Z2244" s="609" t="s">
        <v>925</v>
      </c>
      <c r="AA2244" s="609" t="s">
        <v>3451</v>
      </c>
    </row>
    <row r="2245" spans="1:29" ht="18">
      <c r="A2245" s="2712"/>
      <c r="B2245" s="371">
        <v>107</v>
      </c>
      <c r="C2245" s="371" t="s">
        <v>2791</v>
      </c>
      <c r="D2245" s="2714">
        <f t="shared" si="234"/>
        <v>0</v>
      </c>
      <c r="E2245" s="2719">
        <v>0</v>
      </c>
      <c r="F2245" s="293"/>
      <c r="G2245" s="2282" t="s">
        <v>2792</v>
      </c>
      <c r="H2245" s="2273"/>
      <c r="I2245" s="2296"/>
      <c r="J2245" s="2273"/>
      <c r="K2245" s="1474">
        <f t="shared" si="235"/>
        <v>0</v>
      </c>
      <c r="L2245" s="2274"/>
      <c r="M2245" s="438"/>
      <c r="N2245" s="439"/>
      <c r="O2245" s="437"/>
      <c r="P2245" s="438"/>
      <c r="Q2245" s="442"/>
      <c r="R2245" s="443"/>
      <c r="S2245" s="364"/>
      <c r="Z2245" s="609" t="s">
        <v>925</v>
      </c>
      <c r="AA2245" s="609" t="s">
        <v>3451</v>
      </c>
    </row>
    <row r="2246" spans="1:29" ht="18">
      <c r="A2246" s="2712"/>
      <c r="B2246" s="371">
        <v>108</v>
      </c>
      <c r="C2246" s="371" t="s">
        <v>2791</v>
      </c>
      <c r="D2246" s="2714">
        <f t="shared" si="234"/>
        <v>0</v>
      </c>
      <c r="E2246" s="2719">
        <v>0</v>
      </c>
      <c r="F2246" s="293"/>
      <c r="G2246" s="2282" t="s">
        <v>2792</v>
      </c>
      <c r="H2246" s="2273"/>
      <c r="I2246" s="2296"/>
      <c r="J2246" s="2273"/>
      <c r="K2246" s="1474">
        <f t="shared" si="235"/>
        <v>0</v>
      </c>
      <c r="L2246" s="2274"/>
      <c r="M2246" s="438"/>
      <c r="N2246" s="439"/>
      <c r="O2246" s="437"/>
      <c r="P2246" s="438"/>
      <c r="Q2246" s="442"/>
      <c r="R2246" s="443"/>
      <c r="S2246" s="364"/>
      <c r="Z2246" s="609" t="s">
        <v>925</v>
      </c>
      <c r="AA2246" s="609" t="s">
        <v>3451</v>
      </c>
    </row>
    <row r="2247" spans="1:29" ht="18.75" thickBot="1">
      <c r="A2247" s="2712"/>
      <c r="B2247" s="371"/>
      <c r="C2247" s="371"/>
      <c r="D2247" s="2714">
        <f t="shared" si="234"/>
        <v>1</v>
      </c>
      <c r="E2247" s="2719" t="s">
        <v>2751</v>
      </c>
      <c r="F2247" s="293"/>
      <c r="G2247" s="2232" t="s">
        <v>2752</v>
      </c>
      <c r="H2247" s="2233">
        <f>SUMPRODUCT($E2238:$E2246,H2238:H2246)</f>
        <v>0</v>
      </c>
      <c r="I2247" s="2239"/>
      <c r="J2247" s="2233">
        <f>SUMPRODUCT($E2238:$E2246,J2238:J2246)</f>
        <v>0</v>
      </c>
      <c r="K2247" s="2233">
        <f>SUMPRODUCT($E2238:$E2246,K2238:K2246)</f>
        <v>0</v>
      </c>
      <c r="L2247" s="2242"/>
      <c r="M2247" s="1595" t="str">
        <f ca="1">HYPERLINK("#'"&amp;$G$1&amp;"'!"&amp;ADDRESS(ROW(Notes!L2223),COLUMN(Notes!L2223),4),"* 请勿删除此行！点击往勾稽单元格，F5+Enter返回")</f>
        <v>* 请勿删除此行！点击往勾稽单元格，F5+Enter返回</v>
      </c>
      <c r="N2247" s="439"/>
      <c r="O2247" s="437"/>
      <c r="P2247" s="440"/>
      <c r="Q2247" s="442"/>
      <c r="R2247" s="443"/>
      <c r="S2247" s="364"/>
      <c r="Z2247" s="609" t="s">
        <v>925</v>
      </c>
      <c r="AA2247" s="609" t="s">
        <v>3451</v>
      </c>
      <c r="AC2247" s="369" t="s">
        <v>6571</v>
      </c>
    </row>
    <row r="2248" spans="1:29" ht="18">
      <c r="A2248" s="2712"/>
      <c r="B2248" s="371"/>
      <c r="C2248" s="371" t="s">
        <v>2755</v>
      </c>
      <c r="D2248" s="2714"/>
      <c r="F2248" s="293"/>
      <c r="G2248" s="376"/>
      <c r="H2248" s="315"/>
      <c r="I2248" s="432"/>
      <c r="J2248" s="315"/>
      <c r="K2248" s="423"/>
      <c r="L2248" s="393"/>
      <c r="M2248" s="425"/>
      <c r="N2248" s="426"/>
      <c r="O2248" s="427"/>
      <c r="P2248" s="425"/>
      <c r="Q2248" s="442"/>
      <c r="R2248" s="443"/>
      <c r="S2248" s="364"/>
      <c r="Z2248" s="609" t="s">
        <v>925</v>
      </c>
      <c r="AA2248" s="609" t="s">
        <v>3451</v>
      </c>
    </row>
    <row r="2249" spans="1:29" ht="36">
      <c r="A2249" s="2712" t="s">
        <v>931</v>
      </c>
      <c r="B2249" s="371" t="s">
        <v>6555</v>
      </c>
      <c r="C2249" s="371"/>
      <c r="D2249" s="2714" t="str">
        <f>VLOOKUP($A2249,Sheet_NoteList,2,0)</f>
        <v>期末处于第二阶段的长期应收款坏账准备（三阶段模型）</v>
      </c>
      <c r="E2249" s="2714" t="s">
        <v>2742</v>
      </c>
      <c r="F2249" s="293"/>
      <c r="G2249" s="372" t="str">
        <f>"("&amp;B2249&amp;")"&amp;D2249</f>
        <v>(2.1B)期末处于第二阶段的长期应收款坏账准备（三阶段模型）</v>
      </c>
      <c r="H2249" s="1515" t="str">
        <f>$A2249</f>
        <v>1531j</v>
      </c>
      <c r="I2249" s="343" t="s">
        <v>2743</v>
      </c>
      <c r="J2249" s="301" t="s">
        <v>2744</v>
      </c>
      <c r="K2249" s="2208">
        <f>K2260</f>
        <v>0</v>
      </c>
      <c r="L2249" s="349"/>
      <c r="M2249" s="301"/>
      <c r="N2249" s="391"/>
      <c r="O2249" s="349"/>
      <c r="P2249" s="301"/>
      <c r="S2249" s="364"/>
      <c r="Z2249" s="609" t="s">
        <v>925</v>
      </c>
      <c r="AA2249" s="609" t="s">
        <v>3451</v>
      </c>
    </row>
    <row r="2250" spans="1:29" ht="0.75" customHeight="1" thickBot="1">
      <c r="A2250" s="2712"/>
      <c r="B2250" s="371"/>
      <c r="C2250" s="371"/>
      <c r="D2250" s="2714"/>
      <c r="E2250" s="586"/>
      <c r="F2250" s="586"/>
      <c r="G2250" s="2222" t="s">
        <v>3454</v>
      </c>
      <c r="H2250" s="371" t="s">
        <v>2747</v>
      </c>
      <c r="I2250" s="371" t="s">
        <v>2947</v>
      </c>
      <c r="J2250" s="371" t="s">
        <v>2948</v>
      </c>
      <c r="K2250" s="547" t="s">
        <v>3034</v>
      </c>
      <c r="L2250" s="547" t="s">
        <v>3453</v>
      </c>
      <c r="M2250" s="433"/>
      <c r="N2250" s="428"/>
      <c r="O2250" s="428"/>
      <c r="P2250" s="433"/>
      <c r="Q2250" s="442"/>
      <c r="R2250" s="443"/>
      <c r="S2250" s="364"/>
      <c r="Z2250" s="609" t="s">
        <v>925</v>
      </c>
      <c r="AA2250" s="609" t="s">
        <v>3451</v>
      </c>
    </row>
    <row r="2251" spans="1:29" ht="36">
      <c r="A2251" s="2712"/>
      <c r="B2251" s="371"/>
      <c r="C2251" s="371"/>
      <c r="D2251" s="2714"/>
      <c r="E2251" s="586" t="s">
        <v>2749</v>
      </c>
      <c r="F2251" s="414"/>
      <c r="G2251" s="2287" t="s">
        <v>6031</v>
      </c>
      <c r="H2251" s="2289" t="s">
        <v>2861</v>
      </c>
      <c r="I2251" s="2289" t="s">
        <v>3148</v>
      </c>
      <c r="J2251" s="2289" t="s">
        <v>2862</v>
      </c>
      <c r="K2251" s="2309" t="s">
        <v>2863</v>
      </c>
      <c r="L2251" s="2310" t="s">
        <v>3147</v>
      </c>
      <c r="M2251" s="355" t="s">
        <v>5280</v>
      </c>
      <c r="N2251" s="434"/>
      <c r="O2251" s="434"/>
      <c r="P2251" s="435"/>
      <c r="Q2251" s="442"/>
      <c r="R2251" s="443"/>
      <c r="S2251" s="364"/>
      <c r="Z2251" s="609" t="s">
        <v>925</v>
      </c>
      <c r="AA2251" s="609" t="s">
        <v>3451</v>
      </c>
    </row>
    <row r="2252" spans="1:29" ht="18">
      <c r="A2252" s="2712"/>
      <c r="B2252" s="371">
        <v>101</v>
      </c>
      <c r="C2252" s="371"/>
      <c r="D2252" s="2714">
        <f t="shared" ref="D2252:D2260" si="236">IF(OR(G2252="*",G2252="",G2252=0),0,COUNTIF($G$2252:$G$2260,G2252))</f>
        <v>1</v>
      </c>
      <c r="E2252" s="2719">
        <v>1</v>
      </c>
      <c r="F2252" s="293"/>
      <c r="G2252" s="1472" t="s">
        <v>2890</v>
      </c>
      <c r="H2252" s="2273">
        <f>SUM(H2253:H2255)</f>
        <v>0</v>
      </c>
      <c r="I2252" s="2296"/>
      <c r="J2252" s="2273">
        <f>SUM(J2253:J2255)</f>
        <v>0</v>
      </c>
      <c r="K2252" s="1474">
        <f>H2252-J2252</f>
        <v>0</v>
      </c>
      <c r="L2252" s="2274"/>
      <c r="M2252" s="438"/>
      <c r="N2252" s="439"/>
      <c r="O2252" s="437"/>
      <c r="P2252" s="438"/>
      <c r="Q2252" s="442"/>
      <c r="R2252" s="443"/>
      <c r="S2252" s="364"/>
      <c r="Z2252" s="609" t="s">
        <v>925</v>
      </c>
      <c r="AA2252" s="609" t="s">
        <v>3451</v>
      </c>
    </row>
    <row r="2253" spans="1:29" ht="18">
      <c r="A2253" s="2712"/>
      <c r="B2253" s="371">
        <v>102</v>
      </c>
      <c r="C2253" s="371" t="s">
        <v>2791</v>
      </c>
      <c r="D2253" s="2714">
        <f t="shared" si="236"/>
        <v>0</v>
      </c>
      <c r="E2253" s="2719">
        <v>0</v>
      </c>
      <c r="F2253" s="293"/>
      <c r="G2253" s="2282" t="s">
        <v>2792</v>
      </c>
      <c r="H2253" s="2273"/>
      <c r="I2253" s="2296"/>
      <c r="J2253" s="2273"/>
      <c r="K2253" s="1474">
        <f t="shared" ref="K2253:K2259" si="237">H2253-J2253</f>
        <v>0</v>
      </c>
      <c r="L2253" s="2274"/>
      <c r="M2253" s="438"/>
      <c r="N2253" s="439"/>
      <c r="O2253" s="437"/>
      <c r="P2253" s="438"/>
      <c r="Q2253" s="442"/>
      <c r="R2253" s="443"/>
      <c r="S2253" s="364"/>
      <c r="Z2253" s="609" t="s">
        <v>925</v>
      </c>
      <c r="AA2253" s="609" t="s">
        <v>3451</v>
      </c>
    </row>
    <row r="2254" spans="1:29" ht="18">
      <c r="A2254" s="2712"/>
      <c r="B2254" s="371">
        <v>103</v>
      </c>
      <c r="C2254" s="371" t="s">
        <v>2791</v>
      </c>
      <c r="D2254" s="2714">
        <f t="shared" si="236"/>
        <v>0</v>
      </c>
      <c r="E2254" s="2719">
        <v>0</v>
      </c>
      <c r="F2254" s="293"/>
      <c r="G2254" s="2282" t="s">
        <v>2792</v>
      </c>
      <c r="H2254" s="2273"/>
      <c r="I2254" s="2296"/>
      <c r="J2254" s="2273"/>
      <c r="K2254" s="1474">
        <f t="shared" si="237"/>
        <v>0</v>
      </c>
      <c r="L2254" s="2274"/>
      <c r="M2254" s="438"/>
      <c r="N2254" s="439"/>
      <c r="O2254" s="437"/>
      <c r="P2254" s="438"/>
      <c r="Q2254" s="442"/>
      <c r="R2254" s="443"/>
      <c r="S2254" s="364"/>
      <c r="Z2254" s="609" t="s">
        <v>925</v>
      </c>
      <c r="AA2254" s="609" t="s">
        <v>3451</v>
      </c>
    </row>
    <row r="2255" spans="1:29" ht="18">
      <c r="A2255" s="2712"/>
      <c r="B2255" s="371">
        <v>104</v>
      </c>
      <c r="C2255" s="371" t="s">
        <v>2791</v>
      </c>
      <c r="D2255" s="2714">
        <f t="shared" si="236"/>
        <v>0</v>
      </c>
      <c r="E2255" s="2719">
        <v>0</v>
      </c>
      <c r="F2255" s="293"/>
      <c r="G2255" s="2282" t="s">
        <v>2792</v>
      </c>
      <c r="H2255" s="2273"/>
      <c r="I2255" s="2296"/>
      <c r="J2255" s="2273"/>
      <c r="K2255" s="1474">
        <f t="shared" si="237"/>
        <v>0</v>
      </c>
      <c r="L2255" s="2274"/>
      <c r="M2255" s="438"/>
      <c r="N2255" s="439"/>
      <c r="O2255" s="437"/>
      <c r="P2255" s="438"/>
      <c r="Q2255" s="442"/>
      <c r="R2255" s="443"/>
      <c r="S2255" s="364"/>
      <c r="Z2255" s="609" t="s">
        <v>925</v>
      </c>
      <c r="AA2255" s="609" t="s">
        <v>3451</v>
      </c>
    </row>
    <row r="2256" spans="1:29" ht="18">
      <c r="A2256" s="2712"/>
      <c r="B2256" s="371">
        <v>105</v>
      </c>
      <c r="C2256" s="371"/>
      <c r="D2256" s="2714">
        <f t="shared" si="236"/>
        <v>1</v>
      </c>
      <c r="E2256" s="2719">
        <v>1</v>
      </c>
      <c r="F2256" s="293"/>
      <c r="G2256" s="1472" t="s">
        <v>2892</v>
      </c>
      <c r="H2256" s="2273">
        <f>SUM(H2257:H2259)</f>
        <v>0</v>
      </c>
      <c r="I2256" s="2296"/>
      <c r="J2256" s="2273">
        <f>SUM(J2257:J2259)</f>
        <v>0</v>
      </c>
      <c r="K2256" s="1474">
        <f t="shared" si="237"/>
        <v>0</v>
      </c>
      <c r="L2256" s="2274"/>
      <c r="M2256" s="438"/>
      <c r="N2256" s="439"/>
      <c r="O2256" s="437"/>
      <c r="P2256" s="438"/>
      <c r="Q2256" s="442"/>
      <c r="R2256" s="443"/>
      <c r="S2256" s="364"/>
      <c r="Z2256" s="609" t="s">
        <v>925</v>
      </c>
      <c r="AA2256" s="609" t="s">
        <v>3451</v>
      </c>
    </row>
    <row r="2257" spans="1:29" ht="18">
      <c r="A2257" s="2712"/>
      <c r="B2257" s="371">
        <v>106</v>
      </c>
      <c r="C2257" s="371" t="s">
        <v>2791</v>
      </c>
      <c r="D2257" s="2714">
        <f t="shared" si="236"/>
        <v>0</v>
      </c>
      <c r="E2257" s="2719">
        <v>0</v>
      </c>
      <c r="F2257" s="293"/>
      <c r="G2257" s="2282" t="s">
        <v>2792</v>
      </c>
      <c r="H2257" s="2273"/>
      <c r="I2257" s="2296"/>
      <c r="J2257" s="2273"/>
      <c r="K2257" s="1474">
        <f t="shared" si="237"/>
        <v>0</v>
      </c>
      <c r="L2257" s="2274"/>
      <c r="M2257" s="438"/>
      <c r="N2257" s="439"/>
      <c r="O2257" s="437"/>
      <c r="P2257" s="438"/>
      <c r="Q2257" s="442"/>
      <c r="R2257" s="443"/>
      <c r="S2257" s="364"/>
      <c r="Z2257" s="609" t="s">
        <v>925</v>
      </c>
      <c r="AA2257" s="609" t="s">
        <v>3451</v>
      </c>
    </row>
    <row r="2258" spans="1:29" ht="18">
      <c r="A2258" s="2712"/>
      <c r="B2258" s="371">
        <v>107</v>
      </c>
      <c r="C2258" s="371" t="s">
        <v>2791</v>
      </c>
      <c r="D2258" s="2714">
        <f t="shared" si="236"/>
        <v>0</v>
      </c>
      <c r="E2258" s="2719">
        <v>0</v>
      </c>
      <c r="F2258" s="293"/>
      <c r="G2258" s="2282" t="s">
        <v>2792</v>
      </c>
      <c r="H2258" s="2273"/>
      <c r="I2258" s="2296"/>
      <c r="J2258" s="2273"/>
      <c r="K2258" s="1474">
        <f t="shared" si="237"/>
        <v>0</v>
      </c>
      <c r="L2258" s="2274"/>
      <c r="M2258" s="438"/>
      <c r="N2258" s="439"/>
      <c r="O2258" s="437"/>
      <c r="P2258" s="438"/>
      <c r="Q2258" s="442"/>
      <c r="R2258" s="443"/>
      <c r="S2258" s="364"/>
      <c r="Z2258" s="609" t="s">
        <v>925</v>
      </c>
      <c r="AA2258" s="609" t="s">
        <v>3451</v>
      </c>
    </row>
    <row r="2259" spans="1:29" ht="18">
      <c r="A2259" s="2712"/>
      <c r="B2259" s="371">
        <v>108</v>
      </c>
      <c r="C2259" s="371" t="s">
        <v>2791</v>
      </c>
      <c r="D2259" s="2714">
        <f t="shared" si="236"/>
        <v>0</v>
      </c>
      <c r="E2259" s="2719">
        <v>0</v>
      </c>
      <c r="F2259" s="293"/>
      <c r="G2259" s="2282" t="s">
        <v>2792</v>
      </c>
      <c r="H2259" s="2273"/>
      <c r="I2259" s="2296"/>
      <c r="J2259" s="2273"/>
      <c r="K2259" s="1474">
        <f t="shared" si="237"/>
        <v>0</v>
      </c>
      <c r="L2259" s="2274"/>
      <c r="M2259" s="438"/>
      <c r="N2259" s="439"/>
      <c r="O2259" s="437"/>
      <c r="P2259" s="438"/>
      <c r="Q2259" s="442"/>
      <c r="R2259" s="443"/>
      <c r="S2259" s="364"/>
      <c r="Z2259" s="609" t="s">
        <v>925</v>
      </c>
      <c r="AA2259" s="609" t="s">
        <v>3451</v>
      </c>
    </row>
    <row r="2260" spans="1:29" ht="18.75" thickBot="1">
      <c r="A2260" s="2712"/>
      <c r="B2260" s="371"/>
      <c r="C2260" s="371"/>
      <c r="D2260" s="2714">
        <f t="shared" si="236"/>
        <v>1</v>
      </c>
      <c r="E2260" s="2719" t="s">
        <v>2751</v>
      </c>
      <c r="F2260" s="293"/>
      <c r="G2260" s="2232" t="s">
        <v>2752</v>
      </c>
      <c r="H2260" s="2233">
        <f>SUMPRODUCT($E2251:$E2259,H2251:H2259)</f>
        <v>0</v>
      </c>
      <c r="I2260" s="2239"/>
      <c r="J2260" s="2233">
        <f>SUMPRODUCT($E2251:$E2259,J2251:J2259)</f>
        <v>0</v>
      </c>
      <c r="K2260" s="2233">
        <f>SUMPRODUCT($E2251:$E2259,K2251:K2259)</f>
        <v>0</v>
      </c>
      <c r="L2260" s="2242"/>
      <c r="M2260" s="1595" t="str">
        <f ca="1">HYPERLINK("#'"&amp;$G$1&amp;"'!"&amp;ADDRESS(ROW(Notes!L2224),COLUMN(Notes!L2224),4),"* 请勿删除此行！点击往勾稽单元格，F5+Enter返回")</f>
        <v>* 请勿删除此行！点击往勾稽单元格，F5+Enter返回</v>
      </c>
      <c r="N2260" s="439"/>
      <c r="O2260" s="437"/>
      <c r="P2260" s="440"/>
      <c r="Q2260" s="442"/>
      <c r="R2260" s="443"/>
      <c r="S2260" s="364"/>
      <c r="Z2260" s="609" t="s">
        <v>925</v>
      </c>
      <c r="AA2260" s="609" t="s">
        <v>3451</v>
      </c>
      <c r="AC2260" s="369" t="s">
        <v>6571</v>
      </c>
    </row>
    <row r="2261" spans="1:29" ht="18">
      <c r="A2261" s="2712"/>
      <c r="B2261" s="371"/>
      <c r="C2261" s="371" t="s">
        <v>2755</v>
      </c>
      <c r="D2261" s="2714"/>
      <c r="F2261" s="293"/>
      <c r="G2261" s="376"/>
      <c r="H2261" s="315"/>
      <c r="I2261" s="432"/>
      <c r="J2261" s="315"/>
      <c r="K2261" s="423"/>
      <c r="L2261" s="393"/>
      <c r="M2261" s="425"/>
      <c r="N2261" s="426"/>
      <c r="O2261" s="427"/>
      <c r="P2261" s="425"/>
      <c r="Q2261" s="442"/>
      <c r="R2261" s="443"/>
      <c r="S2261" s="364"/>
      <c r="Z2261" s="609" t="s">
        <v>925</v>
      </c>
      <c r="AA2261" s="609" t="s">
        <v>3451</v>
      </c>
    </row>
    <row r="2262" spans="1:29" ht="36">
      <c r="A2262" s="2712" t="s">
        <v>934</v>
      </c>
      <c r="B2262" s="371" t="s">
        <v>6556</v>
      </c>
      <c r="C2262" s="371"/>
      <c r="D2262" s="2714" t="str">
        <f>VLOOKUP($A2262,Sheet_NoteList,2,0)</f>
        <v>期末处于第三阶段的长期应收款坏账准备（三阶段模型）</v>
      </c>
      <c r="E2262" s="2714" t="s">
        <v>2742</v>
      </c>
      <c r="F2262" s="293"/>
      <c r="G2262" s="372" t="str">
        <f>"("&amp;B2262&amp;")"&amp;D2262</f>
        <v>(2.1C)期末处于第三阶段的长期应收款坏账准备（三阶段模型）</v>
      </c>
      <c r="H2262" s="1515" t="str">
        <f>$A2262</f>
        <v>1531k</v>
      </c>
      <c r="I2262" s="343" t="s">
        <v>2743</v>
      </c>
      <c r="J2262" s="301" t="s">
        <v>2744</v>
      </c>
      <c r="K2262" s="2208">
        <f>K2273</f>
        <v>0</v>
      </c>
      <c r="L2262" s="349"/>
      <c r="M2262" s="301"/>
      <c r="N2262" s="391"/>
      <c r="O2262" s="349"/>
      <c r="P2262" s="301"/>
      <c r="S2262" s="364"/>
      <c r="Z2262" s="609" t="s">
        <v>925</v>
      </c>
      <c r="AA2262" s="609" t="s">
        <v>3451</v>
      </c>
    </row>
    <row r="2263" spans="1:29" ht="0.75" customHeight="1" thickBot="1">
      <c r="A2263" s="2712"/>
      <c r="B2263" s="371"/>
      <c r="C2263" s="371"/>
      <c r="D2263" s="2714"/>
      <c r="E2263" s="586"/>
      <c r="F2263" s="586"/>
      <c r="G2263" s="2222" t="s">
        <v>3455</v>
      </c>
      <c r="H2263" s="371" t="s">
        <v>2747</v>
      </c>
      <c r="I2263" s="371" t="s">
        <v>2947</v>
      </c>
      <c r="J2263" s="371" t="s">
        <v>2948</v>
      </c>
      <c r="K2263" s="547" t="s">
        <v>3034</v>
      </c>
      <c r="L2263" s="547" t="s">
        <v>3453</v>
      </c>
      <c r="M2263" s="433"/>
      <c r="N2263" s="428"/>
      <c r="O2263" s="428"/>
      <c r="P2263" s="433"/>
      <c r="Q2263" s="442"/>
      <c r="R2263" s="443"/>
      <c r="S2263" s="364"/>
      <c r="Z2263" s="609" t="s">
        <v>925</v>
      </c>
      <c r="AA2263" s="609" t="s">
        <v>3451</v>
      </c>
    </row>
    <row r="2264" spans="1:29" ht="36">
      <c r="A2264" s="2712"/>
      <c r="B2264" s="371"/>
      <c r="C2264" s="371"/>
      <c r="D2264" s="2714"/>
      <c r="E2264" s="586" t="s">
        <v>2749</v>
      </c>
      <c r="F2264" s="414"/>
      <c r="G2264" s="2287" t="s">
        <v>6007</v>
      </c>
      <c r="H2264" s="2289" t="s">
        <v>2861</v>
      </c>
      <c r="I2264" s="2289" t="s">
        <v>3148</v>
      </c>
      <c r="J2264" s="2289" t="s">
        <v>2862</v>
      </c>
      <c r="K2264" s="2309" t="s">
        <v>2863</v>
      </c>
      <c r="L2264" s="2310" t="s">
        <v>3147</v>
      </c>
      <c r="M2264" s="355" t="s">
        <v>5280</v>
      </c>
      <c r="N2264" s="434"/>
      <c r="O2264" s="434"/>
      <c r="P2264" s="435"/>
      <c r="Q2264" s="442"/>
      <c r="R2264" s="443"/>
      <c r="S2264" s="364"/>
      <c r="Z2264" s="609" t="s">
        <v>925</v>
      </c>
      <c r="AA2264" s="609" t="s">
        <v>3451</v>
      </c>
    </row>
    <row r="2265" spans="1:29" ht="18">
      <c r="A2265" s="2712"/>
      <c r="B2265" s="371">
        <v>101</v>
      </c>
      <c r="C2265" s="371"/>
      <c r="D2265" s="2714">
        <f t="shared" ref="D2265:D2273" si="238">IF(OR(G2265="*",G2265="",G2265=0),0,COUNTIF($G$2265:$G$2273,G2265))</f>
        <v>1</v>
      </c>
      <c r="E2265" s="2719">
        <v>1</v>
      </c>
      <c r="F2265" s="293"/>
      <c r="G2265" s="1472" t="s">
        <v>2890</v>
      </c>
      <c r="H2265" s="2273">
        <f>SUM(H2266:H2268)</f>
        <v>0</v>
      </c>
      <c r="I2265" s="2296"/>
      <c r="J2265" s="2273">
        <f>SUM(J2266:J2268)</f>
        <v>0</v>
      </c>
      <c r="K2265" s="1474">
        <f>H2265-J2265</f>
        <v>0</v>
      </c>
      <c r="L2265" s="2274"/>
      <c r="M2265" s="438"/>
      <c r="N2265" s="439"/>
      <c r="O2265" s="437"/>
      <c r="P2265" s="438"/>
      <c r="Q2265" s="442"/>
      <c r="R2265" s="443"/>
      <c r="S2265" s="364"/>
      <c r="Z2265" s="609" t="s">
        <v>925</v>
      </c>
      <c r="AA2265" s="609" t="s">
        <v>3451</v>
      </c>
    </row>
    <row r="2266" spans="1:29" ht="18">
      <c r="A2266" s="2712"/>
      <c r="B2266" s="371">
        <v>102</v>
      </c>
      <c r="C2266" s="371" t="s">
        <v>2791</v>
      </c>
      <c r="D2266" s="2714">
        <f t="shared" si="238"/>
        <v>0</v>
      </c>
      <c r="E2266" s="2719">
        <v>0</v>
      </c>
      <c r="F2266" s="293"/>
      <c r="G2266" s="2282" t="s">
        <v>2792</v>
      </c>
      <c r="H2266" s="2273"/>
      <c r="I2266" s="2296"/>
      <c r="J2266" s="2273"/>
      <c r="K2266" s="1474">
        <f t="shared" ref="K2266:K2272" si="239">H2266-J2266</f>
        <v>0</v>
      </c>
      <c r="L2266" s="2274"/>
      <c r="M2266" s="438"/>
      <c r="N2266" s="439"/>
      <c r="O2266" s="437"/>
      <c r="P2266" s="438"/>
      <c r="Q2266" s="442"/>
      <c r="R2266" s="443"/>
      <c r="S2266" s="364"/>
      <c r="Z2266" s="609" t="s">
        <v>925</v>
      </c>
      <c r="AA2266" s="609" t="s">
        <v>3451</v>
      </c>
    </row>
    <row r="2267" spans="1:29" ht="18">
      <c r="A2267" s="2712"/>
      <c r="B2267" s="371">
        <v>103</v>
      </c>
      <c r="C2267" s="371" t="s">
        <v>2791</v>
      </c>
      <c r="D2267" s="2714">
        <f t="shared" si="238"/>
        <v>0</v>
      </c>
      <c r="E2267" s="2719">
        <v>0</v>
      </c>
      <c r="F2267" s="293"/>
      <c r="G2267" s="2282" t="s">
        <v>2792</v>
      </c>
      <c r="H2267" s="2273"/>
      <c r="I2267" s="2296"/>
      <c r="J2267" s="2273"/>
      <c r="K2267" s="1474">
        <f t="shared" si="239"/>
        <v>0</v>
      </c>
      <c r="L2267" s="2274"/>
      <c r="M2267" s="438"/>
      <c r="N2267" s="439"/>
      <c r="O2267" s="437"/>
      <c r="P2267" s="438"/>
      <c r="Q2267" s="442"/>
      <c r="R2267" s="443"/>
      <c r="S2267" s="364"/>
      <c r="Z2267" s="609" t="s">
        <v>925</v>
      </c>
      <c r="AA2267" s="609" t="s">
        <v>3451</v>
      </c>
    </row>
    <row r="2268" spans="1:29" ht="18">
      <c r="A2268" s="2712"/>
      <c r="B2268" s="371">
        <v>104</v>
      </c>
      <c r="C2268" s="371" t="s">
        <v>2791</v>
      </c>
      <c r="D2268" s="2714">
        <f t="shared" si="238"/>
        <v>0</v>
      </c>
      <c r="E2268" s="2719">
        <v>0</v>
      </c>
      <c r="F2268" s="293"/>
      <c r="G2268" s="2282" t="s">
        <v>2792</v>
      </c>
      <c r="H2268" s="2273"/>
      <c r="I2268" s="2296"/>
      <c r="J2268" s="2273"/>
      <c r="K2268" s="1474">
        <f t="shared" si="239"/>
        <v>0</v>
      </c>
      <c r="L2268" s="2274"/>
      <c r="M2268" s="438"/>
      <c r="N2268" s="439"/>
      <c r="O2268" s="437"/>
      <c r="P2268" s="438"/>
      <c r="Q2268" s="442"/>
      <c r="R2268" s="443"/>
      <c r="S2268" s="364"/>
      <c r="Z2268" s="609" t="s">
        <v>925</v>
      </c>
      <c r="AA2268" s="609" t="s">
        <v>3451</v>
      </c>
    </row>
    <row r="2269" spans="1:29" ht="18">
      <c r="A2269" s="2712"/>
      <c r="B2269" s="371">
        <v>105</v>
      </c>
      <c r="C2269" s="371"/>
      <c r="D2269" s="2714">
        <f t="shared" si="238"/>
        <v>1</v>
      </c>
      <c r="E2269" s="2719">
        <v>1</v>
      </c>
      <c r="F2269" s="293"/>
      <c r="G2269" s="1472" t="s">
        <v>2892</v>
      </c>
      <c r="H2269" s="2273">
        <f>SUM(H2270:H2272)</f>
        <v>0</v>
      </c>
      <c r="I2269" s="2296"/>
      <c r="J2269" s="2273">
        <f>SUM(J2270:J2272)</f>
        <v>0</v>
      </c>
      <c r="K2269" s="1474">
        <f t="shared" si="239"/>
        <v>0</v>
      </c>
      <c r="L2269" s="2274"/>
      <c r="M2269" s="438"/>
      <c r="N2269" s="439"/>
      <c r="O2269" s="437"/>
      <c r="P2269" s="438"/>
      <c r="Q2269" s="442"/>
      <c r="R2269" s="443"/>
      <c r="S2269" s="364"/>
      <c r="Z2269" s="609" t="s">
        <v>925</v>
      </c>
      <c r="AA2269" s="609" t="s">
        <v>3451</v>
      </c>
    </row>
    <row r="2270" spans="1:29" ht="18">
      <c r="A2270" s="2712"/>
      <c r="B2270" s="371">
        <v>106</v>
      </c>
      <c r="C2270" s="371" t="s">
        <v>2791</v>
      </c>
      <c r="D2270" s="2714">
        <f t="shared" si="238"/>
        <v>0</v>
      </c>
      <c r="E2270" s="2719">
        <v>0</v>
      </c>
      <c r="F2270" s="293"/>
      <c r="G2270" s="2282" t="s">
        <v>2792</v>
      </c>
      <c r="H2270" s="2273"/>
      <c r="I2270" s="2296"/>
      <c r="J2270" s="2273"/>
      <c r="K2270" s="1474">
        <f t="shared" si="239"/>
        <v>0</v>
      </c>
      <c r="L2270" s="2274"/>
      <c r="M2270" s="438"/>
      <c r="N2270" s="439"/>
      <c r="O2270" s="437"/>
      <c r="P2270" s="438"/>
      <c r="Q2270" s="442"/>
      <c r="R2270" s="443"/>
      <c r="S2270" s="364"/>
      <c r="Z2270" s="609" t="s">
        <v>925</v>
      </c>
      <c r="AA2270" s="609" t="s">
        <v>3451</v>
      </c>
    </row>
    <row r="2271" spans="1:29" ht="18">
      <c r="A2271" s="2712"/>
      <c r="B2271" s="371">
        <v>107</v>
      </c>
      <c r="C2271" s="371" t="s">
        <v>2791</v>
      </c>
      <c r="D2271" s="2714">
        <f t="shared" si="238"/>
        <v>0</v>
      </c>
      <c r="E2271" s="2719">
        <v>0</v>
      </c>
      <c r="F2271" s="293"/>
      <c r="G2271" s="2282" t="s">
        <v>2792</v>
      </c>
      <c r="H2271" s="2273"/>
      <c r="I2271" s="2296"/>
      <c r="J2271" s="2273"/>
      <c r="K2271" s="1474">
        <f t="shared" si="239"/>
        <v>0</v>
      </c>
      <c r="L2271" s="2274"/>
      <c r="M2271" s="438"/>
      <c r="N2271" s="439"/>
      <c r="O2271" s="437"/>
      <c r="P2271" s="438"/>
      <c r="Q2271" s="442"/>
      <c r="R2271" s="443"/>
      <c r="S2271" s="364"/>
      <c r="Z2271" s="609" t="s">
        <v>925</v>
      </c>
      <c r="AA2271" s="609" t="s">
        <v>3451</v>
      </c>
    </row>
    <row r="2272" spans="1:29" ht="18">
      <c r="A2272" s="2712"/>
      <c r="B2272" s="371">
        <v>108</v>
      </c>
      <c r="C2272" s="371" t="s">
        <v>2791</v>
      </c>
      <c r="D2272" s="2714">
        <f t="shared" si="238"/>
        <v>0</v>
      </c>
      <c r="E2272" s="2719">
        <v>0</v>
      </c>
      <c r="F2272" s="293"/>
      <c r="G2272" s="2282" t="s">
        <v>2792</v>
      </c>
      <c r="H2272" s="2273"/>
      <c r="I2272" s="2296"/>
      <c r="J2272" s="2273"/>
      <c r="K2272" s="1474">
        <f t="shared" si="239"/>
        <v>0</v>
      </c>
      <c r="L2272" s="2274"/>
      <c r="M2272" s="438"/>
      <c r="N2272" s="439"/>
      <c r="O2272" s="437"/>
      <c r="P2272" s="438"/>
      <c r="Q2272" s="442"/>
      <c r="R2272" s="443"/>
      <c r="S2272" s="364"/>
      <c r="Z2272" s="609" t="s">
        <v>925</v>
      </c>
      <c r="AA2272" s="609" t="s">
        <v>3451</v>
      </c>
    </row>
    <row r="2273" spans="1:29" ht="18.75" thickBot="1">
      <c r="A2273" s="2712"/>
      <c r="B2273" s="371"/>
      <c r="C2273" s="371"/>
      <c r="D2273" s="2714">
        <f t="shared" si="238"/>
        <v>1</v>
      </c>
      <c r="E2273" s="2719" t="s">
        <v>2751</v>
      </c>
      <c r="F2273" s="293"/>
      <c r="G2273" s="2232" t="s">
        <v>2752</v>
      </c>
      <c r="H2273" s="2233">
        <f>SUMPRODUCT($E2264:$E2272,H2264:H2272)</f>
        <v>0</v>
      </c>
      <c r="I2273" s="2239"/>
      <c r="J2273" s="2233">
        <f>SUMPRODUCT($E2264:$E2272,J2264:J2272)</f>
        <v>0</v>
      </c>
      <c r="K2273" s="2233">
        <f>SUMPRODUCT($E2264:$E2272,K2264:K2272)</f>
        <v>0</v>
      </c>
      <c r="L2273" s="2242"/>
      <c r="M2273" s="1595" t="str">
        <f ca="1">HYPERLINK("#'"&amp;$G$1&amp;"'!"&amp;ADDRESS(ROW(Notes!L2225),COLUMN(Notes!L2225),4),"* 请勿删除此行！点击往勾稽单元格，F5+Enter返回")</f>
        <v>* 请勿删除此行！点击往勾稽单元格，F5+Enter返回</v>
      </c>
      <c r="N2273" s="439"/>
      <c r="O2273" s="437"/>
      <c r="P2273" s="440"/>
      <c r="Q2273" s="442"/>
      <c r="R2273" s="443"/>
      <c r="S2273" s="364"/>
      <c r="Z2273" s="609" t="s">
        <v>925</v>
      </c>
      <c r="AA2273" s="609" t="s">
        <v>3451</v>
      </c>
      <c r="AC2273" s="369" t="s">
        <v>6571</v>
      </c>
    </row>
    <row r="2274" spans="1:29" ht="18">
      <c r="A2274" s="2712"/>
      <c r="B2274" s="371"/>
      <c r="C2274" s="371" t="s">
        <v>2755</v>
      </c>
      <c r="D2274" s="2714"/>
      <c r="F2274" s="293"/>
      <c r="G2274" s="376"/>
      <c r="H2274" s="315"/>
      <c r="I2274" s="432"/>
      <c r="J2274" s="315"/>
      <c r="K2274" s="423"/>
      <c r="L2274" s="393"/>
      <c r="M2274" s="425"/>
      <c r="N2274" s="426"/>
      <c r="O2274" s="427"/>
      <c r="P2274" s="425"/>
      <c r="Q2274" s="442"/>
      <c r="R2274" s="443"/>
      <c r="S2274" s="364"/>
      <c r="Z2274" s="609" t="s">
        <v>925</v>
      </c>
      <c r="AA2274" s="609" t="s">
        <v>3451</v>
      </c>
    </row>
    <row r="2275" spans="1:29" ht="36">
      <c r="A2275" s="2712" t="s">
        <v>946</v>
      </c>
      <c r="B2275" s="371">
        <v>2.2000000000000002</v>
      </c>
      <c r="C2275" s="371"/>
      <c r="D2275" s="2714" t="str">
        <f>VLOOKUP($A2275,Sheet_NoteList,2,0)</f>
        <v>长期应收款按坏账计提方法分类披露（已发生损失模型）</v>
      </c>
      <c r="E2275" s="2714" t="s">
        <v>2742</v>
      </c>
      <c r="F2275" s="293"/>
      <c r="G2275" s="372" t="str">
        <f>"("&amp;B2275&amp;")"&amp;D2275</f>
        <v>(2.2)长期应收款按坏账计提方法分类披露（已发生损失模型）</v>
      </c>
      <c r="H2275" s="1515" t="str">
        <f>$A2275</f>
        <v>1531p</v>
      </c>
      <c r="I2275" s="343" t="s">
        <v>2743</v>
      </c>
      <c r="J2275" s="301" t="s">
        <v>2744</v>
      </c>
      <c r="K2275" s="2208">
        <f>H2286</f>
        <v>0</v>
      </c>
      <c r="L2275" s="349"/>
      <c r="M2275" s="301" t="s">
        <v>2745</v>
      </c>
      <c r="N2275" s="2208">
        <f>L2286</f>
        <v>0</v>
      </c>
      <c r="O2275" s="349"/>
      <c r="P2275" s="301"/>
      <c r="S2275" s="364"/>
      <c r="Z2275" s="609" t="s">
        <v>925</v>
      </c>
      <c r="AA2275" s="609" t="s">
        <v>3451</v>
      </c>
    </row>
    <row r="2276" spans="1:29" ht="0.75" customHeight="1">
      <c r="A2276" s="2712"/>
      <c r="B2276" s="371"/>
      <c r="C2276" s="371"/>
      <c r="D2276" s="2714"/>
      <c r="E2276" s="586"/>
      <c r="F2276" s="586"/>
      <c r="G2276" s="2222" t="s">
        <v>3459</v>
      </c>
      <c r="H2276" s="371" t="s">
        <v>2747</v>
      </c>
      <c r="I2276" s="371" t="s">
        <v>2947</v>
      </c>
      <c r="J2276" s="371" t="s">
        <v>2948</v>
      </c>
      <c r="K2276" s="547" t="s">
        <v>2949</v>
      </c>
      <c r="L2276" s="371" t="s">
        <v>3242</v>
      </c>
      <c r="M2276" s="433"/>
      <c r="N2276" s="428"/>
      <c r="O2276" s="428"/>
      <c r="P2276" s="433"/>
      <c r="Q2276" s="442"/>
      <c r="R2276" s="443"/>
      <c r="S2276" s="364"/>
      <c r="Z2276" s="609" t="s">
        <v>925</v>
      </c>
      <c r="AA2276" s="609" t="s">
        <v>3451</v>
      </c>
    </row>
    <row r="2277" spans="1:29" ht="0.75" customHeight="1" thickBot="1">
      <c r="A2277" s="2712"/>
      <c r="B2277" s="371"/>
      <c r="C2277" s="371"/>
      <c r="D2277" s="2714"/>
      <c r="E2277" s="586"/>
      <c r="F2277" s="586"/>
      <c r="G2277" s="2222"/>
      <c r="H2277" s="371" t="s">
        <v>3150</v>
      </c>
      <c r="I2277" s="371" t="s">
        <v>3151</v>
      </c>
      <c r="J2277" s="371" t="s">
        <v>3152</v>
      </c>
      <c r="K2277" s="547" t="s">
        <v>3153</v>
      </c>
      <c r="L2277" s="547" t="s">
        <v>2951</v>
      </c>
      <c r="M2277" s="433"/>
      <c r="N2277" s="428"/>
      <c r="O2277" s="428"/>
      <c r="P2277" s="433"/>
      <c r="Q2277" s="442"/>
      <c r="R2277" s="443"/>
      <c r="S2277" s="364"/>
      <c r="Z2277" s="609" t="s">
        <v>925</v>
      </c>
      <c r="AA2277" s="609" t="s">
        <v>3451</v>
      </c>
    </row>
    <row r="2278" spans="1:29" ht="18" customHeight="1">
      <c r="A2278" s="2712"/>
      <c r="B2278" s="371"/>
      <c r="C2278" s="371"/>
      <c r="D2278" s="2714"/>
      <c r="E2278" s="586" t="s">
        <v>2749</v>
      </c>
      <c r="F2278" s="414"/>
      <c r="G2278" s="3462" t="s">
        <v>5133</v>
      </c>
      <c r="H2278" s="3494" t="str">
        <f>$W$3&amp;"账面余额"</f>
        <v>2018年12月31日账面余额</v>
      </c>
      <c r="I2278" s="3478"/>
      <c r="J2278" s="3494" t="str">
        <f>$W$3&amp;"坏账准备"</f>
        <v>2018年12月31日坏账准备</v>
      </c>
      <c r="K2278" s="3478"/>
      <c r="L2278" s="3622" t="str">
        <f>$W$3&amp;"账面价值"</f>
        <v>2018年12月31日账面价值</v>
      </c>
      <c r="M2278" s="355" t="s">
        <v>5280</v>
      </c>
      <c r="N2278" s="428"/>
      <c r="O2278" s="428"/>
      <c r="P2278" s="433"/>
      <c r="Q2278" s="442"/>
      <c r="R2278" s="443"/>
      <c r="S2278" s="364"/>
      <c r="Z2278" s="609" t="s">
        <v>925</v>
      </c>
      <c r="AA2278" s="609" t="s">
        <v>3451</v>
      </c>
    </row>
    <row r="2279" spans="1:29" ht="18">
      <c r="A2279" s="2712"/>
      <c r="B2279" s="371"/>
      <c r="C2279" s="371"/>
      <c r="D2279" s="2714"/>
      <c r="E2279" s="586" t="s">
        <v>2749</v>
      </c>
      <c r="F2279" s="414"/>
      <c r="G2279" s="3463"/>
      <c r="H2279" s="2292" t="s">
        <v>2887</v>
      </c>
      <c r="I2279" s="2292" t="s">
        <v>2888</v>
      </c>
      <c r="J2279" s="2292" t="s">
        <v>2887</v>
      </c>
      <c r="K2279" s="2237" t="s">
        <v>2889</v>
      </c>
      <c r="L2279" s="3623"/>
      <c r="M2279" s="435"/>
      <c r="N2279" s="434"/>
      <c r="O2279" s="434"/>
      <c r="P2279" s="435"/>
      <c r="Q2279" s="442"/>
      <c r="R2279" s="443"/>
      <c r="S2279" s="364"/>
      <c r="Z2279" s="609" t="s">
        <v>925</v>
      </c>
      <c r="AA2279" s="609" t="s">
        <v>3451</v>
      </c>
    </row>
    <row r="2280" spans="1:29" ht="24">
      <c r="A2280" s="2712"/>
      <c r="B2280" s="371">
        <v>101</v>
      </c>
      <c r="C2280" s="371"/>
      <c r="D2280" s="2714">
        <f t="shared" ref="D2280:D2286" si="240">IF(OR(G2280="*",G2280="",G2280=0),0,COUNTIF($G$2280:$G$2286,G2280))</f>
        <v>1</v>
      </c>
      <c r="E2280" s="2719">
        <v>1</v>
      </c>
      <c r="F2280" s="293"/>
      <c r="G2280" s="1472" t="s">
        <v>3460</v>
      </c>
      <c r="H2280" s="2273"/>
      <c r="I2280" s="2296"/>
      <c r="J2280" s="2273"/>
      <c r="K2280" s="2296"/>
      <c r="L2280" s="1475">
        <f>H2280-J2280</f>
        <v>0</v>
      </c>
      <c r="M2280" s="1587" t="str">
        <f ca="1">HYPERLINK("#'"&amp;$G$1&amp;"'!"&amp;ADDRESS(ROW(Notes!H2311),COLUMN(Notes!H2311),4),"* 请勿删除此行！点击往勾稽单元格，F5+Enter返回")</f>
        <v>* 请勿删除此行！点击往勾稽单元格，F5+Enter返回</v>
      </c>
      <c r="N2280" s="439"/>
      <c r="O2280" s="437"/>
      <c r="P2280" s="438"/>
      <c r="Q2280" s="442"/>
      <c r="R2280" s="443"/>
      <c r="S2280" s="364"/>
      <c r="Z2280" s="609" t="s">
        <v>925</v>
      </c>
      <c r="AA2280" s="609" t="s">
        <v>3451</v>
      </c>
      <c r="AC2280" s="369" t="s">
        <v>6571</v>
      </c>
    </row>
    <row r="2281" spans="1:29" ht="24">
      <c r="A2281" s="2712"/>
      <c r="B2281" s="371">
        <v>102</v>
      </c>
      <c r="C2281" s="371"/>
      <c r="D2281" s="2714">
        <f t="shared" si="240"/>
        <v>1</v>
      </c>
      <c r="E2281" s="2719">
        <v>1</v>
      </c>
      <c r="F2281" s="293"/>
      <c r="G2281" s="1472" t="s">
        <v>3461</v>
      </c>
      <c r="H2281" s="2273"/>
      <c r="I2281" s="2296"/>
      <c r="J2281" s="2273"/>
      <c r="K2281" s="2296"/>
      <c r="L2281" s="1475">
        <f t="shared" ref="L2281:L2285" si="241">H2281-J2281</f>
        <v>0</v>
      </c>
      <c r="M2281" s="438"/>
      <c r="N2281" s="439"/>
      <c r="O2281" s="437"/>
      <c r="P2281" s="438"/>
      <c r="Q2281" s="442"/>
      <c r="R2281" s="443"/>
      <c r="S2281" s="364"/>
      <c r="Z2281" s="609" t="s">
        <v>925</v>
      </c>
      <c r="AA2281" s="609" t="s">
        <v>3451</v>
      </c>
    </row>
    <row r="2282" spans="1:29" ht="24">
      <c r="A2282" s="2712"/>
      <c r="B2282" s="371">
        <v>103</v>
      </c>
      <c r="C2282" s="371"/>
      <c r="D2282" s="2714">
        <f t="shared" si="240"/>
        <v>1</v>
      </c>
      <c r="E2282" s="2719">
        <v>1</v>
      </c>
      <c r="F2282" s="293"/>
      <c r="G2282" s="1472" t="s">
        <v>3462</v>
      </c>
      <c r="H2282" s="2273"/>
      <c r="I2282" s="2296"/>
      <c r="J2282" s="2273"/>
      <c r="K2282" s="2296"/>
      <c r="L2282" s="1475">
        <f t="shared" si="241"/>
        <v>0</v>
      </c>
      <c r="M2282" s="438"/>
      <c r="N2282" s="439"/>
      <c r="O2282" s="437"/>
      <c r="P2282" s="438"/>
      <c r="Q2282" s="442"/>
      <c r="R2282" s="443"/>
      <c r="S2282" s="364"/>
      <c r="Z2282" s="609" t="s">
        <v>925</v>
      </c>
      <c r="AA2282" s="609" t="s">
        <v>3451</v>
      </c>
    </row>
    <row r="2283" spans="1:29" ht="18">
      <c r="A2283" s="2712"/>
      <c r="B2283" s="371">
        <v>104</v>
      </c>
      <c r="C2283" s="371" t="s">
        <v>2791</v>
      </c>
      <c r="D2283" s="2714">
        <f t="shared" si="240"/>
        <v>0</v>
      </c>
      <c r="E2283" s="2719">
        <v>1</v>
      </c>
      <c r="F2283" s="293"/>
      <c r="G2283" s="2282" t="s">
        <v>2792</v>
      </c>
      <c r="H2283" s="2273"/>
      <c r="I2283" s="2296"/>
      <c r="J2283" s="2273"/>
      <c r="K2283" s="2296"/>
      <c r="L2283" s="1475">
        <f t="shared" si="241"/>
        <v>0</v>
      </c>
      <c r="M2283" s="438"/>
      <c r="N2283" s="439"/>
      <c r="O2283" s="437"/>
      <c r="P2283" s="438"/>
      <c r="Q2283" s="442"/>
      <c r="R2283" s="443"/>
      <c r="S2283" s="364"/>
      <c r="Z2283" s="609" t="s">
        <v>925</v>
      </c>
      <c r="AA2283" s="609" t="s">
        <v>3451</v>
      </c>
    </row>
    <row r="2284" spans="1:29" ht="18">
      <c r="A2284" s="2712"/>
      <c r="B2284" s="371">
        <v>105</v>
      </c>
      <c r="C2284" s="371" t="s">
        <v>2791</v>
      </c>
      <c r="D2284" s="2714">
        <f t="shared" si="240"/>
        <v>0</v>
      </c>
      <c r="E2284" s="2719">
        <v>1</v>
      </c>
      <c r="F2284" s="293"/>
      <c r="G2284" s="2282" t="s">
        <v>2792</v>
      </c>
      <c r="H2284" s="2273"/>
      <c r="I2284" s="2296"/>
      <c r="J2284" s="2273"/>
      <c r="K2284" s="2296"/>
      <c r="L2284" s="1475">
        <f t="shared" si="241"/>
        <v>0</v>
      </c>
      <c r="M2284" s="438"/>
      <c r="N2284" s="439"/>
      <c r="O2284" s="437"/>
      <c r="P2284" s="438"/>
      <c r="Q2284" s="442"/>
      <c r="R2284" s="443"/>
      <c r="S2284" s="364"/>
      <c r="Z2284" s="609" t="s">
        <v>925</v>
      </c>
      <c r="AA2284" s="609" t="s">
        <v>3451</v>
      </c>
    </row>
    <row r="2285" spans="1:29" ht="18">
      <c r="A2285" s="2712"/>
      <c r="B2285" s="371">
        <v>106</v>
      </c>
      <c r="C2285" s="371" t="s">
        <v>2791</v>
      </c>
      <c r="D2285" s="2714">
        <f t="shared" si="240"/>
        <v>0</v>
      </c>
      <c r="E2285" s="2719">
        <v>1</v>
      </c>
      <c r="F2285" s="293"/>
      <c r="G2285" s="2282" t="s">
        <v>2792</v>
      </c>
      <c r="H2285" s="2273"/>
      <c r="I2285" s="2296"/>
      <c r="J2285" s="2273"/>
      <c r="K2285" s="2296"/>
      <c r="L2285" s="1475">
        <f t="shared" si="241"/>
        <v>0</v>
      </c>
      <c r="M2285" s="438"/>
      <c r="N2285" s="439"/>
      <c r="O2285" s="437"/>
      <c r="P2285" s="438"/>
      <c r="Q2285" s="442"/>
      <c r="R2285" s="443"/>
      <c r="S2285" s="364"/>
      <c r="Z2285" s="609" t="s">
        <v>925</v>
      </c>
      <c r="AA2285" s="609" t="s">
        <v>3451</v>
      </c>
    </row>
    <row r="2286" spans="1:29" ht="18.75" thickBot="1">
      <c r="A2286" s="2712"/>
      <c r="B2286" s="371"/>
      <c r="C2286" s="371"/>
      <c r="D2286" s="2714">
        <f t="shared" si="240"/>
        <v>1</v>
      </c>
      <c r="E2286" s="2719" t="s">
        <v>2751</v>
      </c>
      <c r="F2286" s="293"/>
      <c r="G2286" s="2232" t="s">
        <v>5139</v>
      </c>
      <c r="H2286" s="2233">
        <f>SUMPRODUCT($E2279:$E2285,H2279:H2285)</f>
        <v>0</v>
      </c>
      <c r="I2286" s="2240">
        <f>SUMPRODUCT($E2279:$E2285,I2279:I2285)</f>
        <v>0</v>
      </c>
      <c r="J2286" s="2233">
        <f>SUMPRODUCT($E2279:$E2285,J2279:J2285)</f>
        <v>0</v>
      </c>
      <c r="K2286" s="2239"/>
      <c r="L2286" s="2234">
        <f>SUMPRODUCT($E2279:$E2285,L2279:L2285)</f>
        <v>0</v>
      </c>
      <c r="M2286" s="440"/>
      <c r="N2286" s="439"/>
      <c r="O2286" s="437"/>
      <c r="P2286" s="440"/>
      <c r="Q2286" s="442"/>
      <c r="R2286" s="443"/>
      <c r="S2286" s="364"/>
      <c r="Z2286" s="609" t="s">
        <v>925</v>
      </c>
      <c r="AA2286" s="609" t="s">
        <v>3451</v>
      </c>
    </row>
    <row r="2287" spans="1:29" ht="18.75" thickBot="1">
      <c r="A2287" s="2712"/>
      <c r="B2287" s="371"/>
      <c r="C2287" s="371" t="s">
        <v>2755</v>
      </c>
      <c r="D2287" s="2714"/>
      <c r="F2287" s="293"/>
      <c r="G2287" s="376"/>
      <c r="H2287" s="527" t="s">
        <v>3002</v>
      </c>
      <c r="I2287" s="432"/>
      <c r="J2287" s="527" t="s">
        <v>3002</v>
      </c>
      <c r="K2287" s="392"/>
      <c r="L2287" s="527" t="s">
        <v>3002</v>
      </c>
      <c r="M2287" s="425"/>
      <c r="N2287" s="426"/>
      <c r="O2287" s="427"/>
      <c r="P2287" s="425"/>
      <c r="Q2287" s="442"/>
      <c r="R2287" s="443"/>
      <c r="S2287" s="364"/>
      <c r="Z2287" s="609" t="s">
        <v>925</v>
      </c>
      <c r="AA2287" s="609" t="s">
        <v>3451</v>
      </c>
    </row>
    <row r="2288" spans="1:29" ht="18.75" thickTop="1">
      <c r="A2288" s="2712"/>
      <c r="B2288" s="371"/>
      <c r="C2288" s="371" t="s">
        <v>2565</v>
      </c>
      <c r="D2288" s="2714"/>
      <c r="F2288" s="293"/>
      <c r="G2288" s="1547" t="s">
        <v>5365</v>
      </c>
      <c r="H2288" s="1548" t="str">
        <f>G2204</f>
        <v>(1)长期应收款情况</v>
      </c>
      <c r="I2288" s="1549"/>
      <c r="J2288" s="1550"/>
      <c r="K2288" s="1549"/>
      <c r="L2288" s="1550"/>
      <c r="M2288" s="1551" t="s">
        <v>5366</v>
      </c>
      <c r="N2288" s="426"/>
      <c r="O2288" s="427"/>
      <c r="P2288" s="425"/>
      <c r="Q2288" s="442"/>
      <c r="R2288" s="442"/>
      <c r="S2288" s="364"/>
      <c r="Z2288" s="609" t="s">
        <v>925</v>
      </c>
      <c r="AA2288" s="609" t="s">
        <v>3451</v>
      </c>
    </row>
    <row r="2289" spans="1:27" ht="18">
      <c r="A2289" s="2712"/>
      <c r="B2289" s="371"/>
      <c r="C2289" s="371" t="s">
        <v>2565</v>
      </c>
      <c r="D2289" s="2714"/>
      <c r="F2289" s="293"/>
      <c r="G2289" s="604" t="str">
        <f>"注释A:"&amp; G2218</f>
        <v>注释A:合       计</v>
      </c>
      <c r="H2289" s="2250">
        <f ca="1">HYPERLINK("#'"&amp;$G$1&amp;"'!"&amp;ADDRESS(ROW(Notes!K2218),COLUMN(Notes!K2218),4),K2218)</f>
        <v>0</v>
      </c>
      <c r="I2289" s="351"/>
      <c r="J2289" s="2250">
        <f ca="1">HYPERLINK("#'"&amp;$G$1&amp;"'!"&amp;ADDRESS(ROW(Notes!L2218),COLUMN(Notes!L2218),4),L2218)</f>
        <v>0</v>
      </c>
      <c r="K2289" s="351"/>
      <c r="L2289" s="2250">
        <f ca="1">HYPERLINK("#'"&amp;$G$1&amp;"'!"&amp;ADDRESS(ROW(Notes!M2218),COLUMN(Notes!M2218),4),M2218)</f>
        <v>0</v>
      </c>
      <c r="M2289" s="2634" t="str">
        <f>H2204</f>
        <v>1531a</v>
      </c>
      <c r="N2289" s="426"/>
      <c r="O2289" s="427"/>
      <c r="P2289" s="425"/>
      <c r="Q2289" s="442"/>
      <c r="R2289" s="442"/>
      <c r="S2289" s="364"/>
      <c r="Z2289" s="609" t="s">
        <v>925</v>
      </c>
      <c r="AA2289" s="609" t="s">
        <v>3451</v>
      </c>
    </row>
    <row r="2290" spans="1:27" ht="18">
      <c r="A2290" s="2712"/>
      <c r="B2290" s="371"/>
      <c r="C2290" s="371" t="s">
        <v>2565</v>
      </c>
      <c r="D2290" s="2714"/>
      <c r="F2290" s="293"/>
      <c r="G2290" s="604" t="str">
        <f>"本注释B:"&amp; G2286</f>
        <v>本注释B:合       计</v>
      </c>
      <c r="H2290" s="456">
        <f>H2286</f>
        <v>0</v>
      </c>
      <c r="I2290" s="351"/>
      <c r="J2290" s="456">
        <f>J2286</f>
        <v>0</v>
      </c>
      <c r="K2290" s="351"/>
      <c r="L2290" s="456">
        <f>L2286</f>
        <v>0</v>
      </c>
      <c r="M2290" s="2637" t="s">
        <v>946</v>
      </c>
      <c r="N2290" s="426"/>
      <c r="O2290" s="427"/>
      <c r="P2290" s="425"/>
      <c r="Q2290" s="442"/>
      <c r="R2290" s="442"/>
      <c r="S2290" s="364"/>
      <c r="Z2290" s="609" t="s">
        <v>925</v>
      </c>
      <c r="AA2290" s="609" t="s">
        <v>3451</v>
      </c>
    </row>
    <row r="2291" spans="1:27" ht="18.75" thickBot="1">
      <c r="A2291" s="2712"/>
      <c r="B2291" s="371"/>
      <c r="C2291" s="371" t="s">
        <v>2565</v>
      </c>
      <c r="D2291" s="2714"/>
      <c r="F2291" s="293"/>
      <c r="G2291" s="1552" t="s">
        <v>2757</v>
      </c>
      <c r="H2291" s="1529">
        <f ca="1">IF(AND(H2289="",H2290=""),"",ROUND(H2289-H2290,2))</f>
        <v>0</v>
      </c>
      <c r="I2291" s="1553"/>
      <c r="J2291" s="1529">
        <f ca="1">IF(AND(J2289="",J2290=""),"",ROUND(J2289-J2290,2))</f>
        <v>0</v>
      </c>
      <c r="K2291" s="1553"/>
      <c r="L2291" s="1529">
        <f ca="1">IF(AND(L2289="",L2290=""),"",ROUND(L2289-L2290,2))</f>
        <v>0</v>
      </c>
      <c r="M2291" s="1554"/>
      <c r="N2291" s="426"/>
      <c r="O2291" s="427"/>
      <c r="P2291" s="425"/>
      <c r="Q2291" s="442"/>
      <c r="R2291" s="442"/>
      <c r="S2291" s="364"/>
      <c r="Z2291" s="609" t="s">
        <v>925</v>
      </c>
      <c r="AA2291" s="609" t="s">
        <v>3451</v>
      </c>
    </row>
    <row r="2292" spans="1:27" ht="18.75" thickTop="1">
      <c r="A2292" s="2712"/>
      <c r="B2292" s="371"/>
      <c r="C2292" s="371" t="s">
        <v>2565</v>
      </c>
      <c r="D2292" s="2714"/>
      <c r="F2292" s="293"/>
      <c r="G2292" s="1543"/>
      <c r="H2292" s="459" t="str">
        <f ca="1">IF(OR(H2291=0,H2291=""),"√","？")</f>
        <v>√</v>
      </c>
      <c r="I2292" s="317"/>
      <c r="J2292" s="459" t="str">
        <f ca="1">IF(OR(J2291=0,J2291=""),"√","？")</f>
        <v>√</v>
      </c>
      <c r="K2292" s="317"/>
      <c r="L2292" s="459" t="str">
        <f ca="1">IF(OR(L2291=0,L2291=""),"√","？")</f>
        <v>√</v>
      </c>
      <c r="M2292" s="1545"/>
      <c r="N2292" s="426"/>
      <c r="O2292" s="427"/>
      <c r="P2292" s="425"/>
      <c r="Q2292" s="442"/>
      <c r="R2292" s="442"/>
      <c r="S2292" s="364"/>
      <c r="Z2292" s="609" t="s">
        <v>925</v>
      </c>
      <c r="AA2292" s="609" t="s">
        <v>3451</v>
      </c>
    </row>
    <row r="2293" spans="1:27" ht="18">
      <c r="A2293" s="2712"/>
      <c r="B2293" s="371"/>
      <c r="C2293" s="371" t="s">
        <v>2565</v>
      </c>
      <c r="D2293" s="2714"/>
      <c r="F2293" s="293"/>
      <c r="G2293" s="1557" t="s">
        <v>2759</v>
      </c>
      <c r="H2293" s="461"/>
      <c r="I2293" s="317"/>
      <c r="J2293" s="461"/>
      <c r="K2293" s="352">
        <f ca="1">SUMIF($H$2292:$M$2292,"&lt;&gt;√",$H$2291:$M$2291)</f>
        <v>0</v>
      </c>
      <c r="L2293" s="353" t="str">
        <f ca="1">IF(OR(K2293=0,K2293=""),"√","？")</f>
        <v>√</v>
      </c>
      <c r="M2293" s="1545"/>
      <c r="N2293" s="426"/>
      <c r="O2293" s="427"/>
      <c r="P2293" s="425"/>
      <c r="Q2293" s="442"/>
      <c r="R2293" s="442"/>
      <c r="S2293" s="364"/>
      <c r="Z2293" s="609" t="s">
        <v>925</v>
      </c>
      <c r="AA2293" s="609" t="s">
        <v>3451</v>
      </c>
    </row>
    <row r="2294" spans="1:27" ht="18">
      <c r="A2294" s="2712"/>
      <c r="B2294" s="371"/>
      <c r="C2294" s="371" t="s">
        <v>2565</v>
      </c>
      <c r="D2294" s="2714"/>
      <c r="F2294" s="293"/>
      <c r="G2294" s="1543"/>
      <c r="H2294" s="461"/>
      <c r="I2294" s="317"/>
      <c r="J2294" s="461"/>
      <c r="K2294" s="317"/>
      <c r="L2294" s="461"/>
      <c r="M2294" s="1545"/>
      <c r="N2294" s="426"/>
      <c r="O2294" s="427"/>
      <c r="P2294" s="425"/>
      <c r="Q2294" s="442"/>
      <c r="R2294" s="442"/>
      <c r="S2294" s="364"/>
      <c r="Z2294" s="609" t="s">
        <v>925</v>
      </c>
      <c r="AA2294" s="609" t="s">
        <v>3451</v>
      </c>
    </row>
    <row r="2295" spans="1:27" ht="48">
      <c r="A2295" s="2712" t="s">
        <v>949</v>
      </c>
      <c r="B2295" s="371" t="s">
        <v>6557</v>
      </c>
      <c r="C2295" s="371"/>
      <c r="D2295" s="2714" t="str">
        <f>VLOOKUP($A2295,Sheet_NoteList,2,0)</f>
        <v>上期末按单项金额重大并单项计提坏账准备的长期应收款（已发生损失模型）</v>
      </c>
      <c r="E2295" s="2714" t="s">
        <v>2742</v>
      </c>
      <c r="F2295" s="293"/>
      <c r="G2295" s="372" t="str">
        <f>"("&amp;B2295&amp;")"&amp;D2295</f>
        <v>(2.2A)上期末按单项金额重大并单项计提坏账准备的长期应收款（已发生损失模型）</v>
      </c>
      <c r="H2295" s="1515" t="str">
        <f>$A2295</f>
        <v>1531h</v>
      </c>
      <c r="I2295" s="343" t="s">
        <v>2743</v>
      </c>
      <c r="J2295" s="301"/>
      <c r="K2295" s="391"/>
      <c r="L2295" s="349"/>
      <c r="M2295" s="301" t="s">
        <v>2745</v>
      </c>
      <c r="N2295" s="2208">
        <f>H2308</f>
        <v>0</v>
      </c>
      <c r="O2295" s="349"/>
      <c r="P2295" s="301"/>
      <c r="S2295" s="364"/>
      <c r="Z2295" s="609" t="s">
        <v>925</v>
      </c>
      <c r="AA2295" s="609" t="s">
        <v>3451</v>
      </c>
    </row>
    <row r="2296" spans="1:27" ht="0.75" customHeight="1">
      <c r="A2296" s="2712"/>
      <c r="B2296" s="371"/>
      <c r="C2296" s="371"/>
      <c r="D2296" s="2714"/>
      <c r="E2296" s="586"/>
      <c r="F2296" s="586"/>
      <c r="G2296" s="2222" t="s">
        <v>3463</v>
      </c>
      <c r="H2296" s="371" t="s">
        <v>2747</v>
      </c>
      <c r="I2296" s="371" t="s">
        <v>2748</v>
      </c>
      <c r="J2296" s="371" t="s">
        <v>2957</v>
      </c>
      <c r="K2296" s="547" t="s">
        <v>2898</v>
      </c>
      <c r="L2296" s="428"/>
      <c r="M2296" s="433"/>
      <c r="N2296" s="428"/>
      <c r="O2296" s="428"/>
      <c r="P2296" s="433"/>
      <c r="Q2296" s="442"/>
      <c r="R2296" s="443"/>
      <c r="S2296" s="364"/>
      <c r="Z2296" s="609" t="s">
        <v>925</v>
      </c>
      <c r="AA2296" s="609" t="s">
        <v>3451</v>
      </c>
    </row>
    <row r="2297" spans="1:27" ht="0.75" customHeight="1" thickBot="1">
      <c r="A2297" s="2712"/>
      <c r="B2297" s="371"/>
      <c r="C2297" s="371"/>
      <c r="D2297" s="2714"/>
      <c r="E2297" s="586"/>
      <c r="F2297" s="586"/>
      <c r="G2297" s="2222"/>
      <c r="H2297" s="371" t="s">
        <v>3464</v>
      </c>
      <c r="I2297" s="371" t="s">
        <v>2859</v>
      </c>
      <c r="J2297" s="371" t="s">
        <v>3160</v>
      </c>
      <c r="K2297" s="547" t="s">
        <v>2999</v>
      </c>
      <c r="L2297" s="428"/>
      <c r="M2297" s="433"/>
      <c r="N2297" s="428"/>
      <c r="O2297" s="428"/>
      <c r="P2297" s="433"/>
      <c r="Q2297" s="442"/>
      <c r="R2297" s="443"/>
      <c r="S2297" s="364"/>
      <c r="Z2297" s="609" t="s">
        <v>925</v>
      </c>
      <c r="AA2297" s="609" t="s">
        <v>3451</v>
      </c>
    </row>
    <row r="2298" spans="1:27" ht="18" customHeight="1">
      <c r="A2298" s="2712"/>
      <c r="B2298" s="371"/>
      <c r="C2298" s="371"/>
      <c r="D2298" s="2714"/>
      <c r="E2298" s="586" t="s">
        <v>2749</v>
      </c>
      <c r="F2298" s="414"/>
      <c r="G2298" s="3462" t="s">
        <v>6138</v>
      </c>
      <c r="H2298" s="3470" t="str">
        <f>$V$3</f>
        <v>2018年12月31日</v>
      </c>
      <c r="I2298" s="3471"/>
      <c r="J2298" s="3471"/>
      <c r="K2298" s="3471"/>
      <c r="L2298" s="355" t="s">
        <v>5280</v>
      </c>
      <c r="M2298" s="433"/>
      <c r="N2298" s="428"/>
      <c r="O2298" s="428"/>
      <c r="P2298" s="433"/>
      <c r="Q2298" s="442"/>
      <c r="R2298" s="443"/>
      <c r="S2298" s="364"/>
      <c r="Z2298" s="609" t="s">
        <v>925</v>
      </c>
      <c r="AA2298" s="609" t="s">
        <v>3451</v>
      </c>
    </row>
    <row r="2299" spans="1:27" ht="18">
      <c r="A2299" s="2712"/>
      <c r="B2299" s="371"/>
      <c r="C2299" s="371"/>
      <c r="D2299" s="2714"/>
      <c r="E2299" s="586" t="s">
        <v>2749</v>
      </c>
      <c r="F2299" s="414"/>
      <c r="G2299" s="3463"/>
      <c r="H2299" s="2557" t="s">
        <v>6137</v>
      </c>
      <c r="I2299" s="2292" t="s">
        <v>2862</v>
      </c>
      <c r="J2299" s="2292" t="s">
        <v>2889</v>
      </c>
      <c r="K2299" s="2278" t="s">
        <v>2899</v>
      </c>
      <c r="L2299" s="434"/>
      <c r="M2299" s="435"/>
      <c r="N2299" s="434"/>
      <c r="O2299" s="434"/>
      <c r="P2299" s="435"/>
      <c r="Q2299" s="442"/>
      <c r="R2299" s="443"/>
      <c r="S2299" s="364"/>
      <c r="Z2299" s="609" t="s">
        <v>925</v>
      </c>
      <c r="AA2299" s="609" t="s">
        <v>3451</v>
      </c>
    </row>
    <row r="2300" spans="1:27" ht="18">
      <c r="A2300" s="2712"/>
      <c r="B2300" s="371">
        <v>101</v>
      </c>
      <c r="C2300" s="371" t="s">
        <v>2791</v>
      </c>
      <c r="D2300" s="2714">
        <f t="shared" ref="D2300:D2308" si="242">IF(OR(G2300="*",G2300="",G2300=0),0,COUNTIF($G$2300:$G$2308,G2300))</f>
        <v>0</v>
      </c>
      <c r="E2300" s="2719">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8">
      <c r="A2301" s="2712"/>
      <c r="B2301" s="371">
        <v>102</v>
      </c>
      <c r="C2301" s="371" t="s">
        <v>2791</v>
      </c>
      <c r="D2301" s="2714">
        <f t="shared" si="242"/>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2"/>
      <c r="B2302" s="371">
        <v>103</v>
      </c>
      <c r="C2302" s="371" t="s">
        <v>2791</v>
      </c>
      <c r="D2302" s="2714">
        <f t="shared" si="242"/>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2"/>
      <c r="B2303" s="371">
        <v>104</v>
      </c>
      <c r="C2303" s="371" t="s">
        <v>2791</v>
      </c>
      <c r="D2303" s="2714">
        <f t="shared" si="242"/>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2"/>
      <c r="B2304" s="371">
        <v>105</v>
      </c>
      <c r="C2304" s="371" t="s">
        <v>2791</v>
      </c>
      <c r="D2304" s="2714">
        <f t="shared" si="242"/>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106</v>
      </c>
      <c r="C2305" s="371" t="s">
        <v>2791</v>
      </c>
      <c r="D2305" s="2714">
        <f t="shared" si="242"/>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
      <c r="A2306" s="2712"/>
      <c r="B2306" s="371">
        <v>107</v>
      </c>
      <c r="C2306" s="371" t="s">
        <v>2791</v>
      </c>
      <c r="D2306" s="2714">
        <f t="shared" si="242"/>
        <v>0</v>
      </c>
      <c r="E2306" s="2719">
        <v>1</v>
      </c>
      <c r="F2306" s="293"/>
      <c r="G2306" s="2282" t="s">
        <v>2792</v>
      </c>
      <c r="H2306" s="2273"/>
      <c r="I2306" s="2273"/>
      <c r="J2306" s="2296"/>
      <c r="K2306" s="2274"/>
      <c r="L2306" s="437"/>
      <c r="M2306" s="438"/>
      <c r="N2306" s="439"/>
      <c r="O2306" s="437"/>
      <c r="P2306" s="438"/>
      <c r="Q2306" s="442"/>
      <c r="R2306" s="443"/>
      <c r="S2306" s="364"/>
      <c r="Z2306" s="609" t="s">
        <v>925</v>
      </c>
      <c r="AA2306" s="609" t="s">
        <v>3451</v>
      </c>
    </row>
    <row r="2307" spans="1:27" ht="18">
      <c r="A2307" s="2712"/>
      <c r="B2307" s="371">
        <v>108</v>
      </c>
      <c r="C2307" s="371" t="s">
        <v>2791</v>
      </c>
      <c r="D2307" s="2714">
        <f t="shared" si="242"/>
        <v>0</v>
      </c>
      <c r="E2307" s="2719">
        <v>1</v>
      </c>
      <c r="F2307" s="293"/>
      <c r="G2307" s="2282" t="s">
        <v>2792</v>
      </c>
      <c r="H2307" s="2273"/>
      <c r="I2307" s="2273"/>
      <c r="J2307" s="2296"/>
      <c r="K2307" s="2274"/>
      <c r="L2307" s="437"/>
      <c r="M2307" s="438"/>
      <c r="N2307" s="439"/>
      <c r="O2307" s="437"/>
      <c r="P2307" s="438"/>
      <c r="Q2307" s="442"/>
      <c r="R2307" s="443"/>
      <c r="S2307" s="364"/>
      <c r="Z2307" s="609" t="s">
        <v>925</v>
      </c>
      <c r="AA2307" s="609" t="s">
        <v>3451</v>
      </c>
    </row>
    <row r="2308" spans="1:27" ht="18.75" thickBot="1">
      <c r="A2308" s="2712"/>
      <c r="B2308" s="371"/>
      <c r="C2308" s="371"/>
      <c r="D2308" s="2714">
        <f t="shared" si="242"/>
        <v>1</v>
      </c>
      <c r="E2308" s="2719" t="s">
        <v>2751</v>
      </c>
      <c r="F2308" s="293"/>
      <c r="G2308" s="2232" t="s">
        <v>2752</v>
      </c>
      <c r="H2308" s="2233">
        <f>SUMPRODUCT($E2299:$E2307,H2299:H2307)</f>
        <v>0</v>
      </c>
      <c r="I2308" s="2233">
        <f>SUMPRODUCT($E2299:$E2307,I2299:I2307)</f>
        <v>0</v>
      </c>
      <c r="J2308" s="2240"/>
      <c r="K2308" s="2242"/>
      <c r="L2308" s="437"/>
      <c r="M2308" s="440"/>
      <c r="N2308" s="439"/>
      <c r="O2308" s="437"/>
      <c r="P2308" s="440"/>
      <c r="Q2308" s="442"/>
      <c r="R2308" s="443"/>
      <c r="S2308" s="364"/>
      <c r="Z2308" s="609" t="s">
        <v>925</v>
      </c>
      <c r="AA2308" s="609" t="s">
        <v>3451</v>
      </c>
    </row>
    <row r="2309" spans="1:27" ht="18.75" thickBot="1">
      <c r="A2309" s="2712"/>
      <c r="B2309" s="371"/>
      <c r="C2309" s="371" t="s">
        <v>2755</v>
      </c>
      <c r="D2309" s="2714"/>
      <c r="F2309" s="293"/>
      <c r="G2309" s="376"/>
      <c r="H2309" s="527" t="s">
        <v>3002</v>
      </c>
      <c r="I2309" s="2251" t="s">
        <v>3002</v>
      </c>
      <c r="J2309" s="393"/>
      <c r="K2309" s="392"/>
      <c r="L2309" s="427"/>
      <c r="M2309" s="425"/>
      <c r="N2309" s="426"/>
      <c r="O2309" s="427"/>
      <c r="P2309" s="425"/>
      <c r="Q2309" s="442"/>
      <c r="R2309" s="443"/>
      <c r="S2309" s="364"/>
      <c r="Z2309" s="609" t="s">
        <v>925</v>
      </c>
      <c r="AA2309" s="609" t="s">
        <v>3451</v>
      </c>
    </row>
    <row r="2310" spans="1:27" ht="18.75" thickTop="1">
      <c r="A2310" s="2712"/>
      <c r="B2310" s="371"/>
      <c r="C2310" s="371" t="s">
        <v>2565</v>
      </c>
      <c r="D2310" s="2714"/>
      <c r="F2310" s="293"/>
      <c r="G2310" s="1547" t="s">
        <v>5365</v>
      </c>
      <c r="H2310" s="1548" t="str">
        <f>G2275</f>
        <v>(2.2)长期应收款按坏账计提方法分类披露（已发生损失模型）</v>
      </c>
      <c r="I2310" s="1550"/>
      <c r="J2310" s="1549"/>
      <c r="K2310" s="1549"/>
      <c r="L2310" s="1551" t="s">
        <v>5366</v>
      </c>
      <c r="M2310" s="425"/>
      <c r="N2310" s="426"/>
      <c r="O2310" s="427"/>
      <c r="P2310" s="425"/>
      <c r="Q2310" s="442"/>
      <c r="R2310" s="442"/>
      <c r="S2310" s="364"/>
      <c r="Z2310" s="609" t="s">
        <v>925</v>
      </c>
      <c r="AA2310" s="609" t="s">
        <v>3451</v>
      </c>
    </row>
    <row r="2311" spans="1:27" ht="24">
      <c r="A2311" s="2712"/>
      <c r="B2311" s="371"/>
      <c r="C2311" s="371" t="s">
        <v>2565</v>
      </c>
      <c r="D2311" s="2714"/>
      <c r="F2311" s="293"/>
      <c r="G2311" s="604" t="str">
        <f>"注释A:"&amp; G2280</f>
        <v>注释A:单项金额重大并单独计提坏账准备的长期应收款</v>
      </c>
      <c r="H2311" s="2250">
        <f ca="1">HYPERLINK("#'"&amp;$G$1&amp;"'!"&amp;ADDRESS(ROW(Notes!H2280),COLUMN(Notes!H2280),4),H2280)</f>
        <v>0</v>
      </c>
      <c r="I2311" s="2250">
        <f ca="1">HYPERLINK("#'"&amp;$G$1&amp;"'!"&amp;ADDRESS(ROW(Notes!J2280),COLUMN(Notes!J2280),4),J2280)</f>
        <v>0</v>
      </c>
      <c r="J2311" s="351"/>
      <c r="K2311" s="351"/>
      <c r="L2311" s="2634" t="str">
        <f>H2275</f>
        <v>1531p</v>
      </c>
      <c r="M2311" s="425"/>
      <c r="N2311" s="426"/>
      <c r="O2311" s="427"/>
      <c r="P2311" s="425"/>
      <c r="Q2311" s="442"/>
      <c r="R2311" s="442"/>
      <c r="S2311" s="364"/>
      <c r="Z2311" s="609" t="s">
        <v>925</v>
      </c>
      <c r="AA2311" s="609" t="s">
        <v>3451</v>
      </c>
    </row>
    <row r="2312" spans="1:27" ht="18">
      <c r="A2312" s="2712"/>
      <c r="B2312" s="371"/>
      <c r="C2312" s="371" t="s">
        <v>2565</v>
      </c>
      <c r="D2312" s="2714"/>
      <c r="F2312" s="293"/>
      <c r="G2312" s="604" t="str">
        <f>"本注释B:"&amp; G2308</f>
        <v>本注释B:合       计</v>
      </c>
      <c r="H2312" s="456">
        <f>H2308</f>
        <v>0</v>
      </c>
      <c r="I2312" s="456">
        <f>I2308</f>
        <v>0</v>
      </c>
      <c r="J2312" s="351"/>
      <c r="K2312" s="351"/>
      <c r="L2312" s="2637" t="s">
        <v>949</v>
      </c>
      <c r="M2312" s="425"/>
      <c r="N2312" s="426"/>
      <c r="O2312" s="427"/>
      <c r="P2312" s="425"/>
      <c r="Q2312" s="442"/>
      <c r="R2312" s="442"/>
      <c r="S2312" s="364"/>
      <c r="Z2312" s="609" t="s">
        <v>925</v>
      </c>
      <c r="AA2312" s="609" t="s">
        <v>3451</v>
      </c>
    </row>
    <row r="2313" spans="1:27" ht="18.75" thickBot="1">
      <c r="A2313" s="2712"/>
      <c r="B2313" s="371"/>
      <c r="C2313" s="371" t="s">
        <v>2565</v>
      </c>
      <c r="D2313" s="2714"/>
      <c r="F2313" s="293"/>
      <c r="G2313" s="1552" t="s">
        <v>2757</v>
      </c>
      <c r="H2313" s="1529">
        <f ca="1">IF(AND(H2311="",H2312=""),"",ROUND(H2311-H2312,2))</f>
        <v>0</v>
      </c>
      <c r="I2313" s="1529">
        <f ca="1">IF(AND(I2311="",I2312=""),"",ROUND(I2311-I2312,2))</f>
        <v>0</v>
      </c>
      <c r="J2313" s="1553"/>
      <c r="K2313" s="1553"/>
      <c r="L2313" s="1554"/>
      <c r="M2313" s="425"/>
      <c r="N2313" s="426"/>
      <c r="O2313" s="427"/>
      <c r="P2313" s="425"/>
      <c r="Q2313" s="442"/>
      <c r="R2313" s="442"/>
      <c r="S2313" s="364"/>
      <c r="Z2313" s="609" t="s">
        <v>925</v>
      </c>
      <c r="AA2313" s="609" t="s">
        <v>3451</v>
      </c>
    </row>
    <row r="2314" spans="1:27" ht="18.75" thickTop="1">
      <c r="A2314" s="2712"/>
      <c r="B2314" s="371"/>
      <c r="C2314" s="371" t="s">
        <v>2565</v>
      </c>
      <c r="D2314" s="2714"/>
      <c r="F2314" s="293"/>
      <c r="G2314" s="1543"/>
      <c r="H2314" s="459" t="str">
        <f ca="1">IF(OR(H2313=0,H2313=""),"√","？")</f>
        <v>√</v>
      </c>
      <c r="I2314" s="459" t="str">
        <f ca="1">IF(OR(I2313=0,I2313=""),"√","？")</f>
        <v>√</v>
      </c>
      <c r="J2314" s="317"/>
      <c r="K2314" s="317"/>
      <c r="L2314" s="1545"/>
      <c r="M2314" s="425"/>
      <c r="N2314" s="426"/>
      <c r="O2314" s="427"/>
      <c r="P2314" s="425"/>
      <c r="Q2314" s="442"/>
      <c r="R2314" s="442"/>
      <c r="S2314" s="364"/>
      <c r="Z2314" s="609" t="s">
        <v>925</v>
      </c>
      <c r="AA2314" s="609" t="s">
        <v>3451</v>
      </c>
    </row>
    <row r="2315" spans="1:27" ht="18">
      <c r="A2315" s="2712"/>
      <c r="B2315" s="371"/>
      <c r="C2315" s="371" t="s">
        <v>2565</v>
      </c>
      <c r="D2315" s="2714"/>
      <c r="F2315" s="293"/>
      <c r="G2315" s="1557" t="s">
        <v>2759</v>
      </c>
      <c r="H2315" s="461"/>
      <c r="I2315" s="461"/>
      <c r="J2315" s="317"/>
      <c r="K2315" s="352">
        <f ca="1">SUMIF($H$2314:$L$2314,"&lt;&gt;√",$H$2313:$L$2313)</f>
        <v>0</v>
      </c>
      <c r="L2315" s="2252" t="str">
        <f ca="1">IF(OR(K2315=0,K2315=""),"√","？")</f>
        <v>√</v>
      </c>
      <c r="M2315" s="425"/>
      <c r="N2315" s="426"/>
      <c r="O2315" s="427"/>
      <c r="P2315" s="425"/>
      <c r="Q2315" s="442"/>
      <c r="R2315" s="442"/>
      <c r="S2315" s="364"/>
      <c r="Z2315" s="609" t="s">
        <v>925</v>
      </c>
      <c r="AA2315" s="609" t="s">
        <v>3451</v>
      </c>
    </row>
    <row r="2316" spans="1:27" ht="18">
      <c r="A2316" s="2712"/>
      <c r="B2316" s="371"/>
      <c r="C2316" s="371" t="s">
        <v>2565</v>
      </c>
      <c r="D2316" s="2714"/>
      <c r="F2316" s="293"/>
      <c r="G2316" s="1543"/>
      <c r="H2316" s="461"/>
      <c r="I2316" s="461"/>
      <c r="J2316" s="317"/>
      <c r="K2316" s="317"/>
      <c r="L2316" s="1545"/>
      <c r="M2316" s="425"/>
      <c r="N2316" s="426"/>
      <c r="O2316" s="427"/>
      <c r="P2316" s="425"/>
      <c r="Q2316" s="442"/>
      <c r="R2316" s="442"/>
      <c r="S2316" s="364"/>
      <c r="Z2316" s="609" t="s">
        <v>925</v>
      </c>
      <c r="AA2316" s="609" t="s">
        <v>3451</v>
      </c>
    </row>
    <row r="2317" spans="1:27" ht="36">
      <c r="A2317" s="2712" t="s">
        <v>939</v>
      </c>
      <c r="B2317" s="371" t="s">
        <v>6558</v>
      </c>
      <c r="C2317" s="371"/>
      <c r="D2317" s="2714" t="str">
        <f>VLOOKUP($A2317,Sheet_NoteList,2,0)</f>
        <v>上期末按组合计提坏账准备的长期应收款（已发生损失模型）</v>
      </c>
      <c r="E2317" s="2714" t="s">
        <v>2742</v>
      </c>
      <c r="F2317" s="293"/>
      <c r="G2317" s="372" t="str">
        <f>"("&amp;B2317&amp;")"&amp;D2317</f>
        <v>(2.2B)上期末按组合计提坏账准备的长期应收款（已发生损失模型）</v>
      </c>
      <c r="H2317" s="1515" t="str">
        <f>$A2317</f>
        <v>1531m</v>
      </c>
      <c r="I2317" s="343" t="s">
        <v>2743</v>
      </c>
      <c r="J2317" s="301" t="s">
        <v>2744</v>
      </c>
      <c r="K2317" s="2208">
        <f>H2330</f>
        <v>0</v>
      </c>
      <c r="L2317" s="349"/>
      <c r="M2317" s="301"/>
      <c r="N2317" s="391"/>
      <c r="O2317" s="349"/>
      <c r="P2317" s="301"/>
      <c r="S2317" s="364"/>
      <c r="Z2317" s="609" t="s">
        <v>925</v>
      </c>
      <c r="AA2317" s="609" t="s">
        <v>3451</v>
      </c>
    </row>
    <row r="2318" spans="1:27" ht="0.75" customHeight="1">
      <c r="A2318" s="2712"/>
      <c r="B2318" s="371"/>
      <c r="C2318" s="371"/>
      <c r="D2318" s="2714"/>
      <c r="F2318" s="371"/>
      <c r="G2318" s="405" t="s">
        <v>3456</v>
      </c>
      <c r="H2318" s="371" t="s">
        <v>2747</v>
      </c>
      <c r="I2318" s="371" t="s">
        <v>2748</v>
      </c>
      <c r="J2318" s="371" t="s">
        <v>2957</v>
      </c>
      <c r="K2318" s="1602"/>
      <c r="L2318" s="1602"/>
      <c r="M2318" s="1602"/>
      <c r="N2318" s="1602"/>
      <c r="O2318" s="1602"/>
      <c r="P2318" s="1602"/>
      <c r="Q2318" s="1602"/>
      <c r="R2318" s="1602"/>
      <c r="S2318" s="364"/>
      <c r="Z2318" s="609" t="s">
        <v>925</v>
      </c>
      <c r="AA2318" s="609" t="s">
        <v>3451</v>
      </c>
    </row>
    <row r="2319" spans="1:27" ht="0.75" customHeight="1" thickBot="1">
      <c r="A2319" s="2712"/>
      <c r="B2319" s="371"/>
      <c r="C2319" s="371"/>
      <c r="D2319" s="2714"/>
      <c r="F2319" s="371"/>
      <c r="G2319" s="405"/>
      <c r="H2319" s="371" t="s">
        <v>3457</v>
      </c>
      <c r="I2319" s="371" t="s">
        <v>3458</v>
      </c>
      <c r="J2319" s="371" t="s">
        <v>3342</v>
      </c>
      <c r="K2319" s="1602"/>
      <c r="L2319" s="1602"/>
      <c r="M2319" s="1602"/>
      <c r="N2319" s="1602"/>
      <c r="O2319" s="1602"/>
      <c r="P2319" s="1602"/>
      <c r="Q2319" s="1602"/>
      <c r="R2319" s="1602"/>
      <c r="S2319" s="364"/>
      <c r="Z2319" s="609" t="s">
        <v>925</v>
      </c>
      <c r="AA2319" s="609" t="s">
        <v>3451</v>
      </c>
    </row>
    <row r="2320" spans="1:27" ht="18" customHeight="1">
      <c r="A2320" s="2712"/>
      <c r="B2320" s="371"/>
      <c r="C2320" s="371"/>
      <c r="D2320" s="2714"/>
      <c r="E2320" s="2714" t="s">
        <v>2749</v>
      </c>
      <c r="F2320" s="293"/>
      <c r="G2320" s="3464" t="s">
        <v>5946</v>
      </c>
      <c r="H2320" s="3472" t="str">
        <f>$V$3</f>
        <v>2018年12月31日</v>
      </c>
      <c r="I2320" s="3473"/>
      <c r="J2320" s="3473"/>
      <c r="K2320" s="355" t="s">
        <v>5947</v>
      </c>
      <c r="L2320" s="1602"/>
      <c r="M2320" s="1602"/>
      <c r="N2320" s="1602"/>
      <c r="O2320" s="1602"/>
      <c r="P2320" s="1602"/>
      <c r="Q2320" s="1602"/>
      <c r="R2320" s="1602"/>
      <c r="S2320" s="364"/>
      <c r="Z2320" s="609" t="s">
        <v>925</v>
      </c>
      <c r="AA2320" s="609" t="s">
        <v>3451</v>
      </c>
    </row>
    <row r="2321" spans="1:27" ht="18">
      <c r="A2321" s="2712"/>
      <c r="B2321" s="371"/>
      <c r="C2321" s="371"/>
      <c r="D2321" s="2714"/>
      <c r="E2321" s="2714" t="s">
        <v>2749</v>
      </c>
      <c r="F2321" s="293"/>
      <c r="G2321" s="3465"/>
      <c r="H2321" s="2205" t="s">
        <v>2861</v>
      </c>
      <c r="I2321" s="2205" t="s">
        <v>2862</v>
      </c>
      <c r="J2321" s="2206" t="s">
        <v>2889</v>
      </c>
      <c r="K2321" s="1602"/>
      <c r="L2321" s="1602"/>
      <c r="M2321" s="1602"/>
      <c r="N2321" s="1602"/>
      <c r="O2321" s="1602"/>
      <c r="P2321" s="1602"/>
      <c r="Q2321" s="1602"/>
      <c r="R2321" s="1602"/>
      <c r="S2321" s="364"/>
      <c r="Z2321" s="609" t="s">
        <v>925</v>
      </c>
      <c r="AA2321" s="609" t="s">
        <v>3451</v>
      </c>
    </row>
    <row r="2322" spans="1:27" ht="18">
      <c r="A2322" s="2712"/>
      <c r="B2322" s="371">
        <v>101</v>
      </c>
      <c r="C2322" s="371" t="s">
        <v>2791</v>
      </c>
      <c r="D2322" s="2714">
        <f t="shared" ref="D2322:D2330" si="243">IF(OR(G2322="*",G2322="",G2322=0),0,COUNTIF($G$2322:$G$2330,G2322))</f>
        <v>0</v>
      </c>
      <c r="E2322" s="2719">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8">
      <c r="A2323" s="2712"/>
      <c r="B2323" s="371">
        <v>102</v>
      </c>
      <c r="C2323" s="371" t="s">
        <v>2791</v>
      </c>
      <c r="D2323" s="2714">
        <f t="shared" si="243"/>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2"/>
      <c r="B2324" s="371">
        <v>103</v>
      </c>
      <c r="C2324" s="371" t="s">
        <v>2791</v>
      </c>
      <c r="D2324" s="2714">
        <f t="shared" si="243"/>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2"/>
      <c r="B2325" s="371">
        <v>104</v>
      </c>
      <c r="C2325" s="371" t="s">
        <v>2791</v>
      </c>
      <c r="D2325" s="2714">
        <f t="shared" si="243"/>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2"/>
      <c r="B2326" s="371">
        <v>105</v>
      </c>
      <c r="C2326" s="371" t="s">
        <v>2791</v>
      </c>
      <c r="D2326" s="2714">
        <f t="shared" si="243"/>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106</v>
      </c>
      <c r="C2327" s="371" t="s">
        <v>2791</v>
      </c>
      <c r="D2327" s="2714">
        <f t="shared" si="243"/>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
      <c r="A2328" s="2712"/>
      <c r="B2328" s="371">
        <v>107</v>
      </c>
      <c r="C2328" s="371" t="s">
        <v>2791</v>
      </c>
      <c r="D2328" s="2714">
        <f t="shared" si="243"/>
        <v>0</v>
      </c>
      <c r="E2328" s="2719">
        <v>1</v>
      </c>
      <c r="F2328" s="293"/>
      <c r="G2328" s="2213" t="s">
        <v>2792</v>
      </c>
      <c r="H2328" s="309"/>
      <c r="I2328" s="422"/>
      <c r="J2328" s="388"/>
      <c r="K2328" s="1602"/>
      <c r="L2328" s="1602"/>
      <c r="M2328" s="1602"/>
      <c r="N2328" s="1602"/>
      <c r="O2328" s="1602"/>
      <c r="P2328" s="1602"/>
      <c r="Q2328" s="1602"/>
      <c r="R2328" s="1602"/>
      <c r="S2328" s="364"/>
      <c r="Z2328" s="609" t="s">
        <v>925</v>
      </c>
      <c r="AA2328" s="609" t="s">
        <v>3451</v>
      </c>
    </row>
    <row r="2329" spans="1:27" ht="18">
      <c r="A2329" s="2712"/>
      <c r="B2329" s="371">
        <v>108</v>
      </c>
      <c r="C2329" s="371" t="s">
        <v>2791</v>
      </c>
      <c r="D2329" s="2714">
        <f t="shared" si="243"/>
        <v>0</v>
      </c>
      <c r="E2329" s="2719">
        <v>1</v>
      </c>
      <c r="F2329" s="293"/>
      <c r="G2329" s="2213" t="s">
        <v>2792</v>
      </c>
      <c r="H2329" s="309"/>
      <c r="I2329" s="422"/>
      <c r="J2329" s="388"/>
      <c r="K2329" s="1602"/>
      <c r="L2329" s="1602"/>
      <c r="M2329" s="1602"/>
      <c r="N2329" s="1602"/>
      <c r="O2329" s="1602"/>
      <c r="P2329" s="1602"/>
      <c r="Q2329" s="1602"/>
      <c r="R2329" s="1602"/>
      <c r="S2329" s="364"/>
      <c r="Z2329" s="609" t="s">
        <v>925</v>
      </c>
      <c r="AA2329" s="609" t="s">
        <v>3451</v>
      </c>
    </row>
    <row r="2330" spans="1:27" ht="18.75" thickBot="1">
      <c r="A2330" s="2712"/>
      <c r="B2330" s="371"/>
      <c r="C2330" s="371"/>
      <c r="D2330" s="2714">
        <f t="shared" si="243"/>
        <v>1</v>
      </c>
      <c r="E2330" s="2719" t="s">
        <v>2751</v>
      </c>
      <c r="F2330" s="293"/>
      <c r="G2330" s="1527" t="s">
        <v>2752</v>
      </c>
      <c r="H2330" s="1525">
        <f>SUMPRODUCT($E2321:$E2329,H2321:H2329)</f>
        <v>0</v>
      </c>
      <c r="I2330" s="1525">
        <f>SUMPRODUCT($E2321:$E2329,I2321:I2329)</f>
        <v>0</v>
      </c>
      <c r="J2330" s="2212"/>
      <c r="K2330" s="1602"/>
      <c r="L2330" s="1602"/>
      <c r="M2330" s="1602"/>
      <c r="N2330" s="1602"/>
      <c r="O2330" s="1602"/>
      <c r="P2330" s="1602"/>
      <c r="Q2330" s="1602"/>
      <c r="R2330" s="1602"/>
      <c r="S2330" s="364"/>
      <c r="Z2330" s="609" t="s">
        <v>925</v>
      </c>
      <c r="AA2330" s="609" t="s">
        <v>3451</v>
      </c>
    </row>
    <row r="2331" spans="1:27" ht="18">
      <c r="A2331" s="2712"/>
      <c r="B2331" s="371"/>
      <c r="C2331" s="371" t="s">
        <v>2755</v>
      </c>
      <c r="D2331" s="2714"/>
      <c r="F2331" s="293"/>
      <c r="G2331" s="376"/>
      <c r="H2331" s="315"/>
      <c r="I2331" s="396"/>
      <c r="J2331" s="393"/>
      <c r="K2331" s="1602"/>
      <c r="L2331" s="1602"/>
      <c r="M2331" s="1602"/>
      <c r="N2331" s="1602"/>
      <c r="O2331" s="1602"/>
      <c r="P2331" s="1602"/>
      <c r="Q2331" s="1602"/>
      <c r="R2331" s="1602"/>
      <c r="S2331" s="364"/>
      <c r="Z2331" s="609" t="s">
        <v>925</v>
      </c>
      <c r="AA2331" s="609" t="s">
        <v>3451</v>
      </c>
    </row>
    <row r="2332" spans="1:27" ht="24">
      <c r="A2332" s="2712" t="s">
        <v>954</v>
      </c>
      <c r="B2332" s="371">
        <v>3</v>
      </c>
      <c r="C2332" s="371"/>
      <c r="D2332" s="2714" t="str">
        <f>VLOOKUP($A2332,Sheet_NoteList,2,0)</f>
        <v>长期应收款坏账准备的变动情况</v>
      </c>
      <c r="E2332" s="2714" t="s">
        <v>2742</v>
      </c>
      <c r="F2332" s="293"/>
      <c r="G2332" s="372" t="str">
        <f>"("&amp;B2332&amp;")"&amp;D2332</f>
        <v>(3)长期应收款坏账准备的变动情况</v>
      </c>
      <c r="H2332" s="1515" t="str">
        <f>$A2332</f>
        <v>1531g</v>
      </c>
      <c r="I2332" s="343" t="s">
        <v>2743</v>
      </c>
      <c r="J2332" s="301" t="s">
        <v>2744</v>
      </c>
      <c r="K2332" s="2208">
        <f>N2342</f>
        <v>0</v>
      </c>
      <c r="L2332" s="349"/>
      <c r="M2332" s="301" t="s">
        <v>2745</v>
      </c>
      <c r="N2332" s="2208">
        <f>H2342</f>
        <v>0</v>
      </c>
      <c r="O2332" s="349"/>
      <c r="P2332" s="301"/>
      <c r="S2332" s="364"/>
      <c r="Z2332" s="609" t="s">
        <v>925</v>
      </c>
      <c r="AA2332" s="609" t="s">
        <v>3451</v>
      </c>
    </row>
    <row r="2333" spans="1:27" ht="0.75" customHeight="1">
      <c r="A2333" s="2712"/>
      <c r="B2333" s="371"/>
      <c r="C2333" s="371"/>
      <c r="D2333" s="2714"/>
      <c r="E2333" s="586"/>
      <c r="F2333" s="586"/>
      <c r="G2333" s="2222" t="s">
        <v>3466</v>
      </c>
      <c r="H2333" s="371" t="s">
        <v>2747</v>
      </c>
      <c r="I2333" s="371" t="s">
        <v>2748</v>
      </c>
      <c r="J2333" s="371" t="s">
        <v>2948</v>
      </c>
      <c r="K2333" s="547" t="s">
        <v>3034</v>
      </c>
      <c r="L2333" s="547" t="s">
        <v>3035</v>
      </c>
      <c r="M2333" s="371" t="s">
        <v>3036</v>
      </c>
      <c r="N2333" s="547" t="s">
        <v>3037</v>
      </c>
      <c r="O2333" s="428"/>
      <c r="P2333" s="433"/>
      <c r="Q2333" s="442"/>
      <c r="R2333" s="443"/>
      <c r="S2333" s="364"/>
      <c r="Z2333" s="609" t="s">
        <v>925</v>
      </c>
      <c r="AA2333" s="609" t="s">
        <v>3451</v>
      </c>
    </row>
    <row r="2334" spans="1:27" ht="0.75" customHeight="1" thickBot="1">
      <c r="A2334" s="2712"/>
      <c r="B2334" s="371"/>
      <c r="C2334" s="371"/>
      <c r="D2334" s="2714"/>
      <c r="E2334" s="586"/>
      <c r="F2334" s="586"/>
      <c r="G2334" s="2222"/>
      <c r="H2334" s="371" t="s">
        <v>2911</v>
      </c>
      <c r="I2334" s="371" t="s">
        <v>2912</v>
      </c>
      <c r="J2334" s="371" t="s">
        <v>3038</v>
      </c>
      <c r="K2334" s="547" t="s">
        <v>2914</v>
      </c>
      <c r="L2334" s="547" t="s">
        <v>2915</v>
      </c>
      <c r="M2334" s="371" t="s">
        <v>2916</v>
      </c>
      <c r="N2334" s="547" t="s">
        <v>2917</v>
      </c>
      <c r="O2334" s="428"/>
      <c r="P2334" s="433"/>
      <c r="Q2334" s="442"/>
      <c r="R2334" s="443"/>
      <c r="S2334" s="364"/>
      <c r="Z2334" s="609" t="s">
        <v>925</v>
      </c>
      <c r="AA2334" s="609" t="s">
        <v>3451</v>
      </c>
    </row>
    <row r="2335" spans="1:27" ht="18" customHeight="1">
      <c r="A2335" s="2712"/>
      <c r="B2335" s="371"/>
      <c r="C2335" s="371"/>
      <c r="D2335" s="2714"/>
      <c r="E2335" s="586" t="s">
        <v>2749</v>
      </c>
      <c r="F2335" s="414"/>
      <c r="G2335" s="3462" t="s">
        <v>6007</v>
      </c>
      <c r="H2335" s="3468" t="str">
        <f>$V$3</f>
        <v>2018年12月31日</v>
      </c>
      <c r="I2335" s="3466" t="s">
        <v>6008</v>
      </c>
      <c r="J2335" s="3468" t="str">
        <f>$X$3</f>
        <v>2019年1月1日</v>
      </c>
      <c r="K2335" s="3496" t="s">
        <v>2919</v>
      </c>
      <c r="L2335" s="3496"/>
      <c r="M2335" s="3496"/>
      <c r="N2335" s="3579" t="str">
        <f>$V$2</f>
        <v>2019年12月31日</v>
      </c>
      <c r="O2335" s="355" t="s">
        <v>5280</v>
      </c>
      <c r="P2335" s="433"/>
      <c r="Q2335" s="442"/>
      <c r="R2335" s="443"/>
      <c r="S2335" s="364"/>
      <c r="Z2335" s="609" t="s">
        <v>925</v>
      </c>
      <c r="AA2335" s="609" t="s">
        <v>3451</v>
      </c>
    </row>
    <row r="2336" spans="1:27" ht="18">
      <c r="A2336" s="2712"/>
      <c r="B2336" s="371"/>
      <c r="C2336" s="371"/>
      <c r="D2336" s="2714"/>
      <c r="E2336" s="586" t="s">
        <v>2749</v>
      </c>
      <c r="F2336" s="414"/>
      <c r="G2336" s="3463"/>
      <c r="H2336" s="3469"/>
      <c r="I2336" s="3467"/>
      <c r="J2336" s="3469"/>
      <c r="K2336" s="2237" t="s">
        <v>6025</v>
      </c>
      <c r="L2336" s="2237" t="s">
        <v>6010</v>
      </c>
      <c r="M2336" s="2292" t="s">
        <v>6032</v>
      </c>
      <c r="N2336" s="3580"/>
      <c r="O2336" s="434"/>
      <c r="P2336" s="435"/>
      <c r="Q2336" s="442"/>
      <c r="R2336" s="443"/>
      <c r="S2336" s="364"/>
      <c r="Z2336" s="609" t="s">
        <v>925</v>
      </c>
      <c r="AA2336" s="609" t="s">
        <v>3451</v>
      </c>
    </row>
    <row r="2337" spans="1:27" ht="18">
      <c r="A2337" s="2712"/>
      <c r="B2337" s="371">
        <v>101</v>
      </c>
      <c r="C2337" s="371" t="s">
        <v>2791</v>
      </c>
      <c r="D2337" s="2714">
        <f t="shared" ref="D2337:D2342" si="244">IF(OR(G2337="*",G2337="",G2337=0),0,COUNTIF($G$2337:$G$2342,G2337))</f>
        <v>0</v>
      </c>
      <c r="E2337" s="2719">
        <v>1</v>
      </c>
      <c r="F2337" s="293"/>
      <c r="G2337" s="2282" t="s">
        <v>2792</v>
      </c>
      <c r="H2337" s="2273"/>
      <c r="I2337" s="2273"/>
      <c r="J2337" s="1474">
        <f>SUM(H2337:I2337)</f>
        <v>0</v>
      </c>
      <c r="K2337" s="2273"/>
      <c r="L2337" s="2273"/>
      <c r="M2337" s="2273"/>
      <c r="N2337" s="1475">
        <f>SUM(J2337:K2337,-L2337,-M2337)</f>
        <v>0</v>
      </c>
      <c r="O2337" s="437"/>
      <c r="P2337" s="438"/>
      <c r="Q2337" s="442"/>
      <c r="R2337" s="443"/>
      <c r="S2337" s="364"/>
      <c r="Z2337" s="609" t="s">
        <v>925</v>
      </c>
      <c r="AA2337" s="609" t="s">
        <v>3451</v>
      </c>
    </row>
    <row r="2338" spans="1:27" ht="18">
      <c r="A2338" s="2712"/>
      <c r="B2338" s="371">
        <v>102</v>
      </c>
      <c r="C2338" s="371" t="s">
        <v>2791</v>
      </c>
      <c r="D2338" s="2714">
        <f t="shared" si="244"/>
        <v>0</v>
      </c>
      <c r="E2338" s="2719">
        <v>1</v>
      </c>
      <c r="F2338" s="293"/>
      <c r="G2338" s="2282" t="s">
        <v>2792</v>
      </c>
      <c r="H2338" s="2273"/>
      <c r="I2338" s="2273"/>
      <c r="J2338" s="1474">
        <f t="shared" ref="J2338:J2341" si="245">SUM(H2338:I2338)</f>
        <v>0</v>
      </c>
      <c r="K2338" s="2273"/>
      <c r="L2338" s="2273"/>
      <c r="M2338" s="2273"/>
      <c r="N2338" s="1475">
        <f t="shared" ref="N2338:N2341" si="246">SUM(J2338:K2338,-L2338,-M2338)</f>
        <v>0</v>
      </c>
      <c r="O2338" s="437"/>
      <c r="P2338" s="438"/>
      <c r="Q2338" s="442"/>
      <c r="R2338" s="443"/>
      <c r="S2338" s="364"/>
      <c r="Z2338" s="609" t="s">
        <v>925</v>
      </c>
      <c r="AA2338" s="609" t="s">
        <v>3451</v>
      </c>
    </row>
    <row r="2339" spans="1:27" ht="18">
      <c r="A2339" s="2712"/>
      <c r="B2339" s="371">
        <v>103</v>
      </c>
      <c r="C2339" s="371" t="s">
        <v>2791</v>
      </c>
      <c r="D2339" s="2714">
        <f t="shared" si="244"/>
        <v>0</v>
      </c>
      <c r="E2339" s="2719">
        <v>1</v>
      </c>
      <c r="F2339" s="293"/>
      <c r="G2339" s="2282" t="s">
        <v>2792</v>
      </c>
      <c r="H2339" s="2273"/>
      <c r="I2339" s="2273"/>
      <c r="J2339" s="1474">
        <f t="shared" si="245"/>
        <v>0</v>
      </c>
      <c r="K2339" s="2273"/>
      <c r="L2339" s="2273"/>
      <c r="M2339" s="2273"/>
      <c r="N2339" s="1475">
        <f t="shared" si="246"/>
        <v>0</v>
      </c>
      <c r="O2339" s="437"/>
      <c r="P2339" s="438"/>
      <c r="Q2339" s="442"/>
      <c r="R2339" s="443"/>
      <c r="S2339" s="364"/>
      <c r="Z2339" s="609" t="s">
        <v>925</v>
      </c>
      <c r="AA2339" s="609" t="s">
        <v>3451</v>
      </c>
    </row>
    <row r="2340" spans="1:27" ht="18">
      <c r="A2340" s="2712"/>
      <c r="B2340" s="371">
        <v>104</v>
      </c>
      <c r="C2340" s="371" t="s">
        <v>2791</v>
      </c>
      <c r="D2340" s="2714">
        <f t="shared" si="244"/>
        <v>0</v>
      </c>
      <c r="E2340" s="2719">
        <v>1</v>
      </c>
      <c r="F2340" s="293"/>
      <c r="G2340" s="2282" t="s">
        <v>2792</v>
      </c>
      <c r="H2340" s="2273"/>
      <c r="I2340" s="2273"/>
      <c r="J2340" s="1474">
        <f t="shared" si="245"/>
        <v>0</v>
      </c>
      <c r="K2340" s="2273"/>
      <c r="L2340" s="2273"/>
      <c r="M2340" s="2273"/>
      <c r="N2340" s="1475">
        <f t="shared" si="246"/>
        <v>0</v>
      </c>
      <c r="O2340" s="437"/>
      <c r="P2340" s="438"/>
      <c r="Q2340" s="442"/>
      <c r="R2340" s="443"/>
      <c r="S2340" s="364"/>
      <c r="Z2340" s="609" t="s">
        <v>925</v>
      </c>
      <c r="AA2340" s="609" t="s">
        <v>3451</v>
      </c>
    </row>
    <row r="2341" spans="1:27" ht="18">
      <c r="A2341" s="2712"/>
      <c r="B2341" s="371">
        <v>105</v>
      </c>
      <c r="C2341" s="371" t="s">
        <v>2791</v>
      </c>
      <c r="D2341" s="2714">
        <f t="shared" si="244"/>
        <v>0</v>
      </c>
      <c r="E2341" s="2719">
        <v>1</v>
      </c>
      <c r="F2341" s="293"/>
      <c r="G2341" s="2282" t="s">
        <v>2792</v>
      </c>
      <c r="H2341" s="2273"/>
      <c r="I2341" s="2273"/>
      <c r="J2341" s="1474">
        <f t="shared" si="245"/>
        <v>0</v>
      </c>
      <c r="K2341" s="2273"/>
      <c r="L2341" s="2273"/>
      <c r="M2341" s="2273"/>
      <c r="N2341" s="1475">
        <f t="shared" si="246"/>
        <v>0</v>
      </c>
      <c r="O2341" s="437"/>
      <c r="P2341" s="438"/>
      <c r="Q2341" s="442"/>
      <c r="R2341" s="443"/>
      <c r="S2341" s="364"/>
      <c r="Z2341" s="609" t="s">
        <v>925</v>
      </c>
      <c r="AA2341" s="609" t="s">
        <v>3451</v>
      </c>
    </row>
    <row r="2342" spans="1:27" ht="18.75" thickBot="1">
      <c r="A2342" s="2712"/>
      <c r="B2342" s="371"/>
      <c r="C2342" s="371"/>
      <c r="D2342" s="2714">
        <f t="shared" si="244"/>
        <v>1</v>
      </c>
      <c r="E2342" s="2719" t="s">
        <v>2751</v>
      </c>
      <c r="F2342" s="293"/>
      <c r="G2342" s="2232" t="s">
        <v>5139</v>
      </c>
      <c r="H2342" s="2233">
        <f t="shared" ref="H2342:N2342" si="247">SUMPRODUCT($E2336:$E2341,H2336:H2341)</f>
        <v>0</v>
      </c>
      <c r="I2342" s="2233">
        <f t="shared" si="247"/>
        <v>0</v>
      </c>
      <c r="J2342" s="2233">
        <f t="shared" si="247"/>
        <v>0</v>
      </c>
      <c r="K2342" s="2233">
        <f t="shared" si="247"/>
        <v>0</v>
      </c>
      <c r="L2342" s="2233">
        <f t="shared" si="247"/>
        <v>0</v>
      </c>
      <c r="M2342" s="2233">
        <f t="shared" si="247"/>
        <v>0</v>
      </c>
      <c r="N2342" s="2234">
        <f t="shared" si="247"/>
        <v>0</v>
      </c>
      <c r="O2342" s="437"/>
      <c r="P2342" s="440"/>
      <c r="Q2342" s="442"/>
      <c r="R2342" s="443"/>
      <c r="S2342" s="364"/>
      <c r="Z2342" s="609" t="s">
        <v>925</v>
      </c>
      <c r="AA2342" s="609" t="s">
        <v>3451</v>
      </c>
    </row>
    <row r="2343" spans="1:27" ht="18.75" thickBot="1">
      <c r="A2343" s="2712"/>
      <c r="B2343" s="371"/>
      <c r="C2343" s="371" t="s">
        <v>2755</v>
      </c>
      <c r="D2343" s="2714"/>
      <c r="F2343" s="293"/>
      <c r="G2343" s="376"/>
      <c r="H2343" s="527" t="s">
        <v>3002</v>
      </c>
      <c r="I2343" s="396"/>
      <c r="J2343" s="315"/>
      <c r="K2343" s="423"/>
      <c r="L2343" s="315"/>
      <c r="M2343" s="315"/>
      <c r="N2343" s="2257" t="s">
        <v>3002</v>
      </c>
      <c r="O2343" s="427"/>
      <c r="P2343" s="425"/>
      <c r="Q2343" s="442"/>
      <c r="R2343" s="443"/>
      <c r="S2343" s="364"/>
      <c r="Z2343" s="609" t="s">
        <v>925</v>
      </c>
      <c r="AA2343" s="609" t="s">
        <v>3451</v>
      </c>
    </row>
    <row r="2344" spans="1:27" ht="18.75" thickTop="1">
      <c r="A2344" s="2712"/>
      <c r="B2344" s="371"/>
      <c r="C2344" s="371" t="s">
        <v>2565</v>
      </c>
      <c r="D2344" s="2714"/>
      <c r="F2344" s="293"/>
      <c r="G2344" s="1547" t="s">
        <v>5365</v>
      </c>
      <c r="H2344" s="1548" t="str">
        <f>G2204</f>
        <v>(1)长期应收款情况</v>
      </c>
      <c r="I2344" s="1549"/>
      <c r="J2344" s="1549"/>
      <c r="K2344" s="1549"/>
      <c r="L2344" s="1549"/>
      <c r="M2344" s="1549"/>
      <c r="N2344" s="1550"/>
      <c r="O2344" s="1551" t="s">
        <v>5366</v>
      </c>
      <c r="P2344" s="425"/>
      <c r="Q2344" s="442"/>
      <c r="R2344" s="442"/>
      <c r="S2344" s="364"/>
      <c r="Z2344" s="609" t="s">
        <v>925</v>
      </c>
      <c r="AA2344" s="609" t="s">
        <v>3451</v>
      </c>
    </row>
    <row r="2345" spans="1:27" ht="18">
      <c r="A2345" s="2712"/>
      <c r="B2345" s="371"/>
      <c r="C2345" s="371" t="s">
        <v>2565</v>
      </c>
      <c r="D2345" s="2714"/>
      <c r="F2345" s="293"/>
      <c r="G2345" s="604" t="str">
        <f>"注释A:"&amp; G2218</f>
        <v>注释A:合       计</v>
      </c>
      <c r="H2345" s="2250">
        <f ca="1">HYPERLINK("#'"&amp;$G$1&amp;"'!"&amp;ADDRESS(ROW(Notes!L2218),COLUMN(Notes!L2218),4),L2218)</f>
        <v>0</v>
      </c>
      <c r="I2345" s="351"/>
      <c r="J2345" s="351"/>
      <c r="K2345" s="351"/>
      <c r="L2345" s="351"/>
      <c r="M2345" s="351"/>
      <c r="N2345" s="2250">
        <f ca="1">HYPERLINK("#'"&amp;$G$1&amp;"'!"&amp;ADDRESS(ROW(Notes!I2218),COLUMN(Notes!I2218),4),I2218)</f>
        <v>0</v>
      </c>
      <c r="O2345" s="2634" t="str">
        <f>H2204</f>
        <v>1531a</v>
      </c>
      <c r="P2345" s="425"/>
      <c r="Q2345" s="442"/>
      <c r="R2345" s="442"/>
      <c r="S2345" s="364"/>
      <c r="Z2345" s="609" t="s">
        <v>925</v>
      </c>
      <c r="AA2345" s="609" t="s">
        <v>3451</v>
      </c>
    </row>
    <row r="2346" spans="1:27" ht="18">
      <c r="A2346" s="2712"/>
      <c r="B2346" s="371"/>
      <c r="C2346" s="371" t="s">
        <v>2565</v>
      </c>
      <c r="D2346" s="2714"/>
      <c r="F2346" s="293"/>
      <c r="G2346" s="604" t="str">
        <f>"本注释B:"&amp; G2342</f>
        <v>本注释B:合       计</v>
      </c>
      <c r="H2346" s="456">
        <f>H2342</f>
        <v>0</v>
      </c>
      <c r="I2346" s="351"/>
      <c r="J2346" s="351"/>
      <c r="K2346" s="351"/>
      <c r="L2346" s="351"/>
      <c r="M2346" s="351"/>
      <c r="N2346" s="456">
        <f>N2342</f>
        <v>0</v>
      </c>
      <c r="O2346" s="2637" t="s">
        <v>954</v>
      </c>
      <c r="P2346" s="425"/>
      <c r="Q2346" s="442"/>
      <c r="R2346" s="442"/>
      <c r="S2346" s="364"/>
      <c r="Z2346" s="609" t="s">
        <v>925</v>
      </c>
      <c r="AA2346" s="609" t="s">
        <v>3451</v>
      </c>
    </row>
    <row r="2347" spans="1:27" ht="18.75" thickBot="1">
      <c r="A2347" s="2712"/>
      <c r="B2347" s="371"/>
      <c r="C2347" s="371" t="s">
        <v>2565</v>
      </c>
      <c r="D2347" s="2714"/>
      <c r="F2347" s="293"/>
      <c r="G2347" s="1552" t="s">
        <v>2757</v>
      </c>
      <c r="H2347" s="1529">
        <f ca="1">IF(AND(H2345="",H2346=""),"",ROUND(H2345-H2346,2))</f>
        <v>0</v>
      </c>
      <c r="I2347" s="1553"/>
      <c r="J2347" s="1553"/>
      <c r="K2347" s="1553"/>
      <c r="L2347" s="1553"/>
      <c r="M2347" s="1553"/>
      <c r="N2347" s="1529">
        <f ca="1">IF(AND(N2345="",N2346=""),"",ROUND(N2345-N2346,2))</f>
        <v>0</v>
      </c>
      <c r="O2347" s="1554"/>
      <c r="P2347" s="425"/>
      <c r="Q2347" s="442"/>
      <c r="R2347" s="442"/>
      <c r="S2347" s="364"/>
      <c r="Z2347" s="609" t="s">
        <v>925</v>
      </c>
      <c r="AA2347" s="609" t="s">
        <v>3451</v>
      </c>
    </row>
    <row r="2348" spans="1:27" ht="18.75" thickTop="1">
      <c r="A2348" s="2712"/>
      <c r="B2348" s="371"/>
      <c r="C2348" s="371" t="s">
        <v>2565</v>
      </c>
      <c r="D2348" s="2714"/>
      <c r="F2348" s="293"/>
      <c r="G2348" s="1543"/>
      <c r="H2348" s="459" t="str">
        <f ca="1">IF(OR(H2347=0,H2347=""),"√","？")</f>
        <v>√</v>
      </c>
      <c r="I2348" s="317"/>
      <c r="J2348" s="317"/>
      <c r="K2348" s="317"/>
      <c r="L2348" s="317"/>
      <c r="M2348" s="317"/>
      <c r="N2348" s="459" t="str">
        <f ca="1">IF(OR(N2347=0,N2347=""),"√","？")</f>
        <v>√</v>
      </c>
      <c r="O2348" s="1545"/>
      <c r="P2348" s="425"/>
      <c r="Q2348" s="442"/>
      <c r="R2348" s="442"/>
      <c r="S2348" s="364"/>
      <c r="Z2348" s="609" t="s">
        <v>925</v>
      </c>
      <c r="AA2348" s="609" t="s">
        <v>3451</v>
      </c>
    </row>
    <row r="2349" spans="1:27" ht="18">
      <c r="A2349" s="2712"/>
      <c r="B2349" s="371"/>
      <c r="C2349" s="371" t="s">
        <v>2565</v>
      </c>
      <c r="D2349" s="2714"/>
      <c r="F2349" s="293"/>
      <c r="G2349" s="1557" t="s">
        <v>2759</v>
      </c>
      <c r="H2349" s="461"/>
      <c r="I2349" s="317"/>
      <c r="J2349" s="317"/>
      <c r="K2349" s="352">
        <f ca="1">SUMIF($H$2348:$O$2348,"&lt;&gt;√",$H$2347:$O$2347)</f>
        <v>0</v>
      </c>
      <c r="L2349" s="353" t="str">
        <f ca="1">IF(OR(K2349=0,K2349=""),"√","？")</f>
        <v>√</v>
      </c>
      <c r="M2349" s="317"/>
      <c r="N2349" s="461"/>
      <c r="O2349" s="1545"/>
      <c r="P2349" s="425"/>
      <c r="Q2349" s="442"/>
      <c r="R2349" s="442"/>
      <c r="S2349" s="364"/>
      <c r="Z2349" s="609" t="s">
        <v>925</v>
      </c>
      <c r="AA2349" s="609" t="s">
        <v>3451</v>
      </c>
    </row>
    <row r="2350" spans="1:27" ht="18">
      <c r="A2350" s="2712"/>
      <c r="B2350" s="371"/>
      <c r="C2350" s="371" t="s">
        <v>2565</v>
      </c>
      <c r="D2350" s="2714"/>
      <c r="F2350" s="293"/>
      <c r="G2350" s="1543"/>
      <c r="H2350" s="461"/>
      <c r="I2350" s="317"/>
      <c r="J2350" s="317"/>
      <c r="K2350" s="317"/>
      <c r="L2350" s="317"/>
      <c r="M2350" s="317"/>
      <c r="N2350" s="461"/>
      <c r="O2350" s="1545"/>
      <c r="P2350" s="425"/>
      <c r="Q2350" s="442"/>
      <c r="R2350" s="442"/>
      <c r="S2350" s="364"/>
      <c r="Z2350" s="609" t="s">
        <v>925</v>
      </c>
      <c r="AA2350" s="609" t="s">
        <v>3451</v>
      </c>
    </row>
    <row r="2351" spans="1:27" ht="24">
      <c r="A2351" s="2712" t="s">
        <v>951</v>
      </c>
      <c r="B2351" s="371">
        <v>3</v>
      </c>
      <c r="C2351" s="371"/>
      <c r="D2351" s="2714" t="str">
        <f>VLOOKUP($A2351,Sheet_NoteList,2,0)</f>
        <v>长期应收款坏账准备的变动情况（备选格式）</v>
      </c>
      <c r="E2351" s="2714" t="s">
        <v>2742</v>
      </c>
      <c r="F2351" s="293"/>
      <c r="G2351" s="372" t="str">
        <f>"("&amp;B2351&amp;")"&amp;D2351</f>
        <v>(3)长期应收款坏账准备的变动情况（备选格式）</v>
      </c>
      <c r="H2351" s="1515" t="str">
        <f>$A2351</f>
        <v>1531q</v>
      </c>
      <c r="I2351" s="343" t="s">
        <v>2743</v>
      </c>
      <c r="J2351" s="301" t="s">
        <v>2744</v>
      </c>
      <c r="K2351" s="2208">
        <f>K2368</f>
        <v>0</v>
      </c>
      <c r="L2351" s="349"/>
      <c r="M2351" s="301"/>
      <c r="N2351" s="391"/>
      <c r="O2351" s="349"/>
      <c r="P2351" s="301"/>
      <c r="S2351" s="364"/>
      <c r="Z2351" s="609" t="s">
        <v>925</v>
      </c>
      <c r="AA2351" s="609" t="s">
        <v>3451</v>
      </c>
    </row>
    <row r="2352" spans="1:27" ht="0.75" customHeight="1">
      <c r="A2352" s="2712"/>
      <c r="B2352" s="371"/>
      <c r="C2352" s="371"/>
      <c r="D2352" s="2714"/>
      <c r="F2352" s="371"/>
      <c r="G2352" s="405" t="s">
        <v>3465</v>
      </c>
      <c r="H2352" s="371" t="s">
        <v>2747</v>
      </c>
      <c r="I2352" s="371" t="s">
        <v>2748</v>
      </c>
      <c r="J2352" s="371" t="s">
        <v>2948</v>
      </c>
      <c r="K2352" s="547" t="s">
        <v>3034</v>
      </c>
      <c r="L2352" s="428"/>
      <c r="M2352" s="433"/>
      <c r="N2352" s="428"/>
      <c r="O2352" s="428"/>
      <c r="P2352" s="433"/>
      <c r="Q2352" s="442"/>
      <c r="R2352" s="443"/>
      <c r="S2352" s="364"/>
      <c r="Z2352" s="609" t="s">
        <v>925</v>
      </c>
      <c r="AA2352" s="609" t="s">
        <v>3451</v>
      </c>
    </row>
    <row r="2353" spans="1:27" ht="0.75" customHeight="1" thickBot="1">
      <c r="A2353" s="2712"/>
      <c r="B2353" s="371"/>
      <c r="C2353" s="371"/>
      <c r="D2353" s="2714"/>
      <c r="F2353" s="371"/>
      <c r="G2353" s="405"/>
      <c r="H2353" s="371" t="s">
        <v>3344</v>
      </c>
      <c r="I2353" s="371" t="s">
        <v>3345</v>
      </c>
      <c r="J2353" s="371" t="s">
        <v>3346</v>
      </c>
      <c r="K2353" s="547" t="s">
        <v>3347</v>
      </c>
      <c r="L2353" s="428"/>
      <c r="M2353" s="433"/>
      <c r="N2353" s="428"/>
      <c r="O2353" s="428"/>
      <c r="P2353" s="433"/>
      <c r="Q2353" s="442"/>
      <c r="R2353" s="443"/>
      <c r="S2353" s="364"/>
      <c r="Z2353" s="609" t="s">
        <v>925</v>
      </c>
      <c r="AA2353" s="609" t="s">
        <v>3451</v>
      </c>
    </row>
    <row r="2354" spans="1:27" ht="18" customHeight="1">
      <c r="A2354" s="2712"/>
      <c r="B2354" s="371"/>
      <c r="C2354" s="371"/>
      <c r="D2354" s="2714"/>
      <c r="E2354" s="2714" t="s">
        <v>2749</v>
      </c>
      <c r="F2354" s="293"/>
      <c r="G2354" s="3478" t="s">
        <v>2862</v>
      </c>
      <c r="H2354" s="2289" t="s">
        <v>3348</v>
      </c>
      <c r="I2354" s="2289" t="s">
        <v>3349</v>
      </c>
      <c r="J2354" s="2289" t="s">
        <v>3350</v>
      </c>
      <c r="K2354" s="3620" t="s">
        <v>3351</v>
      </c>
      <c r="L2354" s="355" t="s">
        <v>5280</v>
      </c>
      <c r="M2354" s="433"/>
      <c r="N2354" s="428"/>
      <c r="O2354" s="428"/>
      <c r="P2354" s="433"/>
      <c r="Q2354" s="442"/>
      <c r="R2354" s="443"/>
      <c r="S2354" s="364"/>
      <c r="Z2354" s="609" t="s">
        <v>925</v>
      </c>
      <c r="AA2354" s="609" t="s">
        <v>3451</v>
      </c>
    </row>
    <row r="2355" spans="1:27" ht="36">
      <c r="A2355" s="2712"/>
      <c r="B2355" s="371"/>
      <c r="C2355" s="371"/>
      <c r="D2355" s="2714"/>
      <c r="E2355" s="2714" t="s">
        <v>2749</v>
      </c>
      <c r="F2355" s="293"/>
      <c r="G2355" s="3479"/>
      <c r="H2355" s="2292" t="s">
        <v>3352</v>
      </c>
      <c r="I2355" s="2292" t="s">
        <v>3353</v>
      </c>
      <c r="J2355" s="2292" t="s">
        <v>3354</v>
      </c>
      <c r="K2355" s="3621"/>
      <c r="L2355" s="434"/>
      <c r="M2355" s="435"/>
      <c r="N2355" s="434"/>
      <c r="O2355" s="434"/>
      <c r="P2355" s="435"/>
      <c r="Q2355" s="442"/>
      <c r="R2355" s="443"/>
      <c r="S2355" s="364"/>
      <c r="Z2355" s="609" t="s">
        <v>925</v>
      </c>
      <c r="AA2355" s="609" t="s">
        <v>3451</v>
      </c>
    </row>
    <row r="2356" spans="1:27" ht="18">
      <c r="A2356" s="2712"/>
      <c r="B2356" s="371">
        <v>101</v>
      </c>
      <c r="C2356" s="371"/>
      <c r="D2356" s="2714">
        <f t="shared" ref="D2356:D2368" si="248">IF(OR(G2356="*",G2356="",G2356=0),0,COUNTIF($G$2356:$G$2368,G2356))</f>
        <v>1</v>
      </c>
      <c r="E2356" s="2719">
        <v>1</v>
      </c>
      <c r="F2356" s="293"/>
      <c r="G2356" s="319" t="str">
        <f>$X$3&amp;"余额"</f>
        <v>2019年1月1日余额</v>
      </c>
      <c r="H2356" s="309"/>
      <c r="I2356" s="422"/>
      <c r="J2356" s="309"/>
      <c r="K2356" s="361">
        <f>SUM(H2356:J2356)</f>
        <v>0</v>
      </c>
      <c r="L2356" s="437"/>
      <c r="M2356" s="438"/>
      <c r="N2356" s="439"/>
      <c r="O2356" s="437"/>
      <c r="P2356" s="438"/>
      <c r="Q2356" s="442"/>
      <c r="R2356" s="443"/>
      <c r="S2356" s="364"/>
      <c r="Z2356" s="609" t="s">
        <v>925</v>
      </c>
      <c r="AA2356" s="609" t="s">
        <v>3451</v>
      </c>
    </row>
    <row r="2357" spans="1:27" ht="18">
      <c r="A2357" s="2712"/>
      <c r="B2357" s="371">
        <v>102</v>
      </c>
      <c r="C2357" s="371"/>
      <c r="D2357" s="2714">
        <f t="shared" si="248"/>
        <v>1</v>
      </c>
      <c r="E2357" s="2719" t="s">
        <v>41</v>
      </c>
      <c r="F2357" s="293"/>
      <c r="G2357" s="319" t="str">
        <f>$X$3&amp;"余额在本期"</f>
        <v>2019年1月1日余额在本期</v>
      </c>
      <c r="H2357" s="309"/>
      <c r="I2357" s="422"/>
      <c r="J2357" s="309"/>
      <c r="K2357" s="361"/>
      <c r="L2357" s="437"/>
      <c r="M2357" s="438"/>
      <c r="N2357" s="439"/>
      <c r="O2357" s="437"/>
      <c r="P2357" s="438"/>
      <c r="Q2357" s="442"/>
      <c r="R2357" s="443"/>
      <c r="S2357" s="364"/>
      <c r="Z2357" s="609" t="s">
        <v>925</v>
      </c>
      <c r="AA2357" s="609" t="s">
        <v>3451</v>
      </c>
    </row>
    <row r="2358" spans="1:27" ht="24">
      <c r="A2358" s="2712"/>
      <c r="B2358" s="371">
        <v>103</v>
      </c>
      <c r="C2358" s="371"/>
      <c r="D2358" s="2714">
        <f t="shared" si="248"/>
        <v>1</v>
      </c>
      <c r="E2358" s="2719">
        <v>1</v>
      </c>
      <c r="F2358" s="293"/>
      <c r="G2358" s="578" t="s">
        <v>5200</v>
      </c>
      <c r="H2358" s="309"/>
      <c r="I2358" s="1463">
        <v>0</v>
      </c>
      <c r="J2358" s="1463">
        <v>0</v>
      </c>
      <c r="K2358" s="361">
        <f>SUM(H2358:J2358)</f>
        <v>0</v>
      </c>
      <c r="L2358" s="1491"/>
      <c r="M2358" s="438"/>
      <c r="N2358" s="439"/>
      <c r="O2358" s="437"/>
      <c r="P2358" s="438"/>
      <c r="Q2358" s="442"/>
      <c r="R2358" s="443"/>
      <c r="S2358" s="364"/>
      <c r="Z2358" s="609" t="s">
        <v>925</v>
      </c>
      <c r="AA2358" s="609" t="s">
        <v>3451</v>
      </c>
    </row>
    <row r="2359" spans="1:27" ht="24">
      <c r="A2359" s="2712"/>
      <c r="B2359" s="371">
        <v>104</v>
      </c>
      <c r="C2359" s="371"/>
      <c r="D2359" s="2714">
        <f t="shared" si="248"/>
        <v>1</v>
      </c>
      <c r="E2359" s="2719">
        <v>1</v>
      </c>
      <c r="F2359" s="293"/>
      <c r="G2359" s="578" t="s">
        <v>5201</v>
      </c>
      <c r="H2359" s="309"/>
      <c r="I2359" s="309"/>
      <c r="J2359" s="1463">
        <v>0</v>
      </c>
      <c r="K2359" s="361">
        <f t="shared" ref="K2359:K2367" si="249">SUM(H2359:J2359)</f>
        <v>0</v>
      </c>
      <c r="L2359" s="1491"/>
      <c r="M2359" s="438"/>
      <c r="N2359" s="439"/>
      <c r="O2359" s="437"/>
      <c r="P2359" s="438"/>
      <c r="Q2359" s="442"/>
      <c r="R2359" s="443"/>
      <c r="S2359" s="364"/>
      <c r="Z2359" s="609" t="s">
        <v>925</v>
      </c>
      <c r="AA2359" s="609" t="s">
        <v>3451</v>
      </c>
    </row>
    <row r="2360" spans="1:27" ht="24">
      <c r="A2360" s="2712"/>
      <c r="B2360" s="371">
        <v>105</v>
      </c>
      <c r="C2360" s="371"/>
      <c r="D2360" s="2714">
        <f t="shared" si="248"/>
        <v>1</v>
      </c>
      <c r="E2360" s="2719">
        <v>1</v>
      </c>
      <c r="F2360" s="293"/>
      <c r="G2360" s="578" t="s">
        <v>5202</v>
      </c>
      <c r="H2360" s="1463">
        <v>0</v>
      </c>
      <c r="I2360" s="1463">
        <v>0</v>
      </c>
      <c r="J2360" s="309"/>
      <c r="K2360" s="361">
        <f t="shared" si="249"/>
        <v>0</v>
      </c>
      <c r="L2360" s="1491"/>
      <c r="M2360" s="438"/>
      <c r="N2360" s="439"/>
      <c r="O2360" s="437"/>
      <c r="P2360" s="438"/>
      <c r="Q2360" s="442"/>
      <c r="R2360" s="443"/>
      <c r="S2360" s="364"/>
      <c r="Z2360" s="609" t="s">
        <v>925</v>
      </c>
      <c r="AA2360" s="609" t="s">
        <v>3451</v>
      </c>
    </row>
    <row r="2361" spans="1:27" ht="24">
      <c r="A2361" s="2712"/>
      <c r="B2361" s="371">
        <v>106</v>
      </c>
      <c r="C2361" s="371"/>
      <c r="D2361" s="2714">
        <f t="shared" si="248"/>
        <v>1</v>
      </c>
      <c r="E2361" s="2719">
        <v>1</v>
      </c>
      <c r="F2361" s="293"/>
      <c r="G2361" s="578" t="s">
        <v>5203</v>
      </c>
      <c r="H2361" s="1463">
        <v>0</v>
      </c>
      <c r="I2361" s="309"/>
      <c r="J2361" s="309"/>
      <c r="K2361" s="361">
        <f t="shared" si="249"/>
        <v>0</v>
      </c>
      <c r="L2361" s="1491"/>
      <c r="M2361" s="438"/>
      <c r="N2361" s="439"/>
      <c r="O2361" s="437"/>
      <c r="P2361" s="438"/>
      <c r="Q2361" s="442"/>
      <c r="R2361" s="443"/>
      <c r="S2361" s="364"/>
      <c r="Z2361" s="609" t="s">
        <v>925</v>
      </c>
      <c r="AA2361" s="609" t="s">
        <v>3451</v>
      </c>
    </row>
    <row r="2362" spans="1:27" ht="18">
      <c r="A2362" s="2712"/>
      <c r="B2362" s="371">
        <v>107</v>
      </c>
      <c r="C2362" s="371"/>
      <c r="D2362" s="2714">
        <f t="shared" si="248"/>
        <v>1</v>
      </c>
      <c r="E2362" s="2719">
        <v>1</v>
      </c>
      <c r="F2362" s="293"/>
      <c r="G2362" s="1484" t="s">
        <v>5204</v>
      </c>
      <c r="H2362" s="309"/>
      <c r="I2362" s="422"/>
      <c r="J2362" s="309"/>
      <c r="K2362" s="361">
        <f t="shared" si="249"/>
        <v>0</v>
      </c>
      <c r="L2362" s="437"/>
      <c r="M2362" s="438"/>
      <c r="N2362" s="439"/>
      <c r="O2362" s="437"/>
      <c r="P2362" s="438"/>
      <c r="Q2362" s="442"/>
      <c r="R2362" s="443"/>
      <c r="S2362" s="364"/>
      <c r="Z2362" s="609" t="s">
        <v>925</v>
      </c>
      <c r="AA2362" s="609" t="s">
        <v>3451</v>
      </c>
    </row>
    <row r="2363" spans="1:27" ht="18">
      <c r="A2363" s="2712"/>
      <c r="B2363" s="371">
        <v>108</v>
      </c>
      <c r="C2363" s="371"/>
      <c r="D2363" s="2714">
        <f t="shared" si="248"/>
        <v>1</v>
      </c>
      <c r="E2363" s="2719">
        <v>-1</v>
      </c>
      <c r="F2363" s="293"/>
      <c r="G2363" s="1484" t="s">
        <v>5205</v>
      </c>
      <c r="H2363" s="309"/>
      <c r="I2363" s="422"/>
      <c r="J2363" s="309"/>
      <c r="K2363" s="361">
        <f t="shared" si="249"/>
        <v>0</v>
      </c>
      <c r="L2363" s="437"/>
      <c r="M2363" s="438"/>
      <c r="N2363" s="439"/>
      <c r="O2363" s="437"/>
      <c r="P2363" s="438"/>
      <c r="Q2363" s="442"/>
      <c r="R2363" s="443"/>
      <c r="S2363" s="364"/>
      <c r="Z2363" s="609" t="s">
        <v>925</v>
      </c>
      <c r="AA2363" s="609" t="s">
        <v>3451</v>
      </c>
    </row>
    <row r="2364" spans="1:27" ht="18">
      <c r="A2364" s="2712"/>
      <c r="B2364" s="371">
        <v>109</v>
      </c>
      <c r="C2364" s="371"/>
      <c r="D2364" s="2714">
        <f t="shared" si="248"/>
        <v>1</v>
      </c>
      <c r="E2364" s="2719">
        <v>-1</v>
      </c>
      <c r="F2364" s="293"/>
      <c r="G2364" s="578" t="s">
        <v>3356</v>
      </c>
      <c r="H2364" s="309"/>
      <c r="I2364" s="422"/>
      <c r="J2364" s="309"/>
      <c r="K2364" s="361">
        <f t="shared" si="249"/>
        <v>0</v>
      </c>
      <c r="L2364" s="437"/>
      <c r="M2364" s="438"/>
      <c r="N2364" s="439"/>
      <c r="O2364" s="437"/>
      <c r="P2364" s="438"/>
      <c r="Q2364" s="442"/>
      <c r="R2364" s="443"/>
      <c r="S2364" s="364"/>
      <c r="Z2364" s="609" t="s">
        <v>925</v>
      </c>
      <c r="AA2364" s="609" t="s">
        <v>3451</v>
      </c>
    </row>
    <row r="2365" spans="1:27" ht="18">
      <c r="A2365" s="2712"/>
      <c r="B2365" s="371">
        <v>110</v>
      </c>
      <c r="C2365" s="371"/>
      <c r="D2365" s="2714">
        <f t="shared" si="248"/>
        <v>1</v>
      </c>
      <c r="E2365" s="2719">
        <v>-1</v>
      </c>
      <c r="F2365" s="293"/>
      <c r="G2365" s="578" t="s">
        <v>3357</v>
      </c>
      <c r="H2365" s="309"/>
      <c r="I2365" s="422"/>
      <c r="J2365" s="309"/>
      <c r="K2365" s="361">
        <f t="shared" si="249"/>
        <v>0</v>
      </c>
      <c r="L2365" s="437"/>
      <c r="M2365" s="438"/>
      <c r="N2365" s="439"/>
      <c r="O2365" s="437"/>
      <c r="P2365" s="438"/>
      <c r="Q2365" s="442"/>
      <c r="R2365" s="443"/>
      <c r="S2365" s="364"/>
      <c r="Z2365" s="609" t="s">
        <v>925</v>
      </c>
      <c r="AA2365" s="609" t="s">
        <v>3451</v>
      </c>
    </row>
    <row r="2366" spans="1:27" ht="24">
      <c r="A2366" s="2712"/>
      <c r="B2366" s="371">
        <v>111</v>
      </c>
      <c r="C2366" s="371"/>
      <c r="D2366" s="2714">
        <f t="shared" si="248"/>
        <v>1</v>
      </c>
      <c r="E2366" s="2719">
        <v>1</v>
      </c>
      <c r="F2366" s="293"/>
      <c r="G2366" s="1484" t="s">
        <v>5206</v>
      </c>
      <c r="H2366" s="309"/>
      <c r="I2366" s="422"/>
      <c r="J2366" s="309"/>
      <c r="K2366" s="361">
        <f t="shared" si="249"/>
        <v>0</v>
      </c>
      <c r="L2366" s="437"/>
      <c r="M2366" s="438"/>
      <c r="N2366" s="439"/>
      <c r="O2366" s="437"/>
      <c r="P2366" s="438"/>
      <c r="Q2366" s="442"/>
      <c r="R2366" s="443"/>
      <c r="S2366" s="364"/>
      <c r="Z2366" s="609" t="s">
        <v>925</v>
      </c>
      <c r="AA2366" s="609" t="s">
        <v>3451</v>
      </c>
    </row>
    <row r="2367" spans="1:27" ht="18">
      <c r="A2367" s="2712"/>
      <c r="B2367" s="371">
        <v>112</v>
      </c>
      <c r="C2367" s="371" t="s">
        <v>2791</v>
      </c>
      <c r="D2367" s="2714">
        <f t="shared" si="248"/>
        <v>0</v>
      </c>
      <c r="E2367" s="2719">
        <v>1</v>
      </c>
      <c r="F2367" s="293"/>
      <c r="G2367" s="1470" t="s">
        <v>5146</v>
      </c>
      <c r="H2367" s="309"/>
      <c r="I2367" s="422"/>
      <c r="J2367" s="309"/>
      <c r="K2367" s="361">
        <f t="shared" si="249"/>
        <v>0</v>
      </c>
      <c r="L2367" s="437"/>
      <c r="M2367" s="438"/>
      <c r="N2367" s="439"/>
      <c r="O2367" s="437"/>
      <c r="P2367" s="438"/>
      <c r="Q2367" s="442"/>
      <c r="R2367" s="443"/>
      <c r="S2367" s="364"/>
      <c r="Z2367" s="609" t="s">
        <v>925</v>
      </c>
      <c r="AA2367" s="609" t="s">
        <v>3451</v>
      </c>
    </row>
    <row r="2368" spans="1:27" ht="18.75" thickBot="1">
      <c r="A2368" s="2712"/>
      <c r="B2368" s="371"/>
      <c r="C2368" s="371"/>
      <c r="D2368" s="2714">
        <f t="shared" si="248"/>
        <v>1</v>
      </c>
      <c r="E2368" s="2719" t="s">
        <v>2751</v>
      </c>
      <c r="F2368" s="293"/>
      <c r="G2368" s="2232" t="str">
        <f>$W$2&amp;"余额"</f>
        <v>2019年12月31日余额</v>
      </c>
      <c r="H2368" s="2323">
        <f>SUMPRODUCT($E2355:$E2367,H2355:H2367)</f>
        <v>0</v>
      </c>
      <c r="I2368" s="2323">
        <f>SUMPRODUCT($E2355:$E2367,I2355:I2367)</f>
        <v>0</v>
      </c>
      <c r="J2368" s="2323">
        <f>SUMPRODUCT($E2355:$E2367,J2355:J2367)</f>
        <v>0</v>
      </c>
      <c r="K2368" s="2340">
        <f>SUMPRODUCT($E2355:$E2367,K2355:K2367)</f>
        <v>0</v>
      </c>
      <c r="L2368" s="437"/>
      <c r="M2368" s="440"/>
      <c r="N2368" s="439"/>
      <c r="O2368" s="437"/>
      <c r="P2368" s="440"/>
      <c r="Q2368" s="442"/>
      <c r="R2368" s="443"/>
      <c r="S2368" s="364"/>
      <c r="Z2368" s="609" t="s">
        <v>925</v>
      </c>
      <c r="AA2368" s="609" t="s">
        <v>3451</v>
      </c>
    </row>
    <row r="2369" spans="1:27" ht="18">
      <c r="A2369" s="2712"/>
      <c r="B2369" s="371"/>
      <c r="C2369" s="371" t="s">
        <v>2755</v>
      </c>
      <c r="D2369" s="2714"/>
      <c r="F2369" s="293"/>
      <c r="G2369" s="376"/>
      <c r="H2369" s="315"/>
      <c r="I2369" s="396"/>
      <c r="J2369" s="315"/>
      <c r="K2369" s="423"/>
      <c r="L2369" s="427"/>
      <c r="M2369" s="425"/>
      <c r="N2369" s="426"/>
      <c r="O2369" s="427"/>
      <c r="P2369" s="425"/>
      <c r="Q2369" s="442"/>
      <c r="R2369" s="443"/>
      <c r="S2369" s="364"/>
      <c r="Z2369" s="609" t="s">
        <v>925</v>
      </c>
      <c r="AA2369" s="609" t="s">
        <v>3451</v>
      </c>
    </row>
    <row r="2370" spans="1:27" ht="24">
      <c r="A2370" s="2712" t="s">
        <v>973</v>
      </c>
      <c r="B2370" s="371">
        <v>4</v>
      </c>
      <c r="C2370" s="371"/>
      <c r="D2370" s="2714" t="str">
        <f>VLOOKUP($A2370,Sheet_NoteList,2,0)</f>
        <v>因金融资产转移而终止确认的长期应收款</v>
      </c>
      <c r="E2370" s="2714" t="s">
        <v>6529</v>
      </c>
      <c r="F2370" s="294"/>
      <c r="G2370" s="372" t="str">
        <f>"("&amp;B2370&amp;")"&amp;D2370</f>
        <v>(4)因金融资产转移而终止确认的长期应收款</v>
      </c>
      <c r="H2370" s="1515" t="str">
        <f>$A2370</f>
        <v>1531c</v>
      </c>
      <c r="I2370" s="343" t="s">
        <v>5972</v>
      </c>
      <c r="J2370" s="301" t="s">
        <v>5971</v>
      </c>
      <c r="K2370" s="2208">
        <f>I2378</f>
        <v>0</v>
      </c>
      <c r="L2370" s="345"/>
      <c r="M2370" s="301"/>
      <c r="N2370" s="391"/>
      <c r="O2370" s="345"/>
      <c r="P2370" s="301"/>
      <c r="Q2370" s="290" t="str">
        <f>IF($I2370="不适用","",IF(ROUND(SUM($H$2373:$J$2378),2)=0,"请输入",""))</f>
        <v>请输入</v>
      </c>
      <c r="S2370" s="364"/>
      <c r="Z2370" s="609" t="s">
        <v>925</v>
      </c>
      <c r="AA2370" s="609" t="s">
        <v>3451</v>
      </c>
    </row>
    <row r="2371" spans="1:27" ht="0.75" customHeight="1" thickBot="1">
      <c r="A2371" s="2712"/>
      <c r="B2371" s="371"/>
      <c r="C2371" s="371"/>
      <c r="D2371" s="371"/>
      <c r="E2371" s="586"/>
      <c r="F2371" s="518"/>
      <c r="G2371" s="518" t="s">
        <v>3470</v>
      </c>
      <c r="H2371" s="304" t="s">
        <v>3060</v>
      </c>
      <c r="I2371" s="304" t="s">
        <v>3061</v>
      </c>
      <c r="J2371" s="304" t="s">
        <v>3062</v>
      </c>
      <c r="K2371" s="291"/>
      <c r="L2371" s="291"/>
      <c r="M2371" s="291"/>
      <c r="S2371" s="364"/>
      <c r="Z2371" s="609" t="s">
        <v>925</v>
      </c>
      <c r="AA2371" s="609" t="s">
        <v>3451</v>
      </c>
    </row>
    <row r="2372" spans="1:27" ht="24">
      <c r="A2372" s="2712"/>
      <c r="B2372" s="371"/>
      <c r="C2372" s="371"/>
      <c r="D2372" s="371"/>
      <c r="E2372" s="586" t="s">
        <v>2749</v>
      </c>
      <c r="F2372" s="363"/>
      <c r="G2372" s="2226" t="s">
        <v>47</v>
      </c>
      <c r="H2372" s="2280" t="s">
        <v>3068</v>
      </c>
      <c r="I2372" s="2280" t="s">
        <v>3064</v>
      </c>
      <c r="J2372" s="417" t="s">
        <v>3065</v>
      </c>
      <c r="K2372" s="355" t="s">
        <v>5280</v>
      </c>
      <c r="L2372" s="291"/>
      <c r="M2372" s="291"/>
      <c r="S2372" s="364"/>
      <c r="Z2372" s="609" t="s">
        <v>925</v>
      </c>
      <c r="AA2372" s="609" t="s">
        <v>3451</v>
      </c>
    </row>
    <row r="2373" spans="1:27" ht="18">
      <c r="A2373" s="2712"/>
      <c r="B2373" s="371">
        <v>101</v>
      </c>
      <c r="C2373" s="371" t="s">
        <v>2791</v>
      </c>
      <c r="D2373" s="2714">
        <f t="shared" ref="D2373:D2378" si="250">IF(OR(G2373="*",G2373="",G2373=0),0,COUNTIF($G$2373:$G$2378,G2373))</f>
        <v>0</v>
      </c>
      <c r="E2373" s="2719">
        <v>1</v>
      </c>
      <c r="F2373" s="294"/>
      <c r="G2373" s="2282" t="s">
        <v>2792</v>
      </c>
      <c r="H2373" s="2296"/>
      <c r="I2373" s="2273"/>
      <c r="J2373" s="2294"/>
      <c r="K2373" s="343"/>
      <c r="L2373" s="291"/>
      <c r="M2373" s="291"/>
      <c r="S2373" s="364"/>
      <c r="Z2373" s="609" t="s">
        <v>925</v>
      </c>
      <c r="AA2373" s="609" t="s">
        <v>3451</v>
      </c>
    </row>
    <row r="2374" spans="1:27" ht="18">
      <c r="A2374" s="2712"/>
      <c r="B2374" s="371">
        <v>102</v>
      </c>
      <c r="C2374" s="371" t="s">
        <v>2791</v>
      </c>
      <c r="D2374" s="2714">
        <f t="shared" si="250"/>
        <v>0</v>
      </c>
      <c r="E2374" s="2719">
        <v>1</v>
      </c>
      <c r="F2374" s="294"/>
      <c r="G2374" s="2282" t="s">
        <v>2792</v>
      </c>
      <c r="H2374" s="2296"/>
      <c r="I2374" s="2273"/>
      <c r="J2374" s="2294"/>
      <c r="K2374" s="291"/>
      <c r="L2374" s="291"/>
      <c r="M2374" s="291"/>
      <c r="S2374" s="364"/>
      <c r="Z2374" s="609" t="s">
        <v>925</v>
      </c>
      <c r="AA2374" s="609" t="s">
        <v>3451</v>
      </c>
    </row>
    <row r="2375" spans="1:27" ht="18">
      <c r="A2375" s="2712"/>
      <c r="B2375" s="371">
        <v>103</v>
      </c>
      <c r="C2375" s="371" t="s">
        <v>2791</v>
      </c>
      <c r="D2375" s="2714">
        <f t="shared" si="250"/>
        <v>0</v>
      </c>
      <c r="E2375" s="2719">
        <v>1</v>
      </c>
      <c r="F2375" s="294"/>
      <c r="G2375" s="2282" t="s">
        <v>2792</v>
      </c>
      <c r="H2375" s="2296"/>
      <c r="I2375" s="2273"/>
      <c r="J2375" s="2294"/>
      <c r="K2375" s="291"/>
      <c r="L2375" s="291"/>
      <c r="M2375" s="291"/>
      <c r="S2375" s="364"/>
      <c r="Z2375" s="609" t="s">
        <v>925</v>
      </c>
      <c r="AA2375" s="609" t="s">
        <v>3451</v>
      </c>
    </row>
    <row r="2376" spans="1:27" ht="18">
      <c r="A2376" s="2712"/>
      <c r="B2376" s="371">
        <v>104</v>
      </c>
      <c r="C2376" s="371" t="s">
        <v>2791</v>
      </c>
      <c r="D2376" s="2714">
        <f t="shared" si="250"/>
        <v>0</v>
      </c>
      <c r="E2376" s="2719">
        <v>1</v>
      </c>
      <c r="F2376" s="294"/>
      <c r="G2376" s="2282" t="s">
        <v>2792</v>
      </c>
      <c r="H2376" s="2296"/>
      <c r="I2376" s="2273"/>
      <c r="J2376" s="2294"/>
      <c r="K2376" s="291"/>
      <c r="L2376" s="291"/>
      <c r="M2376" s="291"/>
      <c r="S2376" s="364"/>
      <c r="Z2376" s="609" t="s">
        <v>925</v>
      </c>
      <c r="AA2376" s="609" t="s">
        <v>3451</v>
      </c>
    </row>
    <row r="2377" spans="1:27" ht="18">
      <c r="A2377" s="2712"/>
      <c r="B2377" s="371">
        <v>105</v>
      </c>
      <c r="C2377" s="371" t="s">
        <v>2791</v>
      </c>
      <c r="D2377" s="2714">
        <f t="shared" si="250"/>
        <v>0</v>
      </c>
      <c r="E2377" s="2719">
        <v>1</v>
      </c>
      <c r="F2377" s="294"/>
      <c r="G2377" s="2282" t="s">
        <v>2792</v>
      </c>
      <c r="H2377" s="2296"/>
      <c r="I2377" s="2273"/>
      <c r="J2377" s="2294"/>
      <c r="K2377" s="291"/>
      <c r="L2377" s="291"/>
      <c r="M2377" s="291"/>
      <c r="S2377" s="364"/>
      <c r="Z2377" s="609" t="s">
        <v>925</v>
      </c>
      <c r="AA2377" s="609" t="s">
        <v>3451</v>
      </c>
    </row>
    <row r="2378" spans="1:27" ht="18.75" thickBot="1">
      <c r="A2378" s="2712"/>
      <c r="B2378" s="371"/>
      <c r="C2378" s="371"/>
      <c r="D2378" s="2714">
        <f t="shared" si="250"/>
        <v>1</v>
      </c>
      <c r="E2378" s="2719" t="s">
        <v>2751</v>
      </c>
      <c r="F2378" s="294"/>
      <c r="G2378" s="374" t="s">
        <v>2752</v>
      </c>
      <c r="H2378" s="2259"/>
      <c r="I2378" s="1476">
        <f>SUMPRODUCT($E2372:$E2377,I2372:I2377)</f>
        <v>0</v>
      </c>
      <c r="J2378" s="1477">
        <f>SUMPRODUCT($E2372:$E2377,J2372:J2377)</f>
        <v>0</v>
      </c>
      <c r="K2378" s="291"/>
      <c r="L2378" s="291"/>
      <c r="M2378" s="291"/>
      <c r="S2378" s="364"/>
      <c r="Z2378" s="609" t="s">
        <v>925</v>
      </c>
      <c r="AA2378" s="609" t="s">
        <v>3451</v>
      </c>
    </row>
    <row r="2379" spans="1:27" ht="18">
      <c r="A2379" s="2712"/>
      <c r="B2379" s="371"/>
      <c r="C2379" s="371" t="s">
        <v>2755</v>
      </c>
      <c r="D2379" s="371"/>
      <c r="F2379" s="294"/>
      <c r="G2379" s="301"/>
      <c r="H2379" s="393"/>
      <c r="I2379" s="315"/>
      <c r="J2379" s="315"/>
      <c r="K2379" s="291"/>
      <c r="L2379" s="291"/>
      <c r="M2379" s="291"/>
      <c r="S2379" s="364"/>
      <c r="Z2379" s="609" t="s">
        <v>925</v>
      </c>
      <c r="AA2379" s="609" t="s">
        <v>3451</v>
      </c>
    </row>
    <row r="2380" spans="1:27" ht="24">
      <c r="A2380" s="2712" t="s">
        <v>959</v>
      </c>
      <c r="B2380" s="371">
        <v>5</v>
      </c>
      <c r="C2380" s="371"/>
      <c r="D2380" s="2714" t="str">
        <f>VLOOKUP($A2380,Sheet_NoteList,2,0)</f>
        <v>转移长期应收款且继续涉入形成的资产、负债金额</v>
      </c>
      <c r="E2380" s="2714" t="s">
        <v>2742</v>
      </c>
      <c r="F2380" s="293"/>
      <c r="G2380" s="372" t="str">
        <f>"("&amp;B2380&amp;")"&amp;D2380</f>
        <v>(5)转移长期应收款且继续涉入形成的资产、负债金额</v>
      </c>
      <c r="H2380" s="1515" t="str">
        <f>$A2380</f>
        <v>1531s</v>
      </c>
      <c r="I2380" s="343" t="s">
        <v>2743</v>
      </c>
      <c r="J2380" s="301" t="s">
        <v>2744</v>
      </c>
      <c r="K2380" s="2208">
        <f>H2391</f>
        <v>0</v>
      </c>
      <c r="L2380" s="349"/>
      <c r="M2380" s="301"/>
      <c r="N2380" s="391"/>
      <c r="O2380" s="349"/>
      <c r="P2380" s="301"/>
      <c r="S2380" s="364"/>
      <c r="Z2380" s="609" t="s">
        <v>925</v>
      </c>
      <c r="AA2380" s="609" t="s">
        <v>3451</v>
      </c>
    </row>
    <row r="2381" spans="1:27" ht="0.75" customHeight="1" thickBot="1">
      <c r="A2381" s="2712"/>
      <c r="B2381" s="371"/>
      <c r="C2381" s="371"/>
      <c r="D2381" s="2714"/>
      <c r="E2381" s="586"/>
      <c r="F2381" s="586"/>
      <c r="G2381" s="2222" t="s">
        <v>3467</v>
      </c>
      <c r="H2381" s="371" t="s">
        <v>3067</v>
      </c>
      <c r="I2381" s="371" t="s">
        <v>2748</v>
      </c>
      <c r="J2381" s="371" t="s">
        <v>2948</v>
      </c>
      <c r="K2381" s="428"/>
      <c r="L2381" s="428"/>
      <c r="M2381" s="433"/>
      <c r="N2381" s="428"/>
      <c r="O2381" s="428"/>
      <c r="P2381" s="433"/>
      <c r="Q2381" s="442"/>
      <c r="R2381" s="443"/>
      <c r="S2381" s="364"/>
      <c r="Z2381" s="609" t="s">
        <v>925</v>
      </c>
      <c r="AA2381" s="609" t="s">
        <v>3451</v>
      </c>
    </row>
    <row r="2382" spans="1:27" ht="24">
      <c r="A2382" s="2712"/>
      <c r="B2382" s="371"/>
      <c r="C2382" s="371"/>
      <c r="D2382" s="2714"/>
      <c r="E2382" s="586" t="s">
        <v>2749</v>
      </c>
      <c r="F2382" s="414"/>
      <c r="G2382" s="2226" t="s">
        <v>5132</v>
      </c>
      <c r="H2382" s="2280" t="s">
        <v>3068</v>
      </c>
      <c r="I2382" s="2280" t="s">
        <v>3069</v>
      </c>
      <c r="J2382" s="417" t="s">
        <v>3070</v>
      </c>
      <c r="K2382" s="355" t="s">
        <v>5280</v>
      </c>
      <c r="L2382" s="434"/>
      <c r="M2382" s="435"/>
      <c r="N2382" s="434"/>
      <c r="O2382" s="434"/>
      <c r="P2382" s="435"/>
      <c r="Q2382" s="442"/>
      <c r="R2382" s="443"/>
      <c r="S2382" s="364"/>
      <c r="Z2382" s="609" t="s">
        <v>925</v>
      </c>
      <c r="AA2382" s="609" t="s">
        <v>3451</v>
      </c>
    </row>
    <row r="2383" spans="1:27" ht="18">
      <c r="A2383" s="2712"/>
      <c r="B2383" s="371">
        <v>101</v>
      </c>
      <c r="C2383" s="371" t="s">
        <v>2791</v>
      </c>
      <c r="D2383" s="2714">
        <f t="shared" ref="D2383:D2391" si="251">IF(OR(G2383="*",G2383="",G2383=0),0,COUNTIF($G$2383:$G$2391,G2383))</f>
        <v>0</v>
      </c>
      <c r="E2383" s="2719">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8">
      <c r="A2384" s="2712"/>
      <c r="B2384" s="371">
        <v>102</v>
      </c>
      <c r="C2384" s="371" t="s">
        <v>2791</v>
      </c>
      <c r="D2384" s="2714">
        <f t="shared" si="251"/>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2"/>
      <c r="B2385" s="371">
        <v>103</v>
      </c>
      <c r="C2385" s="371" t="s">
        <v>2791</v>
      </c>
      <c r="D2385" s="2714">
        <f t="shared" si="251"/>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2"/>
      <c r="B2386" s="371">
        <v>104</v>
      </c>
      <c r="C2386" s="371" t="s">
        <v>2791</v>
      </c>
      <c r="D2386" s="2714">
        <f t="shared" si="251"/>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2"/>
      <c r="B2387" s="371">
        <v>105</v>
      </c>
      <c r="C2387" s="371" t="s">
        <v>2791</v>
      </c>
      <c r="D2387" s="2714">
        <f t="shared" si="251"/>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106</v>
      </c>
      <c r="C2388" s="371" t="s">
        <v>2791</v>
      </c>
      <c r="D2388" s="2714">
        <f t="shared" si="251"/>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
      <c r="A2389" s="2712"/>
      <c r="B2389" s="371">
        <v>107</v>
      </c>
      <c r="C2389" s="371" t="s">
        <v>2791</v>
      </c>
      <c r="D2389" s="2714">
        <f t="shared" si="251"/>
        <v>0</v>
      </c>
      <c r="E2389" s="2719">
        <v>1</v>
      </c>
      <c r="F2389" s="293"/>
      <c r="G2389" s="2282" t="s">
        <v>2792</v>
      </c>
      <c r="H2389" s="2296"/>
      <c r="I2389" s="2273"/>
      <c r="J2389" s="2294"/>
      <c r="K2389" s="439"/>
      <c r="L2389" s="437"/>
      <c r="M2389" s="438"/>
      <c r="N2389" s="439"/>
      <c r="O2389" s="437"/>
      <c r="P2389" s="438"/>
      <c r="Q2389" s="442"/>
      <c r="R2389" s="443"/>
      <c r="S2389" s="364"/>
      <c r="Z2389" s="609" t="s">
        <v>925</v>
      </c>
      <c r="AA2389" s="609" t="s">
        <v>3451</v>
      </c>
    </row>
    <row r="2390" spans="1:27" ht="18">
      <c r="A2390" s="2712"/>
      <c r="B2390" s="371">
        <v>108</v>
      </c>
      <c r="C2390" s="371" t="s">
        <v>2791</v>
      </c>
      <c r="D2390" s="2714">
        <f t="shared" si="251"/>
        <v>0</v>
      </c>
      <c r="E2390" s="2719">
        <v>1</v>
      </c>
      <c r="F2390" s="293"/>
      <c r="G2390" s="2282" t="s">
        <v>2792</v>
      </c>
      <c r="H2390" s="2296"/>
      <c r="I2390" s="2273"/>
      <c r="J2390" s="2294"/>
      <c r="K2390" s="439"/>
      <c r="L2390" s="437"/>
      <c r="M2390" s="438"/>
      <c r="N2390" s="439"/>
      <c r="O2390" s="437"/>
      <c r="P2390" s="438"/>
      <c r="Q2390" s="442"/>
      <c r="R2390" s="443"/>
      <c r="S2390" s="364"/>
      <c r="Z2390" s="609" t="s">
        <v>925</v>
      </c>
      <c r="AA2390" s="609" t="s">
        <v>3451</v>
      </c>
    </row>
    <row r="2391" spans="1:27" ht="18.75" thickBot="1">
      <c r="A2391" s="2712"/>
      <c r="B2391" s="371"/>
      <c r="C2391" s="371"/>
      <c r="D2391" s="2714">
        <f t="shared" si="251"/>
        <v>1</v>
      </c>
      <c r="E2391" s="2719" t="s">
        <v>2751</v>
      </c>
      <c r="F2391" s="293"/>
      <c r="G2391" s="374" t="s">
        <v>2752</v>
      </c>
      <c r="H2391" s="2259"/>
      <c r="I2391" s="1476">
        <f>SUMPRODUCT($E2382:$E2390,I2382:I2390)</f>
        <v>0</v>
      </c>
      <c r="J2391" s="1477">
        <f>SUMPRODUCT($E2382:$E2390,J2382:J2390)</f>
        <v>0</v>
      </c>
      <c r="K2391" s="439"/>
      <c r="L2391" s="437"/>
      <c r="M2391" s="440"/>
      <c r="N2391" s="439"/>
      <c r="O2391" s="437"/>
      <c r="P2391" s="440"/>
      <c r="Q2391" s="442"/>
      <c r="R2391" s="443"/>
      <c r="S2391" s="364"/>
      <c r="Z2391" s="609" t="s">
        <v>925</v>
      </c>
      <c r="AA2391" s="609" t="s">
        <v>3451</v>
      </c>
    </row>
    <row r="2392" spans="1:27" ht="18">
      <c r="A2392" s="2712"/>
      <c r="B2392" s="371"/>
      <c r="C2392" s="371" t="s">
        <v>2755</v>
      </c>
      <c r="D2392" s="2714"/>
      <c r="F2392" s="293"/>
      <c r="G2392" s="376"/>
      <c r="H2392" s="393"/>
      <c r="I2392" s="396"/>
      <c r="J2392" s="315"/>
      <c r="K2392" s="426"/>
      <c r="L2392" s="427"/>
      <c r="M2392" s="425"/>
      <c r="N2392" s="426"/>
      <c r="O2392" s="427"/>
      <c r="P2392" s="425"/>
      <c r="Q2392" s="442"/>
      <c r="R2392" s="443"/>
      <c r="S2392" s="364"/>
      <c r="Z2392" s="609" t="s">
        <v>925</v>
      </c>
      <c r="AA2392" s="609" t="s">
        <v>3451</v>
      </c>
    </row>
    <row r="2393" spans="1:27" ht="18">
      <c r="A2393" s="2712" t="s">
        <v>969</v>
      </c>
      <c r="B2393" s="371">
        <v>6</v>
      </c>
      <c r="C2393" s="371"/>
      <c r="D2393" s="2714" t="str">
        <f>VLOOKUP($A2393,Sheet_NoteList,2,0)</f>
        <v>长期应收款逾期情况分析</v>
      </c>
      <c r="E2393" s="2714" t="s">
        <v>6529</v>
      </c>
      <c r="F2393" s="294"/>
      <c r="G2393" s="307" t="str">
        <f>"("&amp;B2393&amp;")"&amp;D2393</f>
        <v>(6)长期应收款逾期情况分析</v>
      </c>
      <c r="H2393" s="1515" t="str">
        <f>$A2393</f>
        <v>1531b</v>
      </c>
      <c r="I2393" s="343" t="s">
        <v>5963</v>
      </c>
      <c r="J2393" s="301" t="s">
        <v>5961</v>
      </c>
      <c r="K2393" s="2208">
        <f>H2401</f>
        <v>0</v>
      </c>
      <c r="L2393" s="345" t="str">
        <f>IF($I2393="适用",IF(ROUND(K$2203-K2393,2)=0,"F/S",ROUND(K$2203-K2393,2)),"#N/A")</f>
        <v>F/S</v>
      </c>
      <c r="M2393" s="301" t="s">
        <v>5962</v>
      </c>
      <c r="N2393" s="2208">
        <f>I2401</f>
        <v>0</v>
      </c>
      <c r="O2393" s="345" t="str">
        <f>IF($I2393="适用",IF(ROUND(N$2203-N2393,2)=0,"F/S",ROUND(N$2203-N2393,2)),"#N/A")</f>
        <v>F/S</v>
      </c>
      <c r="P2393" s="301"/>
      <c r="Q2393" s="290" t="str">
        <f>IF($I2393="不适用","",IF(ROUND(SUM($H$2396:$I$2401),2)=0,"请输入",""))</f>
        <v>请输入</v>
      </c>
      <c r="S2393" s="364"/>
      <c r="Z2393" s="609" t="s">
        <v>925</v>
      </c>
      <c r="AA2393" s="609" t="s">
        <v>3451</v>
      </c>
    </row>
    <row r="2394" spans="1:27" ht="0.75" customHeight="1" thickBot="1">
      <c r="A2394" s="2712"/>
      <c r="B2394" s="371"/>
      <c r="C2394" s="371"/>
      <c r="D2394" s="371"/>
      <c r="E2394" s="586"/>
      <c r="F2394" s="518"/>
      <c r="G2394" s="518" t="s">
        <v>3468</v>
      </c>
      <c r="H2394" s="304" t="s">
        <v>2747</v>
      </c>
      <c r="I2394" s="304" t="s">
        <v>2748</v>
      </c>
      <c r="J2394" s="291"/>
      <c r="K2394" s="291"/>
      <c r="L2394" s="291"/>
      <c r="M2394" s="291"/>
      <c r="S2394" s="364"/>
      <c r="Z2394" s="609" t="s">
        <v>925</v>
      </c>
      <c r="AA2394" s="609" t="s">
        <v>3451</v>
      </c>
    </row>
    <row r="2395" spans="1:27" ht="18">
      <c r="A2395" s="2712"/>
      <c r="B2395" s="371"/>
      <c r="C2395" s="371"/>
      <c r="D2395" s="371"/>
      <c r="E2395" s="586" t="s">
        <v>2749</v>
      </c>
      <c r="F2395" s="363"/>
      <c r="G2395" s="2286" t="s">
        <v>3469</v>
      </c>
      <c r="H2395" s="2288" t="s">
        <v>2775</v>
      </c>
      <c r="I2395" s="2279" t="s">
        <v>2776</v>
      </c>
      <c r="J2395" s="355" t="s">
        <v>6174</v>
      </c>
      <c r="K2395" s="291"/>
      <c r="L2395" s="291"/>
      <c r="M2395" s="291"/>
      <c r="S2395" s="364"/>
      <c r="Z2395" s="609" t="s">
        <v>925</v>
      </c>
      <c r="AA2395" s="609" t="s">
        <v>3451</v>
      </c>
    </row>
    <row r="2396" spans="1:27" ht="18">
      <c r="A2396" s="2712"/>
      <c r="B2396" s="371">
        <v>101</v>
      </c>
      <c r="C2396" s="371"/>
      <c r="D2396" s="2714">
        <f t="shared" ref="D2396:D2401" si="252">IF(OR(G2396="*",G2396="",G2396=0),0,COUNTIF($G$2396:$G$2401,G2396))</f>
        <v>1</v>
      </c>
      <c r="E2396" s="2719">
        <v>1</v>
      </c>
      <c r="F2396" s="294"/>
      <c r="G2396" s="1472" t="s">
        <v>2938</v>
      </c>
      <c r="H2396" s="2273"/>
      <c r="I2396" s="2294"/>
      <c r="J2396" s="291"/>
      <c r="K2396" s="291"/>
      <c r="L2396" s="291"/>
      <c r="M2396" s="291"/>
      <c r="S2396" s="364"/>
      <c r="Z2396" s="609" t="s">
        <v>925</v>
      </c>
      <c r="AA2396" s="609" t="s">
        <v>3451</v>
      </c>
    </row>
    <row r="2397" spans="1:27" ht="18">
      <c r="A2397" s="2712"/>
      <c r="B2397" s="371">
        <v>102</v>
      </c>
      <c r="C2397" s="371"/>
      <c r="D2397" s="2714">
        <f t="shared" si="252"/>
        <v>1</v>
      </c>
      <c r="E2397" s="2719">
        <v>1</v>
      </c>
      <c r="F2397" s="294"/>
      <c r="G2397" s="1472" t="s">
        <v>2940</v>
      </c>
      <c r="H2397" s="2273"/>
      <c r="I2397" s="2294"/>
      <c r="J2397" s="291"/>
      <c r="K2397" s="291"/>
      <c r="L2397" s="291"/>
      <c r="M2397" s="291"/>
      <c r="S2397" s="364"/>
      <c r="Z2397" s="609" t="s">
        <v>925</v>
      </c>
      <c r="AA2397" s="609" t="s">
        <v>3451</v>
      </c>
    </row>
    <row r="2398" spans="1:27" ht="18">
      <c r="A2398" s="2712"/>
      <c r="B2398" s="371">
        <v>103</v>
      </c>
      <c r="C2398" s="371"/>
      <c r="D2398" s="2714">
        <f t="shared" si="252"/>
        <v>1</v>
      </c>
      <c r="E2398" s="2719">
        <v>1</v>
      </c>
      <c r="F2398" s="294"/>
      <c r="G2398" s="1472" t="s">
        <v>2941</v>
      </c>
      <c r="H2398" s="2273"/>
      <c r="I2398" s="2294"/>
      <c r="J2398" s="291"/>
      <c r="K2398" s="291"/>
      <c r="L2398" s="291"/>
      <c r="M2398" s="291"/>
      <c r="S2398" s="364"/>
      <c r="Z2398" s="609" t="s">
        <v>925</v>
      </c>
      <c r="AA2398" s="609" t="s">
        <v>3451</v>
      </c>
    </row>
    <row r="2399" spans="1:27" ht="18">
      <c r="A2399" s="2712"/>
      <c r="B2399" s="371">
        <v>104</v>
      </c>
      <c r="C2399" s="371" t="s">
        <v>2791</v>
      </c>
      <c r="D2399" s="2714">
        <f t="shared" si="252"/>
        <v>1</v>
      </c>
      <c r="E2399" s="2719">
        <v>1</v>
      </c>
      <c r="F2399" s="294"/>
      <c r="G2399" s="2282" t="s">
        <v>3108</v>
      </c>
      <c r="H2399" s="2273"/>
      <c r="I2399" s="2294"/>
      <c r="J2399" s="291"/>
      <c r="K2399" s="291"/>
      <c r="L2399" s="291"/>
      <c r="M2399" s="291"/>
      <c r="S2399" s="364"/>
      <c r="Z2399" s="609" t="s">
        <v>925</v>
      </c>
      <c r="AA2399" s="609" t="s">
        <v>3451</v>
      </c>
    </row>
    <row r="2400" spans="1:27" ht="18">
      <c r="A2400" s="2712"/>
      <c r="B2400" s="371">
        <v>105</v>
      </c>
      <c r="C2400" s="371" t="s">
        <v>2791</v>
      </c>
      <c r="D2400" s="2714">
        <f t="shared" si="252"/>
        <v>0</v>
      </c>
      <c r="E2400" s="2719">
        <v>1</v>
      </c>
      <c r="F2400" s="294"/>
      <c r="G2400" s="2282" t="s">
        <v>2792</v>
      </c>
      <c r="H2400" s="2273"/>
      <c r="I2400" s="2294"/>
      <c r="J2400" s="291"/>
      <c r="K2400" s="291"/>
      <c r="L2400" s="291"/>
      <c r="M2400" s="291"/>
      <c r="S2400" s="364"/>
      <c r="Z2400" s="609" t="s">
        <v>925</v>
      </c>
      <c r="AA2400" s="609" t="s">
        <v>3451</v>
      </c>
    </row>
    <row r="2401" spans="1:27" ht="18.75" thickBot="1">
      <c r="A2401" s="2712"/>
      <c r="B2401" s="371"/>
      <c r="C2401" s="371"/>
      <c r="D2401" s="2714">
        <f t="shared" si="252"/>
        <v>1</v>
      </c>
      <c r="E2401" s="2719" t="s">
        <v>2751</v>
      </c>
      <c r="F2401" s="294"/>
      <c r="G2401" s="1527" t="s">
        <v>2752</v>
      </c>
      <c r="H2401" s="1525">
        <f>SUMPRODUCT($E2395:$E2400,H2395:H2400)</f>
        <v>0</v>
      </c>
      <c r="I2401" s="1526">
        <f>SUMPRODUCT($E2395:$E2400,I2395:I2400)</f>
        <v>0</v>
      </c>
      <c r="J2401" s="291"/>
      <c r="K2401" s="291"/>
      <c r="L2401" s="291"/>
      <c r="M2401" s="291"/>
      <c r="S2401" s="364"/>
      <c r="Z2401" s="609" t="s">
        <v>925</v>
      </c>
      <c r="AA2401" s="609" t="s">
        <v>3451</v>
      </c>
    </row>
    <row r="2402" spans="1:27" ht="18">
      <c r="A2402" s="2712"/>
      <c r="B2402" s="371"/>
      <c r="C2402" s="371" t="s">
        <v>2755</v>
      </c>
      <c r="D2402" s="371"/>
      <c r="F2402" s="294"/>
      <c r="G2402" s="301"/>
      <c r="H2402" s="315"/>
      <c r="I2402" s="315"/>
      <c r="J2402" s="291"/>
      <c r="K2402" s="291"/>
      <c r="L2402" s="291"/>
      <c r="M2402" s="291"/>
      <c r="S2402" s="364"/>
      <c r="Z2402" s="609" t="s">
        <v>925</v>
      </c>
      <c r="AA2402" s="609" t="s">
        <v>3451</v>
      </c>
    </row>
    <row r="2403" spans="1:27" ht="18">
      <c r="A2403" s="2712" t="s">
        <v>977</v>
      </c>
      <c r="B2403" s="371">
        <v>7</v>
      </c>
      <c r="C2403" s="371"/>
      <c r="D2403" s="2714" t="str">
        <f>VLOOKUP($A2403,Sheet_NoteList,2,0)</f>
        <v>外币长期应收款</v>
      </c>
      <c r="E2403" s="2714" t="s">
        <v>6529</v>
      </c>
      <c r="F2403" s="294"/>
      <c r="G2403" s="372" t="str">
        <f>"("&amp;B2403&amp;")"&amp;D2403</f>
        <v>(7)外币长期应收款</v>
      </c>
      <c r="H2403" s="1515" t="str">
        <f>$A2403</f>
        <v>1531f</v>
      </c>
      <c r="I2403" s="343" t="s">
        <v>5580</v>
      </c>
      <c r="J2403" s="301" t="s">
        <v>5581</v>
      </c>
      <c r="K2403" s="2208">
        <f>J2411</f>
        <v>0</v>
      </c>
      <c r="L2403" s="345"/>
      <c r="M2403" s="301"/>
      <c r="N2403" s="391"/>
      <c r="O2403" s="345"/>
      <c r="P2403" s="301"/>
      <c r="Q2403" s="290" t="str">
        <f>IF($I2403="不适用","",IF(ROUND(SUM($H$2406:$J$2411),2)=0,"请输入",""))</f>
        <v>请输入</v>
      </c>
      <c r="S2403" s="364"/>
      <c r="Z2403" s="609" t="s">
        <v>925</v>
      </c>
      <c r="AA2403" s="609" t="s">
        <v>3451</v>
      </c>
    </row>
    <row r="2404" spans="1:27" ht="0.75" customHeight="1" thickBot="1">
      <c r="A2404" s="2712"/>
      <c r="B2404" s="371"/>
      <c r="C2404" s="371"/>
      <c r="D2404" s="371"/>
      <c r="F2404" s="304"/>
      <c r="G2404" s="304" t="s">
        <v>3471</v>
      </c>
      <c r="H2404" s="304" t="s">
        <v>3073</v>
      </c>
      <c r="I2404" s="304" t="s">
        <v>3074</v>
      </c>
      <c r="J2404" s="304" t="s">
        <v>3075</v>
      </c>
      <c r="K2404" s="387"/>
      <c r="L2404" s="387"/>
      <c r="M2404" s="387"/>
      <c r="N2404" s="291"/>
      <c r="O2404" s="291"/>
      <c r="P2404" s="291"/>
      <c r="Q2404" s="367"/>
      <c r="R2404" s="367"/>
      <c r="S2404" s="364"/>
      <c r="Z2404" s="609" t="s">
        <v>925</v>
      </c>
      <c r="AA2404" s="609" t="s">
        <v>3451</v>
      </c>
    </row>
    <row r="2405" spans="1:27" ht="24">
      <c r="A2405" s="2712"/>
      <c r="B2405" s="371"/>
      <c r="C2405" s="371"/>
      <c r="D2405" s="371"/>
      <c r="E2405" s="2714" t="s">
        <v>2749</v>
      </c>
      <c r="F2405" s="294"/>
      <c r="G2405" s="1627" t="s">
        <v>1371</v>
      </c>
      <c r="H2405" s="1625" t="s">
        <v>3076</v>
      </c>
      <c r="I2405" s="1625" t="s">
        <v>3077</v>
      </c>
      <c r="J2405" s="1626" t="s">
        <v>3078</v>
      </c>
      <c r="K2405" s="355" t="s">
        <v>5602</v>
      </c>
      <c r="L2405" s="291"/>
      <c r="M2405" s="291"/>
      <c r="N2405" s="291"/>
      <c r="O2405" s="291"/>
      <c r="P2405" s="291"/>
      <c r="Q2405" s="367"/>
      <c r="R2405" s="367"/>
      <c r="S2405" s="364"/>
      <c r="Z2405" s="609" t="s">
        <v>925</v>
      </c>
      <c r="AA2405" s="609" t="s">
        <v>3451</v>
      </c>
    </row>
    <row r="2406" spans="1:27" ht="18">
      <c r="A2406" s="2712"/>
      <c r="B2406" s="371">
        <v>101</v>
      </c>
      <c r="C2406" s="371" t="s">
        <v>2791</v>
      </c>
      <c r="D2406" s="2714">
        <f t="shared" ref="D2406:D2411" si="253">IF(OR(G2406="*",G2406="",G2406=0),0,COUNTIF($G$2406:$G$2411,G2406))</f>
        <v>1</v>
      </c>
      <c r="E2406" s="2719">
        <v>1</v>
      </c>
      <c r="F2406" s="294"/>
      <c r="G2406" s="1624" t="s">
        <v>3079</v>
      </c>
      <c r="H2406" s="309"/>
      <c r="I2406" s="360"/>
      <c r="J2406" s="346"/>
      <c r="K2406" s="355" t="s">
        <v>5362</v>
      </c>
      <c r="L2406" s="1520" t="s">
        <v>5363</v>
      </c>
      <c r="M2406" s="291"/>
      <c r="N2406" s="291"/>
      <c r="O2406" s="291"/>
      <c r="P2406" s="291"/>
      <c r="Q2406" s="367"/>
      <c r="R2406" s="367"/>
      <c r="S2406" s="364"/>
      <c r="Z2406" s="609" t="s">
        <v>925</v>
      </c>
      <c r="AA2406" s="609" t="s">
        <v>3451</v>
      </c>
    </row>
    <row r="2407" spans="1:27" ht="18">
      <c r="A2407" s="2712"/>
      <c r="B2407" s="371">
        <v>102</v>
      </c>
      <c r="C2407" s="371" t="s">
        <v>2791</v>
      </c>
      <c r="D2407" s="2714">
        <f t="shared" si="253"/>
        <v>1</v>
      </c>
      <c r="E2407" s="2719">
        <v>1</v>
      </c>
      <c r="F2407" s="294"/>
      <c r="G2407" s="1624" t="s">
        <v>3080</v>
      </c>
      <c r="H2407" s="309"/>
      <c r="I2407" s="360"/>
      <c r="J2407" s="346"/>
      <c r="K2407" s="291"/>
      <c r="L2407" s="291"/>
      <c r="M2407" s="291"/>
      <c r="N2407" s="291"/>
      <c r="O2407" s="291"/>
      <c r="P2407" s="291"/>
      <c r="Q2407" s="367"/>
      <c r="R2407" s="367"/>
      <c r="S2407" s="364"/>
      <c r="Z2407" s="609" t="s">
        <v>925</v>
      </c>
      <c r="AA2407" s="609" t="s">
        <v>3451</v>
      </c>
    </row>
    <row r="2408" spans="1:27" ht="18">
      <c r="A2408" s="2712"/>
      <c r="B2408" s="371">
        <v>103</v>
      </c>
      <c r="C2408" s="371" t="s">
        <v>2791</v>
      </c>
      <c r="D2408" s="2714">
        <f t="shared" si="253"/>
        <v>1</v>
      </c>
      <c r="E2408" s="2719">
        <v>1</v>
      </c>
      <c r="F2408" s="294"/>
      <c r="G2408" s="1624" t="s">
        <v>3081</v>
      </c>
      <c r="H2408" s="309"/>
      <c r="I2408" s="360"/>
      <c r="J2408" s="346"/>
      <c r="K2408" s="291"/>
      <c r="L2408" s="291"/>
      <c r="M2408" s="291"/>
      <c r="N2408" s="291"/>
      <c r="O2408" s="291"/>
      <c r="P2408" s="291"/>
      <c r="Q2408" s="367"/>
      <c r="R2408" s="367"/>
      <c r="S2408" s="364"/>
      <c r="Z2408" s="609" t="s">
        <v>925</v>
      </c>
      <c r="AA2408" s="609" t="s">
        <v>3451</v>
      </c>
    </row>
    <row r="2409" spans="1:27" ht="18">
      <c r="A2409" s="2712"/>
      <c r="B2409" s="371">
        <v>104</v>
      </c>
      <c r="C2409" s="371" t="s">
        <v>2791</v>
      </c>
      <c r="D2409" s="2714">
        <f t="shared" si="253"/>
        <v>0</v>
      </c>
      <c r="E2409" s="2719">
        <v>1</v>
      </c>
      <c r="F2409" s="294"/>
      <c r="G2409" s="1624" t="s">
        <v>2792</v>
      </c>
      <c r="H2409" s="309"/>
      <c r="I2409" s="360"/>
      <c r="J2409" s="346"/>
      <c r="K2409" s="291"/>
      <c r="L2409" s="291"/>
      <c r="M2409" s="291"/>
      <c r="N2409" s="291"/>
      <c r="O2409" s="291"/>
      <c r="P2409" s="291"/>
      <c r="Q2409" s="367"/>
      <c r="R2409" s="367"/>
      <c r="S2409" s="364"/>
      <c r="Z2409" s="609" t="s">
        <v>925</v>
      </c>
      <c r="AA2409" s="609" t="s">
        <v>3451</v>
      </c>
    </row>
    <row r="2410" spans="1:27" ht="18">
      <c r="A2410" s="2712"/>
      <c r="B2410" s="371">
        <v>105</v>
      </c>
      <c r="C2410" s="371" t="s">
        <v>2791</v>
      </c>
      <c r="D2410" s="2714">
        <f t="shared" si="253"/>
        <v>0</v>
      </c>
      <c r="E2410" s="2719">
        <v>1</v>
      </c>
      <c r="F2410" s="294"/>
      <c r="G2410" s="1624" t="s">
        <v>2792</v>
      </c>
      <c r="H2410" s="309"/>
      <c r="I2410" s="360"/>
      <c r="J2410" s="346"/>
      <c r="K2410" s="291"/>
      <c r="L2410" s="291"/>
      <c r="M2410" s="291"/>
      <c r="N2410" s="291"/>
      <c r="O2410" s="291"/>
      <c r="P2410" s="291"/>
      <c r="Q2410" s="367"/>
      <c r="R2410" s="367"/>
      <c r="S2410" s="364"/>
      <c r="Z2410" s="609" t="s">
        <v>925</v>
      </c>
      <c r="AA2410" s="609" t="s">
        <v>3451</v>
      </c>
    </row>
    <row r="2411" spans="1:27" ht="18.75" thickBot="1">
      <c r="A2411" s="2712"/>
      <c r="B2411" s="371"/>
      <c r="C2411" s="371"/>
      <c r="D2411" s="2714">
        <f t="shared" si="253"/>
        <v>1</v>
      </c>
      <c r="E2411" s="2719" t="s">
        <v>2751</v>
      </c>
      <c r="F2411" s="294"/>
      <c r="G2411" s="1527" t="s">
        <v>2752</v>
      </c>
      <c r="H2411" s="1523"/>
      <c r="I2411" s="1524"/>
      <c r="J2411" s="1526">
        <f>SUMPRODUCT($E2405:$E2410,J2405:J2410)</f>
        <v>0</v>
      </c>
      <c r="K2411" s="291"/>
      <c r="L2411" s="291"/>
      <c r="M2411" s="291"/>
      <c r="N2411" s="291"/>
      <c r="O2411" s="291"/>
      <c r="P2411" s="291"/>
      <c r="Q2411" s="367"/>
      <c r="R2411" s="367"/>
      <c r="S2411" s="364"/>
      <c r="Z2411" s="609" t="s">
        <v>925</v>
      </c>
      <c r="AA2411" s="609" t="s">
        <v>3451</v>
      </c>
    </row>
    <row r="2412" spans="1:27" ht="18">
      <c r="A2412" s="2712"/>
      <c r="B2412" s="371"/>
      <c r="C2412" s="371" t="s">
        <v>2755</v>
      </c>
      <c r="D2412" s="371"/>
      <c r="F2412" s="294"/>
      <c r="G2412" s="301"/>
      <c r="H2412" s="315"/>
      <c r="I2412" s="393"/>
      <c r="J2412" s="315"/>
      <c r="K2412" s="291"/>
      <c r="L2412" s="291"/>
      <c r="M2412" s="291"/>
      <c r="N2412" s="291"/>
      <c r="O2412" s="291"/>
      <c r="P2412" s="291"/>
      <c r="Q2412" s="367"/>
      <c r="R2412" s="367"/>
      <c r="S2412" s="364"/>
      <c r="Z2412" s="609" t="s">
        <v>925</v>
      </c>
      <c r="AA2412" s="609" t="s">
        <v>3451</v>
      </c>
    </row>
    <row r="2413" spans="1:27" ht="18">
      <c r="A2413" s="2712">
        <v>1511</v>
      </c>
      <c r="B2413" s="371">
        <v>19</v>
      </c>
      <c r="C2413" s="2714" t="str">
        <f>VLOOKUP($A2413,Sheet_Items,2,0)</f>
        <v>长期股权投资</v>
      </c>
      <c r="D2413" s="371"/>
      <c r="E2413" s="2714" t="s">
        <v>2739</v>
      </c>
      <c r="F2413" s="294"/>
      <c r="G2413" s="305" t="str">
        <f>B2413&amp;" "&amp;C2413</f>
        <v>19 长期股权投资</v>
      </c>
      <c r="H2413" s="306"/>
      <c r="I2413" s="306"/>
      <c r="J2413" s="306" t="s">
        <v>2740</v>
      </c>
      <c r="K2413" s="341">
        <f>VLOOKUP($A2413,Sheet_Trialbal,6,0)</f>
        <v>0</v>
      </c>
      <c r="L2413" s="342"/>
      <c r="M2413" s="306" t="s">
        <v>2741</v>
      </c>
      <c r="N2413" s="341">
        <f>VLOOKUP($A2413,Sheet_Trialbal,10,0)</f>
        <v>0</v>
      </c>
      <c r="O2413" s="306"/>
      <c r="P2413" s="301"/>
      <c r="S2413" s="364"/>
      <c r="Z2413" s="609" t="s">
        <v>983</v>
      </c>
      <c r="AA2413" s="609" t="s">
        <v>5660</v>
      </c>
    </row>
    <row r="2414" spans="1:27" ht="18">
      <c r="A2414" s="2712" t="s">
        <v>5619</v>
      </c>
      <c r="B2414" s="371">
        <v>1</v>
      </c>
      <c r="C2414" s="371"/>
      <c r="D2414" s="2714" t="str">
        <f>VLOOKUP($A2414,Sheet_NoteList,2,0)</f>
        <v>长期股权投资情况</v>
      </c>
      <c r="E2414" s="2714" t="s">
        <v>6528</v>
      </c>
      <c r="F2414" s="293"/>
      <c r="G2414" s="372" t="str">
        <f>"("&amp;B2414&amp;")"&amp;D2414</f>
        <v>(1)长期股权投资情况</v>
      </c>
      <c r="H2414" s="1515" t="str">
        <f>$A2414</f>
        <v>1511c</v>
      </c>
      <c r="I2414" s="343" t="s">
        <v>5861</v>
      </c>
      <c r="J2414" s="301" t="s">
        <v>5862</v>
      </c>
      <c r="K2414" s="2208">
        <f>H2424</f>
        <v>0</v>
      </c>
      <c r="L2414" s="349" t="str">
        <f>IF($I2414="适用",IF(ROUND(K$2413-K2414,2)=0,"F/S",ROUND(K$2413-K2414,2)),"#N/A")</f>
        <v>F/S</v>
      </c>
      <c r="M2414" s="301" t="s">
        <v>5863</v>
      </c>
      <c r="N2414" s="2208">
        <f>I2424</f>
        <v>0</v>
      </c>
      <c r="O2414" s="349" t="str">
        <f>IF($I2414="适用",IF(ROUND(N$2413-N2414,2)=0,"F/S",ROUND(N$2413-N2414,2)),"#N/A")</f>
        <v>F/S</v>
      </c>
      <c r="P2414" s="301"/>
      <c r="S2414" s="364"/>
      <c r="Z2414" s="609" t="s">
        <v>983</v>
      </c>
      <c r="AA2414" s="609" t="s">
        <v>5660</v>
      </c>
    </row>
    <row r="2415" spans="1:27" ht="0.75" customHeight="1">
      <c r="A2415" s="2712"/>
      <c r="B2415" s="371"/>
      <c r="C2415" s="371"/>
      <c r="D2415" s="2714"/>
      <c r="F2415" s="371"/>
      <c r="G2415" s="405" t="s">
        <v>5864</v>
      </c>
      <c r="H2415" s="371" t="s">
        <v>2882</v>
      </c>
      <c r="I2415" s="371" t="s">
        <v>3365</v>
      </c>
      <c r="J2415" s="371" t="s">
        <v>3208</v>
      </c>
      <c r="K2415" s="371" t="s">
        <v>3209</v>
      </c>
      <c r="L2415" s="371" t="s">
        <v>3366</v>
      </c>
      <c r="M2415" s="371" t="s">
        <v>3211</v>
      </c>
      <c r="N2415" s="391"/>
      <c r="O2415" s="349"/>
      <c r="P2415" s="301"/>
      <c r="S2415" s="364"/>
      <c r="Z2415" s="609" t="s">
        <v>983</v>
      </c>
      <c r="AA2415" s="609" t="s">
        <v>5660</v>
      </c>
    </row>
    <row r="2416" spans="1:27" ht="0.75" customHeight="1" thickBot="1">
      <c r="A2416" s="2712"/>
      <c r="B2416" s="371"/>
      <c r="C2416" s="371"/>
      <c r="D2416" s="2714"/>
      <c r="F2416" s="371"/>
      <c r="G2416" s="405"/>
      <c r="H2416" s="371" t="s">
        <v>2855</v>
      </c>
      <c r="I2416" s="371" t="s">
        <v>3096</v>
      </c>
      <c r="J2416" s="371" t="s">
        <v>2857</v>
      </c>
      <c r="K2416" s="371" t="s">
        <v>3213</v>
      </c>
      <c r="L2416" s="371" t="s">
        <v>3367</v>
      </c>
      <c r="M2416" s="371" t="s">
        <v>3215</v>
      </c>
      <c r="N2416" s="391"/>
      <c r="O2416" s="349"/>
      <c r="P2416" s="301"/>
      <c r="S2416" s="364"/>
      <c r="Z2416" s="609" t="s">
        <v>983</v>
      </c>
      <c r="AA2416" s="609" t="s">
        <v>5660</v>
      </c>
    </row>
    <row r="2417" spans="1:29" ht="18" customHeight="1">
      <c r="A2417" s="2712"/>
      <c r="B2417" s="371"/>
      <c r="C2417" s="371"/>
      <c r="D2417" s="2714"/>
      <c r="E2417" s="2714" t="s">
        <v>2749</v>
      </c>
      <c r="F2417" s="293"/>
      <c r="G2417" s="3483" t="s">
        <v>47</v>
      </c>
      <c r="H2417" s="3480" t="str">
        <f>$V$2</f>
        <v>2019年12月31日</v>
      </c>
      <c r="I2417" s="3481"/>
      <c r="J2417" s="3482"/>
      <c r="K2417" s="3480" t="str">
        <f>$V$3</f>
        <v>2018年12月31日</v>
      </c>
      <c r="L2417" s="3481"/>
      <c r="M2417" s="3481"/>
      <c r="N2417" s="355" t="s">
        <v>6174</v>
      </c>
      <c r="O2417" s="349"/>
      <c r="P2417" s="301"/>
      <c r="S2417" s="364"/>
      <c r="Z2417" s="609" t="s">
        <v>983</v>
      </c>
      <c r="AA2417" s="609" t="s">
        <v>5660</v>
      </c>
    </row>
    <row r="2418" spans="1:29" ht="18">
      <c r="A2418" s="2712"/>
      <c r="B2418" s="371"/>
      <c r="C2418" s="371"/>
      <c r="D2418" s="2714"/>
      <c r="E2418" s="2714" t="s">
        <v>2749</v>
      </c>
      <c r="F2418" s="293"/>
      <c r="G2418" s="3484"/>
      <c r="H2418" s="2187" t="s">
        <v>2861</v>
      </c>
      <c r="I2418" s="2187" t="s">
        <v>3097</v>
      </c>
      <c r="J2418" s="2187" t="s">
        <v>2863</v>
      </c>
      <c r="K2418" s="2187" t="s">
        <v>2861</v>
      </c>
      <c r="L2418" s="2187" t="s">
        <v>3097</v>
      </c>
      <c r="M2418" s="1522" t="s">
        <v>2863</v>
      </c>
      <c r="N2418" s="391"/>
      <c r="O2418" s="349"/>
      <c r="P2418" s="301"/>
      <c r="S2418" s="364"/>
      <c r="Z2418" s="609" t="s">
        <v>983</v>
      </c>
      <c r="AA2418" s="609" t="s">
        <v>5660</v>
      </c>
    </row>
    <row r="2419" spans="1:29" ht="18">
      <c r="A2419" s="2712"/>
      <c r="B2419" s="371">
        <v>101</v>
      </c>
      <c r="C2419" s="371"/>
      <c r="D2419" s="2714">
        <f t="shared" ref="D2419:D2424" si="254">IF(OR(G2419="*",G2419="",G2419=0),0,COUNTIF($G$2419:$G$2424,G2419))</f>
        <v>1</v>
      </c>
      <c r="E2419" s="2719">
        <v>1</v>
      </c>
      <c r="F2419" s="293"/>
      <c r="G2419" s="1472" t="s">
        <v>5865</v>
      </c>
      <c r="H2419" s="1575"/>
      <c r="I2419" s="422"/>
      <c r="J2419" s="1474">
        <f>H2419-I2419</f>
        <v>0</v>
      </c>
      <c r="K2419" s="320"/>
      <c r="L2419" s="309"/>
      <c r="M2419" s="1475">
        <f>K2419-L2419</f>
        <v>0</v>
      </c>
      <c r="N2419" s="391"/>
      <c r="O2419" s="349"/>
      <c r="P2419" s="301"/>
      <c r="S2419" s="364"/>
      <c r="Z2419" s="609" t="s">
        <v>983</v>
      </c>
      <c r="AA2419" s="609" t="s">
        <v>5660</v>
      </c>
    </row>
    <row r="2420" spans="1:29" ht="18">
      <c r="A2420" s="2712"/>
      <c r="B2420" s="371">
        <v>102</v>
      </c>
      <c r="C2420" s="371" t="s">
        <v>2791</v>
      </c>
      <c r="D2420" s="2714">
        <f t="shared" si="254"/>
        <v>1</v>
      </c>
      <c r="E2420" s="2719">
        <v>1</v>
      </c>
      <c r="F2420" s="293"/>
      <c r="G2420" s="2629" t="s">
        <v>6354</v>
      </c>
      <c r="H2420" s="1575"/>
      <c r="I2420" s="422"/>
      <c r="J2420" s="1474">
        <f>H2420-I2420</f>
        <v>0</v>
      </c>
      <c r="K2420" s="320"/>
      <c r="L2420" s="309"/>
      <c r="M2420" s="1475">
        <f>K2420-L2420</f>
        <v>0</v>
      </c>
      <c r="N2420" s="391"/>
      <c r="O2420" s="349"/>
      <c r="P2420" s="301"/>
      <c r="S2420" s="364"/>
      <c r="Z2420" s="609" t="s">
        <v>983</v>
      </c>
      <c r="AA2420" s="609" t="s">
        <v>5660</v>
      </c>
    </row>
    <row r="2421" spans="1:29" ht="18">
      <c r="A2421" s="2712"/>
      <c r="B2421" s="371">
        <v>103</v>
      </c>
      <c r="C2421" s="371" t="s">
        <v>2791</v>
      </c>
      <c r="D2421" s="2714">
        <f t="shared" si="254"/>
        <v>0</v>
      </c>
      <c r="E2421" s="2719">
        <v>1</v>
      </c>
      <c r="F2421" s="293"/>
      <c r="G2421" s="2188" t="s">
        <v>2792</v>
      </c>
      <c r="H2421" s="1575"/>
      <c r="I2421" s="422"/>
      <c r="J2421" s="309"/>
      <c r="K2421" s="320"/>
      <c r="L2421" s="309"/>
      <c r="M2421" s="346"/>
      <c r="N2421" s="391"/>
      <c r="O2421" s="349"/>
      <c r="P2421" s="301"/>
      <c r="S2421" s="364"/>
      <c r="Z2421" s="609" t="s">
        <v>983</v>
      </c>
      <c r="AA2421" s="609" t="s">
        <v>5660</v>
      </c>
    </row>
    <row r="2422" spans="1:29" ht="18">
      <c r="A2422" s="2712"/>
      <c r="B2422" s="371">
        <v>104</v>
      </c>
      <c r="C2422" s="371" t="s">
        <v>2791</v>
      </c>
      <c r="D2422" s="2714">
        <f t="shared" si="254"/>
        <v>0</v>
      </c>
      <c r="E2422" s="2719">
        <v>1</v>
      </c>
      <c r="F2422" s="293"/>
      <c r="G2422" s="2188" t="s">
        <v>2792</v>
      </c>
      <c r="H2422" s="1575"/>
      <c r="I2422" s="422"/>
      <c r="J2422" s="309"/>
      <c r="K2422" s="320"/>
      <c r="L2422" s="309"/>
      <c r="M2422" s="346"/>
      <c r="N2422" s="391"/>
      <c r="O2422" s="349"/>
      <c r="P2422" s="301"/>
      <c r="S2422" s="364"/>
      <c r="Z2422" s="609" t="s">
        <v>983</v>
      </c>
      <c r="AA2422" s="609" t="s">
        <v>5660</v>
      </c>
    </row>
    <row r="2423" spans="1:29" ht="18">
      <c r="A2423" s="2712"/>
      <c r="B2423" s="371">
        <v>105</v>
      </c>
      <c r="C2423" s="371" t="s">
        <v>2791</v>
      </c>
      <c r="D2423" s="2714">
        <f t="shared" si="254"/>
        <v>0</v>
      </c>
      <c r="E2423" s="2719">
        <v>1</v>
      </c>
      <c r="F2423" s="293"/>
      <c r="G2423" s="2188" t="s">
        <v>2792</v>
      </c>
      <c r="H2423" s="1575"/>
      <c r="I2423" s="422"/>
      <c r="J2423" s="309"/>
      <c r="K2423" s="320"/>
      <c r="L2423" s="309"/>
      <c r="M2423" s="346"/>
      <c r="N2423" s="391"/>
      <c r="O2423" s="349"/>
      <c r="P2423" s="301"/>
      <c r="S2423" s="364"/>
      <c r="Z2423" s="609" t="s">
        <v>983</v>
      </c>
      <c r="AA2423" s="609" t="s">
        <v>5660</v>
      </c>
    </row>
    <row r="2424" spans="1:29" ht="18.75" thickBot="1">
      <c r="A2424" s="2712"/>
      <c r="B2424" s="371"/>
      <c r="C2424" s="371"/>
      <c r="D2424" s="2714">
        <f t="shared" si="254"/>
        <v>1</v>
      </c>
      <c r="E2424" s="2719" t="s">
        <v>2751</v>
      </c>
      <c r="F2424" s="293"/>
      <c r="G2424" s="1527" t="s">
        <v>2752</v>
      </c>
      <c r="H2424" s="1525">
        <f t="shared" ref="H2424:M2424" si="255">SUMPRODUCT($E2418:$E2423,H2418:H2423)</f>
        <v>0</v>
      </c>
      <c r="I2424" s="1525">
        <f t="shared" si="255"/>
        <v>0</v>
      </c>
      <c r="J2424" s="1525">
        <f t="shared" si="255"/>
        <v>0</v>
      </c>
      <c r="K2424" s="1525">
        <f t="shared" si="255"/>
        <v>0</v>
      </c>
      <c r="L2424" s="1525">
        <f t="shared" si="255"/>
        <v>0</v>
      </c>
      <c r="M2424" s="1526">
        <f t="shared" si="255"/>
        <v>0</v>
      </c>
      <c r="N2424" s="1531" t="str">
        <f ca="1">HYPERLINK("#'"&amp;$G$1&amp;"'!"&amp;ADDRESS(ROW(Notes!H2459),COLUMN(Notes!H2459),4),"* 请勿删除此行！点击往勾稽单元格，F5+Enter返回")</f>
        <v>* 请勿删除此行！点击往勾稽单元格，F5+Enter返回</v>
      </c>
      <c r="O2424" s="349"/>
      <c r="P2424" s="301"/>
      <c r="S2424" s="364"/>
      <c r="Z2424" s="609" t="s">
        <v>983</v>
      </c>
      <c r="AA2424" s="609" t="s">
        <v>5660</v>
      </c>
      <c r="AC2424" s="369" t="s">
        <v>6571</v>
      </c>
    </row>
    <row r="2425" spans="1:29" ht="18.75" thickBot="1">
      <c r="A2425" s="2712"/>
      <c r="B2425" s="371"/>
      <c r="C2425" s="371" t="s">
        <v>2755</v>
      </c>
      <c r="D2425" s="2714"/>
      <c r="F2425" s="293"/>
      <c r="G2425" s="376"/>
      <c r="H2425" s="1574"/>
      <c r="I2425" s="2251" t="s">
        <v>3002</v>
      </c>
      <c r="J2425" s="527" t="s">
        <v>3002</v>
      </c>
      <c r="K2425" s="423"/>
      <c r="L2425" s="315"/>
      <c r="M2425" s="527" t="s">
        <v>3002</v>
      </c>
      <c r="N2425" s="391"/>
      <c r="O2425" s="349"/>
      <c r="P2425" s="301"/>
      <c r="S2425" s="364"/>
      <c r="Z2425" s="609" t="s">
        <v>983</v>
      </c>
      <c r="AA2425" s="609" t="s">
        <v>5660</v>
      </c>
    </row>
    <row r="2426" spans="1:29" ht="18.75" thickTop="1">
      <c r="A2426" s="2712"/>
      <c r="B2426" s="371"/>
      <c r="C2426" s="371" t="s">
        <v>2565</v>
      </c>
      <c r="D2426" s="2714"/>
      <c r="F2426" s="293"/>
      <c r="G2426" s="1547" t="s">
        <v>5365</v>
      </c>
      <c r="H2426" s="1548" t="str">
        <f>G2465</f>
        <v>(3)长期股权投资——对联营、合营企业投资明细</v>
      </c>
      <c r="I2426" s="1550"/>
      <c r="J2426" s="1550"/>
      <c r="K2426" s="1549"/>
      <c r="L2426" s="1549"/>
      <c r="M2426" s="1550"/>
      <c r="N2426" s="1551" t="s">
        <v>5366</v>
      </c>
      <c r="O2426" s="349"/>
      <c r="P2426" s="301"/>
      <c r="S2426" s="364"/>
      <c r="Z2426" s="609" t="s">
        <v>983</v>
      </c>
      <c r="AA2426" s="609" t="s">
        <v>5660</v>
      </c>
    </row>
    <row r="2427" spans="1:29" ht="18">
      <c r="A2427" s="2712"/>
      <c r="B2427" s="371"/>
      <c r="C2427" s="371" t="s">
        <v>2565</v>
      </c>
      <c r="D2427" s="2714"/>
      <c r="F2427" s="293"/>
      <c r="G2427" s="604" t="str">
        <f>"注释A:"&amp; G2496</f>
        <v>注释A:合       计</v>
      </c>
      <c r="H2427" s="351"/>
      <c r="I2427" s="2250">
        <f ca="1">HYPERLINK("#'"&amp;$G$1&amp;"'!"&amp;ADDRESS(ROW(Notes!R2496),COLUMN(Notes!R2496),4),R2496)</f>
        <v>0</v>
      </c>
      <c r="J2427" s="2250">
        <f ca="1">HYPERLINK("#'"&amp;$G$1&amp;"'!"&amp;ADDRESS(ROW(Notes!Q2496),COLUMN(Notes!Q2496),4),Q2496)</f>
        <v>0</v>
      </c>
      <c r="K2427" s="351"/>
      <c r="L2427" s="351"/>
      <c r="M2427" s="2250">
        <f ca="1">HYPERLINK("#'"&amp;$G$1&amp;"'!"&amp;ADDRESS(ROW(Notes!H2496),COLUMN(Notes!H2496),4),H2496)</f>
        <v>0</v>
      </c>
      <c r="N2427" s="2630" t="str">
        <f>H2465</f>
        <v>1511b</v>
      </c>
      <c r="O2427" s="349"/>
      <c r="P2427" s="301"/>
      <c r="S2427" s="364"/>
      <c r="Z2427" s="609" t="s">
        <v>983</v>
      </c>
      <c r="AA2427" s="609" t="s">
        <v>5660</v>
      </c>
    </row>
    <row r="2428" spans="1:29" ht="24">
      <c r="A2428" s="2712"/>
      <c r="B2428" s="371"/>
      <c r="C2428" s="371" t="s">
        <v>2565</v>
      </c>
      <c r="D2428" s="2714"/>
      <c r="F2428" s="293"/>
      <c r="G2428" s="604" t="str">
        <f>"本注释B:"&amp; G2420</f>
        <v>本注释B:对联营、合营企业投资</v>
      </c>
      <c r="H2428" s="351"/>
      <c r="I2428" s="456">
        <f>I2424</f>
        <v>0</v>
      </c>
      <c r="J2428" s="456">
        <f>J2424</f>
        <v>0</v>
      </c>
      <c r="K2428" s="351"/>
      <c r="L2428" s="351"/>
      <c r="M2428" s="456">
        <f>M2424</f>
        <v>0</v>
      </c>
      <c r="N2428" s="2636" t="s">
        <v>5619</v>
      </c>
      <c r="O2428" s="349"/>
      <c r="P2428" s="301"/>
      <c r="S2428" s="364"/>
      <c r="Z2428" s="609" t="s">
        <v>983</v>
      </c>
      <c r="AA2428" s="609" t="s">
        <v>5660</v>
      </c>
    </row>
    <row r="2429" spans="1:29" ht="18.75" thickBot="1">
      <c r="A2429" s="2712"/>
      <c r="B2429" s="371"/>
      <c r="C2429" s="371" t="s">
        <v>2565</v>
      </c>
      <c r="D2429" s="2714"/>
      <c r="F2429" s="293"/>
      <c r="G2429" s="1552" t="s">
        <v>2757</v>
      </c>
      <c r="H2429" s="1553"/>
      <c r="I2429" s="1529">
        <f ca="1">IF(AND(I2427="",I2428=""),"",ROUND(I2427-I2428,2))</f>
        <v>0</v>
      </c>
      <c r="J2429" s="1529">
        <f ca="1">IF(AND(J2427="",J2428=""),"",ROUND(J2427-J2428,2))</f>
        <v>0</v>
      </c>
      <c r="K2429" s="1553"/>
      <c r="L2429" s="1553"/>
      <c r="M2429" s="1529">
        <f ca="1">IF(AND(M2427="",M2428=""),"",ROUND(M2427-M2428,2))</f>
        <v>0</v>
      </c>
      <c r="N2429" s="1553"/>
      <c r="O2429" s="349"/>
      <c r="P2429" s="301"/>
      <c r="S2429" s="364"/>
      <c r="Z2429" s="609" t="s">
        <v>983</v>
      </c>
      <c r="AA2429" s="609" t="s">
        <v>5660</v>
      </c>
    </row>
    <row r="2430" spans="1:29" ht="18.75" thickTop="1">
      <c r="A2430" s="2712"/>
      <c r="B2430" s="371"/>
      <c r="C2430" s="371" t="s">
        <v>2565</v>
      </c>
      <c r="D2430" s="2714"/>
      <c r="F2430" s="293"/>
      <c r="G2430" s="1543"/>
      <c r="H2430" s="317"/>
      <c r="I2430" s="459" t="str">
        <f ca="1">IF(OR(I2429=0,I2429=""),"√","？")</f>
        <v>√</v>
      </c>
      <c r="J2430" s="459" t="str">
        <f ca="1">IF(OR(J2429=0,J2429=""),"√","？")</f>
        <v>√</v>
      </c>
      <c r="K2430" s="317"/>
      <c r="L2430" s="317"/>
      <c r="M2430" s="459" t="str">
        <f ca="1">IF(OR(M2429=0,M2429=""),"√","？")</f>
        <v>√</v>
      </c>
      <c r="N2430" s="317"/>
      <c r="O2430" s="349"/>
      <c r="P2430" s="301"/>
      <c r="S2430" s="364"/>
      <c r="Z2430" s="609" t="s">
        <v>983</v>
      </c>
      <c r="AA2430" s="609" t="s">
        <v>5660</v>
      </c>
    </row>
    <row r="2431" spans="1:29" ht="18">
      <c r="A2431" s="2712"/>
      <c r="B2431" s="371"/>
      <c r="C2431" s="371" t="s">
        <v>2565</v>
      </c>
      <c r="D2431" s="2714"/>
      <c r="F2431" s="293"/>
      <c r="G2431" s="1557" t="s">
        <v>2759</v>
      </c>
      <c r="H2431" s="317"/>
      <c r="I2431" s="461"/>
      <c r="J2431" s="461"/>
      <c r="K2431" s="352">
        <f ca="1">SUMIF($H$2430:$N$2430,"&lt;&gt;√",$H$2429:$N$2429)</f>
        <v>0</v>
      </c>
      <c r="L2431" s="353" t="str">
        <f ca="1">IF(OR(K2431=0,K2431=""),"√","？")</f>
        <v>√</v>
      </c>
      <c r="M2431" s="461"/>
      <c r="N2431" s="317"/>
      <c r="O2431" s="349"/>
      <c r="P2431" s="301"/>
      <c r="S2431" s="364"/>
      <c r="Z2431" s="609" t="s">
        <v>983</v>
      </c>
      <c r="AA2431" s="609" t="s">
        <v>5660</v>
      </c>
    </row>
    <row r="2432" spans="1:29" ht="18">
      <c r="A2432" s="2712"/>
      <c r="B2432" s="371"/>
      <c r="C2432" s="371" t="s">
        <v>2565</v>
      </c>
      <c r="D2432" s="2714"/>
      <c r="F2432" s="293"/>
      <c r="G2432" s="1543"/>
      <c r="H2432" s="317"/>
      <c r="I2432" s="461"/>
      <c r="J2432" s="461"/>
      <c r="K2432" s="317"/>
      <c r="L2432" s="317"/>
      <c r="M2432" s="461"/>
      <c r="N2432" s="317"/>
      <c r="O2432" s="349"/>
      <c r="P2432" s="301"/>
      <c r="S2432" s="364"/>
      <c r="Z2432" s="609" t="s">
        <v>983</v>
      </c>
      <c r="AA2432" s="609" t="s">
        <v>5660</v>
      </c>
    </row>
    <row r="2433" spans="1:27" ht="24">
      <c r="A2433" s="2712" t="s">
        <v>5620</v>
      </c>
      <c r="B2433" s="371">
        <v>2</v>
      </c>
      <c r="C2433" s="371"/>
      <c r="D2433" s="2714" t="str">
        <f>VLOOKUP($A2433,Sheet_NoteList,2,0)</f>
        <v>长期股权投资——对子公司投资明细</v>
      </c>
      <c r="E2433" s="2714" t="s">
        <v>6531</v>
      </c>
      <c r="F2433" s="293"/>
      <c r="G2433" s="372" t="str">
        <f>"("&amp;B2433&amp;")"&amp;D2433</f>
        <v>(2)长期股权投资——对子公司投资明细</v>
      </c>
      <c r="H2433" s="1515" t="str">
        <f>$A2433</f>
        <v>1511d</v>
      </c>
      <c r="I2433" s="343" t="s">
        <v>5122</v>
      </c>
      <c r="J2433" s="301" t="s">
        <v>5120</v>
      </c>
      <c r="K2433" s="2208">
        <f>H2456</f>
        <v>0</v>
      </c>
      <c r="L2433" s="349" t="str">
        <f>IF($I2433="适用",IF(ROUND(K$2413-K2433,2)=0,"F/S",ROUND(K$2413-K2433,2)),"#N/A")</f>
        <v>F/S</v>
      </c>
      <c r="M2433" s="301" t="s">
        <v>5121</v>
      </c>
      <c r="N2433" s="2208">
        <f>I2456</f>
        <v>0</v>
      </c>
      <c r="O2433" s="349" t="str">
        <f>IF($I2433="适用",IF(ROUND(N$2413-N2433,2)=0,"F/S",ROUND(N$2413-N2433,2)),"#N/A")</f>
        <v>F/S</v>
      </c>
      <c r="P2433" s="301"/>
      <c r="S2433" s="364"/>
      <c r="Z2433" s="609" t="s">
        <v>983</v>
      </c>
      <c r="AA2433" s="609" t="s">
        <v>5660</v>
      </c>
    </row>
    <row r="2434" spans="1:27" ht="0.75" customHeight="1" thickBot="1">
      <c r="A2434" s="2712"/>
      <c r="B2434" s="371"/>
      <c r="C2434" s="371"/>
      <c r="D2434" s="2714"/>
      <c r="F2434" s="371"/>
      <c r="G2434" s="405" t="s">
        <v>5866</v>
      </c>
      <c r="H2434" s="1615" t="s">
        <v>6329</v>
      </c>
      <c r="I2434" s="371" t="s">
        <v>6339</v>
      </c>
      <c r="J2434" s="371" t="s">
        <v>6340</v>
      </c>
      <c r="K2434" s="547" t="s">
        <v>6332</v>
      </c>
      <c r="L2434" s="547" t="s">
        <v>6341</v>
      </c>
      <c r="M2434" s="371" t="s">
        <v>6342</v>
      </c>
      <c r="N2434" s="391"/>
      <c r="O2434" s="349"/>
      <c r="P2434" s="301"/>
      <c r="S2434" s="364"/>
      <c r="Z2434" s="609" t="s">
        <v>983</v>
      </c>
      <c r="AA2434" s="609" t="s">
        <v>5660</v>
      </c>
    </row>
    <row r="2435" spans="1:27" ht="24">
      <c r="A2435" s="2712"/>
      <c r="B2435" s="371"/>
      <c r="C2435" s="371"/>
      <c r="D2435" s="2714"/>
      <c r="E2435" s="2714" t="s">
        <v>2749</v>
      </c>
      <c r="F2435" s="293"/>
      <c r="G2435" s="1633" t="s">
        <v>3376</v>
      </c>
      <c r="H2435" s="2189" t="str">
        <f>$V$3</f>
        <v>2018年12月31日</v>
      </c>
      <c r="I2435" s="2189" t="s">
        <v>5869</v>
      </c>
      <c r="J2435" s="2189" t="s">
        <v>5870</v>
      </c>
      <c r="K2435" s="2189" t="str">
        <f>$V$2</f>
        <v>2019年12月31日</v>
      </c>
      <c r="L2435" s="2189" t="s">
        <v>5867</v>
      </c>
      <c r="M2435" s="2190" t="s">
        <v>5868</v>
      </c>
      <c r="N2435" s="355" t="s">
        <v>6174</v>
      </c>
      <c r="O2435" s="349"/>
      <c r="P2435" s="301"/>
      <c r="S2435" s="364"/>
      <c r="Z2435" s="609" t="s">
        <v>983</v>
      </c>
      <c r="AA2435" s="609" t="s">
        <v>5660</v>
      </c>
    </row>
    <row r="2436" spans="1:27" ht="18">
      <c r="A2436" s="2712"/>
      <c r="B2436" s="371">
        <v>101</v>
      </c>
      <c r="C2436" s="371" t="s">
        <v>2791</v>
      </c>
      <c r="D2436" s="2714">
        <f t="shared" ref="D2436:D2456" si="256">IF(OR(G2436="*",G2436="",G2436=0),0,COUNTIF($G$2436:$G$2456,G2436))</f>
        <v>0</v>
      </c>
      <c r="E2436" s="2719">
        <v>1</v>
      </c>
      <c r="F2436" s="293"/>
      <c r="G2436" s="2188" t="s">
        <v>2792</v>
      </c>
      <c r="H2436" s="1575"/>
      <c r="I2436" s="422"/>
      <c r="J2436" s="309"/>
      <c r="K2436" s="1474">
        <f>H2436+I2436-J2436</f>
        <v>0</v>
      </c>
      <c r="L2436" s="309"/>
      <c r="M2436" s="346"/>
      <c r="N2436" s="391"/>
      <c r="O2436" s="349"/>
      <c r="P2436" s="301"/>
      <c r="S2436" s="364"/>
      <c r="Z2436" s="609" t="s">
        <v>983</v>
      </c>
      <c r="AA2436" s="609" t="s">
        <v>5660</v>
      </c>
    </row>
    <row r="2437" spans="1:27" ht="18">
      <c r="A2437" s="2712"/>
      <c r="B2437" s="371">
        <v>102</v>
      </c>
      <c r="C2437" s="371" t="s">
        <v>2791</v>
      </c>
      <c r="D2437" s="2714">
        <f t="shared" si="256"/>
        <v>0</v>
      </c>
      <c r="E2437" s="2719">
        <v>1</v>
      </c>
      <c r="F2437" s="293"/>
      <c r="G2437" s="2188" t="s">
        <v>2792</v>
      </c>
      <c r="H2437" s="1575"/>
      <c r="I2437" s="422"/>
      <c r="J2437" s="309"/>
      <c r="K2437" s="1474">
        <f t="shared" ref="K2437:K2455" si="257">H2437+I2437-J2437</f>
        <v>0</v>
      </c>
      <c r="L2437" s="309"/>
      <c r="M2437" s="346"/>
      <c r="N2437" s="391"/>
      <c r="O2437" s="349"/>
      <c r="P2437" s="301"/>
      <c r="S2437" s="364"/>
      <c r="Z2437" s="609" t="s">
        <v>983</v>
      </c>
      <c r="AA2437" s="609" t="s">
        <v>5660</v>
      </c>
    </row>
    <row r="2438" spans="1:27" ht="18">
      <c r="A2438" s="2712"/>
      <c r="B2438" s="371">
        <v>103</v>
      </c>
      <c r="C2438" s="371" t="s">
        <v>2791</v>
      </c>
      <c r="D2438" s="2714">
        <f t="shared" si="256"/>
        <v>0</v>
      </c>
      <c r="E2438" s="2719">
        <v>1</v>
      </c>
      <c r="F2438" s="293"/>
      <c r="G2438" s="2188" t="s">
        <v>2792</v>
      </c>
      <c r="H2438" s="1575"/>
      <c r="I2438" s="422"/>
      <c r="J2438" s="309"/>
      <c r="K2438" s="1474">
        <f t="shared" si="257"/>
        <v>0</v>
      </c>
      <c r="L2438" s="309"/>
      <c r="M2438" s="346"/>
      <c r="N2438" s="391"/>
      <c r="O2438" s="349"/>
      <c r="P2438" s="301"/>
      <c r="S2438" s="364"/>
      <c r="Z2438" s="609" t="s">
        <v>983</v>
      </c>
      <c r="AA2438" s="609" t="s">
        <v>5660</v>
      </c>
    </row>
    <row r="2439" spans="1:27" ht="18">
      <c r="A2439" s="2712"/>
      <c r="B2439" s="371">
        <v>104</v>
      </c>
      <c r="C2439" s="371" t="s">
        <v>2791</v>
      </c>
      <c r="D2439" s="2714">
        <f t="shared" si="256"/>
        <v>0</v>
      </c>
      <c r="E2439" s="2719">
        <v>1</v>
      </c>
      <c r="F2439" s="293"/>
      <c r="G2439" s="2188" t="s">
        <v>2792</v>
      </c>
      <c r="H2439" s="1575"/>
      <c r="I2439" s="422"/>
      <c r="J2439" s="309"/>
      <c r="K2439" s="1474">
        <f t="shared" si="257"/>
        <v>0</v>
      </c>
      <c r="L2439" s="309"/>
      <c r="M2439" s="346"/>
      <c r="N2439" s="391"/>
      <c r="O2439" s="349"/>
      <c r="P2439" s="301"/>
      <c r="S2439" s="364"/>
      <c r="Z2439" s="609" t="s">
        <v>983</v>
      </c>
      <c r="AA2439" s="609" t="s">
        <v>5660</v>
      </c>
    </row>
    <row r="2440" spans="1:27" ht="18">
      <c r="A2440" s="2712"/>
      <c r="B2440" s="371">
        <v>105</v>
      </c>
      <c r="C2440" s="371" t="s">
        <v>2791</v>
      </c>
      <c r="D2440" s="2714">
        <f t="shared" si="256"/>
        <v>0</v>
      </c>
      <c r="E2440" s="2719">
        <v>1</v>
      </c>
      <c r="F2440" s="293"/>
      <c r="G2440" s="2188" t="s">
        <v>2792</v>
      </c>
      <c r="H2440" s="1575"/>
      <c r="I2440" s="422"/>
      <c r="J2440" s="309"/>
      <c r="K2440" s="1474">
        <f t="shared" si="257"/>
        <v>0</v>
      </c>
      <c r="L2440" s="309"/>
      <c r="M2440" s="346"/>
      <c r="N2440" s="391"/>
      <c r="O2440" s="349"/>
      <c r="P2440" s="301"/>
      <c r="S2440" s="364"/>
      <c r="Z2440" s="609" t="s">
        <v>983</v>
      </c>
      <c r="AA2440" s="609" t="s">
        <v>5660</v>
      </c>
    </row>
    <row r="2441" spans="1:27" ht="18">
      <c r="A2441" s="2712"/>
      <c r="B2441" s="371">
        <v>106</v>
      </c>
      <c r="C2441" s="371" t="s">
        <v>2791</v>
      </c>
      <c r="D2441" s="2714">
        <f t="shared" si="256"/>
        <v>0</v>
      </c>
      <c r="E2441" s="2719">
        <v>1</v>
      </c>
      <c r="F2441" s="293"/>
      <c r="G2441" s="2188" t="s">
        <v>2792</v>
      </c>
      <c r="H2441" s="1575"/>
      <c r="I2441" s="422"/>
      <c r="J2441" s="309"/>
      <c r="K2441" s="1474">
        <f t="shared" si="257"/>
        <v>0</v>
      </c>
      <c r="L2441" s="309"/>
      <c r="M2441" s="346"/>
      <c r="N2441" s="391"/>
      <c r="O2441" s="349"/>
      <c r="P2441" s="301"/>
      <c r="S2441" s="364"/>
      <c r="Z2441" s="609" t="s">
        <v>983</v>
      </c>
      <c r="AA2441" s="609" t="s">
        <v>5660</v>
      </c>
    </row>
    <row r="2442" spans="1:27" ht="18">
      <c r="A2442" s="2712"/>
      <c r="B2442" s="371">
        <v>107</v>
      </c>
      <c r="C2442" s="371" t="s">
        <v>2791</v>
      </c>
      <c r="D2442" s="2714">
        <f t="shared" si="256"/>
        <v>0</v>
      </c>
      <c r="E2442" s="2719">
        <v>1</v>
      </c>
      <c r="F2442" s="293"/>
      <c r="G2442" s="2188" t="s">
        <v>2792</v>
      </c>
      <c r="H2442" s="1575"/>
      <c r="I2442" s="422"/>
      <c r="J2442" s="309"/>
      <c r="K2442" s="1474">
        <f t="shared" si="257"/>
        <v>0</v>
      </c>
      <c r="L2442" s="309"/>
      <c r="M2442" s="346"/>
      <c r="N2442" s="391"/>
      <c r="O2442" s="349"/>
      <c r="P2442" s="301"/>
      <c r="S2442" s="364"/>
      <c r="Z2442" s="609" t="s">
        <v>983</v>
      </c>
      <c r="AA2442" s="609" t="s">
        <v>5660</v>
      </c>
    </row>
    <row r="2443" spans="1:27" ht="18">
      <c r="A2443" s="2712"/>
      <c r="B2443" s="371">
        <v>108</v>
      </c>
      <c r="C2443" s="371" t="s">
        <v>2791</v>
      </c>
      <c r="D2443" s="2714">
        <f t="shared" si="256"/>
        <v>0</v>
      </c>
      <c r="E2443" s="2719">
        <v>1</v>
      </c>
      <c r="F2443" s="293"/>
      <c r="G2443" s="2188" t="s">
        <v>2792</v>
      </c>
      <c r="H2443" s="1575"/>
      <c r="I2443" s="422"/>
      <c r="J2443" s="309"/>
      <c r="K2443" s="1474">
        <f t="shared" si="257"/>
        <v>0</v>
      </c>
      <c r="L2443" s="309"/>
      <c r="M2443" s="346"/>
      <c r="N2443" s="391"/>
      <c r="O2443" s="349"/>
      <c r="P2443" s="301"/>
      <c r="S2443" s="364"/>
      <c r="Z2443" s="609" t="s">
        <v>983</v>
      </c>
      <c r="AA2443" s="609" t="s">
        <v>5660</v>
      </c>
    </row>
    <row r="2444" spans="1:27" ht="18">
      <c r="A2444" s="2712"/>
      <c r="B2444" s="371">
        <v>109</v>
      </c>
      <c r="C2444" s="371" t="s">
        <v>2791</v>
      </c>
      <c r="D2444" s="2714">
        <f t="shared" si="256"/>
        <v>0</v>
      </c>
      <c r="E2444" s="2719">
        <v>1</v>
      </c>
      <c r="F2444" s="293"/>
      <c r="G2444" s="2188" t="s">
        <v>2792</v>
      </c>
      <c r="H2444" s="1575"/>
      <c r="I2444" s="422"/>
      <c r="J2444" s="309"/>
      <c r="K2444" s="1474">
        <f t="shared" si="257"/>
        <v>0</v>
      </c>
      <c r="L2444" s="309"/>
      <c r="M2444" s="346"/>
      <c r="N2444" s="391"/>
      <c r="O2444" s="349"/>
      <c r="P2444" s="301"/>
      <c r="S2444" s="364"/>
      <c r="Z2444" s="609" t="s">
        <v>983</v>
      </c>
      <c r="AA2444" s="609" t="s">
        <v>5660</v>
      </c>
    </row>
    <row r="2445" spans="1:27" ht="18">
      <c r="A2445" s="2712"/>
      <c r="B2445" s="371">
        <v>110</v>
      </c>
      <c r="C2445" s="371" t="s">
        <v>2791</v>
      </c>
      <c r="D2445" s="2714">
        <f t="shared" si="256"/>
        <v>0</v>
      </c>
      <c r="E2445" s="2719">
        <v>1</v>
      </c>
      <c r="F2445" s="293"/>
      <c r="G2445" s="2188" t="s">
        <v>2792</v>
      </c>
      <c r="H2445" s="1575"/>
      <c r="I2445" s="422"/>
      <c r="J2445" s="309"/>
      <c r="K2445" s="1474">
        <f t="shared" si="257"/>
        <v>0</v>
      </c>
      <c r="L2445" s="309"/>
      <c r="M2445" s="346"/>
      <c r="N2445" s="391"/>
      <c r="O2445" s="349"/>
      <c r="P2445" s="301"/>
      <c r="S2445" s="364"/>
      <c r="Z2445" s="609" t="s">
        <v>983</v>
      </c>
      <c r="AA2445" s="609" t="s">
        <v>5660</v>
      </c>
    </row>
    <row r="2446" spans="1:27" ht="18">
      <c r="A2446" s="2712"/>
      <c r="B2446" s="371">
        <v>111</v>
      </c>
      <c r="C2446" s="371" t="s">
        <v>2791</v>
      </c>
      <c r="D2446" s="2714">
        <f t="shared" si="256"/>
        <v>0</v>
      </c>
      <c r="E2446" s="2719">
        <v>1</v>
      </c>
      <c r="F2446" s="293"/>
      <c r="G2446" s="2188" t="s">
        <v>2792</v>
      </c>
      <c r="H2446" s="1575"/>
      <c r="I2446" s="422"/>
      <c r="J2446" s="309"/>
      <c r="K2446" s="1474">
        <f t="shared" si="257"/>
        <v>0</v>
      </c>
      <c r="L2446" s="309"/>
      <c r="M2446" s="346"/>
      <c r="N2446" s="391"/>
      <c r="O2446" s="349"/>
      <c r="P2446" s="301"/>
      <c r="S2446" s="364"/>
      <c r="Z2446" s="609" t="s">
        <v>983</v>
      </c>
      <c r="AA2446" s="609" t="s">
        <v>5660</v>
      </c>
    </row>
    <row r="2447" spans="1:27" ht="18">
      <c r="A2447" s="2712"/>
      <c r="B2447" s="371">
        <v>112</v>
      </c>
      <c r="C2447" s="371" t="s">
        <v>2791</v>
      </c>
      <c r="D2447" s="2714">
        <f t="shared" si="256"/>
        <v>0</v>
      </c>
      <c r="E2447" s="2719">
        <v>1</v>
      </c>
      <c r="F2447" s="293"/>
      <c r="G2447" s="2188" t="s">
        <v>2792</v>
      </c>
      <c r="H2447" s="1575"/>
      <c r="I2447" s="422"/>
      <c r="J2447" s="309"/>
      <c r="K2447" s="1474">
        <f t="shared" si="257"/>
        <v>0</v>
      </c>
      <c r="L2447" s="309"/>
      <c r="M2447" s="346"/>
      <c r="N2447" s="391"/>
      <c r="O2447" s="349"/>
      <c r="P2447" s="301"/>
      <c r="S2447" s="364"/>
      <c r="Z2447" s="609" t="s">
        <v>983</v>
      </c>
      <c r="AA2447" s="609" t="s">
        <v>5660</v>
      </c>
    </row>
    <row r="2448" spans="1:27" ht="18">
      <c r="A2448" s="2712"/>
      <c r="B2448" s="371">
        <v>113</v>
      </c>
      <c r="C2448" s="371" t="s">
        <v>2791</v>
      </c>
      <c r="D2448" s="2714">
        <f t="shared" si="256"/>
        <v>0</v>
      </c>
      <c r="E2448" s="2719">
        <v>1</v>
      </c>
      <c r="F2448" s="293"/>
      <c r="G2448" s="2188" t="s">
        <v>2792</v>
      </c>
      <c r="H2448" s="1575"/>
      <c r="I2448" s="422"/>
      <c r="J2448" s="309"/>
      <c r="K2448" s="1474">
        <f t="shared" si="257"/>
        <v>0</v>
      </c>
      <c r="L2448" s="309"/>
      <c r="M2448" s="346"/>
      <c r="N2448" s="391"/>
      <c r="O2448" s="349"/>
      <c r="P2448" s="301"/>
      <c r="S2448" s="364"/>
      <c r="Z2448" s="609" t="s">
        <v>983</v>
      </c>
      <c r="AA2448" s="609" t="s">
        <v>5660</v>
      </c>
    </row>
    <row r="2449" spans="1:27" ht="18">
      <c r="A2449" s="2712"/>
      <c r="B2449" s="371">
        <v>114</v>
      </c>
      <c r="C2449" s="371" t="s">
        <v>2791</v>
      </c>
      <c r="D2449" s="2714">
        <f t="shared" si="256"/>
        <v>0</v>
      </c>
      <c r="E2449" s="2719">
        <v>1</v>
      </c>
      <c r="F2449" s="293"/>
      <c r="G2449" s="2188" t="s">
        <v>2792</v>
      </c>
      <c r="H2449" s="1575"/>
      <c r="I2449" s="422"/>
      <c r="J2449" s="309"/>
      <c r="K2449" s="1474">
        <f t="shared" si="257"/>
        <v>0</v>
      </c>
      <c r="L2449" s="309"/>
      <c r="M2449" s="346"/>
      <c r="N2449" s="391"/>
      <c r="O2449" s="349"/>
      <c r="P2449" s="301"/>
      <c r="S2449" s="364"/>
      <c r="Z2449" s="609" t="s">
        <v>983</v>
      </c>
      <c r="AA2449" s="609" t="s">
        <v>5660</v>
      </c>
    </row>
    <row r="2450" spans="1:27" ht="18">
      <c r="A2450" s="2712"/>
      <c r="B2450" s="371">
        <v>115</v>
      </c>
      <c r="C2450" s="371" t="s">
        <v>2791</v>
      </c>
      <c r="D2450" s="2714">
        <f t="shared" si="256"/>
        <v>0</v>
      </c>
      <c r="E2450" s="2719">
        <v>1</v>
      </c>
      <c r="F2450" s="293"/>
      <c r="G2450" s="2188" t="s">
        <v>2792</v>
      </c>
      <c r="H2450" s="1575"/>
      <c r="I2450" s="422"/>
      <c r="J2450" s="309"/>
      <c r="K2450" s="1474">
        <f t="shared" si="257"/>
        <v>0</v>
      </c>
      <c r="L2450" s="309"/>
      <c r="M2450" s="346"/>
      <c r="N2450" s="391"/>
      <c r="O2450" s="349"/>
      <c r="P2450" s="301"/>
      <c r="S2450" s="364"/>
      <c r="Z2450" s="609" t="s">
        <v>983</v>
      </c>
      <c r="AA2450" s="609" t="s">
        <v>5660</v>
      </c>
    </row>
    <row r="2451" spans="1:27" ht="18">
      <c r="A2451" s="2712"/>
      <c r="B2451" s="371">
        <v>116</v>
      </c>
      <c r="C2451" s="371" t="s">
        <v>2791</v>
      </c>
      <c r="D2451" s="2714">
        <f t="shared" si="256"/>
        <v>0</v>
      </c>
      <c r="E2451" s="2719">
        <v>1</v>
      </c>
      <c r="F2451" s="293"/>
      <c r="G2451" s="2188" t="s">
        <v>2792</v>
      </c>
      <c r="H2451" s="1575"/>
      <c r="I2451" s="422"/>
      <c r="J2451" s="309"/>
      <c r="K2451" s="1474">
        <f t="shared" si="257"/>
        <v>0</v>
      </c>
      <c r="L2451" s="309"/>
      <c r="M2451" s="346"/>
      <c r="N2451" s="391"/>
      <c r="O2451" s="349"/>
      <c r="P2451" s="301"/>
      <c r="S2451" s="364"/>
      <c r="Z2451" s="609" t="s">
        <v>983</v>
      </c>
      <c r="AA2451" s="609" t="s">
        <v>5660</v>
      </c>
    </row>
    <row r="2452" spans="1:27" ht="18">
      <c r="A2452" s="2712"/>
      <c r="B2452" s="371">
        <v>117</v>
      </c>
      <c r="C2452" s="371" t="s">
        <v>2791</v>
      </c>
      <c r="D2452" s="2714">
        <f t="shared" si="256"/>
        <v>0</v>
      </c>
      <c r="E2452" s="2719">
        <v>1</v>
      </c>
      <c r="F2452" s="293"/>
      <c r="G2452" s="2188" t="s">
        <v>2792</v>
      </c>
      <c r="H2452" s="1575"/>
      <c r="I2452" s="422"/>
      <c r="J2452" s="309"/>
      <c r="K2452" s="1474">
        <f t="shared" si="257"/>
        <v>0</v>
      </c>
      <c r="L2452" s="309"/>
      <c r="M2452" s="346"/>
      <c r="N2452" s="391"/>
      <c r="O2452" s="349"/>
      <c r="P2452" s="301"/>
      <c r="S2452" s="364"/>
      <c r="Z2452" s="609" t="s">
        <v>983</v>
      </c>
      <c r="AA2452" s="609" t="s">
        <v>5660</v>
      </c>
    </row>
    <row r="2453" spans="1:27" ht="18">
      <c r="A2453" s="2712"/>
      <c r="B2453" s="371">
        <v>118</v>
      </c>
      <c r="C2453" s="371" t="s">
        <v>6530</v>
      </c>
      <c r="D2453" s="2714">
        <f t="shared" si="256"/>
        <v>0</v>
      </c>
      <c r="E2453" s="2719">
        <v>1</v>
      </c>
      <c r="F2453" s="293"/>
      <c r="G2453" s="2188" t="s">
        <v>2792</v>
      </c>
      <c r="H2453" s="1575"/>
      <c r="I2453" s="422"/>
      <c r="J2453" s="309"/>
      <c r="K2453" s="1474">
        <f>H2453+I2453-J2453</f>
        <v>0</v>
      </c>
      <c r="L2453" s="309"/>
      <c r="M2453" s="346"/>
      <c r="N2453" s="391"/>
      <c r="O2453" s="349"/>
      <c r="P2453" s="301"/>
      <c r="S2453" s="364"/>
      <c r="Z2453" s="609" t="s">
        <v>983</v>
      </c>
      <c r="AA2453" s="609" t="s">
        <v>5660</v>
      </c>
    </row>
    <row r="2454" spans="1:27" ht="18">
      <c r="A2454" s="2712"/>
      <c r="B2454" s="371">
        <v>119</v>
      </c>
      <c r="C2454" s="371" t="s">
        <v>2791</v>
      </c>
      <c r="D2454" s="2714">
        <f t="shared" si="256"/>
        <v>0</v>
      </c>
      <c r="E2454" s="2719">
        <v>1</v>
      </c>
      <c r="F2454" s="293"/>
      <c r="G2454" s="2188" t="s">
        <v>2792</v>
      </c>
      <c r="H2454" s="1575"/>
      <c r="I2454" s="422"/>
      <c r="J2454" s="309"/>
      <c r="K2454" s="1474">
        <f t="shared" si="257"/>
        <v>0</v>
      </c>
      <c r="L2454" s="309"/>
      <c r="M2454" s="346"/>
      <c r="N2454" s="391"/>
      <c r="O2454" s="349"/>
      <c r="P2454" s="301"/>
      <c r="S2454" s="364"/>
      <c r="Z2454" s="609" t="s">
        <v>983</v>
      </c>
      <c r="AA2454" s="609" t="s">
        <v>5660</v>
      </c>
    </row>
    <row r="2455" spans="1:27" ht="18">
      <c r="A2455" s="2712"/>
      <c r="B2455" s="371">
        <v>120</v>
      </c>
      <c r="C2455" s="371" t="s">
        <v>2791</v>
      </c>
      <c r="D2455" s="2714">
        <f t="shared" si="256"/>
        <v>0</v>
      </c>
      <c r="E2455" s="2719">
        <v>1</v>
      </c>
      <c r="F2455" s="293"/>
      <c r="G2455" s="2188" t="s">
        <v>2792</v>
      </c>
      <c r="H2455" s="1575"/>
      <c r="I2455" s="422"/>
      <c r="J2455" s="309"/>
      <c r="K2455" s="1474">
        <f t="shared" si="257"/>
        <v>0</v>
      </c>
      <c r="L2455" s="309"/>
      <c r="M2455" s="346"/>
      <c r="N2455" s="391"/>
      <c r="O2455" s="349"/>
      <c r="P2455" s="301"/>
      <c r="S2455" s="364"/>
      <c r="Z2455" s="609" t="s">
        <v>983</v>
      </c>
      <c r="AA2455" s="609" t="s">
        <v>5660</v>
      </c>
    </row>
    <row r="2456" spans="1:27" ht="18.75" thickBot="1">
      <c r="A2456" s="2712"/>
      <c r="B2456" s="371"/>
      <c r="C2456" s="371"/>
      <c r="D2456" s="2714">
        <f t="shared" si="256"/>
        <v>1</v>
      </c>
      <c r="E2456" s="2719" t="s">
        <v>2751</v>
      </c>
      <c r="F2456" s="293"/>
      <c r="G2456" s="1527" t="s">
        <v>2752</v>
      </c>
      <c r="H2456" s="1525">
        <f t="shared" ref="H2456:M2456" si="258">SUMPRODUCT($E2435:$E2455,H2435:H2455)</f>
        <v>0</v>
      </c>
      <c r="I2456" s="1525">
        <f t="shared" si="258"/>
        <v>0</v>
      </c>
      <c r="J2456" s="1525">
        <f t="shared" si="258"/>
        <v>0</v>
      </c>
      <c r="K2456" s="1525">
        <f t="shared" si="258"/>
        <v>0</v>
      </c>
      <c r="L2456" s="1525">
        <f t="shared" si="258"/>
        <v>0</v>
      </c>
      <c r="M2456" s="1526">
        <f t="shared" si="258"/>
        <v>0</v>
      </c>
      <c r="N2456" s="391"/>
      <c r="O2456" s="349"/>
      <c r="P2456" s="301"/>
      <c r="S2456" s="364"/>
      <c r="Z2456" s="609" t="s">
        <v>983</v>
      </c>
      <c r="AA2456" s="609" t="s">
        <v>5660</v>
      </c>
    </row>
    <row r="2457" spans="1:27" ht="18.75" thickBot="1">
      <c r="A2457" s="2712"/>
      <c r="B2457" s="371"/>
      <c r="C2457" s="371" t="s">
        <v>2755</v>
      </c>
      <c r="D2457" s="2714"/>
      <c r="F2457" s="293"/>
      <c r="G2457" s="376"/>
      <c r="H2457" s="2624" t="s">
        <v>3002</v>
      </c>
      <c r="I2457" s="396"/>
      <c r="J2457" s="315"/>
      <c r="K2457" s="2257" t="s">
        <v>3002</v>
      </c>
      <c r="L2457" s="315"/>
      <c r="M2457" s="527" t="s">
        <v>3002</v>
      </c>
      <c r="N2457" s="391"/>
      <c r="O2457" s="349"/>
      <c r="P2457" s="301"/>
      <c r="S2457" s="364"/>
      <c r="Z2457" s="609" t="s">
        <v>983</v>
      </c>
      <c r="AA2457" s="609" t="s">
        <v>5660</v>
      </c>
    </row>
    <row r="2458" spans="1:27" ht="18.75" thickTop="1">
      <c r="A2458" s="2712"/>
      <c r="B2458" s="371"/>
      <c r="C2458" s="371" t="s">
        <v>2565</v>
      </c>
      <c r="D2458" s="2714"/>
      <c r="F2458" s="293"/>
      <c r="G2458" s="1547" t="s">
        <v>5365</v>
      </c>
      <c r="H2458" s="1548" t="str">
        <f>G2414</f>
        <v>(1)长期股权投资情况</v>
      </c>
      <c r="I2458" s="1549"/>
      <c r="J2458" s="1549"/>
      <c r="K2458" s="1550"/>
      <c r="L2458" s="1549"/>
      <c r="M2458" s="1550"/>
      <c r="N2458" s="1551" t="s">
        <v>5366</v>
      </c>
      <c r="O2458" s="349"/>
      <c r="P2458" s="301"/>
      <c r="S2458" s="364"/>
      <c r="Z2458" s="609" t="s">
        <v>983</v>
      </c>
      <c r="AA2458" s="609" t="s">
        <v>5660</v>
      </c>
    </row>
    <row r="2459" spans="1:27" ht="18">
      <c r="A2459" s="2712"/>
      <c r="B2459" s="371"/>
      <c r="C2459" s="371" t="s">
        <v>2565</v>
      </c>
      <c r="D2459" s="2714"/>
      <c r="F2459" s="293"/>
      <c r="G2459" s="604" t="str">
        <f>"注释A:"&amp; G2419</f>
        <v>注释A:对子公司投资</v>
      </c>
      <c r="H2459" s="2250">
        <f ca="1">HYPERLINK("#'"&amp;$G$1&amp;"'!"&amp;ADDRESS(ROW(Notes!K2424),COLUMN(Notes!K2424),4),K2424)</f>
        <v>0</v>
      </c>
      <c r="I2459" s="351"/>
      <c r="J2459" s="351"/>
      <c r="K2459" s="2250">
        <f ca="1">HYPERLINK("#'"&amp;$G$1&amp;"'!"&amp;ADDRESS(ROW(Notes!H2424),COLUMN(Notes!H2424),4),H2424)</f>
        <v>0</v>
      </c>
      <c r="L2459" s="351"/>
      <c r="M2459" s="2250">
        <f ca="1">HYPERLINK("#'"&amp;$G$1&amp;"'!"&amp;ADDRESS(ROW(Notes!I2424),COLUMN(Notes!I2424),4),I2424)</f>
        <v>0</v>
      </c>
      <c r="N2459" s="2630" t="str">
        <f>H2414</f>
        <v>1511c</v>
      </c>
      <c r="O2459" s="349"/>
      <c r="P2459" s="301"/>
      <c r="S2459" s="364"/>
      <c r="Z2459" s="609" t="s">
        <v>983</v>
      </c>
      <c r="AA2459" s="609" t="s">
        <v>5660</v>
      </c>
    </row>
    <row r="2460" spans="1:27" ht="18">
      <c r="A2460" s="2712"/>
      <c r="B2460" s="371"/>
      <c r="C2460" s="371" t="s">
        <v>2565</v>
      </c>
      <c r="D2460" s="2714"/>
      <c r="F2460" s="293"/>
      <c r="G2460" s="604" t="str">
        <f>"本注释B:"&amp; G2456</f>
        <v>本注释B:合       计</v>
      </c>
      <c r="H2460" s="456">
        <f>H2456</f>
        <v>0</v>
      </c>
      <c r="I2460" s="351"/>
      <c r="J2460" s="351"/>
      <c r="K2460" s="456">
        <f>K2456</f>
        <v>0</v>
      </c>
      <c r="L2460" s="351"/>
      <c r="M2460" s="456">
        <f>M2456</f>
        <v>0</v>
      </c>
      <c r="N2460" s="2636" t="s">
        <v>5620</v>
      </c>
      <c r="O2460" s="349"/>
      <c r="P2460" s="301"/>
      <c r="S2460" s="364"/>
      <c r="Z2460" s="609" t="s">
        <v>983</v>
      </c>
      <c r="AA2460" s="609" t="s">
        <v>5660</v>
      </c>
    </row>
    <row r="2461" spans="1:27" ht="18.75" thickBot="1">
      <c r="A2461" s="2712"/>
      <c r="B2461" s="371"/>
      <c r="C2461" s="371" t="s">
        <v>2565</v>
      </c>
      <c r="D2461" s="2714"/>
      <c r="F2461" s="293"/>
      <c r="G2461" s="1552" t="s">
        <v>2757</v>
      </c>
      <c r="H2461" s="1529">
        <f ca="1">IF(AND(H2459="",H2460=""),"",ROUND(H2459-H2460,2))</f>
        <v>0</v>
      </c>
      <c r="I2461" s="1553"/>
      <c r="J2461" s="1553"/>
      <c r="K2461" s="1529">
        <f ca="1">IF(AND(K2459="",K2460=""),"",ROUND(K2459-K2460,2))</f>
        <v>0</v>
      </c>
      <c r="L2461" s="1553"/>
      <c r="M2461" s="1529">
        <f ca="1">IF(AND(M2459="",M2460=""),"",ROUND(M2459-M2460,2))</f>
        <v>0</v>
      </c>
      <c r="N2461" s="1553"/>
      <c r="O2461" s="349"/>
      <c r="P2461" s="301"/>
      <c r="S2461" s="364"/>
      <c r="Z2461" s="609" t="s">
        <v>983</v>
      </c>
      <c r="AA2461" s="609" t="s">
        <v>5660</v>
      </c>
    </row>
    <row r="2462" spans="1:27" ht="18.75" thickTop="1">
      <c r="A2462" s="2712"/>
      <c r="B2462" s="371"/>
      <c r="C2462" s="371" t="s">
        <v>2565</v>
      </c>
      <c r="D2462" s="2714"/>
      <c r="F2462" s="293"/>
      <c r="G2462" s="1543"/>
      <c r="H2462" s="459" t="str">
        <f ca="1">IF(OR(H2461=0,H2461=""),"√","？")</f>
        <v>√</v>
      </c>
      <c r="I2462" s="317"/>
      <c r="J2462" s="317"/>
      <c r="K2462" s="459" t="str">
        <f ca="1">IF(OR(K2461=0,K2461=""),"√","？")</f>
        <v>√</v>
      </c>
      <c r="L2462" s="317"/>
      <c r="M2462" s="459" t="str">
        <f ca="1">IF(OR(M2461=0,M2461=""),"√","？")</f>
        <v>√</v>
      </c>
      <c r="N2462" s="317"/>
      <c r="O2462" s="349"/>
      <c r="P2462" s="301"/>
      <c r="S2462" s="364"/>
      <c r="Z2462" s="609" t="s">
        <v>983</v>
      </c>
      <c r="AA2462" s="609" t="s">
        <v>5660</v>
      </c>
    </row>
    <row r="2463" spans="1:27" ht="18">
      <c r="A2463" s="2712"/>
      <c r="B2463" s="371"/>
      <c r="C2463" s="371" t="s">
        <v>2565</v>
      </c>
      <c r="D2463" s="2714"/>
      <c r="F2463" s="293"/>
      <c r="G2463" s="1557" t="s">
        <v>2759</v>
      </c>
      <c r="H2463" s="461"/>
      <c r="I2463" s="317"/>
      <c r="J2463" s="317"/>
      <c r="K2463" s="605">
        <f ca="1">SUMIF($H$2462:$N$2462,"&lt;&gt;√",$H$2461:$N$2461)</f>
        <v>0</v>
      </c>
      <c r="L2463" s="353" t="str">
        <f ca="1">IF(OR(K2463=0,K2463=""),"√","？")</f>
        <v>√</v>
      </c>
      <c r="M2463" s="461"/>
      <c r="N2463" s="317"/>
      <c r="O2463" s="349"/>
      <c r="P2463" s="301"/>
      <c r="S2463" s="364"/>
      <c r="Z2463" s="609" t="s">
        <v>983</v>
      </c>
      <c r="AA2463" s="609" t="s">
        <v>5660</v>
      </c>
    </row>
    <row r="2464" spans="1:27" ht="18">
      <c r="A2464" s="2712"/>
      <c r="B2464" s="371"/>
      <c r="C2464" s="371" t="s">
        <v>2565</v>
      </c>
      <c r="D2464" s="2714"/>
      <c r="F2464" s="293"/>
      <c r="G2464" s="1543"/>
      <c r="H2464" s="461"/>
      <c r="I2464" s="317"/>
      <c r="J2464" s="317"/>
      <c r="K2464" s="461"/>
      <c r="L2464" s="317"/>
      <c r="M2464" s="461"/>
      <c r="N2464" s="317"/>
      <c r="O2464" s="349"/>
      <c r="P2464" s="301"/>
      <c r="S2464" s="364"/>
      <c r="Z2464" s="609" t="s">
        <v>983</v>
      </c>
      <c r="AA2464" s="609" t="s">
        <v>5660</v>
      </c>
    </row>
    <row r="2465" spans="1:34" ht="24">
      <c r="A2465" s="2712" t="s">
        <v>982</v>
      </c>
      <c r="B2465" s="371">
        <v>3</v>
      </c>
      <c r="C2465" s="371"/>
      <c r="D2465" s="2714" t="str">
        <f>VLOOKUP($A2465,Sheet_NoteList,2,0)</f>
        <v>长期股权投资——对联营、合营企业投资明细</v>
      </c>
      <c r="E2465" s="2714" t="s">
        <v>2742</v>
      </c>
      <c r="F2465" s="294"/>
      <c r="G2465" s="372" t="str">
        <f>"("&amp;B2465&amp;")"&amp;D2465</f>
        <v>(3)长期股权投资——对联营、合营企业投资明细</v>
      </c>
      <c r="H2465" s="1515" t="str">
        <f>$A2465</f>
        <v>1511b</v>
      </c>
      <c r="I2465" s="343" t="s">
        <v>2743</v>
      </c>
      <c r="J2465" s="301" t="s">
        <v>2744</v>
      </c>
      <c r="K2465" s="2208">
        <f>Q2496</f>
        <v>0</v>
      </c>
      <c r="L2465" s="345"/>
      <c r="M2465" s="301" t="s">
        <v>5121</v>
      </c>
      <c r="N2465" s="423">
        <f>H2496</f>
        <v>0</v>
      </c>
      <c r="O2465" s="315"/>
      <c r="P2465" s="301"/>
      <c r="Q2465" s="290" t="str">
        <f>IF($I2465="不适用","",IF(ROUND(SUM($I$2470:$P$2496),2)=0,"请输入",""))</f>
        <v>请输入</v>
      </c>
      <c r="S2465" s="364"/>
      <c r="Z2465" s="609" t="s">
        <v>983</v>
      </c>
      <c r="AA2465" s="609" t="s">
        <v>5660</v>
      </c>
    </row>
    <row r="2466" spans="1:34" s="289" customFormat="1" ht="0.75" customHeight="1">
      <c r="A2466" s="2712"/>
      <c r="B2466" s="371"/>
      <c r="C2466" s="371"/>
      <c r="D2466" s="371"/>
      <c r="E2466" s="586"/>
      <c r="F2466" s="586"/>
      <c r="G2466" s="586" t="s">
        <v>3498</v>
      </c>
      <c r="H2466" s="371" t="s">
        <v>6217</v>
      </c>
      <c r="I2466" s="371" t="s">
        <v>6218</v>
      </c>
      <c r="J2466" s="371" t="s">
        <v>6219</v>
      </c>
      <c r="K2466" s="371" t="s">
        <v>6220</v>
      </c>
      <c r="L2466" s="371" t="s">
        <v>6221</v>
      </c>
      <c r="M2466" s="371" t="s">
        <v>6222</v>
      </c>
      <c r="N2466" s="371" t="s">
        <v>6223</v>
      </c>
      <c r="O2466" s="371" t="s">
        <v>6224</v>
      </c>
      <c r="P2466" s="371" t="s">
        <v>6225</v>
      </c>
      <c r="Q2466" s="371" t="s">
        <v>6226</v>
      </c>
      <c r="R2466" s="371" t="s">
        <v>6227</v>
      </c>
      <c r="S2466" s="564"/>
      <c r="T2466" s="292"/>
      <c r="U2466" s="292"/>
      <c r="V2466" s="292"/>
      <c r="W2466" s="292"/>
      <c r="X2466" s="292"/>
      <c r="Y2466" s="292"/>
      <c r="Z2466" s="609" t="s">
        <v>983</v>
      </c>
      <c r="AA2466" s="609" t="s">
        <v>5660</v>
      </c>
      <c r="AB2466" s="369"/>
      <c r="AC2466" s="369"/>
      <c r="AD2466" s="369"/>
      <c r="AE2466" s="369"/>
      <c r="AF2466" s="292"/>
      <c r="AG2466" s="292"/>
      <c r="AH2466" s="292"/>
    </row>
    <row r="2467" spans="1:34" s="289" customFormat="1" ht="0.75" customHeight="1" thickBot="1">
      <c r="A2467" s="2712"/>
      <c r="B2467" s="371"/>
      <c r="C2467" s="371"/>
      <c r="D2467" s="371"/>
      <c r="E2467" s="586"/>
      <c r="F2467" s="586"/>
      <c r="G2467" s="586"/>
      <c r="H2467" s="371" t="s">
        <v>3293</v>
      </c>
      <c r="I2467" s="371" t="s">
        <v>3500</v>
      </c>
      <c r="J2467" s="371" t="s">
        <v>3501</v>
      </c>
      <c r="K2467" s="371" t="s">
        <v>3502</v>
      </c>
      <c r="L2467" s="371" t="s">
        <v>3503</v>
      </c>
      <c r="M2467" s="371" t="s">
        <v>3504</v>
      </c>
      <c r="N2467" s="371" t="s">
        <v>3505</v>
      </c>
      <c r="O2467" s="371" t="s">
        <v>3506</v>
      </c>
      <c r="P2467" s="371" t="s">
        <v>3507</v>
      </c>
      <c r="Q2467" s="371" t="s">
        <v>3508</v>
      </c>
      <c r="R2467" s="371" t="s">
        <v>3509</v>
      </c>
      <c r="S2467" s="565"/>
      <c r="T2467" s="292"/>
      <c r="U2467" s="292"/>
      <c r="V2467" s="292"/>
      <c r="W2467" s="292"/>
      <c r="X2467" s="292"/>
      <c r="Y2467" s="292"/>
      <c r="Z2467" s="609" t="s">
        <v>983</v>
      </c>
      <c r="AA2467" s="609" t="s">
        <v>5660</v>
      </c>
      <c r="AB2467" s="369"/>
      <c r="AC2467" s="369"/>
      <c r="AD2467" s="369"/>
      <c r="AE2467" s="369"/>
      <c r="AF2467" s="292"/>
      <c r="AG2467" s="292"/>
      <c r="AH2467" s="292"/>
    </row>
    <row r="2468" spans="1:34" s="289" customFormat="1" ht="17.25" customHeight="1">
      <c r="A2468" s="2712"/>
      <c r="B2468" s="371"/>
      <c r="C2468" s="371"/>
      <c r="D2468" s="371"/>
      <c r="E2468" s="586" t="s">
        <v>2749</v>
      </c>
      <c r="F2468" s="563"/>
      <c r="G2468" s="3487" t="s">
        <v>3376</v>
      </c>
      <c r="H2468" s="3563" t="str">
        <f>$V$3</f>
        <v>2018年12月31日</v>
      </c>
      <c r="I2468" s="3519" t="s">
        <v>3510</v>
      </c>
      <c r="J2468" s="3519"/>
      <c r="K2468" s="3519"/>
      <c r="L2468" s="3519"/>
      <c r="M2468" s="3519"/>
      <c r="N2468" s="3519"/>
      <c r="O2468" s="3519"/>
      <c r="P2468" s="3519"/>
      <c r="Q2468" s="3563" t="str">
        <f>$V$2</f>
        <v>2019年12月31日</v>
      </c>
      <c r="R2468" s="3595" t="s">
        <v>3511</v>
      </c>
      <c r="S2468" s="355" t="s">
        <v>5281</v>
      </c>
      <c r="T2468" s="292"/>
      <c r="U2468" s="292"/>
      <c r="V2468" s="292"/>
      <c r="W2468" s="292"/>
      <c r="X2468" s="292"/>
      <c r="Y2468" s="292"/>
      <c r="Z2468" s="609" t="s">
        <v>983</v>
      </c>
      <c r="AA2468" s="609" t="s">
        <v>5660</v>
      </c>
      <c r="AB2468" s="369"/>
      <c r="AC2468" s="369"/>
      <c r="AD2468" s="369"/>
      <c r="AE2468" s="369"/>
      <c r="AF2468" s="292"/>
      <c r="AG2468" s="292"/>
      <c r="AH2468" s="292"/>
    </row>
    <row r="2469" spans="1:34" ht="36">
      <c r="A2469" s="2712"/>
      <c r="B2469" s="371"/>
      <c r="C2469" s="371"/>
      <c r="D2469" s="371"/>
      <c r="E2469" s="586" t="s">
        <v>2749</v>
      </c>
      <c r="F2469" s="363"/>
      <c r="G2469" s="3488"/>
      <c r="H2469" s="3564"/>
      <c r="I2469" s="2281" t="s">
        <v>3512</v>
      </c>
      <c r="J2469" s="2281" t="s">
        <v>3513</v>
      </c>
      <c r="K2469" s="2281" t="s">
        <v>3514</v>
      </c>
      <c r="L2469" s="2281" t="s">
        <v>3515</v>
      </c>
      <c r="M2469" s="2281" t="s">
        <v>3516</v>
      </c>
      <c r="N2469" s="2281" t="s">
        <v>3517</v>
      </c>
      <c r="O2469" s="2281" t="s">
        <v>3518</v>
      </c>
      <c r="P2469" s="2281" t="s">
        <v>3519</v>
      </c>
      <c r="Q2469" s="3564"/>
      <c r="R2469" s="3596"/>
      <c r="S2469" s="367"/>
      <c r="Z2469" s="609" t="s">
        <v>983</v>
      </c>
      <c r="AA2469" s="609" t="s">
        <v>5660</v>
      </c>
    </row>
    <row r="2470" spans="1:34" ht="18">
      <c r="A2470" s="2712"/>
      <c r="B2470" s="371">
        <v>101</v>
      </c>
      <c r="C2470" s="371"/>
      <c r="D2470" s="2714">
        <f t="shared" ref="D2470:D2496" si="259">IF(OR(G2470="*",G2470="",G2470=0),0,COUNTIF($G$2470:$G$2496,G2470))</f>
        <v>1</v>
      </c>
      <c r="E2470" s="2719" t="s">
        <v>41</v>
      </c>
      <c r="F2470" s="294"/>
      <c r="G2470" s="1472" t="s">
        <v>3520</v>
      </c>
      <c r="H2470" s="2273"/>
      <c r="I2470" s="2273"/>
      <c r="J2470" s="2273"/>
      <c r="K2470" s="2273"/>
      <c r="L2470" s="2273"/>
      <c r="M2470" s="2273"/>
      <c r="N2470" s="2273"/>
      <c r="O2470" s="2273"/>
      <c r="P2470" s="2273"/>
      <c r="Q2470" s="2273"/>
      <c r="R2470" s="2294"/>
      <c r="S2470" s="367"/>
      <c r="Z2470" s="609" t="s">
        <v>983</v>
      </c>
      <c r="AA2470" s="609" t="s">
        <v>5660</v>
      </c>
    </row>
    <row r="2471" spans="1:34" ht="18">
      <c r="A2471" s="2712"/>
      <c r="B2471" s="371">
        <v>101.001</v>
      </c>
      <c r="C2471" s="371" t="s">
        <v>2791</v>
      </c>
      <c r="D2471" s="2714">
        <f t="shared" si="259"/>
        <v>0</v>
      </c>
      <c r="E2471" s="2719" t="s">
        <v>3521</v>
      </c>
      <c r="F2471" s="294"/>
      <c r="G2471" s="2282" t="s">
        <v>2792</v>
      </c>
      <c r="H2471" s="2273"/>
      <c r="I2471" s="2273"/>
      <c r="J2471" s="2273"/>
      <c r="K2471" s="2273"/>
      <c r="L2471" s="2273"/>
      <c r="M2471" s="2273"/>
      <c r="N2471" s="2273"/>
      <c r="O2471" s="2273"/>
      <c r="P2471" s="2273"/>
      <c r="Q2471" s="1474">
        <f>SUM(H2471:I2471,-J2471,K2471:M2471,-N2471,-O2471,P2471)</f>
        <v>0</v>
      </c>
      <c r="R2471" s="2294"/>
      <c r="S2471" s="367"/>
      <c r="Z2471" s="609" t="s">
        <v>983</v>
      </c>
      <c r="AA2471" s="609" t="s">
        <v>5660</v>
      </c>
    </row>
    <row r="2472" spans="1:34" ht="18">
      <c r="A2472" s="2712"/>
      <c r="B2472" s="371">
        <v>101.002</v>
      </c>
      <c r="C2472" s="371" t="s">
        <v>2791</v>
      </c>
      <c r="D2472" s="2714">
        <f t="shared" si="259"/>
        <v>0</v>
      </c>
      <c r="E2472" s="2719" t="s">
        <v>3521</v>
      </c>
      <c r="F2472" s="294"/>
      <c r="G2472" s="2282" t="s">
        <v>2792</v>
      </c>
      <c r="H2472" s="2273"/>
      <c r="I2472" s="2273"/>
      <c r="J2472" s="2273"/>
      <c r="K2472" s="2273"/>
      <c r="L2472" s="2273"/>
      <c r="M2472" s="2273"/>
      <c r="N2472" s="2273"/>
      <c r="O2472" s="2273"/>
      <c r="P2472" s="2273"/>
      <c r="Q2472" s="1474">
        <f t="shared" ref="Q2472:Q2480" si="260">SUM(H2472:I2472,-J2472,K2472:M2472,-N2472,-O2472,P2472)</f>
        <v>0</v>
      </c>
      <c r="R2472" s="2294"/>
      <c r="S2472" s="367"/>
      <c r="Z2472" s="609" t="s">
        <v>983</v>
      </c>
      <c r="AA2472" s="609" t="s">
        <v>5660</v>
      </c>
    </row>
    <row r="2473" spans="1:34" ht="18">
      <c r="A2473" s="2712"/>
      <c r="B2473" s="371">
        <v>101.003</v>
      </c>
      <c r="C2473" s="371" t="s">
        <v>2791</v>
      </c>
      <c r="D2473" s="2714">
        <f t="shared" si="259"/>
        <v>0</v>
      </c>
      <c r="E2473" s="2719" t="s">
        <v>3521</v>
      </c>
      <c r="F2473" s="294"/>
      <c r="G2473" s="2282" t="s">
        <v>2792</v>
      </c>
      <c r="H2473" s="2273"/>
      <c r="I2473" s="2273"/>
      <c r="J2473" s="2273"/>
      <c r="K2473" s="2273"/>
      <c r="L2473" s="2273"/>
      <c r="M2473" s="2273"/>
      <c r="N2473" s="2273"/>
      <c r="O2473" s="2273"/>
      <c r="P2473" s="2273"/>
      <c r="Q2473" s="1474">
        <f t="shared" si="260"/>
        <v>0</v>
      </c>
      <c r="R2473" s="2294"/>
      <c r="S2473" s="367"/>
      <c r="Z2473" s="609" t="s">
        <v>983</v>
      </c>
      <c r="AA2473" s="609" t="s">
        <v>5660</v>
      </c>
    </row>
    <row r="2474" spans="1:34" ht="18">
      <c r="A2474" s="2712"/>
      <c r="B2474" s="371">
        <v>101.004</v>
      </c>
      <c r="C2474" s="371" t="s">
        <v>2791</v>
      </c>
      <c r="D2474" s="2714">
        <f t="shared" si="259"/>
        <v>0</v>
      </c>
      <c r="E2474" s="2719" t="s">
        <v>3521</v>
      </c>
      <c r="F2474" s="294"/>
      <c r="G2474" s="2282" t="s">
        <v>2792</v>
      </c>
      <c r="H2474" s="2273"/>
      <c r="I2474" s="2273"/>
      <c r="J2474" s="2273"/>
      <c r="K2474" s="2273"/>
      <c r="L2474" s="2273"/>
      <c r="M2474" s="2273"/>
      <c r="N2474" s="2273"/>
      <c r="O2474" s="2273"/>
      <c r="P2474" s="2273"/>
      <c r="Q2474" s="1474">
        <f t="shared" si="260"/>
        <v>0</v>
      </c>
      <c r="R2474" s="2294"/>
      <c r="S2474" s="367"/>
      <c r="Z2474" s="609" t="s">
        <v>983</v>
      </c>
      <c r="AA2474" s="609" t="s">
        <v>5660</v>
      </c>
    </row>
    <row r="2475" spans="1:34" ht="18">
      <c r="A2475" s="2712"/>
      <c r="B2475" s="371">
        <v>101.005</v>
      </c>
      <c r="C2475" s="371" t="s">
        <v>2791</v>
      </c>
      <c r="D2475" s="2714">
        <f t="shared" si="259"/>
        <v>0</v>
      </c>
      <c r="E2475" s="2719" t="s">
        <v>3521</v>
      </c>
      <c r="F2475" s="294"/>
      <c r="G2475" s="2282" t="s">
        <v>2792</v>
      </c>
      <c r="H2475" s="2273"/>
      <c r="I2475" s="2273"/>
      <c r="J2475" s="2273"/>
      <c r="K2475" s="2273"/>
      <c r="L2475" s="2273"/>
      <c r="M2475" s="2273"/>
      <c r="N2475" s="2273"/>
      <c r="O2475" s="2273"/>
      <c r="P2475" s="2273"/>
      <c r="Q2475" s="1474">
        <f t="shared" si="260"/>
        <v>0</v>
      </c>
      <c r="R2475" s="2294"/>
      <c r="S2475" s="367"/>
      <c r="Z2475" s="609" t="s">
        <v>983</v>
      </c>
      <c r="AA2475" s="609" t="s">
        <v>5660</v>
      </c>
    </row>
    <row r="2476" spans="1:34" ht="18">
      <c r="A2476" s="2712"/>
      <c r="B2476" s="371">
        <v>101.006</v>
      </c>
      <c r="C2476" s="371" t="s">
        <v>2791</v>
      </c>
      <c r="D2476" s="2714">
        <f t="shared" si="259"/>
        <v>0</v>
      </c>
      <c r="E2476" s="2719" t="s">
        <v>3521</v>
      </c>
      <c r="F2476" s="294"/>
      <c r="G2476" s="2282" t="s">
        <v>2792</v>
      </c>
      <c r="H2476" s="2273"/>
      <c r="I2476" s="2273"/>
      <c r="J2476" s="2273"/>
      <c r="K2476" s="2273"/>
      <c r="L2476" s="2273"/>
      <c r="M2476" s="2273"/>
      <c r="N2476" s="2273"/>
      <c r="O2476" s="2273"/>
      <c r="P2476" s="2273"/>
      <c r="Q2476" s="1474">
        <f t="shared" si="260"/>
        <v>0</v>
      </c>
      <c r="R2476" s="2294"/>
      <c r="S2476" s="367"/>
      <c r="Z2476" s="609" t="s">
        <v>983</v>
      </c>
      <c r="AA2476" s="609" t="s">
        <v>5660</v>
      </c>
    </row>
    <row r="2477" spans="1:34" ht="18">
      <c r="A2477" s="2712"/>
      <c r="B2477" s="371">
        <v>101.00700000000001</v>
      </c>
      <c r="C2477" s="371" t="s">
        <v>2791</v>
      </c>
      <c r="D2477" s="2714">
        <f t="shared" si="259"/>
        <v>0</v>
      </c>
      <c r="E2477" s="2719" t="s">
        <v>3521</v>
      </c>
      <c r="F2477" s="294"/>
      <c r="G2477" s="2282" t="s">
        <v>2792</v>
      </c>
      <c r="H2477" s="2273"/>
      <c r="I2477" s="2273"/>
      <c r="J2477" s="2273"/>
      <c r="K2477" s="2273"/>
      <c r="L2477" s="2273"/>
      <c r="M2477" s="2273"/>
      <c r="N2477" s="2273"/>
      <c r="O2477" s="2273"/>
      <c r="P2477" s="2273"/>
      <c r="Q2477" s="1474">
        <f t="shared" si="260"/>
        <v>0</v>
      </c>
      <c r="R2477" s="2294"/>
      <c r="S2477" s="367"/>
      <c r="Z2477" s="609" t="s">
        <v>983</v>
      </c>
      <c r="AA2477" s="609" t="s">
        <v>5660</v>
      </c>
    </row>
    <row r="2478" spans="1:34" ht="18">
      <c r="A2478" s="2712"/>
      <c r="B2478" s="371">
        <v>101.008</v>
      </c>
      <c r="C2478" s="371" t="s">
        <v>2791</v>
      </c>
      <c r="D2478" s="2714">
        <f t="shared" si="259"/>
        <v>0</v>
      </c>
      <c r="E2478" s="2719" t="s">
        <v>3521</v>
      </c>
      <c r="F2478" s="294"/>
      <c r="G2478" s="2282" t="s">
        <v>2792</v>
      </c>
      <c r="H2478" s="2273"/>
      <c r="I2478" s="2273"/>
      <c r="J2478" s="2273"/>
      <c r="K2478" s="2273"/>
      <c r="L2478" s="2273"/>
      <c r="M2478" s="2273"/>
      <c r="N2478" s="2273"/>
      <c r="O2478" s="2273"/>
      <c r="P2478" s="2273"/>
      <c r="Q2478" s="1474">
        <f t="shared" si="260"/>
        <v>0</v>
      </c>
      <c r="R2478" s="2294"/>
      <c r="S2478" s="367"/>
      <c r="Z2478" s="609" t="s">
        <v>983</v>
      </c>
      <c r="AA2478" s="609" t="s">
        <v>5660</v>
      </c>
    </row>
    <row r="2479" spans="1:34" ht="18">
      <c r="A2479" s="2712"/>
      <c r="B2479" s="371">
        <v>101.009</v>
      </c>
      <c r="C2479" s="371" t="s">
        <v>2791</v>
      </c>
      <c r="D2479" s="2714">
        <f t="shared" si="259"/>
        <v>0</v>
      </c>
      <c r="E2479" s="2719" t="s">
        <v>3521</v>
      </c>
      <c r="F2479" s="294"/>
      <c r="G2479" s="2282" t="s">
        <v>2792</v>
      </c>
      <c r="H2479" s="2273"/>
      <c r="I2479" s="2273"/>
      <c r="J2479" s="2273"/>
      <c r="K2479" s="2273"/>
      <c r="L2479" s="2273"/>
      <c r="M2479" s="2273"/>
      <c r="N2479" s="2273"/>
      <c r="O2479" s="2273"/>
      <c r="P2479" s="2273"/>
      <c r="Q2479" s="1474">
        <f t="shared" si="260"/>
        <v>0</v>
      </c>
      <c r="R2479" s="2294"/>
      <c r="S2479" s="367"/>
      <c r="Z2479" s="609" t="s">
        <v>983</v>
      </c>
      <c r="AA2479" s="609" t="s">
        <v>5660</v>
      </c>
    </row>
    <row r="2480" spans="1:34" ht="18">
      <c r="A2480" s="2712"/>
      <c r="B2480" s="371">
        <v>101.01</v>
      </c>
      <c r="C2480" s="371" t="s">
        <v>2791</v>
      </c>
      <c r="D2480" s="2714">
        <f t="shared" si="259"/>
        <v>0</v>
      </c>
      <c r="E2480" s="2719" t="s">
        <v>3521</v>
      </c>
      <c r="F2480" s="294"/>
      <c r="G2480" s="2282" t="s">
        <v>2792</v>
      </c>
      <c r="H2480" s="2273"/>
      <c r="I2480" s="2273"/>
      <c r="J2480" s="2273"/>
      <c r="K2480" s="2273"/>
      <c r="L2480" s="2273"/>
      <c r="M2480" s="2273"/>
      <c r="N2480" s="2273"/>
      <c r="O2480" s="2273"/>
      <c r="P2480" s="2273"/>
      <c r="Q2480" s="1474">
        <f t="shared" si="260"/>
        <v>0</v>
      </c>
      <c r="R2480" s="2294"/>
      <c r="S2480" s="367"/>
      <c r="Z2480" s="609" t="s">
        <v>983</v>
      </c>
      <c r="AA2480" s="609" t="s">
        <v>5660</v>
      </c>
    </row>
    <row r="2481" spans="1:29" ht="18">
      <c r="A2481" s="2712"/>
      <c r="B2481" s="371">
        <v>101.999</v>
      </c>
      <c r="C2481" s="371" t="s">
        <v>2793</v>
      </c>
      <c r="D2481" s="2714">
        <f t="shared" si="259"/>
        <v>1</v>
      </c>
      <c r="E2481" s="2719">
        <v>1</v>
      </c>
      <c r="F2481" s="294"/>
      <c r="G2481" s="1472" t="s">
        <v>3521</v>
      </c>
      <c r="H2481" s="1474">
        <f t="shared" ref="H2481:R2481" si="261">SUMIF($E$2469:$E$2495,$G2481,H$2469:H$2495)</f>
        <v>0</v>
      </c>
      <c r="I2481" s="1474">
        <f t="shared" si="261"/>
        <v>0</v>
      </c>
      <c r="J2481" s="1474">
        <f t="shared" si="261"/>
        <v>0</v>
      </c>
      <c r="K2481" s="1474">
        <f t="shared" si="261"/>
        <v>0</v>
      </c>
      <c r="L2481" s="1474">
        <f t="shared" si="261"/>
        <v>0</v>
      </c>
      <c r="M2481" s="1474">
        <f t="shared" si="261"/>
        <v>0</v>
      </c>
      <c r="N2481" s="1474">
        <f t="shared" si="261"/>
        <v>0</v>
      </c>
      <c r="O2481" s="1474">
        <f t="shared" si="261"/>
        <v>0</v>
      </c>
      <c r="P2481" s="1474">
        <f t="shared" si="261"/>
        <v>0</v>
      </c>
      <c r="Q2481" s="1474">
        <f t="shared" si="261"/>
        <v>0</v>
      </c>
      <c r="R2481" s="1475">
        <f t="shared" si="261"/>
        <v>0</v>
      </c>
      <c r="S2481" s="367"/>
      <c r="Z2481" s="609" t="s">
        <v>983</v>
      </c>
      <c r="AA2481" s="609" t="s">
        <v>5660</v>
      </c>
    </row>
    <row r="2482" spans="1:29" ht="18">
      <c r="A2482" s="2712"/>
      <c r="B2482" s="371">
        <v>102</v>
      </c>
      <c r="C2482" s="371"/>
      <c r="D2482" s="2714">
        <f t="shared" si="259"/>
        <v>1</v>
      </c>
      <c r="E2482" s="2719" t="s">
        <v>41</v>
      </c>
      <c r="F2482" s="294"/>
      <c r="G2482" s="1472" t="s">
        <v>3522</v>
      </c>
      <c r="H2482" s="2273"/>
      <c r="I2482" s="2273"/>
      <c r="J2482" s="2273"/>
      <c r="K2482" s="2273"/>
      <c r="L2482" s="2273"/>
      <c r="M2482" s="2273"/>
      <c r="N2482" s="2273"/>
      <c r="O2482" s="2273"/>
      <c r="P2482" s="2273"/>
      <c r="Q2482" s="1474">
        <f t="shared" ref="Q2482:Q2492" si="262">SUM(H2482:I2482,-J2482,K2482:M2482,-N2482,-O2482,P2482)</f>
        <v>0</v>
      </c>
      <c r="R2482" s="2294"/>
      <c r="S2482" s="367"/>
      <c r="Z2482" s="609" t="s">
        <v>983</v>
      </c>
      <c r="AA2482" s="609" t="s">
        <v>5660</v>
      </c>
    </row>
    <row r="2483" spans="1:29" ht="18">
      <c r="A2483" s="2712"/>
      <c r="B2483" s="371">
        <v>102.001</v>
      </c>
      <c r="C2483" s="371" t="s">
        <v>2791</v>
      </c>
      <c r="D2483" s="2714">
        <f t="shared" si="259"/>
        <v>0</v>
      </c>
      <c r="E2483" s="2719" t="s">
        <v>3523</v>
      </c>
      <c r="F2483" s="294"/>
      <c r="G2483" s="2282" t="s">
        <v>2792</v>
      </c>
      <c r="H2483" s="2273"/>
      <c r="I2483" s="2273"/>
      <c r="J2483" s="2273"/>
      <c r="K2483" s="2273"/>
      <c r="L2483" s="2273"/>
      <c r="M2483" s="2273"/>
      <c r="N2483" s="2273"/>
      <c r="O2483" s="2273"/>
      <c r="P2483" s="2273"/>
      <c r="Q2483" s="1474">
        <f t="shared" si="262"/>
        <v>0</v>
      </c>
      <c r="R2483" s="2294"/>
      <c r="S2483" s="367"/>
      <c r="Z2483" s="609" t="s">
        <v>983</v>
      </c>
      <c r="AA2483" s="609" t="s">
        <v>5660</v>
      </c>
    </row>
    <row r="2484" spans="1:29" ht="18">
      <c r="A2484" s="2712"/>
      <c r="B2484" s="371">
        <v>102.002</v>
      </c>
      <c r="C2484" s="371" t="s">
        <v>2791</v>
      </c>
      <c r="D2484" s="2714">
        <f t="shared" si="259"/>
        <v>0</v>
      </c>
      <c r="E2484" s="2719" t="s">
        <v>3523</v>
      </c>
      <c r="F2484" s="294"/>
      <c r="G2484" s="2282" t="s">
        <v>2792</v>
      </c>
      <c r="H2484" s="2273"/>
      <c r="I2484" s="2273"/>
      <c r="J2484" s="2273"/>
      <c r="K2484" s="2273"/>
      <c r="L2484" s="2273"/>
      <c r="M2484" s="2273"/>
      <c r="N2484" s="2273"/>
      <c r="O2484" s="2273"/>
      <c r="P2484" s="2273"/>
      <c r="Q2484" s="1474">
        <f t="shared" si="262"/>
        <v>0</v>
      </c>
      <c r="R2484" s="2294"/>
      <c r="S2484" s="367"/>
      <c r="Z2484" s="609" t="s">
        <v>983</v>
      </c>
      <c r="AA2484" s="609" t="s">
        <v>5660</v>
      </c>
    </row>
    <row r="2485" spans="1:29" ht="18">
      <c r="A2485" s="2712"/>
      <c r="B2485" s="371">
        <v>102.003</v>
      </c>
      <c r="C2485" s="371" t="s">
        <v>2791</v>
      </c>
      <c r="D2485" s="2714">
        <f t="shared" si="259"/>
        <v>0</v>
      </c>
      <c r="E2485" s="2719" t="s">
        <v>3523</v>
      </c>
      <c r="F2485" s="294"/>
      <c r="G2485" s="2282" t="s">
        <v>2792</v>
      </c>
      <c r="H2485" s="2273"/>
      <c r="I2485" s="2273"/>
      <c r="J2485" s="2273"/>
      <c r="K2485" s="2273"/>
      <c r="L2485" s="2273"/>
      <c r="M2485" s="2273"/>
      <c r="N2485" s="2273"/>
      <c r="O2485" s="2273"/>
      <c r="P2485" s="2273"/>
      <c r="Q2485" s="1474">
        <f t="shared" si="262"/>
        <v>0</v>
      </c>
      <c r="R2485" s="2294"/>
      <c r="S2485" s="367"/>
      <c r="Z2485" s="609" t="s">
        <v>983</v>
      </c>
      <c r="AA2485" s="609" t="s">
        <v>5660</v>
      </c>
    </row>
    <row r="2486" spans="1:29" ht="18">
      <c r="A2486" s="2712"/>
      <c r="B2486" s="371">
        <v>102.004</v>
      </c>
      <c r="C2486" s="371" t="s">
        <v>2791</v>
      </c>
      <c r="D2486" s="2714">
        <f t="shared" si="259"/>
        <v>0</v>
      </c>
      <c r="E2486" s="2719" t="s">
        <v>3523</v>
      </c>
      <c r="F2486" s="294"/>
      <c r="G2486" s="2282" t="s">
        <v>2792</v>
      </c>
      <c r="H2486" s="2273"/>
      <c r="I2486" s="2273"/>
      <c r="J2486" s="2273"/>
      <c r="K2486" s="2273"/>
      <c r="L2486" s="2273"/>
      <c r="M2486" s="2273"/>
      <c r="N2486" s="2273"/>
      <c r="O2486" s="2273"/>
      <c r="P2486" s="2273"/>
      <c r="Q2486" s="1474">
        <f t="shared" si="262"/>
        <v>0</v>
      </c>
      <c r="R2486" s="2294"/>
      <c r="S2486" s="367"/>
      <c r="Z2486" s="609" t="s">
        <v>983</v>
      </c>
      <c r="AA2486" s="609" t="s">
        <v>5660</v>
      </c>
    </row>
    <row r="2487" spans="1:29" ht="18">
      <c r="A2487" s="2712"/>
      <c r="B2487" s="371">
        <v>102.005</v>
      </c>
      <c r="C2487" s="371" t="s">
        <v>2791</v>
      </c>
      <c r="D2487" s="2714">
        <f t="shared" si="259"/>
        <v>0</v>
      </c>
      <c r="E2487" s="2719" t="s">
        <v>3523</v>
      </c>
      <c r="F2487" s="294"/>
      <c r="G2487" s="2282" t="s">
        <v>2792</v>
      </c>
      <c r="H2487" s="2273"/>
      <c r="I2487" s="2273"/>
      <c r="J2487" s="2273"/>
      <c r="K2487" s="2273"/>
      <c r="L2487" s="2273"/>
      <c r="M2487" s="2273"/>
      <c r="N2487" s="2273"/>
      <c r="O2487" s="2273"/>
      <c r="P2487" s="2273"/>
      <c r="Q2487" s="1474">
        <f t="shared" si="262"/>
        <v>0</v>
      </c>
      <c r="R2487" s="2294"/>
      <c r="S2487" s="367"/>
      <c r="Z2487" s="609" t="s">
        <v>983</v>
      </c>
      <c r="AA2487" s="609" t="s">
        <v>5660</v>
      </c>
    </row>
    <row r="2488" spans="1:29" ht="18">
      <c r="A2488" s="2712"/>
      <c r="B2488" s="371">
        <v>102.006</v>
      </c>
      <c r="C2488" s="371" t="s">
        <v>2791</v>
      </c>
      <c r="D2488" s="2714">
        <f t="shared" si="259"/>
        <v>0</v>
      </c>
      <c r="E2488" s="2719" t="s">
        <v>3523</v>
      </c>
      <c r="F2488" s="294"/>
      <c r="G2488" s="2282" t="s">
        <v>2792</v>
      </c>
      <c r="H2488" s="2273"/>
      <c r="I2488" s="2273"/>
      <c r="J2488" s="2273"/>
      <c r="K2488" s="2273"/>
      <c r="L2488" s="2273"/>
      <c r="M2488" s="2273"/>
      <c r="N2488" s="2273"/>
      <c r="O2488" s="2273"/>
      <c r="P2488" s="2273"/>
      <c r="Q2488" s="1474">
        <f t="shared" si="262"/>
        <v>0</v>
      </c>
      <c r="R2488" s="2294"/>
      <c r="S2488" s="367"/>
      <c r="Z2488" s="609" t="s">
        <v>983</v>
      </c>
      <c r="AA2488" s="609" t="s">
        <v>5660</v>
      </c>
    </row>
    <row r="2489" spans="1:29" ht="18">
      <c r="A2489" s="2712"/>
      <c r="B2489" s="371">
        <v>102.00700000000001</v>
      </c>
      <c r="C2489" s="371" t="s">
        <v>2791</v>
      </c>
      <c r="D2489" s="2714">
        <f t="shared" si="259"/>
        <v>0</v>
      </c>
      <c r="E2489" s="2719" t="s">
        <v>3523</v>
      </c>
      <c r="F2489" s="294"/>
      <c r="G2489" s="2282" t="s">
        <v>2792</v>
      </c>
      <c r="H2489" s="2273"/>
      <c r="I2489" s="2273"/>
      <c r="J2489" s="2273"/>
      <c r="K2489" s="2273"/>
      <c r="L2489" s="2273"/>
      <c r="M2489" s="2273"/>
      <c r="N2489" s="2273"/>
      <c r="O2489" s="2273"/>
      <c r="P2489" s="2273"/>
      <c r="Q2489" s="1474">
        <f t="shared" si="262"/>
        <v>0</v>
      </c>
      <c r="R2489" s="2294"/>
      <c r="S2489" s="367"/>
      <c r="Z2489" s="609" t="s">
        <v>983</v>
      </c>
      <c r="AA2489" s="609" t="s">
        <v>5660</v>
      </c>
    </row>
    <row r="2490" spans="1:29" ht="18">
      <c r="A2490" s="2712"/>
      <c r="B2490" s="371">
        <v>102.008</v>
      </c>
      <c r="C2490" s="371" t="s">
        <v>2791</v>
      </c>
      <c r="D2490" s="2714">
        <f t="shared" si="259"/>
        <v>0</v>
      </c>
      <c r="E2490" s="2719" t="s">
        <v>3523</v>
      </c>
      <c r="F2490" s="294"/>
      <c r="G2490" s="2282" t="s">
        <v>2792</v>
      </c>
      <c r="H2490" s="2273"/>
      <c r="I2490" s="2273"/>
      <c r="J2490" s="2273"/>
      <c r="K2490" s="2273"/>
      <c r="L2490" s="2273"/>
      <c r="M2490" s="2273"/>
      <c r="N2490" s="2273"/>
      <c r="O2490" s="2273"/>
      <c r="P2490" s="2273"/>
      <c r="Q2490" s="1474">
        <f t="shared" si="262"/>
        <v>0</v>
      </c>
      <c r="R2490" s="2294"/>
      <c r="S2490" s="367"/>
      <c r="Z2490" s="609" t="s">
        <v>983</v>
      </c>
      <c r="AA2490" s="609" t="s">
        <v>5660</v>
      </c>
    </row>
    <row r="2491" spans="1:29" ht="18">
      <c r="A2491" s="2712"/>
      <c r="B2491" s="371">
        <v>102.009</v>
      </c>
      <c r="C2491" s="371" t="s">
        <v>2791</v>
      </c>
      <c r="D2491" s="2714">
        <f t="shared" si="259"/>
        <v>0</v>
      </c>
      <c r="E2491" s="2719" t="s">
        <v>3523</v>
      </c>
      <c r="F2491" s="294"/>
      <c r="G2491" s="2282" t="s">
        <v>2792</v>
      </c>
      <c r="H2491" s="2273"/>
      <c r="I2491" s="2273"/>
      <c r="J2491" s="2273"/>
      <c r="K2491" s="2273"/>
      <c r="L2491" s="2273"/>
      <c r="M2491" s="2273"/>
      <c r="N2491" s="2273"/>
      <c r="O2491" s="2273"/>
      <c r="P2491" s="2273"/>
      <c r="Q2491" s="1474">
        <f t="shared" si="262"/>
        <v>0</v>
      </c>
      <c r="R2491" s="2294"/>
      <c r="S2491" s="367"/>
      <c r="Z2491" s="609" t="s">
        <v>983</v>
      </c>
      <c r="AA2491" s="609" t="s">
        <v>5660</v>
      </c>
    </row>
    <row r="2492" spans="1:29" ht="18">
      <c r="A2492" s="2712"/>
      <c r="B2492" s="371">
        <v>102.01</v>
      </c>
      <c r="C2492" s="371" t="s">
        <v>2791</v>
      </c>
      <c r="D2492" s="2714">
        <f t="shared" si="259"/>
        <v>0</v>
      </c>
      <c r="E2492" s="2719" t="s">
        <v>3523</v>
      </c>
      <c r="F2492" s="294"/>
      <c r="G2492" s="2282" t="s">
        <v>2792</v>
      </c>
      <c r="H2492" s="2273"/>
      <c r="I2492" s="2273"/>
      <c r="J2492" s="2273"/>
      <c r="K2492" s="2273"/>
      <c r="L2492" s="2273"/>
      <c r="M2492" s="2273"/>
      <c r="N2492" s="2273"/>
      <c r="O2492" s="2273"/>
      <c r="P2492" s="2273"/>
      <c r="Q2492" s="1474">
        <f t="shared" si="262"/>
        <v>0</v>
      </c>
      <c r="R2492" s="2294"/>
      <c r="S2492" s="367"/>
      <c r="Z2492" s="609" t="s">
        <v>983</v>
      </c>
      <c r="AA2492" s="609" t="s">
        <v>5660</v>
      </c>
    </row>
    <row r="2493" spans="1:29" ht="18">
      <c r="A2493" s="2712"/>
      <c r="B2493" s="371">
        <v>102.999</v>
      </c>
      <c r="C2493" s="371" t="s">
        <v>2793</v>
      </c>
      <c r="D2493" s="2714">
        <f t="shared" si="259"/>
        <v>1</v>
      </c>
      <c r="E2493" s="2719">
        <v>1</v>
      </c>
      <c r="F2493" s="294"/>
      <c r="G2493" s="1472" t="s">
        <v>3523</v>
      </c>
      <c r="H2493" s="1474">
        <f t="shared" ref="H2493:R2493" si="263">SUMIF($E$2469:$E$2495,$G2493,H$2469:H$2495)</f>
        <v>0</v>
      </c>
      <c r="I2493" s="1474">
        <f t="shared" si="263"/>
        <v>0</v>
      </c>
      <c r="J2493" s="1474">
        <f t="shared" si="263"/>
        <v>0</v>
      </c>
      <c r="K2493" s="1474">
        <f t="shared" si="263"/>
        <v>0</v>
      </c>
      <c r="L2493" s="1474">
        <f t="shared" si="263"/>
        <v>0</v>
      </c>
      <c r="M2493" s="1474">
        <f t="shared" si="263"/>
        <v>0</v>
      </c>
      <c r="N2493" s="1474">
        <f t="shared" si="263"/>
        <v>0</v>
      </c>
      <c r="O2493" s="1474">
        <f t="shared" si="263"/>
        <v>0</v>
      </c>
      <c r="P2493" s="1474">
        <f t="shared" si="263"/>
        <v>0</v>
      </c>
      <c r="Q2493" s="1474">
        <f t="shared" si="263"/>
        <v>0</v>
      </c>
      <c r="R2493" s="1475">
        <f t="shared" si="263"/>
        <v>0</v>
      </c>
      <c r="S2493" s="367"/>
      <c r="Z2493" s="609" t="s">
        <v>983</v>
      </c>
      <c r="AA2493" s="609" t="s">
        <v>5660</v>
      </c>
    </row>
    <row r="2494" spans="1:29" ht="18">
      <c r="A2494" s="2712"/>
      <c r="B2494" s="371">
        <v>103</v>
      </c>
      <c r="C2494" s="371" t="s">
        <v>6559</v>
      </c>
      <c r="D2494" s="2714">
        <f t="shared" si="259"/>
        <v>0</v>
      </c>
      <c r="E2494" s="2719">
        <v>1</v>
      </c>
      <c r="F2494" s="294"/>
      <c r="G2494" s="2282" t="s">
        <v>2792</v>
      </c>
      <c r="H2494" s="2273"/>
      <c r="I2494" s="2273"/>
      <c r="J2494" s="2273"/>
      <c r="K2494" s="2273"/>
      <c r="L2494" s="2273"/>
      <c r="M2494" s="2273"/>
      <c r="N2494" s="2273"/>
      <c r="O2494" s="2273"/>
      <c r="P2494" s="2273"/>
      <c r="Q2494" s="1474">
        <f t="shared" ref="Q2494:Q2495" si="264">SUM(H2494:I2494,-J2494,K2494:M2494,-N2494,-O2494,P2494)</f>
        <v>0</v>
      </c>
      <c r="R2494" s="2294"/>
      <c r="S2494" s="367"/>
      <c r="Z2494" s="609" t="s">
        <v>983</v>
      </c>
      <c r="AA2494" s="609" t="s">
        <v>5660</v>
      </c>
    </row>
    <row r="2495" spans="1:29" ht="18">
      <c r="A2495" s="2712"/>
      <c r="B2495" s="371">
        <v>104</v>
      </c>
      <c r="C2495" s="371" t="s">
        <v>2791</v>
      </c>
      <c r="D2495" s="2714">
        <f t="shared" si="259"/>
        <v>0</v>
      </c>
      <c r="E2495" s="2719">
        <v>1</v>
      </c>
      <c r="F2495" s="294"/>
      <c r="G2495" s="2282" t="s">
        <v>2792</v>
      </c>
      <c r="H2495" s="2273"/>
      <c r="I2495" s="2273"/>
      <c r="J2495" s="2273"/>
      <c r="K2495" s="2273"/>
      <c r="L2495" s="2273"/>
      <c r="M2495" s="2273"/>
      <c r="N2495" s="2273"/>
      <c r="O2495" s="2273"/>
      <c r="P2495" s="2273"/>
      <c r="Q2495" s="1474">
        <f t="shared" si="264"/>
        <v>0</v>
      </c>
      <c r="R2495" s="2294"/>
      <c r="S2495" s="367"/>
      <c r="Z2495" s="609" t="s">
        <v>983</v>
      </c>
      <c r="AA2495" s="609" t="s">
        <v>5660</v>
      </c>
    </row>
    <row r="2496" spans="1:29" ht="18.75" thickBot="1">
      <c r="A2496" s="2712"/>
      <c r="B2496" s="371"/>
      <c r="C2496" s="371"/>
      <c r="D2496" s="2714">
        <f t="shared" si="259"/>
        <v>1</v>
      </c>
      <c r="E2496" s="2719" t="s">
        <v>3032</v>
      </c>
      <c r="F2496" s="294"/>
      <c r="G2496" s="374" t="s">
        <v>2752</v>
      </c>
      <c r="H2496" s="1476">
        <f t="shared" ref="H2496:R2496" si="265">SUMPRODUCT($E2469:$E2495,H2469:H2495)</f>
        <v>0</v>
      </c>
      <c r="I2496" s="1476">
        <f t="shared" si="265"/>
        <v>0</v>
      </c>
      <c r="J2496" s="1476">
        <f t="shared" si="265"/>
        <v>0</v>
      </c>
      <c r="K2496" s="1476">
        <f t="shared" si="265"/>
        <v>0</v>
      </c>
      <c r="L2496" s="1476">
        <f t="shared" si="265"/>
        <v>0</v>
      </c>
      <c r="M2496" s="1476">
        <f t="shared" si="265"/>
        <v>0</v>
      </c>
      <c r="N2496" s="1476">
        <f t="shared" si="265"/>
        <v>0</v>
      </c>
      <c r="O2496" s="1476">
        <f t="shared" si="265"/>
        <v>0</v>
      </c>
      <c r="P2496" s="1476">
        <f t="shared" si="265"/>
        <v>0</v>
      </c>
      <c r="Q2496" s="1476">
        <f t="shared" si="265"/>
        <v>0</v>
      </c>
      <c r="R2496" s="1477">
        <f t="shared" si="265"/>
        <v>0</v>
      </c>
      <c r="S2496" s="1594" t="str">
        <f ca="1">HYPERLINK("#'"&amp;$G$1&amp;"'!"&amp;ADDRESS(ROW(Notes!L4885),COLUMN(Notes!L4885),4),"* 请勿删除此行！点击往勾稽单元格，F5+Enter返回")</f>
        <v>* 请勿删除此行！点击往勾稽单元格，F5+Enter返回</v>
      </c>
      <c r="Z2496" s="609" t="s">
        <v>983</v>
      </c>
      <c r="AA2496" s="609" t="s">
        <v>5660</v>
      </c>
      <c r="AC2496" s="369" t="s">
        <v>6571</v>
      </c>
    </row>
    <row r="2497" spans="1:27" ht="18">
      <c r="A2497" s="2712"/>
      <c r="B2497" s="371"/>
      <c r="C2497" s="371" t="s">
        <v>2755</v>
      </c>
      <c r="D2497" s="371"/>
      <c r="F2497" s="294"/>
      <c r="G2497" s="557"/>
      <c r="H2497" s="315"/>
      <c r="I2497" s="315"/>
      <c r="J2497" s="315"/>
      <c r="K2497" s="315"/>
      <c r="L2497" s="315"/>
      <c r="M2497" s="315"/>
      <c r="N2497" s="315"/>
      <c r="O2497" s="315"/>
      <c r="P2497" s="315"/>
      <c r="Q2497" s="566"/>
      <c r="R2497" s="566"/>
      <c r="S2497" s="364"/>
      <c r="Z2497" s="609" t="s">
        <v>983</v>
      </c>
      <c r="AA2497" s="609" t="s">
        <v>5660</v>
      </c>
    </row>
    <row r="2498" spans="1:27" ht="17.25">
      <c r="A2498" s="2713">
        <v>1538</v>
      </c>
      <c r="B2498" s="371">
        <v>20</v>
      </c>
      <c r="C2498" s="2714" t="str">
        <f>VLOOKUP($A2498,Sheet_Items,2,0)</f>
        <v>其他权益工具投资</v>
      </c>
      <c r="D2498" s="371"/>
      <c r="E2498" s="2714" t="s">
        <v>2739</v>
      </c>
      <c r="F2498" s="293"/>
      <c r="G2498" s="305" t="str">
        <f>B2498&amp;" "&amp;C2498</f>
        <v>20 其他权益工具投资</v>
      </c>
      <c r="H2498" s="306"/>
      <c r="I2498" s="306"/>
      <c r="J2498" s="306" t="s">
        <v>2740</v>
      </c>
      <c r="K2498" s="341">
        <f>VLOOKUP($A2498,Sheet_Trialbal,6,0)</f>
        <v>0</v>
      </c>
      <c r="L2498" s="342"/>
      <c r="M2498" s="306" t="s">
        <v>2741</v>
      </c>
      <c r="N2498" s="341">
        <f>VLOOKUP($A2498,Sheet_Trialbal,10,0)</f>
        <v>0</v>
      </c>
      <c r="O2498" s="342"/>
      <c r="P2498" s="301"/>
      <c r="S2498" s="364"/>
      <c r="Z2498" s="609" t="s">
        <v>995</v>
      </c>
      <c r="AA2498" s="609" t="s">
        <v>3525</v>
      </c>
    </row>
    <row r="2499" spans="1:27" ht="18">
      <c r="A2499" s="2712" t="s">
        <v>993</v>
      </c>
      <c r="B2499" s="371">
        <v>1</v>
      </c>
      <c r="C2499" s="371"/>
      <c r="D2499" s="2714" t="str">
        <f>VLOOKUP($A2499,Sheet_NoteList,2,0)</f>
        <v>其他权益工具投资情况</v>
      </c>
      <c r="E2499" s="2714" t="s">
        <v>2742</v>
      </c>
      <c r="F2499" s="293"/>
      <c r="G2499" s="372" t="str">
        <f>"("&amp;B2499&amp;")"&amp;D2499</f>
        <v>(1)其他权益工具投资情况</v>
      </c>
      <c r="H2499" s="1515" t="str">
        <f>$A2499</f>
        <v>1538a</v>
      </c>
      <c r="I2499" s="343" t="s">
        <v>2743</v>
      </c>
      <c r="J2499" s="301" t="s">
        <v>2744</v>
      </c>
      <c r="K2499" s="2208">
        <f>H2506</f>
        <v>0</v>
      </c>
      <c r="L2499" s="349" t="str">
        <f>IF($I2499="适用",IF(ROUND(K$2498-K2499,2)=0,"F/S",ROUND(K$2498-K2499,2)),"#N/A")</f>
        <v>F/S</v>
      </c>
      <c r="M2499" s="301" t="s">
        <v>2745</v>
      </c>
      <c r="N2499" s="2208">
        <f>I2506</f>
        <v>0</v>
      </c>
      <c r="O2499" s="349" t="str">
        <f>IF($I2499="适用",IF(ROUND(N$2498-N2499,2)=0,"F/S",ROUND(N$2498-N2499,2)),"#N/A")</f>
        <v>F/S</v>
      </c>
      <c r="P2499" s="301"/>
      <c r="S2499" s="364"/>
      <c r="Z2499" s="609" t="s">
        <v>995</v>
      </c>
      <c r="AA2499" s="609" t="s">
        <v>3525</v>
      </c>
    </row>
    <row r="2500" spans="1:27" ht="0.75" customHeight="1" thickBot="1">
      <c r="A2500" s="2712"/>
      <c r="B2500" s="371"/>
      <c r="C2500" s="371"/>
      <c r="D2500" s="2714"/>
      <c r="F2500" s="371"/>
      <c r="G2500" s="405" t="s">
        <v>3526</v>
      </c>
      <c r="H2500" s="371" t="s">
        <v>2747</v>
      </c>
      <c r="I2500" s="371" t="s">
        <v>2748</v>
      </c>
      <c r="J2500" s="433"/>
      <c r="K2500" s="428"/>
      <c r="L2500" s="428"/>
      <c r="M2500" s="433"/>
      <c r="N2500" s="428"/>
      <c r="O2500" s="428"/>
      <c r="P2500" s="433"/>
      <c r="Q2500" s="442"/>
      <c r="R2500" s="443"/>
      <c r="S2500" s="364"/>
      <c r="Z2500" s="609" t="s">
        <v>995</v>
      </c>
      <c r="AA2500" s="609" t="s">
        <v>3525</v>
      </c>
    </row>
    <row r="2501" spans="1:27" ht="18">
      <c r="A2501" s="2712"/>
      <c r="B2501" s="371"/>
      <c r="C2501" s="371"/>
      <c r="D2501" s="2714"/>
      <c r="E2501" s="2714" t="s">
        <v>2749</v>
      </c>
      <c r="F2501" s="293"/>
      <c r="G2501" s="2303" t="s">
        <v>5486</v>
      </c>
      <c r="H2501" s="2304" t="str">
        <f>$V$2</f>
        <v>2019年12月31日</v>
      </c>
      <c r="I2501" s="2305" t="str">
        <f>$V$3</f>
        <v>2018年12月31日</v>
      </c>
      <c r="J2501" s="355" t="s">
        <v>5282</v>
      </c>
      <c r="K2501" s="434"/>
      <c r="L2501" s="434"/>
      <c r="M2501" s="435"/>
      <c r="N2501" s="434"/>
      <c r="O2501" s="434"/>
      <c r="P2501" s="435"/>
      <c r="Q2501" s="442"/>
      <c r="R2501" s="443"/>
      <c r="S2501" s="364"/>
      <c r="Z2501" s="609" t="s">
        <v>995</v>
      </c>
      <c r="AA2501" s="609" t="s">
        <v>3525</v>
      </c>
    </row>
    <row r="2502" spans="1:27" ht="18">
      <c r="A2502" s="2712"/>
      <c r="B2502" s="371">
        <v>101</v>
      </c>
      <c r="C2502" s="371"/>
      <c r="D2502" s="2714">
        <f>IF(OR(G2502="*",G2502="",G2502=0),0,COUNTIF($G$2502:$G$2506,G2502))</f>
        <v>1</v>
      </c>
      <c r="E2502" s="2719">
        <v>1</v>
      </c>
      <c r="F2502" s="293"/>
      <c r="G2502" s="308" t="s">
        <v>3527</v>
      </c>
      <c r="H2502" s="309"/>
      <c r="I2502" s="1473">
        <v>0</v>
      </c>
      <c r="J2502" s="438"/>
      <c r="K2502" s="439"/>
      <c r="L2502" s="437"/>
      <c r="M2502" s="438"/>
      <c r="N2502" s="439"/>
      <c r="O2502" s="437"/>
      <c r="P2502" s="438"/>
      <c r="Q2502" s="442"/>
      <c r="R2502" s="443"/>
      <c r="S2502" s="364"/>
      <c r="Z2502" s="609" t="s">
        <v>995</v>
      </c>
      <c r="AA2502" s="609" t="s">
        <v>3525</v>
      </c>
    </row>
    <row r="2503" spans="1:27" ht="18">
      <c r="A2503" s="2712"/>
      <c r="B2503" s="371">
        <v>102</v>
      </c>
      <c r="C2503" s="371"/>
      <c r="D2503" s="2714">
        <f>IF(OR(G2503="*",G2503="",G2503=0),0,COUNTIF($G$2502:$G$2506,G2503))</f>
        <v>1</v>
      </c>
      <c r="E2503" s="2719">
        <v>1</v>
      </c>
      <c r="F2503" s="293"/>
      <c r="G2503" s="308" t="s">
        <v>3528</v>
      </c>
      <c r="H2503" s="309"/>
      <c r="I2503" s="1473">
        <v>0</v>
      </c>
      <c r="J2503" s="438"/>
      <c r="K2503" s="439"/>
      <c r="L2503" s="437"/>
      <c r="M2503" s="438"/>
      <c r="N2503" s="439"/>
      <c r="O2503" s="437"/>
      <c r="P2503" s="438"/>
      <c r="Q2503" s="442"/>
      <c r="R2503" s="443"/>
      <c r="S2503" s="364"/>
      <c r="Z2503" s="609" t="s">
        <v>995</v>
      </c>
      <c r="AA2503" s="609" t="s">
        <v>3525</v>
      </c>
    </row>
    <row r="2504" spans="1:27" ht="18">
      <c r="A2504" s="2712"/>
      <c r="B2504" s="371">
        <v>107</v>
      </c>
      <c r="C2504" s="371" t="s">
        <v>2791</v>
      </c>
      <c r="D2504" s="2714">
        <f>IF(OR(G2504="*",G2504="",G2504=0),0,COUNTIF($G$2502:$G$2506,G2504))</f>
        <v>0</v>
      </c>
      <c r="E2504" s="2719">
        <v>1</v>
      </c>
      <c r="F2504" s="293"/>
      <c r="G2504" s="319" t="s">
        <v>2792</v>
      </c>
      <c r="H2504" s="309"/>
      <c r="I2504" s="1473">
        <v>0</v>
      </c>
      <c r="J2504" s="438"/>
      <c r="K2504" s="439"/>
      <c r="L2504" s="437"/>
      <c r="M2504" s="438"/>
      <c r="N2504" s="439"/>
      <c r="O2504" s="437"/>
      <c r="P2504" s="438"/>
      <c r="Q2504" s="442"/>
      <c r="R2504" s="443"/>
      <c r="S2504" s="364"/>
      <c r="Z2504" s="609" t="s">
        <v>995</v>
      </c>
      <c r="AA2504" s="609" t="s">
        <v>3525</v>
      </c>
    </row>
    <row r="2505" spans="1:27" ht="18">
      <c r="A2505" s="2712"/>
      <c r="B2505" s="371">
        <v>108</v>
      </c>
      <c r="C2505" s="371" t="s">
        <v>2791</v>
      </c>
      <c r="D2505" s="2714">
        <f>IF(OR(G2505="*",G2505="",G2505=0),0,COUNTIF($G$2502:$G$2506,G2505))</f>
        <v>0</v>
      </c>
      <c r="E2505" s="2719">
        <v>1</v>
      </c>
      <c r="F2505" s="293"/>
      <c r="G2505" s="319" t="s">
        <v>2792</v>
      </c>
      <c r="H2505" s="309"/>
      <c r="I2505" s="1473">
        <v>0</v>
      </c>
      <c r="J2505" s="438"/>
      <c r="K2505" s="439"/>
      <c r="L2505" s="437"/>
      <c r="M2505" s="438"/>
      <c r="N2505" s="439"/>
      <c r="O2505" s="437"/>
      <c r="P2505" s="438"/>
      <c r="Q2505" s="442"/>
      <c r="R2505" s="443"/>
      <c r="S2505" s="364"/>
      <c r="Z2505" s="609" t="s">
        <v>995</v>
      </c>
      <c r="AA2505" s="609" t="s">
        <v>3525</v>
      </c>
    </row>
    <row r="2506" spans="1:27" ht="18.75" thickBot="1">
      <c r="A2506" s="2712"/>
      <c r="B2506" s="371"/>
      <c r="C2506" s="371"/>
      <c r="D2506" s="2714">
        <f>IF(OR(G2506="*",G2506="",G2506=0),0,COUNTIF($G$2502:$G$2506,G2506))</f>
        <v>1</v>
      </c>
      <c r="E2506" s="2719" t="s">
        <v>2751</v>
      </c>
      <c r="F2506" s="293"/>
      <c r="G2506" s="2232" t="s">
        <v>5485</v>
      </c>
      <c r="H2506" s="2323">
        <f>SUMPRODUCT($E2501:$E2505,H2501:H2505)</f>
        <v>0</v>
      </c>
      <c r="I2506" s="2340">
        <f>SUMPRODUCT($E2501:$E2505,I2501:I2505)</f>
        <v>0</v>
      </c>
      <c r="J2506" s="440"/>
      <c r="K2506" s="439"/>
      <c r="L2506" s="437"/>
      <c r="M2506" s="440"/>
      <c r="N2506" s="439"/>
      <c r="O2506" s="437"/>
      <c r="P2506" s="440"/>
      <c r="Q2506" s="442"/>
      <c r="R2506" s="443"/>
      <c r="S2506" s="364"/>
      <c r="Z2506" s="609" t="s">
        <v>995</v>
      </c>
      <c r="AA2506" s="609" t="s">
        <v>3525</v>
      </c>
    </row>
    <row r="2507" spans="1:27" ht="18">
      <c r="A2507" s="2712"/>
      <c r="B2507" s="371"/>
      <c r="C2507" s="371" t="s">
        <v>2755</v>
      </c>
      <c r="D2507" s="2714"/>
      <c r="F2507" s="293"/>
      <c r="G2507" s="376"/>
      <c r="H2507" s="315"/>
      <c r="I2507" s="396"/>
      <c r="J2507" s="425"/>
      <c r="K2507" s="426"/>
      <c r="L2507" s="427"/>
      <c r="M2507" s="425"/>
      <c r="N2507" s="426"/>
      <c r="O2507" s="427"/>
      <c r="P2507" s="425"/>
      <c r="Q2507" s="442"/>
      <c r="R2507" s="443"/>
      <c r="S2507" s="364"/>
      <c r="Z2507" s="609" t="s">
        <v>995</v>
      </c>
      <c r="AA2507" s="609" t="s">
        <v>3525</v>
      </c>
    </row>
    <row r="2508" spans="1:27" ht="24">
      <c r="A2508" s="2712" t="s">
        <v>1000</v>
      </c>
      <c r="B2508" s="371">
        <v>2</v>
      </c>
      <c r="C2508" s="371"/>
      <c r="D2508" s="2714" t="str">
        <f>VLOOKUP($A2508,Sheet_NoteList,2,0)</f>
        <v>非交易性权益工具的投资情况</v>
      </c>
      <c r="E2508" s="2714" t="s">
        <v>2742</v>
      </c>
      <c r="F2508" s="293"/>
      <c r="G2508" s="372" t="str">
        <f>"("&amp;B2508&amp;")"&amp;D2508</f>
        <v>(2)非交易性权益工具的投资情况</v>
      </c>
      <c r="H2508" s="1515" t="str">
        <f>$A2508</f>
        <v>1538b</v>
      </c>
      <c r="I2508" s="343" t="s">
        <v>2743</v>
      </c>
      <c r="J2508" s="301" t="s">
        <v>2744</v>
      </c>
      <c r="K2508" s="2208">
        <f>H2519</f>
        <v>0</v>
      </c>
      <c r="L2508" s="349"/>
      <c r="M2508" s="301"/>
      <c r="N2508" s="391"/>
      <c r="O2508" s="349"/>
      <c r="P2508" s="301"/>
      <c r="S2508" s="364"/>
      <c r="Z2508" s="609" t="s">
        <v>995</v>
      </c>
      <c r="AA2508" s="609" t="s">
        <v>3525</v>
      </c>
    </row>
    <row r="2509" spans="1:27" ht="0.75" customHeight="1" thickBot="1">
      <c r="A2509" s="2712"/>
      <c r="B2509" s="371"/>
      <c r="C2509" s="371"/>
      <c r="D2509" s="2714"/>
      <c r="E2509" s="586"/>
      <c r="F2509" s="586"/>
      <c r="G2509" s="2222" t="s">
        <v>3529</v>
      </c>
      <c r="H2509" s="371" t="s">
        <v>2747</v>
      </c>
      <c r="I2509" s="371" t="s">
        <v>2748</v>
      </c>
      <c r="J2509" s="371" t="s">
        <v>2948</v>
      </c>
      <c r="K2509" s="547" t="s">
        <v>3034</v>
      </c>
      <c r="L2509" s="547" t="s">
        <v>3145</v>
      </c>
      <c r="M2509" s="371" t="s">
        <v>3530</v>
      </c>
      <c r="N2509" s="428"/>
      <c r="O2509" s="428"/>
      <c r="P2509" s="433"/>
      <c r="Q2509" s="442"/>
      <c r="R2509" s="443"/>
      <c r="S2509" s="364"/>
      <c r="Z2509" s="609" t="s">
        <v>995</v>
      </c>
      <c r="AA2509" s="609" t="s">
        <v>3525</v>
      </c>
    </row>
    <row r="2510" spans="1:27" ht="51">
      <c r="A2510" s="2712"/>
      <c r="B2510" s="371"/>
      <c r="C2510" s="371"/>
      <c r="D2510" s="2714"/>
      <c r="E2510" s="586" t="s">
        <v>2749</v>
      </c>
      <c r="F2510" s="414"/>
      <c r="G2510" s="2287" t="s">
        <v>5132</v>
      </c>
      <c r="H2510" s="2289" t="s">
        <v>3531</v>
      </c>
      <c r="I2510" s="2289" t="s">
        <v>3532</v>
      </c>
      <c r="J2510" s="2289" t="s">
        <v>3533</v>
      </c>
      <c r="K2510" s="2309" t="s">
        <v>3534</v>
      </c>
      <c r="L2510" s="2309" t="s">
        <v>3535</v>
      </c>
      <c r="M2510" s="2291" t="s">
        <v>3536</v>
      </c>
      <c r="N2510" s="355" t="s">
        <v>5282</v>
      </c>
      <c r="O2510" s="434"/>
      <c r="P2510" s="435"/>
      <c r="Q2510" s="442"/>
      <c r="R2510" s="443"/>
      <c r="S2510" s="364"/>
      <c r="Z2510" s="609" t="s">
        <v>995</v>
      </c>
      <c r="AA2510" s="609" t="s">
        <v>3525</v>
      </c>
    </row>
    <row r="2511" spans="1:27" ht="18">
      <c r="A2511" s="2712"/>
      <c r="B2511" s="371">
        <v>101</v>
      </c>
      <c r="C2511" s="371" t="s">
        <v>2791</v>
      </c>
      <c r="D2511" s="2714">
        <f t="shared" ref="D2511:D2519" si="266">IF(OR(G2511="*",G2511="",G2511=0),0,COUNTIF($G$2511:$G$2519,G2511))</f>
        <v>0</v>
      </c>
      <c r="E2511" s="2719">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8">
      <c r="A2512" s="2712"/>
      <c r="B2512" s="371">
        <v>102</v>
      </c>
      <c r="C2512" s="371" t="s">
        <v>2791</v>
      </c>
      <c r="D2512" s="2714">
        <f t="shared" si="266"/>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2"/>
      <c r="B2513" s="371">
        <v>103</v>
      </c>
      <c r="C2513" s="371" t="s">
        <v>2791</v>
      </c>
      <c r="D2513" s="2714">
        <f t="shared" si="266"/>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2"/>
      <c r="B2514" s="371">
        <v>104</v>
      </c>
      <c r="C2514" s="371" t="s">
        <v>2791</v>
      </c>
      <c r="D2514" s="2714">
        <f t="shared" si="266"/>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2"/>
      <c r="B2515" s="371">
        <v>105</v>
      </c>
      <c r="C2515" s="371" t="s">
        <v>2791</v>
      </c>
      <c r="D2515" s="2714">
        <f t="shared" si="266"/>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106</v>
      </c>
      <c r="C2516" s="371" t="s">
        <v>2791</v>
      </c>
      <c r="D2516" s="2714">
        <f t="shared" si="266"/>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
      <c r="A2517" s="2712"/>
      <c r="B2517" s="371">
        <v>107</v>
      </c>
      <c r="C2517" s="371" t="s">
        <v>2791</v>
      </c>
      <c r="D2517" s="2714">
        <f t="shared" si="266"/>
        <v>0</v>
      </c>
      <c r="E2517" s="2719">
        <v>1</v>
      </c>
      <c r="F2517" s="293"/>
      <c r="G2517" s="2282" t="s">
        <v>2792</v>
      </c>
      <c r="H2517" s="2273"/>
      <c r="I2517" s="2273"/>
      <c r="J2517" s="2273"/>
      <c r="K2517" s="2273"/>
      <c r="L2517" s="2296"/>
      <c r="M2517" s="2274"/>
      <c r="N2517" s="439"/>
      <c r="O2517" s="437"/>
      <c r="P2517" s="438"/>
      <c r="Q2517" s="442"/>
      <c r="R2517" s="443"/>
      <c r="S2517" s="364"/>
      <c r="Z2517" s="609" t="s">
        <v>995</v>
      </c>
      <c r="AA2517" s="609" t="s">
        <v>3525</v>
      </c>
    </row>
    <row r="2518" spans="1:27" ht="18">
      <c r="A2518" s="2712"/>
      <c r="B2518" s="371">
        <v>108</v>
      </c>
      <c r="C2518" s="371" t="s">
        <v>2791</v>
      </c>
      <c r="D2518" s="2714">
        <f t="shared" si="266"/>
        <v>0</v>
      </c>
      <c r="E2518" s="2719">
        <v>1</v>
      </c>
      <c r="F2518" s="293"/>
      <c r="G2518" s="2282" t="s">
        <v>2792</v>
      </c>
      <c r="H2518" s="2273"/>
      <c r="I2518" s="2273"/>
      <c r="J2518" s="2273"/>
      <c r="K2518" s="2273"/>
      <c r="L2518" s="2296"/>
      <c r="M2518" s="2274"/>
      <c r="N2518" s="439"/>
      <c r="O2518" s="437"/>
      <c r="P2518" s="438"/>
      <c r="Q2518" s="442"/>
      <c r="R2518" s="443"/>
      <c r="S2518" s="364"/>
      <c r="Z2518" s="609" t="s">
        <v>995</v>
      </c>
      <c r="AA2518" s="609" t="s">
        <v>3525</v>
      </c>
    </row>
    <row r="2519" spans="1:27" ht="18.75" thickBot="1">
      <c r="A2519" s="2712"/>
      <c r="B2519" s="371"/>
      <c r="C2519" s="371"/>
      <c r="D2519" s="2714">
        <f t="shared" si="266"/>
        <v>1</v>
      </c>
      <c r="E2519" s="2719" t="s">
        <v>2751</v>
      </c>
      <c r="F2519" s="293"/>
      <c r="G2519" s="2232" t="s">
        <v>2752</v>
      </c>
      <c r="H2519" s="2233">
        <f>SUMPRODUCT($E2510:$E2518,H2510:H2518)</f>
        <v>0</v>
      </c>
      <c r="I2519" s="2233">
        <f>SUMPRODUCT($E2510:$E2518,I2510:I2518)</f>
        <v>0</v>
      </c>
      <c r="J2519" s="2233">
        <f>SUMPRODUCT($E2510:$E2518,J2510:J2518)</f>
        <v>0</v>
      </c>
      <c r="K2519" s="2233">
        <f>SUMPRODUCT($E2510:$E2518,K2510:K2518)</f>
        <v>0</v>
      </c>
      <c r="L2519" s="2239"/>
      <c r="M2519" s="2311"/>
      <c r="N2519" s="439"/>
      <c r="O2519" s="437"/>
      <c r="P2519" s="440"/>
      <c r="Q2519" s="442"/>
      <c r="R2519" s="443"/>
      <c r="S2519" s="364"/>
      <c r="Z2519" s="609" t="s">
        <v>995</v>
      </c>
      <c r="AA2519" s="609" t="s">
        <v>3525</v>
      </c>
    </row>
    <row r="2520" spans="1:27" ht="18">
      <c r="A2520" s="2712"/>
      <c r="B2520" s="371"/>
      <c r="C2520" s="371" t="s">
        <v>2755</v>
      </c>
      <c r="D2520" s="2714"/>
      <c r="F2520" s="293"/>
      <c r="G2520" s="376"/>
      <c r="H2520" s="315"/>
      <c r="I2520" s="396"/>
      <c r="J2520" s="315"/>
      <c r="K2520" s="423"/>
      <c r="L2520" s="393"/>
      <c r="M2520" s="393"/>
      <c r="N2520" s="426"/>
      <c r="O2520" s="427"/>
      <c r="P2520" s="425"/>
      <c r="Q2520" s="442"/>
      <c r="R2520" s="443"/>
      <c r="S2520" s="364"/>
      <c r="Z2520" s="609" t="s">
        <v>995</v>
      </c>
      <c r="AA2520" s="609" t="s">
        <v>3525</v>
      </c>
    </row>
    <row r="2521" spans="1:27" ht="17.25">
      <c r="A2521" s="2713">
        <v>1539</v>
      </c>
      <c r="B2521" s="371">
        <v>21</v>
      </c>
      <c r="C2521" s="2714" t="str">
        <f>VLOOKUP($A2521,Sheet_Items,2,0)</f>
        <v>其他非流动金融资产</v>
      </c>
      <c r="D2521" s="371"/>
      <c r="E2521" s="2714" t="s">
        <v>2739</v>
      </c>
      <c r="F2521" s="293"/>
      <c r="G2521" s="305" t="str">
        <f>B2521&amp;" "&amp;C2521</f>
        <v>21 其他非流动金融资产</v>
      </c>
      <c r="H2521" s="306"/>
      <c r="I2521" s="306"/>
      <c r="J2521" s="306" t="s">
        <v>2740</v>
      </c>
      <c r="K2521" s="341">
        <f>VLOOKUP($A2521,Sheet_Trialbal,6,0)</f>
        <v>3003000</v>
      </c>
      <c r="L2521" s="342"/>
      <c r="M2521" s="306" t="s">
        <v>2741</v>
      </c>
      <c r="N2521" s="341">
        <f>VLOOKUP($A2521,Sheet_Trialbal,10,0)</f>
        <v>0</v>
      </c>
      <c r="O2521" s="342"/>
      <c r="P2521" s="301"/>
      <c r="S2521" s="364"/>
      <c r="Z2521" s="609" t="s">
        <v>1008</v>
      </c>
      <c r="AA2521" s="609" t="s">
        <v>3537</v>
      </c>
    </row>
    <row r="2522" spans="1:27" ht="24">
      <c r="A2522" s="2712" t="s">
        <v>1006</v>
      </c>
      <c r="B2522" s="371">
        <v>1</v>
      </c>
      <c r="C2522" s="371"/>
      <c r="D2522" s="2714" t="str">
        <f>VLOOKUP($A2522,Sheet_NoteList,2,0)</f>
        <v>其他非流动金融资产明细</v>
      </c>
      <c r="E2522" s="2714" t="s">
        <v>2742</v>
      </c>
      <c r="F2522" s="293"/>
      <c r="G2522" s="372" t="str">
        <f>"("&amp;B2522&amp;")"&amp;D2522</f>
        <v>(1)其他非流动金融资产明细</v>
      </c>
      <c r="H2522" s="1515" t="str">
        <f>$A2522</f>
        <v>1539a</v>
      </c>
      <c r="I2522" s="343" t="s">
        <v>2743</v>
      </c>
      <c r="J2522" s="301" t="s">
        <v>2744</v>
      </c>
      <c r="K2522" s="2208">
        <f>H2530</f>
        <v>3003000</v>
      </c>
      <c r="L2522" s="349" t="str">
        <f>IF($I2522="适用",IF(ROUND(K$2521-K2522,2)=0,"F/S",ROUND(K$2521-K2522,2)),"#N/A")</f>
        <v>F/S</v>
      </c>
      <c r="M2522" s="301" t="s">
        <v>2745</v>
      </c>
      <c r="N2522" s="2208">
        <f>I2530</f>
        <v>0</v>
      </c>
      <c r="O2522" s="349" t="str">
        <f>IF($I2522="适用",IF(ROUND(N$2521-N2522,2)=0,"F/S",ROUND(N$2521-N2522,2)),"#N/A")</f>
        <v>F/S</v>
      </c>
      <c r="P2522" s="301"/>
      <c r="S2522" s="364"/>
      <c r="Z2522" s="609" t="s">
        <v>1008</v>
      </c>
      <c r="AA2522" s="609" t="s">
        <v>3537</v>
      </c>
    </row>
    <row r="2523" spans="1:27" ht="0.75" customHeight="1" thickBot="1">
      <c r="A2523" s="2712"/>
      <c r="B2523" s="371"/>
      <c r="C2523" s="371"/>
      <c r="D2523" s="2714"/>
      <c r="F2523" s="371"/>
      <c r="G2523" s="405" t="s">
        <v>3538</v>
      </c>
      <c r="H2523" s="371" t="s">
        <v>2747</v>
      </c>
      <c r="I2523" s="371" t="s">
        <v>2748</v>
      </c>
      <c r="J2523" s="433"/>
      <c r="K2523" s="428"/>
      <c r="L2523" s="428"/>
      <c r="M2523" s="433"/>
      <c r="N2523" s="428"/>
      <c r="O2523" s="428"/>
      <c r="P2523" s="433"/>
      <c r="Q2523" s="442"/>
      <c r="R2523" s="443"/>
      <c r="S2523" s="364"/>
      <c r="Z2523" s="609" t="s">
        <v>1008</v>
      </c>
      <c r="AA2523" s="609" t="s">
        <v>3537</v>
      </c>
    </row>
    <row r="2524" spans="1:27" ht="18">
      <c r="A2524" s="2712"/>
      <c r="B2524" s="371"/>
      <c r="C2524" s="371"/>
      <c r="D2524" s="2714"/>
      <c r="E2524" s="2714" t="s">
        <v>2749</v>
      </c>
      <c r="F2524" s="293"/>
      <c r="G2524" s="2303" t="s">
        <v>5486</v>
      </c>
      <c r="H2524" s="2304" t="str">
        <f>$V$2</f>
        <v>2019年12月31日</v>
      </c>
      <c r="I2524" s="2305" t="str">
        <f>$V$3</f>
        <v>2018年12月31日</v>
      </c>
      <c r="J2524" s="355" t="s">
        <v>5283</v>
      </c>
      <c r="K2524" s="434"/>
      <c r="L2524" s="434"/>
      <c r="M2524" s="435"/>
      <c r="N2524" s="434"/>
      <c r="O2524" s="434"/>
      <c r="P2524" s="435"/>
      <c r="Q2524" s="442"/>
      <c r="R2524" s="443"/>
      <c r="S2524" s="364"/>
      <c r="Z2524" s="609" t="s">
        <v>1008</v>
      </c>
      <c r="AA2524" s="609" t="s">
        <v>3537</v>
      </c>
    </row>
    <row r="2525" spans="1:27" ht="18">
      <c r="A2525" s="2712"/>
      <c r="B2525" s="371">
        <v>101</v>
      </c>
      <c r="C2525" s="371"/>
      <c r="D2525" s="2714">
        <f t="shared" ref="D2525:D2530" si="267">IF(OR(G2525="*",G2525="",G2525=0),0,COUNTIF($G$2525:$G$2530,G2525))</f>
        <v>1</v>
      </c>
      <c r="E2525" s="2719">
        <v>1</v>
      </c>
      <c r="F2525" s="293"/>
      <c r="G2525" s="308" t="s">
        <v>3480</v>
      </c>
      <c r="H2525" s="309"/>
      <c r="I2525" s="1473">
        <v>0</v>
      </c>
      <c r="J2525" s="438"/>
      <c r="K2525" s="439"/>
      <c r="L2525" s="437"/>
      <c r="M2525" s="438"/>
      <c r="N2525" s="439"/>
      <c r="O2525" s="437"/>
      <c r="P2525" s="438"/>
      <c r="Q2525" s="442"/>
      <c r="R2525" s="443"/>
      <c r="S2525" s="364"/>
      <c r="Z2525" s="609" t="s">
        <v>1008</v>
      </c>
      <c r="AA2525" s="609" t="s">
        <v>3537</v>
      </c>
    </row>
    <row r="2526" spans="1:27" ht="18">
      <c r="A2526" s="2712"/>
      <c r="B2526" s="371">
        <v>102</v>
      </c>
      <c r="C2526" s="371"/>
      <c r="D2526" s="2714">
        <f t="shared" si="267"/>
        <v>1</v>
      </c>
      <c r="E2526" s="2719">
        <v>1</v>
      </c>
      <c r="F2526" s="293"/>
      <c r="G2526" s="308" t="s">
        <v>3479</v>
      </c>
      <c r="H2526" s="309">
        <v>3003000</v>
      </c>
      <c r="I2526" s="1473">
        <v>0</v>
      </c>
      <c r="J2526" s="438"/>
      <c r="K2526" s="439"/>
      <c r="L2526" s="437"/>
      <c r="M2526" s="438"/>
      <c r="N2526" s="439"/>
      <c r="O2526" s="437"/>
      <c r="P2526" s="438"/>
      <c r="Q2526" s="442"/>
      <c r="R2526" s="443"/>
      <c r="S2526" s="364"/>
      <c r="Z2526" s="609" t="s">
        <v>1008</v>
      </c>
      <c r="AA2526" s="609" t="s">
        <v>3537</v>
      </c>
    </row>
    <row r="2527" spans="1:27" ht="24">
      <c r="A2527" s="2712"/>
      <c r="B2527" s="371">
        <v>103</v>
      </c>
      <c r="C2527" s="371"/>
      <c r="D2527" s="2714">
        <f t="shared" si="267"/>
        <v>1</v>
      </c>
      <c r="E2527" s="2719">
        <v>1</v>
      </c>
      <c r="F2527" s="293"/>
      <c r="G2527" s="308" t="s">
        <v>3539</v>
      </c>
      <c r="H2527" s="309"/>
      <c r="I2527" s="1473">
        <v>0</v>
      </c>
      <c r="J2527" s="438"/>
      <c r="K2527" s="439"/>
      <c r="L2527" s="437"/>
      <c r="M2527" s="438"/>
      <c r="N2527" s="439"/>
      <c r="O2527" s="437"/>
      <c r="P2527" s="438"/>
      <c r="Q2527" s="442"/>
      <c r="R2527" s="443"/>
      <c r="S2527" s="364"/>
      <c r="Z2527" s="609" t="s">
        <v>1008</v>
      </c>
      <c r="AA2527" s="609" t="s">
        <v>3537</v>
      </c>
    </row>
    <row r="2528" spans="1:27" ht="18">
      <c r="A2528" s="2712"/>
      <c r="B2528" s="371">
        <v>107</v>
      </c>
      <c r="C2528" s="371" t="s">
        <v>2791</v>
      </c>
      <c r="D2528" s="2714">
        <f t="shared" si="267"/>
        <v>0</v>
      </c>
      <c r="E2528" s="2719">
        <v>1</v>
      </c>
      <c r="F2528" s="293"/>
      <c r="G2528" s="319" t="s">
        <v>2792</v>
      </c>
      <c r="H2528" s="309"/>
      <c r="I2528" s="1473">
        <v>0</v>
      </c>
      <c r="J2528" s="438"/>
      <c r="K2528" s="439"/>
      <c r="L2528" s="437"/>
      <c r="M2528" s="438"/>
      <c r="N2528" s="439"/>
      <c r="O2528" s="437"/>
      <c r="P2528" s="438"/>
      <c r="Q2528" s="442"/>
      <c r="R2528" s="443"/>
      <c r="S2528" s="364"/>
      <c r="Z2528" s="609" t="s">
        <v>1008</v>
      </c>
      <c r="AA2528" s="609" t="s">
        <v>3537</v>
      </c>
    </row>
    <row r="2529" spans="1:27" ht="18">
      <c r="A2529" s="2712"/>
      <c r="B2529" s="371">
        <v>108</v>
      </c>
      <c r="C2529" s="371" t="s">
        <v>2791</v>
      </c>
      <c r="D2529" s="2714">
        <f t="shared" si="267"/>
        <v>0</v>
      </c>
      <c r="E2529" s="2719">
        <v>1</v>
      </c>
      <c r="F2529" s="293"/>
      <c r="G2529" s="319" t="s">
        <v>2792</v>
      </c>
      <c r="H2529" s="309"/>
      <c r="I2529" s="1473">
        <v>0</v>
      </c>
      <c r="J2529" s="438"/>
      <c r="K2529" s="439"/>
      <c r="L2529" s="437"/>
      <c r="M2529" s="438"/>
      <c r="N2529" s="439"/>
      <c r="O2529" s="437"/>
      <c r="P2529" s="438"/>
      <c r="Q2529" s="442"/>
      <c r="R2529" s="443"/>
      <c r="S2529" s="364"/>
      <c r="Z2529" s="609" t="s">
        <v>1008</v>
      </c>
      <c r="AA2529" s="609" t="s">
        <v>3537</v>
      </c>
    </row>
    <row r="2530" spans="1:27" ht="18.75" thickBot="1">
      <c r="A2530" s="2712"/>
      <c r="B2530" s="371"/>
      <c r="C2530" s="371"/>
      <c r="D2530" s="2714">
        <f t="shared" si="267"/>
        <v>1</v>
      </c>
      <c r="E2530" s="2719" t="s">
        <v>2751</v>
      </c>
      <c r="F2530" s="293"/>
      <c r="G2530" s="2232" t="s">
        <v>5485</v>
      </c>
      <c r="H2530" s="2323">
        <f>SUMPRODUCT($E2524:$E2529,H2524:H2529)</f>
        <v>3003000</v>
      </c>
      <c r="I2530" s="2340">
        <f>SUMPRODUCT($E2524:$E2529,I2524:I2529)</f>
        <v>0</v>
      </c>
      <c r="J2530" s="440"/>
      <c r="K2530" s="439"/>
      <c r="L2530" s="437"/>
      <c r="M2530" s="440"/>
      <c r="N2530" s="439"/>
      <c r="O2530" s="437"/>
      <c r="P2530" s="440"/>
      <c r="Q2530" s="442"/>
      <c r="R2530" s="443"/>
      <c r="S2530" s="364"/>
      <c r="Z2530" s="609" t="s">
        <v>1008</v>
      </c>
      <c r="AA2530" s="609" t="s">
        <v>3537</v>
      </c>
    </row>
    <row r="2531" spans="1:27" ht="18">
      <c r="A2531" s="2712"/>
      <c r="B2531" s="371"/>
      <c r="C2531" s="371" t="s">
        <v>2755</v>
      </c>
      <c r="D2531" s="2714"/>
      <c r="F2531" s="293"/>
      <c r="G2531" s="376"/>
      <c r="H2531" s="315"/>
      <c r="I2531" s="396"/>
      <c r="J2531" s="425"/>
      <c r="K2531" s="426"/>
      <c r="L2531" s="427"/>
      <c r="M2531" s="425"/>
      <c r="N2531" s="426"/>
      <c r="O2531" s="427"/>
      <c r="P2531" s="425"/>
      <c r="Q2531" s="442"/>
      <c r="R2531" s="443"/>
      <c r="S2531" s="364"/>
      <c r="Z2531" s="609" t="s">
        <v>1008</v>
      </c>
      <c r="AA2531" s="609" t="s">
        <v>3537</v>
      </c>
    </row>
    <row r="2532" spans="1:27" ht="24">
      <c r="A2532" s="2712" t="s">
        <v>5615</v>
      </c>
      <c r="B2532" s="371">
        <v>2</v>
      </c>
      <c r="C2532" s="371"/>
      <c r="D2532" s="2714" t="str">
        <f>VLOOKUP($A2532,Sheet_NoteList,2,0)</f>
        <v>其他非流动金融资产——权益工具投资明细</v>
      </c>
      <c r="E2532" s="2714" t="s">
        <v>6529</v>
      </c>
      <c r="F2532" s="293"/>
      <c r="G2532" s="372" t="str">
        <f>"("&amp;B2532&amp;")"&amp;D2532</f>
        <v>(2)其他非流动金融资产——权益工具投资明细</v>
      </c>
      <c r="H2532" s="1515" t="str">
        <f>$A2532</f>
        <v>1539b</v>
      </c>
      <c r="I2532" s="343" t="s">
        <v>5122</v>
      </c>
      <c r="J2532" s="301" t="s">
        <v>5120</v>
      </c>
      <c r="K2532" s="2208">
        <f>H2543</f>
        <v>0</v>
      </c>
      <c r="L2532" s="349"/>
      <c r="M2532" s="301" t="s">
        <v>5121</v>
      </c>
      <c r="N2532" s="2208">
        <f>I2543</f>
        <v>0</v>
      </c>
      <c r="O2532" s="349"/>
      <c r="P2532" s="301"/>
      <c r="S2532" s="364"/>
      <c r="Z2532" s="609" t="s">
        <v>1008</v>
      </c>
      <c r="AA2532" s="609" t="s">
        <v>3537</v>
      </c>
    </row>
    <row r="2533" spans="1:27" ht="0.75" customHeight="1" thickBot="1">
      <c r="A2533" s="2712"/>
      <c r="B2533" s="371"/>
      <c r="C2533" s="371"/>
      <c r="D2533" s="2714"/>
      <c r="F2533" s="371"/>
      <c r="G2533" s="405" t="s">
        <v>5623</v>
      </c>
      <c r="H2533" s="1615" t="s">
        <v>6329</v>
      </c>
      <c r="I2533" s="371" t="s">
        <v>6330</v>
      </c>
      <c r="J2533" s="371" t="s">
        <v>6331</v>
      </c>
      <c r="K2533" s="547" t="s">
        <v>6332</v>
      </c>
      <c r="L2533" s="547" t="s">
        <v>6333</v>
      </c>
      <c r="M2533" s="371" t="s">
        <v>6334</v>
      </c>
      <c r="N2533" s="391"/>
      <c r="O2533" s="349"/>
      <c r="P2533" s="301"/>
      <c r="S2533" s="364"/>
      <c r="Z2533" s="609" t="s">
        <v>1008</v>
      </c>
      <c r="AA2533" s="609" t="s">
        <v>3537</v>
      </c>
    </row>
    <row r="2534" spans="1:27" ht="25.5">
      <c r="A2534" s="2712"/>
      <c r="B2534" s="371"/>
      <c r="C2534" s="371"/>
      <c r="D2534" s="2714"/>
      <c r="E2534" s="2714" t="s">
        <v>2749</v>
      </c>
      <c r="F2534" s="293"/>
      <c r="G2534" s="1633" t="s">
        <v>3376</v>
      </c>
      <c r="H2534" s="1638" t="str">
        <f>$X$3</f>
        <v>2019年1月1日</v>
      </c>
      <c r="I2534" s="1639" t="s">
        <v>3027</v>
      </c>
      <c r="J2534" s="1639" t="s">
        <v>3028</v>
      </c>
      <c r="K2534" s="1640" t="str">
        <f>$V$2</f>
        <v>2019年12月31日</v>
      </c>
      <c r="L2534" s="1641" t="s">
        <v>5628</v>
      </c>
      <c r="M2534" s="1642" t="s">
        <v>3379</v>
      </c>
      <c r="N2534" s="355" t="s">
        <v>6174</v>
      </c>
      <c r="O2534" s="349"/>
      <c r="P2534" s="301"/>
      <c r="S2534" s="364"/>
      <c r="Z2534" s="609" t="s">
        <v>1008</v>
      </c>
      <c r="AA2534" s="609" t="s">
        <v>3537</v>
      </c>
    </row>
    <row r="2535" spans="1:27" ht="18">
      <c r="A2535" s="2712"/>
      <c r="B2535" s="371">
        <v>101</v>
      </c>
      <c r="C2535" s="371" t="s">
        <v>2791</v>
      </c>
      <c r="D2535" s="2714">
        <f t="shared" ref="D2535:D2543" si="268">IF(OR(G2535="*",G2535="",G2535=0),0,COUNTIF($G$2535:$G$2543,G2535))</f>
        <v>0</v>
      </c>
      <c r="E2535" s="2719">
        <v>1</v>
      </c>
      <c r="F2535" s="293"/>
      <c r="G2535" s="1637" t="s">
        <v>2792</v>
      </c>
      <c r="H2535" s="1575"/>
      <c r="I2535" s="422"/>
      <c r="J2535" s="309"/>
      <c r="K2535" s="320"/>
      <c r="L2535" s="360"/>
      <c r="M2535" s="346"/>
      <c r="N2535" s="391"/>
      <c r="O2535" s="349"/>
      <c r="P2535" s="301"/>
      <c r="S2535" s="364"/>
      <c r="Z2535" s="609" t="s">
        <v>1008</v>
      </c>
      <c r="AA2535" s="609" t="s">
        <v>3537</v>
      </c>
    </row>
    <row r="2536" spans="1:27" ht="18">
      <c r="A2536" s="2712"/>
      <c r="B2536" s="371">
        <v>102</v>
      </c>
      <c r="C2536" s="371" t="s">
        <v>2791</v>
      </c>
      <c r="D2536" s="2714">
        <f t="shared" si="268"/>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2"/>
      <c r="B2537" s="371">
        <v>103</v>
      </c>
      <c r="C2537" s="371" t="s">
        <v>2791</v>
      </c>
      <c r="D2537" s="2714">
        <f t="shared" si="268"/>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2"/>
      <c r="B2538" s="371">
        <v>104</v>
      </c>
      <c r="C2538" s="371" t="s">
        <v>2791</v>
      </c>
      <c r="D2538" s="2714">
        <f t="shared" si="268"/>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2"/>
      <c r="B2539" s="371">
        <v>105</v>
      </c>
      <c r="C2539" s="371" t="s">
        <v>2791</v>
      </c>
      <c r="D2539" s="2714">
        <f t="shared" si="268"/>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106</v>
      </c>
      <c r="C2540" s="371" t="s">
        <v>2791</v>
      </c>
      <c r="D2540" s="2714">
        <f t="shared" si="268"/>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
      <c r="A2541" s="2712"/>
      <c r="B2541" s="371">
        <v>107</v>
      </c>
      <c r="C2541" s="371" t="s">
        <v>2791</v>
      </c>
      <c r="D2541" s="2714">
        <f t="shared" si="268"/>
        <v>0</v>
      </c>
      <c r="E2541" s="2719">
        <v>1</v>
      </c>
      <c r="F2541" s="293"/>
      <c r="G2541" s="1637" t="s">
        <v>2792</v>
      </c>
      <c r="H2541" s="1575"/>
      <c r="I2541" s="422"/>
      <c r="J2541" s="309"/>
      <c r="K2541" s="320"/>
      <c r="L2541" s="360"/>
      <c r="M2541" s="346"/>
      <c r="N2541" s="391"/>
      <c r="O2541" s="349"/>
      <c r="P2541" s="301"/>
      <c r="S2541" s="364"/>
      <c r="Z2541" s="609" t="s">
        <v>1008</v>
      </c>
      <c r="AA2541" s="609" t="s">
        <v>3537</v>
      </c>
    </row>
    <row r="2542" spans="1:27" ht="18">
      <c r="A2542" s="2712"/>
      <c r="B2542" s="371">
        <v>108</v>
      </c>
      <c r="C2542" s="371" t="s">
        <v>2791</v>
      </c>
      <c r="D2542" s="2714">
        <f t="shared" si="268"/>
        <v>0</v>
      </c>
      <c r="E2542" s="2719">
        <v>1</v>
      </c>
      <c r="F2542" s="293"/>
      <c r="G2542" s="1637" t="s">
        <v>2792</v>
      </c>
      <c r="H2542" s="1575"/>
      <c r="I2542" s="422"/>
      <c r="J2542" s="309"/>
      <c r="K2542" s="320"/>
      <c r="L2542" s="360"/>
      <c r="M2542" s="346"/>
      <c r="N2542" s="391"/>
      <c r="O2542" s="349"/>
      <c r="P2542" s="301"/>
      <c r="S2542" s="364"/>
      <c r="Z2542" s="609" t="s">
        <v>1008</v>
      </c>
      <c r="AA2542" s="609" t="s">
        <v>3537</v>
      </c>
    </row>
    <row r="2543" spans="1:27" ht="18.75" thickBot="1">
      <c r="A2543" s="2712"/>
      <c r="B2543" s="371"/>
      <c r="C2543" s="371"/>
      <c r="D2543" s="2714">
        <f t="shared" si="268"/>
        <v>1</v>
      </c>
      <c r="E2543" s="2719" t="s">
        <v>2751</v>
      </c>
      <c r="F2543" s="293"/>
      <c r="G2543" s="1527" t="s">
        <v>2752</v>
      </c>
      <c r="H2543" s="1525">
        <f>SUMPRODUCT($E2534:$E2542,H2534:H2542)</f>
        <v>0</v>
      </c>
      <c r="I2543" s="1525">
        <f>SUMPRODUCT($E2534:$E2542,I2534:I2542)</f>
        <v>0</v>
      </c>
      <c r="J2543" s="1525">
        <f>SUMPRODUCT($E2534:$E2542,J2534:J2542)</f>
        <v>0</v>
      </c>
      <c r="K2543" s="1523"/>
      <c r="L2543" s="1524"/>
      <c r="M2543" s="1526">
        <f>SUMPRODUCT($E2534:$E2542,M2534:M2542)</f>
        <v>0</v>
      </c>
      <c r="N2543" s="391"/>
      <c r="O2543" s="349"/>
      <c r="P2543" s="301"/>
      <c r="S2543" s="364"/>
      <c r="Z2543" s="609" t="s">
        <v>1008</v>
      </c>
      <c r="AA2543" s="609" t="s">
        <v>3537</v>
      </c>
    </row>
    <row r="2544" spans="1:27" ht="18">
      <c r="A2544" s="2712"/>
      <c r="B2544" s="371"/>
      <c r="C2544" s="371" t="s">
        <v>2755</v>
      </c>
      <c r="D2544" s="2714"/>
      <c r="F2544" s="293"/>
      <c r="G2544" s="376"/>
      <c r="H2544" s="1574"/>
      <c r="I2544" s="396"/>
      <c r="J2544" s="315"/>
      <c r="K2544" s="423"/>
      <c r="L2544" s="393"/>
      <c r="M2544" s="315"/>
      <c r="N2544" s="391"/>
      <c r="O2544" s="349"/>
      <c r="P2544" s="301"/>
      <c r="S2544" s="364"/>
      <c r="Z2544" s="609" t="s">
        <v>1008</v>
      </c>
      <c r="AA2544" s="609" t="s">
        <v>3537</v>
      </c>
    </row>
    <row r="2545" spans="1:27" ht="24">
      <c r="A2545" s="2712" t="s">
        <v>5616</v>
      </c>
      <c r="B2545" s="371">
        <v>3</v>
      </c>
      <c r="C2545" s="371"/>
      <c r="D2545" s="2714" t="str">
        <f>VLOOKUP($A2545,Sheet_NoteList,2,0)</f>
        <v>其他非流动金融资产——债务工具投资明细</v>
      </c>
      <c r="E2545" s="2714" t="s">
        <v>6529</v>
      </c>
      <c r="F2545" s="293"/>
      <c r="G2545" s="372" t="str">
        <f>"("&amp;B2545&amp;")"&amp;D2545</f>
        <v>(3)其他非流动金融资产——债务工具投资明细</v>
      </c>
      <c r="H2545" s="1515" t="str">
        <f>$A2545</f>
        <v>1539c</v>
      </c>
      <c r="I2545" s="343" t="s">
        <v>5624</v>
      </c>
      <c r="J2545" s="301" t="s">
        <v>5625</v>
      </c>
      <c r="K2545" s="2208">
        <f>H2556</f>
        <v>0</v>
      </c>
      <c r="L2545" s="349"/>
      <c r="M2545" s="301" t="s">
        <v>5626</v>
      </c>
      <c r="N2545" s="2208">
        <f>I2556</f>
        <v>0</v>
      </c>
      <c r="O2545" s="349"/>
      <c r="P2545" s="301"/>
      <c r="S2545" s="364"/>
      <c r="Z2545" s="609" t="s">
        <v>1008</v>
      </c>
      <c r="AA2545" s="609" t="s">
        <v>3537</v>
      </c>
    </row>
    <row r="2546" spans="1:27" ht="0.75" customHeight="1" thickBot="1">
      <c r="A2546" s="2712"/>
      <c r="B2546" s="371"/>
      <c r="C2546" s="371"/>
      <c r="D2546" s="2714"/>
      <c r="F2546" s="371"/>
      <c r="G2546" s="405" t="s">
        <v>5627</v>
      </c>
      <c r="H2546" s="1615" t="s">
        <v>6335</v>
      </c>
      <c r="I2546" s="371" t="s">
        <v>6336</v>
      </c>
      <c r="J2546" s="371" t="s">
        <v>6337</v>
      </c>
      <c r="K2546" s="547" t="s">
        <v>6338</v>
      </c>
      <c r="L2546" s="349"/>
      <c r="M2546" s="301"/>
      <c r="N2546" s="391"/>
      <c r="O2546" s="349"/>
      <c r="P2546" s="301"/>
      <c r="S2546" s="364"/>
      <c r="Z2546" s="609" t="s">
        <v>1008</v>
      </c>
      <c r="AA2546" s="609" t="s">
        <v>3537</v>
      </c>
    </row>
    <row r="2547" spans="1:27" ht="18">
      <c r="A2547" s="2712"/>
      <c r="B2547" s="371"/>
      <c r="C2547" s="371"/>
      <c r="D2547" s="2714"/>
      <c r="E2547" s="2714" t="s">
        <v>2749</v>
      </c>
      <c r="F2547" s="293"/>
      <c r="G2547" s="1633" t="s">
        <v>47</v>
      </c>
      <c r="H2547" s="1638" t="str">
        <f>$X$3</f>
        <v>2019年1月1日</v>
      </c>
      <c r="I2547" s="1639" t="s">
        <v>3027</v>
      </c>
      <c r="J2547" s="1639" t="s">
        <v>3028</v>
      </c>
      <c r="K2547" s="1643" t="str">
        <f>$V$2</f>
        <v>2019年12月31日</v>
      </c>
      <c r="L2547" s="355" t="s">
        <v>6174</v>
      </c>
      <c r="M2547" s="301"/>
      <c r="N2547" s="391"/>
      <c r="O2547" s="349"/>
      <c r="P2547" s="301"/>
      <c r="S2547" s="364"/>
      <c r="Z2547" s="609" t="s">
        <v>1008</v>
      </c>
      <c r="AA2547" s="609" t="s">
        <v>3537</v>
      </c>
    </row>
    <row r="2548" spans="1:27" ht="18">
      <c r="A2548" s="2712"/>
      <c r="B2548" s="371">
        <v>101</v>
      </c>
      <c r="C2548" s="371" t="s">
        <v>2791</v>
      </c>
      <c r="D2548" s="2714">
        <f t="shared" ref="D2548:D2556" si="269">IF(OR(G2548="*",G2548="",G2548=0),0,COUNTIF($G$2548:$G$2556,G2548))</f>
        <v>0</v>
      </c>
      <c r="E2548" s="2719">
        <v>1</v>
      </c>
      <c r="F2548" s="293"/>
      <c r="G2548" s="1637" t="s">
        <v>2792</v>
      </c>
      <c r="H2548" s="1575"/>
      <c r="I2548" s="422"/>
      <c r="J2548" s="309"/>
      <c r="K2548" s="361"/>
      <c r="L2548" s="349"/>
      <c r="M2548" s="301"/>
      <c r="N2548" s="391"/>
      <c r="O2548" s="349"/>
      <c r="P2548" s="301"/>
      <c r="S2548" s="364"/>
      <c r="Z2548" s="609" t="s">
        <v>1008</v>
      </c>
      <c r="AA2548" s="609" t="s">
        <v>3537</v>
      </c>
    </row>
    <row r="2549" spans="1:27" ht="18">
      <c r="A2549" s="2712"/>
      <c r="B2549" s="371">
        <v>102</v>
      </c>
      <c r="C2549" s="371" t="s">
        <v>2791</v>
      </c>
      <c r="D2549" s="2714">
        <f t="shared" si="269"/>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2"/>
      <c r="B2550" s="371">
        <v>103</v>
      </c>
      <c r="C2550" s="371" t="s">
        <v>2791</v>
      </c>
      <c r="D2550" s="2714">
        <f t="shared" si="269"/>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2"/>
      <c r="B2551" s="371">
        <v>104</v>
      </c>
      <c r="C2551" s="371" t="s">
        <v>2791</v>
      </c>
      <c r="D2551" s="2714">
        <f t="shared" si="269"/>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2"/>
      <c r="B2552" s="371">
        <v>105</v>
      </c>
      <c r="C2552" s="371" t="s">
        <v>2791</v>
      </c>
      <c r="D2552" s="2714">
        <f t="shared" si="269"/>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106</v>
      </c>
      <c r="C2553" s="371" t="s">
        <v>2791</v>
      </c>
      <c r="D2553" s="2714">
        <f t="shared" si="269"/>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
      <c r="A2554" s="2712"/>
      <c r="B2554" s="371">
        <v>107</v>
      </c>
      <c r="C2554" s="371" t="s">
        <v>2791</v>
      </c>
      <c r="D2554" s="2714">
        <f t="shared" si="269"/>
        <v>0</v>
      </c>
      <c r="E2554" s="2719">
        <v>1</v>
      </c>
      <c r="F2554" s="293"/>
      <c r="G2554" s="1637" t="s">
        <v>2792</v>
      </c>
      <c r="H2554" s="1575"/>
      <c r="I2554" s="422"/>
      <c r="J2554" s="309"/>
      <c r="K2554" s="361"/>
      <c r="L2554" s="349"/>
      <c r="M2554" s="301"/>
      <c r="N2554" s="391"/>
      <c r="O2554" s="349"/>
      <c r="P2554" s="301"/>
      <c r="S2554" s="364"/>
      <c r="Z2554" s="609" t="s">
        <v>1008</v>
      </c>
      <c r="AA2554" s="609" t="s">
        <v>3537</v>
      </c>
    </row>
    <row r="2555" spans="1:27" ht="18">
      <c r="A2555" s="2712"/>
      <c r="B2555" s="371">
        <v>108</v>
      </c>
      <c r="C2555" s="371" t="s">
        <v>2791</v>
      </c>
      <c r="D2555" s="2714">
        <f t="shared" si="269"/>
        <v>0</v>
      </c>
      <c r="E2555" s="2719">
        <v>1</v>
      </c>
      <c r="F2555" s="293"/>
      <c r="G2555" s="1637" t="s">
        <v>2792</v>
      </c>
      <c r="H2555" s="1575"/>
      <c r="I2555" s="422"/>
      <c r="J2555" s="309"/>
      <c r="K2555" s="361"/>
      <c r="L2555" s="349"/>
      <c r="M2555" s="301"/>
      <c r="N2555" s="391"/>
      <c r="O2555" s="349"/>
      <c r="P2555" s="301"/>
      <c r="S2555" s="364"/>
      <c r="Z2555" s="609" t="s">
        <v>1008</v>
      </c>
      <c r="AA2555" s="609" t="s">
        <v>3537</v>
      </c>
    </row>
    <row r="2556" spans="1:27" ht="18.75" thickBot="1">
      <c r="A2556" s="2712"/>
      <c r="B2556" s="371"/>
      <c r="C2556" s="371"/>
      <c r="D2556" s="2714">
        <f t="shared" si="269"/>
        <v>1</v>
      </c>
      <c r="E2556" s="2719" t="s">
        <v>2751</v>
      </c>
      <c r="F2556" s="293"/>
      <c r="G2556" s="1527" t="s">
        <v>2752</v>
      </c>
      <c r="H2556" s="1525">
        <f>SUMPRODUCT($E2547:$E2555,H2547:H2555)</f>
        <v>0</v>
      </c>
      <c r="I2556" s="1525">
        <f>SUMPRODUCT($E2547:$E2555,I2547:I2555)</f>
        <v>0</v>
      </c>
      <c r="J2556" s="1525">
        <f>SUMPRODUCT($E2547:$E2555,J2547:J2555)</f>
        <v>0</v>
      </c>
      <c r="K2556" s="1644"/>
      <c r="L2556" s="349"/>
      <c r="M2556" s="301"/>
      <c r="N2556" s="391"/>
      <c r="O2556" s="349"/>
      <c r="P2556" s="301"/>
      <c r="S2556" s="364"/>
      <c r="Z2556" s="609" t="s">
        <v>1008</v>
      </c>
      <c r="AA2556" s="609" t="s">
        <v>3537</v>
      </c>
    </row>
    <row r="2557" spans="1:27" ht="18">
      <c r="A2557" s="2712"/>
      <c r="B2557" s="371"/>
      <c r="C2557" s="371" t="s">
        <v>2755</v>
      </c>
      <c r="D2557" s="2714"/>
      <c r="F2557" s="293"/>
      <c r="G2557" s="376"/>
      <c r="H2557" s="1574"/>
      <c r="I2557" s="396"/>
      <c r="J2557" s="315"/>
      <c r="K2557" s="423"/>
      <c r="L2557" s="349"/>
      <c r="M2557" s="301"/>
      <c r="N2557" s="391"/>
      <c r="O2557" s="349"/>
      <c r="P2557" s="301"/>
      <c r="S2557" s="364"/>
      <c r="Z2557" s="609" t="s">
        <v>1008</v>
      </c>
      <c r="AA2557" s="609" t="s">
        <v>3537</v>
      </c>
    </row>
    <row r="2558" spans="1:27" ht="18">
      <c r="A2558" s="2712">
        <v>1521</v>
      </c>
      <c r="B2558" s="371">
        <v>22</v>
      </c>
      <c r="C2558" s="2714" t="str">
        <f>VLOOKUP($A2558,Sheet_Items,2,0)</f>
        <v>投资性房地产</v>
      </c>
      <c r="D2558" s="371"/>
      <c r="E2558" s="2714" t="s">
        <v>2739</v>
      </c>
      <c r="F2558" s="294"/>
      <c r="G2558" s="305" t="str">
        <f>B2558&amp;" "&amp;C2558</f>
        <v>22 投资性房地产</v>
      </c>
      <c r="H2558" s="306"/>
      <c r="I2558" s="306"/>
      <c r="J2558" s="306" t="s">
        <v>2740</v>
      </c>
      <c r="K2558" s="341">
        <f>VLOOKUP($A2558,Sheet_Trialbal,6,0)</f>
        <v>0</v>
      </c>
      <c r="L2558" s="342"/>
      <c r="M2558" s="306" t="s">
        <v>2741</v>
      </c>
      <c r="N2558" s="341">
        <f>VLOOKUP($A2558,Sheet_Trialbal,10,0)</f>
        <v>0</v>
      </c>
      <c r="O2558" s="306"/>
      <c r="P2558" s="301"/>
      <c r="S2558" s="364"/>
      <c r="Z2558" s="609" t="s">
        <v>1053</v>
      </c>
      <c r="AA2558" s="609" t="s">
        <v>3540</v>
      </c>
    </row>
    <row r="2559" spans="1:27" ht="24">
      <c r="A2559" s="2712" t="s">
        <v>1051</v>
      </c>
      <c r="B2559" s="371">
        <v>1</v>
      </c>
      <c r="C2559" s="371"/>
      <c r="D2559" s="2714" t="str">
        <f>VLOOKUP($A2559,Sheet_NoteList,2,0)</f>
        <v>采用成本计量模式的投资性房地产</v>
      </c>
      <c r="E2559" s="2714" t="s">
        <v>2742</v>
      </c>
      <c r="F2559" s="293"/>
      <c r="G2559" s="372" t="str">
        <f>"("&amp;B2559&amp;")"&amp;D2559</f>
        <v>(1)采用成本计量模式的投资性房地产</v>
      </c>
      <c r="H2559" s="1515" t="str">
        <f>$A2559</f>
        <v>1521h</v>
      </c>
      <c r="I2559" s="343" t="s">
        <v>2743</v>
      </c>
      <c r="J2559" s="301" t="s">
        <v>2744</v>
      </c>
      <c r="K2559" s="2208">
        <f>H2599</f>
        <v>0</v>
      </c>
      <c r="L2559" s="349" t="str">
        <f>IF($I2559="适用",IF(ROUND(K$2558-K2559,2)=0,"F/S",ROUND(K$2558-K2559,2)),"#N/A")</f>
        <v>F/S</v>
      </c>
      <c r="M2559" s="301" t="s">
        <v>2745</v>
      </c>
      <c r="N2559" s="2208">
        <f>I2599</f>
        <v>0</v>
      </c>
      <c r="O2559" s="349" t="str">
        <f>IF($I2559="适用",IF(ROUND(N$2558-N2559,2)=0,"F/S",ROUND(N$2558-N2559,2)),"#N/A")</f>
        <v>F/S</v>
      </c>
      <c r="P2559" s="301"/>
      <c r="S2559" s="364"/>
      <c r="Z2559" s="609" t="s">
        <v>1053</v>
      </c>
      <c r="AA2559" s="609" t="s">
        <v>3540</v>
      </c>
    </row>
    <row r="2560" spans="1:27" ht="0.75" customHeight="1" thickBot="1">
      <c r="A2560" s="2712"/>
      <c r="B2560" s="371"/>
      <c r="C2560" s="371"/>
      <c r="D2560" s="2714"/>
      <c r="F2560" s="371"/>
      <c r="G2560" s="405" t="s">
        <v>3541</v>
      </c>
      <c r="H2560" s="371" t="s">
        <v>2747</v>
      </c>
      <c r="I2560" s="371" t="s">
        <v>2748</v>
      </c>
      <c r="J2560" s="371" t="s">
        <v>2948</v>
      </c>
      <c r="K2560" s="547" t="s">
        <v>3034</v>
      </c>
      <c r="L2560" s="428"/>
      <c r="M2560" s="433"/>
      <c r="N2560" s="428"/>
      <c r="O2560" s="428"/>
      <c r="P2560" s="433"/>
      <c r="Q2560" s="442"/>
      <c r="R2560" s="443"/>
      <c r="S2560" s="364"/>
      <c r="Z2560" s="609" t="s">
        <v>1053</v>
      </c>
      <c r="AA2560" s="609" t="s">
        <v>3540</v>
      </c>
    </row>
    <row r="2561" spans="1:27" ht="18">
      <c r="A2561" s="2712"/>
      <c r="B2561" s="371"/>
      <c r="C2561" s="371"/>
      <c r="D2561" s="2714"/>
      <c r="E2561" s="2714" t="s">
        <v>2749</v>
      </c>
      <c r="F2561" s="293"/>
      <c r="G2561" s="1469" t="s">
        <v>47</v>
      </c>
      <c r="H2561" s="1464" t="s">
        <v>3542</v>
      </c>
      <c r="I2561" s="1464" t="s">
        <v>3543</v>
      </c>
      <c r="J2561" s="1464" t="s">
        <v>344</v>
      </c>
      <c r="K2561" s="1471" t="s">
        <v>3351</v>
      </c>
      <c r="L2561" s="355" t="s">
        <v>5284</v>
      </c>
      <c r="M2561" s="435"/>
      <c r="N2561" s="434"/>
      <c r="O2561" s="434"/>
      <c r="P2561" s="435"/>
      <c r="Q2561" s="442"/>
      <c r="R2561" s="443"/>
      <c r="S2561" s="364"/>
      <c r="Z2561" s="609" t="s">
        <v>1053</v>
      </c>
      <c r="AA2561" s="609" t="s">
        <v>3540</v>
      </c>
    </row>
    <row r="2562" spans="1:27" ht="18">
      <c r="A2562" s="2712"/>
      <c r="B2562" s="371">
        <v>101</v>
      </c>
      <c r="C2562" s="371"/>
      <c r="D2562" s="2714">
        <f t="shared" ref="D2562:D2599" si="270">IF(OR(G2562="*",G2562="",G2562=0),0,COUNTIF($G$2562:$G$2599,G2562))</f>
        <v>1</v>
      </c>
      <c r="E2562" s="2719" t="s">
        <v>41</v>
      </c>
      <c r="F2562" s="293"/>
      <c r="G2562" s="308" t="s">
        <v>3544</v>
      </c>
      <c r="H2562" s="309"/>
      <c r="I2562" s="309"/>
      <c r="J2562" s="309"/>
      <c r="K2562" s="346"/>
      <c r="L2562" s="437"/>
      <c r="M2562" s="438"/>
      <c r="N2562" s="439"/>
      <c r="O2562" s="437"/>
      <c r="P2562" s="438"/>
      <c r="Q2562" s="442"/>
      <c r="R2562" s="443"/>
      <c r="S2562" s="364"/>
      <c r="Z2562" s="609" t="s">
        <v>1053</v>
      </c>
      <c r="AA2562" s="609" t="s">
        <v>3540</v>
      </c>
    </row>
    <row r="2563" spans="1:27" ht="18">
      <c r="A2563" s="2712"/>
      <c r="B2563" s="371">
        <v>102</v>
      </c>
      <c r="C2563" s="371"/>
      <c r="D2563" s="2714">
        <f t="shared" si="270"/>
        <v>1</v>
      </c>
      <c r="E2563" s="2719">
        <v>1</v>
      </c>
      <c r="F2563" s="293"/>
      <c r="G2563" s="308" t="str">
        <f>"1."&amp;$W$3&amp;" "</f>
        <v xml:space="preserve">1.2018年12月31日 </v>
      </c>
      <c r="H2563" s="309"/>
      <c r="I2563" s="309"/>
      <c r="J2563" s="309"/>
      <c r="K2563" s="1475">
        <f>SUM(H2563:J2563)</f>
        <v>0</v>
      </c>
      <c r="L2563" s="437"/>
      <c r="M2563" s="438"/>
      <c r="N2563" s="439"/>
      <c r="O2563" s="437"/>
      <c r="P2563" s="438"/>
      <c r="Q2563" s="442"/>
      <c r="R2563" s="443"/>
      <c r="S2563" s="364"/>
      <c r="Z2563" s="609" t="s">
        <v>1053</v>
      </c>
      <c r="AA2563" s="609" t="s">
        <v>3540</v>
      </c>
    </row>
    <row r="2564" spans="1:27" ht="18">
      <c r="A2564" s="2712"/>
      <c r="B2564" s="371">
        <v>103</v>
      </c>
      <c r="C2564" s="371"/>
      <c r="D2564" s="2714">
        <f t="shared" si="270"/>
        <v>1</v>
      </c>
      <c r="E2564" s="2719">
        <v>1</v>
      </c>
      <c r="F2564" s="293"/>
      <c r="G2564" s="308" t="s">
        <v>3545</v>
      </c>
      <c r="H2564" s="1474">
        <f>SUM(H2565:H2570)</f>
        <v>0</v>
      </c>
      <c r="I2564" s="1474">
        <f>SUM(I2565:I2570)</f>
        <v>0</v>
      </c>
      <c r="J2564" s="1474">
        <f>SUM(J2565:J2570)</f>
        <v>0</v>
      </c>
      <c r="K2564" s="1475">
        <f>SUM(K2565:K2570)</f>
        <v>0</v>
      </c>
      <c r="L2564" s="437"/>
      <c r="M2564" s="438"/>
      <c r="N2564" s="439"/>
      <c r="O2564" s="437"/>
      <c r="P2564" s="438"/>
      <c r="Q2564" s="442"/>
      <c r="R2564" s="443"/>
      <c r="S2564" s="364"/>
      <c r="Z2564" s="609" t="s">
        <v>1053</v>
      </c>
      <c r="AA2564" s="609" t="s">
        <v>3540</v>
      </c>
    </row>
    <row r="2565" spans="1:27" ht="18">
      <c r="A2565" s="2712"/>
      <c r="B2565" s="371">
        <v>104</v>
      </c>
      <c r="C2565" s="371"/>
      <c r="D2565" s="2714">
        <f t="shared" si="270"/>
        <v>1</v>
      </c>
      <c r="E2565" s="2719">
        <v>1</v>
      </c>
      <c r="F2565" s="293"/>
      <c r="G2565" s="308" t="s">
        <v>3546</v>
      </c>
      <c r="H2565" s="309"/>
      <c r="I2565" s="309"/>
      <c r="J2565" s="309"/>
      <c r="K2565" s="1475">
        <f t="shared" ref="K2565:K2570" si="271">SUM(H2565:J2565)</f>
        <v>0</v>
      </c>
      <c r="L2565" s="437"/>
      <c r="M2565" s="438"/>
      <c r="N2565" s="439"/>
      <c r="O2565" s="437"/>
      <c r="P2565" s="438"/>
      <c r="Q2565" s="442"/>
      <c r="R2565" s="443"/>
      <c r="S2565" s="364"/>
      <c r="Z2565" s="609" t="s">
        <v>1053</v>
      </c>
      <c r="AA2565" s="609" t="s">
        <v>3540</v>
      </c>
    </row>
    <row r="2566" spans="1:27" ht="18">
      <c r="A2566" s="2712"/>
      <c r="B2566" s="371">
        <v>105</v>
      </c>
      <c r="C2566" s="371"/>
      <c r="D2566" s="2714">
        <f t="shared" si="270"/>
        <v>1</v>
      </c>
      <c r="E2566" s="2719">
        <v>1</v>
      </c>
      <c r="F2566" s="293"/>
      <c r="G2566" s="308" t="s">
        <v>5212</v>
      </c>
      <c r="H2566" s="309"/>
      <c r="I2566" s="309"/>
      <c r="J2566" s="309"/>
      <c r="K2566" s="1475">
        <f t="shared" si="271"/>
        <v>0</v>
      </c>
      <c r="L2566" s="437"/>
      <c r="M2566" s="438"/>
      <c r="N2566" s="439"/>
      <c r="O2566" s="437"/>
      <c r="P2566" s="438"/>
      <c r="Q2566" s="442"/>
      <c r="R2566" s="443"/>
      <c r="S2566" s="364"/>
      <c r="Z2566" s="609" t="s">
        <v>1053</v>
      </c>
      <c r="AA2566" s="609" t="s">
        <v>3540</v>
      </c>
    </row>
    <row r="2567" spans="1:27" ht="18">
      <c r="A2567" s="2712"/>
      <c r="B2567" s="371">
        <v>106</v>
      </c>
      <c r="C2567" s="371"/>
      <c r="D2567" s="2714">
        <f t="shared" si="270"/>
        <v>1</v>
      </c>
      <c r="E2567" s="2719">
        <v>1</v>
      </c>
      <c r="F2567" s="293"/>
      <c r="G2567" s="308" t="s">
        <v>5213</v>
      </c>
      <c r="H2567" s="309"/>
      <c r="I2567" s="309"/>
      <c r="J2567" s="309"/>
      <c r="K2567" s="1475">
        <f t="shared" si="271"/>
        <v>0</v>
      </c>
      <c r="L2567" s="437"/>
      <c r="M2567" s="438"/>
      <c r="N2567" s="439"/>
      <c r="O2567" s="437"/>
      <c r="P2567" s="438"/>
      <c r="Q2567" s="442"/>
      <c r="R2567" s="443"/>
      <c r="S2567" s="364"/>
      <c r="Z2567" s="609" t="s">
        <v>1053</v>
      </c>
      <c r="AA2567" s="609" t="s">
        <v>3540</v>
      </c>
    </row>
    <row r="2568" spans="1:27" ht="18">
      <c r="A2568" s="2712"/>
      <c r="B2568" s="371">
        <v>107</v>
      </c>
      <c r="C2568" s="371"/>
      <c r="D2568" s="2714">
        <f t="shared" si="270"/>
        <v>1</v>
      </c>
      <c r="E2568" s="2719">
        <v>1</v>
      </c>
      <c r="F2568" s="293"/>
      <c r="G2568" s="308" t="s">
        <v>5214</v>
      </c>
      <c r="H2568" s="309"/>
      <c r="I2568" s="309"/>
      <c r="J2568" s="309"/>
      <c r="K2568" s="1475">
        <f t="shared" ref="K2568" si="272">SUM(H2568:J2568)</f>
        <v>0</v>
      </c>
      <c r="L2568" s="437"/>
      <c r="M2568" s="438"/>
      <c r="N2568" s="439"/>
      <c r="O2568" s="437"/>
      <c r="P2568" s="438"/>
      <c r="Q2568" s="442"/>
      <c r="R2568" s="443"/>
      <c r="S2568" s="364"/>
      <c r="Z2568" s="609" t="s">
        <v>1053</v>
      </c>
      <c r="AA2568" s="609" t="s">
        <v>3540</v>
      </c>
    </row>
    <row r="2569" spans="1:27" ht="18">
      <c r="A2569" s="2712"/>
      <c r="B2569" s="371">
        <v>108</v>
      </c>
      <c r="C2569" s="371"/>
      <c r="D2569" s="2714">
        <f t="shared" si="270"/>
        <v>1</v>
      </c>
      <c r="E2569" s="2719">
        <v>1</v>
      </c>
      <c r="F2569" s="293"/>
      <c r="G2569" s="308" t="s">
        <v>5215</v>
      </c>
      <c r="H2569" s="309"/>
      <c r="I2569" s="309"/>
      <c r="J2569" s="309"/>
      <c r="K2569" s="1475">
        <f t="shared" ref="K2569" si="273">SUM(H2569:J2569)</f>
        <v>0</v>
      </c>
      <c r="L2569" s="437"/>
      <c r="M2569" s="438"/>
      <c r="N2569" s="439"/>
      <c r="O2569" s="437"/>
      <c r="P2569" s="438"/>
      <c r="Q2569" s="442"/>
      <c r="R2569" s="443"/>
      <c r="S2569" s="364"/>
      <c r="Z2569" s="609" t="s">
        <v>1053</v>
      </c>
      <c r="AA2569" s="609" t="s">
        <v>3540</v>
      </c>
    </row>
    <row r="2570" spans="1:27" ht="18">
      <c r="A2570" s="2712"/>
      <c r="B2570" s="371">
        <v>109</v>
      </c>
      <c r="C2570" s="371" t="s">
        <v>2791</v>
      </c>
      <c r="D2570" s="2714">
        <f t="shared" si="270"/>
        <v>0</v>
      </c>
      <c r="E2570" s="2719">
        <v>1</v>
      </c>
      <c r="F2570" s="293"/>
      <c r="G2570" s="1470" t="s">
        <v>2792</v>
      </c>
      <c r="H2570" s="309"/>
      <c r="I2570" s="309"/>
      <c r="J2570" s="309"/>
      <c r="K2570" s="1475">
        <f t="shared" si="271"/>
        <v>0</v>
      </c>
      <c r="L2570" s="437"/>
      <c r="M2570" s="438"/>
      <c r="N2570" s="439"/>
      <c r="O2570" s="437"/>
      <c r="P2570" s="438"/>
      <c r="Q2570" s="442"/>
      <c r="R2570" s="443"/>
      <c r="S2570" s="364"/>
      <c r="Z2570" s="609" t="s">
        <v>1053</v>
      </c>
      <c r="AA2570" s="609" t="s">
        <v>3540</v>
      </c>
    </row>
    <row r="2571" spans="1:27" ht="18">
      <c r="A2571" s="2712"/>
      <c r="B2571" s="371">
        <v>110</v>
      </c>
      <c r="C2571" s="371"/>
      <c r="D2571" s="2714">
        <f t="shared" si="270"/>
        <v>1</v>
      </c>
      <c r="E2571" s="2719">
        <v>1</v>
      </c>
      <c r="F2571" s="293"/>
      <c r="G2571" s="308" t="s">
        <v>3548</v>
      </c>
      <c r="H2571" s="1474">
        <f>SUM(H2572:H2574)</f>
        <v>0</v>
      </c>
      <c r="I2571" s="1474">
        <f>SUM(I2572:I2574)</f>
        <v>0</v>
      </c>
      <c r="J2571" s="1474">
        <f>SUM(J2572:J2574)</f>
        <v>0</v>
      </c>
      <c r="K2571" s="1475">
        <f>SUM(K2572:K2574)</f>
        <v>0</v>
      </c>
      <c r="L2571" s="437"/>
      <c r="M2571" s="438"/>
      <c r="N2571" s="439"/>
      <c r="O2571" s="437"/>
      <c r="P2571" s="438"/>
      <c r="Q2571" s="442"/>
      <c r="R2571" s="443"/>
      <c r="S2571" s="364"/>
      <c r="Z2571" s="609" t="s">
        <v>1053</v>
      </c>
      <c r="AA2571" s="609" t="s">
        <v>3540</v>
      </c>
    </row>
    <row r="2572" spans="1:27" ht="18">
      <c r="A2572" s="2712"/>
      <c r="B2572" s="371">
        <v>111</v>
      </c>
      <c r="C2572" s="371"/>
      <c r="D2572" s="2714">
        <f t="shared" si="270"/>
        <v>1</v>
      </c>
      <c r="E2572" s="2719">
        <v>1</v>
      </c>
      <c r="F2572" s="293"/>
      <c r="G2572" s="308" t="s">
        <v>3549</v>
      </c>
      <c r="H2572" s="309"/>
      <c r="I2572" s="309"/>
      <c r="J2572" s="309"/>
      <c r="K2572" s="1475">
        <f t="shared" ref="K2572:K2574" si="274">SUM(H2572:J2572)</f>
        <v>0</v>
      </c>
      <c r="L2572" s="437"/>
      <c r="M2572" s="438"/>
      <c r="N2572" s="439"/>
      <c r="O2572" s="437"/>
      <c r="P2572" s="438"/>
      <c r="Q2572" s="442"/>
      <c r="R2572" s="443"/>
      <c r="S2572" s="364"/>
      <c r="Z2572" s="609" t="s">
        <v>1053</v>
      </c>
      <c r="AA2572" s="609" t="s">
        <v>3540</v>
      </c>
    </row>
    <row r="2573" spans="1:27" ht="18">
      <c r="A2573" s="2712"/>
      <c r="B2573" s="371">
        <v>112</v>
      </c>
      <c r="C2573" s="371"/>
      <c r="D2573" s="2714">
        <f t="shared" si="270"/>
        <v>1</v>
      </c>
      <c r="E2573" s="2719">
        <v>1</v>
      </c>
      <c r="F2573" s="293"/>
      <c r="G2573" s="308" t="s">
        <v>3550</v>
      </c>
      <c r="H2573" s="309"/>
      <c r="I2573" s="309"/>
      <c r="J2573" s="309"/>
      <c r="K2573" s="1475">
        <f t="shared" si="274"/>
        <v>0</v>
      </c>
      <c r="L2573" s="437"/>
      <c r="M2573" s="438"/>
      <c r="N2573" s="439"/>
      <c r="O2573" s="437"/>
      <c r="P2573" s="438"/>
      <c r="Q2573" s="442"/>
      <c r="R2573" s="443"/>
      <c r="S2573" s="364"/>
      <c r="Z2573" s="609" t="s">
        <v>1053</v>
      </c>
      <c r="AA2573" s="609" t="s">
        <v>3540</v>
      </c>
    </row>
    <row r="2574" spans="1:27" ht="18">
      <c r="A2574" s="2712"/>
      <c r="B2574" s="371">
        <v>113</v>
      </c>
      <c r="C2574" s="371" t="s">
        <v>2791</v>
      </c>
      <c r="D2574" s="2714">
        <f t="shared" si="270"/>
        <v>0</v>
      </c>
      <c r="E2574" s="2719">
        <v>1</v>
      </c>
      <c r="F2574" s="293"/>
      <c r="G2574" s="1470" t="s">
        <v>2792</v>
      </c>
      <c r="H2574" s="309"/>
      <c r="I2574" s="309"/>
      <c r="J2574" s="309"/>
      <c r="K2574" s="1475">
        <f t="shared" si="274"/>
        <v>0</v>
      </c>
      <c r="L2574" s="437"/>
      <c r="M2574" s="438"/>
      <c r="N2574" s="439"/>
      <c r="O2574" s="437"/>
      <c r="P2574" s="438"/>
      <c r="Q2574" s="442"/>
      <c r="R2574" s="443"/>
      <c r="S2574" s="364"/>
      <c r="Z2574" s="609" t="s">
        <v>1053</v>
      </c>
      <c r="AA2574" s="609" t="s">
        <v>3540</v>
      </c>
    </row>
    <row r="2575" spans="1:27" ht="18">
      <c r="A2575" s="2712"/>
      <c r="B2575" s="371">
        <v>114</v>
      </c>
      <c r="C2575" s="371"/>
      <c r="D2575" s="2714">
        <f t="shared" si="270"/>
        <v>1</v>
      </c>
      <c r="E2575" s="2719">
        <v>1</v>
      </c>
      <c r="F2575" s="293"/>
      <c r="G2575" s="308" t="str">
        <f>"4."&amp;$W$2&amp;"  "</f>
        <v xml:space="preserve">4.2019年12月31日  </v>
      </c>
      <c r="H2575" s="1474">
        <f>SUM(H2563:H2564,-H2571)</f>
        <v>0</v>
      </c>
      <c r="I2575" s="1474">
        <f>SUM(I2563:I2564,-I2571)</f>
        <v>0</v>
      </c>
      <c r="J2575" s="1474">
        <f>SUM(J2563:J2564,-J2571)</f>
        <v>0</v>
      </c>
      <c r="K2575" s="1475">
        <f>SUM(K2563:K2564,-K2571)</f>
        <v>0</v>
      </c>
      <c r="L2575" s="437"/>
      <c r="M2575" s="438"/>
      <c r="N2575" s="439"/>
      <c r="O2575" s="437"/>
      <c r="P2575" s="438"/>
      <c r="Q2575" s="442"/>
      <c r="R2575" s="443"/>
      <c r="S2575" s="364"/>
      <c r="Z2575" s="609" t="s">
        <v>1053</v>
      </c>
      <c r="AA2575" s="609" t="s">
        <v>3540</v>
      </c>
    </row>
    <row r="2576" spans="1:27" ht="18">
      <c r="A2576" s="2712"/>
      <c r="B2576" s="371">
        <v>115</v>
      </c>
      <c r="C2576" s="371"/>
      <c r="D2576" s="2714">
        <f t="shared" si="270"/>
        <v>1</v>
      </c>
      <c r="E2576" s="2719" t="s">
        <v>41</v>
      </c>
      <c r="F2576" s="293"/>
      <c r="G2576" s="308" t="s">
        <v>3551</v>
      </c>
      <c r="H2576" s="309"/>
      <c r="I2576" s="309"/>
      <c r="J2576" s="309"/>
      <c r="K2576" s="346"/>
      <c r="L2576" s="437"/>
      <c r="M2576" s="438"/>
      <c r="N2576" s="439"/>
      <c r="O2576" s="437"/>
      <c r="P2576" s="438"/>
      <c r="Q2576" s="442"/>
      <c r="R2576" s="443"/>
      <c r="S2576" s="364"/>
      <c r="Z2576" s="609" t="s">
        <v>1053</v>
      </c>
      <c r="AA2576" s="609" t="s">
        <v>3540</v>
      </c>
    </row>
    <row r="2577" spans="1:29" ht="18">
      <c r="A2577" s="2712"/>
      <c r="B2577" s="371">
        <v>116</v>
      </c>
      <c r="C2577" s="371"/>
      <c r="D2577" s="2714">
        <f t="shared" si="270"/>
        <v>1</v>
      </c>
      <c r="E2577" s="2719">
        <v>1</v>
      </c>
      <c r="F2577" s="293"/>
      <c r="G2577" s="308" t="str">
        <f>"1."&amp;$W$3&amp;"   "</f>
        <v xml:space="preserve">1.2018年12月31日   </v>
      </c>
      <c r="H2577" s="309"/>
      <c r="I2577" s="309"/>
      <c r="J2577" s="309"/>
      <c r="K2577" s="1475">
        <f>SUM(H2577:J2577)</f>
        <v>0</v>
      </c>
      <c r="L2577" s="437"/>
      <c r="M2577" s="438"/>
      <c r="N2577" s="439"/>
      <c r="O2577" s="437"/>
      <c r="P2577" s="438"/>
      <c r="Q2577" s="442"/>
      <c r="R2577" s="443"/>
      <c r="S2577" s="364"/>
      <c r="Z2577" s="609" t="s">
        <v>1053</v>
      </c>
      <c r="AA2577" s="609" t="s">
        <v>3540</v>
      </c>
    </row>
    <row r="2578" spans="1:29" ht="18">
      <c r="A2578" s="2712"/>
      <c r="B2578" s="371">
        <v>117</v>
      </c>
      <c r="C2578" s="371"/>
      <c r="D2578" s="2714">
        <f t="shared" si="270"/>
        <v>1</v>
      </c>
      <c r="E2578" s="2719">
        <v>1</v>
      </c>
      <c r="F2578" s="293"/>
      <c r="G2578" s="308" t="s">
        <v>3552</v>
      </c>
      <c r="H2578" s="1474">
        <f>SUM(H2579:H2580)</f>
        <v>0</v>
      </c>
      <c r="I2578" s="1474">
        <f>SUM(I2579:I2580)</f>
        <v>0</v>
      </c>
      <c r="J2578" s="1474">
        <f>SUM(J2579:J2580)</f>
        <v>0</v>
      </c>
      <c r="K2578" s="1475">
        <f>SUM(K2579:K2580)</f>
        <v>0</v>
      </c>
      <c r="L2578" s="437"/>
      <c r="M2578" s="438"/>
      <c r="N2578" s="439"/>
      <c r="O2578" s="437"/>
      <c r="P2578" s="438"/>
      <c r="Q2578" s="442"/>
      <c r="R2578" s="443"/>
      <c r="S2578" s="364"/>
      <c r="Z2578" s="609" t="s">
        <v>1053</v>
      </c>
      <c r="AA2578" s="609" t="s">
        <v>3540</v>
      </c>
    </row>
    <row r="2579" spans="1:29" ht="18">
      <c r="A2579" s="2712"/>
      <c r="B2579" s="371">
        <v>118</v>
      </c>
      <c r="C2579" s="371"/>
      <c r="D2579" s="2714">
        <f t="shared" si="270"/>
        <v>1</v>
      </c>
      <c r="E2579" s="2719">
        <v>1</v>
      </c>
      <c r="F2579" s="293"/>
      <c r="G2579" s="308" t="s">
        <v>3553</v>
      </c>
      <c r="H2579" s="309"/>
      <c r="I2579" s="309"/>
      <c r="J2579" s="309"/>
      <c r="K2579" s="1475">
        <f t="shared" ref="K2579:K2580" si="275">SUM(H2579:J2579)</f>
        <v>0</v>
      </c>
      <c r="L2579" s="437"/>
      <c r="M2579" s="438"/>
      <c r="N2579" s="439"/>
      <c r="O2579" s="437"/>
      <c r="P2579" s="438"/>
      <c r="Q2579" s="442"/>
      <c r="R2579" s="443"/>
      <c r="S2579" s="364"/>
      <c r="Z2579" s="609" t="s">
        <v>1053</v>
      </c>
      <c r="AA2579" s="609" t="s">
        <v>3540</v>
      </c>
    </row>
    <row r="2580" spans="1:29" ht="18">
      <c r="A2580" s="2712"/>
      <c r="B2580" s="371">
        <v>119</v>
      </c>
      <c r="C2580" s="371" t="s">
        <v>2791</v>
      </c>
      <c r="D2580" s="2714">
        <f t="shared" si="270"/>
        <v>0</v>
      </c>
      <c r="E2580" s="2719">
        <v>1</v>
      </c>
      <c r="F2580" s="293"/>
      <c r="G2580" s="1470" t="s">
        <v>2792</v>
      </c>
      <c r="H2580" s="309"/>
      <c r="I2580" s="309"/>
      <c r="J2580" s="309"/>
      <c r="K2580" s="1475">
        <f t="shared" si="275"/>
        <v>0</v>
      </c>
      <c r="L2580" s="437"/>
      <c r="M2580" s="438"/>
      <c r="N2580" s="439"/>
      <c r="O2580" s="437"/>
      <c r="P2580" s="438"/>
      <c r="Q2580" s="442"/>
      <c r="R2580" s="443"/>
      <c r="S2580" s="364"/>
      <c r="Z2580" s="609" t="s">
        <v>1053</v>
      </c>
      <c r="AA2580" s="609" t="s">
        <v>3540</v>
      </c>
    </row>
    <row r="2581" spans="1:29" ht="18">
      <c r="A2581" s="2712"/>
      <c r="B2581" s="371">
        <v>120</v>
      </c>
      <c r="C2581" s="371"/>
      <c r="D2581" s="2714">
        <f t="shared" si="270"/>
        <v>1</v>
      </c>
      <c r="E2581" s="2719">
        <v>1</v>
      </c>
      <c r="F2581" s="293"/>
      <c r="G2581" s="308" t="s">
        <v>3554</v>
      </c>
      <c r="H2581" s="1474">
        <f>SUM(H2582:H2584)</f>
        <v>0</v>
      </c>
      <c r="I2581" s="1474">
        <f>SUM(I2582:I2584)</f>
        <v>0</v>
      </c>
      <c r="J2581" s="1474">
        <f>SUM(J2582:J2584)</f>
        <v>0</v>
      </c>
      <c r="K2581" s="1475">
        <f>SUM(K2582:K2584)</f>
        <v>0</v>
      </c>
      <c r="L2581" s="437"/>
      <c r="M2581" s="438"/>
      <c r="N2581" s="439"/>
      <c r="O2581" s="437"/>
      <c r="P2581" s="438"/>
      <c r="Q2581" s="442"/>
      <c r="R2581" s="443"/>
      <c r="S2581" s="364"/>
      <c r="Z2581" s="609" t="s">
        <v>1053</v>
      </c>
      <c r="AA2581" s="609" t="s">
        <v>3540</v>
      </c>
    </row>
    <row r="2582" spans="1:29" ht="18">
      <c r="A2582" s="2712"/>
      <c r="B2582" s="371">
        <v>121</v>
      </c>
      <c r="C2582" s="371"/>
      <c r="D2582" s="2714">
        <f t="shared" si="270"/>
        <v>1</v>
      </c>
      <c r="E2582" s="2719">
        <v>1</v>
      </c>
      <c r="F2582" s="293"/>
      <c r="G2582" s="308" t="s">
        <v>3555</v>
      </c>
      <c r="H2582" s="309"/>
      <c r="I2582" s="309"/>
      <c r="J2582" s="309"/>
      <c r="K2582" s="1475">
        <f t="shared" ref="K2582:K2584" si="276">SUM(H2582:J2582)</f>
        <v>0</v>
      </c>
      <c r="L2582" s="437"/>
      <c r="M2582" s="438"/>
      <c r="N2582" s="439"/>
      <c r="O2582" s="437"/>
      <c r="P2582" s="438"/>
      <c r="Q2582" s="442"/>
      <c r="R2582" s="443"/>
      <c r="S2582" s="364"/>
      <c r="Z2582" s="609" t="s">
        <v>1053</v>
      </c>
      <c r="AA2582" s="609" t="s">
        <v>3540</v>
      </c>
    </row>
    <row r="2583" spans="1:29" ht="18">
      <c r="A2583" s="2712"/>
      <c r="B2583" s="371">
        <v>122</v>
      </c>
      <c r="C2583" s="371"/>
      <c r="D2583" s="2714">
        <f t="shared" si="270"/>
        <v>1</v>
      </c>
      <c r="E2583" s="2719">
        <v>1</v>
      </c>
      <c r="F2583" s="293"/>
      <c r="G2583" s="308" t="s">
        <v>3556</v>
      </c>
      <c r="H2583" s="309"/>
      <c r="I2583" s="309"/>
      <c r="J2583" s="309"/>
      <c r="K2583" s="1475">
        <f t="shared" si="276"/>
        <v>0</v>
      </c>
      <c r="L2583" s="437"/>
      <c r="M2583" s="438"/>
      <c r="N2583" s="439"/>
      <c r="O2583" s="437"/>
      <c r="P2583" s="438"/>
      <c r="Q2583" s="442"/>
      <c r="R2583" s="443"/>
      <c r="S2583" s="364"/>
      <c r="Z2583" s="609" t="s">
        <v>1053</v>
      </c>
      <c r="AA2583" s="609" t="s">
        <v>3540</v>
      </c>
    </row>
    <row r="2584" spans="1:29" ht="18">
      <c r="A2584" s="2712"/>
      <c r="B2584" s="371">
        <v>123</v>
      </c>
      <c r="C2584" s="371" t="s">
        <v>2791</v>
      </c>
      <c r="D2584" s="2714">
        <f t="shared" si="270"/>
        <v>0</v>
      </c>
      <c r="E2584" s="2719">
        <v>1</v>
      </c>
      <c r="F2584" s="293"/>
      <c r="G2584" s="1470" t="s">
        <v>2792</v>
      </c>
      <c r="H2584" s="309"/>
      <c r="I2584" s="309"/>
      <c r="J2584" s="309"/>
      <c r="K2584" s="1475">
        <f t="shared" si="276"/>
        <v>0</v>
      </c>
      <c r="L2584" s="437"/>
      <c r="M2584" s="438"/>
      <c r="N2584" s="439"/>
      <c r="O2584" s="437"/>
      <c r="P2584" s="438"/>
      <c r="Q2584" s="442"/>
      <c r="R2584" s="443"/>
      <c r="S2584" s="364"/>
      <c r="Z2584" s="609" t="s">
        <v>1053</v>
      </c>
      <c r="AA2584" s="609" t="s">
        <v>3540</v>
      </c>
    </row>
    <row r="2585" spans="1:29" ht="18">
      <c r="A2585" s="2712"/>
      <c r="B2585" s="371">
        <v>124</v>
      </c>
      <c r="C2585" s="371"/>
      <c r="D2585" s="2714">
        <f t="shared" si="270"/>
        <v>1</v>
      </c>
      <c r="E2585" s="2719">
        <v>1</v>
      </c>
      <c r="F2585" s="293"/>
      <c r="G2585" s="308" t="str">
        <f>"4."&amp;$W$2&amp;"   "</f>
        <v xml:space="preserve">4.2019年12月31日   </v>
      </c>
      <c r="H2585" s="1474">
        <f>SUM(H2577:H2578,-H2581)</f>
        <v>0</v>
      </c>
      <c r="I2585" s="1474">
        <f>SUM(I2577:I2578,-I2581)</f>
        <v>0</v>
      </c>
      <c r="J2585" s="1474">
        <f>SUM(J2577:J2578,-J2581)</f>
        <v>0</v>
      </c>
      <c r="K2585" s="1475">
        <f>SUM(K2577:K2578,-K2581)</f>
        <v>0</v>
      </c>
      <c r="L2585" s="437"/>
      <c r="M2585" s="438"/>
      <c r="N2585" s="439"/>
      <c r="O2585" s="437"/>
      <c r="P2585" s="438"/>
      <c r="Q2585" s="442"/>
      <c r="R2585" s="443"/>
      <c r="S2585" s="364"/>
      <c r="Z2585" s="609" t="s">
        <v>1053</v>
      </c>
      <c r="AA2585" s="609" t="s">
        <v>3540</v>
      </c>
    </row>
    <row r="2586" spans="1:29" ht="18">
      <c r="A2586" s="2712"/>
      <c r="B2586" s="371">
        <v>125</v>
      </c>
      <c r="C2586" s="371"/>
      <c r="D2586" s="2714">
        <f t="shared" si="270"/>
        <v>1</v>
      </c>
      <c r="E2586" s="2719" t="s">
        <v>41</v>
      </c>
      <c r="F2586" s="293"/>
      <c r="G2586" s="308" t="s">
        <v>3557</v>
      </c>
      <c r="H2586" s="309"/>
      <c r="I2586" s="309"/>
      <c r="J2586" s="309"/>
      <c r="K2586" s="346"/>
      <c r="L2586" s="437"/>
      <c r="M2586" s="438"/>
      <c r="N2586" s="439"/>
      <c r="O2586" s="437"/>
      <c r="P2586" s="438"/>
      <c r="Q2586" s="442"/>
      <c r="R2586" s="443"/>
      <c r="S2586" s="364"/>
      <c r="Z2586" s="609" t="s">
        <v>1053</v>
      </c>
      <c r="AA2586" s="609" t="s">
        <v>3540</v>
      </c>
    </row>
    <row r="2587" spans="1:29" ht="18">
      <c r="A2587" s="2712"/>
      <c r="B2587" s="371">
        <v>126</v>
      </c>
      <c r="C2587" s="371"/>
      <c r="D2587" s="2714">
        <f t="shared" si="270"/>
        <v>1</v>
      </c>
      <c r="E2587" s="2719">
        <v>1</v>
      </c>
      <c r="F2587" s="293"/>
      <c r="G2587" s="308" t="str">
        <f>"1."&amp;$W$3&amp;""</f>
        <v>1.2018年12月31日</v>
      </c>
      <c r="H2587" s="309"/>
      <c r="I2587" s="309"/>
      <c r="J2587" s="309"/>
      <c r="K2587" s="1475">
        <f>SUM(H2587:J2587)</f>
        <v>0</v>
      </c>
      <c r="L2587" s="437"/>
      <c r="M2587" s="438"/>
      <c r="N2587" s="439"/>
      <c r="O2587" s="437"/>
      <c r="P2587" s="438"/>
      <c r="Q2587" s="442"/>
      <c r="R2587" s="443"/>
      <c r="S2587" s="364"/>
      <c r="Z2587" s="609" t="s">
        <v>1053</v>
      </c>
      <c r="AA2587" s="609" t="s">
        <v>3540</v>
      </c>
    </row>
    <row r="2588" spans="1:29" ht="18">
      <c r="A2588" s="2712"/>
      <c r="B2588" s="371">
        <v>127</v>
      </c>
      <c r="C2588" s="371"/>
      <c r="D2588" s="2714">
        <f t="shared" si="270"/>
        <v>1</v>
      </c>
      <c r="E2588" s="2719">
        <v>1</v>
      </c>
      <c r="F2588" s="293"/>
      <c r="G2588" s="308" t="s">
        <v>3558</v>
      </c>
      <c r="H2588" s="1474">
        <f>SUM(H2589:H2590)</f>
        <v>0</v>
      </c>
      <c r="I2588" s="1474">
        <f>SUM(I2589:I2590)</f>
        <v>0</v>
      </c>
      <c r="J2588" s="1474">
        <f>SUM(J2589:J2590)</f>
        <v>0</v>
      </c>
      <c r="K2588" s="1475">
        <f>SUM(K2589:K2590)</f>
        <v>0</v>
      </c>
      <c r="L2588" s="437"/>
      <c r="M2588" s="438"/>
      <c r="N2588" s="439"/>
      <c r="O2588" s="437"/>
      <c r="P2588" s="438"/>
      <c r="Q2588" s="442"/>
      <c r="R2588" s="443"/>
      <c r="S2588" s="364"/>
      <c r="Z2588" s="609" t="s">
        <v>1053</v>
      </c>
      <c r="AA2588" s="609" t="s">
        <v>3540</v>
      </c>
    </row>
    <row r="2589" spans="1:29" ht="18">
      <c r="A2589" s="2712"/>
      <c r="B2589" s="371">
        <v>128</v>
      </c>
      <c r="C2589" s="371"/>
      <c r="D2589" s="2714">
        <f t="shared" si="270"/>
        <v>1</v>
      </c>
      <c r="E2589" s="2719">
        <v>1</v>
      </c>
      <c r="F2589" s="293"/>
      <c r="G2589" s="308" t="s">
        <v>3559</v>
      </c>
      <c r="H2589" s="309"/>
      <c r="I2589" s="309"/>
      <c r="J2589" s="309"/>
      <c r="K2589" s="1475">
        <f t="shared" ref="K2589:K2590" si="277">SUM(H2589:J2589)</f>
        <v>0</v>
      </c>
      <c r="L2589" s="1587" t="str">
        <f ca="1">HYPERLINK("#'"&amp;$G$1&amp;"'!"&amp;ADDRESS(ROW(Notes!L4886),COLUMN(Notes!L4886),4),"* 请勿删除此行！点击往勾稽单元格，F5+Enter返回")</f>
        <v>* 请勿删除此行！点击往勾稽单元格，F5+Enter返回</v>
      </c>
      <c r="M2589" s="438"/>
      <c r="N2589" s="439"/>
      <c r="O2589" s="437"/>
      <c r="P2589" s="438"/>
      <c r="Q2589" s="442"/>
      <c r="R2589" s="443"/>
      <c r="S2589" s="364"/>
      <c r="Z2589" s="609" t="s">
        <v>1053</v>
      </c>
      <c r="AA2589" s="609" t="s">
        <v>3540</v>
      </c>
      <c r="AC2589" s="369" t="s">
        <v>2794</v>
      </c>
    </row>
    <row r="2590" spans="1:29" ht="18">
      <c r="A2590" s="2712"/>
      <c r="B2590" s="371">
        <v>129</v>
      </c>
      <c r="C2590" s="371" t="s">
        <v>2791</v>
      </c>
      <c r="D2590" s="2714">
        <f t="shared" si="270"/>
        <v>0</v>
      </c>
      <c r="E2590" s="2719">
        <v>1</v>
      </c>
      <c r="F2590" s="293"/>
      <c r="G2590" s="1470" t="s">
        <v>2792</v>
      </c>
      <c r="H2590" s="309"/>
      <c r="I2590" s="309"/>
      <c r="J2590" s="309"/>
      <c r="K2590" s="1475">
        <f t="shared" si="277"/>
        <v>0</v>
      </c>
      <c r="L2590" s="437"/>
      <c r="M2590" s="438"/>
      <c r="N2590" s="439"/>
      <c r="O2590" s="437"/>
      <c r="P2590" s="438"/>
      <c r="Q2590" s="442"/>
      <c r="R2590" s="443"/>
      <c r="S2590" s="364"/>
      <c r="Z2590" s="609" t="s">
        <v>1053</v>
      </c>
      <c r="AA2590" s="609" t="s">
        <v>3540</v>
      </c>
    </row>
    <row r="2591" spans="1:29" ht="18">
      <c r="A2591" s="2712"/>
      <c r="B2591" s="371">
        <v>130</v>
      </c>
      <c r="C2591" s="371"/>
      <c r="D2591" s="2714">
        <f t="shared" si="270"/>
        <v>1</v>
      </c>
      <c r="E2591" s="2719">
        <v>1</v>
      </c>
      <c r="F2591" s="293"/>
      <c r="G2591" s="308" t="s">
        <v>3560</v>
      </c>
      <c r="H2591" s="1474">
        <f>SUM(H2592:H2594)</f>
        <v>0</v>
      </c>
      <c r="I2591" s="1474">
        <f>SUM(I2592:I2594)</f>
        <v>0</v>
      </c>
      <c r="J2591" s="1474">
        <f>SUM(J2592:J2594)</f>
        <v>0</v>
      </c>
      <c r="K2591" s="1475">
        <f>SUM(K2592:K2594)</f>
        <v>0</v>
      </c>
      <c r="L2591" s="437"/>
      <c r="M2591" s="438"/>
      <c r="N2591" s="439"/>
      <c r="O2591" s="437"/>
      <c r="P2591" s="438"/>
      <c r="Q2591" s="442"/>
      <c r="R2591" s="443"/>
      <c r="S2591" s="364"/>
      <c r="Z2591" s="609" t="s">
        <v>1053</v>
      </c>
      <c r="AA2591" s="609" t="s">
        <v>3540</v>
      </c>
    </row>
    <row r="2592" spans="1:29" ht="18">
      <c r="A2592" s="2712"/>
      <c r="B2592" s="371">
        <v>131</v>
      </c>
      <c r="C2592" s="371"/>
      <c r="D2592" s="2714">
        <f t="shared" si="270"/>
        <v>1</v>
      </c>
      <c r="E2592" s="2719">
        <v>1</v>
      </c>
      <c r="F2592" s="293"/>
      <c r="G2592" s="308" t="s">
        <v>3561</v>
      </c>
      <c r="H2592" s="309"/>
      <c r="I2592" s="309"/>
      <c r="J2592" s="309"/>
      <c r="K2592" s="1475">
        <f t="shared" ref="K2592:K2594" si="278">SUM(H2592:J2592)</f>
        <v>0</v>
      </c>
      <c r="L2592" s="437"/>
      <c r="M2592" s="438"/>
      <c r="N2592" s="439"/>
      <c r="O2592" s="437"/>
      <c r="P2592" s="438"/>
      <c r="Q2592" s="442"/>
      <c r="R2592" s="443"/>
      <c r="S2592" s="364"/>
      <c r="Z2592" s="609" t="s">
        <v>1053</v>
      </c>
      <c r="AA2592" s="609" t="s">
        <v>3540</v>
      </c>
    </row>
    <row r="2593" spans="1:27" ht="18">
      <c r="A2593" s="2712"/>
      <c r="B2593" s="371">
        <v>132</v>
      </c>
      <c r="C2593" s="371"/>
      <c r="D2593" s="2714">
        <f t="shared" si="270"/>
        <v>1</v>
      </c>
      <c r="E2593" s="2719">
        <v>1</v>
      </c>
      <c r="F2593" s="293"/>
      <c r="G2593" s="308" t="s">
        <v>3562</v>
      </c>
      <c r="H2593" s="309"/>
      <c r="I2593" s="309"/>
      <c r="J2593" s="309"/>
      <c r="K2593" s="1475">
        <f t="shared" si="278"/>
        <v>0</v>
      </c>
      <c r="L2593" s="437"/>
      <c r="M2593" s="438"/>
      <c r="N2593" s="439"/>
      <c r="O2593" s="437"/>
      <c r="P2593" s="438"/>
      <c r="Q2593" s="442"/>
      <c r="R2593" s="443"/>
      <c r="S2593" s="364"/>
      <c r="Z2593" s="609" t="s">
        <v>1053</v>
      </c>
      <c r="AA2593" s="609" t="s">
        <v>3540</v>
      </c>
    </row>
    <row r="2594" spans="1:27" ht="18">
      <c r="A2594" s="2712"/>
      <c r="B2594" s="371">
        <v>133</v>
      </c>
      <c r="C2594" s="371" t="s">
        <v>2791</v>
      </c>
      <c r="D2594" s="2714">
        <f t="shared" si="270"/>
        <v>0</v>
      </c>
      <c r="E2594" s="2719">
        <v>1</v>
      </c>
      <c r="F2594" s="293"/>
      <c r="G2594" s="1470" t="s">
        <v>2792</v>
      </c>
      <c r="H2594" s="309"/>
      <c r="I2594" s="309"/>
      <c r="J2594" s="309"/>
      <c r="K2594" s="1475">
        <f t="shared" si="278"/>
        <v>0</v>
      </c>
      <c r="L2594" s="437"/>
      <c r="M2594" s="438"/>
      <c r="N2594" s="439"/>
      <c r="O2594" s="437"/>
      <c r="P2594" s="438"/>
      <c r="Q2594" s="442"/>
      <c r="R2594" s="443"/>
      <c r="S2594" s="364"/>
      <c r="Z2594" s="609" t="s">
        <v>1053</v>
      </c>
      <c r="AA2594" s="609" t="s">
        <v>3540</v>
      </c>
    </row>
    <row r="2595" spans="1:27" ht="18">
      <c r="A2595" s="2712"/>
      <c r="B2595" s="371">
        <v>134</v>
      </c>
      <c r="C2595" s="371"/>
      <c r="D2595" s="2714">
        <f t="shared" si="270"/>
        <v>1</v>
      </c>
      <c r="E2595" s="2719">
        <v>1</v>
      </c>
      <c r="F2595" s="293"/>
      <c r="G2595" s="308" t="str">
        <f>"4."&amp;$W$2&amp;""</f>
        <v>4.2019年12月31日</v>
      </c>
      <c r="H2595" s="1474">
        <f>SUM(H2587:H2588,-H2591)</f>
        <v>0</v>
      </c>
      <c r="I2595" s="1474">
        <f>SUM(I2587:I2588,-I2591)</f>
        <v>0</v>
      </c>
      <c r="J2595" s="1474">
        <f>SUM(J2587:J2588,-J2591)</f>
        <v>0</v>
      </c>
      <c r="K2595" s="1475">
        <f>SUM(K2587:K2588,-K2591)</f>
        <v>0</v>
      </c>
      <c r="L2595" s="437"/>
      <c r="M2595" s="438"/>
      <c r="N2595" s="439"/>
      <c r="O2595" s="437"/>
      <c r="P2595" s="438"/>
      <c r="Q2595" s="442"/>
      <c r="R2595" s="443"/>
      <c r="S2595" s="364"/>
      <c r="Z2595" s="609" t="s">
        <v>1053</v>
      </c>
      <c r="AA2595" s="609" t="s">
        <v>3540</v>
      </c>
    </row>
    <row r="2596" spans="1:27" ht="18">
      <c r="A2596" s="2712"/>
      <c r="B2596" s="371">
        <v>135</v>
      </c>
      <c r="C2596" s="371"/>
      <c r="D2596" s="2714">
        <f t="shared" si="270"/>
        <v>1</v>
      </c>
      <c r="E2596" s="2719" t="s">
        <v>41</v>
      </c>
      <c r="F2596" s="293"/>
      <c r="G2596" s="308" t="s">
        <v>3563</v>
      </c>
      <c r="H2596" s="309"/>
      <c r="I2596" s="309"/>
      <c r="J2596" s="309"/>
      <c r="K2596" s="346"/>
      <c r="L2596" s="437"/>
      <c r="M2596" s="438"/>
      <c r="N2596" s="439"/>
      <c r="O2596" s="437"/>
      <c r="P2596" s="438"/>
      <c r="Q2596" s="442"/>
      <c r="R2596" s="443"/>
      <c r="S2596" s="364"/>
      <c r="Z2596" s="609" t="s">
        <v>1053</v>
      </c>
      <c r="AA2596" s="609" t="s">
        <v>3540</v>
      </c>
    </row>
    <row r="2597" spans="1:27" ht="18">
      <c r="A2597" s="2712"/>
      <c r="B2597" s="371">
        <v>136</v>
      </c>
      <c r="C2597" s="371"/>
      <c r="D2597" s="2714">
        <f t="shared" si="270"/>
        <v>1</v>
      </c>
      <c r="E2597" s="2719">
        <v>1</v>
      </c>
      <c r="F2597" s="293"/>
      <c r="G2597" s="308" t="str">
        <f>"1."&amp;$W$2&amp;"账面价值"</f>
        <v>1.2019年12月31日账面价值</v>
      </c>
      <c r="H2597" s="1474">
        <f>SUM(H2575,-H2585,-H2595)</f>
        <v>0</v>
      </c>
      <c r="I2597" s="1474">
        <f>SUM(I2575,-I2585,-I2595)</f>
        <v>0</v>
      </c>
      <c r="J2597" s="1474">
        <f>SUM(J2575,-J2585,-J2595)</f>
        <v>0</v>
      </c>
      <c r="K2597" s="1475">
        <f>SUM(K2575,-K2585,-K2595)</f>
        <v>0</v>
      </c>
      <c r="L2597" s="437"/>
      <c r="M2597" s="438"/>
      <c r="N2597" s="439"/>
      <c r="O2597" s="437"/>
      <c r="P2597" s="438"/>
      <c r="Q2597" s="442"/>
      <c r="R2597" s="443"/>
      <c r="S2597" s="364"/>
      <c r="Z2597" s="609" t="s">
        <v>1053</v>
      </c>
      <c r="AA2597" s="609" t="s">
        <v>3540</v>
      </c>
    </row>
    <row r="2598" spans="1:27" ht="18">
      <c r="A2598" s="2712"/>
      <c r="B2598" s="371">
        <v>137</v>
      </c>
      <c r="C2598" s="371"/>
      <c r="D2598" s="2714">
        <f t="shared" si="270"/>
        <v>1</v>
      </c>
      <c r="E2598" s="2719">
        <v>1</v>
      </c>
      <c r="F2598" s="293"/>
      <c r="G2598" s="308" t="str">
        <f>"2."&amp;$W$3&amp;"账面价值"</f>
        <v>2.2018年12月31日账面价值</v>
      </c>
      <c r="H2598" s="1474">
        <f>SUM(H2563,-H2577,-H2587)</f>
        <v>0</v>
      </c>
      <c r="I2598" s="1474">
        <f>SUM(I2563,-I2577,-I2587)</f>
        <v>0</v>
      </c>
      <c r="J2598" s="1474">
        <f>SUM(J2563,-J2577,-J2587)</f>
        <v>0</v>
      </c>
      <c r="K2598" s="1475">
        <f>SUM(K2563,-K2577,-K2587)</f>
        <v>0</v>
      </c>
      <c r="L2598" s="437"/>
      <c r="M2598" s="438"/>
      <c r="N2598" s="439"/>
      <c r="O2598" s="437"/>
      <c r="P2598" s="438"/>
      <c r="Q2598" s="442"/>
      <c r="R2598" s="443"/>
      <c r="S2598" s="364"/>
      <c r="Z2598" s="609" t="s">
        <v>1053</v>
      </c>
      <c r="AA2598" s="609" t="s">
        <v>3540</v>
      </c>
    </row>
    <row r="2599" spans="1:27" ht="18.75" thickBot="1">
      <c r="A2599" s="2712"/>
      <c r="B2599" s="371"/>
      <c r="C2599" s="371"/>
      <c r="D2599" s="2714">
        <f t="shared" si="270"/>
        <v>0</v>
      </c>
      <c r="E2599" s="2719" t="s">
        <v>6553</v>
      </c>
      <c r="F2599" s="293"/>
      <c r="G2599" s="2379"/>
      <c r="H2599" s="607"/>
      <c r="I2599" s="607"/>
      <c r="J2599" s="607"/>
      <c r="K2599" s="608"/>
      <c r="L2599" s="437"/>
      <c r="M2599" s="440"/>
      <c r="N2599" s="439"/>
      <c r="O2599" s="437"/>
      <c r="P2599" s="440"/>
      <c r="Q2599" s="442"/>
      <c r="R2599" s="443"/>
      <c r="S2599" s="364"/>
      <c r="Z2599" s="609" t="s">
        <v>1053</v>
      </c>
      <c r="AA2599" s="609" t="s">
        <v>3540</v>
      </c>
    </row>
    <row r="2600" spans="1:27" ht="18">
      <c r="A2600" s="2712"/>
      <c r="B2600" s="371"/>
      <c r="C2600" s="371" t="s">
        <v>2755</v>
      </c>
      <c r="D2600" s="2714"/>
      <c r="F2600" s="293"/>
      <c r="G2600" s="376"/>
      <c r="H2600" s="315"/>
      <c r="I2600" s="396"/>
      <c r="J2600" s="315"/>
      <c r="K2600" s="423"/>
      <c r="L2600" s="427"/>
      <c r="M2600" s="425"/>
      <c r="N2600" s="426"/>
      <c r="O2600" s="427"/>
      <c r="P2600" s="425"/>
      <c r="Q2600" s="442"/>
      <c r="R2600" s="443"/>
      <c r="S2600" s="364"/>
      <c r="Z2600" s="609" t="s">
        <v>1053</v>
      </c>
      <c r="AA2600" s="609" t="s">
        <v>3540</v>
      </c>
    </row>
    <row r="2601" spans="1:27" ht="24">
      <c r="A2601" s="2712" t="s">
        <v>1058</v>
      </c>
      <c r="B2601" s="371">
        <v>2</v>
      </c>
      <c r="C2601" s="371"/>
      <c r="D2601" s="2714" t="str">
        <f>VLOOKUP($A2601,Sheet_NoteList,2,0)</f>
        <v>采用公允价值计量模式的投资性房地产</v>
      </c>
      <c r="E2601" s="2714" t="s">
        <v>2742</v>
      </c>
      <c r="F2601" s="294"/>
      <c r="G2601" s="372" t="str">
        <f>"("&amp;B2601&amp;")"&amp;D2601</f>
        <v>(2)采用公允价值计量模式的投资性房地产</v>
      </c>
      <c r="H2601" s="1515" t="str">
        <f>$A2601</f>
        <v>1521b</v>
      </c>
      <c r="I2601" s="343" t="s">
        <v>2743</v>
      </c>
      <c r="J2601" s="301" t="s">
        <v>2744</v>
      </c>
      <c r="K2601" s="2208">
        <f>K2618</f>
        <v>0</v>
      </c>
      <c r="L2601" s="345" t="str">
        <f>IF($I2601="适用",IF(K2601="请设置公式",0,IF(ROUND(K$2558-K2601,2)=0,"F/S",ROUND(K$2558-K2601,2))),"#N/A")</f>
        <v>F/S</v>
      </c>
      <c r="M2601" s="301" t="s">
        <v>2745</v>
      </c>
      <c r="N2601" s="2208">
        <f>K2604</f>
        <v>0</v>
      </c>
      <c r="O2601" s="345" t="str">
        <f>IF($I2601="适用",IF(N2601="请设置公式",0,IF(ROUND(N$2558-N2601,2)=0,"F/S",ROUND(N$2558-N2601,2))),"#N/A")</f>
        <v>F/S</v>
      </c>
      <c r="P2601" s="301"/>
      <c r="Q2601" s="290" t="str">
        <f>IF($I2601="不适用","",IF(ROUND(SUM($H$2604:$P$2618),2)=0,"请输入",""))</f>
        <v>请输入</v>
      </c>
      <c r="S2601" s="364"/>
      <c r="Z2601" s="609" t="s">
        <v>1053</v>
      </c>
      <c r="AA2601" s="609" t="s">
        <v>3540</v>
      </c>
    </row>
    <row r="2602" spans="1:27" ht="0.75" customHeight="1" thickBot="1">
      <c r="A2602" s="2712"/>
      <c r="B2602" s="371"/>
      <c r="C2602" s="371"/>
      <c r="D2602" s="371"/>
      <c r="F2602" s="371"/>
      <c r="G2602" s="371" t="s">
        <v>3583</v>
      </c>
      <c r="H2602" s="371" t="s">
        <v>6228</v>
      </c>
      <c r="I2602" s="371" t="s">
        <v>6229</v>
      </c>
      <c r="J2602" s="371" t="s">
        <v>6230</v>
      </c>
      <c r="K2602" s="371" t="s">
        <v>6231</v>
      </c>
      <c r="L2602" s="433"/>
      <c r="M2602" s="433"/>
      <c r="N2602" s="433"/>
      <c r="O2602" s="433"/>
      <c r="P2602" s="433"/>
      <c r="Q2602" s="472"/>
      <c r="R2602" s="524"/>
      <c r="S2602" s="364"/>
      <c r="Z2602" s="609" t="s">
        <v>1053</v>
      </c>
      <c r="AA2602" s="609" t="s">
        <v>3540</v>
      </c>
    </row>
    <row r="2603" spans="1:27" ht="18">
      <c r="A2603" s="2712"/>
      <c r="B2603" s="371"/>
      <c r="C2603" s="371"/>
      <c r="D2603" s="371"/>
      <c r="E2603" s="2714" t="s">
        <v>2749</v>
      </c>
      <c r="F2603" s="294"/>
      <c r="G2603" s="1576" t="s">
        <v>5486</v>
      </c>
      <c r="H2603" s="1466" t="s">
        <v>3542</v>
      </c>
      <c r="I2603" s="1467" t="s">
        <v>3543</v>
      </c>
      <c r="J2603" s="1467" t="s">
        <v>344</v>
      </c>
      <c r="K2603" s="1468" t="s">
        <v>3351</v>
      </c>
      <c r="L2603" s="355" t="s">
        <v>5284</v>
      </c>
      <c r="M2603" s="478"/>
      <c r="N2603" s="478"/>
      <c r="O2603" s="568"/>
      <c r="P2603" s="479"/>
      <c r="Q2603" s="472"/>
      <c r="R2603" s="524"/>
      <c r="S2603" s="364"/>
      <c r="Z2603" s="609" t="s">
        <v>1053</v>
      </c>
      <c r="AA2603" s="609" t="s">
        <v>3540</v>
      </c>
    </row>
    <row r="2604" spans="1:27" ht="18">
      <c r="A2604" s="2712"/>
      <c r="B2604" s="371">
        <v>101</v>
      </c>
      <c r="C2604" s="371"/>
      <c r="D2604" s="2714">
        <f t="shared" ref="D2604:D2618" si="279">IF(OR(G2604="*",G2604="",G2604=0),0,COUNTIF($G$2604:$G$2618,G2604))</f>
        <v>1</v>
      </c>
      <c r="E2604" s="2719">
        <v>1</v>
      </c>
      <c r="F2604" s="294"/>
      <c r="G2604" s="308" t="str">
        <f>"1."&amp;$W$3&amp;""</f>
        <v>1.2018年12月31日</v>
      </c>
      <c r="H2604" s="320"/>
      <c r="I2604" s="320"/>
      <c r="J2604" s="320"/>
      <c r="K2604" s="1475">
        <f>SUM(H2604:J2604)</f>
        <v>0</v>
      </c>
      <c r="L2604" s="520"/>
      <c r="M2604" s="520"/>
      <c r="N2604" s="520"/>
      <c r="O2604" s="438"/>
      <c r="P2604" s="569"/>
      <c r="Q2604" s="472"/>
      <c r="R2604" s="524"/>
      <c r="S2604" s="364"/>
      <c r="Z2604" s="609" t="s">
        <v>1053</v>
      </c>
      <c r="AA2604" s="609" t="s">
        <v>3540</v>
      </c>
    </row>
    <row r="2605" spans="1:27" ht="18">
      <c r="A2605" s="2712"/>
      <c r="B2605" s="371">
        <v>102</v>
      </c>
      <c r="C2605" s="371"/>
      <c r="D2605" s="2714">
        <f t="shared" si="279"/>
        <v>1</v>
      </c>
      <c r="E2605" s="2719">
        <v>1</v>
      </c>
      <c r="F2605" s="294"/>
      <c r="G2605" s="308" t="s">
        <v>3558</v>
      </c>
      <c r="H2605" s="1474">
        <f>SUM(H2606:H2612)</f>
        <v>0</v>
      </c>
      <c r="I2605" s="1474">
        <f t="shared" ref="I2605:K2605" si="280">SUM(I2606:I2612)</f>
        <v>0</v>
      </c>
      <c r="J2605" s="1474">
        <f t="shared" si="280"/>
        <v>0</v>
      </c>
      <c r="K2605" s="1475">
        <f t="shared" si="280"/>
        <v>0</v>
      </c>
      <c r="L2605" s="520"/>
      <c r="M2605" s="520"/>
      <c r="N2605" s="520"/>
      <c r="O2605" s="438"/>
      <c r="P2605" s="569"/>
      <c r="Q2605" s="472"/>
      <c r="R2605" s="524"/>
      <c r="S2605" s="364"/>
      <c r="Z2605" s="609" t="s">
        <v>1053</v>
      </c>
      <c r="AA2605" s="609" t="s">
        <v>3540</v>
      </c>
    </row>
    <row r="2606" spans="1:27" ht="18">
      <c r="A2606" s="2712"/>
      <c r="B2606" s="371">
        <v>103</v>
      </c>
      <c r="C2606" s="371"/>
      <c r="D2606" s="2714">
        <f t="shared" si="279"/>
        <v>1</v>
      </c>
      <c r="E2606" s="2719">
        <v>0</v>
      </c>
      <c r="F2606" s="294"/>
      <c r="G2606" s="308" t="s">
        <v>3546</v>
      </c>
      <c r="H2606" s="320"/>
      <c r="I2606" s="320"/>
      <c r="J2606" s="320"/>
      <c r="K2606" s="1475">
        <f t="shared" ref="K2606:K2612" si="281">SUM(H2606:J2606)</f>
        <v>0</v>
      </c>
      <c r="L2606" s="520"/>
      <c r="M2606" s="520"/>
      <c r="N2606" s="520"/>
      <c r="O2606" s="438"/>
      <c r="P2606" s="569"/>
      <c r="Q2606" s="472"/>
      <c r="R2606" s="524"/>
      <c r="S2606" s="364"/>
      <c r="Z2606" s="609" t="s">
        <v>1053</v>
      </c>
      <c r="AA2606" s="609" t="s">
        <v>3540</v>
      </c>
    </row>
    <row r="2607" spans="1:27" ht="18">
      <c r="A2607" s="2712"/>
      <c r="B2607" s="371">
        <v>104</v>
      </c>
      <c r="C2607" s="371"/>
      <c r="D2607" s="2714">
        <f t="shared" si="279"/>
        <v>1</v>
      </c>
      <c r="E2607" s="2719">
        <v>0</v>
      </c>
      <c r="F2607" s="294"/>
      <c r="G2607" s="308" t="s">
        <v>5212</v>
      </c>
      <c r="H2607" s="320"/>
      <c r="I2607" s="320"/>
      <c r="J2607" s="320"/>
      <c r="K2607" s="1475">
        <f t="shared" si="281"/>
        <v>0</v>
      </c>
      <c r="L2607" s="520"/>
      <c r="M2607" s="520"/>
      <c r="N2607" s="520"/>
      <c r="O2607" s="438"/>
      <c r="P2607" s="569"/>
      <c r="Q2607" s="472"/>
      <c r="R2607" s="524"/>
      <c r="S2607" s="364"/>
      <c r="Z2607" s="609" t="s">
        <v>1053</v>
      </c>
      <c r="AA2607" s="609" t="s">
        <v>3540</v>
      </c>
    </row>
    <row r="2608" spans="1:27" ht="18">
      <c r="A2608" s="2712"/>
      <c r="B2608" s="371">
        <v>105</v>
      </c>
      <c r="C2608" s="371"/>
      <c r="D2608" s="2714">
        <f t="shared" si="279"/>
        <v>1</v>
      </c>
      <c r="E2608" s="2719">
        <v>0</v>
      </c>
      <c r="F2608" s="294"/>
      <c r="G2608" s="308" t="s">
        <v>5213</v>
      </c>
      <c r="H2608" s="320"/>
      <c r="I2608" s="320"/>
      <c r="J2608" s="320"/>
      <c r="K2608" s="1475">
        <f t="shared" si="281"/>
        <v>0</v>
      </c>
      <c r="L2608" s="520"/>
      <c r="M2608" s="520"/>
      <c r="N2608" s="520"/>
      <c r="O2608" s="438"/>
      <c r="P2608" s="569"/>
      <c r="Q2608" s="472"/>
      <c r="R2608" s="524"/>
      <c r="S2608" s="364"/>
      <c r="Z2608" s="609" t="s">
        <v>1053</v>
      </c>
      <c r="AA2608" s="609" t="s">
        <v>3540</v>
      </c>
    </row>
    <row r="2609" spans="1:27" ht="18">
      <c r="A2609" s="2712"/>
      <c r="B2609" s="371">
        <v>106</v>
      </c>
      <c r="C2609" s="371"/>
      <c r="D2609" s="2714">
        <f t="shared" si="279"/>
        <v>1</v>
      </c>
      <c r="E2609" s="2719">
        <v>0</v>
      </c>
      <c r="F2609" s="294"/>
      <c r="G2609" s="308" t="s">
        <v>5214</v>
      </c>
      <c r="H2609" s="320"/>
      <c r="I2609" s="320"/>
      <c r="J2609" s="320"/>
      <c r="K2609" s="1475">
        <f t="shared" ref="K2609" si="282">SUM(H2609:J2609)</f>
        <v>0</v>
      </c>
      <c r="L2609" s="520"/>
      <c r="M2609" s="520"/>
      <c r="N2609" s="520"/>
      <c r="O2609" s="438"/>
      <c r="P2609" s="569"/>
      <c r="Q2609" s="472"/>
      <c r="R2609" s="524"/>
      <c r="S2609" s="364"/>
      <c r="Z2609" s="609" t="s">
        <v>1053</v>
      </c>
      <c r="AA2609" s="609" t="s">
        <v>3540</v>
      </c>
    </row>
    <row r="2610" spans="1:27" ht="18">
      <c r="A2610" s="2712"/>
      <c r="B2610" s="371">
        <v>107</v>
      </c>
      <c r="C2610" s="371"/>
      <c r="D2610" s="2714">
        <f t="shared" si="279"/>
        <v>1</v>
      </c>
      <c r="E2610" s="2719">
        <v>0</v>
      </c>
      <c r="F2610" s="294"/>
      <c r="G2610" s="308" t="s">
        <v>5215</v>
      </c>
      <c r="H2610" s="320"/>
      <c r="I2610" s="320"/>
      <c r="J2610" s="320"/>
      <c r="K2610" s="1475">
        <f t="shared" ref="K2610" si="283">SUM(H2610:J2610)</f>
        <v>0</v>
      </c>
      <c r="L2610" s="520"/>
      <c r="M2610" s="520"/>
      <c r="N2610" s="520"/>
      <c r="O2610" s="438"/>
      <c r="P2610" s="569"/>
      <c r="Q2610" s="472"/>
      <c r="R2610" s="524"/>
      <c r="S2610" s="364"/>
      <c r="Z2610" s="609" t="s">
        <v>1053</v>
      </c>
      <c r="AA2610" s="609" t="s">
        <v>3540</v>
      </c>
    </row>
    <row r="2611" spans="1:27" ht="18">
      <c r="A2611" s="2712"/>
      <c r="B2611" s="371">
        <v>109</v>
      </c>
      <c r="C2611" s="371"/>
      <c r="D2611" s="2714">
        <f t="shared" si="279"/>
        <v>1</v>
      </c>
      <c r="E2611" s="2719">
        <v>0</v>
      </c>
      <c r="F2611" s="294"/>
      <c r="G2611" s="308" t="s">
        <v>5216</v>
      </c>
      <c r="H2611" s="320"/>
      <c r="I2611" s="320"/>
      <c r="J2611" s="320"/>
      <c r="K2611" s="1475">
        <f t="shared" si="281"/>
        <v>0</v>
      </c>
      <c r="L2611" s="520"/>
      <c r="M2611" s="520"/>
      <c r="N2611" s="520"/>
      <c r="O2611" s="438"/>
      <c r="P2611" s="569"/>
      <c r="Q2611" s="472"/>
      <c r="R2611" s="524"/>
      <c r="S2611" s="364"/>
      <c r="Z2611" s="609" t="s">
        <v>1053</v>
      </c>
      <c r="AA2611" s="609" t="s">
        <v>3540</v>
      </c>
    </row>
    <row r="2612" spans="1:27" ht="18">
      <c r="A2612" s="2712"/>
      <c r="B2612" s="371">
        <v>110</v>
      </c>
      <c r="C2612" s="371" t="s">
        <v>2791</v>
      </c>
      <c r="D2612" s="2714">
        <f t="shared" si="279"/>
        <v>0</v>
      </c>
      <c r="E2612" s="2719">
        <v>0</v>
      </c>
      <c r="F2612" s="294"/>
      <c r="G2612" s="1470" t="s">
        <v>2792</v>
      </c>
      <c r="H2612" s="309"/>
      <c r="I2612" s="309"/>
      <c r="J2612" s="309"/>
      <c r="K2612" s="1475">
        <f t="shared" si="281"/>
        <v>0</v>
      </c>
      <c r="L2612" s="438"/>
      <c r="M2612" s="438"/>
      <c r="N2612" s="520"/>
      <c r="O2612" s="438"/>
      <c r="P2612" s="569"/>
      <c r="Q2612" s="472"/>
      <c r="R2612" s="524"/>
      <c r="S2612" s="364"/>
      <c r="Z2612" s="609" t="s">
        <v>1053</v>
      </c>
      <c r="AA2612" s="609" t="s">
        <v>3540</v>
      </c>
    </row>
    <row r="2613" spans="1:27" ht="18">
      <c r="A2613" s="2712"/>
      <c r="B2613" s="371">
        <v>111</v>
      </c>
      <c r="C2613" s="371"/>
      <c r="D2613" s="2714">
        <f t="shared" si="279"/>
        <v>1</v>
      </c>
      <c r="E2613" s="2719">
        <v>-1</v>
      </c>
      <c r="F2613" s="294"/>
      <c r="G2613" s="308" t="s">
        <v>3560</v>
      </c>
      <c r="H2613" s="1474">
        <f>SUM(H2614:H2617)</f>
        <v>0</v>
      </c>
      <c r="I2613" s="1474">
        <f t="shared" ref="I2613:K2613" si="284">SUM(I2614:I2617)</f>
        <v>0</v>
      </c>
      <c r="J2613" s="1474">
        <f t="shared" si="284"/>
        <v>0</v>
      </c>
      <c r="K2613" s="1475">
        <f t="shared" si="284"/>
        <v>0</v>
      </c>
      <c r="L2613" s="438"/>
      <c r="M2613" s="438"/>
      <c r="N2613" s="520"/>
      <c r="O2613" s="438"/>
      <c r="P2613" s="569"/>
      <c r="Q2613" s="472"/>
      <c r="R2613" s="524"/>
      <c r="S2613" s="364"/>
      <c r="Z2613" s="609" t="s">
        <v>1053</v>
      </c>
      <c r="AA2613" s="609" t="s">
        <v>3540</v>
      </c>
    </row>
    <row r="2614" spans="1:27" ht="18">
      <c r="A2614" s="2712"/>
      <c r="B2614" s="371">
        <v>112</v>
      </c>
      <c r="C2614" s="371"/>
      <c r="D2614" s="2714">
        <f t="shared" si="279"/>
        <v>1</v>
      </c>
      <c r="E2614" s="2719">
        <v>0</v>
      </c>
      <c r="F2614" s="294"/>
      <c r="G2614" s="308" t="s">
        <v>3561</v>
      </c>
      <c r="H2614" s="309"/>
      <c r="I2614" s="309"/>
      <c r="J2614" s="309"/>
      <c r="K2614" s="1475">
        <f t="shared" ref="K2614:K2617" si="285">SUM(H2614:J2614)</f>
        <v>0</v>
      </c>
      <c r="L2614" s="438"/>
      <c r="M2614" s="438"/>
      <c r="N2614" s="520"/>
      <c r="O2614" s="438"/>
      <c r="P2614" s="569"/>
      <c r="Q2614" s="472"/>
      <c r="R2614" s="524"/>
      <c r="S2614" s="364"/>
      <c r="Z2614" s="609" t="s">
        <v>1053</v>
      </c>
      <c r="AA2614" s="609" t="s">
        <v>3540</v>
      </c>
    </row>
    <row r="2615" spans="1:27" ht="18">
      <c r="A2615" s="2712"/>
      <c r="B2615" s="371">
        <v>113</v>
      </c>
      <c r="C2615" s="371"/>
      <c r="D2615" s="2714">
        <f t="shared" si="279"/>
        <v>1</v>
      </c>
      <c r="E2615" s="2719">
        <v>0</v>
      </c>
      <c r="F2615" s="294"/>
      <c r="G2615" s="308" t="s">
        <v>3562</v>
      </c>
      <c r="H2615" s="309"/>
      <c r="I2615" s="309"/>
      <c r="J2615" s="309"/>
      <c r="K2615" s="1475">
        <f t="shared" si="285"/>
        <v>0</v>
      </c>
      <c r="L2615" s="438"/>
      <c r="M2615" s="438"/>
      <c r="N2615" s="520"/>
      <c r="O2615" s="438"/>
      <c r="P2615" s="569"/>
      <c r="Q2615" s="472"/>
      <c r="R2615" s="524"/>
      <c r="S2615" s="364"/>
      <c r="Z2615" s="609" t="s">
        <v>1053</v>
      </c>
      <c r="AA2615" s="609" t="s">
        <v>3540</v>
      </c>
    </row>
    <row r="2616" spans="1:27" ht="18">
      <c r="A2616" s="2712"/>
      <c r="B2616" s="371">
        <v>114</v>
      </c>
      <c r="C2616" s="371"/>
      <c r="D2616" s="2714">
        <f t="shared" si="279"/>
        <v>1</v>
      </c>
      <c r="E2616" s="2719">
        <v>0</v>
      </c>
      <c r="F2616" s="294"/>
      <c r="G2616" s="308" t="s">
        <v>3584</v>
      </c>
      <c r="H2616" s="309"/>
      <c r="I2616" s="309"/>
      <c r="J2616" s="309"/>
      <c r="K2616" s="1475">
        <f t="shared" si="285"/>
        <v>0</v>
      </c>
      <c r="L2616" s="438"/>
      <c r="M2616" s="438"/>
      <c r="N2616" s="520"/>
      <c r="O2616" s="438"/>
      <c r="P2616" s="569"/>
      <c r="Q2616" s="472"/>
      <c r="R2616" s="524"/>
      <c r="S2616" s="364"/>
      <c r="Z2616" s="609" t="s">
        <v>1053</v>
      </c>
      <c r="AA2616" s="609" t="s">
        <v>3540</v>
      </c>
    </row>
    <row r="2617" spans="1:27" ht="18">
      <c r="A2617" s="2712"/>
      <c r="B2617" s="371">
        <v>115</v>
      </c>
      <c r="C2617" s="371" t="s">
        <v>2791</v>
      </c>
      <c r="D2617" s="2714">
        <f t="shared" si="279"/>
        <v>0</v>
      </c>
      <c r="E2617" s="2719">
        <v>0</v>
      </c>
      <c r="F2617" s="294"/>
      <c r="G2617" s="1470" t="s">
        <v>2792</v>
      </c>
      <c r="H2617" s="309"/>
      <c r="I2617" s="309"/>
      <c r="J2617" s="309"/>
      <c r="K2617" s="1475">
        <f t="shared" si="285"/>
        <v>0</v>
      </c>
      <c r="L2617" s="438"/>
      <c r="M2617" s="438"/>
      <c r="N2617" s="520"/>
      <c r="O2617" s="438"/>
      <c r="P2617" s="569"/>
      <c r="Q2617" s="472"/>
      <c r="R2617" s="524"/>
      <c r="S2617" s="364"/>
      <c r="Z2617" s="609" t="s">
        <v>1053</v>
      </c>
      <c r="AA2617" s="609" t="s">
        <v>3540</v>
      </c>
    </row>
    <row r="2618" spans="1:27" ht="18.75" thickBot="1">
      <c r="A2618" s="2712"/>
      <c r="B2618" s="371"/>
      <c r="C2618" s="371"/>
      <c r="D2618" s="2714">
        <f t="shared" si="279"/>
        <v>1</v>
      </c>
      <c r="E2618" s="2719" t="s">
        <v>3032</v>
      </c>
      <c r="F2618" s="294"/>
      <c r="G2618" s="374" t="str">
        <f>"4. "&amp;$W$2&amp;""</f>
        <v>4. 2019年12月31日</v>
      </c>
      <c r="H2618" s="1476">
        <f>SUMPRODUCT($E2603:$E2617,H2603:H2617)</f>
        <v>0</v>
      </c>
      <c r="I2618" s="1476">
        <f>SUMPRODUCT($E2603:$E2617,I2603:I2617)</f>
        <v>0</v>
      </c>
      <c r="J2618" s="1476">
        <f>SUMPRODUCT($E2603:$E2617,J2603:J2617)</f>
        <v>0</v>
      </c>
      <c r="K2618" s="1477">
        <f>SUMPRODUCT($E2603:$E2617,K2603:K2617)</f>
        <v>0</v>
      </c>
      <c r="L2618" s="498"/>
      <c r="M2618" s="498"/>
      <c r="N2618" s="498"/>
      <c r="O2618" s="498"/>
      <c r="P2618" s="498"/>
      <c r="Q2618" s="472"/>
      <c r="R2618" s="524"/>
      <c r="S2618" s="364"/>
      <c r="Z2618" s="609" t="s">
        <v>1053</v>
      </c>
      <c r="AA2618" s="609" t="s">
        <v>3540</v>
      </c>
    </row>
    <row r="2619" spans="1:27" ht="18">
      <c r="A2619" s="2712"/>
      <c r="B2619" s="371"/>
      <c r="C2619" s="371" t="s">
        <v>2755</v>
      </c>
      <c r="D2619" s="371"/>
      <c r="F2619" s="294"/>
      <c r="G2619" s="301"/>
      <c r="H2619" s="315"/>
      <c r="I2619" s="315"/>
      <c r="J2619" s="315"/>
      <c r="K2619" s="315"/>
      <c r="L2619" s="438"/>
      <c r="M2619" s="438"/>
      <c r="N2619" s="438"/>
      <c r="O2619" s="438"/>
      <c r="P2619" s="438"/>
      <c r="Q2619" s="472"/>
      <c r="R2619" s="524"/>
      <c r="S2619" s="364"/>
      <c r="Z2619" s="609" t="s">
        <v>1053</v>
      </c>
      <c r="AA2619" s="609" t="s">
        <v>3540</v>
      </c>
    </row>
    <row r="2620" spans="1:27" ht="24">
      <c r="A2620" s="2712" t="s">
        <v>1062</v>
      </c>
      <c r="B2620" s="371">
        <v>3</v>
      </c>
      <c r="C2620" s="371"/>
      <c r="D2620" s="2714" t="str">
        <f>VLOOKUP($A2620,Sheet_NoteList,2,0)</f>
        <v>未办妥产权证书的投资性房地产情况</v>
      </c>
      <c r="E2620" s="2714" t="s">
        <v>2742</v>
      </c>
      <c r="F2620" s="294"/>
      <c r="G2620" s="372" t="str">
        <f>"("&amp;B2620&amp;")"&amp;D2620</f>
        <v>(3)未办妥产权证书的投资性房地产情况</v>
      </c>
      <c r="H2620" s="1515" t="str">
        <f>$A2620</f>
        <v>1521c</v>
      </c>
      <c r="I2620" s="343" t="s">
        <v>2743</v>
      </c>
      <c r="J2620" s="301"/>
      <c r="K2620" s="3083"/>
      <c r="L2620" s="315"/>
      <c r="M2620" s="301"/>
      <c r="N2620" s="3083"/>
      <c r="O2620" s="315"/>
      <c r="P2620" s="301"/>
      <c r="Q2620" s="290" t="str">
        <f>IF($I2620="不适用","",IF(ROUND(SUM($H$2623:$M$2628),2)=0,"请输入",""))</f>
        <v>请输入</v>
      </c>
      <c r="S2620" s="364"/>
      <c r="Z2620" s="609" t="s">
        <v>1053</v>
      </c>
      <c r="AA2620" s="609" t="s">
        <v>3540</v>
      </c>
    </row>
    <row r="2621" spans="1:27" ht="0.75" customHeight="1" thickBot="1">
      <c r="A2621" s="2712"/>
      <c r="B2621" s="371"/>
      <c r="C2621" s="371"/>
      <c r="D2621" s="371"/>
      <c r="F2621" s="371"/>
      <c r="G2621" s="371" t="s">
        <v>3585</v>
      </c>
      <c r="H2621" s="371" t="s">
        <v>3287</v>
      </c>
      <c r="I2621" s="371" t="s">
        <v>3586</v>
      </c>
      <c r="J2621" s="505"/>
      <c r="K2621" s="505"/>
      <c r="L2621" s="505"/>
      <c r="M2621" s="570"/>
      <c r="N2621" s="442"/>
      <c r="O2621" s="442"/>
      <c r="P2621" s="442"/>
      <c r="Q2621" s="442"/>
      <c r="R2621" s="443"/>
      <c r="S2621" s="364"/>
      <c r="Z2621" s="609" t="s">
        <v>1053</v>
      </c>
      <c r="AA2621" s="609" t="s">
        <v>3540</v>
      </c>
    </row>
    <row r="2622" spans="1:27" ht="24">
      <c r="A2622" s="2712"/>
      <c r="B2622" s="371"/>
      <c r="C2622" s="371"/>
      <c r="D2622" s="371"/>
      <c r="E2622" s="2714" t="s">
        <v>2749</v>
      </c>
      <c r="F2622" s="294"/>
      <c r="G2622" s="1576" t="s">
        <v>5486</v>
      </c>
      <c r="H2622" s="506" t="s">
        <v>2863</v>
      </c>
      <c r="I2622" s="1508" t="s">
        <v>5285</v>
      </c>
      <c r="J2622" s="355" t="s">
        <v>5284</v>
      </c>
      <c r="K2622" s="571"/>
      <c r="L2622" s="571"/>
      <c r="M2622" s="572"/>
      <c r="N2622" s="573"/>
      <c r="O2622" s="442"/>
      <c r="P2622" s="442"/>
      <c r="Q2622" s="442"/>
      <c r="R2622" s="443"/>
      <c r="S2622" s="364"/>
      <c r="Z2622" s="609" t="s">
        <v>1053</v>
      </c>
      <c r="AA2622" s="609" t="s">
        <v>3540</v>
      </c>
    </row>
    <row r="2623" spans="1:27" ht="18">
      <c r="A2623" s="2712"/>
      <c r="B2623" s="371">
        <v>101</v>
      </c>
      <c r="C2623" s="371" t="s">
        <v>2791</v>
      </c>
      <c r="D2623" s="2714">
        <f t="shared" ref="D2623:D2628" si="286">IF(OR(G2623="*",G2623="",G2623=0),0,COUNTIF($G$2623:$G$2628,G2623))</f>
        <v>0</v>
      </c>
      <c r="E2623" s="2719">
        <v>1</v>
      </c>
      <c r="F2623" s="294"/>
      <c r="G2623" s="319" t="s">
        <v>2792</v>
      </c>
      <c r="H2623" s="309"/>
      <c r="I2623" s="388"/>
      <c r="J2623" s="438"/>
      <c r="K2623" s="438"/>
      <c r="L2623" s="438"/>
      <c r="M2623" s="437"/>
      <c r="N2623" s="574"/>
      <c r="O2623" s="442"/>
      <c r="P2623" s="442"/>
      <c r="Q2623" s="442"/>
      <c r="R2623" s="443"/>
      <c r="S2623" s="364"/>
      <c r="Z2623" s="609" t="s">
        <v>1053</v>
      </c>
      <c r="AA2623" s="609" t="s">
        <v>3540</v>
      </c>
    </row>
    <row r="2624" spans="1:27" ht="18">
      <c r="A2624" s="2712"/>
      <c r="B2624" s="371">
        <v>102</v>
      </c>
      <c r="C2624" s="371" t="s">
        <v>2791</v>
      </c>
      <c r="D2624" s="2714">
        <f t="shared" si="286"/>
        <v>0</v>
      </c>
      <c r="E2624" s="2719">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2"/>
      <c r="B2625" s="371">
        <v>103</v>
      </c>
      <c r="C2625" s="371" t="s">
        <v>2791</v>
      </c>
      <c r="D2625" s="2714">
        <f t="shared" si="286"/>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
      <c r="A2626" s="2712"/>
      <c r="B2626" s="371">
        <v>104</v>
      </c>
      <c r="C2626" s="371" t="s">
        <v>2791</v>
      </c>
      <c r="D2626" s="2714">
        <f t="shared" si="286"/>
        <v>0</v>
      </c>
      <c r="E2626" s="2719">
        <v>1</v>
      </c>
      <c r="F2626" s="294"/>
      <c r="G2626" s="319" t="s">
        <v>2792</v>
      </c>
      <c r="H2626" s="309"/>
      <c r="I2626" s="388"/>
      <c r="J2626" s="438"/>
      <c r="K2626" s="438"/>
      <c r="L2626" s="438"/>
      <c r="M2626" s="437"/>
      <c r="N2626" s="442"/>
      <c r="O2626" s="442"/>
      <c r="P2626" s="442"/>
      <c r="Q2626" s="442"/>
      <c r="R2626" s="443"/>
      <c r="S2626" s="364"/>
      <c r="Z2626" s="609" t="s">
        <v>1053</v>
      </c>
      <c r="AA2626" s="609" t="s">
        <v>3540</v>
      </c>
    </row>
    <row r="2627" spans="1:27" ht="18">
      <c r="A2627" s="2712"/>
      <c r="B2627" s="371">
        <v>105</v>
      </c>
      <c r="C2627" s="371" t="s">
        <v>2791</v>
      </c>
      <c r="D2627" s="2714">
        <f t="shared" si="286"/>
        <v>0</v>
      </c>
      <c r="E2627" s="2719">
        <v>1</v>
      </c>
      <c r="F2627" s="294"/>
      <c r="G2627" s="319" t="s">
        <v>2792</v>
      </c>
      <c r="H2627" s="309"/>
      <c r="I2627" s="388"/>
      <c r="J2627" s="438"/>
      <c r="K2627" s="438"/>
      <c r="L2627" s="438"/>
      <c r="M2627" s="437"/>
      <c r="N2627" s="442"/>
      <c r="O2627" s="442"/>
      <c r="P2627" s="442"/>
      <c r="Q2627" s="442"/>
      <c r="R2627" s="443"/>
      <c r="S2627" s="364"/>
      <c r="Z2627" s="609" t="s">
        <v>1053</v>
      </c>
      <c r="AA2627" s="609" t="s">
        <v>3540</v>
      </c>
    </row>
    <row r="2628" spans="1:27" ht="18.75" thickBot="1">
      <c r="A2628" s="2712"/>
      <c r="B2628" s="371"/>
      <c r="C2628" s="371"/>
      <c r="D2628" s="2714">
        <f t="shared" si="286"/>
        <v>1</v>
      </c>
      <c r="E2628" s="2719" t="s">
        <v>2751</v>
      </c>
      <c r="F2628" s="294"/>
      <c r="G2628" s="374" t="s">
        <v>2752</v>
      </c>
      <c r="H2628" s="375">
        <f>SUMPRODUCT($E2622:$E2627,H2622:H2627)</f>
        <v>0</v>
      </c>
      <c r="I2628" s="550"/>
      <c r="J2628" s="438"/>
      <c r="K2628" s="438"/>
      <c r="L2628" s="438"/>
      <c r="M2628" s="437"/>
      <c r="N2628" s="442"/>
      <c r="O2628" s="442"/>
      <c r="P2628" s="442"/>
      <c r="Q2628" s="442"/>
      <c r="R2628" s="443"/>
      <c r="S2628" s="364"/>
      <c r="Z2628" s="609" t="s">
        <v>1053</v>
      </c>
      <c r="AA2628" s="609" t="s">
        <v>3540</v>
      </c>
    </row>
    <row r="2629" spans="1:27" ht="18">
      <c r="A2629" s="2712"/>
      <c r="B2629" s="371"/>
      <c r="C2629" s="371" t="s">
        <v>2755</v>
      </c>
      <c r="D2629" s="371"/>
      <c r="F2629" s="294"/>
      <c r="G2629" s="301"/>
      <c r="H2629" s="315"/>
      <c r="I2629" s="393"/>
      <c r="J2629" s="438"/>
      <c r="K2629" s="438"/>
      <c r="L2629" s="438"/>
      <c r="M2629" s="437"/>
      <c r="N2629" s="437"/>
      <c r="O2629" s="442"/>
      <c r="P2629" s="442"/>
      <c r="Q2629" s="442"/>
      <c r="R2629" s="443"/>
      <c r="S2629" s="364"/>
      <c r="Z2629" s="609" t="s">
        <v>1053</v>
      </c>
      <c r="AA2629" s="609" t="s">
        <v>3540</v>
      </c>
    </row>
    <row r="2630" spans="1:27" ht="18">
      <c r="A2630" s="2712" t="s">
        <v>1088</v>
      </c>
      <c r="B2630" s="371">
        <v>4</v>
      </c>
      <c r="C2630" s="371"/>
      <c r="D2630" s="2714" t="str">
        <f>VLOOKUP($A2630,Sheet_NoteList,2,0)</f>
        <v>投资性房地产抵押情况</v>
      </c>
      <c r="E2630" s="2714" t="s">
        <v>6529</v>
      </c>
      <c r="F2630" s="294"/>
      <c r="G2630" s="307" t="str">
        <f>"("&amp;B2630&amp;")"&amp;D2630</f>
        <v>(4)投资性房地产抵押情况</v>
      </c>
      <c r="H2630" s="1515" t="str">
        <f>$A2630</f>
        <v>1521s</v>
      </c>
      <c r="I2630" s="343" t="s">
        <v>5963</v>
      </c>
      <c r="J2630" s="301"/>
      <c r="K2630" s="3083"/>
      <c r="L2630" s="315"/>
      <c r="M2630" s="301"/>
      <c r="N2630" s="3083"/>
      <c r="O2630" s="315"/>
      <c r="P2630" s="301"/>
      <c r="S2630" s="364"/>
      <c r="Z2630" s="609" t="s">
        <v>1053</v>
      </c>
      <c r="AA2630" s="609" t="s">
        <v>3540</v>
      </c>
    </row>
    <row r="2631" spans="1:27" ht="0.75" customHeight="1" thickBot="1">
      <c r="A2631" s="2712"/>
      <c r="B2631" s="371"/>
      <c r="C2631" s="371"/>
      <c r="D2631" s="371"/>
      <c r="E2631" s="586"/>
      <c r="F2631" s="518"/>
      <c r="G2631" s="518" t="s">
        <v>3587</v>
      </c>
      <c r="H2631" s="304" t="s">
        <v>3588</v>
      </c>
      <c r="I2631" s="304" t="s">
        <v>3589</v>
      </c>
      <c r="J2631" s="304" t="s">
        <v>3590</v>
      </c>
      <c r="K2631" s="304" t="s">
        <v>3591</v>
      </c>
      <c r="L2631" s="304" t="s">
        <v>3592</v>
      </c>
      <c r="S2631" s="364"/>
      <c r="Z2631" s="609" t="s">
        <v>1053</v>
      </c>
      <c r="AA2631" s="609" t="s">
        <v>3540</v>
      </c>
    </row>
    <row r="2632" spans="1:27" ht="18">
      <c r="A2632" s="2712"/>
      <c r="B2632" s="371"/>
      <c r="C2632" s="371"/>
      <c r="D2632" s="371"/>
      <c r="E2632" s="586" t="s">
        <v>2749</v>
      </c>
      <c r="F2632" s="363"/>
      <c r="G2632" s="2286" t="s">
        <v>5114</v>
      </c>
      <c r="H2632" s="2288" t="s">
        <v>3593</v>
      </c>
      <c r="I2632" s="2288" t="s">
        <v>486</v>
      </c>
      <c r="J2632" s="2288" t="s">
        <v>3097</v>
      </c>
      <c r="K2632" s="2288" t="s">
        <v>2863</v>
      </c>
      <c r="L2632" s="2279" t="s">
        <v>3594</v>
      </c>
      <c r="M2632" s="355" t="s">
        <v>6174</v>
      </c>
      <c r="S2632" s="364"/>
      <c r="Z2632" s="609" t="s">
        <v>1053</v>
      </c>
      <c r="AA2632" s="609" t="s">
        <v>3540</v>
      </c>
    </row>
    <row r="2633" spans="1:27" ht="18">
      <c r="A2633" s="2712"/>
      <c r="B2633" s="371">
        <v>101</v>
      </c>
      <c r="C2633" s="371" t="s">
        <v>2791</v>
      </c>
      <c r="D2633" s="2714">
        <f t="shared" ref="D2633:D2638" si="287">IF(OR(G2633="*",G2633="",G2633=0),0,COUNTIF($G$2633:$G$2638,G2633))</f>
        <v>0</v>
      </c>
      <c r="E2633" s="2719">
        <v>1</v>
      </c>
      <c r="F2633" s="294"/>
      <c r="G2633" s="2282" t="s">
        <v>2792</v>
      </c>
      <c r="H2633" s="2273"/>
      <c r="I2633" s="2273"/>
      <c r="J2633" s="2273"/>
      <c r="K2633" s="2273"/>
      <c r="L2633" s="2274"/>
      <c r="M2633" s="575"/>
      <c r="S2633" s="364"/>
      <c r="Z2633" s="609" t="s">
        <v>1053</v>
      </c>
      <c r="AA2633" s="609" t="s">
        <v>3540</v>
      </c>
    </row>
    <row r="2634" spans="1:27" ht="18">
      <c r="A2634" s="2712"/>
      <c r="B2634" s="371">
        <v>102</v>
      </c>
      <c r="C2634" s="371" t="s">
        <v>2791</v>
      </c>
      <c r="D2634" s="2714">
        <f t="shared" si="287"/>
        <v>0</v>
      </c>
      <c r="E2634" s="2719">
        <v>1</v>
      </c>
      <c r="F2634" s="294"/>
      <c r="G2634" s="2282" t="s">
        <v>2792</v>
      </c>
      <c r="H2634" s="2273"/>
      <c r="I2634" s="2273"/>
      <c r="J2634" s="2273"/>
      <c r="K2634" s="2273"/>
      <c r="L2634" s="2274"/>
      <c r="S2634" s="364"/>
      <c r="Z2634" s="609" t="s">
        <v>1053</v>
      </c>
      <c r="AA2634" s="609" t="s">
        <v>3540</v>
      </c>
    </row>
    <row r="2635" spans="1:27" ht="18">
      <c r="A2635" s="2712"/>
      <c r="B2635" s="371">
        <v>103</v>
      </c>
      <c r="C2635" s="371" t="s">
        <v>2791</v>
      </c>
      <c r="D2635" s="2714">
        <f t="shared" si="287"/>
        <v>0</v>
      </c>
      <c r="E2635" s="2719">
        <v>1</v>
      </c>
      <c r="F2635" s="294"/>
      <c r="G2635" s="2282" t="s">
        <v>2792</v>
      </c>
      <c r="H2635" s="2273"/>
      <c r="I2635" s="2273"/>
      <c r="J2635" s="2273"/>
      <c r="K2635" s="2273"/>
      <c r="L2635" s="2274"/>
      <c r="S2635" s="364"/>
      <c r="Z2635" s="609" t="s">
        <v>1053</v>
      </c>
      <c r="AA2635" s="609" t="s">
        <v>3540</v>
      </c>
    </row>
    <row r="2636" spans="1:27" ht="18">
      <c r="A2636" s="2712"/>
      <c r="B2636" s="371">
        <v>104</v>
      </c>
      <c r="C2636" s="371" t="s">
        <v>2791</v>
      </c>
      <c r="D2636" s="2714">
        <f t="shared" si="287"/>
        <v>0</v>
      </c>
      <c r="E2636" s="2719">
        <v>1</v>
      </c>
      <c r="F2636" s="294"/>
      <c r="G2636" s="2282" t="s">
        <v>2792</v>
      </c>
      <c r="H2636" s="2273"/>
      <c r="I2636" s="2273"/>
      <c r="J2636" s="2273"/>
      <c r="K2636" s="2273"/>
      <c r="L2636" s="2274"/>
      <c r="S2636" s="364"/>
      <c r="Z2636" s="609" t="s">
        <v>1053</v>
      </c>
      <c r="AA2636" s="609" t="s">
        <v>3540</v>
      </c>
    </row>
    <row r="2637" spans="1:27" ht="18">
      <c r="A2637" s="2712"/>
      <c r="B2637" s="371">
        <v>105</v>
      </c>
      <c r="C2637" s="371" t="s">
        <v>2791</v>
      </c>
      <c r="D2637" s="2714">
        <f t="shared" si="287"/>
        <v>0</v>
      </c>
      <c r="E2637" s="2719">
        <v>1</v>
      </c>
      <c r="F2637" s="294"/>
      <c r="G2637" s="2282" t="s">
        <v>2792</v>
      </c>
      <c r="H2637" s="2273"/>
      <c r="I2637" s="2273"/>
      <c r="J2637" s="2273"/>
      <c r="K2637" s="2273"/>
      <c r="L2637" s="2274"/>
      <c r="S2637" s="364"/>
      <c r="Z2637" s="609" t="s">
        <v>1053</v>
      </c>
      <c r="AA2637" s="609" t="s">
        <v>3540</v>
      </c>
    </row>
    <row r="2638" spans="1:27" ht="18.75" thickBot="1">
      <c r="A2638" s="2712"/>
      <c r="B2638" s="371"/>
      <c r="C2638" s="371"/>
      <c r="D2638" s="2714">
        <f t="shared" si="287"/>
        <v>0</v>
      </c>
      <c r="E2638" s="2719" t="s">
        <v>3595</v>
      </c>
      <c r="F2638" s="294"/>
      <c r="G2638" s="590"/>
      <c r="H2638" s="2315"/>
      <c r="I2638" s="2315"/>
      <c r="J2638" s="2315"/>
      <c r="K2638" s="2315"/>
      <c r="L2638" s="2302"/>
      <c r="S2638" s="364"/>
      <c r="Z2638" s="609" t="s">
        <v>1053</v>
      </c>
      <c r="AA2638" s="609" t="s">
        <v>3540</v>
      </c>
    </row>
    <row r="2639" spans="1:27" ht="18">
      <c r="A2639" s="2712"/>
      <c r="B2639" s="371"/>
      <c r="C2639" s="371" t="s">
        <v>2755</v>
      </c>
      <c r="D2639" s="371"/>
      <c r="F2639" s="294"/>
      <c r="G2639" s="301"/>
      <c r="H2639" s="315"/>
      <c r="I2639" s="315"/>
      <c r="J2639" s="315"/>
      <c r="K2639" s="315"/>
      <c r="L2639" s="393"/>
      <c r="M2639" s="349"/>
      <c r="S2639" s="364"/>
      <c r="Z2639" s="609" t="s">
        <v>1053</v>
      </c>
      <c r="AA2639" s="609" t="s">
        <v>3540</v>
      </c>
    </row>
    <row r="2640" spans="1:27" ht="17.25">
      <c r="A2640" s="2713">
        <v>1611</v>
      </c>
      <c r="B2640" s="371">
        <v>23</v>
      </c>
      <c r="C2640" s="2714" t="str">
        <f>VLOOKUP($A2640,Sheet_Items,2,0)</f>
        <v>固定资产（报表项目）</v>
      </c>
      <c r="D2640" s="371"/>
      <c r="E2640" s="2714" t="s">
        <v>2739</v>
      </c>
      <c r="F2640" s="371"/>
      <c r="G2640" s="305" t="str">
        <f>B2640&amp;" "&amp;C2640</f>
        <v>23 固定资产（报表项目）</v>
      </c>
      <c r="H2640" s="306"/>
      <c r="I2640" s="306"/>
      <c r="J2640" s="306" t="s">
        <v>2740</v>
      </c>
      <c r="K2640" s="341">
        <f>VLOOKUP($A2640,Sheet_Trialbal,6,0)</f>
        <v>80029486.859999999</v>
      </c>
      <c r="L2640" s="342"/>
      <c r="M2640" s="306" t="s">
        <v>2741</v>
      </c>
      <c r="N2640" s="341">
        <f>VLOOKUP($A2640,Sheet_Trialbal,10,0)</f>
        <v>99146371.280000001</v>
      </c>
      <c r="O2640" s="342"/>
      <c r="P2640" s="301"/>
      <c r="S2640" s="364"/>
      <c r="Z2640" s="609" t="s">
        <v>1100</v>
      </c>
      <c r="AA2640" s="609"/>
    </row>
    <row r="2641" spans="1:27" ht="18">
      <c r="A2641" s="2712" t="s">
        <v>1098</v>
      </c>
      <c r="B2641" s="371">
        <v>1</v>
      </c>
      <c r="C2641" s="371"/>
      <c r="D2641" s="2714" t="str">
        <f>VLOOKUP($A2641,Sheet_NoteList,2,0)</f>
        <v>固定资产分类列示</v>
      </c>
      <c r="E2641" s="2714" t="s">
        <v>2742</v>
      </c>
      <c r="F2641" s="371"/>
      <c r="G2641" s="372" t="str">
        <f>"("&amp;B2641&amp;")"&amp;D2641</f>
        <v>(1)固定资产分类列示</v>
      </c>
      <c r="H2641" s="1515" t="str">
        <f>$A2641</f>
        <v>1611a</v>
      </c>
      <c r="I2641" s="343" t="s">
        <v>2743</v>
      </c>
      <c r="J2641" s="301" t="s">
        <v>2744</v>
      </c>
      <c r="K2641" s="2208">
        <f>H2647</f>
        <v>80029486.859999999</v>
      </c>
      <c r="L2641" s="349" t="str">
        <f>IF($I2641="适用",IF(ROUND(K$2640-K2641,2)=0,"F/S",ROUND(K$2640-K2641,2)),"#N/A")</f>
        <v>F/S</v>
      </c>
      <c r="M2641" s="301" t="s">
        <v>2745</v>
      </c>
      <c r="N2641" s="2208">
        <f>I2647</f>
        <v>99146371.280000001</v>
      </c>
      <c r="O2641" s="349" t="str">
        <f>IF($I2641="适用",IF(ROUND(N$2640-N2641,2)=0,"F/S",ROUND(N$2640-N2641,2)),"#N/A")</f>
        <v>F/S</v>
      </c>
      <c r="P2641" s="301"/>
      <c r="S2641" s="364"/>
      <c r="Z2641" s="609" t="s">
        <v>1100</v>
      </c>
      <c r="AA2641" s="609"/>
    </row>
    <row r="2642" spans="1:27" ht="0.75" customHeight="1" thickBot="1">
      <c r="A2642" s="2712"/>
      <c r="B2642" s="371"/>
      <c r="C2642" s="371"/>
      <c r="D2642" s="2714"/>
      <c r="F2642" s="371"/>
      <c r="G2642" s="405" t="s">
        <v>3597</v>
      </c>
      <c r="H2642" s="371" t="s">
        <v>2747</v>
      </c>
      <c r="I2642" s="371" t="s">
        <v>2748</v>
      </c>
      <c r="J2642" s="301"/>
      <c r="K2642" s="391"/>
      <c r="L2642" s="349"/>
      <c r="M2642" s="301"/>
      <c r="N2642" s="391"/>
      <c r="O2642" s="349"/>
      <c r="P2642" s="301"/>
      <c r="S2642" s="364"/>
      <c r="Z2642" s="609" t="s">
        <v>1100</v>
      </c>
      <c r="AA2642" s="609"/>
    </row>
    <row r="2643" spans="1:27" ht="18.75" thickTop="1">
      <c r="A2643" s="2712"/>
      <c r="B2643" s="371"/>
      <c r="C2643" s="371"/>
      <c r="D2643" s="2714"/>
      <c r="E2643" s="2714" t="s">
        <v>2749</v>
      </c>
      <c r="F2643" s="371"/>
      <c r="G2643" s="373" t="s">
        <v>47</v>
      </c>
      <c r="H2643" s="1452" t="str">
        <f>$V$2</f>
        <v>2019年12月31日</v>
      </c>
      <c r="I2643" s="1453" t="str">
        <f>$V$3</f>
        <v>2018年12月31日</v>
      </c>
      <c r="J2643" s="355" t="s">
        <v>5286</v>
      </c>
      <c r="K2643" s="1582" t="str">
        <f>""&amp;"&gt;本期:"&amp;""</f>
        <v>&gt;本期:</v>
      </c>
      <c r="L2643" s="1582" t="str">
        <f>""&amp;"&gt;上期:"&amp;""</f>
        <v>&gt;上期:</v>
      </c>
      <c r="M2643" s="2656" t="str">
        <f>""&amp;"NoteID"&amp;""</f>
        <v>NoteID</v>
      </c>
      <c r="N2643" s="391"/>
      <c r="O2643" s="349"/>
      <c r="P2643" s="301"/>
      <c r="S2643" s="364"/>
      <c r="Z2643" s="609" t="s">
        <v>1100</v>
      </c>
      <c r="AA2643" s="609"/>
    </row>
    <row r="2644" spans="1:27" ht="18">
      <c r="A2644" s="2712"/>
      <c r="B2644" s="371">
        <v>101</v>
      </c>
      <c r="C2644" s="371"/>
      <c r="D2644" s="2714">
        <f t="shared" ref="D2644:D2647" si="288">IF(OR(G2644="*",G2644="",G2644=0),0,COUNTIF($G$2644:$G$2647,G2644))</f>
        <v>1</v>
      </c>
      <c r="E2644" s="2719">
        <v>1</v>
      </c>
      <c r="F2644" s="371"/>
      <c r="G2644" s="308" t="s">
        <v>337</v>
      </c>
      <c r="H2644" s="309">
        <f>P2698</f>
        <v>80029486.859999999</v>
      </c>
      <c r="I2644" s="394">
        <v>99146371.280000001</v>
      </c>
      <c r="J2644" s="301"/>
      <c r="K2644" s="2250">
        <f ca="1">HYPERLINK("#'"&amp;$G$1&amp;"'!"&amp;ADDRESS(ROW(Notes!P2698),COLUMN(Notes!P2698),4),P2698-H2644)</f>
        <v>0</v>
      </c>
      <c r="L2644" s="2250">
        <f ca="1">HYPERLINK("#'"&amp;$G$1&amp;"'!"&amp;ADDRESS(ROW(Notes!H2698),COLUMN(Notes!H2698),4),H2698-I2644)</f>
        <v>0</v>
      </c>
      <c r="M2644" s="2630" t="str">
        <f>H2650</f>
        <v>1601k</v>
      </c>
      <c r="N2644" s="391"/>
      <c r="O2644" s="349"/>
      <c r="P2644" s="301"/>
      <c r="S2644" s="364"/>
      <c r="Z2644" s="609" t="s">
        <v>1100</v>
      </c>
      <c r="AA2644" s="609"/>
    </row>
    <row r="2645" spans="1:27" ht="18">
      <c r="A2645" s="2712"/>
      <c r="B2645" s="371">
        <v>102</v>
      </c>
      <c r="C2645" s="371"/>
      <c r="D2645" s="2714">
        <f t="shared" si="288"/>
        <v>1</v>
      </c>
      <c r="E2645" s="2719">
        <v>1</v>
      </c>
      <c r="F2645" s="371"/>
      <c r="G2645" s="308" t="s">
        <v>359</v>
      </c>
      <c r="H2645" s="309"/>
      <c r="I2645" s="394"/>
      <c r="J2645" s="301"/>
      <c r="K2645" s="2250">
        <f ca="1">HYPERLINK("#'"&amp;$G$1&amp;"'!"&amp;ADDRESS(ROW(Notes!H2810),COLUMN(Notes!H2810),4),H2810-H2645)</f>
        <v>0</v>
      </c>
      <c r="L2645" s="2250">
        <f ca="1">HYPERLINK("#'"&amp;$G$1&amp;"'!"&amp;ADDRESS(ROW(Notes!I2810),COLUMN(Notes!I2810),4),I2810-I2645)</f>
        <v>0</v>
      </c>
      <c r="M2645" s="2630" t="str">
        <f>H2799</f>
        <v>1606b</v>
      </c>
      <c r="N2645" s="391"/>
      <c r="O2645" s="349"/>
      <c r="P2645" s="301"/>
      <c r="S2645" s="364"/>
      <c r="Z2645" s="609" t="s">
        <v>1100</v>
      </c>
      <c r="AA2645" s="609"/>
    </row>
    <row r="2646" spans="1:27" ht="18">
      <c r="A2646" s="2712"/>
      <c r="B2646" s="371">
        <v>103</v>
      </c>
      <c r="C2646" s="371" t="s">
        <v>2791</v>
      </c>
      <c r="D2646" s="2714">
        <f t="shared" si="288"/>
        <v>0</v>
      </c>
      <c r="E2646" s="2719">
        <v>1</v>
      </c>
      <c r="F2646" s="371"/>
      <c r="G2646" s="2566" t="s">
        <v>2792</v>
      </c>
      <c r="H2646" s="309"/>
      <c r="I2646" s="394"/>
      <c r="J2646" s="301"/>
      <c r="K2646" s="456"/>
      <c r="L2646" s="456"/>
      <c r="M2646" s="456"/>
      <c r="N2646" s="391"/>
      <c r="O2646" s="349"/>
      <c r="P2646" s="301"/>
      <c r="S2646" s="364"/>
      <c r="Z2646" s="609" t="s">
        <v>1100</v>
      </c>
      <c r="AA2646" s="609"/>
    </row>
    <row r="2647" spans="1:27" ht="18.75" thickBot="1">
      <c r="A2647" s="2712"/>
      <c r="B2647" s="371"/>
      <c r="C2647" s="371"/>
      <c r="D2647" s="2714">
        <f t="shared" si="288"/>
        <v>1</v>
      </c>
      <c r="E2647" s="2719" t="s">
        <v>2751</v>
      </c>
      <c r="F2647" s="371"/>
      <c r="G2647" s="374" t="s">
        <v>2752</v>
      </c>
      <c r="H2647" s="1476">
        <f>SUMPRODUCT($E2643:$E2646,H2643:H2646)</f>
        <v>80029486.859999999</v>
      </c>
      <c r="I2647" s="1477">
        <f>SUMPRODUCT($E2643:$E2646,I2643:I2646)</f>
        <v>99146371.280000001</v>
      </c>
      <c r="J2647" s="301"/>
      <c r="K2647" s="1529">
        <f t="shared" ref="K2647:M2647" ca="1" si="289">SUM(K2644:K2646)</f>
        <v>0</v>
      </c>
      <c r="L2647" s="1529">
        <f t="shared" ca="1" si="289"/>
        <v>0</v>
      </c>
      <c r="M2647" s="1529">
        <f t="shared" si="289"/>
        <v>0</v>
      </c>
      <c r="N2647" s="391"/>
      <c r="O2647" s="349"/>
      <c r="P2647" s="301"/>
      <c r="S2647" s="364"/>
      <c r="Z2647" s="609" t="s">
        <v>1100</v>
      </c>
      <c r="AA2647" s="609"/>
    </row>
    <row r="2648" spans="1:27" ht="18">
      <c r="A2648" s="2712"/>
      <c r="B2648" s="371"/>
      <c r="C2648" s="371" t="s">
        <v>2755</v>
      </c>
      <c r="D2648" s="2714"/>
      <c r="F2648" s="371"/>
      <c r="G2648" s="376"/>
      <c r="H2648" s="315"/>
      <c r="I2648" s="396"/>
      <c r="J2648" s="301"/>
      <c r="K2648" s="1537" t="s">
        <v>5493</v>
      </c>
      <c r="L2648" s="317"/>
      <c r="M2648" s="354"/>
      <c r="N2648" s="391"/>
      <c r="O2648" s="349"/>
      <c r="P2648" s="301"/>
      <c r="S2648" s="364"/>
      <c r="Z2648" s="609" t="s">
        <v>1100</v>
      </c>
      <c r="AA2648" s="609"/>
    </row>
    <row r="2649" spans="1:27" ht="18">
      <c r="A2649" s="2712">
        <v>1601</v>
      </c>
      <c r="B2649" s="371">
        <v>23.1</v>
      </c>
      <c r="C2649" s="2714" t="str">
        <f>VLOOKUP($A2649,Sheet_Items,2,0)</f>
        <v>固定资产</v>
      </c>
      <c r="D2649" s="371"/>
      <c r="E2649" s="2714" t="s">
        <v>2739</v>
      </c>
      <c r="F2649" s="294"/>
      <c r="G2649" s="305" t="str">
        <f>B2649&amp;" "&amp;C2649</f>
        <v>23.1 固定资产</v>
      </c>
      <c r="H2649" s="306"/>
      <c r="I2649" s="306"/>
      <c r="J2649" s="306" t="s">
        <v>2740</v>
      </c>
      <c r="K2649" s="341">
        <f>VLOOKUP($A2649,Sheet_Trialbal,6,0)</f>
        <v>80029486.859999999</v>
      </c>
      <c r="L2649" s="342"/>
      <c r="M2649" s="306" t="s">
        <v>2741</v>
      </c>
      <c r="N2649" s="341">
        <f>VLOOKUP($A2649,Sheet_Trialbal,10,0)</f>
        <v>99146371.280000001</v>
      </c>
      <c r="O2649" s="306"/>
      <c r="P2649" s="301"/>
      <c r="S2649" s="364"/>
      <c r="Z2649" s="609" t="s">
        <v>1107</v>
      </c>
      <c r="AA2649" s="609" t="s">
        <v>3598</v>
      </c>
    </row>
    <row r="2650" spans="1:27" ht="18">
      <c r="A2650" s="2712" t="s">
        <v>1105</v>
      </c>
      <c r="B2650" s="371">
        <v>1</v>
      </c>
      <c r="C2650" s="371"/>
      <c r="D2650" s="2714" t="str">
        <f>VLOOKUP($A2650,Sheet_NoteList,2,0)</f>
        <v>固定资产情况</v>
      </c>
      <c r="E2650" s="2714" t="s">
        <v>2742</v>
      </c>
      <c r="F2650" s="293"/>
      <c r="G2650" s="372" t="str">
        <f>"("&amp;B2650&amp;")"&amp;D2650</f>
        <v>(1)固定资产情况</v>
      </c>
      <c r="H2650" s="1515" t="str">
        <f>$A2650</f>
        <v>1601k</v>
      </c>
      <c r="I2650" s="343" t="s">
        <v>2743</v>
      </c>
      <c r="J2650" s="301" t="s">
        <v>2744</v>
      </c>
      <c r="K2650" s="2208">
        <f>P2698</f>
        <v>80029486.859999999</v>
      </c>
      <c r="L2650" s="349" t="str">
        <f>IF($I2650="适用",IF(ROUND(K$2649-K2650,2)=0,"F/S",ROUND(K$2649-K2650,2)),"#N/A")</f>
        <v>F/S</v>
      </c>
      <c r="M2650" s="301" t="s">
        <v>2745</v>
      </c>
      <c r="N2650" s="2208">
        <f>H2698</f>
        <v>99146371.280000001</v>
      </c>
      <c r="O2650" s="349" t="str">
        <f>IF($I2650="适用",IF(ROUND(N$2649-N2650,2)=0,"F/S",ROUND(N$2649-N2650,2)),"#N/A")</f>
        <v>F/S</v>
      </c>
      <c r="P2650" s="301"/>
      <c r="S2650" s="364"/>
      <c r="Z2650" s="609" t="s">
        <v>1107</v>
      </c>
      <c r="AA2650" s="609" t="s">
        <v>3598</v>
      </c>
    </row>
    <row r="2651" spans="1:27" ht="0.75" customHeight="1">
      <c r="A2651" s="2712"/>
      <c r="B2651" s="371"/>
      <c r="C2651" s="371"/>
      <c r="D2651" s="2714"/>
      <c r="F2651" s="371"/>
      <c r="G2651" s="405" t="s">
        <v>3599</v>
      </c>
      <c r="H2651" s="371" t="s">
        <v>5433</v>
      </c>
      <c r="I2651" s="371" t="s">
        <v>5434</v>
      </c>
      <c r="J2651" s="371" t="s">
        <v>5435</v>
      </c>
      <c r="K2651" s="371" t="s">
        <v>5436</v>
      </c>
      <c r="L2651" s="371" t="s">
        <v>5437</v>
      </c>
      <c r="M2651" s="371" t="s">
        <v>5438</v>
      </c>
      <c r="N2651" s="371" t="s">
        <v>5439</v>
      </c>
      <c r="O2651" s="371" t="s">
        <v>5440</v>
      </c>
      <c r="P2651" s="371" t="s">
        <v>5441</v>
      </c>
      <c r="Q2651" s="442"/>
      <c r="R2651" s="443"/>
      <c r="S2651" s="364"/>
      <c r="Z2651" s="609" t="s">
        <v>1107</v>
      </c>
      <c r="AA2651" s="609" t="s">
        <v>3598</v>
      </c>
    </row>
    <row r="2652" spans="1:27" ht="0.75" customHeight="1" thickBot="1">
      <c r="A2652" s="2712"/>
      <c r="B2652" s="371"/>
      <c r="C2652" s="371"/>
      <c r="D2652" s="2714"/>
      <c r="F2652" s="371"/>
      <c r="G2652" s="405"/>
      <c r="H2652" s="371" t="s">
        <v>3570</v>
      </c>
      <c r="I2652" s="371" t="s">
        <v>3571</v>
      </c>
      <c r="J2652" s="371" t="s">
        <v>5261</v>
      </c>
      <c r="K2652" s="547" t="s">
        <v>3572</v>
      </c>
      <c r="L2652" s="547" t="s">
        <v>5158</v>
      </c>
      <c r="M2652" s="371" t="s">
        <v>5262</v>
      </c>
      <c r="N2652" s="1567" t="s">
        <v>3607</v>
      </c>
      <c r="O2652" s="1567" t="s">
        <v>3608</v>
      </c>
      <c r="P2652" s="612" t="s">
        <v>3573</v>
      </c>
      <c r="Q2652" s="442"/>
      <c r="R2652" s="443"/>
      <c r="S2652" s="364"/>
      <c r="Z2652" s="609" t="s">
        <v>1107</v>
      </c>
      <c r="AA2652" s="609" t="s">
        <v>3598</v>
      </c>
    </row>
    <row r="2653" spans="1:27" ht="18" customHeight="1">
      <c r="A2653" s="2712"/>
      <c r="B2653" s="371"/>
      <c r="C2653" s="371"/>
      <c r="D2653" s="2714"/>
      <c r="E2653" s="2714" t="s">
        <v>2749</v>
      </c>
      <c r="F2653" s="293"/>
      <c r="G2653" s="3527" t="s">
        <v>47</v>
      </c>
      <c r="H2653" s="3535" t="s">
        <v>3574</v>
      </c>
      <c r="I2653" s="3535" t="s">
        <v>3558</v>
      </c>
      <c r="J2653" s="3535"/>
      <c r="K2653" s="3535"/>
      <c r="L2653" s="3535"/>
      <c r="M2653" s="3535"/>
      <c r="N2653" s="3535" t="s">
        <v>3560</v>
      </c>
      <c r="O2653" s="3535"/>
      <c r="P2653" s="3599" t="s">
        <v>3575</v>
      </c>
      <c r="Q2653" s="355" t="s">
        <v>5286</v>
      </c>
      <c r="R2653" s="443"/>
      <c r="S2653" s="364"/>
      <c r="Z2653" s="609" t="s">
        <v>1107</v>
      </c>
      <c r="AA2653" s="609" t="s">
        <v>3598</v>
      </c>
    </row>
    <row r="2654" spans="1:27" ht="24">
      <c r="A2654" s="2712"/>
      <c r="B2654" s="371"/>
      <c r="C2654" s="371"/>
      <c r="D2654" s="2714"/>
      <c r="E2654" s="2714" t="s">
        <v>2749</v>
      </c>
      <c r="F2654" s="293"/>
      <c r="G2654" s="3528"/>
      <c r="H2654" s="3624"/>
      <c r="I2654" s="2284" t="s">
        <v>3576</v>
      </c>
      <c r="J2654" s="2284" t="s">
        <v>3603</v>
      </c>
      <c r="K2654" s="2277" t="s">
        <v>3547</v>
      </c>
      <c r="L2654" s="2342" t="s">
        <v>5156</v>
      </c>
      <c r="M2654" s="2342" t="s">
        <v>5155</v>
      </c>
      <c r="N2654" s="2284" t="s">
        <v>3605</v>
      </c>
      <c r="O2654" s="2284" t="s">
        <v>3609</v>
      </c>
      <c r="P2654" s="3600"/>
      <c r="Q2654" s="442"/>
      <c r="R2654" s="443"/>
      <c r="S2654" s="364"/>
      <c r="Z2654" s="609" t="s">
        <v>1107</v>
      </c>
      <c r="AA2654" s="609" t="s">
        <v>3598</v>
      </c>
    </row>
    <row r="2655" spans="1:27" ht="18">
      <c r="A2655" s="2712"/>
      <c r="B2655" s="371">
        <v>101</v>
      </c>
      <c r="C2655" s="371"/>
      <c r="D2655" s="2714">
        <f t="shared" ref="D2655:D2698" si="290">IF(OR(G2655="*",G2655="",G2655=0),0,COUNTIF($G$2655:$G$2698,G2655))</f>
        <v>1</v>
      </c>
      <c r="E2655" s="2719" t="s">
        <v>6532</v>
      </c>
      <c r="F2655" s="294"/>
      <c r="G2655" s="308" t="s">
        <v>3577</v>
      </c>
      <c r="H2655" s="320"/>
      <c r="I2655" s="320"/>
      <c r="J2655" s="320"/>
      <c r="K2655" s="320"/>
      <c r="L2655" s="309"/>
      <c r="M2655" s="320"/>
      <c r="N2655" s="309"/>
      <c r="O2655" s="309"/>
      <c r="P2655" s="346"/>
      <c r="Q2655" s="442"/>
      <c r="R2655" s="443"/>
      <c r="S2655" s="364"/>
      <c r="Z2655" s="609" t="s">
        <v>1107</v>
      </c>
      <c r="AA2655" s="609" t="s">
        <v>3598</v>
      </c>
    </row>
    <row r="2656" spans="1:27" ht="18">
      <c r="A2656" s="2712"/>
      <c r="B2656" s="371">
        <v>101.001</v>
      </c>
      <c r="C2656" s="371"/>
      <c r="D2656" s="2714">
        <f t="shared" si="290"/>
        <v>1</v>
      </c>
      <c r="E2656" s="2719" t="s">
        <v>5157</v>
      </c>
      <c r="F2656" s="294"/>
      <c r="G2656" s="308" t="s">
        <v>3600</v>
      </c>
      <c r="H2656" s="309">
        <v>58238249.479999997</v>
      </c>
      <c r="I2656" s="309">
        <v>577794.27</v>
      </c>
      <c r="J2656" s="309"/>
      <c r="K2656" s="309"/>
      <c r="L2656" s="1463">
        <v>0</v>
      </c>
      <c r="M2656" s="309"/>
      <c r="N2656" s="320"/>
      <c r="O2656" s="309"/>
      <c r="P2656" s="1475">
        <f t="shared" ref="P2656:P2664" si="291">SUM(H2656:M2656,-N2656,-O2656)</f>
        <v>58816043.75</v>
      </c>
      <c r="Q2656" s="442"/>
      <c r="R2656" s="443"/>
      <c r="S2656" s="364"/>
      <c r="Z2656" s="609" t="s">
        <v>1107</v>
      </c>
      <c r="AA2656" s="609" t="s">
        <v>3598</v>
      </c>
    </row>
    <row r="2657" spans="1:27" ht="18">
      <c r="A2657" s="2712"/>
      <c r="B2657" s="371">
        <v>101.002</v>
      </c>
      <c r="C2657" s="371"/>
      <c r="D2657" s="2714">
        <f t="shared" si="290"/>
        <v>1</v>
      </c>
      <c r="E2657" s="2719" t="s">
        <v>5157</v>
      </c>
      <c r="F2657" s="294"/>
      <c r="G2657" s="308" t="s">
        <v>3601</v>
      </c>
      <c r="H2657" s="309">
        <v>212403054.97999999</v>
      </c>
      <c r="I2657" s="309">
        <v>4766922.8499999996</v>
      </c>
      <c r="J2657" s="309">
        <v>1117592.92</v>
      </c>
      <c r="K2657" s="309"/>
      <c r="L2657" s="1463">
        <v>0</v>
      </c>
      <c r="M2657" s="309"/>
      <c r="N2657" s="320">
        <v>7585109.7300000004</v>
      </c>
      <c r="O2657" s="309"/>
      <c r="P2657" s="1475">
        <f t="shared" si="291"/>
        <v>210702461.02000001</v>
      </c>
      <c r="Q2657" s="442"/>
      <c r="R2657" s="443"/>
      <c r="S2657" s="364"/>
      <c r="Z2657" s="609" t="s">
        <v>1107</v>
      </c>
      <c r="AA2657" s="609" t="s">
        <v>3598</v>
      </c>
    </row>
    <row r="2658" spans="1:27" ht="18">
      <c r="A2658" s="2712"/>
      <c r="B2658" s="371">
        <v>101.003</v>
      </c>
      <c r="C2658" s="371"/>
      <c r="D2658" s="2714">
        <f t="shared" si="290"/>
        <v>1</v>
      </c>
      <c r="E2658" s="2719" t="s">
        <v>5157</v>
      </c>
      <c r="F2658" s="294"/>
      <c r="G2658" s="308" t="s">
        <v>3602</v>
      </c>
      <c r="H2658" s="309">
        <v>951057.58</v>
      </c>
      <c r="I2658" s="309">
        <v>44247.79</v>
      </c>
      <c r="J2658" s="309"/>
      <c r="K2658" s="309"/>
      <c r="L2658" s="1463">
        <v>0</v>
      </c>
      <c r="M2658" s="309"/>
      <c r="N2658" s="320"/>
      <c r="O2658" s="309"/>
      <c r="P2658" s="1475">
        <f t="shared" si="291"/>
        <v>995305.37</v>
      </c>
      <c r="Q2658" s="442"/>
      <c r="R2658" s="443"/>
      <c r="S2658" s="364"/>
      <c r="Z2658" s="609" t="s">
        <v>1107</v>
      </c>
      <c r="AA2658" s="609" t="s">
        <v>3598</v>
      </c>
    </row>
    <row r="2659" spans="1:27" ht="18">
      <c r="A2659" s="2712"/>
      <c r="B2659" s="371">
        <v>101.004</v>
      </c>
      <c r="C2659" s="371" t="s">
        <v>2791</v>
      </c>
      <c r="D2659" s="2714">
        <f t="shared" si="290"/>
        <v>1</v>
      </c>
      <c r="E2659" s="2719" t="s">
        <v>5157</v>
      </c>
      <c r="F2659" s="294"/>
      <c r="G2659" s="1504" t="s">
        <v>7357</v>
      </c>
      <c r="H2659" s="309">
        <v>9737462.8900000006</v>
      </c>
      <c r="I2659" s="309">
        <v>38913.050000000003</v>
      </c>
      <c r="J2659" s="309"/>
      <c r="K2659" s="309"/>
      <c r="L2659" s="1463">
        <v>0</v>
      </c>
      <c r="M2659" s="309"/>
      <c r="N2659" s="320"/>
      <c r="O2659" s="309"/>
      <c r="P2659" s="1475">
        <f t="shared" si="291"/>
        <v>9776375.9399999995</v>
      </c>
      <c r="Q2659" s="442"/>
      <c r="R2659" s="443"/>
      <c r="S2659" s="364"/>
      <c r="Z2659" s="609" t="s">
        <v>1107</v>
      </c>
      <c r="AA2659" s="609" t="s">
        <v>3598</v>
      </c>
    </row>
    <row r="2660" spans="1:27" ht="18">
      <c r="A2660" s="2712"/>
      <c r="B2660" s="371">
        <v>101.005</v>
      </c>
      <c r="C2660" s="371" t="s">
        <v>2791</v>
      </c>
      <c r="D2660" s="2714">
        <f t="shared" si="290"/>
        <v>1</v>
      </c>
      <c r="E2660" s="2719" t="s">
        <v>5157</v>
      </c>
      <c r="F2660" s="294"/>
      <c r="G2660" s="1504" t="s">
        <v>5185</v>
      </c>
      <c r="H2660" s="309"/>
      <c r="I2660" s="309"/>
      <c r="J2660" s="309"/>
      <c r="K2660" s="309"/>
      <c r="L2660" s="1463">
        <v>0</v>
      </c>
      <c r="M2660" s="309"/>
      <c r="N2660" s="320"/>
      <c r="O2660" s="309"/>
      <c r="P2660" s="1475">
        <f t="shared" si="291"/>
        <v>0</v>
      </c>
      <c r="Q2660" s="442"/>
      <c r="R2660" s="443"/>
      <c r="S2660" s="364"/>
      <c r="Z2660" s="609" t="s">
        <v>1107</v>
      </c>
      <c r="AA2660" s="609" t="s">
        <v>3598</v>
      </c>
    </row>
    <row r="2661" spans="1:27" ht="18">
      <c r="A2661" s="2712"/>
      <c r="B2661" s="371">
        <v>101.006</v>
      </c>
      <c r="C2661" s="371" t="s">
        <v>2791</v>
      </c>
      <c r="D2661" s="2714">
        <f t="shared" si="290"/>
        <v>1</v>
      </c>
      <c r="E2661" s="2719" t="s">
        <v>5157</v>
      </c>
      <c r="F2661" s="294"/>
      <c r="G2661" s="1504" t="s">
        <v>5186</v>
      </c>
      <c r="H2661" s="309"/>
      <c r="I2661" s="309"/>
      <c r="J2661" s="309"/>
      <c r="K2661" s="309"/>
      <c r="L2661" s="1463">
        <v>0</v>
      </c>
      <c r="M2661" s="309"/>
      <c r="N2661" s="320"/>
      <c r="O2661" s="309"/>
      <c r="P2661" s="1475">
        <f t="shared" si="291"/>
        <v>0</v>
      </c>
      <c r="Q2661" s="442"/>
      <c r="R2661" s="443"/>
      <c r="S2661" s="364"/>
      <c r="Z2661" s="609" t="s">
        <v>1107</v>
      </c>
      <c r="AA2661" s="609" t="s">
        <v>3598</v>
      </c>
    </row>
    <row r="2662" spans="1:27" ht="18">
      <c r="A2662" s="2712"/>
      <c r="B2662" s="371">
        <v>101.00700000000001</v>
      </c>
      <c r="C2662" s="371" t="s">
        <v>2791</v>
      </c>
      <c r="D2662" s="2714">
        <f t="shared" si="290"/>
        <v>1</v>
      </c>
      <c r="E2662" s="2719" t="s">
        <v>5157</v>
      </c>
      <c r="F2662" s="294"/>
      <c r="G2662" s="1504" t="s">
        <v>5187</v>
      </c>
      <c r="H2662" s="309"/>
      <c r="I2662" s="309"/>
      <c r="J2662" s="309"/>
      <c r="K2662" s="309"/>
      <c r="L2662" s="1463">
        <v>0</v>
      </c>
      <c r="M2662" s="309"/>
      <c r="N2662" s="320"/>
      <c r="O2662" s="309"/>
      <c r="P2662" s="1475">
        <f t="shared" si="291"/>
        <v>0</v>
      </c>
      <c r="Q2662" s="442"/>
      <c r="R2662" s="443"/>
      <c r="S2662" s="364"/>
      <c r="Z2662" s="609" t="s">
        <v>1107</v>
      </c>
      <c r="AA2662" s="609" t="s">
        <v>3598</v>
      </c>
    </row>
    <row r="2663" spans="1:27" ht="18">
      <c r="A2663" s="2712"/>
      <c r="B2663" s="371">
        <v>101.008</v>
      </c>
      <c r="C2663" s="371" t="s">
        <v>6530</v>
      </c>
      <c r="D2663" s="2714">
        <f t="shared" si="290"/>
        <v>1</v>
      </c>
      <c r="E2663" s="2719" t="s">
        <v>5157</v>
      </c>
      <c r="F2663" s="294"/>
      <c r="G2663" s="1504" t="s">
        <v>5188</v>
      </c>
      <c r="H2663" s="309"/>
      <c r="I2663" s="309"/>
      <c r="J2663" s="309"/>
      <c r="K2663" s="309"/>
      <c r="L2663" s="1463">
        <v>0</v>
      </c>
      <c r="M2663" s="309"/>
      <c r="N2663" s="320"/>
      <c r="O2663" s="309"/>
      <c r="P2663" s="1475">
        <f t="shared" si="291"/>
        <v>0</v>
      </c>
      <c r="Q2663" s="442"/>
      <c r="R2663" s="443"/>
      <c r="S2663" s="364"/>
      <c r="Z2663" s="609" t="s">
        <v>1107</v>
      </c>
      <c r="AA2663" s="609" t="s">
        <v>3598</v>
      </c>
    </row>
    <row r="2664" spans="1:27" ht="18">
      <c r="A2664" s="2712"/>
      <c r="B2664" s="371">
        <v>101.009</v>
      </c>
      <c r="C2664" s="371" t="s">
        <v>2791</v>
      </c>
      <c r="D2664" s="2714">
        <f t="shared" si="290"/>
        <v>1</v>
      </c>
      <c r="E2664" s="2719" t="s">
        <v>5157</v>
      </c>
      <c r="F2664" s="294"/>
      <c r="G2664" s="1504" t="s">
        <v>5189</v>
      </c>
      <c r="H2664" s="309"/>
      <c r="I2664" s="309"/>
      <c r="J2664" s="309"/>
      <c r="K2664" s="309"/>
      <c r="L2664" s="1463">
        <v>0</v>
      </c>
      <c r="M2664" s="309"/>
      <c r="N2664" s="320"/>
      <c r="O2664" s="309"/>
      <c r="P2664" s="1475">
        <f t="shared" si="291"/>
        <v>0</v>
      </c>
      <c r="Q2664" s="442"/>
      <c r="R2664" s="443"/>
      <c r="S2664" s="364"/>
      <c r="Z2664" s="609" t="s">
        <v>1107</v>
      </c>
      <c r="AA2664" s="609" t="s">
        <v>3598</v>
      </c>
    </row>
    <row r="2665" spans="1:27" ht="18">
      <c r="A2665" s="2712"/>
      <c r="B2665" s="371">
        <v>101.999</v>
      </c>
      <c r="C2665" s="371" t="s">
        <v>6560</v>
      </c>
      <c r="D2665" s="2714">
        <f t="shared" si="290"/>
        <v>1</v>
      </c>
      <c r="E2665" s="2719">
        <v>1</v>
      </c>
      <c r="F2665" s="294"/>
      <c r="G2665" s="632" t="s">
        <v>5159</v>
      </c>
      <c r="H2665" s="1474">
        <f t="shared" ref="H2665:P2665" si="292">SUMIF($E$2654:$E$2697,$G2665,H$2654:H$2697)</f>
        <v>281329824.93000001</v>
      </c>
      <c r="I2665" s="1474">
        <f t="shared" si="292"/>
        <v>5427877.96</v>
      </c>
      <c r="J2665" s="1474">
        <f t="shared" si="292"/>
        <v>1117592.92</v>
      </c>
      <c r="K2665" s="1474">
        <f t="shared" si="292"/>
        <v>0</v>
      </c>
      <c r="L2665" s="1481">
        <f t="shared" si="292"/>
        <v>0</v>
      </c>
      <c r="M2665" s="1474">
        <f t="shared" si="292"/>
        <v>0</v>
      </c>
      <c r="N2665" s="1474">
        <f t="shared" si="292"/>
        <v>7585109.7300000004</v>
      </c>
      <c r="O2665" s="1474">
        <f t="shared" si="292"/>
        <v>0</v>
      </c>
      <c r="P2665" s="1475">
        <f t="shared" si="292"/>
        <v>280290186.07999998</v>
      </c>
      <c r="Q2665" s="442"/>
      <c r="R2665" s="443"/>
      <c r="S2665" s="364"/>
      <c r="Z2665" s="609" t="s">
        <v>1107</v>
      </c>
      <c r="AA2665" s="609" t="s">
        <v>3598</v>
      </c>
    </row>
    <row r="2666" spans="1:27" ht="18">
      <c r="A2666" s="2712"/>
      <c r="B2666" s="371">
        <v>102</v>
      </c>
      <c r="C2666" s="371"/>
      <c r="D2666" s="2714">
        <f t="shared" si="290"/>
        <v>1</v>
      </c>
      <c r="E2666" s="2719" t="s">
        <v>6561</v>
      </c>
      <c r="F2666" s="294"/>
      <c r="G2666" s="308" t="s">
        <v>3610</v>
      </c>
      <c r="H2666" s="309"/>
      <c r="I2666" s="309"/>
      <c r="J2666" s="309"/>
      <c r="K2666" s="309"/>
      <c r="L2666" s="309"/>
      <c r="M2666" s="309"/>
      <c r="N2666" s="320"/>
      <c r="O2666" s="309"/>
      <c r="P2666" s="1475"/>
      <c r="Q2666" s="442"/>
      <c r="R2666" s="443"/>
      <c r="S2666" s="364"/>
      <c r="Z2666" s="609" t="s">
        <v>1107</v>
      </c>
      <c r="AA2666" s="609" t="s">
        <v>3598</v>
      </c>
    </row>
    <row r="2667" spans="1:27" ht="18">
      <c r="A2667" s="2712"/>
      <c r="B2667" s="371">
        <v>102.001</v>
      </c>
      <c r="C2667" s="371"/>
      <c r="D2667" s="2714">
        <f t="shared" si="290"/>
        <v>1</v>
      </c>
      <c r="E2667" s="2719" t="s">
        <v>486</v>
      </c>
      <c r="F2667" s="294"/>
      <c r="G2667" s="1504" t="str">
        <f>G$2656&amp;" "</f>
        <v xml:space="preserve">房屋及建筑物 </v>
      </c>
      <c r="H2667" s="309">
        <v>20010869.16</v>
      </c>
      <c r="I2667" s="1463">
        <v>0</v>
      </c>
      <c r="J2667" s="1463">
        <v>0</v>
      </c>
      <c r="K2667" s="1463">
        <v>0</v>
      </c>
      <c r="L2667" s="309">
        <v>2147879.96</v>
      </c>
      <c r="M2667" s="309"/>
      <c r="N2667" s="320"/>
      <c r="O2667" s="309"/>
      <c r="P2667" s="1475">
        <f t="shared" ref="P2667:P2675" si="293">SUM(H2667:M2667,-N2667,-O2667)</f>
        <v>22158749.120000001</v>
      </c>
      <c r="Q2667" s="442"/>
      <c r="R2667" s="443"/>
      <c r="S2667" s="364"/>
      <c r="Z2667" s="609" t="s">
        <v>1107</v>
      </c>
      <c r="AA2667" s="609" t="s">
        <v>3598</v>
      </c>
    </row>
    <row r="2668" spans="1:27" ht="18">
      <c r="A2668" s="2712"/>
      <c r="B2668" s="371">
        <v>102.002</v>
      </c>
      <c r="C2668" s="371"/>
      <c r="D2668" s="2714">
        <f t="shared" si="290"/>
        <v>1</v>
      </c>
      <c r="E2668" s="2719" t="s">
        <v>486</v>
      </c>
      <c r="F2668" s="294"/>
      <c r="G2668" s="1504" t="str">
        <f>G$2657&amp;" "</f>
        <v xml:space="preserve">机器设备 </v>
      </c>
      <c r="H2668" s="309">
        <v>106135633.02</v>
      </c>
      <c r="I2668" s="1463">
        <v>0</v>
      </c>
      <c r="J2668" s="1463">
        <v>0</v>
      </c>
      <c r="K2668" s="1463">
        <v>0</v>
      </c>
      <c r="L2668" s="309">
        <v>15845701.73</v>
      </c>
      <c r="M2668" s="309"/>
      <c r="N2668" s="320">
        <v>4847446.13</v>
      </c>
      <c r="O2668" s="309"/>
      <c r="P2668" s="1475">
        <f t="shared" si="293"/>
        <v>117133888.62</v>
      </c>
      <c r="Q2668" s="442"/>
      <c r="R2668" s="443"/>
      <c r="S2668" s="364"/>
      <c r="Z2668" s="609" t="s">
        <v>1107</v>
      </c>
      <c r="AA2668" s="609" t="s">
        <v>3598</v>
      </c>
    </row>
    <row r="2669" spans="1:27" ht="18">
      <c r="A2669" s="2712"/>
      <c r="B2669" s="371">
        <v>102.003</v>
      </c>
      <c r="C2669" s="371"/>
      <c r="D2669" s="2714">
        <f t="shared" si="290"/>
        <v>1</v>
      </c>
      <c r="E2669" s="2719" t="s">
        <v>486</v>
      </c>
      <c r="F2669" s="294"/>
      <c r="G2669" s="1504" t="str">
        <f>G$2658&amp;" "</f>
        <v xml:space="preserve">运输工具 </v>
      </c>
      <c r="H2669" s="309">
        <v>578445.79</v>
      </c>
      <c r="I2669" s="1463">
        <v>0</v>
      </c>
      <c r="J2669" s="1463">
        <v>0</v>
      </c>
      <c r="K2669" s="1463">
        <v>0</v>
      </c>
      <c r="L2669" s="309">
        <v>79680.800000000003</v>
      </c>
      <c r="M2669" s="309"/>
      <c r="N2669" s="320"/>
      <c r="O2669" s="309"/>
      <c r="P2669" s="1475">
        <f t="shared" si="293"/>
        <v>658126.59</v>
      </c>
      <c r="Q2669" s="442"/>
      <c r="R2669" s="443"/>
      <c r="S2669" s="364"/>
      <c r="Z2669" s="609" t="s">
        <v>1107</v>
      </c>
      <c r="AA2669" s="609" t="s">
        <v>3598</v>
      </c>
    </row>
    <row r="2670" spans="1:27" ht="18">
      <c r="A2670" s="2712"/>
      <c r="B2670" s="371">
        <v>102.004</v>
      </c>
      <c r="C2670" s="371" t="s">
        <v>2791</v>
      </c>
      <c r="D2670" s="2714">
        <f t="shared" si="290"/>
        <v>1</v>
      </c>
      <c r="E2670" s="2719" t="s">
        <v>486</v>
      </c>
      <c r="F2670" s="294"/>
      <c r="G2670" s="1504" t="str">
        <f>G$2659&amp;" "</f>
        <v xml:space="preserve">电子设备及其他 </v>
      </c>
      <c r="H2670" s="309">
        <v>8381356.0599999996</v>
      </c>
      <c r="I2670" s="1463">
        <v>0</v>
      </c>
      <c r="J2670" s="1463">
        <v>0</v>
      </c>
      <c r="K2670" s="1463">
        <v>0</v>
      </c>
      <c r="L2670" s="309">
        <v>132351.62</v>
      </c>
      <c r="M2670" s="309"/>
      <c r="N2670" s="320"/>
      <c r="O2670" s="309"/>
      <c r="P2670" s="1475">
        <f t="shared" si="293"/>
        <v>8513707.6799999997</v>
      </c>
      <c r="Q2670" s="442"/>
      <c r="R2670" s="443"/>
      <c r="S2670" s="364"/>
      <c r="Z2670" s="609" t="s">
        <v>1107</v>
      </c>
      <c r="AA2670" s="609" t="s">
        <v>3598</v>
      </c>
    </row>
    <row r="2671" spans="1:27" ht="18">
      <c r="A2671" s="2712"/>
      <c r="B2671" s="371">
        <v>102.005</v>
      </c>
      <c r="C2671" s="371" t="s">
        <v>2791</v>
      </c>
      <c r="D2671" s="2714">
        <f t="shared" si="290"/>
        <v>1</v>
      </c>
      <c r="E2671" s="2719" t="s">
        <v>486</v>
      </c>
      <c r="F2671" s="294"/>
      <c r="G2671" s="1504" t="str">
        <f>G$2660&amp;" "</f>
        <v xml:space="preserve">*5（在原值处修改或清除） </v>
      </c>
      <c r="H2671" s="309"/>
      <c r="I2671" s="1463">
        <v>0</v>
      </c>
      <c r="J2671" s="1463">
        <v>0</v>
      </c>
      <c r="K2671" s="1463">
        <v>0</v>
      </c>
      <c r="L2671" s="309"/>
      <c r="M2671" s="309"/>
      <c r="N2671" s="320"/>
      <c r="O2671" s="309"/>
      <c r="P2671" s="1475">
        <f t="shared" si="293"/>
        <v>0</v>
      </c>
      <c r="Q2671" s="442"/>
      <c r="R2671" s="443"/>
      <c r="S2671" s="364"/>
      <c r="Z2671" s="609" t="s">
        <v>1107</v>
      </c>
      <c r="AA2671" s="609" t="s">
        <v>3598</v>
      </c>
    </row>
    <row r="2672" spans="1:27" ht="18">
      <c r="A2672" s="2712"/>
      <c r="B2672" s="371">
        <v>102.006</v>
      </c>
      <c r="C2672" s="371" t="s">
        <v>2791</v>
      </c>
      <c r="D2672" s="2714">
        <f t="shared" si="290"/>
        <v>1</v>
      </c>
      <c r="E2672" s="2719" t="s">
        <v>486</v>
      </c>
      <c r="F2672" s="294"/>
      <c r="G2672" s="1504" t="str">
        <f>G$2661&amp;" "</f>
        <v xml:space="preserve">*6（在原值处修改或清除） </v>
      </c>
      <c r="H2672" s="309"/>
      <c r="I2672" s="1463">
        <v>0</v>
      </c>
      <c r="J2672" s="1463">
        <v>0</v>
      </c>
      <c r="K2672" s="1463">
        <v>0</v>
      </c>
      <c r="L2672" s="309"/>
      <c r="M2672" s="309"/>
      <c r="N2672" s="320"/>
      <c r="O2672" s="309"/>
      <c r="P2672" s="1475">
        <f t="shared" si="293"/>
        <v>0</v>
      </c>
      <c r="Q2672" s="442"/>
      <c r="R2672" s="443"/>
      <c r="S2672" s="364"/>
      <c r="Z2672" s="609" t="s">
        <v>1107</v>
      </c>
      <c r="AA2672" s="609" t="s">
        <v>3598</v>
      </c>
    </row>
    <row r="2673" spans="1:29" ht="18">
      <c r="A2673" s="2712"/>
      <c r="B2673" s="371">
        <v>102.00700000000001</v>
      </c>
      <c r="C2673" s="371" t="s">
        <v>2791</v>
      </c>
      <c r="D2673" s="2714">
        <f t="shared" si="290"/>
        <v>1</v>
      </c>
      <c r="E2673" s="2719" t="s">
        <v>486</v>
      </c>
      <c r="F2673" s="294"/>
      <c r="G2673" s="1504" t="str">
        <f>G$2662&amp;" "</f>
        <v xml:space="preserve">*7（在原值处修改或清除） </v>
      </c>
      <c r="H2673" s="309"/>
      <c r="I2673" s="1463">
        <v>0</v>
      </c>
      <c r="J2673" s="1463">
        <v>0</v>
      </c>
      <c r="K2673" s="1463">
        <v>0</v>
      </c>
      <c r="L2673" s="309"/>
      <c r="M2673" s="309"/>
      <c r="N2673" s="320"/>
      <c r="O2673" s="309"/>
      <c r="P2673" s="1475">
        <f t="shared" si="293"/>
        <v>0</v>
      </c>
      <c r="Q2673" s="442"/>
      <c r="R2673" s="443"/>
      <c r="S2673" s="364"/>
      <c r="Z2673" s="609" t="s">
        <v>1107</v>
      </c>
      <c r="AA2673" s="609" t="s">
        <v>3598</v>
      </c>
    </row>
    <row r="2674" spans="1:29" ht="18">
      <c r="A2674" s="2712"/>
      <c r="B2674" s="371">
        <v>102.008</v>
      </c>
      <c r="C2674" s="371" t="s">
        <v>2791</v>
      </c>
      <c r="D2674" s="2714">
        <f t="shared" si="290"/>
        <v>1</v>
      </c>
      <c r="E2674" s="2719" t="s">
        <v>486</v>
      </c>
      <c r="F2674" s="294"/>
      <c r="G2674" s="1504" t="str">
        <f>G$2663&amp;" "</f>
        <v xml:space="preserve">*8（在原值处修改或清除） </v>
      </c>
      <c r="H2674" s="309"/>
      <c r="I2674" s="1463">
        <v>0</v>
      </c>
      <c r="J2674" s="1463">
        <v>0</v>
      </c>
      <c r="K2674" s="1463">
        <v>0</v>
      </c>
      <c r="L2674" s="309"/>
      <c r="M2674" s="309"/>
      <c r="N2674" s="320"/>
      <c r="O2674" s="309"/>
      <c r="P2674" s="1475">
        <f t="shared" si="293"/>
        <v>0</v>
      </c>
      <c r="Q2674" s="442"/>
      <c r="R2674" s="443"/>
      <c r="S2674" s="364"/>
      <c r="Z2674" s="609" t="s">
        <v>1107</v>
      </c>
      <c r="AA2674" s="609" t="s">
        <v>3598</v>
      </c>
    </row>
    <row r="2675" spans="1:29" ht="18">
      <c r="A2675" s="2712"/>
      <c r="B2675" s="371">
        <v>102.009</v>
      </c>
      <c r="C2675" s="371" t="s">
        <v>2791</v>
      </c>
      <c r="D2675" s="2714">
        <f t="shared" si="290"/>
        <v>1</v>
      </c>
      <c r="E2675" s="2719" t="s">
        <v>486</v>
      </c>
      <c r="F2675" s="294"/>
      <c r="G2675" s="1504" t="str">
        <f>G$2664&amp;" "</f>
        <v xml:space="preserve">*9（在原值处修改或清除） </v>
      </c>
      <c r="H2675" s="309"/>
      <c r="I2675" s="1463">
        <v>0</v>
      </c>
      <c r="J2675" s="1463">
        <v>0</v>
      </c>
      <c r="K2675" s="1463">
        <v>0</v>
      </c>
      <c r="L2675" s="309"/>
      <c r="M2675" s="309"/>
      <c r="N2675" s="320"/>
      <c r="O2675" s="309"/>
      <c r="P2675" s="1475">
        <f t="shared" si="293"/>
        <v>0</v>
      </c>
      <c r="Q2675" s="442"/>
      <c r="R2675" s="443"/>
      <c r="S2675" s="364"/>
      <c r="Z2675" s="609" t="s">
        <v>1107</v>
      </c>
      <c r="AA2675" s="609" t="s">
        <v>3598</v>
      </c>
    </row>
    <row r="2676" spans="1:29" ht="18">
      <c r="A2676" s="2712"/>
      <c r="B2676" s="371">
        <v>102.999</v>
      </c>
      <c r="C2676" s="371" t="s">
        <v>2793</v>
      </c>
      <c r="D2676" s="2714">
        <f t="shared" si="290"/>
        <v>1</v>
      </c>
      <c r="E2676" s="2719">
        <v>-1</v>
      </c>
      <c r="F2676" s="294"/>
      <c r="G2676" s="632" t="s">
        <v>5160</v>
      </c>
      <c r="H2676" s="1474">
        <f t="shared" ref="H2676:P2676" si="294">SUMIF($E$2654:$E$2697,$G2676,H$2654:H$2697)</f>
        <v>135106304.03</v>
      </c>
      <c r="I2676" s="1481">
        <f t="shared" si="294"/>
        <v>0</v>
      </c>
      <c r="J2676" s="1481">
        <f t="shared" si="294"/>
        <v>0</v>
      </c>
      <c r="K2676" s="1481">
        <f t="shared" si="294"/>
        <v>0</v>
      </c>
      <c r="L2676" s="1474">
        <f t="shared" si="294"/>
        <v>18205614.109999999</v>
      </c>
      <c r="M2676" s="1474">
        <f t="shared" si="294"/>
        <v>0</v>
      </c>
      <c r="N2676" s="1474">
        <f t="shared" si="294"/>
        <v>4847446.13</v>
      </c>
      <c r="O2676" s="1474">
        <f t="shared" si="294"/>
        <v>0</v>
      </c>
      <c r="P2676" s="1475">
        <f t="shared" si="294"/>
        <v>148464472.00999999</v>
      </c>
      <c r="Q2676" s="442"/>
      <c r="R2676" s="443"/>
      <c r="S2676" s="364"/>
      <c r="Z2676" s="609" t="s">
        <v>1107</v>
      </c>
      <c r="AA2676" s="609" t="s">
        <v>3598</v>
      </c>
    </row>
    <row r="2677" spans="1:29" ht="18">
      <c r="A2677" s="2712"/>
      <c r="B2677" s="371">
        <v>103</v>
      </c>
      <c r="C2677" s="371"/>
      <c r="D2677" s="2714">
        <f t="shared" si="290"/>
        <v>1</v>
      </c>
      <c r="E2677" s="2719" t="s">
        <v>6562</v>
      </c>
      <c r="F2677" s="294"/>
      <c r="G2677" s="308" t="s">
        <v>3581</v>
      </c>
      <c r="H2677" s="309"/>
      <c r="I2677" s="309"/>
      <c r="J2677" s="309"/>
      <c r="K2677" s="309"/>
      <c r="L2677" s="309"/>
      <c r="M2677" s="309"/>
      <c r="N2677" s="320"/>
      <c r="O2677" s="309"/>
      <c r="P2677" s="1475"/>
      <c r="Q2677" s="442"/>
      <c r="R2677" s="443"/>
      <c r="S2677" s="364"/>
      <c r="Z2677" s="609" t="s">
        <v>1107</v>
      </c>
      <c r="AA2677" s="609" t="s">
        <v>3598</v>
      </c>
    </row>
    <row r="2678" spans="1:29" ht="18">
      <c r="A2678" s="2712"/>
      <c r="B2678" s="371">
        <v>103.001</v>
      </c>
      <c r="C2678" s="371"/>
      <c r="D2678" s="2714">
        <f t="shared" si="290"/>
        <v>1</v>
      </c>
      <c r="E2678" s="2719" t="s">
        <v>3097</v>
      </c>
      <c r="F2678" s="294"/>
      <c r="G2678" s="1504" t="str">
        <f>G$2656&amp;"  "</f>
        <v xml:space="preserve">房屋及建筑物  </v>
      </c>
      <c r="H2678" s="309">
        <v>11343683.210000001</v>
      </c>
      <c r="I2678" s="1463">
        <v>0</v>
      </c>
      <c r="J2678" s="1463">
        <v>0</v>
      </c>
      <c r="K2678" s="1463">
        <v>0</v>
      </c>
      <c r="L2678" s="309">
        <v>160209.92000000001</v>
      </c>
      <c r="M2678" s="309"/>
      <c r="N2678" s="320"/>
      <c r="O2678" s="309"/>
      <c r="P2678" s="1475">
        <f t="shared" ref="P2678:P2686" si="295">SUM(H2678:M2678,-N2678,-O2678)</f>
        <v>11503893.130000001</v>
      </c>
      <c r="Q2678" s="442"/>
      <c r="R2678" s="443"/>
      <c r="S2678" s="364"/>
      <c r="Z2678" s="609" t="s">
        <v>1107</v>
      </c>
      <c r="AA2678" s="609" t="s">
        <v>3598</v>
      </c>
    </row>
    <row r="2679" spans="1:29" ht="18">
      <c r="A2679" s="2712"/>
      <c r="B2679" s="371">
        <v>103.002</v>
      </c>
      <c r="C2679" s="371"/>
      <c r="D2679" s="2714">
        <f t="shared" si="290"/>
        <v>1</v>
      </c>
      <c r="E2679" s="2719" t="s">
        <v>3097</v>
      </c>
      <c r="F2679" s="294"/>
      <c r="G2679" s="1504" t="str">
        <f>G$2657&amp;"  "</f>
        <v xml:space="preserve">机器设备  </v>
      </c>
      <c r="H2679" s="309">
        <v>35065745.859999999</v>
      </c>
      <c r="I2679" s="1463">
        <v>0</v>
      </c>
      <c r="J2679" s="1463">
        <v>0</v>
      </c>
      <c r="K2679" s="1463">
        <v>0</v>
      </c>
      <c r="L2679" s="309">
        <v>5723265.5700000003</v>
      </c>
      <c r="M2679" s="309"/>
      <c r="N2679" s="320">
        <v>1164397.8999999999</v>
      </c>
      <c r="O2679" s="309"/>
      <c r="P2679" s="1475">
        <f t="shared" si="295"/>
        <v>39624613.530000001</v>
      </c>
      <c r="Q2679" s="442"/>
      <c r="R2679" s="443"/>
      <c r="S2679" s="364"/>
      <c r="Z2679" s="609" t="s">
        <v>1107</v>
      </c>
      <c r="AA2679" s="609" t="s">
        <v>3598</v>
      </c>
    </row>
    <row r="2680" spans="1:29" ht="18">
      <c r="A2680" s="2712"/>
      <c r="B2680" s="371">
        <v>103.003</v>
      </c>
      <c r="C2680" s="371"/>
      <c r="D2680" s="2714">
        <f t="shared" si="290"/>
        <v>1</v>
      </c>
      <c r="E2680" s="2719" t="s">
        <v>3097</v>
      </c>
      <c r="F2680" s="294"/>
      <c r="G2680" s="1504" t="str">
        <f>G$2658&amp;"  "</f>
        <v xml:space="preserve">运输工具  </v>
      </c>
      <c r="H2680" s="309">
        <v>66163.77</v>
      </c>
      <c r="I2680" s="1463">
        <v>0</v>
      </c>
      <c r="J2680" s="1463">
        <v>0</v>
      </c>
      <c r="K2680" s="1463">
        <v>0</v>
      </c>
      <c r="L2680" s="309"/>
      <c r="M2680" s="309"/>
      <c r="N2680" s="320"/>
      <c r="O2680" s="309"/>
      <c r="P2680" s="1475">
        <f t="shared" si="295"/>
        <v>66163.77</v>
      </c>
      <c r="Q2680" s="442"/>
      <c r="R2680" s="443"/>
      <c r="S2680" s="364"/>
      <c r="Z2680" s="609" t="s">
        <v>1107</v>
      </c>
      <c r="AA2680" s="609" t="s">
        <v>3598</v>
      </c>
    </row>
    <row r="2681" spans="1:29" ht="18">
      <c r="A2681" s="2712"/>
      <c r="B2681" s="371">
        <v>103.004</v>
      </c>
      <c r="C2681" s="371" t="s">
        <v>2791</v>
      </c>
      <c r="D2681" s="2714">
        <f t="shared" si="290"/>
        <v>1</v>
      </c>
      <c r="E2681" s="2719" t="s">
        <v>3097</v>
      </c>
      <c r="F2681" s="294"/>
      <c r="G2681" s="1504" t="str">
        <f>G$2659&amp;"  "</f>
        <v xml:space="preserve">电子设备及其他  </v>
      </c>
      <c r="H2681" s="309">
        <v>601556.78</v>
      </c>
      <c r="I2681" s="1463">
        <v>0</v>
      </c>
      <c r="J2681" s="1463">
        <v>0</v>
      </c>
      <c r="K2681" s="1463">
        <v>0</v>
      </c>
      <c r="L2681" s="309"/>
      <c r="M2681" s="309"/>
      <c r="N2681" s="320"/>
      <c r="O2681" s="309"/>
      <c r="P2681" s="1475">
        <f t="shared" si="295"/>
        <v>601556.78</v>
      </c>
      <c r="Q2681" s="442"/>
      <c r="R2681" s="443"/>
      <c r="S2681" s="364"/>
      <c r="Z2681" s="609" t="s">
        <v>1107</v>
      </c>
      <c r="AA2681" s="609" t="s">
        <v>3598</v>
      </c>
    </row>
    <row r="2682" spans="1:29" ht="18">
      <c r="A2682" s="2712"/>
      <c r="B2682" s="371">
        <v>103.005</v>
      </c>
      <c r="C2682" s="371" t="s">
        <v>2791</v>
      </c>
      <c r="D2682" s="2714">
        <f t="shared" si="290"/>
        <v>1</v>
      </c>
      <c r="E2682" s="2719" t="s">
        <v>3097</v>
      </c>
      <c r="F2682" s="294"/>
      <c r="G2682" s="1504" t="str">
        <f>G$2660&amp;"  "</f>
        <v xml:space="preserve">*5（在原值处修改或清除）  </v>
      </c>
      <c r="H2682" s="309"/>
      <c r="I2682" s="1463">
        <v>0</v>
      </c>
      <c r="J2682" s="1463">
        <v>0</v>
      </c>
      <c r="K2682" s="1463">
        <v>0</v>
      </c>
      <c r="L2682" s="309"/>
      <c r="M2682" s="309"/>
      <c r="N2682" s="320"/>
      <c r="O2682" s="309"/>
      <c r="P2682" s="1475">
        <f t="shared" si="295"/>
        <v>0</v>
      </c>
      <c r="Q2682" s="442"/>
      <c r="R2682" s="443"/>
      <c r="S2682" s="364"/>
      <c r="Z2682" s="609" t="s">
        <v>1107</v>
      </c>
      <c r="AA2682" s="609" t="s">
        <v>3598</v>
      </c>
    </row>
    <row r="2683" spans="1:29" ht="18">
      <c r="A2683" s="2712"/>
      <c r="B2683" s="371">
        <v>103.006</v>
      </c>
      <c r="C2683" s="371" t="s">
        <v>2791</v>
      </c>
      <c r="D2683" s="2714">
        <f t="shared" si="290"/>
        <v>1</v>
      </c>
      <c r="E2683" s="2719" t="s">
        <v>3097</v>
      </c>
      <c r="F2683" s="294"/>
      <c r="G2683" s="1504" t="str">
        <f>G$2661&amp;"  "</f>
        <v xml:space="preserve">*6（在原值处修改或清除）  </v>
      </c>
      <c r="H2683" s="309"/>
      <c r="I2683" s="1463">
        <v>0</v>
      </c>
      <c r="J2683" s="1463">
        <v>0</v>
      </c>
      <c r="K2683" s="1463">
        <v>0</v>
      </c>
      <c r="L2683" s="309"/>
      <c r="M2683" s="309"/>
      <c r="N2683" s="320"/>
      <c r="O2683" s="309"/>
      <c r="P2683" s="1475">
        <f t="shared" si="295"/>
        <v>0</v>
      </c>
      <c r="Q2683" s="442"/>
      <c r="R2683" s="443"/>
      <c r="S2683" s="364"/>
      <c r="Z2683" s="609" t="s">
        <v>1107</v>
      </c>
      <c r="AA2683" s="609" t="s">
        <v>3598</v>
      </c>
    </row>
    <row r="2684" spans="1:29" ht="18">
      <c r="A2684" s="2712"/>
      <c r="B2684" s="371">
        <v>103.00700000000001</v>
      </c>
      <c r="C2684" s="371" t="s">
        <v>2791</v>
      </c>
      <c r="D2684" s="2714">
        <f t="shared" si="290"/>
        <v>1</v>
      </c>
      <c r="E2684" s="2719" t="s">
        <v>3097</v>
      </c>
      <c r="F2684" s="294"/>
      <c r="G2684" s="1504" t="str">
        <f>G$2662&amp;"  "</f>
        <v xml:space="preserve">*7（在原值处修改或清除）  </v>
      </c>
      <c r="H2684" s="309"/>
      <c r="I2684" s="1463">
        <v>0</v>
      </c>
      <c r="J2684" s="1463">
        <v>0</v>
      </c>
      <c r="K2684" s="1463">
        <v>0</v>
      </c>
      <c r="L2684" s="309"/>
      <c r="M2684" s="309"/>
      <c r="N2684" s="320"/>
      <c r="O2684" s="309"/>
      <c r="P2684" s="1475">
        <f t="shared" si="295"/>
        <v>0</v>
      </c>
      <c r="Q2684" s="442"/>
      <c r="R2684" s="443"/>
      <c r="S2684" s="364"/>
      <c r="Z2684" s="609" t="s">
        <v>1107</v>
      </c>
      <c r="AA2684" s="609" t="s">
        <v>3598</v>
      </c>
    </row>
    <row r="2685" spans="1:29" ht="18">
      <c r="A2685" s="2712"/>
      <c r="B2685" s="371">
        <v>103.008</v>
      </c>
      <c r="C2685" s="371" t="s">
        <v>2791</v>
      </c>
      <c r="D2685" s="2714">
        <f t="shared" si="290"/>
        <v>1</v>
      </c>
      <c r="E2685" s="2719" t="s">
        <v>3097</v>
      </c>
      <c r="F2685" s="294"/>
      <c r="G2685" s="1504" t="str">
        <f>G$2663&amp;"  "</f>
        <v xml:space="preserve">*8（在原值处修改或清除）  </v>
      </c>
      <c r="H2685" s="309"/>
      <c r="I2685" s="1463">
        <v>0</v>
      </c>
      <c r="J2685" s="1463">
        <v>0</v>
      </c>
      <c r="K2685" s="1463">
        <v>0</v>
      </c>
      <c r="L2685" s="309"/>
      <c r="M2685" s="309"/>
      <c r="N2685" s="320"/>
      <c r="O2685" s="309"/>
      <c r="P2685" s="1475">
        <f t="shared" si="295"/>
        <v>0</v>
      </c>
      <c r="Q2685" s="442"/>
      <c r="R2685" s="443"/>
      <c r="S2685" s="364"/>
      <c r="Z2685" s="609" t="s">
        <v>1107</v>
      </c>
      <c r="AA2685" s="609" t="s">
        <v>3598</v>
      </c>
    </row>
    <row r="2686" spans="1:29" ht="18">
      <c r="A2686" s="2712"/>
      <c r="B2686" s="371">
        <v>103.009</v>
      </c>
      <c r="C2686" s="371" t="s">
        <v>2791</v>
      </c>
      <c r="D2686" s="2714">
        <f t="shared" si="290"/>
        <v>1</v>
      </c>
      <c r="E2686" s="2719" t="s">
        <v>3097</v>
      </c>
      <c r="F2686" s="294"/>
      <c r="G2686" s="1504" t="str">
        <f>G$2664&amp;"  "</f>
        <v xml:space="preserve">*9（在原值处修改或清除）  </v>
      </c>
      <c r="H2686" s="309"/>
      <c r="I2686" s="1463">
        <v>0</v>
      </c>
      <c r="J2686" s="1463">
        <v>0</v>
      </c>
      <c r="K2686" s="1463">
        <v>0</v>
      </c>
      <c r="L2686" s="309"/>
      <c r="M2686" s="309"/>
      <c r="N2686" s="320"/>
      <c r="O2686" s="309"/>
      <c r="P2686" s="1475">
        <f t="shared" si="295"/>
        <v>0</v>
      </c>
      <c r="Q2686" s="442"/>
      <c r="R2686" s="443"/>
      <c r="S2686" s="364"/>
      <c r="Z2686" s="609" t="s">
        <v>1107</v>
      </c>
      <c r="AA2686" s="609" t="s">
        <v>3598</v>
      </c>
    </row>
    <row r="2687" spans="1:29" ht="18">
      <c r="A2687" s="2712"/>
      <c r="B2687" s="371">
        <v>103.999</v>
      </c>
      <c r="C2687" s="371" t="s">
        <v>2793</v>
      </c>
      <c r="D2687" s="2714">
        <f t="shared" si="290"/>
        <v>1</v>
      </c>
      <c r="E2687" s="2719">
        <v>-1</v>
      </c>
      <c r="F2687" s="294"/>
      <c r="G2687" s="632" t="s">
        <v>5143</v>
      </c>
      <c r="H2687" s="1474">
        <f t="shared" ref="H2687:P2687" si="296">SUMIF($E$2654:$E$2697,$G2687,H$2654:H$2697)</f>
        <v>47077149.619999997</v>
      </c>
      <c r="I2687" s="1481">
        <f t="shared" si="296"/>
        <v>0</v>
      </c>
      <c r="J2687" s="1481">
        <f t="shared" si="296"/>
        <v>0</v>
      </c>
      <c r="K2687" s="1481">
        <f t="shared" si="296"/>
        <v>0</v>
      </c>
      <c r="L2687" s="1474">
        <f t="shared" si="296"/>
        <v>5883475.4900000002</v>
      </c>
      <c r="M2687" s="1474">
        <f t="shared" si="296"/>
        <v>0</v>
      </c>
      <c r="N2687" s="1474">
        <f t="shared" si="296"/>
        <v>1164397.8999999999</v>
      </c>
      <c r="O2687" s="1474">
        <f t="shared" si="296"/>
        <v>0</v>
      </c>
      <c r="P2687" s="1475">
        <f t="shared" si="296"/>
        <v>51796227.210000001</v>
      </c>
      <c r="Q2687" s="1595" t="str">
        <f ca="1">HYPERLINK("#'"&amp;$G$1&amp;"'!"&amp;ADDRESS(ROW(Notes!L4887),COLUMN(Notes!L4887),4),"* 请勿删除此行！点击往勾稽单元格，F5+Enter返回")</f>
        <v>* 请勿删除此行！点击往勾稽单元格，F5+Enter返回</v>
      </c>
      <c r="R2687" s="443"/>
      <c r="S2687" s="364"/>
      <c r="Z2687" s="609" t="s">
        <v>1107</v>
      </c>
      <c r="AA2687" s="609" t="s">
        <v>3598</v>
      </c>
      <c r="AC2687" s="369" t="s">
        <v>2794</v>
      </c>
    </row>
    <row r="2688" spans="1:29" ht="18">
      <c r="A2688" s="2712"/>
      <c r="B2688" s="371">
        <v>104</v>
      </c>
      <c r="C2688" s="371"/>
      <c r="D2688" s="2714">
        <f t="shared" si="290"/>
        <v>1</v>
      </c>
      <c r="E2688" s="2719" t="s">
        <v>6562</v>
      </c>
      <c r="F2688" s="294"/>
      <c r="G2688" s="308" t="s">
        <v>3582</v>
      </c>
      <c r="H2688" s="309"/>
      <c r="I2688" s="309"/>
      <c r="J2688" s="309"/>
      <c r="K2688" s="309"/>
      <c r="L2688" s="309"/>
      <c r="M2688" s="309"/>
      <c r="N2688" s="320"/>
      <c r="O2688" s="309"/>
      <c r="P2688" s="1475"/>
      <c r="Q2688" s="442"/>
      <c r="R2688" s="443"/>
      <c r="S2688" s="364"/>
      <c r="Z2688" s="609" t="s">
        <v>1107</v>
      </c>
      <c r="AA2688" s="609" t="s">
        <v>3598</v>
      </c>
    </row>
    <row r="2689" spans="1:29" ht="18">
      <c r="A2689" s="2712"/>
      <c r="B2689" s="371">
        <v>105</v>
      </c>
      <c r="C2689" s="371"/>
      <c r="D2689" s="2714">
        <f t="shared" si="290"/>
        <v>1</v>
      </c>
      <c r="E2689" s="2719">
        <v>0</v>
      </c>
      <c r="F2689" s="294"/>
      <c r="G2689" s="1504" t="str">
        <f>G$2656&amp;"   "</f>
        <v xml:space="preserve">房屋及建筑物   </v>
      </c>
      <c r="H2689" s="1474">
        <f>H2656-H2667-H2678</f>
        <v>26883697.109999999</v>
      </c>
      <c r="I2689" s="1463">
        <v>0</v>
      </c>
      <c r="J2689" s="1463">
        <v>0</v>
      </c>
      <c r="K2689" s="1463">
        <v>0</v>
      </c>
      <c r="L2689" s="1463">
        <v>0</v>
      </c>
      <c r="M2689" s="1463">
        <v>0</v>
      </c>
      <c r="N2689" s="1463">
        <v>0</v>
      </c>
      <c r="O2689" s="1463">
        <v>0</v>
      </c>
      <c r="P2689" s="1475">
        <f>P2656-P2667-P2678</f>
        <v>25153401.5</v>
      </c>
      <c r="Q2689" s="442"/>
      <c r="R2689" s="443"/>
      <c r="S2689" s="364"/>
      <c r="Z2689" s="609" t="s">
        <v>1107</v>
      </c>
      <c r="AA2689" s="609" t="s">
        <v>3598</v>
      </c>
    </row>
    <row r="2690" spans="1:29" ht="18">
      <c r="A2690" s="2712"/>
      <c r="B2690" s="371">
        <v>106</v>
      </c>
      <c r="C2690" s="371"/>
      <c r="D2690" s="2714">
        <f t="shared" si="290"/>
        <v>1</v>
      </c>
      <c r="E2690" s="2719">
        <v>0</v>
      </c>
      <c r="F2690" s="294"/>
      <c r="G2690" s="1504" t="str">
        <f>G$2657&amp;"   "</f>
        <v xml:space="preserve">机器设备   </v>
      </c>
      <c r="H2690" s="1474">
        <f t="shared" ref="H2690:H2697" si="297">H2657-H2668-H2679</f>
        <v>71201676.099999994</v>
      </c>
      <c r="I2690" s="1463">
        <v>0</v>
      </c>
      <c r="J2690" s="1463">
        <v>0</v>
      </c>
      <c r="K2690" s="1463">
        <v>0</v>
      </c>
      <c r="L2690" s="1463">
        <v>0</v>
      </c>
      <c r="M2690" s="1463">
        <v>0</v>
      </c>
      <c r="N2690" s="1463">
        <v>0</v>
      </c>
      <c r="O2690" s="1463">
        <v>0</v>
      </c>
      <c r="P2690" s="1475">
        <f t="shared" ref="P2690:P2697" si="298">P2657-P2668-P2679</f>
        <v>53943958.869999997</v>
      </c>
      <c r="Q2690" s="442"/>
      <c r="R2690" s="443"/>
      <c r="S2690" s="364"/>
      <c r="Z2690" s="609" t="s">
        <v>1107</v>
      </c>
      <c r="AA2690" s="609" t="s">
        <v>3598</v>
      </c>
    </row>
    <row r="2691" spans="1:29" ht="18">
      <c r="A2691" s="2712"/>
      <c r="B2691" s="371">
        <v>107</v>
      </c>
      <c r="C2691" s="371"/>
      <c r="D2691" s="2714">
        <f t="shared" si="290"/>
        <v>1</v>
      </c>
      <c r="E2691" s="2719">
        <v>0</v>
      </c>
      <c r="F2691" s="294"/>
      <c r="G2691" s="1504" t="str">
        <f>G$2658&amp;"   "</f>
        <v xml:space="preserve">运输工具   </v>
      </c>
      <c r="H2691" s="1474">
        <f t="shared" si="297"/>
        <v>306448.02</v>
      </c>
      <c r="I2691" s="1463">
        <v>0</v>
      </c>
      <c r="J2691" s="1463">
        <v>0</v>
      </c>
      <c r="K2691" s="1463">
        <v>0</v>
      </c>
      <c r="L2691" s="1463">
        <v>0</v>
      </c>
      <c r="M2691" s="1463">
        <v>0</v>
      </c>
      <c r="N2691" s="1463">
        <v>0</v>
      </c>
      <c r="O2691" s="1463">
        <v>0</v>
      </c>
      <c r="P2691" s="1475">
        <f t="shared" si="298"/>
        <v>271015.01</v>
      </c>
      <c r="Q2691" s="442"/>
      <c r="R2691" s="443"/>
      <c r="S2691" s="364"/>
      <c r="Z2691" s="609" t="s">
        <v>1107</v>
      </c>
      <c r="AA2691" s="609" t="s">
        <v>3598</v>
      </c>
    </row>
    <row r="2692" spans="1:29" ht="18">
      <c r="A2692" s="2712"/>
      <c r="B2692" s="371">
        <v>108</v>
      </c>
      <c r="C2692" s="371" t="s">
        <v>2791</v>
      </c>
      <c r="D2692" s="2714">
        <f t="shared" si="290"/>
        <v>1</v>
      </c>
      <c r="E2692" s="2719">
        <v>0</v>
      </c>
      <c r="F2692" s="294"/>
      <c r="G2692" s="1504" t="str">
        <f>G$2659&amp;"   "</f>
        <v xml:space="preserve">电子设备及其他   </v>
      </c>
      <c r="H2692" s="1474">
        <f t="shared" si="297"/>
        <v>754550.05</v>
      </c>
      <c r="I2692" s="1463">
        <v>0</v>
      </c>
      <c r="J2692" s="1463">
        <v>0</v>
      </c>
      <c r="K2692" s="1463">
        <v>0</v>
      </c>
      <c r="L2692" s="1463">
        <v>0</v>
      </c>
      <c r="M2692" s="1463">
        <v>0</v>
      </c>
      <c r="N2692" s="1463">
        <v>0</v>
      </c>
      <c r="O2692" s="1463">
        <v>0</v>
      </c>
      <c r="P2692" s="1475">
        <f t="shared" si="298"/>
        <v>661111.48</v>
      </c>
      <c r="Q2692" s="442"/>
      <c r="R2692" s="443"/>
      <c r="S2692" s="364"/>
      <c r="Z2692" s="609" t="s">
        <v>1107</v>
      </c>
      <c r="AA2692" s="609" t="s">
        <v>3598</v>
      </c>
    </row>
    <row r="2693" spans="1:29" ht="18">
      <c r="A2693" s="2712"/>
      <c r="B2693" s="371">
        <v>109</v>
      </c>
      <c r="C2693" s="371" t="s">
        <v>2791</v>
      </c>
      <c r="D2693" s="2714">
        <f t="shared" si="290"/>
        <v>1</v>
      </c>
      <c r="E2693" s="2719">
        <v>0</v>
      </c>
      <c r="F2693" s="294"/>
      <c r="G2693" s="1504" t="str">
        <f>G$2660&amp;"   "</f>
        <v xml:space="preserve">*5（在原值处修改或清除）   </v>
      </c>
      <c r="H2693" s="1474">
        <f t="shared" si="297"/>
        <v>0</v>
      </c>
      <c r="I2693" s="1463">
        <v>0</v>
      </c>
      <c r="J2693" s="1463">
        <v>0</v>
      </c>
      <c r="K2693" s="1463">
        <v>0</v>
      </c>
      <c r="L2693" s="1463">
        <v>0</v>
      </c>
      <c r="M2693" s="1463">
        <v>0</v>
      </c>
      <c r="N2693" s="1463">
        <v>0</v>
      </c>
      <c r="O2693" s="1463">
        <v>0</v>
      </c>
      <c r="P2693" s="1475">
        <f t="shared" si="298"/>
        <v>0</v>
      </c>
      <c r="Q2693" s="442"/>
      <c r="R2693" s="443"/>
      <c r="S2693" s="364"/>
      <c r="Z2693" s="609" t="s">
        <v>1107</v>
      </c>
      <c r="AA2693" s="609" t="s">
        <v>3598</v>
      </c>
    </row>
    <row r="2694" spans="1:29" ht="18">
      <c r="A2694" s="2712"/>
      <c r="B2694" s="371">
        <v>110</v>
      </c>
      <c r="C2694" s="371" t="s">
        <v>2791</v>
      </c>
      <c r="D2694" s="2714">
        <f t="shared" si="290"/>
        <v>1</v>
      </c>
      <c r="E2694" s="2719">
        <v>0</v>
      </c>
      <c r="F2694" s="294"/>
      <c r="G2694" s="1504" t="str">
        <f>G$2661&amp;"   "</f>
        <v xml:space="preserve">*6（在原值处修改或清除）   </v>
      </c>
      <c r="H2694" s="1474">
        <f t="shared" si="297"/>
        <v>0</v>
      </c>
      <c r="I2694" s="1463">
        <v>0</v>
      </c>
      <c r="J2694" s="1463">
        <v>0</v>
      </c>
      <c r="K2694" s="1463">
        <v>0</v>
      </c>
      <c r="L2694" s="1463">
        <v>0</v>
      </c>
      <c r="M2694" s="1463">
        <v>0</v>
      </c>
      <c r="N2694" s="1463">
        <v>0</v>
      </c>
      <c r="O2694" s="1463">
        <v>0</v>
      </c>
      <c r="P2694" s="1475">
        <f t="shared" si="298"/>
        <v>0</v>
      </c>
      <c r="Q2694" s="442"/>
      <c r="R2694" s="443"/>
      <c r="S2694" s="364"/>
      <c r="Z2694" s="609" t="s">
        <v>1107</v>
      </c>
      <c r="AA2694" s="609" t="s">
        <v>3598</v>
      </c>
    </row>
    <row r="2695" spans="1:29" ht="18">
      <c r="A2695" s="2712"/>
      <c r="B2695" s="371">
        <v>111</v>
      </c>
      <c r="C2695" s="371" t="s">
        <v>2791</v>
      </c>
      <c r="D2695" s="2714">
        <f t="shared" si="290"/>
        <v>1</v>
      </c>
      <c r="E2695" s="2719">
        <v>0</v>
      </c>
      <c r="F2695" s="294"/>
      <c r="G2695" s="1504" t="str">
        <f>G$2662&amp;"   "</f>
        <v xml:space="preserve">*7（在原值处修改或清除）   </v>
      </c>
      <c r="H2695" s="1474">
        <f t="shared" si="297"/>
        <v>0</v>
      </c>
      <c r="I2695" s="1463">
        <v>0</v>
      </c>
      <c r="J2695" s="1463">
        <v>0</v>
      </c>
      <c r="K2695" s="1463">
        <v>0</v>
      </c>
      <c r="L2695" s="1463">
        <v>0</v>
      </c>
      <c r="M2695" s="1463">
        <v>0</v>
      </c>
      <c r="N2695" s="1463">
        <v>0</v>
      </c>
      <c r="O2695" s="1463">
        <v>0</v>
      </c>
      <c r="P2695" s="1475">
        <f t="shared" si="298"/>
        <v>0</v>
      </c>
      <c r="Q2695" s="442"/>
      <c r="R2695" s="443"/>
      <c r="S2695" s="364"/>
      <c r="Z2695" s="609" t="s">
        <v>1107</v>
      </c>
      <c r="AA2695" s="609" t="s">
        <v>3598</v>
      </c>
    </row>
    <row r="2696" spans="1:29" ht="18">
      <c r="A2696" s="2712"/>
      <c r="B2696" s="371">
        <v>112</v>
      </c>
      <c r="C2696" s="371" t="s">
        <v>2791</v>
      </c>
      <c r="D2696" s="2714">
        <f t="shared" si="290"/>
        <v>1</v>
      </c>
      <c r="E2696" s="2719">
        <v>0</v>
      </c>
      <c r="F2696" s="294"/>
      <c r="G2696" s="1504" t="str">
        <f>G$2663&amp;"   "</f>
        <v xml:space="preserve">*8（在原值处修改或清除）   </v>
      </c>
      <c r="H2696" s="1474">
        <f t="shared" si="297"/>
        <v>0</v>
      </c>
      <c r="I2696" s="1463">
        <v>0</v>
      </c>
      <c r="J2696" s="1463">
        <v>0</v>
      </c>
      <c r="K2696" s="1463">
        <v>0</v>
      </c>
      <c r="L2696" s="1463">
        <v>0</v>
      </c>
      <c r="M2696" s="1463">
        <v>0</v>
      </c>
      <c r="N2696" s="1463">
        <v>0</v>
      </c>
      <c r="O2696" s="1463">
        <v>0</v>
      </c>
      <c r="P2696" s="1475">
        <f t="shared" si="298"/>
        <v>0</v>
      </c>
      <c r="Q2696" s="442"/>
      <c r="R2696" s="443"/>
      <c r="S2696" s="364"/>
      <c r="Z2696" s="609" t="s">
        <v>1107</v>
      </c>
      <c r="AA2696" s="609" t="s">
        <v>3598</v>
      </c>
    </row>
    <row r="2697" spans="1:29" ht="18">
      <c r="A2697" s="2712"/>
      <c r="B2697" s="371">
        <v>113</v>
      </c>
      <c r="C2697" s="371" t="s">
        <v>2791</v>
      </c>
      <c r="D2697" s="2714">
        <f t="shared" si="290"/>
        <v>1</v>
      </c>
      <c r="E2697" s="2719">
        <v>0</v>
      </c>
      <c r="F2697" s="294"/>
      <c r="G2697" s="1504" t="str">
        <f>G$2664&amp;"   "</f>
        <v xml:space="preserve">*9（在原值处修改或清除）   </v>
      </c>
      <c r="H2697" s="1474">
        <f t="shared" si="297"/>
        <v>0</v>
      </c>
      <c r="I2697" s="1463">
        <v>0</v>
      </c>
      <c r="J2697" s="1463">
        <v>0</v>
      </c>
      <c r="K2697" s="1463">
        <v>0</v>
      </c>
      <c r="L2697" s="1463">
        <v>0</v>
      </c>
      <c r="M2697" s="1463">
        <v>0</v>
      </c>
      <c r="N2697" s="1463">
        <v>0</v>
      </c>
      <c r="O2697" s="1463">
        <v>0</v>
      </c>
      <c r="P2697" s="1475">
        <f t="shared" si="298"/>
        <v>0</v>
      </c>
      <c r="Q2697" s="442"/>
      <c r="R2697" s="443"/>
      <c r="S2697" s="364"/>
      <c r="Z2697" s="609" t="s">
        <v>1107</v>
      </c>
      <c r="AA2697" s="609" t="s">
        <v>3598</v>
      </c>
    </row>
    <row r="2698" spans="1:29" ht="18.75" thickBot="1">
      <c r="A2698" s="2712"/>
      <c r="B2698" s="371"/>
      <c r="C2698" s="371"/>
      <c r="D2698" s="2714">
        <f t="shared" si="290"/>
        <v>1</v>
      </c>
      <c r="E2698" s="2719" t="s">
        <v>2751</v>
      </c>
      <c r="F2698" s="293"/>
      <c r="G2698" s="2343" t="s">
        <v>2863</v>
      </c>
      <c r="H2698" s="1476">
        <f t="shared" ref="H2698:P2698" si="299">SUMPRODUCT($E2654:$E2697,H2654:H2697)</f>
        <v>99146371.280000001</v>
      </c>
      <c r="I2698" s="1476">
        <f t="shared" si="299"/>
        <v>5427877.96</v>
      </c>
      <c r="J2698" s="1476">
        <f t="shared" si="299"/>
        <v>1117592.92</v>
      </c>
      <c r="K2698" s="1476">
        <f t="shared" si="299"/>
        <v>0</v>
      </c>
      <c r="L2698" s="1476">
        <f t="shared" si="299"/>
        <v>-24089089.600000001</v>
      </c>
      <c r="M2698" s="1476">
        <f t="shared" si="299"/>
        <v>0</v>
      </c>
      <c r="N2698" s="1476">
        <f t="shared" si="299"/>
        <v>1573265.7</v>
      </c>
      <c r="O2698" s="1476">
        <f t="shared" si="299"/>
        <v>0</v>
      </c>
      <c r="P2698" s="1477">
        <f t="shared" si="299"/>
        <v>80029486.859999999</v>
      </c>
      <c r="Q2698" s="1595" t="str">
        <f ca="1">HYPERLINK("#'"&amp;$G$1&amp;"'!"&amp;ADDRESS(ROW(Notes!K2644),COLUMN(Notes!K2644),4),"* 请勿删除此行！点击往勾稽单元格，F5+Enter返回")</f>
        <v>* 请勿删除此行！点击往勾稽单元格，F5+Enter返回</v>
      </c>
      <c r="R2698" s="443"/>
      <c r="S2698" s="364"/>
      <c r="Z2698" s="609" t="s">
        <v>1107</v>
      </c>
      <c r="AA2698" s="609" t="s">
        <v>3598</v>
      </c>
      <c r="AC2698" s="369" t="s">
        <v>6571</v>
      </c>
    </row>
    <row r="2699" spans="1:29" ht="18.75" thickBot="1">
      <c r="A2699" s="2712"/>
      <c r="B2699" s="371"/>
      <c r="C2699" s="371" t="s">
        <v>2755</v>
      </c>
      <c r="D2699" s="2714"/>
      <c r="F2699" s="293"/>
      <c r="G2699" s="376"/>
      <c r="H2699" s="527" t="s">
        <v>3002</v>
      </c>
      <c r="I2699" s="396"/>
      <c r="J2699" s="315"/>
      <c r="K2699" s="423"/>
      <c r="L2699" s="315"/>
      <c r="M2699" s="315"/>
      <c r="N2699" s="577"/>
      <c r="O2699" s="425"/>
      <c r="P2699" s="486" t="s">
        <v>3002</v>
      </c>
      <c r="Q2699" s="442"/>
      <c r="R2699" s="443"/>
      <c r="S2699" s="364"/>
      <c r="Z2699" s="609" t="s">
        <v>1107</v>
      </c>
      <c r="AA2699" s="609" t="s">
        <v>3598</v>
      </c>
    </row>
    <row r="2700" spans="1:29" ht="18.75" thickTop="1">
      <c r="A2700" s="2712"/>
      <c r="B2700" s="371"/>
      <c r="C2700" s="371" t="s">
        <v>2565</v>
      </c>
      <c r="D2700" s="2714"/>
      <c r="F2700" s="293"/>
      <c r="G2700" s="1547" t="s">
        <v>5367</v>
      </c>
      <c r="H2700" s="1548"/>
      <c r="I2700" s="1549"/>
      <c r="J2700" s="1549"/>
      <c r="K2700" s="1549"/>
      <c r="L2700" s="1549"/>
      <c r="M2700" s="1549"/>
      <c r="N2700" s="1549"/>
      <c r="O2700" s="1549"/>
      <c r="P2700" s="1550"/>
      <c r="Q2700" s="1551" t="s">
        <v>5366</v>
      </c>
      <c r="R2700" s="442"/>
      <c r="S2700" s="364"/>
      <c r="Z2700" s="609" t="s">
        <v>1107</v>
      </c>
      <c r="AA2700" s="609" t="s">
        <v>3598</v>
      </c>
    </row>
    <row r="2701" spans="1:29" ht="18">
      <c r="A2701" s="2712"/>
      <c r="B2701" s="371"/>
      <c r="C2701" s="371" t="s">
        <v>2565</v>
      </c>
      <c r="D2701" s="2714"/>
      <c r="F2701" s="293"/>
      <c r="G2701" s="604" t="str">
        <f>"本注释A:"&amp; "账面价值分类加计"</f>
        <v>本注释A:账面价值分类加计</v>
      </c>
      <c r="H2701" s="456">
        <f>SUM(H2689:H2697)</f>
        <v>99146371.280000001</v>
      </c>
      <c r="I2701" s="351"/>
      <c r="J2701" s="351"/>
      <c r="K2701" s="351"/>
      <c r="L2701" s="351"/>
      <c r="M2701" s="351"/>
      <c r="N2701" s="1541"/>
      <c r="O2701" s="1541"/>
      <c r="P2701" s="1542">
        <f>SUM(P2689:P2697)</f>
        <v>80029486.859999999</v>
      </c>
      <c r="Q2701" s="1542"/>
      <c r="R2701" s="442"/>
      <c r="S2701" s="364"/>
      <c r="Z2701" s="609" t="s">
        <v>1107</v>
      </c>
      <c r="AA2701" s="609" t="s">
        <v>3598</v>
      </c>
    </row>
    <row r="2702" spans="1:29" ht="18">
      <c r="A2702" s="2712"/>
      <c r="B2702" s="371"/>
      <c r="C2702" s="371" t="s">
        <v>2565</v>
      </c>
      <c r="D2702" s="2714"/>
      <c r="F2702" s="293"/>
      <c r="G2702" s="604" t="str">
        <f>"本注释B:"&amp; G2698</f>
        <v>本注释B:账面价值</v>
      </c>
      <c r="H2702" s="456">
        <f>H2698</f>
        <v>99146371.280000001</v>
      </c>
      <c r="I2702" s="351"/>
      <c r="J2702" s="351"/>
      <c r="K2702" s="351"/>
      <c r="L2702" s="351"/>
      <c r="M2702" s="351"/>
      <c r="N2702" s="1541"/>
      <c r="O2702" s="1541"/>
      <c r="P2702" s="1542">
        <f>P2698</f>
        <v>80029486.859999999</v>
      </c>
      <c r="Q2702" s="1542" t="s">
        <v>1105</v>
      </c>
      <c r="R2702" s="442"/>
      <c r="S2702" s="364"/>
      <c r="Z2702" s="609" t="s">
        <v>1107</v>
      </c>
      <c r="AA2702" s="609" t="s">
        <v>3598</v>
      </c>
    </row>
    <row r="2703" spans="1:29" ht="18.75" thickBot="1">
      <c r="A2703" s="2712"/>
      <c r="B2703" s="371"/>
      <c r="C2703" s="371" t="s">
        <v>2565</v>
      </c>
      <c r="D2703" s="2714"/>
      <c r="F2703" s="293"/>
      <c r="G2703" s="1552" t="s">
        <v>2757</v>
      </c>
      <c r="H2703" s="1529">
        <f>IF(AND(H2701="",H2702=""),"",ROUND(H2701-H2702,2))</f>
        <v>0</v>
      </c>
      <c r="I2703" s="1553"/>
      <c r="J2703" s="1553"/>
      <c r="K2703" s="1553"/>
      <c r="L2703" s="1553"/>
      <c r="M2703" s="1553"/>
      <c r="N2703" s="1554"/>
      <c r="O2703" s="1554"/>
      <c r="P2703" s="1555">
        <f>IF(AND(P2701="",P2702=""),"",ROUND(P2701-P2702,2))</f>
        <v>0</v>
      </c>
      <c r="Q2703" s="1554"/>
      <c r="R2703" s="442"/>
      <c r="S2703" s="364"/>
      <c r="Z2703" s="609" t="s">
        <v>1107</v>
      </c>
      <c r="AA2703" s="609" t="s">
        <v>3598</v>
      </c>
    </row>
    <row r="2704" spans="1:29" ht="18.75" thickTop="1">
      <c r="A2704" s="2712"/>
      <c r="B2704" s="371"/>
      <c r="C2704" s="371" t="s">
        <v>2565</v>
      </c>
      <c r="D2704" s="2714"/>
      <c r="F2704" s="293"/>
      <c r="G2704" s="1543"/>
      <c r="H2704" s="459" t="str">
        <f>IF(OR(H2703=0,H2703=""),"√","？")</f>
        <v>√</v>
      </c>
      <c r="I2704" s="317"/>
      <c r="J2704" s="317"/>
      <c r="K2704" s="317"/>
      <c r="L2704" s="317"/>
      <c r="M2704" s="317"/>
      <c r="N2704" s="1545"/>
      <c r="O2704" s="1545"/>
      <c r="P2704" s="1556" t="str">
        <f>IF(OR(P2703=0,P2703=""),"√","？")</f>
        <v>√</v>
      </c>
      <c r="Q2704" s="1544"/>
      <c r="R2704" s="442"/>
      <c r="S2704" s="364"/>
      <c r="Z2704" s="609" t="s">
        <v>1107</v>
      </c>
      <c r="AA2704" s="609" t="s">
        <v>3598</v>
      </c>
    </row>
    <row r="2705" spans="1:27" ht="18">
      <c r="A2705" s="2712"/>
      <c r="B2705" s="371"/>
      <c r="C2705" s="371" t="s">
        <v>2565</v>
      </c>
      <c r="D2705" s="2714"/>
      <c r="F2705" s="293"/>
      <c r="G2705" s="1557" t="s">
        <v>2759</v>
      </c>
      <c r="H2705" s="461"/>
      <c r="I2705" s="317"/>
      <c r="J2705" s="317"/>
      <c r="K2705" s="352">
        <f>SUMIF($H$2704:$Q$2704,"&lt;&gt;√",$H$2703:$Q$2703)</f>
        <v>0</v>
      </c>
      <c r="L2705" s="353" t="str">
        <f>IF(OR(K2705=0,K2705=""),"√","？")</f>
        <v>√</v>
      </c>
      <c r="M2705" s="317"/>
      <c r="N2705" s="1545"/>
      <c r="O2705" s="1545"/>
      <c r="P2705" s="1546"/>
      <c r="Q2705" s="1544"/>
      <c r="R2705" s="442"/>
      <c r="S2705" s="364"/>
      <c r="Z2705" s="609" t="s">
        <v>1107</v>
      </c>
      <c r="AA2705" s="609" t="s">
        <v>3598</v>
      </c>
    </row>
    <row r="2706" spans="1:27" ht="18">
      <c r="A2706" s="2712"/>
      <c r="B2706" s="371"/>
      <c r="C2706" s="371" t="s">
        <v>2565</v>
      </c>
      <c r="D2706" s="2714"/>
      <c r="F2706" s="293"/>
      <c r="G2706" s="1543"/>
      <c r="H2706" s="461"/>
      <c r="I2706" s="317"/>
      <c r="J2706" s="317"/>
      <c r="K2706" s="317"/>
      <c r="L2706" s="317"/>
      <c r="M2706" s="317"/>
      <c r="N2706" s="1545"/>
      <c r="O2706" s="1545"/>
      <c r="P2706" s="1546"/>
      <c r="Q2706" s="1544"/>
      <c r="R2706" s="442"/>
      <c r="S2706" s="364"/>
      <c r="Z2706" s="609" t="s">
        <v>1107</v>
      </c>
      <c r="AA2706" s="609" t="s">
        <v>3598</v>
      </c>
    </row>
    <row r="2707" spans="1:27" ht="24">
      <c r="A2707" s="2712" t="s">
        <v>1116</v>
      </c>
      <c r="B2707" s="371">
        <v>2</v>
      </c>
      <c r="C2707" s="371"/>
      <c r="D2707" s="2714" t="str">
        <f>VLOOKUP($A2707,Sheet_NoteList,2,0)</f>
        <v>暂时闲置的固定资产情况</v>
      </c>
      <c r="E2707" s="2714" t="s">
        <v>2742</v>
      </c>
      <c r="F2707" s="294"/>
      <c r="G2707" s="1517" t="str">
        <f>"("&amp;B2707&amp;")"&amp;D2707</f>
        <v>(2)暂时闲置的固定资产情况</v>
      </c>
      <c r="H2707" s="1515" t="str">
        <f>$A2707</f>
        <v>1601b</v>
      </c>
      <c r="I2707" s="343" t="s">
        <v>2743</v>
      </c>
      <c r="J2707" s="301" t="s">
        <v>2744</v>
      </c>
      <c r="K2707" s="2208">
        <f>K2719</f>
        <v>0</v>
      </c>
      <c r="L2707" s="345" t="str">
        <f>IF($I2707="适用",IF(ROUND(K$2649-K2707,2)&gt;=0,"","#Logical!"),"#N/A")</f>
        <v/>
      </c>
      <c r="M2707" s="301"/>
      <c r="N2707" s="3083"/>
      <c r="O2707" s="315"/>
      <c r="P2707" s="301"/>
      <c r="Q2707" s="290" t="str">
        <f>IF($I2707="不适用","",IF(ROUND(SUM($H$2710:$L$2719),2)=0,"请输入",""))</f>
        <v>请输入</v>
      </c>
      <c r="S2707" s="364"/>
      <c r="Z2707" s="609" t="s">
        <v>1107</v>
      </c>
      <c r="AA2707" s="609" t="s">
        <v>3598</v>
      </c>
    </row>
    <row r="2708" spans="1:27" ht="0.75" customHeight="1" thickBot="1">
      <c r="A2708" s="2712"/>
      <c r="B2708" s="371"/>
      <c r="C2708" s="371"/>
      <c r="D2708" s="371"/>
      <c r="E2708" s="586"/>
      <c r="F2708" s="518"/>
      <c r="G2708" s="518" t="s">
        <v>3623</v>
      </c>
      <c r="H2708" s="1478" t="s">
        <v>3624</v>
      </c>
      <c r="I2708" s="304" t="s">
        <v>3625</v>
      </c>
      <c r="J2708" s="304" t="s">
        <v>3626</v>
      </c>
      <c r="K2708" s="304" t="s">
        <v>3627</v>
      </c>
      <c r="L2708" s="304" t="s">
        <v>3145</v>
      </c>
      <c r="M2708" s="291"/>
      <c r="N2708" s="291"/>
      <c r="O2708" s="291"/>
      <c r="P2708" s="291"/>
      <c r="S2708" s="364"/>
      <c r="Z2708" s="609" t="s">
        <v>1107</v>
      </c>
      <c r="AA2708" s="609" t="s">
        <v>3598</v>
      </c>
    </row>
    <row r="2709" spans="1:27" ht="18">
      <c r="A2709" s="2712"/>
      <c r="B2709" s="371"/>
      <c r="C2709" s="371"/>
      <c r="D2709" s="371"/>
      <c r="E2709" s="586" t="s">
        <v>2749</v>
      </c>
      <c r="F2709" s="363"/>
      <c r="G2709" s="2287" t="s">
        <v>47</v>
      </c>
      <c r="H2709" s="2309" t="s">
        <v>6033</v>
      </c>
      <c r="I2709" s="2289" t="s">
        <v>486</v>
      </c>
      <c r="J2709" s="2289" t="s">
        <v>3097</v>
      </c>
      <c r="K2709" s="2289" t="s">
        <v>2863</v>
      </c>
      <c r="L2709" s="2291" t="s">
        <v>2508</v>
      </c>
      <c r="M2709" s="355" t="s">
        <v>5286</v>
      </c>
      <c r="N2709" s="291"/>
      <c r="O2709" s="291"/>
      <c r="P2709" s="291"/>
      <c r="S2709" s="364"/>
      <c r="Z2709" s="609" t="s">
        <v>1107</v>
      </c>
      <c r="AA2709" s="609" t="s">
        <v>3598</v>
      </c>
    </row>
    <row r="2710" spans="1:27" ht="18">
      <c r="A2710" s="2712"/>
      <c r="B2710" s="371">
        <v>101</v>
      </c>
      <c r="C2710" s="371" t="s">
        <v>2791</v>
      </c>
      <c r="D2710" s="2714">
        <f t="shared" ref="D2710:D2719" si="300">IF(OR(G2710="*",G2710="",G2710=0),0,COUNTIF($G$2710:$G$2719,G2710))</f>
        <v>0</v>
      </c>
      <c r="E2710" s="2719">
        <v>1</v>
      </c>
      <c r="F2710" s="294"/>
      <c r="G2710" s="2282" t="s">
        <v>5144</v>
      </c>
      <c r="H2710" s="2273"/>
      <c r="I2710" s="2273"/>
      <c r="J2710" s="2273"/>
      <c r="K2710" s="1474">
        <f t="shared" ref="K2710:K2718" si="301">H2710-I2710-J2710</f>
        <v>0</v>
      </c>
      <c r="L2710" s="2274"/>
      <c r="M2710" s="291"/>
      <c r="N2710" s="291"/>
      <c r="O2710" s="291"/>
      <c r="P2710" s="291"/>
      <c r="S2710" s="364"/>
      <c r="Z2710" s="609" t="s">
        <v>1107</v>
      </c>
      <c r="AA2710" s="609" t="s">
        <v>3598</v>
      </c>
    </row>
    <row r="2711" spans="1:27" ht="18">
      <c r="A2711" s="2712"/>
      <c r="B2711" s="371">
        <v>102</v>
      </c>
      <c r="C2711" s="371" t="s">
        <v>2791</v>
      </c>
      <c r="D2711" s="2714">
        <f t="shared" si="300"/>
        <v>0</v>
      </c>
      <c r="E2711" s="2719">
        <v>1</v>
      </c>
      <c r="F2711" s="294"/>
      <c r="G2711" s="2282" t="s">
        <v>5144</v>
      </c>
      <c r="H2711" s="2273"/>
      <c r="I2711" s="2273"/>
      <c r="J2711" s="2273"/>
      <c r="K2711" s="1474">
        <f t="shared" si="301"/>
        <v>0</v>
      </c>
      <c r="L2711" s="2274"/>
      <c r="M2711" s="291"/>
      <c r="N2711" s="291"/>
      <c r="O2711" s="291"/>
      <c r="P2711" s="291"/>
      <c r="S2711" s="364"/>
      <c r="Z2711" s="609" t="s">
        <v>1107</v>
      </c>
      <c r="AA2711" s="609" t="s">
        <v>3598</v>
      </c>
    </row>
    <row r="2712" spans="1:27" ht="18">
      <c r="A2712" s="2712"/>
      <c r="B2712" s="371">
        <v>103</v>
      </c>
      <c r="C2712" s="371" t="s">
        <v>2791</v>
      </c>
      <c r="D2712" s="2714">
        <f t="shared" si="300"/>
        <v>0</v>
      </c>
      <c r="E2712" s="2719">
        <v>1</v>
      </c>
      <c r="F2712" s="294"/>
      <c r="G2712" s="2282" t="s">
        <v>5144</v>
      </c>
      <c r="H2712" s="2273"/>
      <c r="I2712" s="2273"/>
      <c r="J2712" s="2273"/>
      <c r="K2712" s="1474">
        <f t="shared" si="301"/>
        <v>0</v>
      </c>
      <c r="L2712" s="2274"/>
      <c r="M2712" s="291"/>
      <c r="N2712" s="291"/>
      <c r="O2712" s="291"/>
      <c r="P2712" s="291"/>
      <c r="S2712" s="364"/>
      <c r="Z2712" s="609" t="s">
        <v>1107</v>
      </c>
      <c r="AA2712" s="609" t="s">
        <v>3598</v>
      </c>
    </row>
    <row r="2713" spans="1:27" ht="18">
      <c r="A2713" s="2712"/>
      <c r="B2713" s="371">
        <v>104</v>
      </c>
      <c r="C2713" s="371" t="s">
        <v>2791</v>
      </c>
      <c r="D2713" s="2714">
        <f t="shared" si="300"/>
        <v>0</v>
      </c>
      <c r="E2713" s="2719">
        <v>1</v>
      </c>
      <c r="F2713" s="294"/>
      <c r="G2713" s="2282" t="s">
        <v>5144</v>
      </c>
      <c r="H2713" s="2273"/>
      <c r="I2713" s="2273"/>
      <c r="J2713" s="2273"/>
      <c r="K2713" s="1474">
        <f t="shared" si="301"/>
        <v>0</v>
      </c>
      <c r="L2713" s="2274"/>
      <c r="M2713" s="291"/>
      <c r="N2713" s="291"/>
      <c r="O2713" s="291"/>
      <c r="P2713" s="291"/>
      <c r="S2713" s="364"/>
      <c r="Z2713" s="609" t="s">
        <v>1107</v>
      </c>
      <c r="AA2713" s="609" t="s">
        <v>3598</v>
      </c>
    </row>
    <row r="2714" spans="1:27" ht="18">
      <c r="A2714" s="2712"/>
      <c r="B2714" s="371">
        <v>105</v>
      </c>
      <c r="C2714" s="371" t="s">
        <v>2791</v>
      </c>
      <c r="D2714" s="2714">
        <f t="shared" si="300"/>
        <v>0</v>
      </c>
      <c r="E2714" s="2719">
        <v>1</v>
      </c>
      <c r="F2714" s="294"/>
      <c r="G2714" s="2282" t="s">
        <v>5144</v>
      </c>
      <c r="H2714" s="2273"/>
      <c r="I2714" s="2273"/>
      <c r="J2714" s="2273"/>
      <c r="K2714" s="1474">
        <f t="shared" si="301"/>
        <v>0</v>
      </c>
      <c r="L2714" s="2274"/>
      <c r="M2714" s="291"/>
      <c r="N2714" s="291"/>
      <c r="O2714" s="291"/>
      <c r="P2714" s="291"/>
      <c r="S2714" s="364"/>
      <c r="Z2714" s="609" t="s">
        <v>1107</v>
      </c>
      <c r="AA2714" s="609" t="s">
        <v>3598</v>
      </c>
    </row>
    <row r="2715" spans="1:27" ht="18">
      <c r="A2715" s="2712"/>
      <c r="B2715" s="371">
        <v>106</v>
      </c>
      <c r="C2715" s="371" t="s">
        <v>2791</v>
      </c>
      <c r="D2715" s="2714">
        <f t="shared" si="300"/>
        <v>0</v>
      </c>
      <c r="E2715" s="2719">
        <v>1</v>
      </c>
      <c r="F2715" s="294"/>
      <c r="G2715" s="2282" t="s">
        <v>5144</v>
      </c>
      <c r="H2715" s="2273"/>
      <c r="I2715" s="2273"/>
      <c r="J2715" s="2273"/>
      <c r="K2715" s="1474">
        <f t="shared" si="301"/>
        <v>0</v>
      </c>
      <c r="L2715" s="2274"/>
      <c r="M2715" s="291"/>
      <c r="N2715" s="291"/>
      <c r="O2715" s="291"/>
      <c r="P2715" s="291"/>
      <c r="S2715" s="364"/>
      <c r="Z2715" s="609" t="s">
        <v>1107</v>
      </c>
      <c r="AA2715" s="609" t="s">
        <v>3598</v>
      </c>
    </row>
    <row r="2716" spans="1:27" ht="18">
      <c r="A2716" s="2712"/>
      <c r="B2716" s="371">
        <v>107</v>
      </c>
      <c r="C2716" s="371" t="s">
        <v>2791</v>
      </c>
      <c r="D2716" s="2714">
        <f t="shared" si="300"/>
        <v>0</v>
      </c>
      <c r="E2716" s="2719">
        <v>1</v>
      </c>
      <c r="F2716" s="294"/>
      <c r="G2716" s="2282" t="s">
        <v>5144</v>
      </c>
      <c r="H2716" s="2273"/>
      <c r="I2716" s="2273"/>
      <c r="J2716" s="2273"/>
      <c r="K2716" s="1474">
        <f t="shared" si="301"/>
        <v>0</v>
      </c>
      <c r="L2716" s="2274"/>
      <c r="M2716" s="291"/>
      <c r="N2716" s="291"/>
      <c r="O2716" s="291"/>
      <c r="P2716" s="291"/>
      <c r="S2716" s="364"/>
      <c r="Z2716" s="609" t="s">
        <v>1107</v>
      </c>
      <c r="AA2716" s="609" t="s">
        <v>3598</v>
      </c>
    </row>
    <row r="2717" spans="1:27" ht="18">
      <c r="A2717" s="2712"/>
      <c r="B2717" s="371">
        <v>108</v>
      </c>
      <c r="C2717" s="371" t="s">
        <v>2791</v>
      </c>
      <c r="D2717" s="2714">
        <f t="shared" si="300"/>
        <v>0</v>
      </c>
      <c r="E2717" s="2719">
        <v>1</v>
      </c>
      <c r="F2717" s="294"/>
      <c r="G2717" s="2282" t="s">
        <v>5144</v>
      </c>
      <c r="H2717" s="2273"/>
      <c r="I2717" s="2273"/>
      <c r="J2717" s="2273"/>
      <c r="K2717" s="1474">
        <f t="shared" si="301"/>
        <v>0</v>
      </c>
      <c r="L2717" s="2274"/>
      <c r="M2717" s="291"/>
      <c r="N2717" s="291"/>
      <c r="O2717" s="291"/>
      <c r="P2717" s="291"/>
      <c r="S2717" s="364"/>
      <c r="Z2717" s="609" t="s">
        <v>1107</v>
      </c>
      <c r="AA2717" s="609" t="s">
        <v>3598</v>
      </c>
    </row>
    <row r="2718" spans="1:27" ht="18">
      <c r="A2718" s="2712"/>
      <c r="B2718" s="371">
        <v>109</v>
      </c>
      <c r="C2718" s="371" t="s">
        <v>2791</v>
      </c>
      <c r="D2718" s="2714">
        <f t="shared" si="300"/>
        <v>0</v>
      </c>
      <c r="E2718" s="2719">
        <v>1</v>
      </c>
      <c r="F2718" s="294"/>
      <c r="G2718" s="2282" t="s">
        <v>5144</v>
      </c>
      <c r="H2718" s="2273"/>
      <c r="I2718" s="2273"/>
      <c r="J2718" s="2273"/>
      <c r="K2718" s="1474">
        <f t="shared" si="301"/>
        <v>0</v>
      </c>
      <c r="L2718" s="2274"/>
      <c r="M2718" s="291"/>
      <c r="N2718" s="291"/>
      <c r="O2718" s="291"/>
      <c r="P2718" s="291"/>
      <c r="S2718" s="364"/>
      <c r="Z2718" s="609" t="s">
        <v>1107</v>
      </c>
      <c r="AA2718" s="609" t="s">
        <v>3598</v>
      </c>
    </row>
    <row r="2719" spans="1:27" ht="18.75" thickBot="1">
      <c r="A2719" s="2712"/>
      <c r="B2719" s="371"/>
      <c r="C2719" s="371"/>
      <c r="D2719" s="2714">
        <f t="shared" si="300"/>
        <v>1</v>
      </c>
      <c r="E2719" s="2719" t="s">
        <v>3032</v>
      </c>
      <c r="F2719" s="294"/>
      <c r="G2719" s="2232" t="s">
        <v>2752</v>
      </c>
      <c r="H2719" s="2233">
        <f>SUMPRODUCT($E2709:$E2718,H2709:H2718)</f>
        <v>0</v>
      </c>
      <c r="I2719" s="2233">
        <f>SUMPRODUCT($E2709:$E2718,I2709:I2718)</f>
        <v>0</v>
      </c>
      <c r="J2719" s="2233">
        <f>SUMPRODUCT($E2709:$E2718,J2709:J2718)</f>
        <v>0</v>
      </c>
      <c r="K2719" s="2233">
        <f>SUMPRODUCT($E2709:$E2718,K2709:K2718)</f>
        <v>0</v>
      </c>
      <c r="L2719" s="2242"/>
      <c r="M2719" s="291"/>
      <c r="N2719" s="291"/>
      <c r="O2719" s="291"/>
      <c r="P2719" s="291"/>
      <c r="S2719" s="364"/>
      <c r="Z2719" s="609" t="s">
        <v>1107</v>
      </c>
      <c r="AA2719" s="609" t="s">
        <v>3598</v>
      </c>
    </row>
    <row r="2720" spans="1:27" ht="18">
      <c r="A2720" s="2712"/>
      <c r="B2720" s="371"/>
      <c r="C2720" s="371" t="s">
        <v>2755</v>
      </c>
      <c r="D2720" s="371"/>
      <c r="F2720" s="294"/>
      <c r="G2720" s="301"/>
      <c r="H2720" s="315"/>
      <c r="I2720" s="315"/>
      <c r="J2720" s="315"/>
      <c r="K2720" s="315"/>
      <c r="L2720" s="393"/>
      <c r="M2720" s="291"/>
      <c r="N2720" s="291"/>
      <c r="O2720" s="291"/>
      <c r="P2720" s="291"/>
      <c r="S2720" s="364"/>
      <c r="Z2720" s="609" t="s">
        <v>1107</v>
      </c>
      <c r="AA2720" s="609" t="s">
        <v>3598</v>
      </c>
    </row>
    <row r="2721" spans="1:27" ht="24">
      <c r="A2721" s="2712" t="s">
        <v>1120</v>
      </c>
      <c r="B2721" s="371">
        <v>3</v>
      </c>
      <c r="C2721" s="371"/>
      <c r="D2721" s="2714" t="str">
        <f>VLOOKUP($A2721,Sheet_NoteList,2,0)</f>
        <v>通过融资租赁租入的固定资产情况</v>
      </c>
      <c r="E2721" s="2714" t="s">
        <v>2742</v>
      </c>
      <c r="F2721" s="294"/>
      <c r="G2721" s="1517" t="str">
        <f>"("&amp;B2721&amp;")"&amp;D2721</f>
        <v>(3)通过融资租赁租入的固定资产情况</v>
      </c>
      <c r="H2721" s="1515" t="str">
        <f>$A2721</f>
        <v>1601c</v>
      </c>
      <c r="I2721" s="343" t="s">
        <v>2743</v>
      </c>
      <c r="J2721" s="301" t="s">
        <v>2744</v>
      </c>
      <c r="K2721" s="2208">
        <f>K2733</f>
        <v>0</v>
      </c>
      <c r="L2721" s="345"/>
      <c r="M2721" s="301"/>
      <c r="N2721" s="3083"/>
      <c r="O2721" s="315"/>
      <c r="P2721" s="301"/>
      <c r="Q2721" s="290" t="str">
        <f>IF($I2721="不适用","",IF(ROUND(SUM($H$2724:$K$2733),2)=0,"请输入",""))</f>
        <v>请输入</v>
      </c>
      <c r="S2721" s="364"/>
      <c r="Z2721" s="609" t="s">
        <v>1107</v>
      </c>
      <c r="AA2721" s="609" t="s">
        <v>3598</v>
      </c>
    </row>
    <row r="2722" spans="1:27" ht="0.75" customHeight="1" thickBot="1">
      <c r="A2722" s="2712"/>
      <c r="B2722" s="371"/>
      <c r="C2722" s="371"/>
      <c r="D2722" s="371"/>
      <c r="E2722" s="586"/>
      <c r="F2722" s="518"/>
      <c r="G2722" s="518" t="s">
        <v>3628</v>
      </c>
      <c r="H2722" s="1478" t="s">
        <v>3629</v>
      </c>
      <c r="I2722" s="304" t="s">
        <v>3625</v>
      </c>
      <c r="J2722" s="304" t="s">
        <v>3630</v>
      </c>
      <c r="K2722" s="304" t="s">
        <v>3631</v>
      </c>
      <c r="L2722" s="291"/>
      <c r="M2722" s="291"/>
      <c r="N2722" s="291"/>
      <c r="O2722" s="291"/>
      <c r="S2722" s="364"/>
      <c r="Z2722" s="609" t="s">
        <v>1107</v>
      </c>
      <c r="AA2722" s="609" t="s">
        <v>3598</v>
      </c>
    </row>
    <row r="2723" spans="1:27" ht="18">
      <c r="A2723" s="2712"/>
      <c r="B2723" s="371"/>
      <c r="C2723" s="371"/>
      <c r="D2723" s="371"/>
      <c r="E2723" s="586" t="s">
        <v>2749</v>
      </c>
      <c r="F2723" s="363"/>
      <c r="G2723" s="2226" t="s">
        <v>47</v>
      </c>
      <c r="H2723" s="548" t="s">
        <v>6033</v>
      </c>
      <c r="I2723" s="2280" t="s">
        <v>486</v>
      </c>
      <c r="J2723" s="2280" t="s">
        <v>3097</v>
      </c>
      <c r="K2723" s="417" t="s">
        <v>2863</v>
      </c>
      <c r="L2723" s="355" t="s">
        <v>5286</v>
      </c>
      <c r="M2723" s="291"/>
      <c r="N2723" s="291"/>
      <c r="O2723" s="291"/>
      <c r="S2723" s="364"/>
      <c r="Z2723" s="609" t="s">
        <v>1107</v>
      </c>
      <c r="AA2723" s="609" t="s">
        <v>3598</v>
      </c>
    </row>
    <row r="2724" spans="1:27" ht="18">
      <c r="A2724" s="2712"/>
      <c r="B2724" s="371">
        <v>101</v>
      </c>
      <c r="C2724" s="371" t="s">
        <v>2791</v>
      </c>
      <c r="D2724" s="2714">
        <f t="shared" ref="D2724:D2733" si="302">IF(OR(G2724="*",G2724="",G2724=0),0,COUNTIF($G$2724:$G$2733,G2724))</f>
        <v>0</v>
      </c>
      <c r="E2724" s="2719">
        <v>1</v>
      </c>
      <c r="F2724" s="294"/>
      <c r="G2724" s="2282" t="s">
        <v>5144</v>
      </c>
      <c r="H2724" s="2273"/>
      <c r="I2724" s="2273"/>
      <c r="J2724" s="2273"/>
      <c r="K2724" s="1475">
        <f>H2724-I2724-J2724</f>
        <v>0</v>
      </c>
      <c r="L2724" s="291"/>
      <c r="M2724" s="291"/>
      <c r="N2724" s="291"/>
      <c r="O2724" s="291"/>
      <c r="S2724" s="364"/>
      <c r="Z2724" s="609" t="s">
        <v>1107</v>
      </c>
      <c r="AA2724" s="609" t="s">
        <v>3598</v>
      </c>
    </row>
    <row r="2725" spans="1:27" ht="18">
      <c r="A2725" s="2712"/>
      <c r="B2725" s="371">
        <v>102</v>
      </c>
      <c r="C2725" s="371" t="s">
        <v>2791</v>
      </c>
      <c r="D2725" s="2714">
        <f t="shared" si="302"/>
        <v>0</v>
      </c>
      <c r="E2725" s="2719">
        <v>1</v>
      </c>
      <c r="F2725" s="294"/>
      <c r="G2725" s="2282" t="s">
        <v>5144</v>
      </c>
      <c r="H2725" s="2273"/>
      <c r="I2725" s="2273"/>
      <c r="J2725" s="2273"/>
      <c r="K2725" s="1475">
        <f>H2725-I2725-J2725</f>
        <v>0</v>
      </c>
      <c r="L2725" s="291"/>
      <c r="M2725" s="291"/>
      <c r="N2725" s="291"/>
      <c r="O2725" s="291"/>
      <c r="S2725" s="364"/>
      <c r="Z2725" s="609" t="s">
        <v>1107</v>
      </c>
      <c r="AA2725" s="609" t="s">
        <v>3598</v>
      </c>
    </row>
    <row r="2726" spans="1:27" ht="18">
      <c r="A2726" s="2712"/>
      <c r="B2726" s="371">
        <v>103</v>
      </c>
      <c r="C2726" s="371" t="s">
        <v>2791</v>
      </c>
      <c r="D2726" s="2714">
        <f t="shared" si="302"/>
        <v>0</v>
      </c>
      <c r="E2726" s="2719">
        <v>1</v>
      </c>
      <c r="F2726" s="294"/>
      <c r="G2726" s="2282" t="s">
        <v>5144</v>
      </c>
      <c r="H2726" s="2273"/>
      <c r="I2726" s="2273"/>
      <c r="J2726" s="2273"/>
      <c r="K2726" s="1475">
        <f>H2726-I2726-J2726</f>
        <v>0</v>
      </c>
      <c r="L2726" s="291"/>
      <c r="M2726" s="291"/>
      <c r="N2726" s="291"/>
      <c r="O2726" s="291"/>
      <c r="S2726" s="364"/>
      <c r="Z2726" s="609" t="s">
        <v>1107</v>
      </c>
      <c r="AA2726" s="609" t="s">
        <v>3598</v>
      </c>
    </row>
    <row r="2727" spans="1:27" ht="18">
      <c r="A2727" s="2712"/>
      <c r="B2727" s="371">
        <v>104</v>
      </c>
      <c r="C2727" s="371" t="s">
        <v>2791</v>
      </c>
      <c r="D2727" s="2714">
        <f t="shared" si="302"/>
        <v>0</v>
      </c>
      <c r="E2727" s="2719">
        <v>1</v>
      </c>
      <c r="F2727" s="294"/>
      <c r="G2727" s="2282" t="s">
        <v>5144</v>
      </c>
      <c r="H2727" s="2273"/>
      <c r="I2727" s="2273"/>
      <c r="J2727" s="2273"/>
      <c r="K2727" s="1475">
        <f>H2727-I2727-J2727</f>
        <v>0</v>
      </c>
      <c r="L2727" s="291"/>
      <c r="M2727" s="291"/>
      <c r="N2727" s="291"/>
      <c r="O2727" s="291"/>
      <c r="S2727" s="364"/>
      <c r="Z2727" s="609" t="s">
        <v>1107</v>
      </c>
      <c r="AA2727" s="609" t="s">
        <v>3598</v>
      </c>
    </row>
    <row r="2728" spans="1:27" ht="18">
      <c r="A2728" s="2712"/>
      <c r="B2728" s="371">
        <v>105</v>
      </c>
      <c r="C2728" s="371" t="s">
        <v>2791</v>
      </c>
      <c r="D2728" s="2714">
        <f t="shared" si="302"/>
        <v>0</v>
      </c>
      <c r="E2728" s="2719">
        <v>1</v>
      </c>
      <c r="F2728" s="294"/>
      <c r="G2728" s="2282" t="s">
        <v>5144</v>
      </c>
      <c r="H2728" s="2273"/>
      <c r="I2728" s="2273"/>
      <c r="J2728" s="2273"/>
      <c r="K2728" s="1475">
        <f>H2728-I2728-J2728</f>
        <v>0</v>
      </c>
      <c r="L2728" s="291"/>
      <c r="M2728" s="291"/>
      <c r="N2728" s="291"/>
      <c r="O2728" s="291"/>
      <c r="S2728" s="364"/>
      <c r="Z2728" s="609" t="s">
        <v>1107</v>
      </c>
      <c r="AA2728" s="609" t="s">
        <v>3598</v>
      </c>
    </row>
    <row r="2729" spans="1:27" ht="18">
      <c r="A2729" s="2712"/>
      <c r="B2729" s="371">
        <v>106</v>
      </c>
      <c r="C2729" s="371" t="s">
        <v>2791</v>
      </c>
      <c r="D2729" s="2714">
        <f t="shared" si="302"/>
        <v>0</v>
      </c>
      <c r="E2729" s="2719">
        <v>1</v>
      </c>
      <c r="F2729" s="294"/>
      <c r="G2729" s="2282" t="s">
        <v>5144</v>
      </c>
      <c r="H2729" s="2273"/>
      <c r="I2729" s="2273"/>
      <c r="J2729" s="2273"/>
      <c r="K2729" s="1475">
        <f t="shared" ref="K2729:K2732" si="303">H2729-I2729-J2729</f>
        <v>0</v>
      </c>
      <c r="L2729" s="291"/>
      <c r="M2729" s="291"/>
      <c r="N2729" s="291"/>
      <c r="O2729" s="291"/>
      <c r="S2729" s="364"/>
      <c r="Z2729" s="609" t="s">
        <v>1107</v>
      </c>
      <c r="AA2729" s="609" t="s">
        <v>3598</v>
      </c>
    </row>
    <row r="2730" spans="1:27" ht="18">
      <c r="A2730" s="2712"/>
      <c r="B2730" s="371">
        <v>107</v>
      </c>
      <c r="C2730" s="371" t="s">
        <v>2791</v>
      </c>
      <c r="D2730" s="2714">
        <f t="shared" si="302"/>
        <v>0</v>
      </c>
      <c r="E2730" s="2719">
        <v>1</v>
      </c>
      <c r="F2730" s="294"/>
      <c r="G2730" s="2282" t="s">
        <v>5144</v>
      </c>
      <c r="H2730" s="2273"/>
      <c r="I2730" s="2273"/>
      <c r="J2730" s="2273"/>
      <c r="K2730" s="1475">
        <f t="shared" si="303"/>
        <v>0</v>
      </c>
      <c r="L2730" s="291"/>
      <c r="M2730" s="291"/>
      <c r="N2730" s="291"/>
      <c r="O2730" s="291"/>
      <c r="S2730" s="364"/>
      <c r="Z2730" s="609" t="s">
        <v>1107</v>
      </c>
      <c r="AA2730" s="609" t="s">
        <v>3598</v>
      </c>
    </row>
    <row r="2731" spans="1:27" ht="18">
      <c r="A2731" s="2712"/>
      <c r="B2731" s="371">
        <v>108</v>
      </c>
      <c r="C2731" s="371" t="s">
        <v>2791</v>
      </c>
      <c r="D2731" s="2714">
        <f t="shared" si="302"/>
        <v>0</v>
      </c>
      <c r="E2731" s="2719">
        <v>1</v>
      </c>
      <c r="F2731" s="294"/>
      <c r="G2731" s="2282" t="s">
        <v>5144</v>
      </c>
      <c r="H2731" s="2273"/>
      <c r="I2731" s="2273"/>
      <c r="J2731" s="2273"/>
      <c r="K2731" s="1475">
        <f t="shared" si="303"/>
        <v>0</v>
      </c>
      <c r="L2731" s="291"/>
      <c r="M2731" s="291"/>
      <c r="N2731" s="291"/>
      <c r="O2731" s="291"/>
      <c r="S2731" s="364"/>
      <c r="Z2731" s="609" t="s">
        <v>1107</v>
      </c>
      <c r="AA2731" s="609" t="s">
        <v>3598</v>
      </c>
    </row>
    <row r="2732" spans="1:27" ht="18">
      <c r="A2732" s="2712"/>
      <c r="B2732" s="371">
        <v>109</v>
      </c>
      <c r="C2732" s="371" t="s">
        <v>2791</v>
      </c>
      <c r="D2732" s="2714">
        <f t="shared" si="302"/>
        <v>0</v>
      </c>
      <c r="E2732" s="2719">
        <v>1</v>
      </c>
      <c r="F2732" s="294"/>
      <c r="G2732" s="2282" t="s">
        <v>5144</v>
      </c>
      <c r="H2732" s="2273"/>
      <c r="I2732" s="2273"/>
      <c r="J2732" s="2273"/>
      <c r="K2732" s="1475">
        <f t="shared" si="303"/>
        <v>0</v>
      </c>
      <c r="L2732" s="291"/>
      <c r="M2732" s="291"/>
      <c r="N2732" s="291"/>
      <c r="O2732" s="291"/>
      <c r="S2732" s="364"/>
      <c r="Z2732" s="609" t="s">
        <v>1107</v>
      </c>
      <c r="AA2732" s="609" t="s">
        <v>3598</v>
      </c>
    </row>
    <row r="2733" spans="1:27" ht="18.75" thickBot="1">
      <c r="A2733" s="2712"/>
      <c r="B2733" s="371"/>
      <c r="C2733" s="371"/>
      <c r="D2733" s="2714">
        <f t="shared" si="302"/>
        <v>1</v>
      </c>
      <c r="E2733" s="2719" t="s">
        <v>2751</v>
      </c>
      <c r="F2733" s="294"/>
      <c r="G2733" s="374" t="s">
        <v>2752</v>
      </c>
      <c r="H2733" s="1476">
        <f>SUMPRODUCT($E2723:$E2732,H2723:H2732)</f>
        <v>0</v>
      </c>
      <c r="I2733" s="1476">
        <f>SUMPRODUCT($E2723:$E2732,I2723:I2732)</f>
        <v>0</v>
      </c>
      <c r="J2733" s="1476">
        <f>SUMPRODUCT($E2723:$E2732,J2723:J2732)</f>
        <v>0</v>
      </c>
      <c r="K2733" s="1477">
        <f>SUMPRODUCT($E2723:$E2732,K2723:K2732)</f>
        <v>0</v>
      </c>
      <c r="L2733" s="291"/>
      <c r="M2733" s="291"/>
      <c r="N2733" s="291"/>
      <c r="O2733" s="291"/>
      <c r="S2733" s="364"/>
      <c r="Z2733" s="609" t="s">
        <v>1107</v>
      </c>
      <c r="AA2733" s="609" t="s">
        <v>3598</v>
      </c>
    </row>
    <row r="2734" spans="1:27" ht="18">
      <c r="A2734" s="2712"/>
      <c r="B2734" s="371"/>
      <c r="C2734" s="371" t="s">
        <v>2755</v>
      </c>
      <c r="D2734" s="371"/>
      <c r="F2734" s="294"/>
      <c r="G2734" s="301"/>
      <c r="H2734" s="315"/>
      <c r="I2734" s="315"/>
      <c r="J2734" s="315"/>
      <c r="K2734" s="315"/>
      <c r="L2734" s="291"/>
      <c r="M2734" s="291"/>
      <c r="N2734" s="291"/>
      <c r="O2734" s="291"/>
      <c r="S2734" s="364"/>
      <c r="Z2734" s="609" t="s">
        <v>1107</v>
      </c>
      <c r="AA2734" s="609" t="s">
        <v>3598</v>
      </c>
    </row>
    <row r="2735" spans="1:27" ht="24">
      <c r="A2735" s="2712" t="s">
        <v>1126</v>
      </c>
      <c r="B2735" s="371">
        <v>4</v>
      </c>
      <c r="C2735" s="371"/>
      <c r="D2735" s="2714" t="str">
        <f>VLOOKUP($A2735,Sheet_NoteList,2,0)</f>
        <v>通过经营租赁租出的固定资产</v>
      </c>
      <c r="E2735" s="2714" t="s">
        <v>2742</v>
      </c>
      <c r="F2735" s="294"/>
      <c r="G2735" s="1517" t="str">
        <f>"("&amp;B2735&amp;")"&amp;D2735</f>
        <v>(4)通过经营租赁租出的固定资产</v>
      </c>
      <c r="H2735" s="1515" t="str">
        <f>$A2735</f>
        <v>1601d</v>
      </c>
      <c r="I2735" s="343" t="s">
        <v>2743</v>
      </c>
      <c r="J2735" s="301" t="s">
        <v>2744</v>
      </c>
      <c r="K2735" s="2208">
        <f>H2748</f>
        <v>0</v>
      </c>
      <c r="L2735" s="345"/>
      <c r="M2735" s="301"/>
      <c r="N2735" s="3083"/>
      <c r="O2735" s="315"/>
      <c r="P2735" s="301"/>
      <c r="Q2735" s="290" t="str">
        <f>IF($I2735="不适用","",IF(ROUND(SUM($H$2738:$I$2748),2)=0,"请输入",""))</f>
        <v>请输入</v>
      </c>
      <c r="S2735" s="364"/>
      <c r="Z2735" s="609" t="s">
        <v>1107</v>
      </c>
      <c r="AA2735" s="609" t="s">
        <v>3598</v>
      </c>
    </row>
    <row r="2736" spans="1:27" ht="0.75" customHeight="1" thickBot="1">
      <c r="A2736" s="2712"/>
      <c r="B2736" s="371"/>
      <c r="C2736" s="371"/>
      <c r="D2736" s="371"/>
      <c r="E2736" s="586"/>
      <c r="F2736" s="586"/>
      <c r="G2736" s="586" t="s">
        <v>3632</v>
      </c>
      <c r="H2736" s="547" t="s">
        <v>3633</v>
      </c>
      <c r="I2736" s="580"/>
      <c r="J2736" s="472"/>
      <c r="K2736" s="472"/>
      <c r="L2736" s="472"/>
      <c r="M2736" s="442"/>
      <c r="N2736" s="442"/>
      <c r="O2736" s="442"/>
      <c r="P2736" s="442"/>
      <c r="Q2736" s="442"/>
      <c r="R2736" s="443"/>
      <c r="S2736" s="364"/>
      <c r="Z2736" s="609" t="s">
        <v>1107</v>
      </c>
      <c r="AA2736" s="609" t="s">
        <v>3598</v>
      </c>
    </row>
    <row r="2737" spans="1:27" ht="24">
      <c r="A2737" s="2712"/>
      <c r="B2737" s="371"/>
      <c r="C2737" s="371"/>
      <c r="D2737" s="371"/>
      <c r="E2737" s="586" t="s">
        <v>2749</v>
      </c>
      <c r="F2737" s="363"/>
      <c r="G2737" s="2226" t="s">
        <v>47</v>
      </c>
      <c r="H2737" s="2283" t="s">
        <v>5147</v>
      </c>
      <c r="I2737" s="355" t="s">
        <v>5286</v>
      </c>
      <c r="J2737" s="472"/>
      <c r="K2737" s="472"/>
      <c r="L2737" s="472"/>
      <c r="M2737" s="442"/>
      <c r="N2737" s="442"/>
      <c r="O2737" s="442"/>
      <c r="P2737" s="442"/>
      <c r="Q2737" s="442"/>
      <c r="R2737" s="443"/>
      <c r="S2737" s="364"/>
      <c r="Z2737" s="609" t="s">
        <v>1107</v>
      </c>
      <c r="AA2737" s="609" t="s">
        <v>3598</v>
      </c>
    </row>
    <row r="2738" spans="1:27" ht="18">
      <c r="A2738" s="2712"/>
      <c r="B2738" s="371">
        <v>101</v>
      </c>
      <c r="C2738" s="371" t="s">
        <v>2791</v>
      </c>
      <c r="D2738" s="2714">
        <f t="shared" ref="D2738:D2748" si="304">IF(OR(G2738="*",G2738="",G2738=0),0,COUNTIF($G$2738:$G$2748,G2738))</f>
        <v>0</v>
      </c>
      <c r="E2738" s="2719">
        <v>1</v>
      </c>
      <c r="F2738" s="294"/>
      <c r="G2738" s="2282" t="s">
        <v>2792</v>
      </c>
      <c r="H2738" s="2294"/>
      <c r="I2738" s="437"/>
      <c r="J2738" s="472"/>
      <c r="K2738" s="472"/>
      <c r="L2738" s="472"/>
      <c r="M2738" s="442"/>
      <c r="N2738" s="442"/>
      <c r="O2738" s="442"/>
      <c r="P2738" s="442"/>
      <c r="Q2738" s="442"/>
      <c r="R2738" s="443"/>
      <c r="S2738" s="364"/>
      <c r="Z2738" s="609" t="s">
        <v>1107</v>
      </c>
      <c r="AA2738" s="609" t="s">
        <v>3598</v>
      </c>
    </row>
    <row r="2739" spans="1:27" ht="18">
      <c r="A2739" s="2712"/>
      <c r="B2739" s="371">
        <v>102</v>
      </c>
      <c r="C2739" s="371" t="s">
        <v>2791</v>
      </c>
      <c r="D2739" s="2714">
        <f t="shared" si="304"/>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8">
      <c r="A2740" s="2712"/>
      <c r="B2740" s="371">
        <v>103</v>
      </c>
      <c r="C2740" s="371" t="s">
        <v>2791</v>
      </c>
      <c r="D2740" s="2714">
        <f t="shared" si="304"/>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8">
      <c r="A2741" s="2712"/>
      <c r="B2741" s="371">
        <v>104</v>
      </c>
      <c r="C2741" s="371" t="s">
        <v>2791</v>
      </c>
      <c r="D2741" s="2714">
        <f t="shared" si="304"/>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8">
      <c r="A2742" s="2712"/>
      <c r="B2742" s="371">
        <v>105</v>
      </c>
      <c r="C2742" s="371" t="s">
        <v>2791</v>
      </c>
      <c r="D2742" s="2714">
        <f t="shared" si="304"/>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106</v>
      </c>
      <c r="C2743" s="371" t="s">
        <v>2791</v>
      </c>
      <c r="D2743" s="2714">
        <f t="shared" si="304"/>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107</v>
      </c>
      <c r="C2744" s="371" t="s">
        <v>2791</v>
      </c>
      <c r="D2744" s="2714">
        <f t="shared" si="304"/>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108</v>
      </c>
      <c r="C2745" s="371" t="s">
        <v>2791</v>
      </c>
      <c r="D2745" s="2714">
        <f t="shared" si="304"/>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
      <c r="A2746" s="2712"/>
      <c r="B2746" s="371">
        <v>109</v>
      </c>
      <c r="C2746" s="371" t="s">
        <v>2791</v>
      </c>
      <c r="D2746" s="2714">
        <f t="shared" si="304"/>
        <v>0</v>
      </c>
      <c r="E2746" s="2719">
        <v>1</v>
      </c>
      <c r="F2746" s="294"/>
      <c r="G2746" s="2282" t="s">
        <v>2792</v>
      </c>
      <c r="H2746" s="2294"/>
      <c r="I2746" s="437"/>
      <c r="J2746" s="472"/>
      <c r="K2746" s="472"/>
      <c r="L2746" s="472"/>
      <c r="M2746" s="442"/>
      <c r="N2746" s="442"/>
      <c r="O2746" s="442"/>
      <c r="P2746" s="442"/>
      <c r="Q2746" s="442"/>
      <c r="R2746" s="443"/>
      <c r="S2746" s="364"/>
      <c r="Z2746" s="609" t="s">
        <v>1107</v>
      </c>
      <c r="AA2746" s="609" t="s">
        <v>3598</v>
      </c>
    </row>
    <row r="2747" spans="1:27" ht="18">
      <c r="A2747" s="2712"/>
      <c r="B2747" s="371">
        <v>110</v>
      </c>
      <c r="C2747" s="371" t="s">
        <v>2791</v>
      </c>
      <c r="D2747" s="2714">
        <f t="shared" si="304"/>
        <v>0</v>
      </c>
      <c r="E2747" s="2719">
        <v>1</v>
      </c>
      <c r="F2747" s="294"/>
      <c r="G2747" s="2282" t="s">
        <v>2792</v>
      </c>
      <c r="H2747" s="2294"/>
      <c r="I2747" s="437"/>
      <c r="J2747" s="472"/>
      <c r="K2747" s="472"/>
      <c r="L2747" s="472"/>
      <c r="M2747" s="442"/>
      <c r="N2747" s="442"/>
      <c r="O2747" s="442"/>
      <c r="P2747" s="442"/>
      <c r="Q2747" s="442"/>
      <c r="R2747" s="443"/>
      <c r="S2747" s="364"/>
      <c r="Z2747" s="609" t="s">
        <v>1107</v>
      </c>
      <c r="AA2747" s="609" t="s">
        <v>3598</v>
      </c>
    </row>
    <row r="2748" spans="1:27" ht="18.75" thickBot="1">
      <c r="A2748" s="2712"/>
      <c r="B2748" s="371"/>
      <c r="C2748" s="371"/>
      <c r="D2748" s="2714">
        <f t="shared" si="304"/>
        <v>1</v>
      </c>
      <c r="E2748" s="2719" t="s">
        <v>3032</v>
      </c>
      <c r="F2748" s="294"/>
      <c r="G2748" s="374" t="s">
        <v>2752</v>
      </c>
      <c r="H2748" s="1477">
        <f>SUMPRODUCT($E2737:$E2747,H2737:H2747)</f>
        <v>0</v>
      </c>
      <c r="I2748" s="437"/>
      <c r="J2748" s="472"/>
      <c r="K2748" s="472"/>
      <c r="L2748" s="472"/>
      <c r="M2748" s="442"/>
      <c r="N2748" s="442"/>
      <c r="O2748" s="442"/>
      <c r="P2748" s="442"/>
      <c r="Q2748" s="442"/>
      <c r="R2748" s="443"/>
      <c r="S2748" s="364"/>
      <c r="Z2748" s="609" t="s">
        <v>1107</v>
      </c>
      <c r="AA2748" s="609" t="s">
        <v>3598</v>
      </c>
    </row>
    <row r="2749" spans="1:27" ht="18">
      <c r="A2749" s="2712"/>
      <c r="B2749" s="371"/>
      <c r="C2749" s="371" t="s">
        <v>2755</v>
      </c>
      <c r="D2749" s="371"/>
      <c r="F2749" s="294"/>
      <c r="G2749" s="301"/>
      <c r="H2749" s="315"/>
      <c r="I2749" s="437"/>
      <c r="J2749" s="472"/>
      <c r="K2749" s="472"/>
      <c r="L2749" s="472"/>
      <c r="M2749" s="442"/>
      <c r="N2749" s="442"/>
      <c r="O2749" s="442"/>
      <c r="P2749" s="442"/>
      <c r="Q2749" s="442"/>
      <c r="R2749" s="443"/>
      <c r="S2749" s="364"/>
      <c r="Z2749" s="609" t="s">
        <v>1107</v>
      </c>
      <c r="AA2749" s="609" t="s">
        <v>3598</v>
      </c>
    </row>
    <row r="2750" spans="1:27" ht="24">
      <c r="A2750" s="2712" t="s">
        <v>1131</v>
      </c>
      <c r="B2750" s="371">
        <v>5</v>
      </c>
      <c r="C2750" s="371"/>
      <c r="D2750" s="2714" t="str">
        <f>VLOOKUP($A2750,Sheet_NoteList,2,0)</f>
        <v>未办妥产权证书的固定资产情况</v>
      </c>
      <c r="E2750" s="2714" t="s">
        <v>2742</v>
      </c>
      <c r="F2750" s="293"/>
      <c r="G2750" s="372" t="str">
        <f>"("&amp;B2750&amp;")"&amp;D2750</f>
        <v>(5)未办妥产权证书的固定资产情况</v>
      </c>
      <c r="H2750" s="1515" t="str">
        <f>$A2750</f>
        <v>1601l</v>
      </c>
      <c r="I2750" s="343" t="s">
        <v>2743</v>
      </c>
      <c r="J2750" s="301" t="s">
        <v>2744</v>
      </c>
      <c r="K2750" s="2208">
        <f>H2761</f>
        <v>0</v>
      </c>
      <c r="L2750" s="349">
        <f>IF($I2750="适用",IF(ROUND(K$2649-K2750,2)=0,"F/S",ROUND(K$2649-K2750,2)),"#N/A")</f>
        <v>80029486.859999999</v>
      </c>
      <c r="M2750" s="301" t="s">
        <v>2745</v>
      </c>
      <c r="N2750" s="2208">
        <f>I2761</f>
        <v>0</v>
      </c>
      <c r="O2750" s="349">
        <f>IF($I2750="适用",IF(ROUND(N$2649-N2750,2)=0,"F/S",ROUND(N$2649-N2750,2)),"#N/A")</f>
        <v>99146371.280000001</v>
      </c>
      <c r="P2750" s="301"/>
      <c r="S2750" s="364"/>
      <c r="Z2750" s="609" t="s">
        <v>1107</v>
      </c>
      <c r="AA2750" s="609" t="s">
        <v>3598</v>
      </c>
    </row>
    <row r="2751" spans="1:27" ht="0.75" customHeight="1" thickBot="1">
      <c r="A2751" s="2712"/>
      <c r="B2751" s="371"/>
      <c r="C2751" s="371"/>
      <c r="D2751" s="2714"/>
      <c r="E2751" s="586"/>
      <c r="F2751" s="586"/>
      <c r="G2751" s="2222" t="s">
        <v>3634</v>
      </c>
      <c r="H2751" s="371" t="s">
        <v>2747</v>
      </c>
      <c r="I2751" s="371" t="s">
        <v>2821</v>
      </c>
      <c r="J2751" s="433"/>
      <c r="K2751" s="428"/>
      <c r="L2751" s="428"/>
      <c r="M2751" s="433"/>
      <c r="N2751" s="428"/>
      <c r="O2751" s="428"/>
      <c r="P2751" s="433"/>
      <c r="Q2751" s="442"/>
      <c r="R2751" s="443"/>
      <c r="S2751" s="364"/>
      <c r="Z2751" s="609" t="s">
        <v>1107</v>
      </c>
      <c r="AA2751" s="609" t="s">
        <v>3598</v>
      </c>
    </row>
    <row r="2752" spans="1:27" ht="24">
      <c r="A2752" s="2712"/>
      <c r="B2752" s="371"/>
      <c r="C2752" s="371"/>
      <c r="D2752" s="2714"/>
      <c r="E2752" s="586" t="s">
        <v>2749</v>
      </c>
      <c r="F2752" s="414"/>
      <c r="G2752" s="2287" t="s">
        <v>47</v>
      </c>
      <c r="H2752" s="2289" t="s">
        <v>2863</v>
      </c>
      <c r="I2752" s="2291" t="s">
        <v>3635</v>
      </c>
      <c r="J2752" s="355" t="s">
        <v>5286</v>
      </c>
      <c r="K2752" s="434"/>
      <c r="L2752" s="434"/>
      <c r="M2752" s="435"/>
      <c r="N2752" s="434"/>
      <c r="O2752" s="434"/>
      <c r="P2752" s="435"/>
      <c r="Q2752" s="442"/>
      <c r="R2752" s="443"/>
      <c r="S2752" s="364"/>
      <c r="Z2752" s="609" t="s">
        <v>1107</v>
      </c>
      <c r="AA2752" s="609" t="s">
        <v>3598</v>
      </c>
    </row>
    <row r="2753" spans="1:27" ht="18">
      <c r="A2753" s="2712"/>
      <c r="B2753" s="371">
        <v>101</v>
      </c>
      <c r="C2753" s="371" t="s">
        <v>2791</v>
      </c>
      <c r="D2753" s="2714">
        <f t="shared" ref="D2753:D2761" si="305">IF(OR(G2753="*",G2753="",G2753=0),0,COUNTIF($G$2753:$G$2761,G2753))</f>
        <v>0</v>
      </c>
      <c r="E2753" s="2719">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27" ht="18">
      <c r="A2754" s="2712"/>
      <c r="B2754" s="371">
        <v>102</v>
      </c>
      <c r="C2754" s="371" t="s">
        <v>2791</v>
      </c>
      <c r="D2754" s="2714">
        <f t="shared" si="305"/>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8">
      <c r="A2755" s="2712"/>
      <c r="B2755" s="371">
        <v>103</v>
      </c>
      <c r="C2755" s="371" t="s">
        <v>2791</v>
      </c>
      <c r="D2755" s="2714">
        <f t="shared" si="305"/>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8">
      <c r="A2756" s="2712"/>
      <c r="B2756" s="371">
        <v>104</v>
      </c>
      <c r="C2756" s="371" t="s">
        <v>2791</v>
      </c>
      <c r="D2756" s="2714">
        <f t="shared" si="305"/>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8">
      <c r="A2757" s="2712"/>
      <c r="B2757" s="371">
        <v>105</v>
      </c>
      <c r="C2757" s="371" t="s">
        <v>2791</v>
      </c>
      <c r="D2757" s="2714">
        <f t="shared" si="305"/>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106</v>
      </c>
      <c r="C2758" s="371" t="s">
        <v>2791</v>
      </c>
      <c r="D2758" s="2714">
        <f t="shared" si="305"/>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
      <c r="A2759" s="2712"/>
      <c r="B2759" s="371">
        <v>107</v>
      </c>
      <c r="C2759" s="371" t="s">
        <v>2791</v>
      </c>
      <c r="D2759" s="2714">
        <f t="shared" si="305"/>
        <v>0</v>
      </c>
      <c r="E2759" s="2719">
        <v>1</v>
      </c>
      <c r="F2759" s="293"/>
      <c r="G2759" s="2282" t="s">
        <v>2792</v>
      </c>
      <c r="H2759" s="2273"/>
      <c r="I2759" s="2274"/>
      <c r="J2759" s="438"/>
      <c r="K2759" s="439"/>
      <c r="L2759" s="437"/>
      <c r="M2759" s="438"/>
      <c r="N2759" s="439"/>
      <c r="O2759" s="437"/>
      <c r="P2759" s="438"/>
      <c r="Q2759" s="442"/>
      <c r="R2759" s="443"/>
      <c r="S2759" s="364"/>
      <c r="Z2759" s="609" t="s">
        <v>1107</v>
      </c>
      <c r="AA2759" s="609" t="s">
        <v>3598</v>
      </c>
    </row>
    <row r="2760" spans="1:27" ht="18">
      <c r="A2760" s="2712"/>
      <c r="B2760" s="371">
        <v>108</v>
      </c>
      <c r="C2760" s="371" t="s">
        <v>2791</v>
      </c>
      <c r="D2760" s="2714">
        <f t="shared" si="305"/>
        <v>0</v>
      </c>
      <c r="E2760" s="2719">
        <v>1</v>
      </c>
      <c r="F2760" s="293"/>
      <c r="G2760" s="2282" t="s">
        <v>2792</v>
      </c>
      <c r="H2760" s="2273"/>
      <c r="I2760" s="2274"/>
      <c r="J2760" s="438"/>
      <c r="K2760" s="439"/>
      <c r="L2760" s="437"/>
      <c r="M2760" s="438"/>
      <c r="N2760" s="439"/>
      <c r="O2760" s="437"/>
      <c r="P2760" s="438"/>
      <c r="Q2760" s="442"/>
      <c r="R2760" s="443"/>
      <c r="S2760" s="364"/>
      <c r="Z2760" s="609" t="s">
        <v>1107</v>
      </c>
      <c r="AA2760" s="609" t="s">
        <v>3598</v>
      </c>
    </row>
    <row r="2761" spans="1:27" ht="18.75" thickBot="1">
      <c r="A2761" s="2712"/>
      <c r="B2761" s="371"/>
      <c r="C2761" s="371"/>
      <c r="D2761" s="2714">
        <f t="shared" si="305"/>
        <v>1</v>
      </c>
      <c r="E2761" s="2719" t="s">
        <v>2751</v>
      </c>
      <c r="F2761" s="293"/>
      <c r="G2761" s="2232" t="s">
        <v>2752</v>
      </c>
      <c r="H2761" s="2233">
        <f>SUMPRODUCT($E2752:$E2760,H2752:H2760)</f>
        <v>0</v>
      </c>
      <c r="I2761" s="2242"/>
      <c r="J2761" s="440"/>
      <c r="K2761" s="439"/>
      <c r="L2761" s="437"/>
      <c r="M2761" s="440"/>
      <c r="N2761" s="439"/>
      <c r="O2761" s="437"/>
      <c r="P2761" s="440"/>
      <c r="Q2761" s="442"/>
      <c r="R2761" s="443"/>
      <c r="S2761" s="364"/>
      <c r="Z2761" s="609" t="s">
        <v>1107</v>
      </c>
      <c r="AA2761" s="609" t="s">
        <v>3598</v>
      </c>
    </row>
    <row r="2762" spans="1:27" ht="18">
      <c r="A2762" s="2712"/>
      <c r="B2762" s="371"/>
      <c r="C2762" s="371" t="s">
        <v>2755</v>
      </c>
      <c r="D2762" s="2714"/>
      <c r="F2762" s="293"/>
      <c r="G2762" s="376"/>
      <c r="H2762" s="315"/>
      <c r="I2762" s="432"/>
      <c r="J2762" s="425"/>
      <c r="K2762" s="426"/>
      <c r="L2762" s="427"/>
      <c r="M2762" s="425"/>
      <c r="N2762" s="426"/>
      <c r="O2762" s="427"/>
      <c r="P2762" s="425"/>
      <c r="Q2762" s="442"/>
      <c r="R2762" s="443"/>
      <c r="S2762" s="364"/>
      <c r="Z2762" s="609" t="s">
        <v>1107</v>
      </c>
      <c r="AA2762" s="609" t="s">
        <v>3598</v>
      </c>
    </row>
    <row r="2763" spans="1:27" ht="24">
      <c r="A2763" s="2712" t="s">
        <v>1136</v>
      </c>
      <c r="B2763" s="371">
        <v>6</v>
      </c>
      <c r="C2763" s="371"/>
      <c r="D2763" s="2714" t="str">
        <f>VLOOKUP($A2763,Sheet_NoteList,2,0)</f>
        <v>未办妥产权证书的固定资产及其累计折旧明细项目</v>
      </c>
      <c r="E2763" s="2714" t="s">
        <v>6529</v>
      </c>
      <c r="F2763" s="294"/>
      <c r="G2763" s="372" t="str">
        <f>"("&amp;B2763&amp;")"&amp;D2763</f>
        <v>(6)未办妥产权证书的固定资产及其累计折旧明细项目</v>
      </c>
      <c r="H2763" s="1515" t="str">
        <f>$A2763</f>
        <v>1601f</v>
      </c>
      <c r="I2763" s="343" t="s">
        <v>5964</v>
      </c>
      <c r="J2763" s="301"/>
      <c r="K2763" s="3083"/>
      <c r="L2763" s="345"/>
      <c r="M2763" s="301"/>
      <c r="N2763" s="3083"/>
      <c r="O2763" s="315"/>
      <c r="P2763" s="301"/>
      <c r="Q2763" s="290" t="str">
        <f>IF($I2763="不适用","",IF(ROUND(SUM($H$2766:$M$2771),2)=0,"请输入",""))</f>
        <v>请输入</v>
      </c>
      <c r="S2763" s="364"/>
      <c r="Z2763" s="609" t="s">
        <v>1107</v>
      </c>
      <c r="AA2763" s="609" t="s">
        <v>3598</v>
      </c>
    </row>
    <row r="2764" spans="1:27" ht="0.75" customHeight="1" thickBot="1">
      <c r="A2764" s="2712"/>
      <c r="B2764" s="371"/>
      <c r="C2764" s="371"/>
      <c r="D2764" s="371"/>
      <c r="E2764" s="586"/>
      <c r="F2764" s="518"/>
      <c r="G2764" s="518" t="s">
        <v>3611</v>
      </c>
      <c r="H2764" s="304" t="s">
        <v>3287</v>
      </c>
      <c r="I2764" s="304" t="s">
        <v>3586</v>
      </c>
      <c r="J2764" s="304" t="s">
        <v>3612</v>
      </c>
      <c r="K2764" s="304" t="s">
        <v>3613</v>
      </c>
      <c r="L2764" s="304" t="s">
        <v>3614</v>
      </c>
      <c r="M2764" s="304" t="s">
        <v>3615</v>
      </c>
      <c r="S2764" s="364"/>
      <c r="Z2764" s="609" t="s">
        <v>1107</v>
      </c>
      <c r="AA2764" s="609" t="s">
        <v>3598</v>
      </c>
    </row>
    <row r="2765" spans="1:27" ht="24">
      <c r="A2765" s="2712"/>
      <c r="B2765" s="371"/>
      <c r="C2765" s="371"/>
      <c r="D2765" s="371"/>
      <c r="E2765" s="586" t="s">
        <v>2749</v>
      </c>
      <c r="F2765" s="363"/>
      <c r="G2765" s="2356" t="s">
        <v>47</v>
      </c>
      <c r="H2765" s="2350" t="s">
        <v>2863</v>
      </c>
      <c r="I2765" s="2350" t="s">
        <v>3616</v>
      </c>
      <c r="J2765" s="2350" t="s">
        <v>3593</v>
      </c>
      <c r="K2765" s="2350" t="s">
        <v>486</v>
      </c>
      <c r="L2765" s="2350" t="s">
        <v>3097</v>
      </c>
      <c r="M2765" s="2349" t="s">
        <v>3617</v>
      </c>
      <c r="N2765" s="355" t="s">
        <v>6174</v>
      </c>
      <c r="S2765" s="364"/>
      <c r="Z2765" s="609" t="s">
        <v>1107</v>
      </c>
      <c r="AA2765" s="609" t="s">
        <v>3598</v>
      </c>
    </row>
    <row r="2766" spans="1:27" ht="18">
      <c r="A2766" s="2712"/>
      <c r="B2766" s="371">
        <v>101</v>
      </c>
      <c r="C2766" s="371" t="s">
        <v>2791</v>
      </c>
      <c r="D2766" s="2714">
        <f t="shared" ref="D2766:D2771" si="306">IF(OR(G2766="*",G2766="",G2766=0),0,COUNTIF($G$2766:$G$2771,G2766))</f>
        <v>0</v>
      </c>
      <c r="E2766" s="2719">
        <v>1</v>
      </c>
      <c r="F2766" s="294"/>
      <c r="G2766" s="2352" t="s">
        <v>2792</v>
      </c>
      <c r="H2766" s="2273"/>
      <c r="I2766" s="2296"/>
      <c r="J2766" s="2273"/>
      <c r="K2766" s="2273"/>
      <c r="L2766" s="2273"/>
      <c r="M2766" s="2274"/>
      <c r="N2766" s="575" t="s">
        <v>6046</v>
      </c>
      <c r="S2766" s="364"/>
      <c r="Z2766" s="609" t="s">
        <v>1107</v>
      </c>
      <c r="AA2766" s="609" t="s">
        <v>3598</v>
      </c>
    </row>
    <row r="2767" spans="1:27" ht="18">
      <c r="A2767" s="2712"/>
      <c r="B2767" s="371">
        <v>102</v>
      </c>
      <c r="C2767" s="371" t="s">
        <v>2791</v>
      </c>
      <c r="D2767" s="2714">
        <f t="shared" si="306"/>
        <v>0</v>
      </c>
      <c r="E2767" s="2719">
        <v>1</v>
      </c>
      <c r="F2767" s="294"/>
      <c r="G2767" s="2352" t="s">
        <v>2792</v>
      </c>
      <c r="H2767" s="2273"/>
      <c r="I2767" s="2296"/>
      <c r="J2767" s="2273"/>
      <c r="K2767" s="2273"/>
      <c r="L2767" s="2273"/>
      <c r="M2767" s="2274"/>
      <c r="S2767" s="364"/>
      <c r="Z2767" s="609" t="s">
        <v>1107</v>
      </c>
      <c r="AA2767" s="609" t="s">
        <v>3598</v>
      </c>
    </row>
    <row r="2768" spans="1:27" ht="18">
      <c r="A2768" s="2712"/>
      <c r="B2768" s="371">
        <v>103</v>
      </c>
      <c r="C2768" s="371" t="s">
        <v>2791</v>
      </c>
      <c r="D2768" s="2714">
        <f t="shared" si="306"/>
        <v>0</v>
      </c>
      <c r="E2768" s="2719">
        <v>1</v>
      </c>
      <c r="F2768" s="294"/>
      <c r="G2768" s="2352" t="s">
        <v>2792</v>
      </c>
      <c r="H2768" s="2273"/>
      <c r="I2768" s="2296"/>
      <c r="J2768" s="2273"/>
      <c r="K2768" s="2273"/>
      <c r="L2768" s="2273"/>
      <c r="M2768" s="2274"/>
      <c r="S2768" s="364"/>
      <c r="Z2768" s="609" t="s">
        <v>1107</v>
      </c>
      <c r="AA2768" s="609" t="s">
        <v>3598</v>
      </c>
    </row>
    <row r="2769" spans="1:27" ht="18">
      <c r="A2769" s="2712"/>
      <c r="B2769" s="371">
        <v>104</v>
      </c>
      <c r="C2769" s="371" t="s">
        <v>2791</v>
      </c>
      <c r="D2769" s="2714">
        <f t="shared" si="306"/>
        <v>0</v>
      </c>
      <c r="E2769" s="2719">
        <v>1</v>
      </c>
      <c r="F2769" s="294"/>
      <c r="G2769" s="2352" t="s">
        <v>2792</v>
      </c>
      <c r="H2769" s="2273"/>
      <c r="I2769" s="2296"/>
      <c r="J2769" s="2273"/>
      <c r="K2769" s="2273"/>
      <c r="L2769" s="2273"/>
      <c r="M2769" s="2274"/>
      <c r="S2769" s="364"/>
      <c r="Z2769" s="609" t="s">
        <v>1107</v>
      </c>
      <c r="AA2769" s="609" t="s">
        <v>3598</v>
      </c>
    </row>
    <row r="2770" spans="1:27" ht="18">
      <c r="A2770" s="2712"/>
      <c r="B2770" s="371">
        <v>105</v>
      </c>
      <c r="C2770" s="371" t="s">
        <v>2791</v>
      </c>
      <c r="D2770" s="2714">
        <f t="shared" si="306"/>
        <v>0</v>
      </c>
      <c r="E2770" s="2719">
        <v>1</v>
      </c>
      <c r="F2770" s="294"/>
      <c r="G2770" s="2352" t="s">
        <v>2792</v>
      </c>
      <c r="H2770" s="2273"/>
      <c r="I2770" s="2296"/>
      <c r="J2770" s="2273"/>
      <c r="K2770" s="2273"/>
      <c r="L2770" s="2273"/>
      <c r="M2770" s="2274"/>
      <c r="S2770" s="364"/>
      <c r="Z2770" s="609" t="s">
        <v>1107</v>
      </c>
      <c r="AA2770" s="609" t="s">
        <v>3598</v>
      </c>
    </row>
    <row r="2771" spans="1:27" ht="18.75" thickBot="1">
      <c r="A2771" s="2712"/>
      <c r="B2771" s="371"/>
      <c r="C2771" s="371"/>
      <c r="D2771" s="2714">
        <f t="shared" si="306"/>
        <v>0</v>
      </c>
      <c r="E2771" s="2719" t="s">
        <v>3595</v>
      </c>
      <c r="F2771" s="294"/>
      <c r="G2771" s="2676"/>
      <c r="H2771" s="2677"/>
      <c r="I2771" s="2314"/>
      <c r="J2771" s="2677"/>
      <c r="K2771" s="2677"/>
      <c r="L2771" s="2677"/>
      <c r="M2771" s="2264"/>
      <c r="S2771" s="364"/>
      <c r="Z2771" s="609" t="s">
        <v>1107</v>
      </c>
      <c r="AA2771" s="609" t="s">
        <v>3598</v>
      </c>
    </row>
    <row r="2772" spans="1:27" ht="18">
      <c r="A2772" s="2712"/>
      <c r="B2772" s="371"/>
      <c r="C2772" s="371" t="s">
        <v>2755</v>
      </c>
      <c r="D2772" s="371"/>
      <c r="F2772" s="294"/>
      <c r="G2772" s="301"/>
      <c r="H2772" s="315"/>
      <c r="I2772" s="393"/>
      <c r="J2772" s="315"/>
      <c r="K2772" s="315"/>
      <c r="L2772" s="315"/>
      <c r="M2772" s="393"/>
      <c r="N2772" s="350"/>
      <c r="S2772" s="364"/>
      <c r="Z2772" s="609" t="s">
        <v>1107</v>
      </c>
      <c r="AA2772" s="609" t="s">
        <v>3598</v>
      </c>
    </row>
    <row r="2773" spans="1:27" ht="18">
      <c r="A2773" s="2712" t="s">
        <v>1156</v>
      </c>
      <c r="B2773" s="371">
        <v>7</v>
      </c>
      <c r="C2773" s="371"/>
      <c r="D2773" s="2714" t="str">
        <f>VLOOKUP($A2773,Sheet_NoteList,2,0)</f>
        <v>固定资产抵押情况</v>
      </c>
      <c r="E2773" s="2714" t="s">
        <v>6529</v>
      </c>
      <c r="F2773" s="294"/>
      <c r="G2773" s="307" t="str">
        <f>"("&amp;B2773&amp;")"&amp;D2773</f>
        <v>(7)固定资产抵押情况</v>
      </c>
      <c r="H2773" s="1515" t="str">
        <f>$A2773</f>
        <v>1601s</v>
      </c>
      <c r="I2773" s="343" t="s">
        <v>5963</v>
      </c>
      <c r="J2773" s="301"/>
      <c r="K2773" s="3083"/>
      <c r="L2773" s="315"/>
      <c r="M2773" s="301"/>
      <c r="N2773" s="3083"/>
      <c r="O2773" s="315"/>
      <c r="P2773" s="301"/>
      <c r="S2773" s="364"/>
      <c r="Z2773" s="609" t="s">
        <v>1107</v>
      </c>
      <c r="AA2773" s="609" t="s">
        <v>3598</v>
      </c>
    </row>
    <row r="2774" spans="1:27" ht="0.75" customHeight="1" thickBot="1">
      <c r="A2774" s="2712"/>
      <c r="B2774" s="371"/>
      <c r="C2774" s="371"/>
      <c r="D2774" s="371"/>
      <c r="E2774" s="586"/>
      <c r="F2774" s="363"/>
      <c r="G2774" s="363" t="s">
        <v>3618</v>
      </c>
      <c r="H2774" s="294" t="s">
        <v>3588</v>
      </c>
      <c r="I2774" s="294" t="s">
        <v>3589</v>
      </c>
      <c r="J2774" s="294" t="s">
        <v>3590</v>
      </c>
      <c r="K2774" s="294" t="s">
        <v>3591</v>
      </c>
      <c r="L2774" s="294" t="s">
        <v>3592</v>
      </c>
      <c r="S2774" s="364"/>
      <c r="Z2774" s="609" t="s">
        <v>1107</v>
      </c>
      <c r="AA2774" s="609" t="s">
        <v>3598</v>
      </c>
    </row>
    <row r="2775" spans="1:27" ht="18">
      <c r="A2775" s="2712"/>
      <c r="B2775" s="371"/>
      <c r="C2775" s="371"/>
      <c r="D2775" s="371"/>
      <c r="E2775" s="586" t="s">
        <v>2749</v>
      </c>
      <c r="F2775" s="363"/>
      <c r="G2775" s="2300" t="s">
        <v>5114</v>
      </c>
      <c r="H2775" s="2298" t="s">
        <v>3593</v>
      </c>
      <c r="I2775" s="2298" t="s">
        <v>486</v>
      </c>
      <c r="J2775" s="2298" t="s">
        <v>3097</v>
      </c>
      <c r="K2775" s="2298" t="s">
        <v>2863</v>
      </c>
      <c r="L2775" s="2299" t="s">
        <v>3594</v>
      </c>
      <c r="M2775" s="355" t="s">
        <v>6174</v>
      </c>
      <c r="S2775" s="364"/>
      <c r="Z2775" s="609" t="s">
        <v>1107</v>
      </c>
      <c r="AA2775" s="609" t="s">
        <v>3598</v>
      </c>
    </row>
    <row r="2776" spans="1:27" ht="18">
      <c r="A2776" s="2712"/>
      <c r="B2776" s="371">
        <v>101</v>
      </c>
      <c r="C2776" s="371" t="s">
        <v>2791</v>
      </c>
      <c r="D2776" s="2714">
        <f t="shared" ref="D2776:D2781" si="307">IF(OR(G2776="*",G2776="",G2776=0),0,COUNTIF($G$2776:$G$2781,G2776))</f>
        <v>0</v>
      </c>
      <c r="E2776" s="2719">
        <v>1</v>
      </c>
      <c r="F2776" s="294"/>
      <c r="G2776" s="2301" t="s">
        <v>2792</v>
      </c>
      <c r="H2776" s="2273"/>
      <c r="I2776" s="2273"/>
      <c r="J2776" s="2273"/>
      <c r="K2776" s="2273"/>
      <c r="L2776" s="2274"/>
      <c r="M2776" s="579"/>
      <c r="S2776" s="364"/>
      <c r="Z2776" s="609" t="s">
        <v>1107</v>
      </c>
      <c r="AA2776" s="609" t="s">
        <v>3598</v>
      </c>
    </row>
    <row r="2777" spans="1:27" ht="18">
      <c r="A2777" s="2712"/>
      <c r="B2777" s="371">
        <v>102</v>
      </c>
      <c r="C2777" s="371" t="s">
        <v>2791</v>
      </c>
      <c r="D2777" s="2714">
        <f t="shared" si="307"/>
        <v>0</v>
      </c>
      <c r="E2777" s="2719">
        <v>1</v>
      </c>
      <c r="F2777" s="294"/>
      <c r="G2777" s="2301" t="s">
        <v>2792</v>
      </c>
      <c r="H2777" s="2273"/>
      <c r="I2777" s="2273"/>
      <c r="J2777" s="2273"/>
      <c r="K2777" s="2273"/>
      <c r="L2777" s="2274"/>
      <c r="S2777" s="364"/>
      <c r="Z2777" s="609" t="s">
        <v>1107</v>
      </c>
      <c r="AA2777" s="609" t="s">
        <v>3598</v>
      </c>
    </row>
    <row r="2778" spans="1:27" ht="18">
      <c r="A2778" s="2712"/>
      <c r="B2778" s="371">
        <v>103</v>
      </c>
      <c r="C2778" s="371" t="s">
        <v>2791</v>
      </c>
      <c r="D2778" s="2714">
        <f t="shared" si="307"/>
        <v>0</v>
      </c>
      <c r="E2778" s="2719">
        <v>1</v>
      </c>
      <c r="F2778" s="294"/>
      <c r="G2778" s="2301" t="s">
        <v>2792</v>
      </c>
      <c r="H2778" s="2273"/>
      <c r="I2778" s="2273"/>
      <c r="J2778" s="2273"/>
      <c r="K2778" s="2273"/>
      <c r="L2778" s="2274"/>
      <c r="S2778" s="364"/>
      <c r="Z2778" s="609" t="s">
        <v>1107</v>
      </c>
      <c r="AA2778" s="609" t="s">
        <v>3598</v>
      </c>
    </row>
    <row r="2779" spans="1:27" ht="18">
      <c r="A2779" s="2712"/>
      <c r="B2779" s="371">
        <v>104</v>
      </c>
      <c r="C2779" s="371" t="s">
        <v>2791</v>
      </c>
      <c r="D2779" s="2714">
        <f t="shared" si="307"/>
        <v>0</v>
      </c>
      <c r="E2779" s="2719">
        <v>1</v>
      </c>
      <c r="F2779" s="294"/>
      <c r="G2779" s="2301" t="s">
        <v>2792</v>
      </c>
      <c r="H2779" s="2273"/>
      <c r="I2779" s="2273"/>
      <c r="J2779" s="2273"/>
      <c r="K2779" s="2273"/>
      <c r="L2779" s="2274"/>
      <c r="S2779" s="364"/>
      <c r="Z2779" s="609" t="s">
        <v>1107</v>
      </c>
      <c r="AA2779" s="609" t="s">
        <v>3598</v>
      </c>
    </row>
    <row r="2780" spans="1:27" ht="18">
      <c r="A2780" s="2712"/>
      <c r="B2780" s="371">
        <v>105</v>
      </c>
      <c r="C2780" s="371" t="s">
        <v>2791</v>
      </c>
      <c r="D2780" s="2714">
        <f t="shared" si="307"/>
        <v>0</v>
      </c>
      <c r="E2780" s="2719">
        <v>1</v>
      </c>
      <c r="F2780" s="294"/>
      <c r="G2780" s="2301" t="s">
        <v>2792</v>
      </c>
      <c r="H2780" s="2273"/>
      <c r="I2780" s="2273"/>
      <c r="J2780" s="2273"/>
      <c r="K2780" s="2273"/>
      <c r="L2780" s="2274"/>
      <c r="S2780" s="364"/>
      <c r="Z2780" s="609" t="s">
        <v>1107</v>
      </c>
      <c r="AA2780" s="609" t="s">
        <v>3598</v>
      </c>
    </row>
    <row r="2781" spans="1:27" ht="18.75" thickBot="1">
      <c r="A2781" s="2712"/>
      <c r="B2781" s="371"/>
      <c r="C2781" s="371"/>
      <c r="D2781" s="2714">
        <f t="shared" si="307"/>
        <v>0</v>
      </c>
      <c r="E2781" s="2719" t="s">
        <v>3595</v>
      </c>
      <c r="F2781" s="294"/>
      <c r="G2781" s="2676"/>
      <c r="H2781" s="2677"/>
      <c r="I2781" s="2677"/>
      <c r="J2781" s="2677"/>
      <c r="K2781" s="2677"/>
      <c r="L2781" s="2264"/>
      <c r="S2781" s="364"/>
      <c r="Z2781" s="609" t="s">
        <v>1107</v>
      </c>
      <c r="AA2781" s="609" t="s">
        <v>3598</v>
      </c>
    </row>
    <row r="2782" spans="1:27" ht="18">
      <c r="A2782" s="2712"/>
      <c r="B2782" s="371"/>
      <c r="C2782" s="371" t="s">
        <v>2755</v>
      </c>
      <c r="D2782" s="371"/>
      <c r="F2782" s="294"/>
      <c r="G2782" s="301"/>
      <c r="H2782" s="315"/>
      <c r="I2782" s="315"/>
      <c r="J2782" s="315"/>
      <c r="K2782" s="315"/>
      <c r="L2782" s="393"/>
      <c r="M2782" s="349"/>
      <c r="S2782" s="364"/>
      <c r="Z2782" s="609" t="s">
        <v>1107</v>
      </c>
      <c r="AA2782" s="609" t="s">
        <v>3598</v>
      </c>
    </row>
    <row r="2783" spans="1:27" ht="24">
      <c r="A2783" s="2712" t="s">
        <v>1162</v>
      </c>
      <c r="B2783" s="371">
        <v>8</v>
      </c>
      <c r="C2783" s="371"/>
      <c r="D2783" s="2714" t="str">
        <f>VLOOKUP($A2783,Sheet_NoteList,2,0)</f>
        <v>固定资产累计折旧补充资料</v>
      </c>
      <c r="E2783" s="2714" t="s">
        <v>6529</v>
      </c>
      <c r="F2783" s="294"/>
      <c r="G2783" s="372" t="str">
        <f>"("&amp;B2783&amp;")"&amp;D2783</f>
        <v>(8)固定资产累计折旧补充资料</v>
      </c>
      <c r="H2783" s="1515" t="str">
        <f>$A2783</f>
        <v>1601x</v>
      </c>
      <c r="I2783" s="343" t="s">
        <v>5964</v>
      </c>
      <c r="J2783" s="301" t="s">
        <v>5969</v>
      </c>
      <c r="K2783" s="2208">
        <f>H2796</f>
        <v>18205614.109999999</v>
      </c>
      <c r="L2783" s="345"/>
      <c r="M2783" s="301"/>
      <c r="N2783" s="3083"/>
      <c r="O2783" s="315"/>
      <c r="P2783" s="301"/>
      <c r="S2783" s="364"/>
      <c r="Z2783" s="609" t="s">
        <v>1107</v>
      </c>
      <c r="AA2783" s="609" t="s">
        <v>3598</v>
      </c>
    </row>
    <row r="2784" spans="1:27" ht="0.75" customHeight="1" thickBot="1">
      <c r="A2784" s="2712"/>
      <c r="B2784" s="371"/>
      <c r="C2784" s="371"/>
      <c r="D2784" s="371"/>
      <c r="E2784" s="586"/>
      <c r="F2784" s="586"/>
      <c r="G2784" s="586" t="s">
        <v>3619</v>
      </c>
      <c r="H2784" s="371" t="s">
        <v>3620</v>
      </c>
      <c r="I2784" s="371" t="s">
        <v>2821</v>
      </c>
      <c r="J2784" s="291"/>
      <c r="K2784" s="291"/>
      <c r="L2784" s="291"/>
      <c r="S2784" s="364"/>
      <c r="Z2784" s="609" t="s">
        <v>1107</v>
      </c>
      <c r="AA2784" s="609" t="s">
        <v>3598</v>
      </c>
    </row>
    <row r="2785" spans="1:27" ht="18">
      <c r="A2785" s="2712"/>
      <c r="B2785" s="371"/>
      <c r="C2785" s="371"/>
      <c r="D2785" s="371"/>
      <c r="E2785" s="586" t="s">
        <v>2749</v>
      </c>
      <c r="F2785" s="363"/>
      <c r="G2785" s="2300" t="s">
        <v>47</v>
      </c>
      <c r="H2785" s="2298" t="s">
        <v>2887</v>
      </c>
      <c r="I2785" s="2299" t="s">
        <v>2508</v>
      </c>
      <c r="J2785" s="355" t="s">
        <v>6174</v>
      </c>
      <c r="K2785" s="291"/>
      <c r="L2785" s="291"/>
      <c r="S2785" s="364"/>
      <c r="Z2785" s="609" t="s">
        <v>1107</v>
      </c>
      <c r="AA2785" s="609" t="s">
        <v>3598</v>
      </c>
    </row>
    <row r="2786" spans="1:27" ht="18">
      <c r="A2786" s="2712"/>
      <c r="B2786" s="371">
        <v>101</v>
      </c>
      <c r="C2786" s="371"/>
      <c r="D2786" s="2714">
        <f t="shared" ref="D2786:D2796" si="308">IF(OR(G2786="*",G2786="",G2786=0),0,COUNTIF($G$2786:$G$2796,G2786))</f>
        <v>1</v>
      </c>
      <c r="E2786" s="2719" t="s">
        <v>41</v>
      </c>
      <c r="F2786" s="294"/>
      <c r="G2786" s="1472" t="s">
        <v>3621</v>
      </c>
      <c r="H2786" s="2273"/>
      <c r="I2786" s="2274"/>
      <c r="J2786" s="579"/>
      <c r="K2786" s="291"/>
      <c r="L2786" s="291"/>
      <c r="S2786" s="364"/>
      <c r="Z2786" s="609" t="s">
        <v>1107</v>
      </c>
      <c r="AA2786" s="609" t="s">
        <v>3598</v>
      </c>
    </row>
    <row r="2787" spans="1:27" ht="18">
      <c r="A2787" s="2712"/>
      <c r="B2787" s="371">
        <v>102</v>
      </c>
      <c r="C2787" s="371"/>
      <c r="D2787" s="2714">
        <f t="shared" si="308"/>
        <v>1</v>
      </c>
      <c r="E2787" s="2719">
        <v>-1</v>
      </c>
      <c r="F2787" s="294"/>
      <c r="G2787" s="1472" t="s">
        <v>3622</v>
      </c>
      <c r="H2787" s="2273"/>
      <c r="I2787" s="2274"/>
      <c r="J2787" s="291"/>
      <c r="K2787" s="291"/>
      <c r="L2787" s="291"/>
      <c r="S2787" s="364"/>
      <c r="Z2787" s="609" t="s">
        <v>1107</v>
      </c>
      <c r="AA2787" s="609" t="s">
        <v>3598</v>
      </c>
    </row>
    <row r="2788" spans="1:27" ht="18">
      <c r="A2788" s="2712"/>
      <c r="B2788" s="371">
        <v>103</v>
      </c>
      <c r="C2788" s="371" t="s">
        <v>2791</v>
      </c>
      <c r="D2788" s="2714">
        <f t="shared" si="308"/>
        <v>1</v>
      </c>
      <c r="E2788" s="2719">
        <v>1</v>
      </c>
      <c r="F2788" s="294"/>
      <c r="G2788" s="578" t="s">
        <v>685</v>
      </c>
      <c r="H2788" s="2273">
        <v>666811.66</v>
      </c>
      <c r="I2788" s="2274"/>
      <c r="J2788" s="291"/>
      <c r="K2788" s="291"/>
      <c r="L2788" s="291"/>
      <c r="S2788" s="364"/>
      <c r="Z2788" s="609" t="s">
        <v>1107</v>
      </c>
      <c r="AA2788" s="609" t="s">
        <v>3598</v>
      </c>
    </row>
    <row r="2789" spans="1:27" ht="18">
      <c r="A2789" s="2712"/>
      <c r="B2789" s="371">
        <v>104</v>
      </c>
      <c r="C2789" s="371" t="s">
        <v>2791</v>
      </c>
      <c r="D2789" s="2714">
        <f t="shared" si="308"/>
        <v>1</v>
      </c>
      <c r="E2789" s="2719">
        <v>1</v>
      </c>
      <c r="F2789" s="294"/>
      <c r="G2789" s="578" t="s">
        <v>680</v>
      </c>
      <c r="H2789" s="2273">
        <v>569.55999999999995</v>
      </c>
      <c r="I2789" s="2274"/>
      <c r="J2789" s="291"/>
      <c r="K2789" s="291"/>
      <c r="L2789" s="291"/>
      <c r="S2789" s="364"/>
      <c r="Z2789" s="609" t="s">
        <v>1107</v>
      </c>
      <c r="AA2789" s="609" t="s">
        <v>3598</v>
      </c>
    </row>
    <row r="2790" spans="1:27" ht="18">
      <c r="A2790" s="2712"/>
      <c r="B2790" s="371">
        <v>105</v>
      </c>
      <c r="C2790" s="371" t="s">
        <v>2791</v>
      </c>
      <c r="D2790" s="2714">
        <f t="shared" si="308"/>
        <v>1</v>
      </c>
      <c r="E2790" s="2719">
        <v>1</v>
      </c>
      <c r="F2790" s="294"/>
      <c r="G2790" s="578" t="s">
        <v>7358</v>
      </c>
      <c r="H2790" s="2273">
        <v>210913.3</v>
      </c>
      <c r="I2790" s="2274"/>
      <c r="J2790" s="291"/>
      <c r="K2790" s="291"/>
      <c r="L2790" s="291"/>
      <c r="S2790" s="364"/>
      <c r="Z2790" s="609" t="s">
        <v>1107</v>
      </c>
      <c r="AA2790" s="609" t="s">
        <v>3598</v>
      </c>
    </row>
    <row r="2791" spans="1:27" ht="18">
      <c r="A2791" s="2712"/>
      <c r="B2791" s="371">
        <v>106</v>
      </c>
      <c r="C2791" s="371" t="s">
        <v>2791</v>
      </c>
      <c r="D2791" s="2714">
        <f t="shared" si="308"/>
        <v>1</v>
      </c>
      <c r="E2791" s="2719">
        <v>1</v>
      </c>
      <c r="F2791" s="294"/>
      <c r="G2791" s="578" t="s">
        <v>369</v>
      </c>
      <c r="H2791" s="2273">
        <v>17327319.59</v>
      </c>
      <c r="I2791" s="2274"/>
      <c r="J2791" s="291"/>
      <c r="K2791" s="291"/>
      <c r="L2791" s="291"/>
      <c r="S2791" s="364"/>
      <c r="Z2791" s="609" t="s">
        <v>1107</v>
      </c>
      <c r="AA2791" s="609" t="s">
        <v>3598</v>
      </c>
    </row>
    <row r="2792" spans="1:27" ht="18">
      <c r="A2792" s="2712"/>
      <c r="B2792" s="371">
        <v>107</v>
      </c>
      <c r="C2792" s="371" t="s">
        <v>2791</v>
      </c>
      <c r="D2792" s="2714">
        <f t="shared" si="308"/>
        <v>0</v>
      </c>
      <c r="E2792" s="2719">
        <v>1</v>
      </c>
      <c r="F2792" s="294"/>
      <c r="G2792" s="2301" t="s">
        <v>2792</v>
      </c>
      <c r="H2792" s="2273"/>
      <c r="I2792" s="2274"/>
      <c r="J2792" s="291"/>
      <c r="K2792" s="291"/>
      <c r="L2792" s="291"/>
      <c r="S2792" s="364"/>
      <c r="Z2792" s="609" t="s">
        <v>1107</v>
      </c>
      <c r="AA2792" s="609" t="s">
        <v>3598</v>
      </c>
    </row>
    <row r="2793" spans="1:27" ht="18">
      <c r="A2793" s="2712"/>
      <c r="B2793" s="371">
        <v>108</v>
      </c>
      <c r="C2793" s="371" t="s">
        <v>2791</v>
      </c>
      <c r="D2793" s="2714">
        <f t="shared" si="308"/>
        <v>0</v>
      </c>
      <c r="E2793" s="2719">
        <v>1</v>
      </c>
      <c r="F2793" s="294"/>
      <c r="G2793" s="2301" t="s">
        <v>2792</v>
      </c>
      <c r="H2793" s="2273"/>
      <c r="I2793" s="2274"/>
      <c r="J2793" s="291"/>
      <c r="K2793" s="291"/>
      <c r="L2793" s="291"/>
      <c r="S2793" s="364"/>
      <c r="Z2793" s="609" t="s">
        <v>1107</v>
      </c>
      <c r="AA2793" s="609" t="s">
        <v>3598</v>
      </c>
    </row>
    <row r="2794" spans="1:27" ht="18">
      <c r="A2794" s="2712"/>
      <c r="B2794" s="371">
        <v>109</v>
      </c>
      <c r="C2794" s="371" t="s">
        <v>2791</v>
      </c>
      <c r="D2794" s="2714">
        <f t="shared" si="308"/>
        <v>0</v>
      </c>
      <c r="E2794" s="2719">
        <v>1</v>
      </c>
      <c r="F2794" s="294"/>
      <c r="G2794" s="2301" t="s">
        <v>2792</v>
      </c>
      <c r="H2794" s="2273"/>
      <c r="I2794" s="2274"/>
      <c r="J2794" s="291"/>
      <c r="K2794" s="291"/>
      <c r="L2794" s="291"/>
      <c r="S2794" s="364"/>
      <c r="Z2794" s="609" t="s">
        <v>1107</v>
      </c>
      <c r="AA2794" s="609" t="s">
        <v>3598</v>
      </c>
    </row>
    <row r="2795" spans="1:27" ht="18">
      <c r="A2795" s="2712"/>
      <c r="B2795" s="371">
        <v>110</v>
      </c>
      <c r="C2795" s="371" t="s">
        <v>2791</v>
      </c>
      <c r="D2795" s="2714">
        <f t="shared" si="308"/>
        <v>0</v>
      </c>
      <c r="E2795" s="2719">
        <v>1</v>
      </c>
      <c r="F2795" s="294"/>
      <c r="G2795" s="2301" t="s">
        <v>2792</v>
      </c>
      <c r="H2795" s="2273"/>
      <c r="I2795" s="2274"/>
      <c r="J2795" s="291"/>
      <c r="K2795" s="291"/>
      <c r="L2795" s="291"/>
      <c r="S2795" s="364"/>
      <c r="Z2795" s="609" t="s">
        <v>1107</v>
      </c>
      <c r="AA2795" s="609" t="s">
        <v>3598</v>
      </c>
    </row>
    <row r="2796" spans="1:27" ht="18.75" thickBot="1">
      <c r="A2796" s="2712"/>
      <c r="B2796" s="371"/>
      <c r="C2796" s="371"/>
      <c r="D2796" s="2714">
        <f t="shared" si="308"/>
        <v>1</v>
      </c>
      <c r="E2796" s="2719" t="s">
        <v>3032</v>
      </c>
      <c r="F2796" s="294"/>
      <c r="G2796" s="1527" t="s">
        <v>2752</v>
      </c>
      <c r="H2796" s="1525">
        <f>SUMPRODUCT($E2785:$E2795,H2785:H2795)</f>
        <v>18205614.109999999</v>
      </c>
      <c r="I2796" s="2264"/>
      <c r="J2796" s="291"/>
      <c r="K2796" s="291"/>
      <c r="L2796" s="291"/>
      <c r="S2796" s="364"/>
      <c r="Z2796" s="609" t="s">
        <v>1107</v>
      </c>
      <c r="AA2796" s="609" t="s">
        <v>3598</v>
      </c>
    </row>
    <row r="2797" spans="1:27" ht="18">
      <c r="A2797" s="2712"/>
      <c r="B2797" s="371"/>
      <c r="C2797" s="371" t="s">
        <v>2755</v>
      </c>
      <c r="D2797" s="371"/>
      <c r="F2797" s="294"/>
      <c r="G2797" s="301"/>
      <c r="H2797" s="315"/>
      <c r="I2797" s="393"/>
      <c r="J2797" s="291"/>
      <c r="K2797" s="291"/>
      <c r="L2797" s="291"/>
      <c r="S2797" s="364"/>
      <c r="Z2797" s="609" t="s">
        <v>1107</v>
      </c>
      <c r="AA2797" s="609" t="s">
        <v>3598</v>
      </c>
    </row>
    <row r="2798" spans="1:27" ht="18">
      <c r="A2798" s="2712">
        <v>1606</v>
      </c>
      <c r="B2798" s="371">
        <v>23.2</v>
      </c>
      <c r="C2798" s="2714" t="str">
        <f>VLOOKUP($A2798,Sheet_Items,2,0)</f>
        <v>固定资产清理</v>
      </c>
      <c r="D2798" s="371"/>
      <c r="E2798" s="2714" t="s">
        <v>2739</v>
      </c>
      <c r="F2798" s="294"/>
      <c r="G2798" s="305" t="str">
        <f>B2798&amp;" "&amp;C2798</f>
        <v>23.2 固定资产清理</v>
      </c>
      <c r="H2798" s="306"/>
      <c r="I2798" s="306"/>
      <c r="J2798" s="306" t="s">
        <v>2740</v>
      </c>
      <c r="K2798" s="341">
        <f>VLOOKUP($A2798,Sheet_Trialbal,6,0)</f>
        <v>0</v>
      </c>
      <c r="L2798" s="342"/>
      <c r="M2798" s="306" t="s">
        <v>2741</v>
      </c>
      <c r="N2798" s="341">
        <f>VLOOKUP($A2798,Sheet_Trialbal,10,0)</f>
        <v>0</v>
      </c>
      <c r="O2798" s="306"/>
      <c r="P2798" s="301"/>
      <c r="S2798" s="364"/>
      <c r="Z2798" s="609" t="s">
        <v>1167</v>
      </c>
      <c r="AA2798" s="609" t="s">
        <v>3636</v>
      </c>
    </row>
    <row r="2799" spans="1:27" ht="18">
      <c r="A2799" s="2712" t="s">
        <v>1165</v>
      </c>
      <c r="B2799" s="371">
        <v>1</v>
      </c>
      <c r="C2799" s="371"/>
      <c r="D2799" s="2714" t="str">
        <f>VLOOKUP($A2799,Sheet_NoteList,2,0)</f>
        <v>固定资产清理明细项目</v>
      </c>
      <c r="E2799" s="2714" t="s">
        <v>2742</v>
      </c>
      <c r="F2799" s="293"/>
      <c r="G2799" s="372" t="str">
        <f>"("&amp;B2799&amp;")"&amp;D2799</f>
        <v>(1)固定资产清理明细项目</v>
      </c>
      <c r="H2799" s="1515" t="str">
        <f>$A2799</f>
        <v>1606b</v>
      </c>
      <c r="I2799" s="343" t="s">
        <v>2743</v>
      </c>
      <c r="J2799" s="301" t="s">
        <v>2744</v>
      </c>
      <c r="K2799" s="2208">
        <f>H2810</f>
        <v>0</v>
      </c>
      <c r="L2799" s="349" t="str">
        <f>IF($I2799="适用",IF(ROUND(K$2798-K2799,2)=0,"F/S",ROUND(K$2798-K2799,2)),"#N/A")</f>
        <v>F/S</v>
      </c>
      <c r="M2799" s="301" t="s">
        <v>2745</v>
      </c>
      <c r="N2799" s="2208">
        <f>I2810</f>
        <v>0</v>
      </c>
      <c r="O2799" s="349" t="str">
        <f>IF($I2799="适用",IF(ROUND(N$2798-N2799,2)=0,"F/S",ROUND(N$2798-N2799,2)),"#N/A")</f>
        <v>F/S</v>
      </c>
      <c r="P2799" s="301"/>
      <c r="S2799" s="364"/>
      <c r="Z2799" s="609" t="s">
        <v>1167</v>
      </c>
      <c r="AA2799" s="609" t="s">
        <v>3636</v>
      </c>
    </row>
    <row r="2800" spans="1:27" ht="0.75" customHeight="1" thickBot="1">
      <c r="A2800" s="2712"/>
      <c r="B2800" s="371"/>
      <c r="C2800" s="371"/>
      <c r="D2800" s="2714"/>
      <c r="F2800" s="371"/>
      <c r="G2800" s="405" t="s">
        <v>3637</v>
      </c>
      <c r="H2800" s="371" t="s">
        <v>2747</v>
      </c>
      <c r="I2800" s="371" t="s">
        <v>2748</v>
      </c>
      <c r="J2800" s="433"/>
      <c r="K2800" s="428"/>
      <c r="L2800" s="428"/>
      <c r="M2800" s="433"/>
      <c r="N2800" s="428"/>
      <c r="O2800" s="428"/>
      <c r="P2800" s="433"/>
      <c r="Q2800" s="442"/>
      <c r="R2800" s="443"/>
      <c r="S2800" s="364"/>
      <c r="Z2800" s="609" t="s">
        <v>1167</v>
      </c>
      <c r="AA2800" s="609" t="s">
        <v>3636</v>
      </c>
    </row>
    <row r="2801" spans="1:29" ht="18">
      <c r="A2801" s="2712"/>
      <c r="B2801" s="371"/>
      <c r="C2801" s="371"/>
      <c r="D2801" s="2714"/>
      <c r="E2801" s="2714" t="s">
        <v>2749</v>
      </c>
      <c r="F2801" s="293"/>
      <c r="G2801" s="373" t="s">
        <v>47</v>
      </c>
      <c r="H2801" s="1452" t="str">
        <f>$V$2</f>
        <v>2019年12月31日</v>
      </c>
      <c r="I2801" s="1453" t="str">
        <f>$V$3</f>
        <v>2018年12月31日</v>
      </c>
      <c r="J2801" s="355" t="s">
        <v>5286</v>
      </c>
      <c r="K2801" s="434"/>
      <c r="L2801" s="434"/>
      <c r="M2801" s="435"/>
      <c r="N2801" s="434"/>
      <c r="O2801" s="434"/>
      <c r="P2801" s="435"/>
      <c r="Q2801" s="442"/>
      <c r="R2801" s="443"/>
      <c r="S2801" s="364"/>
      <c r="Z2801" s="609" t="s">
        <v>1167</v>
      </c>
      <c r="AA2801" s="609" t="s">
        <v>3636</v>
      </c>
    </row>
    <row r="2802" spans="1:29" ht="18">
      <c r="A2802" s="2712"/>
      <c r="B2802" s="371">
        <v>101</v>
      </c>
      <c r="C2802" s="371" t="s">
        <v>2791</v>
      </c>
      <c r="D2802" s="2714">
        <f t="shared" ref="D2802:D2810" si="309">IF(OR(G2802="*",G2802="",G2802=0),0,COUNTIF($G$2802:$G$2810,G2802))</f>
        <v>0</v>
      </c>
      <c r="E2802" s="2719">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2"/>
      <c r="B2803" s="371">
        <v>102</v>
      </c>
      <c r="C2803" s="371" t="s">
        <v>2791</v>
      </c>
      <c r="D2803" s="2714">
        <f t="shared" si="309"/>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2"/>
      <c r="B2804" s="371">
        <v>103</v>
      </c>
      <c r="C2804" s="371" t="s">
        <v>2791</v>
      </c>
      <c r="D2804" s="2714">
        <f t="shared" si="309"/>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2"/>
      <c r="B2805" s="371">
        <v>104</v>
      </c>
      <c r="C2805" s="371" t="s">
        <v>2791</v>
      </c>
      <c r="D2805" s="2714">
        <f t="shared" si="309"/>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2"/>
      <c r="B2806" s="371">
        <v>105</v>
      </c>
      <c r="C2806" s="371" t="s">
        <v>2791</v>
      </c>
      <c r="D2806" s="2714">
        <f t="shared" si="309"/>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106</v>
      </c>
      <c r="C2807" s="371" t="s">
        <v>2791</v>
      </c>
      <c r="D2807" s="2714">
        <f t="shared" si="309"/>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
      <c r="A2808" s="2712"/>
      <c r="B2808" s="371">
        <v>107</v>
      </c>
      <c r="C2808" s="371" t="s">
        <v>2791</v>
      </c>
      <c r="D2808" s="2714">
        <f t="shared" si="309"/>
        <v>0</v>
      </c>
      <c r="E2808" s="2719">
        <v>1</v>
      </c>
      <c r="F2808" s="293"/>
      <c r="G2808" s="319" t="s">
        <v>2792</v>
      </c>
      <c r="H2808" s="309"/>
      <c r="I2808" s="394"/>
      <c r="J2808" s="438"/>
      <c r="K2808" s="439"/>
      <c r="L2808" s="437"/>
      <c r="M2808" s="438"/>
      <c r="N2808" s="439"/>
      <c r="O2808" s="437"/>
      <c r="P2808" s="438"/>
      <c r="Q2808" s="442"/>
      <c r="R2808" s="443"/>
      <c r="S2808" s="364"/>
      <c r="Z2808" s="609" t="s">
        <v>1167</v>
      </c>
      <c r="AA2808" s="609" t="s">
        <v>3636</v>
      </c>
    </row>
    <row r="2809" spans="1:29" ht="18">
      <c r="A2809" s="2712"/>
      <c r="B2809" s="371">
        <v>108</v>
      </c>
      <c r="C2809" s="371" t="s">
        <v>2791</v>
      </c>
      <c r="D2809" s="2714">
        <f t="shared" si="309"/>
        <v>0</v>
      </c>
      <c r="E2809" s="2719">
        <v>1</v>
      </c>
      <c r="F2809" s="293"/>
      <c r="G2809" s="319" t="s">
        <v>2792</v>
      </c>
      <c r="H2809" s="309"/>
      <c r="I2809" s="394"/>
      <c r="J2809" s="438"/>
      <c r="K2809" s="439"/>
      <c r="L2809" s="437"/>
      <c r="M2809" s="438"/>
      <c r="N2809" s="439"/>
      <c r="O2809" s="437"/>
      <c r="P2809" s="438"/>
      <c r="Q2809" s="442"/>
      <c r="R2809" s="443"/>
      <c r="S2809" s="364"/>
      <c r="Z2809" s="609" t="s">
        <v>1167</v>
      </c>
      <c r="AA2809" s="609" t="s">
        <v>3636</v>
      </c>
    </row>
    <row r="2810" spans="1:29" ht="18.75" thickBot="1">
      <c r="A2810" s="2712"/>
      <c r="B2810" s="371"/>
      <c r="C2810" s="371"/>
      <c r="D2810" s="2714">
        <f t="shared" si="309"/>
        <v>1</v>
      </c>
      <c r="E2810" s="2719" t="s">
        <v>2751</v>
      </c>
      <c r="F2810" s="293"/>
      <c r="G2810" s="374" t="s">
        <v>2752</v>
      </c>
      <c r="H2810" s="375">
        <f>SUMPRODUCT($E2801:$E2809,H2801:H2809)</f>
        <v>0</v>
      </c>
      <c r="I2810" s="395">
        <f>SUMPRODUCT($E2801:$E2809,I2801:I2809)</f>
        <v>0</v>
      </c>
      <c r="J2810" s="1595" t="str">
        <f ca="1">HYPERLINK("#'"&amp;$G$1&amp;"'!"&amp;ADDRESS(ROW(Notes!K2645),COLUMN(Notes!K2645),4),"* 请勿删除此行！点击往勾稽单元格，F5+Enter返回")</f>
        <v>* 请勿删除此行！点击往勾稽单元格，F5+Enter返回</v>
      </c>
      <c r="K2810" s="439"/>
      <c r="L2810" s="437"/>
      <c r="M2810" s="440"/>
      <c r="N2810" s="439"/>
      <c r="O2810" s="437"/>
      <c r="P2810" s="440"/>
      <c r="Q2810" s="442"/>
      <c r="R2810" s="443"/>
      <c r="S2810" s="364"/>
      <c r="Z2810" s="609" t="s">
        <v>1167</v>
      </c>
      <c r="AA2810" s="609" t="s">
        <v>3636</v>
      </c>
      <c r="AC2810" s="369" t="s">
        <v>6571</v>
      </c>
    </row>
    <row r="2811" spans="1:29" ht="18">
      <c r="A2811" s="2712"/>
      <c r="B2811" s="371"/>
      <c r="C2811" s="371" t="s">
        <v>2755</v>
      </c>
      <c r="D2811" s="2714"/>
      <c r="F2811" s="293"/>
      <c r="G2811" s="376"/>
      <c r="H2811" s="315"/>
      <c r="I2811" s="396"/>
      <c r="J2811" s="425"/>
      <c r="K2811" s="426"/>
      <c r="L2811" s="427"/>
      <c r="M2811" s="425"/>
      <c r="N2811" s="426"/>
      <c r="O2811" s="427"/>
      <c r="P2811" s="425"/>
      <c r="Q2811" s="442"/>
      <c r="R2811" s="443"/>
      <c r="S2811" s="364"/>
      <c r="Z2811" s="609" t="s">
        <v>1167</v>
      </c>
      <c r="AA2811" s="609" t="s">
        <v>3636</v>
      </c>
    </row>
    <row r="2812" spans="1:29" ht="18">
      <c r="A2812" s="2712" t="s">
        <v>1170</v>
      </c>
      <c r="B2812" s="371">
        <v>2</v>
      </c>
      <c r="C2812" s="371"/>
      <c r="D2812" s="2714" t="str">
        <f>VLOOKUP($A2812,Sheet_NoteList,2,0)</f>
        <v>固定资产清理补充资料</v>
      </c>
      <c r="E2812" s="2714" t="s">
        <v>6529</v>
      </c>
      <c r="F2812" s="294"/>
      <c r="G2812" s="372" t="str">
        <f>"("&amp;B2812&amp;")"&amp;D2812</f>
        <v>(2)固定资产清理补充资料</v>
      </c>
      <c r="H2812" s="1515" t="str">
        <f>$A2812</f>
        <v>1606a</v>
      </c>
      <c r="I2812" s="343" t="s">
        <v>5964</v>
      </c>
      <c r="J2812" s="301" t="s">
        <v>5971</v>
      </c>
      <c r="K2812" s="2208">
        <f>H2820</f>
        <v>0</v>
      </c>
      <c r="L2812" s="345" t="str">
        <f>IF($I2812="适用",IF(ROUND(K2798-K2812,2)=0,"F/S",ROUND(K2798-K2812,2)),"#N/A")</f>
        <v>F/S</v>
      </c>
      <c r="M2812" s="301" t="s">
        <v>5965</v>
      </c>
      <c r="N2812" s="2208">
        <f>I2820</f>
        <v>0</v>
      </c>
      <c r="O2812" s="345" t="str">
        <f>IF($I2812="适用",IF(ROUND(N2798-N2812,2)=0,"F/S",ROUND(N2798-N2812,2)),"#N/A")</f>
        <v>F/S</v>
      </c>
      <c r="P2812" s="301"/>
      <c r="Q2812" s="290" t="str">
        <f>IF($I2812="不适用","",IF(ROUND(SUM($H$2815:$J$2820),2)=0,"请输入",""))</f>
        <v>请输入</v>
      </c>
      <c r="S2812" s="364"/>
      <c r="Z2812" s="609" t="s">
        <v>1167</v>
      </c>
      <c r="AA2812" s="609" t="s">
        <v>3636</v>
      </c>
    </row>
    <row r="2813" spans="1:29" ht="0.75" customHeight="1" thickBot="1">
      <c r="A2813" s="2712"/>
      <c r="B2813" s="371"/>
      <c r="C2813" s="371"/>
      <c r="D2813" s="371"/>
      <c r="E2813" s="586"/>
      <c r="F2813" s="586"/>
      <c r="G2813" s="586" t="s">
        <v>3638</v>
      </c>
      <c r="H2813" s="371" t="s">
        <v>6232</v>
      </c>
      <c r="I2813" s="371" t="s">
        <v>6233</v>
      </c>
      <c r="J2813" s="371" t="s">
        <v>6234</v>
      </c>
      <c r="K2813" s="371" t="s">
        <v>6235</v>
      </c>
      <c r="L2813" s="371" t="s">
        <v>6236</v>
      </c>
      <c r="M2813" s="291"/>
      <c r="N2813" s="291"/>
      <c r="S2813" s="364"/>
      <c r="Z2813" s="609" t="s">
        <v>1167</v>
      </c>
      <c r="AA2813" s="609" t="s">
        <v>3636</v>
      </c>
    </row>
    <row r="2814" spans="1:29" ht="24">
      <c r="A2814" s="2712"/>
      <c r="B2814" s="371"/>
      <c r="C2814" s="371"/>
      <c r="D2814" s="371"/>
      <c r="E2814" s="586" t="s">
        <v>2749</v>
      </c>
      <c r="F2814" s="363"/>
      <c r="G2814" s="2356" t="s">
        <v>47</v>
      </c>
      <c r="H2814" s="2350" t="s">
        <v>2775</v>
      </c>
      <c r="I2814" s="2350" t="s">
        <v>2776</v>
      </c>
      <c r="J2814" s="2350" t="s">
        <v>3639</v>
      </c>
      <c r="K2814" s="2350" t="s">
        <v>6047</v>
      </c>
      <c r="L2814" s="2349" t="s">
        <v>6048</v>
      </c>
      <c r="M2814" s="355" t="s">
        <v>6174</v>
      </c>
      <c r="N2814" s="291"/>
      <c r="S2814" s="364"/>
      <c r="Z2814" s="609" t="s">
        <v>1167</v>
      </c>
      <c r="AA2814" s="609" t="s">
        <v>3636</v>
      </c>
    </row>
    <row r="2815" spans="1:29" ht="18">
      <c r="A2815" s="2712"/>
      <c r="B2815" s="371">
        <v>101</v>
      </c>
      <c r="C2815" s="371" t="s">
        <v>2791</v>
      </c>
      <c r="D2815" s="2714">
        <f t="shared" ref="D2815:D2820" si="310">IF(OR(G2815="*",G2815="",G2815=0),0,COUNTIF($G$2815:$G$2820,G2815))</f>
        <v>0</v>
      </c>
      <c r="E2815" s="2719">
        <v>1</v>
      </c>
      <c r="F2815" s="294"/>
      <c r="G2815" s="2352" t="s">
        <v>2792</v>
      </c>
      <c r="H2815" s="2273"/>
      <c r="I2815" s="2273"/>
      <c r="J2815" s="2296"/>
      <c r="K2815" s="2296"/>
      <c r="L2815" s="2274"/>
      <c r="M2815" s="291"/>
      <c r="N2815" s="291"/>
      <c r="S2815" s="364"/>
      <c r="Z2815" s="609" t="s">
        <v>1167</v>
      </c>
      <c r="AA2815" s="609" t="s">
        <v>3636</v>
      </c>
    </row>
    <row r="2816" spans="1:29" ht="18">
      <c r="A2816" s="2712"/>
      <c r="B2816" s="371">
        <v>102</v>
      </c>
      <c r="C2816" s="371" t="s">
        <v>2791</v>
      </c>
      <c r="D2816" s="2714">
        <f t="shared" si="310"/>
        <v>0</v>
      </c>
      <c r="E2816" s="2719">
        <v>1</v>
      </c>
      <c r="F2816" s="294"/>
      <c r="G2816" s="2352" t="s">
        <v>2792</v>
      </c>
      <c r="H2816" s="2273"/>
      <c r="I2816" s="2273"/>
      <c r="J2816" s="2296"/>
      <c r="K2816" s="2296"/>
      <c r="L2816" s="2274"/>
      <c r="M2816" s="291"/>
      <c r="N2816" s="291"/>
      <c r="S2816" s="364"/>
      <c r="Z2816" s="609" t="s">
        <v>1167</v>
      </c>
      <c r="AA2816" s="609" t="s">
        <v>3636</v>
      </c>
    </row>
    <row r="2817" spans="1:27" ht="18">
      <c r="A2817" s="2712"/>
      <c r="B2817" s="371">
        <v>103</v>
      </c>
      <c r="C2817" s="371" t="s">
        <v>2791</v>
      </c>
      <c r="D2817" s="2714">
        <f t="shared" si="310"/>
        <v>0</v>
      </c>
      <c r="E2817" s="2719">
        <v>1</v>
      </c>
      <c r="F2817" s="294"/>
      <c r="G2817" s="2352" t="s">
        <v>2792</v>
      </c>
      <c r="H2817" s="2273"/>
      <c r="I2817" s="2273"/>
      <c r="J2817" s="2296"/>
      <c r="K2817" s="2296"/>
      <c r="L2817" s="2274"/>
      <c r="M2817" s="291"/>
      <c r="N2817" s="291"/>
      <c r="S2817" s="364"/>
      <c r="Z2817" s="609" t="s">
        <v>1167</v>
      </c>
      <c r="AA2817" s="609" t="s">
        <v>3636</v>
      </c>
    </row>
    <row r="2818" spans="1:27" ht="18">
      <c r="A2818" s="2712"/>
      <c r="B2818" s="371">
        <v>104</v>
      </c>
      <c r="C2818" s="371" t="s">
        <v>2791</v>
      </c>
      <c r="D2818" s="2714">
        <f t="shared" si="310"/>
        <v>0</v>
      </c>
      <c r="E2818" s="2719">
        <v>1</v>
      </c>
      <c r="F2818" s="294"/>
      <c r="G2818" s="2352" t="s">
        <v>2792</v>
      </c>
      <c r="H2818" s="2273"/>
      <c r="I2818" s="2273"/>
      <c r="J2818" s="2296"/>
      <c r="K2818" s="2296"/>
      <c r="L2818" s="2274"/>
      <c r="M2818" s="291"/>
      <c r="N2818" s="291"/>
      <c r="S2818" s="364"/>
      <c r="Z2818" s="609" t="s">
        <v>1167</v>
      </c>
      <c r="AA2818" s="609" t="s">
        <v>3636</v>
      </c>
    </row>
    <row r="2819" spans="1:27" ht="18">
      <c r="A2819" s="2712"/>
      <c r="B2819" s="371">
        <v>105</v>
      </c>
      <c r="C2819" s="371" t="s">
        <v>2791</v>
      </c>
      <c r="D2819" s="2714">
        <f t="shared" si="310"/>
        <v>0</v>
      </c>
      <c r="E2819" s="2719">
        <v>1</v>
      </c>
      <c r="F2819" s="294"/>
      <c r="G2819" s="2352" t="s">
        <v>2792</v>
      </c>
      <c r="H2819" s="2273"/>
      <c r="I2819" s="2273"/>
      <c r="J2819" s="2296"/>
      <c r="K2819" s="2296"/>
      <c r="L2819" s="2274"/>
      <c r="M2819" s="291"/>
      <c r="N2819" s="291"/>
      <c r="S2819" s="364"/>
      <c r="Z2819" s="609" t="s">
        <v>1167</v>
      </c>
      <c r="AA2819" s="609" t="s">
        <v>3636</v>
      </c>
    </row>
    <row r="2820" spans="1:27" ht="18.75" thickBot="1">
      <c r="A2820" s="2712"/>
      <c r="B2820" s="371"/>
      <c r="C2820" s="371"/>
      <c r="D2820" s="2714">
        <f t="shared" si="310"/>
        <v>1</v>
      </c>
      <c r="E2820" s="2719" t="s">
        <v>2751</v>
      </c>
      <c r="F2820" s="294"/>
      <c r="G2820" s="1527" t="s">
        <v>2752</v>
      </c>
      <c r="H2820" s="1525">
        <f>SUMPRODUCT($E2814:$E2819,H2814:H2819)</f>
        <v>0</v>
      </c>
      <c r="I2820" s="1525">
        <f>SUMPRODUCT($E2814:$E2819,I2814:I2819)</f>
        <v>0</v>
      </c>
      <c r="J2820" s="2314"/>
      <c r="K2820" s="2314"/>
      <c r="L2820" s="2264"/>
      <c r="M2820" s="291"/>
      <c r="N2820" s="291"/>
      <c r="S2820" s="364"/>
      <c r="Z2820" s="609" t="s">
        <v>1167</v>
      </c>
      <c r="AA2820" s="609" t="s">
        <v>3636</v>
      </c>
    </row>
    <row r="2821" spans="1:27" ht="18">
      <c r="A2821" s="2712"/>
      <c r="B2821" s="371"/>
      <c r="C2821" s="371" t="s">
        <v>2755</v>
      </c>
      <c r="D2821" s="371"/>
      <c r="F2821" s="294"/>
      <c r="G2821" s="301"/>
      <c r="H2821" s="315"/>
      <c r="I2821" s="315"/>
      <c r="J2821" s="393"/>
      <c r="K2821" s="393"/>
      <c r="L2821" s="393"/>
      <c r="M2821" s="291"/>
      <c r="N2821" s="291"/>
      <c r="S2821" s="364"/>
      <c r="Z2821" s="609" t="s">
        <v>1167</v>
      </c>
      <c r="AA2821" s="609" t="s">
        <v>3636</v>
      </c>
    </row>
    <row r="2822" spans="1:27" ht="17.25">
      <c r="A2822" s="2713">
        <v>1616</v>
      </c>
      <c r="B2822" s="371">
        <v>24</v>
      </c>
      <c r="C2822" s="2714" t="str">
        <f>VLOOKUP($A2822,Sheet_Items,2,0)</f>
        <v>在建工程（报表项目）</v>
      </c>
      <c r="D2822" s="371"/>
      <c r="E2822" s="2714" t="s">
        <v>2739</v>
      </c>
      <c r="F2822" s="371"/>
      <c r="G2822" s="305" t="str">
        <f>B2822&amp;" "&amp;C2822</f>
        <v>24 在建工程（报表项目）</v>
      </c>
      <c r="H2822" s="306"/>
      <c r="I2822" s="306"/>
      <c r="J2822" s="306" t="s">
        <v>2740</v>
      </c>
      <c r="K2822" s="341">
        <f>VLOOKUP($A2822,Sheet_Trialbal,6,0)</f>
        <v>36687949.960000001</v>
      </c>
      <c r="L2822" s="342"/>
      <c r="M2822" s="306" t="s">
        <v>2741</v>
      </c>
      <c r="N2822" s="341">
        <f>VLOOKUP($A2822,Sheet_Trialbal,10,0)</f>
        <v>43951288.280000001</v>
      </c>
      <c r="O2822" s="342"/>
      <c r="P2822" s="301"/>
      <c r="S2822" s="364"/>
      <c r="Z2822" s="609" t="s">
        <v>1176</v>
      </c>
      <c r="AA2822" s="609" t="s">
        <v>19</v>
      </c>
    </row>
    <row r="2823" spans="1:27" ht="18">
      <c r="A2823" s="2712" t="s">
        <v>1174</v>
      </c>
      <c r="B2823" s="371">
        <v>1</v>
      </c>
      <c r="C2823" s="371"/>
      <c r="D2823" s="2714" t="str">
        <f>VLOOKUP($A2823,Sheet_NoteList,2,0)</f>
        <v>在建工程分类列示</v>
      </c>
      <c r="E2823" s="2714" t="s">
        <v>2742</v>
      </c>
      <c r="F2823" s="371"/>
      <c r="G2823" s="372" t="str">
        <f>"("&amp;B2823&amp;")"&amp;D2823</f>
        <v>(1)在建工程分类列示</v>
      </c>
      <c r="H2823" s="1515" t="str">
        <f>$A2823</f>
        <v>1616a</v>
      </c>
      <c r="I2823" s="343" t="s">
        <v>2743</v>
      </c>
      <c r="J2823" s="301" t="s">
        <v>2744</v>
      </c>
      <c r="K2823" s="2208">
        <f>H2829</f>
        <v>36687949.960000001</v>
      </c>
      <c r="L2823" s="349"/>
      <c r="M2823" s="301" t="s">
        <v>2745</v>
      </c>
      <c r="N2823" s="2208">
        <f>I2829</f>
        <v>43951288.280000001</v>
      </c>
      <c r="O2823" s="349"/>
      <c r="P2823" s="301"/>
      <c r="S2823" s="364"/>
      <c r="Z2823" s="609" t="s">
        <v>1176</v>
      </c>
      <c r="AA2823" s="609" t="s">
        <v>19</v>
      </c>
    </row>
    <row r="2824" spans="1:27" ht="0.75" customHeight="1" thickBot="1">
      <c r="A2824" s="2712"/>
      <c r="B2824" s="371"/>
      <c r="C2824" s="371"/>
      <c r="D2824" s="2714"/>
      <c r="F2824" s="371"/>
      <c r="G2824" s="405" t="s">
        <v>3640</v>
      </c>
      <c r="H2824" s="371" t="s">
        <v>2747</v>
      </c>
      <c r="I2824" s="371" t="s">
        <v>2748</v>
      </c>
      <c r="J2824" s="301"/>
      <c r="K2824" s="391"/>
      <c r="L2824" s="349"/>
      <c r="M2824" s="301"/>
      <c r="N2824" s="391"/>
      <c r="O2824" s="349"/>
      <c r="P2824" s="301"/>
      <c r="S2824" s="364"/>
      <c r="Z2824" s="609" t="s">
        <v>1176</v>
      </c>
      <c r="AA2824" s="609" t="s">
        <v>19</v>
      </c>
    </row>
    <row r="2825" spans="1:27" ht="18.75" thickTop="1">
      <c r="A2825" s="2712"/>
      <c r="B2825" s="371"/>
      <c r="C2825" s="371"/>
      <c r="D2825" s="2714"/>
      <c r="E2825" s="2714" t="s">
        <v>2749</v>
      </c>
      <c r="F2825" s="371"/>
      <c r="G2825" s="373" t="s">
        <v>47</v>
      </c>
      <c r="H2825" s="1452" t="str">
        <f>$V$2</f>
        <v>2019年12月31日</v>
      </c>
      <c r="I2825" s="1453" t="str">
        <f>$V$3</f>
        <v>2018年12月31日</v>
      </c>
      <c r="J2825" s="355" t="s">
        <v>5287</v>
      </c>
      <c r="K2825" s="1582" t="str">
        <f>""&amp;"&gt;本期:"&amp;""</f>
        <v>&gt;本期:</v>
      </c>
      <c r="L2825" s="1582" t="str">
        <f>""&amp;"&gt;上期:"&amp;""</f>
        <v>&gt;上期:</v>
      </c>
      <c r="M2825" s="2656" t="str">
        <f>""&amp;"NoteID"&amp;""</f>
        <v>NoteID</v>
      </c>
      <c r="N2825" s="391"/>
      <c r="O2825" s="349"/>
      <c r="P2825" s="301"/>
      <c r="S2825" s="364"/>
      <c r="Z2825" s="609" t="s">
        <v>1176</v>
      </c>
      <c r="AA2825" s="609" t="s">
        <v>19</v>
      </c>
    </row>
    <row r="2826" spans="1:27" ht="18">
      <c r="A2826" s="2712"/>
      <c r="B2826" s="371">
        <v>101</v>
      </c>
      <c r="C2826" s="371"/>
      <c r="D2826" s="2714">
        <f t="shared" ref="D2826:D2829" si="311">IF(OR(G2826="*",G2826="",G2826=0),0,COUNTIF($G$2826:$G$2829,G2826))</f>
        <v>1</v>
      </c>
      <c r="E2826" s="2719">
        <v>1</v>
      </c>
      <c r="F2826" s="371"/>
      <c r="G2826" s="308" t="s">
        <v>344</v>
      </c>
      <c r="H2826" s="309">
        <f>J2847</f>
        <v>29940410.460000001</v>
      </c>
      <c r="I2826" s="394">
        <v>37430861.509999998</v>
      </c>
      <c r="J2826" s="301"/>
      <c r="K2826" s="2250">
        <f ca="1">HYPERLINK("#'"&amp;$G$1&amp;"'!"&amp;ADDRESS(ROW(Notes!J2847),COLUMN(Notes!J2847),4),J2847-H2826)</f>
        <v>0</v>
      </c>
      <c r="L2826" s="2250">
        <f ca="1">HYPERLINK("#'"&amp;$G$1&amp;"'!"&amp;ADDRESS(ROW(Notes!M2847),COLUMN(Notes!M2847),4),M2847-I2826)</f>
        <v>0</v>
      </c>
      <c r="M2826" s="2663" t="str">
        <f>H2832</f>
        <v>1604a</v>
      </c>
      <c r="N2826" s="391"/>
      <c r="O2826" s="349"/>
      <c r="P2826" s="301"/>
      <c r="S2826" s="364"/>
      <c r="Z2826" s="609" t="s">
        <v>1176</v>
      </c>
      <c r="AA2826" s="609" t="s">
        <v>19</v>
      </c>
    </row>
    <row r="2827" spans="1:27" ht="18">
      <c r="A2827" s="2712"/>
      <c r="B2827" s="371">
        <v>102</v>
      </c>
      <c r="C2827" s="371"/>
      <c r="D2827" s="2714">
        <f t="shared" si="311"/>
        <v>1</v>
      </c>
      <c r="E2827" s="2719">
        <v>1</v>
      </c>
      <c r="F2827" s="371"/>
      <c r="G2827" s="308" t="s">
        <v>351</v>
      </c>
      <c r="H2827" s="309">
        <v>6747539.5</v>
      </c>
      <c r="I2827" s="394">
        <v>6520426.7699999996</v>
      </c>
      <c r="J2827" s="301"/>
      <c r="K2827" s="2250">
        <f ca="1">HYPERLINK("#'"&amp;$G$1&amp;"'!"&amp;ADDRESS(ROW(Notes!J2919),COLUMN(Notes!J2919),4),J2919-H2827)</f>
        <v>0</v>
      </c>
      <c r="L2827" s="2250">
        <f ca="1">HYPERLINK("#'"&amp;$G$1&amp;"'!"&amp;ADDRESS(ROW(Notes!M2919),COLUMN(Notes!M2919),4),M2919-I2827)</f>
        <v>0</v>
      </c>
      <c r="M2827" s="2663" t="str">
        <f>H2910</f>
        <v>1605a</v>
      </c>
      <c r="N2827" s="391"/>
      <c r="O2827" s="349"/>
      <c r="P2827" s="301"/>
      <c r="S2827" s="364"/>
      <c r="Z2827" s="609" t="s">
        <v>1176</v>
      </c>
      <c r="AA2827" s="609" t="s">
        <v>19</v>
      </c>
    </row>
    <row r="2828" spans="1:27" ht="18">
      <c r="A2828" s="2712"/>
      <c r="B2828" s="371">
        <v>103</v>
      </c>
      <c r="C2828" s="371" t="s">
        <v>2791</v>
      </c>
      <c r="D2828" s="2714">
        <f t="shared" si="311"/>
        <v>0</v>
      </c>
      <c r="E2828" s="2719">
        <v>1</v>
      </c>
      <c r="F2828" s="371"/>
      <c r="G2828" s="2566" t="s">
        <v>2792</v>
      </c>
      <c r="H2828" s="309"/>
      <c r="I2828" s="394"/>
      <c r="J2828" s="301"/>
      <c r="K2828" s="456"/>
      <c r="L2828" s="456"/>
      <c r="M2828" s="354"/>
      <c r="N2828" s="391"/>
      <c r="O2828" s="349"/>
      <c r="P2828" s="301"/>
      <c r="S2828" s="364"/>
      <c r="Z2828" s="609" t="s">
        <v>1176</v>
      </c>
      <c r="AA2828" s="609" t="s">
        <v>19</v>
      </c>
    </row>
    <row r="2829" spans="1:27" ht="18.75" thickBot="1">
      <c r="A2829" s="2712"/>
      <c r="B2829" s="371"/>
      <c r="C2829" s="371"/>
      <c r="D2829" s="2714">
        <f t="shared" si="311"/>
        <v>1</v>
      </c>
      <c r="E2829" s="2719" t="s">
        <v>2751</v>
      </c>
      <c r="F2829" s="371"/>
      <c r="G2829" s="374" t="s">
        <v>2752</v>
      </c>
      <c r="H2829" s="1476">
        <f>SUMPRODUCT($E2825:$E2828,H2825:H2828)</f>
        <v>36687949.960000001</v>
      </c>
      <c r="I2829" s="1477">
        <f>SUMPRODUCT($E2825:$E2828,I2825:I2828)</f>
        <v>43951288.280000001</v>
      </c>
      <c r="J2829" s="301"/>
      <c r="K2829" s="1529">
        <f t="shared" ref="K2829:L2829" ca="1" si="312">SUM(K2826:K2828)</f>
        <v>0</v>
      </c>
      <c r="L2829" s="1529">
        <f t="shared" ca="1" si="312"/>
        <v>0</v>
      </c>
      <c r="M2829" s="2662"/>
      <c r="N2829" s="391"/>
      <c r="O2829" s="349"/>
      <c r="P2829" s="301"/>
      <c r="S2829" s="364"/>
      <c r="Z2829" s="609" t="s">
        <v>1176</v>
      </c>
      <c r="AA2829" s="609" t="s">
        <v>19</v>
      </c>
    </row>
    <row r="2830" spans="1:27" ht="18">
      <c r="A2830" s="2712"/>
      <c r="B2830" s="371"/>
      <c r="C2830" s="371" t="s">
        <v>2755</v>
      </c>
      <c r="D2830" s="2714"/>
      <c r="F2830" s="371"/>
      <c r="G2830" s="376"/>
      <c r="H2830" s="315"/>
      <c r="I2830" s="396"/>
      <c r="J2830" s="301"/>
      <c r="K2830" s="1537" t="s">
        <v>5493</v>
      </c>
      <c r="L2830" s="317"/>
      <c r="M2830" s="354"/>
      <c r="N2830" s="391"/>
      <c r="O2830" s="349"/>
      <c r="P2830" s="301"/>
      <c r="S2830" s="364"/>
      <c r="Z2830" s="609" t="s">
        <v>1176</v>
      </c>
      <c r="AA2830" s="609" t="s">
        <v>19</v>
      </c>
    </row>
    <row r="2831" spans="1:27" ht="18">
      <c r="A2831" s="2712">
        <v>1604</v>
      </c>
      <c r="B2831" s="371">
        <v>24.1</v>
      </c>
      <c r="C2831" s="2714" t="str">
        <f>VLOOKUP($A2831,Sheet_Items,2,0)</f>
        <v>在建工程</v>
      </c>
      <c r="D2831" s="371"/>
      <c r="E2831" s="2714" t="s">
        <v>2739</v>
      </c>
      <c r="F2831" s="294"/>
      <c r="G2831" s="305" t="str">
        <f>B2831&amp;" "&amp;C2831</f>
        <v>24.1 在建工程</v>
      </c>
      <c r="H2831" s="306"/>
      <c r="I2831" s="306"/>
      <c r="J2831" s="306" t="s">
        <v>2740</v>
      </c>
      <c r="K2831" s="341">
        <f>VLOOKUP($A2831,Sheet_Trialbal,6,0)</f>
        <v>29940410.460000001</v>
      </c>
      <c r="L2831" s="342"/>
      <c r="M2831" s="306" t="s">
        <v>2741</v>
      </c>
      <c r="N2831" s="341">
        <f>VLOOKUP($A2831,Sheet_Trialbal,10,0)</f>
        <v>43951288.280000001</v>
      </c>
      <c r="O2831" s="306"/>
      <c r="P2831" s="301"/>
      <c r="S2831" s="364"/>
      <c r="Z2831" s="609" t="s">
        <v>1181</v>
      </c>
      <c r="AA2831" s="609" t="s">
        <v>3646</v>
      </c>
    </row>
    <row r="2832" spans="1:27" ht="18">
      <c r="A2832" s="2712" t="s">
        <v>1179</v>
      </c>
      <c r="B2832" s="371">
        <v>1</v>
      </c>
      <c r="C2832" s="371"/>
      <c r="D2832" s="2714" t="str">
        <f>VLOOKUP($A2832,Sheet_NoteList,2,0)</f>
        <v>在建工程情况</v>
      </c>
      <c r="E2832" s="2714" t="s">
        <v>2742</v>
      </c>
      <c r="F2832" s="294"/>
      <c r="G2832" s="307" t="str">
        <f>"("&amp;B2832&amp;")"&amp;D2832</f>
        <v>(1)在建工程情况</v>
      </c>
      <c r="H2832" s="1515" t="str">
        <f>$A2832</f>
        <v>1604a</v>
      </c>
      <c r="I2832" s="343" t="s">
        <v>2743</v>
      </c>
      <c r="J2832" s="301" t="s">
        <v>2744</v>
      </c>
      <c r="K2832" s="2208">
        <f>J2847</f>
        <v>29940410.460000001</v>
      </c>
      <c r="L2832" s="345" t="str">
        <f>IF($I2832="适用",IF(ROUND(K2831-K2832,2)=0,"F/S",ROUND(K2831-K2832,2)),"#N/A")</f>
        <v>F/S</v>
      </c>
      <c r="M2832" s="301" t="s">
        <v>2745</v>
      </c>
      <c r="N2832" s="2208">
        <f>M2847</f>
        <v>37430861.509999998</v>
      </c>
      <c r="O2832" s="345">
        <f>IF($I2832="适用",IF(ROUND(N2831-N2832,2)=0,"F/S",ROUND(N2831-N2832,2)),"#N/A")</f>
        <v>6520426.7699999996</v>
      </c>
      <c r="P2832" s="301"/>
      <c r="Q2832" s="290" t="str">
        <f>IF($I2832="不适用","",IF(ROUND(SUM($H$2837:$M$2847),2)=0,"请输入",""))</f>
        <v/>
      </c>
      <c r="S2832" s="364"/>
      <c r="Z2832" s="609" t="s">
        <v>1181</v>
      </c>
      <c r="AA2832" s="609" t="s">
        <v>3646</v>
      </c>
    </row>
    <row r="2833" spans="1:29" ht="0.75" customHeight="1">
      <c r="A2833" s="2712"/>
      <c r="B2833" s="371"/>
      <c r="C2833" s="371"/>
      <c r="D2833" s="371"/>
      <c r="E2833" s="586"/>
      <c r="F2833" s="518"/>
      <c r="G2833" s="518" t="s">
        <v>3641</v>
      </c>
      <c r="H2833" s="304" t="s">
        <v>2882</v>
      </c>
      <c r="I2833" s="304" t="s">
        <v>3365</v>
      </c>
      <c r="J2833" s="304" t="s">
        <v>3642</v>
      </c>
      <c r="K2833" s="304" t="s">
        <v>3209</v>
      </c>
      <c r="L2833" s="304" t="s">
        <v>3366</v>
      </c>
      <c r="M2833" s="304" t="s">
        <v>3643</v>
      </c>
      <c r="N2833" s="291"/>
      <c r="O2833" s="291"/>
      <c r="P2833" s="291"/>
      <c r="Q2833" s="367"/>
      <c r="R2833" s="367"/>
      <c r="S2833" s="364"/>
      <c r="Z2833" s="609" t="s">
        <v>1181</v>
      </c>
      <c r="AA2833" s="609" t="s">
        <v>3646</v>
      </c>
    </row>
    <row r="2834" spans="1:29" ht="0.75" customHeight="1" thickBot="1">
      <c r="A2834" s="2712"/>
      <c r="B2834" s="371"/>
      <c r="C2834" s="371"/>
      <c r="D2834" s="371"/>
      <c r="E2834" s="586"/>
      <c r="F2834" s="518"/>
      <c r="G2834" s="518"/>
      <c r="H2834" s="304" t="s">
        <v>2968</v>
      </c>
      <c r="I2834" s="304" t="s">
        <v>3096</v>
      </c>
      <c r="J2834" s="304" t="s">
        <v>3644</v>
      </c>
      <c r="K2834" s="304" t="s">
        <v>3105</v>
      </c>
      <c r="L2834" s="304" t="s">
        <v>3367</v>
      </c>
      <c r="M2834" s="304" t="s">
        <v>3645</v>
      </c>
      <c r="N2834" s="291"/>
      <c r="O2834" s="291"/>
      <c r="P2834" s="291"/>
      <c r="Q2834" s="367"/>
      <c r="R2834" s="367"/>
      <c r="S2834" s="364"/>
      <c r="Z2834" s="609" t="s">
        <v>1181</v>
      </c>
      <c r="AA2834" s="609" t="s">
        <v>3646</v>
      </c>
    </row>
    <row r="2835" spans="1:29" ht="18">
      <c r="A2835" s="2712"/>
      <c r="B2835" s="371"/>
      <c r="C2835" s="371"/>
      <c r="D2835" s="371"/>
      <c r="E2835" s="586" t="s">
        <v>2749</v>
      </c>
      <c r="F2835" s="363"/>
      <c r="G2835" s="3487" t="s">
        <v>47</v>
      </c>
      <c r="H2835" s="3625" t="str">
        <f>$V$2</f>
        <v>2019年12月31日</v>
      </c>
      <c r="I2835" s="3625"/>
      <c r="J2835" s="3625"/>
      <c r="K2835" s="3625" t="str">
        <f>$V$3</f>
        <v>2018年12月31日</v>
      </c>
      <c r="L2835" s="3625"/>
      <c r="M2835" s="3626"/>
      <c r="N2835" s="355" t="s">
        <v>5287</v>
      </c>
      <c r="O2835" s="291"/>
      <c r="P2835" s="291"/>
      <c r="Q2835" s="367"/>
      <c r="R2835" s="367"/>
      <c r="S2835" s="364"/>
      <c r="Z2835" s="609" t="s">
        <v>1181</v>
      </c>
      <c r="AA2835" s="609" t="s">
        <v>3646</v>
      </c>
    </row>
    <row r="2836" spans="1:29" ht="18">
      <c r="A2836" s="2712"/>
      <c r="B2836" s="371"/>
      <c r="C2836" s="371"/>
      <c r="D2836" s="371"/>
      <c r="E2836" s="586" t="s">
        <v>2749</v>
      </c>
      <c r="F2836" s="363"/>
      <c r="G2836" s="3488"/>
      <c r="H2836" s="2618" t="s">
        <v>5128</v>
      </c>
      <c r="I2836" s="2618" t="s">
        <v>3097</v>
      </c>
      <c r="J2836" s="2618" t="s">
        <v>2863</v>
      </c>
      <c r="K2836" s="2618" t="s">
        <v>2861</v>
      </c>
      <c r="L2836" s="2618" t="s">
        <v>3097</v>
      </c>
      <c r="M2836" s="2616" t="s">
        <v>2863</v>
      </c>
      <c r="N2836" s="291"/>
      <c r="O2836" s="291"/>
      <c r="P2836" s="291"/>
      <c r="Q2836" s="367"/>
      <c r="R2836" s="367"/>
      <c r="S2836" s="364"/>
      <c r="Z2836" s="609" t="s">
        <v>1181</v>
      </c>
      <c r="AA2836" s="609" t="s">
        <v>3646</v>
      </c>
    </row>
    <row r="2837" spans="1:29" ht="24">
      <c r="A2837" s="2712"/>
      <c r="B2837" s="371">
        <v>101</v>
      </c>
      <c r="C2837" s="371" t="s">
        <v>2791</v>
      </c>
      <c r="D2837" s="2714">
        <f t="shared" ref="D2837:D2847" si="313">IF(OR(G2837="*",G2837="",G2837=0),0,COUNTIF($G$2837:$G$2847,G2837))</f>
        <v>1</v>
      </c>
      <c r="E2837" s="2719">
        <v>1</v>
      </c>
      <c r="F2837" s="294"/>
      <c r="G2837" s="2617" t="s">
        <v>7373</v>
      </c>
      <c r="H2837" s="2273">
        <v>116184474.69</v>
      </c>
      <c r="I2837" s="2273">
        <v>92185763.840000004</v>
      </c>
      <c r="J2837" s="1474">
        <f t="shared" ref="J2837:J2846" si="314">H2837-I2837</f>
        <v>23998710.850000001</v>
      </c>
      <c r="K2837" s="2273">
        <v>116184474.69</v>
      </c>
      <c r="L2837" s="2273">
        <v>84454279.640000001</v>
      </c>
      <c r="M2837" s="1475">
        <f t="shared" ref="M2837:M2846" si="315">K2837-L2837</f>
        <v>31730195.050000001</v>
      </c>
      <c r="N2837" s="291"/>
      <c r="O2837" s="291"/>
      <c r="P2837" s="291"/>
      <c r="Q2837" s="367"/>
      <c r="R2837" s="367"/>
      <c r="S2837" s="364"/>
      <c r="Z2837" s="609" t="s">
        <v>1181</v>
      </c>
      <c r="AA2837" s="609" t="s">
        <v>3646</v>
      </c>
    </row>
    <row r="2838" spans="1:29" ht="18">
      <c r="A2838" s="2712"/>
      <c r="B2838" s="371">
        <v>102</v>
      </c>
      <c r="C2838" s="371" t="s">
        <v>2791</v>
      </c>
      <c r="D2838" s="2714">
        <f t="shared" si="313"/>
        <v>1</v>
      </c>
      <c r="E2838" s="2719">
        <v>1</v>
      </c>
      <c r="F2838" s="294"/>
      <c r="G2838" s="2617" t="s">
        <v>7374</v>
      </c>
      <c r="H2838" s="2273"/>
      <c r="I2838" s="2273"/>
      <c r="J2838" s="1474">
        <f t="shared" si="314"/>
        <v>0</v>
      </c>
      <c r="K2838" s="2273"/>
      <c r="L2838" s="2273"/>
      <c r="M2838" s="1475">
        <f t="shared" si="315"/>
        <v>0</v>
      </c>
      <c r="N2838" s="291"/>
      <c r="O2838" s="291"/>
      <c r="P2838" s="291"/>
      <c r="Q2838" s="367"/>
      <c r="R2838" s="367"/>
      <c r="S2838" s="364"/>
      <c r="Z2838" s="609" t="s">
        <v>1181</v>
      </c>
      <c r="AA2838" s="609" t="s">
        <v>3646</v>
      </c>
    </row>
    <row r="2839" spans="1:29" ht="18">
      <c r="A2839" s="2712"/>
      <c r="B2839" s="371">
        <v>103</v>
      </c>
      <c r="C2839" s="371" t="s">
        <v>2791</v>
      </c>
      <c r="D2839" s="2714">
        <f t="shared" si="313"/>
        <v>1</v>
      </c>
      <c r="E2839" s="2719">
        <v>1</v>
      </c>
      <c r="F2839" s="294"/>
      <c r="G2839" s="2617" t="s">
        <v>7375</v>
      </c>
      <c r="H2839" s="2273"/>
      <c r="I2839" s="2273"/>
      <c r="J2839" s="1474">
        <f t="shared" si="314"/>
        <v>0</v>
      </c>
      <c r="K2839" s="2273"/>
      <c r="L2839" s="2273"/>
      <c r="M2839" s="1475">
        <f t="shared" si="315"/>
        <v>0</v>
      </c>
      <c r="N2839" s="291"/>
      <c r="O2839" s="291"/>
      <c r="P2839" s="291"/>
      <c r="Q2839" s="367"/>
      <c r="R2839" s="367"/>
      <c r="S2839" s="364"/>
      <c r="Z2839" s="609" t="s">
        <v>1181</v>
      </c>
      <c r="AA2839" s="609" t="s">
        <v>3646</v>
      </c>
    </row>
    <row r="2840" spans="1:29" ht="18">
      <c r="A2840" s="2712"/>
      <c r="B2840" s="371">
        <v>104</v>
      </c>
      <c r="C2840" s="371" t="s">
        <v>2791</v>
      </c>
      <c r="D2840" s="2714">
        <f t="shared" si="313"/>
        <v>1</v>
      </c>
      <c r="E2840" s="2719">
        <v>1</v>
      </c>
      <c r="F2840" s="294"/>
      <c r="G2840" s="2617" t="s">
        <v>7376</v>
      </c>
      <c r="H2840" s="2273">
        <v>5941699.6100000003</v>
      </c>
      <c r="I2840" s="2273"/>
      <c r="J2840" s="1474">
        <f t="shared" si="314"/>
        <v>5941699.6100000003</v>
      </c>
      <c r="K2840" s="2273">
        <v>5700666.46</v>
      </c>
      <c r="L2840" s="2273"/>
      <c r="M2840" s="1475">
        <f t="shared" si="315"/>
        <v>5700666.46</v>
      </c>
      <c r="N2840" s="291"/>
      <c r="O2840" s="291"/>
      <c r="P2840" s="291"/>
      <c r="Q2840" s="367"/>
      <c r="R2840" s="367"/>
      <c r="S2840" s="364"/>
      <c r="Z2840" s="609" t="s">
        <v>1181</v>
      </c>
      <c r="AA2840" s="609" t="s">
        <v>3646</v>
      </c>
    </row>
    <row r="2841" spans="1:29" ht="18">
      <c r="A2841" s="2712"/>
      <c r="B2841" s="371">
        <v>105</v>
      </c>
      <c r="C2841" s="371" t="s">
        <v>2791</v>
      </c>
      <c r="D2841" s="2714">
        <f t="shared" si="313"/>
        <v>0</v>
      </c>
      <c r="E2841" s="2719">
        <v>1</v>
      </c>
      <c r="F2841" s="294"/>
      <c r="G2841" s="2617" t="s">
        <v>2792</v>
      </c>
      <c r="H2841" s="2273"/>
      <c r="I2841" s="2273"/>
      <c r="J2841" s="1474">
        <f t="shared" si="314"/>
        <v>0</v>
      </c>
      <c r="K2841" s="2273"/>
      <c r="L2841" s="2273"/>
      <c r="M2841" s="1475">
        <f t="shared" si="315"/>
        <v>0</v>
      </c>
      <c r="N2841" s="291"/>
      <c r="O2841" s="291"/>
      <c r="P2841" s="291"/>
      <c r="Q2841" s="367"/>
      <c r="R2841" s="367"/>
      <c r="S2841" s="364"/>
      <c r="Z2841" s="609" t="s">
        <v>1181</v>
      </c>
      <c r="AA2841" s="609" t="s">
        <v>3646</v>
      </c>
    </row>
    <row r="2842" spans="1:29" ht="18">
      <c r="A2842" s="2712"/>
      <c r="B2842" s="371">
        <v>106</v>
      </c>
      <c r="C2842" s="371" t="s">
        <v>2791</v>
      </c>
      <c r="D2842" s="2714">
        <f t="shared" si="313"/>
        <v>0</v>
      </c>
      <c r="E2842" s="2719">
        <v>1</v>
      </c>
      <c r="F2842" s="294"/>
      <c r="G2842" s="2617" t="s">
        <v>2792</v>
      </c>
      <c r="H2842" s="2273"/>
      <c r="I2842" s="2273"/>
      <c r="J2842" s="1474">
        <f t="shared" si="314"/>
        <v>0</v>
      </c>
      <c r="K2842" s="2273"/>
      <c r="L2842" s="2273"/>
      <c r="M2842" s="1475">
        <f t="shared" si="315"/>
        <v>0</v>
      </c>
      <c r="N2842" s="291"/>
      <c r="O2842" s="291"/>
      <c r="P2842" s="291"/>
      <c r="Q2842" s="367"/>
      <c r="R2842" s="367"/>
      <c r="S2842" s="364"/>
      <c r="Z2842" s="609" t="s">
        <v>1181</v>
      </c>
      <c r="AA2842" s="609" t="s">
        <v>3646</v>
      </c>
    </row>
    <row r="2843" spans="1:29" ht="18">
      <c r="A2843" s="2712"/>
      <c r="B2843" s="371">
        <v>107</v>
      </c>
      <c r="C2843" s="371" t="s">
        <v>2791</v>
      </c>
      <c r="D2843" s="2714">
        <f t="shared" si="313"/>
        <v>0</v>
      </c>
      <c r="E2843" s="2719">
        <v>1</v>
      </c>
      <c r="F2843" s="294"/>
      <c r="G2843" s="2617" t="s">
        <v>2792</v>
      </c>
      <c r="H2843" s="2273"/>
      <c r="I2843" s="2273"/>
      <c r="J2843" s="1474">
        <f t="shared" si="314"/>
        <v>0</v>
      </c>
      <c r="K2843" s="2273"/>
      <c r="L2843" s="2273"/>
      <c r="M2843" s="1475">
        <f t="shared" si="315"/>
        <v>0</v>
      </c>
      <c r="N2843" s="291"/>
      <c r="O2843" s="291"/>
      <c r="P2843" s="291"/>
      <c r="Q2843" s="367"/>
      <c r="R2843" s="367"/>
      <c r="S2843" s="364"/>
      <c r="Z2843" s="609" t="s">
        <v>1181</v>
      </c>
      <c r="AA2843" s="609" t="s">
        <v>3646</v>
      </c>
    </row>
    <row r="2844" spans="1:29" ht="18">
      <c r="A2844" s="2712"/>
      <c r="B2844" s="371">
        <v>108</v>
      </c>
      <c r="C2844" s="371" t="s">
        <v>2791</v>
      </c>
      <c r="D2844" s="2714">
        <f t="shared" si="313"/>
        <v>0</v>
      </c>
      <c r="E2844" s="2719">
        <v>1</v>
      </c>
      <c r="F2844" s="294"/>
      <c r="G2844" s="2617" t="s">
        <v>2792</v>
      </c>
      <c r="H2844" s="2273"/>
      <c r="I2844" s="2273"/>
      <c r="J2844" s="1474">
        <f t="shared" si="314"/>
        <v>0</v>
      </c>
      <c r="K2844" s="2273"/>
      <c r="L2844" s="2273"/>
      <c r="M2844" s="1475">
        <f t="shared" si="315"/>
        <v>0</v>
      </c>
      <c r="N2844" s="291"/>
      <c r="O2844" s="291"/>
      <c r="P2844" s="291"/>
      <c r="Q2844" s="367"/>
      <c r="R2844" s="367"/>
      <c r="S2844" s="364"/>
      <c r="Z2844" s="609" t="s">
        <v>1181</v>
      </c>
      <c r="AA2844" s="609" t="s">
        <v>3646</v>
      </c>
    </row>
    <row r="2845" spans="1:29" ht="18">
      <c r="A2845" s="2712"/>
      <c r="B2845" s="371">
        <v>109</v>
      </c>
      <c r="C2845" s="371" t="s">
        <v>2791</v>
      </c>
      <c r="D2845" s="2714">
        <f t="shared" si="313"/>
        <v>0</v>
      </c>
      <c r="E2845" s="2719">
        <v>1</v>
      </c>
      <c r="F2845" s="294"/>
      <c r="G2845" s="2617" t="s">
        <v>2792</v>
      </c>
      <c r="H2845" s="2273"/>
      <c r="I2845" s="2273"/>
      <c r="J2845" s="1474">
        <f t="shared" si="314"/>
        <v>0</v>
      </c>
      <c r="K2845" s="2273"/>
      <c r="L2845" s="2273"/>
      <c r="M2845" s="1475">
        <f t="shared" si="315"/>
        <v>0</v>
      </c>
      <c r="N2845" s="291"/>
      <c r="O2845" s="291"/>
      <c r="P2845" s="291"/>
      <c r="Q2845" s="367"/>
      <c r="R2845" s="367"/>
      <c r="S2845" s="364"/>
      <c r="Z2845" s="609" t="s">
        <v>1181</v>
      </c>
      <c r="AA2845" s="609" t="s">
        <v>3646</v>
      </c>
    </row>
    <row r="2846" spans="1:29" ht="18">
      <c r="A2846" s="2712"/>
      <c r="B2846" s="371">
        <v>110</v>
      </c>
      <c r="C2846" s="371" t="s">
        <v>2791</v>
      </c>
      <c r="D2846" s="2714">
        <f t="shared" si="313"/>
        <v>0</v>
      </c>
      <c r="E2846" s="2719">
        <v>1</v>
      </c>
      <c r="F2846" s="294"/>
      <c r="G2846" s="2617" t="s">
        <v>2792</v>
      </c>
      <c r="H2846" s="2273"/>
      <c r="I2846" s="2273"/>
      <c r="J2846" s="1474">
        <f t="shared" si="314"/>
        <v>0</v>
      </c>
      <c r="K2846" s="2273"/>
      <c r="L2846" s="2273"/>
      <c r="M2846" s="1475">
        <f t="shared" si="315"/>
        <v>0</v>
      </c>
      <c r="N2846" s="291"/>
      <c r="O2846" s="291"/>
      <c r="P2846" s="291"/>
      <c r="Q2846" s="367"/>
      <c r="R2846" s="367"/>
      <c r="S2846" s="364"/>
      <c r="Z2846" s="609" t="s">
        <v>1181</v>
      </c>
      <c r="AA2846" s="609" t="s">
        <v>3646</v>
      </c>
    </row>
    <row r="2847" spans="1:29" ht="18.75" thickBot="1">
      <c r="A2847" s="2712"/>
      <c r="B2847" s="371"/>
      <c r="C2847" s="371"/>
      <c r="D2847" s="2714">
        <f t="shared" si="313"/>
        <v>1</v>
      </c>
      <c r="E2847" s="2719" t="s">
        <v>2751</v>
      </c>
      <c r="F2847" s="294"/>
      <c r="G2847" s="374" t="s">
        <v>2752</v>
      </c>
      <c r="H2847" s="1476">
        <f t="shared" ref="H2847:M2847" si="316">SUMPRODUCT($E2836:$E2846,H2836:H2846)</f>
        <v>122126174.3</v>
      </c>
      <c r="I2847" s="1476">
        <f t="shared" si="316"/>
        <v>92185763.840000004</v>
      </c>
      <c r="J2847" s="1476">
        <f t="shared" si="316"/>
        <v>29940410.460000001</v>
      </c>
      <c r="K2847" s="1476">
        <f t="shared" si="316"/>
        <v>121885141.15000001</v>
      </c>
      <c r="L2847" s="1476">
        <f t="shared" si="316"/>
        <v>84454279.640000001</v>
      </c>
      <c r="M2847" s="1477">
        <f t="shared" si="316"/>
        <v>37430861.509999998</v>
      </c>
      <c r="N2847" s="1531" t="str">
        <f ca="1">HYPERLINK("#'"&amp;$G$1&amp;"'!"&amp;ADDRESS(ROW(Notes!K2826),COLUMN(Notes!K2826),4),"* 请勿删除此行！点击往勾稽单元格，F5+Enter返回")</f>
        <v>* 请勿删除此行！点击往勾稽单元格，F5+Enter返回</v>
      </c>
      <c r="O2847" s="291"/>
      <c r="P2847" s="291"/>
      <c r="Q2847" s="367"/>
      <c r="R2847" s="367"/>
      <c r="S2847" s="364"/>
      <c r="Z2847" s="609" t="s">
        <v>1181</v>
      </c>
      <c r="AA2847" s="609" t="s">
        <v>3646</v>
      </c>
      <c r="AC2847" s="369" t="s">
        <v>6571</v>
      </c>
    </row>
    <row r="2848" spans="1:29" ht="18">
      <c r="A2848" s="2712"/>
      <c r="B2848" s="371"/>
      <c r="C2848" s="371" t="s">
        <v>2755</v>
      </c>
      <c r="D2848" s="371"/>
      <c r="F2848" s="294"/>
      <c r="G2848" s="301"/>
      <c r="H2848" s="315"/>
      <c r="I2848" s="315"/>
      <c r="J2848" s="315"/>
      <c r="K2848" s="315"/>
      <c r="L2848" s="315"/>
      <c r="M2848" s="315"/>
      <c r="N2848" s="291"/>
      <c r="O2848" s="291"/>
      <c r="P2848" s="291"/>
      <c r="Q2848" s="367"/>
      <c r="R2848" s="367"/>
      <c r="S2848" s="364"/>
      <c r="Z2848" s="609" t="s">
        <v>1181</v>
      </c>
      <c r="AA2848" s="609" t="s">
        <v>3646</v>
      </c>
    </row>
    <row r="2849" spans="1:27" ht="18">
      <c r="A2849" s="2712" t="s">
        <v>1190</v>
      </c>
      <c r="B2849" s="371">
        <v>2</v>
      </c>
      <c r="C2849" s="371"/>
      <c r="D2849" s="2714" t="str">
        <f>VLOOKUP($A2849,Sheet_NoteList,2,0)</f>
        <v>重要在建工程项目变动情况列示</v>
      </c>
      <c r="E2849" s="2714" t="s">
        <v>6529</v>
      </c>
      <c r="F2849" s="294"/>
      <c r="G2849" s="307" t="str">
        <f>"("&amp;B2849&amp;")"&amp;D2849</f>
        <v>(2)重要在建工程项目变动情况列示</v>
      </c>
      <c r="H2849" s="1515" t="str">
        <f>$A2849</f>
        <v>1604b</v>
      </c>
      <c r="I2849" s="343" t="s">
        <v>5963</v>
      </c>
      <c r="J2849" s="301" t="s">
        <v>2744</v>
      </c>
      <c r="K2849" s="3084">
        <f>I2862</f>
        <v>116184474.69</v>
      </c>
      <c r="L2849" s="315"/>
      <c r="M2849" s="301" t="s">
        <v>2745</v>
      </c>
      <c r="N2849" s="2208">
        <f>M2862</f>
        <v>116184474.69</v>
      </c>
      <c r="O2849" s="1533"/>
      <c r="P2849" s="301"/>
      <c r="Q2849" s="290" t="str">
        <f>IF($I2849="不适用","",IF(ROUND(SUM($H$2852:$O$2862),2)=0,"请输入",""))</f>
        <v/>
      </c>
      <c r="S2849" s="364"/>
      <c r="Z2849" s="609" t="s">
        <v>1181</v>
      </c>
      <c r="AA2849" s="609" t="s">
        <v>3646</v>
      </c>
    </row>
    <row r="2850" spans="1:27" ht="0.75" customHeight="1" thickBot="1">
      <c r="A2850" s="2712"/>
      <c r="B2850" s="371"/>
      <c r="C2850" s="371"/>
      <c r="D2850" s="371"/>
      <c r="E2850" s="586"/>
      <c r="F2850" s="586"/>
      <c r="G2850" s="586" t="s">
        <v>3652</v>
      </c>
      <c r="H2850" s="371" t="s">
        <v>3665</v>
      </c>
      <c r="I2850" s="371" t="s">
        <v>2904</v>
      </c>
      <c r="J2850" s="371" t="s">
        <v>3255</v>
      </c>
      <c r="K2850" s="371" t="s">
        <v>3653</v>
      </c>
      <c r="L2850" s="371" t="s">
        <v>3654</v>
      </c>
      <c r="M2850" s="371" t="s">
        <v>3569</v>
      </c>
      <c r="N2850" s="1602"/>
      <c r="O2850" s="1602"/>
      <c r="P2850" s="1602"/>
      <c r="Q2850" s="1602"/>
      <c r="R2850" s="1602"/>
      <c r="S2850" s="364"/>
      <c r="Z2850" s="609" t="s">
        <v>1181</v>
      </c>
      <c r="AA2850" s="609" t="s">
        <v>3646</v>
      </c>
    </row>
    <row r="2851" spans="1:27" ht="24">
      <c r="A2851" s="2712"/>
      <c r="B2851" s="371"/>
      <c r="C2851" s="371"/>
      <c r="D2851" s="371"/>
      <c r="E2851" s="586" t="s">
        <v>2749</v>
      </c>
      <c r="F2851" s="363"/>
      <c r="G2851" s="2355" t="s">
        <v>1476</v>
      </c>
      <c r="H2851" s="2351" t="s">
        <v>3648</v>
      </c>
      <c r="I2851" s="2473" t="str">
        <f>$V$3</f>
        <v>2018年12月31日</v>
      </c>
      <c r="J2851" s="2351" t="s">
        <v>3649</v>
      </c>
      <c r="K2851" s="2351" t="s">
        <v>3650</v>
      </c>
      <c r="L2851" s="2351" t="s">
        <v>3651</v>
      </c>
      <c r="M2851" s="2478" t="str">
        <f>$V$2</f>
        <v>2019年12月31日</v>
      </c>
      <c r="N2851" s="355" t="s">
        <v>5287</v>
      </c>
      <c r="O2851" s="1602"/>
      <c r="P2851" s="1602"/>
      <c r="Q2851" s="1602"/>
      <c r="R2851" s="1602"/>
      <c r="S2851" s="364"/>
      <c r="Z2851" s="609" t="s">
        <v>1181</v>
      </c>
      <c r="AA2851" s="609" t="s">
        <v>3646</v>
      </c>
    </row>
    <row r="2852" spans="1:27" ht="24">
      <c r="A2852" s="2712"/>
      <c r="B2852" s="371">
        <v>101</v>
      </c>
      <c r="C2852" s="371" t="s">
        <v>2791</v>
      </c>
      <c r="D2852" s="2714">
        <f t="shared" ref="D2852:D2862" si="317">IF(OR(G2852="*",G2852="",G2852=0),0,COUNTIF($G$2852:$G$2862,G2852))</f>
        <v>1</v>
      </c>
      <c r="E2852" s="2719">
        <v>1</v>
      </c>
      <c r="F2852" s="294"/>
      <c r="G2852" s="2352" t="s">
        <v>7373</v>
      </c>
      <c r="H2852" s="2273"/>
      <c r="I2852" s="2273">
        <v>116184474.69</v>
      </c>
      <c r="J2852" s="2273"/>
      <c r="K2852" s="2273"/>
      <c r="L2852" s="2273"/>
      <c r="M2852" s="1475">
        <f>I2852+J2852-K2852-L2852</f>
        <v>116184474.69</v>
      </c>
      <c r="N2852" s="1602"/>
      <c r="O2852" s="1602"/>
      <c r="P2852" s="1602"/>
      <c r="Q2852" s="1602"/>
      <c r="R2852" s="1602"/>
      <c r="S2852" s="364"/>
      <c r="Z2852" s="609" t="s">
        <v>1181</v>
      </c>
      <c r="AA2852" s="609" t="s">
        <v>3646</v>
      </c>
    </row>
    <row r="2853" spans="1:27" ht="18">
      <c r="A2853" s="2712"/>
      <c r="B2853" s="371">
        <v>102</v>
      </c>
      <c r="C2853" s="371" t="s">
        <v>2791</v>
      </c>
      <c r="D2853" s="2714">
        <f t="shared" si="317"/>
        <v>0</v>
      </c>
      <c r="E2853" s="2719">
        <v>1</v>
      </c>
      <c r="F2853" s="294"/>
      <c r="G2853" s="2352" t="s">
        <v>2792</v>
      </c>
      <c r="H2853" s="2273"/>
      <c r="I2853" s="2273"/>
      <c r="J2853" s="2273"/>
      <c r="K2853" s="2273"/>
      <c r="L2853" s="2273"/>
      <c r="M2853" s="1475">
        <f t="shared" ref="M2853:M2861" si="318">I2853+J2853-K2853-L2853</f>
        <v>0</v>
      </c>
      <c r="N2853" s="1602"/>
      <c r="O2853" s="1602"/>
      <c r="P2853" s="1602"/>
      <c r="Q2853" s="1602"/>
      <c r="R2853" s="1602"/>
      <c r="S2853" s="364"/>
      <c r="Z2853" s="609" t="s">
        <v>1181</v>
      </c>
      <c r="AA2853" s="609" t="s">
        <v>3646</v>
      </c>
    </row>
    <row r="2854" spans="1:27" ht="18">
      <c r="A2854" s="2712"/>
      <c r="B2854" s="371">
        <v>103</v>
      </c>
      <c r="C2854" s="371" t="s">
        <v>2791</v>
      </c>
      <c r="D2854" s="2714">
        <f t="shared" si="317"/>
        <v>0</v>
      </c>
      <c r="E2854" s="2719">
        <v>1</v>
      </c>
      <c r="F2854" s="294"/>
      <c r="G2854" s="2352" t="s">
        <v>2792</v>
      </c>
      <c r="H2854" s="2273"/>
      <c r="I2854" s="2273"/>
      <c r="J2854" s="2273"/>
      <c r="K2854" s="2273"/>
      <c r="L2854" s="2273"/>
      <c r="M2854" s="1475">
        <f t="shared" si="318"/>
        <v>0</v>
      </c>
      <c r="N2854" s="1602"/>
      <c r="O2854" s="1602"/>
      <c r="P2854" s="1602"/>
      <c r="Q2854" s="1602"/>
      <c r="R2854" s="1602"/>
      <c r="S2854" s="364"/>
      <c r="Z2854" s="609" t="s">
        <v>1181</v>
      </c>
      <c r="AA2854" s="609" t="s">
        <v>3646</v>
      </c>
    </row>
    <row r="2855" spans="1:27" ht="18">
      <c r="A2855" s="2712"/>
      <c r="B2855" s="371">
        <v>104</v>
      </c>
      <c r="C2855" s="371" t="s">
        <v>2791</v>
      </c>
      <c r="D2855" s="2714">
        <f t="shared" si="317"/>
        <v>0</v>
      </c>
      <c r="E2855" s="2719">
        <v>1</v>
      </c>
      <c r="F2855" s="294"/>
      <c r="G2855" s="2352" t="s">
        <v>2792</v>
      </c>
      <c r="H2855" s="2273"/>
      <c r="I2855" s="2273"/>
      <c r="J2855" s="2273"/>
      <c r="K2855" s="2273"/>
      <c r="L2855" s="2273"/>
      <c r="M2855" s="1475">
        <f t="shared" si="318"/>
        <v>0</v>
      </c>
      <c r="N2855" s="1602"/>
      <c r="O2855" s="1602"/>
      <c r="P2855" s="1602"/>
      <c r="Q2855" s="1602"/>
      <c r="R2855" s="1602"/>
      <c r="S2855" s="364"/>
      <c r="Z2855" s="609" t="s">
        <v>1181</v>
      </c>
      <c r="AA2855" s="609" t="s">
        <v>3646</v>
      </c>
    </row>
    <row r="2856" spans="1:27" ht="18">
      <c r="A2856" s="2712"/>
      <c r="B2856" s="371">
        <v>105</v>
      </c>
      <c r="C2856" s="371" t="s">
        <v>2791</v>
      </c>
      <c r="D2856" s="2714">
        <f t="shared" si="317"/>
        <v>0</v>
      </c>
      <c r="E2856" s="2719">
        <v>1</v>
      </c>
      <c r="F2856" s="294"/>
      <c r="G2856" s="2352" t="s">
        <v>2792</v>
      </c>
      <c r="H2856" s="2273"/>
      <c r="I2856" s="2273"/>
      <c r="J2856" s="2273"/>
      <c r="K2856" s="2273"/>
      <c r="L2856" s="2273"/>
      <c r="M2856" s="1475">
        <f t="shared" si="318"/>
        <v>0</v>
      </c>
      <c r="N2856" s="1602"/>
      <c r="O2856" s="1602"/>
      <c r="P2856" s="1602"/>
      <c r="Q2856" s="1602"/>
      <c r="R2856" s="1602"/>
      <c r="S2856" s="364"/>
      <c r="Z2856" s="609" t="s">
        <v>1181</v>
      </c>
      <c r="AA2856" s="609" t="s">
        <v>3646</v>
      </c>
    </row>
    <row r="2857" spans="1:27" ht="18">
      <c r="A2857" s="2712"/>
      <c r="B2857" s="371">
        <v>106</v>
      </c>
      <c r="C2857" s="371" t="s">
        <v>2791</v>
      </c>
      <c r="D2857" s="2714">
        <f t="shared" si="317"/>
        <v>0</v>
      </c>
      <c r="E2857" s="2719">
        <v>1</v>
      </c>
      <c r="F2857" s="294"/>
      <c r="G2857" s="2352" t="s">
        <v>2792</v>
      </c>
      <c r="H2857" s="2273"/>
      <c r="I2857" s="2273"/>
      <c r="J2857" s="2273"/>
      <c r="K2857" s="2273"/>
      <c r="L2857" s="2273"/>
      <c r="M2857" s="1475">
        <f t="shared" si="318"/>
        <v>0</v>
      </c>
      <c r="N2857" s="1602"/>
      <c r="O2857" s="1602"/>
      <c r="P2857" s="1602"/>
      <c r="Q2857" s="1602"/>
      <c r="R2857" s="1602"/>
      <c r="S2857" s="364"/>
      <c r="Z2857" s="609" t="s">
        <v>1181</v>
      </c>
      <c r="AA2857" s="609" t="s">
        <v>3646</v>
      </c>
    </row>
    <row r="2858" spans="1:27" ht="18">
      <c r="A2858" s="2712"/>
      <c r="B2858" s="371">
        <v>107</v>
      </c>
      <c r="C2858" s="371" t="s">
        <v>2791</v>
      </c>
      <c r="D2858" s="2714">
        <f t="shared" si="317"/>
        <v>0</v>
      </c>
      <c r="E2858" s="2719">
        <v>1</v>
      </c>
      <c r="F2858" s="294"/>
      <c r="G2858" s="2352" t="s">
        <v>2792</v>
      </c>
      <c r="H2858" s="2273"/>
      <c r="I2858" s="2273"/>
      <c r="J2858" s="2273"/>
      <c r="K2858" s="2273"/>
      <c r="L2858" s="2273"/>
      <c r="M2858" s="1475">
        <f t="shared" si="318"/>
        <v>0</v>
      </c>
      <c r="N2858" s="1602"/>
      <c r="O2858" s="1602"/>
      <c r="P2858" s="1602"/>
      <c r="Q2858" s="1602"/>
      <c r="R2858" s="1602"/>
      <c r="S2858" s="364"/>
      <c r="Z2858" s="609" t="s">
        <v>1181</v>
      </c>
      <c r="AA2858" s="609" t="s">
        <v>3646</v>
      </c>
    </row>
    <row r="2859" spans="1:27" ht="18">
      <c r="A2859" s="2712"/>
      <c r="B2859" s="371">
        <v>108</v>
      </c>
      <c r="C2859" s="371" t="s">
        <v>2791</v>
      </c>
      <c r="D2859" s="2714">
        <f t="shared" si="317"/>
        <v>0</v>
      </c>
      <c r="E2859" s="2719">
        <v>1</v>
      </c>
      <c r="F2859" s="294"/>
      <c r="G2859" s="2352" t="s">
        <v>2792</v>
      </c>
      <c r="H2859" s="2273"/>
      <c r="I2859" s="2273"/>
      <c r="J2859" s="2273"/>
      <c r="K2859" s="2273"/>
      <c r="L2859" s="2273"/>
      <c r="M2859" s="1475">
        <f t="shared" si="318"/>
        <v>0</v>
      </c>
      <c r="N2859" s="1602"/>
      <c r="O2859" s="1602"/>
      <c r="P2859" s="1602"/>
      <c r="Q2859" s="1602"/>
      <c r="R2859" s="1602"/>
      <c r="S2859" s="364"/>
      <c r="Z2859" s="609" t="s">
        <v>1181</v>
      </c>
      <c r="AA2859" s="609" t="s">
        <v>3646</v>
      </c>
    </row>
    <row r="2860" spans="1:27" ht="18">
      <c r="A2860" s="2712"/>
      <c r="B2860" s="371">
        <v>109</v>
      </c>
      <c r="C2860" s="371" t="s">
        <v>2791</v>
      </c>
      <c r="D2860" s="2714">
        <f t="shared" si="317"/>
        <v>0</v>
      </c>
      <c r="E2860" s="2719">
        <v>1</v>
      </c>
      <c r="F2860" s="294"/>
      <c r="G2860" s="2352" t="s">
        <v>2792</v>
      </c>
      <c r="H2860" s="2273"/>
      <c r="I2860" s="2273"/>
      <c r="J2860" s="2273"/>
      <c r="K2860" s="2273"/>
      <c r="L2860" s="2273"/>
      <c r="M2860" s="1475">
        <f t="shared" si="318"/>
        <v>0</v>
      </c>
      <c r="N2860" s="1602"/>
      <c r="O2860" s="1602"/>
      <c r="P2860" s="1602"/>
      <c r="Q2860" s="1602"/>
      <c r="R2860" s="1602"/>
      <c r="S2860" s="364"/>
      <c r="Z2860" s="609" t="s">
        <v>1181</v>
      </c>
      <c r="AA2860" s="609" t="s">
        <v>3646</v>
      </c>
    </row>
    <row r="2861" spans="1:27" ht="18">
      <c r="A2861" s="2712"/>
      <c r="B2861" s="371">
        <v>110</v>
      </c>
      <c r="C2861" s="371" t="s">
        <v>2791</v>
      </c>
      <c r="D2861" s="2714">
        <f t="shared" si="317"/>
        <v>0</v>
      </c>
      <c r="E2861" s="2719">
        <v>1</v>
      </c>
      <c r="F2861" s="294"/>
      <c r="G2861" s="2352" t="s">
        <v>2792</v>
      </c>
      <c r="H2861" s="2273"/>
      <c r="I2861" s="2273"/>
      <c r="J2861" s="2273"/>
      <c r="K2861" s="2273"/>
      <c r="L2861" s="2273"/>
      <c r="M2861" s="1475">
        <f t="shared" si="318"/>
        <v>0</v>
      </c>
      <c r="N2861" s="1602"/>
      <c r="O2861" s="1602"/>
      <c r="P2861" s="1602"/>
      <c r="Q2861" s="1602"/>
      <c r="R2861" s="1602"/>
      <c r="S2861" s="364"/>
      <c r="Z2861" s="609" t="s">
        <v>1181</v>
      </c>
      <c r="AA2861" s="609" t="s">
        <v>3646</v>
      </c>
    </row>
    <row r="2862" spans="1:27" ht="18.75" thickBot="1">
      <c r="A2862" s="2712"/>
      <c r="B2862" s="371"/>
      <c r="C2862" s="371"/>
      <c r="D2862" s="2714">
        <f t="shared" si="317"/>
        <v>1</v>
      </c>
      <c r="E2862" s="2719" t="s">
        <v>2751</v>
      </c>
      <c r="F2862" s="294"/>
      <c r="G2862" s="374" t="s">
        <v>2752</v>
      </c>
      <c r="H2862" s="1476">
        <f t="shared" ref="H2862:M2862" si="319">SUMPRODUCT($E2851:$E2861,H2851:H2861)</f>
        <v>0</v>
      </c>
      <c r="I2862" s="1476">
        <f t="shared" si="319"/>
        <v>116184474.69</v>
      </c>
      <c r="J2862" s="1476">
        <f t="shared" si="319"/>
        <v>0</v>
      </c>
      <c r="K2862" s="1476">
        <f t="shared" si="319"/>
        <v>0</v>
      </c>
      <c r="L2862" s="1476">
        <f t="shared" si="319"/>
        <v>0</v>
      </c>
      <c r="M2862" s="1477">
        <f t="shared" si="319"/>
        <v>116184474.69</v>
      </c>
      <c r="N2862" s="1602"/>
      <c r="O2862" s="1602"/>
      <c r="P2862" s="1602"/>
      <c r="Q2862" s="1602"/>
      <c r="R2862" s="1602"/>
      <c r="S2862" s="364"/>
      <c r="Z2862" s="609" t="s">
        <v>1181</v>
      </c>
      <c r="AA2862" s="609" t="s">
        <v>3646</v>
      </c>
    </row>
    <row r="2863" spans="1:27" ht="18">
      <c r="A2863" s="2712"/>
      <c r="B2863" s="371"/>
      <c r="C2863" s="371" t="s">
        <v>2755</v>
      </c>
      <c r="D2863" s="371"/>
      <c r="F2863" s="294"/>
      <c r="G2863" s="301"/>
      <c r="H2863" s="315"/>
      <c r="I2863" s="315"/>
      <c r="J2863" s="315"/>
      <c r="K2863" s="315"/>
      <c r="L2863" s="315"/>
      <c r="M2863" s="315"/>
      <c r="N2863" s="1602"/>
      <c r="O2863" s="1602"/>
      <c r="P2863" s="1602"/>
      <c r="Q2863" s="1602"/>
      <c r="R2863" s="1602"/>
      <c r="S2863" s="364"/>
      <c r="Z2863" s="609" t="s">
        <v>1181</v>
      </c>
      <c r="AA2863" s="609" t="s">
        <v>3646</v>
      </c>
    </row>
    <row r="2864" spans="1:27" ht="24">
      <c r="A2864" s="2712" t="s">
        <v>1193</v>
      </c>
      <c r="B2864" s="371">
        <v>2</v>
      </c>
      <c r="C2864" s="371"/>
      <c r="D2864" s="2714" t="str">
        <f>VLOOKUP($A2864,Sheet_NoteList,2,0)</f>
        <v>重要在建工程项目变动情况列示（续）</v>
      </c>
      <c r="E2864" s="2714" t="s">
        <v>6529</v>
      </c>
      <c r="F2864" s="294"/>
      <c r="G2864" s="372" t="str">
        <f>"("&amp;B2864&amp;")"&amp;D2864</f>
        <v>(2)重要在建工程项目变动情况列示（续）</v>
      </c>
      <c r="H2864" s="1515" t="str">
        <f>$A2864</f>
        <v>1604c</v>
      </c>
      <c r="I2864" s="343" t="s">
        <v>5964</v>
      </c>
      <c r="J2864" s="301"/>
      <c r="K2864" s="391"/>
      <c r="L2864" s="1533">
        <f>IF($I2864="适用",IF(ROUND(H2847-K2864,2)&gt;=0,IF(H2847&lt;&gt;0,K2864/H2847,""),"#Logical!"),"#N/A")</f>
        <v>0</v>
      </c>
      <c r="M2864" s="301"/>
      <c r="N2864" s="3085"/>
      <c r="O2864" s="315"/>
      <c r="P2864" s="301"/>
      <c r="Q2864" s="290" t="str">
        <f>IF($I2864="不适用","",IF(ROUND(SUM($H$2867:$K$2877),2)=0,"请输入",""))</f>
        <v>请输入</v>
      </c>
      <c r="S2864" s="364"/>
      <c r="Z2864" s="609" t="s">
        <v>1181</v>
      </c>
      <c r="AA2864" s="609" t="s">
        <v>3646</v>
      </c>
    </row>
    <row r="2865" spans="1:27" ht="0.75" customHeight="1" thickBot="1">
      <c r="A2865" s="2712"/>
      <c r="B2865" s="371"/>
      <c r="C2865" s="371"/>
      <c r="D2865" s="371"/>
      <c r="E2865" s="586"/>
      <c r="F2865" s="586"/>
      <c r="G2865" s="586" t="s">
        <v>3664</v>
      </c>
      <c r="H2865" s="371" t="s">
        <v>3666</v>
      </c>
      <c r="I2865" s="371" t="s">
        <v>3667</v>
      </c>
      <c r="J2865" s="371" t="s">
        <v>3655</v>
      </c>
      <c r="K2865" s="371" t="s">
        <v>3656</v>
      </c>
      <c r="L2865" s="371" t="s">
        <v>3657</v>
      </c>
      <c r="M2865" s="371" t="s">
        <v>3668</v>
      </c>
      <c r="O2865" s="291"/>
      <c r="P2865" s="291"/>
      <c r="Q2865" s="367"/>
      <c r="R2865" s="367"/>
      <c r="S2865" s="364"/>
      <c r="Z2865" s="609" t="s">
        <v>1181</v>
      </c>
      <c r="AA2865" s="609" t="s">
        <v>3646</v>
      </c>
    </row>
    <row r="2866" spans="1:27" ht="24" customHeight="1">
      <c r="A2866" s="2712"/>
      <c r="B2866" s="371"/>
      <c r="C2866" s="371"/>
      <c r="D2866" s="371"/>
      <c r="E2866" s="586" t="s">
        <v>2749</v>
      </c>
      <c r="F2866" s="363"/>
      <c r="G2866" s="2355" t="s">
        <v>1476</v>
      </c>
      <c r="H2866" s="2351" t="s">
        <v>3669</v>
      </c>
      <c r="I2866" s="2351" t="s">
        <v>3662</v>
      </c>
      <c r="J2866" s="2351" t="s">
        <v>3659</v>
      </c>
      <c r="K2866" s="2351" t="s">
        <v>3660</v>
      </c>
      <c r="L2866" s="2351" t="s">
        <v>3661</v>
      </c>
      <c r="M2866" s="2348" t="s">
        <v>3663</v>
      </c>
      <c r="N2866" s="355" t="s">
        <v>5287</v>
      </c>
      <c r="O2866" s="291"/>
      <c r="P2866" s="343"/>
      <c r="Q2866" s="367"/>
      <c r="R2866" s="367"/>
      <c r="S2866" s="364"/>
      <c r="Z2866" s="609" t="s">
        <v>1181</v>
      </c>
      <c r="AA2866" s="609" t="s">
        <v>3646</v>
      </c>
    </row>
    <row r="2867" spans="1:27" ht="24">
      <c r="A2867" s="2712"/>
      <c r="B2867" s="371">
        <v>101</v>
      </c>
      <c r="C2867" s="371" t="s">
        <v>2791</v>
      </c>
      <c r="D2867" s="2714">
        <f t="shared" ref="D2867:D2877" si="320">IF(OR(G2867="*",G2867="",G2867=0),0,COUNTIF($G$2867:$G$2877,G2867))</f>
        <v>1</v>
      </c>
      <c r="E2867" s="2719">
        <v>1</v>
      </c>
      <c r="F2867" s="294"/>
      <c r="G2867" s="2352" t="str">
        <f t="shared" ref="G2867:G2876" si="321">G2852</f>
        <v>山东天安二期基建项目工程-募投项目</v>
      </c>
      <c r="H2867" s="2296"/>
      <c r="I2867" s="2296"/>
      <c r="J2867" s="2273"/>
      <c r="K2867" s="2273"/>
      <c r="L2867" s="2296"/>
      <c r="M2867" s="2274"/>
      <c r="N2867" s="343" t="s">
        <v>6049</v>
      </c>
      <c r="O2867" s="291"/>
      <c r="Q2867" s="367"/>
      <c r="R2867" s="367"/>
      <c r="S2867" s="364"/>
      <c r="Z2867" s="609" t="s">
        <v>1181</v>
      </c>
      <c r="AA2867" s="609" t="s">
        <v>3646</v>
      </c>
    </row>
    <row r="2868" spans="1:27" ht="18">
      <c r="A2868" s="2712"/>
      <c r="B2868" s="371">
        <v>102</v>
      </c>
      <c r="C2868" s="371" t="s">
        <v>2791</v>
      </c>
      <c r="D2868" s="2714">
        <f t="shared" si="320"/>
        <v>0</v>
      </c>
      <c r="E2868" s="2719">
        <v>1</v>
      </c>
      <c r="F2868" s="294"/>
      <c r="G2868" s="2352" t="str">
        <f t="shared" si="321"/>
        <v>*</v>
      </c>
      <c r="H2868" s="2296"/>
      <c r="I2868" s="2296"/>
      <c r="J2868" s="2273"/>
      <c r="K2868" s="2273"/>
      <c r="L2868" s="2296"/>
      <c r="M2868" s="2274"/>
      <c r="N2868" s="291"/>
      <c r="O2868" s="291"/>
      <c r="P2868" s="291"/>
      <c r="Q2868" s="367"/>
      <c r="R2868" s="367"/>
      <c r="S2868" s="364"/>
      <c r="Z2868" s="609" t="s">
        <v>1181</v>
      </c>
      <c r="AA2868" s="609" t="s">
        <v>3646</v>
      </c>
    </row>
    <row r="2869" spans="1:27" ht="18">
      <c r="A2869" s="2712"/>
      <c r="B2869" s="371">
        <v>103</v>
      </c>
      <c r="C2869" s="371" t="s">
        <v>2791</v>
      </c>
      <c r="D2869" s="2714">
        <f t="shared" si="320"/>
        <v>0</v>
      </c>
      <c r="E2869" s="2719">
        <v>1</v>
      </c>
      <c r="F2869" s="294"/>
      <c r="G2869" s="2352" t="str">
        <f t="shared" si="321"/>
        <v>*</v>
      </c>
      <c r="H2869" s="2296"/>
      <c r="I2869" s="2296"/>
      <c r="J2869" s="2273"/>
      <c r="K2869" s="2273"/>
      <c r="L2869" s="2296"/>
      <c r="M2869" s="2274"/>
      <c r="N2869" s="291"/>
      <c r="O2869" s="291"/>
      <c r="P2869" s="291"/>
      <c r="Q2869" s="367"/>
      <c r="R2869" s="367"/>
      <c r="S2869" s="364"/>
      <c r="Z2869" s="609" t="s">
        <v>1181</v>
      </c>
      <c r="AA2869" s="609" t="s">
        <v>3646</v>
      </c>
    </row>
    <row r="2870" spans="1:27" ht="18">
      <c r="A2870" s="2712"/>
      <c r="B2870" s="371">
        <v>104</v>
      </c>
      <c r="C2870" s="371" t="s">
        <v>2791</v>
      </c>
      <c r="D2870" s="2714">
        <f t="shared" si="320"/>
        <v>0</v>
      </c>
      <c r="E2870" s="2719">
        <v>1</v>
      </c>
      <c r="F2870" s="294"/>
      <c r="G2870" s="2352" t="str">
        <f t="shared" si="321"/>
        <v>*</v>
      </c>
      <c r="H2870" s="2296"/>
      <c r="I2870" s="2296"/>
      <c r="J2870" s="2273"/>
      <c r="K2870" s="2273"/>
      <c r="L2870" s="2296"/>
      <c r="M2870" s="2274"/>
      <c r="N2870" s="291"/>
      <c r="O2870" s="291"/>
      <c r="P2870" s="291"/>
      <c r="Q2870" s="367"/>
      <c r="R2870" s="367"/>
      <c r="S2870" s="364"/>
      <c r="Z2870" s="609" t="s">
        <v>1181</v>
      </c>
      <c r="AA2870" s="609" t="s">
        <v>3646</v>
      </c>
    </row>
    <row r="2871" spans="1:27" ht="18">
      <c r="A2871" s="2712"/>
      <c r="B2871" s="371">
        <v>105</v>
      </c>
      <c r="C2871" s="371" t="s">
        <v>2791</v>
      </c>
      <c r="D2871" s="2714">
        <f t="shared" si="320"/>
        <v>0</v>
      </c>
      <c r="E2871" s="2719">
        <v>1</v>
      </c>
      <c r="F2871" s="294"/>
      <c r="G2871" s="2352" t="str">
        <f t="shared" si="321"/>
        <v>*</v>
      </c>
      <c r="H2871" s="2296"/>
      <c r="I2871" s="2296"/>
      <c r="J2871" s="2273"/>
      <c r="K2871" s="2273"/>
      <c r="L2871" s="2296"/>
      <c r="M2871" s="2274"/>
      <c r="N2871" s="291"/>
      <c r="O2871" s="291"/>
      <c r="P2871" s="291"/>
      <c r="Q2871" s="367"/>
      <c r="R2871" s="367"/>
      <c r="S2871" s="364"/>
      <c r="Z2871" s="609" t="s">
        <v>1181</v>
      </c>
      <c r="AA2871" s="609" t="s">
        <v>3646</v>
      </c>
    </row>
    <row r="2872" spans="1:27" ht="18">
      <c r="A2872" s="2712"/>
      <c r="B2872" s="371">
        <v>106</v>
      </c>
      <c r="C2872" s="371" t="s">
        <v>2791</v>
      </c>
      <c r="D2872" s="2714">
        <f t="shared" si="320"/>
        <v>0</v>
      </c>
      <c r="E2872" s="2719">
        <v>1</v>
      </c>
      <c r="F2872" s="294"/>
      <c r="G2872" s="2352" t="str">
        <f t="shared" si="321"/>
        <v>*</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107</v>
      </c>
      <c r="C2873" s="371" t="s">
        <v>2791</v>
      </c>
      <c r="D2873" s="2714">
        <f t="shared" si="320"/>
        <v>0</v>
      </c>
      <c r="E2873" s="2719">
        <v>1</v>
      </c>
      <c r="F2873" s="294"/>
      <c r="G2873" s="2352" t="str">
        <f t="shared" si="321"/>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108</v>
      </c>
      <c r="C2874" s="371" t="s">
        <v>2791</v>
      </c>
      <c r="D2874" s="2714">
        <f t="shared" si="320"/>
        <v>0</v>
      </c>
      <c r="E2874" s="2719">
        <v>1</v>
      </c>
      <c r="F2874" s="294"/>
      <c r="G2874" s="2352" t="str">
        <f t="shared" si="321"/>
        <v>*</v>
      </c>
      <c r="H2874" s="2296"/>
      <c r="I2874" s="2296"/>
      <c r="J2874" s="2273"/>
      <c r="K2874" s="2273"/>
      <c r="L2874" s="2296"/>
      <c r="M2874" s="2274"/>
      <c r="N2874" s="291"/>
      <c r="O2874" s="291"/>
      <c r="P2874" s="291"/>
      <c r="Q2874" s="367"/>
      <c r="R2874" s="367"/>
      <c r="S2874" s="364"/>
      <c r="Z2874" s="609" t="s">
        <v>1181</v>
      </c>
      <c r="AA2874" s="609" t="s">
        <v>3646</v>
      </c>
    </row>
    <row r="2875" spans="1:27" ht="18">
      <c r="A2875" s="2712"/>
      <c r="B2875" s="371">
        <v>109</v>
      </c>
      <c r="C2875" s="371" t="s">
        <v>2791</v>
      </c>
      <c r="D2875" s="2714">
        <f t="shared" si="320"/>
        <v>0</v>
      </c>
      <c r="E2875" s="2719">
        <v>1</v>
      </c>
      <c r="F2875" s="294"/>
      <c r="G2875" s="2352" t="str">
        <f t="shared" si="321"/>
        <v>*</v>
      </c>
      <c r="H2875" s="2296"/>
      <c r="I2875" s="2296"/>
      <c r="J2875" s="2273"/>
      <c r="K2875" s="2273"/>
      <c r="L2875" s="2296"/>
      <c r="M2875" s="2274"/>
      <c r="N2875" s="291"/>
      <c r="O2875" s="291"/>
      <c r="P2875" s="291"/>
      <c r="Q2875" s="367"/>
      <c r="R2875" s="367"/>
      <c r="S2875" s="364"/>
      <c r="Z2875" s="609" t="s">
        <v>1181</v>
      </c>
      <c r="AA2875" s="609" t="s">
        <v>3646</v>
      </c>
    </row>
    <row r="2876" spans="1:27" ht="18">
      <c r="A2876" s="2712"/>
      <c r="B2876" s="371">
        <v>110</v>
      </c>
      <c r="C2876" s="371" t="s">
        <v>2791</v>
      </c>
      <c r="D2876" s="2714">
        <f t="shared" si="320"/>
        <v>0</v>
      </c>
      <c r="E2876" s="2719">
        <v>1</v>
      </c>
      <c r="F2876" s="294"/>
      <c r="G2876" s="2352" t="str">
        <f t="shared" si="321"/>
        <v>*</v>
      </c>
      <c r="H2876" s="2296"/>
      <c r="I2876" s="2296"/>
      <c r="J2876" s="2273"/>
      <c r="K2876" s="2273"/>
      <c r="L2876" s="2296"/>
      <c r="M2876" s="2274"/>
      <c r="N2876" s="291"/>
      <c r="O2876" s="291"/>
      <c r="P2876" s="291"/>
      <c r="Q2876" s="367"/>
      <c r="R2876" s="367"/>
      <c r="S2876" s="364"/>
      <c r="Z2876" s="609" t="s">
        <v>1181</v>
      </c>
      <c r="AA2876" s="609" t="s">
        <v>3646</v>
      </c>
    </row>
    <row r="2877" spans="1:27" ht="18.75" thickBot="1">
      <c r="A2877" s="2712"/>
      <c r="B2877" s="371"/>
      <c r="C2877" s="371"/>
      <c r="D2877" s="2714">
        <f t="shared" si="320"/>
        <v>1</v>
      </c>
      <c r="E2877" s="2719" t="s">
        <v>2751</v>
      </c>
      <c r="F2877" s="294"/>
      <c r="G2877" s="374" t="s">
        <v>2752</v>
      </c>
      <c r="H2877" s="2376"/>
      <c r="I2877" s="2259"/>
      <c r="J2877" s="2375"/>
      <c r="K2877" s="2375"/>
      <c r="L2877" s="2259"/>
      <c r="M2877" s="2258"/>
      <c r="N2877" s="291"/>
      <c r="O2877" s="291"/>
      <c r="P2877" s="291"/>
      <c r="Q2877" s="367"/>
      <c r="R2877" s="367"/>
      <c r="S2877" s="364"/>
      <c r="Z2877" s="609" t="s">
        <v>1181</v>
      </c>
      <c r="AA2877" s="609" t="s">
        <v>3646</v>
      </c>
    </row>
    <row r="2878" spans="1:27" ht="18">
      <c r="A2878" s="2712"/>
      <c r="B2878" s="371"/>
      <c r="C2878" s="371" t="s">
        <v>2755</v>
      </c>
      <c r="D2878" s="371"/>
      <c r="F2878" s="294"/>
      <c r="G2878" s="301"/>
      <c r="H2878" s="393"/>
      <c r="I2878" s="393"/>
      <c r="J2878" s="315"/>
      <c r="K2878" s="315"/>
      <c r="L2878" s="393"/>
      <c r="M2878" s="393"/>
      <c r="N2878" s="291"/>
      <c r="O2878" s="291"/>
      <c r="P2878" s="291"/>
      <c r="Q2878" s="367"/>
      <c r="R2878" s="367"/>
      <c r="S2878" s="364"/>
      <c r="Z2878" s="609" t="s">
        <v>1181</v>
      </c>
      <c r="AA2878" s="609" t="s">
        <v>3646</v>
      </c>
    </row>
    <row r="2879" spans="1:27" ht="24">
      <c r="A2879" s="2712" t="s">
        <v>1186</v>
      </c>
      <c r="B2879" s="371">
        <v>3</v>
      </c>
      <c r="C2879" s="371"/>
      <c r="D2879" s="2714" t="str">
        <f>VLOOKUP($A2879,Sheet_NoteList,2,0)</f>
        <v>在建工程项目减值准备情况</v>
      </c>
      <c r="E2879" s="2714" t="s">
        <v>2742</v>
      </c>
      <c r="F2879" s="293"/>
      <c r="G2879" s="372" t="str">
        <f>"("&amp;B2879&amp;")"&amp;D2879</f>
        <v>(3)在建工程项目减值准备情况</v>
      </c>
      <c r="H2879" s="1515" t="str">
        <f>$A2879</f>
        <v>1604g</v>
      </c>
      <c r="I2879" s="343" t="s">
        <v>2743</v>
      </c>
      <c r="J2879" s="301" t="s">
        <v>2744</v>
      </c>
      <c r="K2879" s="2208">
        <f>H2890</f>
        <v>0</v>
      </c>
      <c r="L2879" s="349">
        <f>IF($I2879="适用",IF(ROUND(K$2831-K2879,2)=0,"F/S",ROUND(K$2831-K2879,2)),"#N/A")</f>
        <v>29940410.460000001</v>
      </c>
      <c r="M2879" s="301" t="s">
        <v>2745</v>
      </c>
      <c r="N2879" s="2208">
        <f>I2890</f>
        <v>0</v>
      </c>
      <c r="O2879" s="349">
        <f>IF($I2879="适用",IF(ROUND(N$2831-N2879,2)=0,"F/S",ROUND(N$2831-N2879,2)),"#N/A")</f>
        <v>43951288.280000001</v>
      </c>
      <c r="P2879" s="301"/>
      <c r="S2879" s="364"/>
      <c r="Z2879" s="609" t="s">
        <v>1181</v>
      </c>
      <c r="AA2879" s="609" t="s">
        <v>3646</v>
      </c>
    </row>
    <row r="2880" spans="1:27" ht="0.75" customHeight="1" thickBot="1">
      <c r="A2880" s="2712"/>
      <c r="B2880" s="371"/>
      <c r="C2880" s="371"/>
      <c r="D2880" s="2714"/>
      <c r="E2880" s="586"/>
      <c r="F2880" s="586"/>
      <c r="G2880" s="2222" t="s">
        <v>3670</v>
      </c>
      <c r="H2880" s="371" t="s">
        <v>2747</v>
      </c>
      <c r="I2880" s="371" t="s">
        <v>2748</v>
      </c>
      <c r="J2880" s="547" t="s">
        <v>3671</v>
      </c>
      <c r="K2880" s="428"/>
      <c r="L2880" s="428"/>
      <c r="M2880" s="433"/>
      <c r="N2880" s="428"/>
      <c r="O2880" s="428"/>
      <c r="P2880" s="433"/>
      <c r="Q2880" s="442"/>
      <c r="R2880" s="443"/>
      <c r="S2880" s="364"/>
      <c r="Z2880" s="609" t="s">
        <v>1181</v>
      </c>
      <c r="AA2880" s="609" t="s">
        <v>3646</v>
      </c>
    </row>
    <row r="2881" spans="1:29" ht="18">
      <c r="A2881" s="2712"/>
      <c r="B2881" s="371"/>
      <c r="C2881" s="371"/>
      <c r="D2881" s="2714"/>
      <c r="E2881" s="586" t="s">
        <v>2749</v>
      </c>
      <c r="F2881" s="414"/>
      <c r="G2881" s="2347" t="s">
        <v>47</v>
      </c>
      <c r="H2881" s="2230" t="str">
        <f>$V$2</f>
        <v>2019年12月31日</v>
      </c>
      <c r="I2881" s="2230" t="str">
        <f>$V$3</f>
        <v>2018年12月31日</v>
      </c>
      <c r="J2881" s="2354" t="s">
        <v>3672</v>
      </c>
      <c r="K2881" s="355" t="s">
        <v>5287</v>
      </c>
      <c r="L2881" s="434"/>
      <c r="M2881" s="435"/>
      <c r="N2881" s="434"/>
      <c r="O2881" s="434"/>
      <c r="P2881" s="435"/>
      <c r="Q2881" s="442"/>
      <c r="R2881" s="443"/>
      <c r="S2881" s="364"/>
      <c r="Z2881" s="609" t="s">
        <v>1181</v>
      </c>
      <c r="AA2881" s="609" t="s">
        <v>3646</v>
      </c>
    </row>
    <row r="2882" spans="1:29" ht="18">
      <c r="A2882" s="2712"/>
      <c r="B2882" s="371">
        <v>101</v>
      </c>
      <c r="C2882" s="371" t="s">
        <v>2791</v>
      </c>
      <c r="D2882" s="2714">
        <f t="shared" ref="D2882:D2890" si="322">IF(OR(G2882="*",G2882="",G2882=0),0,COUNTIF($G$2882:$G$2890,G2882))</f>
        <v>0</v>
      </c>
      <c r="E2882" s="2719">
        <v>1</v>
      </c>
      <c r="F2882" s="293"/>
      <c r="G2882" s="2352"/>
      <c r="H2882" s="2273"/>
      <c r="I2882" s="2273"/>
      <c r="J2882" s="2274"/>
      <c r="K2882" s="439"/>
      <c r="L2882" s="437"/>
      <c r="M2882" s="438"/>
      <c r="N2882" s="439"/>
      <c r="O2882" s="437"/>
      <c r="P2882" s="438"/>
      <c r="Q2882" s="442"/>
      <c r="R2882" s="443"/>
      <c r="S2882" s="364"/>
      <c r="Z2882" s="609" t="s">
        <v>1181</v>
      </c>
      <c r="AA2882" s="609" t="s">
        <v>3646</v>
      </c>
    </row>
    <row r="2883" spans="1:29" ht="18">
      <c r="A2883" s="2712"/>
      <c r="B2883" s="371">
        <v>102</v>
      </c>
      <c r="C2883" s="371" t="s">
        <v>2791</v>
      </c>
      <c r="D2883" s="2714">
        <f t="shared" si="322"/>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2"/>
      <c r="B2884" s="371">
        <v>103</v>
      </c>
      <c r="C2884" s="371" t="s">
        <v>2791</v>
      </c>
      <c r="D2884" s="2714">
        <f t="shared" si="322"/>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2"/>
      <c r="B2885" s="371">
        <v>104</v>
      </c>
      <c r="C2885" s="371" t="s">
        <v>2791</v>
      </c>
      <c r="D2885" s="2714">
        <f t="shared" si="322"/>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2"/>
      <c r="B2886" s="371">
        <v>105</v>
      </c>
      <c r="C2886" s="371" t="s">
        <v>2791</v>
      </c>
      <c r="D2886" s="2714">
        <f t="shared" si="322"/>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106</v>
      </c>
      <c r="C2887" s="371" t="s">
        <v>2791</v>
      </c>
      <c r="D2887" s="2714">
        <f t="shared" si="322"/>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
      <c r="A2888" s="2712"/>
      <c r="B2888" s="371">
        <v>107</v>
      </c>
      <c r="C2888" s="371" t="s">
        <v>2791</v>
      </c>
      <c r="D2888" s="2714">
        <f t="shared" si="322"/>
        <v>0</v>
      </c>
      <c r="E2888" s="2719">
        <v>1</v>
      </c>
      <c r="F2888" s="293"/>
      <c r="G2888" s="2352" t="s">
        <v>2792</v>
      </c>
      <c r="H2888" s="2273"/>
      <c r="I2888" s="2273"/>
      <c r="J2888" s="2274"/>
      <c r="K2888" s="439"/>
      <c r="L2888" s="437"/>
      <c r="M2888" s="438"/>
      <c r="N2888" s="439"/>
      <c r="O2888" s="437"/>
      <c r="P2888" s="438"/>
      <c r="Q2888" s="442"/>
      <c r="R2888" s="443"/>
      <c r="S2888" s="364"/>
      <c r="Z2888" s="609" t="s">
        <v>1181</v>
      </c>
      <c r="AA2888" s="609" t="s">
        <v>3646</v>
      </c>
    </row>
    <row r="2889" spans="1:29" ht="18">
      <c r="A2889" s="2712"/>
      <c r="B2889" s="371">
        <v>108</v>
      </c>
      <c r="C2889" s="371" t="s">
        <v>2791</v>
      </c>
      <c r="D2889" s="2714">
        <f t="shared" si="322"/>
        <v>0</v>
      </c>
      <c r="E2889" s="2719">
        <v>1</v>
      </c>
      <c r="F2889" s="293"/>
      <c r="G2889" s="2352" t="s">
        <v>2792</v>
      </c>
      <c r="H2889" s="2273"/>
      <c r="I2889" s="2273"/>
      <c r="J2889" s="2274"/>
      <c r="K2889" s="439"/>
      <c r="L2889" s="437"/>
      <c r="M2889" s="438"/>
      <c r="N2889" s="439"/>
      <c r="O2889" s="437"/>
      <c r="P2889" s="438"/>
      <c r="Q2889" s="442"/>
      <c r="R2889" s="443"/>
      <c r="S2889" s="364"/>
      <c r="Z2889" s="609" t="s">
        <v>1181</v>
      </c>
      <c r="AA2889" s="609" t="s">
        <v>3646</v>
      </c>
    </row>
    <row r="2890" spans="1:29" ht="18.75" thickBot="1">
      <c r="A2890" s="2712"/>
      <c r="B2890" s="371"/>
      <c r="C2890" s="371"/>
      <c r="D2890" s="2714">
        <f t="shared" si="322"/>
        <v>1</v>
      </c>
      <c r="E2890" s="2719" t="s">
        <v>2751</v>
      </c>
      <c r="F2890" s="293"/>
      <c r="G2890" s="2232" t="s">
        <v>2752</v>
      </c>
      <c r="H2890" s="2233">
        <f>SUMPRODUCT($E2881:$E2889,H2881:H2889)</f>
        <v>0</v>
      </c>
      <c r="I2890" s="2233">
        <f>SUMPRODUCT($E2881:$E2889,I2881:I2889)</f>
        <v>0</v>
      </c>
      <c r="J2890" s="2311">
        <f>SUMPRODUCT($E2881:$E2889,J2881:J2889)</f>
        <v>0</v>
      </c>
      <c r="K2890" s="1587" t="str">
        <f ca="1">HYPERLINK("#'"&amp;$G$1&amp;"'!"&amp;ADDRESS(ROW(Notes!L4889),COLUMN(Notes!L4889),4),"* 请勿删除此行！点击往勾稽单元格，F5+Enter返回")</f>
        <v>* 请勿删除此行！点击往勾稽单元格，F5+Enter返回</v>
      </c>
      <c r="L2890" s="437"/>
      <c r="M2890" s="440"/>
      <c r="N2890" s="439"/>
      <c r="O2890" s="437"/>
      <c r="P2890" s="440"/>
      <c r="Q2890" s="442"/>
      <c r="R2890" s="443"/>
      <c r="S2890" s="364"/>
      <c r="Z2890" s="609" t="s">
        <v>1181</v>
      </c>
      <c r="AA2890" s="609" t="s">
        <v>3646</v>
      </c>
      <c r="AC2890" s="369" t="s">
        <v>2794</v>
      </c>
    </row>
    <row r="2891" spans="1:29" ht="18.75" thickBot="1">
      <c r="A2891" s="2712"/>
      <c r="B2891" s="371"/>
      <c r="C2891" s="371" t="s">
        <v>2755</v>
      </c>
      <c r="D2891" s="2714"/>
      <c r="F2891" s="293"/>
      <c r="G2891" s="376"/>
      <c r="H2891" s="527" t="s">
        <v>3002</v>
      </c>
      <c r="I2891" s="2251" t="s">
        <v>3002</v>
      </c>
      <c r="J2891" s="393"/>
      <c r="K2891" s="426"/>
      <c r="L2891" s="427"/>
      <c r="M2891" s="425"/>
      <c r="N2891" s="426"/>
      <c r="O2891" s="427"/>
      <c r="P2891" s="425"/>
      <c r="Q2891" s="442"/>
      <c r="R2891" s="443"/>
      <c r="S2891" s="364"/>
      <c r="Z2891" s="609" t="s">
        <v>1181</v>
      </c>
      <c r="AA2891" s="609" t="s">
        <v>3646</v>
      </c>
    </row>
    <row r="2892" spans="1:29" ht="18.75" thickTop="1">
      <c r="A2892" s="2712"/>
      <c r="B2892" s="371"/>
      <c r="C2892" s="371" t="s">
        <v>2565</v>
      </c>
      <c r="D2892" s="2714"/>
      <c r="F2892" s="293"/>
      <c r="G2892" s="1547" t="s">
        <v>5365</v>
      </c>
      <c r="H2892" s="1548" t="str">
        <f>G2832</f>
        <v>(1)在建工程情况</v>
      </c>
      <c r="I2892" s="1550"/>
      <c r="J2892" s="1549"/>
      <c r="K2892" s="1551" t="s">
        <v>5366</v>
      </c>
      <c r="L2892" s="427"/>
      <c r="M2892" s="425"/>
      <c r="N2892" s="426"/>
      <c r="O2892" s="427"/>
      <c r="P2892" s="425"/>
      <c r="Q2892" s="442"/>
      <c r="R2892" s="442"/>
      <c r="S2892" s="364"/>
      <c r="Z2892" s="609" t="s">
        <v>1181</v>
      </c>
      <c r="AA2892" s="609" t="s">
        <v>3646</v>
      </c>
    </row>
    <row r="2893" spans="1:29" ht="18">
      <c r="A2893" s="2712"/>
      <c r="B2893" s="371"/>
      <c r="C2893" s="371" t="s">
        <v>2565</v>
      </c>
      <c r="D2893" s="2714"/>
      <c r="F2893" s="293"/>
      <c r="G2893" s="604" t="str">
        <f>"注释A:"&amp; G2847</f>
        <v>注释A:合       计</v>
      </c>
      <c r="H2893" s="456">
        <f>I2847</f>
        <v>92185763.840000004</v>
      </c>
      <c r="I2893" s="456">
        <f>L2847</f>
        <v>84454279.640000001</v>
      </c>
      <c r="J2893" s="351"/>
      <c r="K2893" s="2637" t="str">
        <f>H2832</f>
        <v>1604a</v>
      </c>
      <c r="L2893" s="427"/>
      <c r="M2893" s="425"/>
      <c r="N2893" s="426"/>
      <c r="O2893" s="427"/>
      <c r="P2893" s="425"/>
      <c r="Q2893" s="442"/>
      <c r="R2893" s="442"/>
      <c r="S2893" s="364"/>
      <c r="Z2893" s="609" t="s">
        <v>1181</v>
      </c>
      <c r="AA2893" s="609" t="s">
        <v>3646</v>
      </c>
    </row>
    <row r="2894" spans="1:29" ht="18">
      <c r="A2894" s="2712"/>
      <c r="B2894" s="371"/>
      <c r="C2894" s="371" t="s">
        <v>2565</v>
      </c>
      <c r="D2894" s="2714"/>
      <c r="F2894" s="293"/>
      <c r="G2894" s="604" t="str">
        <f>"本注释B:"&amp; G2890</f>
        <v>本注释B:合       计</v>
      </c>
      <c r="H2894" s="456">
        <f>H2890</f>
        <v>0</v>
      </c>
      <c r="I2894" s="456">
        <f>I2890</f>
        <v>0</v>
      </c>
      <c r="J2894" s="351"/>
      <c r="K2894" s="2637" t="s">
        <v>1186</v>
      </c>
      <c r="L2894" s="427"/>
      <c r="M2894" s="425"/>
      <c r="N2894" s="426"/>
      <c r="O2894" s="427"/>
      <c r="P2894" s="425"/>
      <c r="Q2894" s="442"/>
      <c r="R2894" s="442"/>
      <c r="S2894" s="364"/>
      <c r="Z2894" s="609" t="s">
        <v>1181</v>
      </c>
      <c r="AA2894" s="609" t="s">
        <v>3646</v>
      </c>
    </row>
    <row r="2895" spans="1:29" ht="18.75" thickBot="1">
      <c r="A2895" s="2712"/>
      <c r="B2895" s="371"/>
      <c r="C2895" s="371" t="s">
        <v>2565</v>
      </c>
      <c r="D2895" s="2714"/>
      <c r="F2895" s="293"/>
      <c r="G2895" s="1552" t="s">
        <v>2757</v>
      </c>
      <c r="H2895" s="1529">
        <f>IF(AND(H2893="",H2894=""),"",ROUND(H2893-H2894,2))</f>
        <v>92185763.840000004</v>
      </c>
      <c r="I2895" s="1529">
        <f>IF(AND(I2893="",I2894=""),"",ROUND(I2893-I2894,2))</f>
        <v>84454279.640000001</v>
      </c>
      <c r="J2895" s="1553"/>
      <c r="K2895" s="1554"/>
      <c r="L2895" s="427"/>
      <c r="M2895" s="425"/>
      <c r="N2895" s="426"/>
      <c r="O2895" s="427"/>
      <c r="P2895" s="425"/>
      <c r="Q2895" s="442"/>
      <c r="R2895" s="442"/>
      <c r="S2895" s="364"/>
      <c r="Z2895" s="609" t="s">
        <v>1181</v>
      </c>
      <c r="AA2895" s="609" t="s">
        <v>3646</v>
      </c>
    </row>
    <row r="2896" spans="1:29" ht="18.75" thickTop="1">
      <c r="A2896" s="2712"/>
      <c r="B2896" s="371"/>
      <c r="C2896" s="371" t="s">
        <v>2565</v>
      </c>
      <c r="D2896" s="2714"/>
      <c r="F2896" s="293"/>
      <c r="G2896" s="1543"/>
      <c r="H2896" s="459" t="str">
        <f>IF(OR(H2895=0,H2895=""),"√","？")</f>
        <v>？</v>
      </c>
      <c r="I2896" s="459" t="str">
        <f>IF(OR(I2895=0,I2895=""),"√","？")</f>
        <v>？</v>
      </c>
      <c r="J2896" s="317"/>
      <c r="K2896" s="1545"/>
      <c r="L2896" s="427"/>
      <c r="M2896" s="425"/>
      <c r="N2896" s="426"/>
      <c r="O2896" s="427"/>
      <c r="P2896" s="425"/>
      <c r="Q2896" s="442"/>
      <c r="R2896" s="442"/>
      <c r="S2896" s="364"/>
      <c r="Z2896" s="609" t="s">
        <v>1181</v>
      </c>
      <c r="AA2896" s="609" t="s">
        <v>3646</v>
      </c>
    </row>
    <row r="2897" spans="1:34" ht="18">
      <c r="A2897" s="2712"/>
      <c r="B2897" s="371"/>
      <c r="C2897" s="371" t="s">
        <v>2565</v>
      </c>
      <c r="D2897" s="2714"/>
      <c r="F2897" s="293"/>
      <c r="G2897" s="1557" t="s">
        <v>2759</v>
      </c>
      <c r="H2897" s="461"/>
      <c r="I2897" s="461"/>
      <c r="J2897" s="317"/>
      <c r="K2897" s="2255">
        <f>SUMIF($H$2896:$K$2896,"&lt;&gt;√",$H$2895:$K$2895)</f>
        <v>176640043.47999999</v>
      </c>
      <c r="L2897" s="2256" t="str">
        <f>IF(OR(K2897=0,K2897=""),"√","？")</f>
        <v>？</v>
      </c>
      <c r="M2897" s="425"/>
      <c r="N2897" s="426"/>
      <c r="O2897" s="427"/>
      <c r="P2897" s="425"/>
      <c r="Q2897" s="442"/>
      <c r="R2897" s="442"/>
      <c r="S2897" s="364"/>
      <c r="Z2897" s="609" t="s">
        <v>1181</v>
      </c>
      <c r="AA2897" s="609" t="s">
        <v>3646</v>
      </c>
    </row>
    <row r="2898" spans="1:34" ht="18">
      <c r="A2898" s="2712"/>
      <c r="B2898" s="371"/>
      <c r="C2898" s="371" t="s">
        <v>2565</v>
      </c>
      <c r="D2898" s="2714"/>
      <c r="F2898" s="293"/>
      <c r="G2898" s="1543"/>
      <c r="H2898" s="461"/>
      <c r="I2898" s="461"/>
      <c r="J2898" s="317"/>
      <c r="K2898" s="1545"/>
      <c r="L2898" s="427"/>
      <c r="M2898" s="425"/>
      <c r="N2898" s="426"/>
      <c r="O2898" s="427"/>
      <c r="P2898" s="425"/>
      <c r="Q2898" s="442"/>
      <c r="R2898" s="442"/>
      <c r="S2898" s="364"/>
      <c r="Z2898" s="609" t="s">
        <v>1181</v>
      </c>
      <c r="AA2898" s="609" t="s">
        <v>3646</v>
      </c>
    </row>
    <row r="2899" spans="1:34" ht="24" hidden="1">
      <c r="A2899" s="2712" t="s">
        <v>1196</v>
      </c>
      <c r="B2899" s="371">
        <v>3</v>
      </c>
      <c r="C2899" s="371"/>
      <c r="D2899" s="2714" t="str">
        <f>VLOOKUP($A2899,Sheet_NoteList,2,0)</f>
        <v>本期在建工程项目计提减值准备情况</v>
      </c>
      <c r="E2899" s="2714" t="s">
        <v>6606</v>
      </c>
      <c r="F2899" s="294"/>
      <c r="G2899" s="372" t="str">
        <f>"("&amp;B2899&amp;")"&amp;D2899</f>
        <v>(3)本期在建工程项目计提减值准备情况</v>
      </c>
      <c r="H2899" s="1515" t="str">
        <f>$A2899</f>
        <v>1604d</v>
      </c>
      <c r="I2899" s="343" t="s">
        <v>6614</v>
      </c>
      <c r="J2899" s="301" t="s">
        <v>6612</v>
      </c>
      <c r="K2899" s="2208">
        <f>H2907</f>
        <v>0</v>
      </c>
      <c r="L2899" s="345"/>
      <c r="M2899" s="301" t="s">
        <v>6613</v>
      </c>
      <c r="N2899" s="391"/>
      <c r="O2899" s="345"/>
      <c r="P2899" s="301"/>
      <c r="Q2899" s="290" t="str">
        <f>IF($I2899="不适用","",IF(ROUND(SUM($H$2902:$I$2907),2)=0,"请输入",""))</f>
        <v/>
      </c>
      <c r="S2899" s="364"/>
      <c r="Z2899" s="609" t="s">
        <v>1181</v>
      </c>
      <c r="AA2899" s="609" t="s">
        <v>3646</v>
      </c>
      <c r="AE2899" s="369" t="s">
        <v>2761</v>
      </c>
    </row>
    <row r="2900" spans="1:34" ht="0.75" hidden="1" customHeight="1" thickBot="1">
      <c r="A2900" s="2712"/>
      <c r="B2900" s="371"/>
      <c r="C2900" s="371"/>
      <c r="D2900" s="371"/>
      <c r="E2900" s="586"/>
      <c r="F2900" s="518"/>
      <c r="G2900" s="518" t="s">
        <v>3673</v>
      </c>
      <c r="H2900" s="304" t="s">
        <v>3674</v>
      </c>
      <c r="I2900" s="304" t="s">
        <v>3675</v>
      </c>
      <c r="J2900" s="291"/>
      <c r="K2900" s="291"/>
      <c r="L2900" s="291"/>
      <c r="M2900" s="291"/>
      <c r="N2900" s="291"/>
      <c r="O2900" s="291"/>
      <c r="P2900" s="291"/>
      <c r="Q2900" s="367"/>
      <c r="R2900" s="367"/>
      <c r="S2900" s="364"/>
      <c r="Z2900" s="609" t="s">
        <v>1181</v>
      </c>
      <c r="AA2900" s="609" t="s">
        <v>3646</v>
      </c>
      <c r="AE2900" s="369" t="s">
        <v>2761</v>
      </c>
    </row>
    <row r="2901" spans="1:34" ht="18" hidden="1">
      <c r="A2901" s="2712"/>
      <c r="B2901" s="371"/>
      <c r="C2901" s="371"/>
      <c r="D2901" s="371"/>
      <c r="E2901" s="586" t="s">
        <v>2749</v>
      </c>
      <c r="F2901" s="363"/>
      <c r="G2901" s="2228" t="s">
        <v>47</v>
      </c>
      <c r="H2901" s="2353" t="s">
        <v>6050</v>
      </c>
      <c r="I2901" s="2357" t="s">
        <v>3672</v>
      </c>
      <c r="J2901" s="424" t="s">
        <v>5988</v>
      </c>
      <c r="K2901" s="291"/>
      <c r="L2901" s="291"/>
      <c r="M2901" s="291"/>
      <c r="N2901" s="291"/>
      <c r="O2901" s="291"/>
      <c r="P2901" s="291"/>
      <c r="Q2901" s="367"/>
      <c r="R2901" s="367"/>
      <c r="S2901" s="364"/>
      <c r="Z2901" s="609" t="s">
        <v>1181</v>
      </c>
      <c r="AA2901" s="609" t="s">
        <v>3646</v>
      </c>
      <c r="AE2901" s="369" t="s">
        <v>2761</v>
      </c>
    </row>
    <row r="2902" spans="1:34" ht="18" hidden="1">
      <c r="A2902" s="2712"/>
      <c r="B2902" s="371">
        <v>101</v>
      </c>
      <c r="C2902" s="371" t="s">
        <v>2791</v>
      </c>
      <c r="D2902" s="2714">
        <f t="shared" ref="D2902:D2907" si="323">IF(OR(G2902="*",G2902="",G2902=0),0,COUNTIF($G$2902:$G$2907,G2902))</f>
        <v>0</v>
      </c>
      <c r="E2902" s="2719">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8" hidden="1">
      <c r="A2903" s="2712"/>
      <c r="B2903" s="371">
        <v>102</v>
      </c>
      <c r="C2903" s="371" t="s">
        <v>2791</v>
      </c>
      <c r="D2903" s="2714">
        <f t="shared" si="323"/>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2"/>
      <c r="B2904" s="371">
        <v>103</v>
      </c>
      <c r="C2904" s="371" t="s">
        <v>2791</v>
      </c>
      <c r="D2904" s="2714">
        <f t="shared" si="323"/>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 hidden="1">
      <c r="A2905" s="2712"/>
      <c r="B2905" s="371">
        <v>104</v>
      </c>
      <c r="C2905" s="371" t="s">
        <v>2791</v>
      </c>
      <c r="D2905" s="2714">
        <f t="shared" si="323"/>
        <v>0</v>
      </c>
      <c r="E2905" s="2719">
        <v>1</v>
      </c>
      <c r="F2905" s="294"/>
      <c r="G2905" s="2352" t="s">
        <v>2792</v>
      </c>
      <c r="H2905" s="2273"/>
      <c r="I2905" s="2274"/>
      <c r="J2905" s="291"/>
      <c r="K2905" s="291"/>
      <c r="L2905" s="291"/>
      <c r="M2905" s="291"/>
      <c r="N2905" s="291"/>
      <c r="O2905" s="291"/>
      <c r="P2905" s="291"/>
      <c r="Q2905" s="367"/>
      <c r="R2905" s="367"/>
      <c r="S2905" s="364"/>
      <c r="Z2905" s="609" t="s">
        <v>1181</v>
      </c>
      <c r="AA2905" s="609" t="s">
        <v>3646</v>
      </c>
      <c r="AE2905" s="369" t="s">
        <v>2761</v>
      </c>
    </row>
    <row r="2906" spans="1:34" ht="18" hidden="1">
      <c r="A2906" s="2712"/>
      <c r="B2906" s="371">
        <v>105</v>
      </c>
      <c r="C2906" s="371" t="s">
        <v>2791</v>
      </c>
      <c r="D2906" s="2714">
        <f t="shared" si="323"/>
        <v>0</v>
      </c>
      <c r="E2906" s="2719">
        <v>1</v>
      </c>
      <c r="F2906" s="294"/>
      <c r="G2906" s="2352" t="s">
        <v>2792</v>
      </c>
      <c r="H2906" s="2273"/>
      <c r="I2906" s="2274"/>
      <c r="J2906" s="291"/>
      <c r="K2906" s="291"/>
      <c r="L2906" s="291"/>
      <c r="M2906" s="291"/>
      <c r="N2906" s="291"/>
      <c r="O2906" s="291"/>
      <c r="P2906" s="291"/>
      <c r="Q2906" s="367"/>
      <c r="R2906" s="367"/>
      <c r="S2906" s="364"/>
      <c r="Z2906" s="609" t="s">
        <v>1181</v>
      </c>
      <c r="AA2906" s="609" t="s">
        <v>3646</v>
      </c>
      <c r="AE2906" s="369" t="s">
        <v>2761</v>
      </c>
    </row>
    <row r="2907" spans="1:34" ht="18.75" hidden="1" thickBot="1">
      <c r="A2907" s="2712"/>
      <c r="B2907" s="371"/>
      <c r="C2907" s="371"/>
      <c r="D2907" s="2714">
        <f t="shared" si="323"/>
        <v>1</v>
      </c>
      <c r="E2907" s="2719" t="s">
        <v>3032</v>
      </c>
      <c r="F2907" s="294"/>
      <c r="G2907" s="310" t="s">
        <v>2752</v>
      </c>
      <c r="H2907" s="1479">
        <f>SUMPRODUCT($E2901:$E2906,H2901:H2906)</f>
        <v>0</v>
      </c>
      <c r="I2907" s="2377"/>
      <c r="J2907" s="291"/>
      <c r="K2907" s="291"/>
      <c r="L2907" s="291"/>
      <c r="M2907" s="291"/>
      <c r="N2907" s="291"/>
      <c r="O2907" s="291"/>
      <c r="P2907" s="291"/>
      <c r="Q2907" s="367"/>
      <c r="R2907" s="367"/>
      <c r="S2907" s="364"/>
      <c r="Z2907" s="609" t="s">
        <v>1181</v>
      </c>
      <c r="AA2907" s="609" t="s">
        <v>3646</v>
      </c>
      <c r="AE2907" s="369" t="s">
        <v>2761</v>
      </c>
    </row>
    <row r="2908" spans="1:34" ht="18" hidden="1">
      <c r="A2908" s="2712"/>
      <c r="B2908" s="371"/>
      <c r="C2908" s="371" t="s">
        <v>2755</v>
      </c>
      <c r="D2908" s="371"/>
      <c r="F2908" s="294"/>
      <c r="G2908" s="301"/>
      <c r="H2908" s="315"/>
      <c r="I2908" s="393"/>
      <c r="J2908" s="349"/>
      <c r="K2908" s="349"/>
      <c r="L2908" s="349"/>
      <c r="M2908" s="349"/>
      <c r="N2908" s="291"/>
      <c r="O2908" s="291"/>
      <c r="P2908" s="291"/>
      <c r="Q2908" s="367"/>
      <c r="R2908" s="367"/>
      <c r="S2908" s="364"/>
      <c r="Z2908" s="609" t="s">
        <v>1181</v>
      </c>
      <c r="AA2908" s="609" t="s">
        <v>3646</v>
      </c>
      <c r="AE2908" s="369" t="s">
        <v>2761</v>
      </c>
    </row>
    <row r="2909" spans="1:34" ht="18">
      <c r="A2909" s="2712">
        <v>1605</v>
      </c>
      <c r="B2909" s="371">
        <v>24.2</v>
      </c>
      <c r="C2909" s="2714" t="str">
        <f>VLOOKUP($A2909,Sheet_Items,2,0)</f>
        <v>工程物资</v>
      </c>
      <c r="D2909" s="371"/>
      <c r="E2909" s="2714" t="s">
        <v>2739</v>
      </c>
      <c r="F2909" s="294"/>
      <c r="G2909" s="305" t="str">
        <f>B2909&amp;" "&amp;C2909</f>
        <v>24.2 工程物资</v>
      </c>
      <c r="H2909" s="306"/>
      <c r="I2909" s="306"/>
      <c r="J2909" s="306" t="s">
        <v>2740</v>
      </c>
      <c r="K2909" s="341">
        <f>VLOOKUP($A2909,Sheet_Trialbal,6,0)</f>
        <v>6747539.5</v>
      </c>
      <c r="L2909" s="342"/>
      <c r="M2909" s="306" t="s">
        <v>2741</v>
      </c>
      <c r="N2909" s="341">
        <f>VLOOKUP($A2909,Sheet_Trialbal,10,0)</f>
        <v>0</v>
      </c>
      <c r="O2909" s="306"/>
      <c r="P2909" s="301"/>
      <c r="S2909" s="364"/>
      <c r="Z2909" s="609" t="s">
        <v>1200</v>
      </c>
      <c r="AA2909" s="609" t="s">
        <v>5661</v>
      </c>
    </row>
    <row r="2910" spans="1:34" ht="18">
      <c r="A2910" s="2712" t="s">
        <v>6563</v>
      </c>
      <c r="B2910" s="371">
        <v>3</v>
      </c>
      <c r="C2910" s="371"/>
      <c r="D2910" s="2714" t="str">
        <f>VLOOKUP($A2910,Sheet_NoteList,2,0)</f>
        <v>工程物资明细项目</v>
      </c>
      <c r="E2910" s="2714" t="s">
        <v>2742</v>
      </c>
      <c r="F2910" s="371"/>
      <c r="G2910" s="372" t="str">
        <f>"("&amp;B2910&amp;")"&amp;D2910</f>
        <v>(3)工程物资明细项目</v>
      </c>
      <c r="H2910" s="1515" t="str">
        <f>$A2910</f>
        <v>1605a</v>
      </c>
      <c r="I2910" s="343" t="s">
        <v>2743</v>
      </c>
      <c r="J2910" s="301" t="s">
        <v>2744</v>
      </c>
      <c r="K2910" s="2208">
        <f>J2919</f>
        <v>6747539.5</v>
      </c>
      <c r="L2910" s="349" t="str">
        <f>IF($I2910="适用",IF(ROUND(K$2909-K2910,2)=0,"F/S",ROUND(K$2909-K2910,2)),"#N/A")</f>
        <v>F/S</v>
      </c>
      <c r="M2910" s="301" t="s">
        <v>2745</v>
      </c>
      <c r="N2910" s="2208">
        <f>M2919</f>
        <v>6520426.7699999996</v>
      </c>
      <c r="O2910" s="349">
        <f>IF($I2910="适用",IF(ROUND(N$2909-N2910,2)=0,"F/S",ROUND(N$2909-N2910,2)),"#N/A")</f>
        <v>-6520426.7699999996</v>
      </c>
      <c r="P2910" s="301"/>
      <c r="S2910" s="364"/>
      <c r="Z2910" s="609" t="s">
        <v>1200</v>
      </c>
      <c r="AA2910" s="609" t="s">
        <v>5661</v>
      </c>
    </row>
    <row r="2911" spans="1:34" s="289" customFormat="1" ht="0.75" customHeight="1">
      <c r="A2911" s="2712"/>
      <c r="B2911" s="371"/>
      <c r="C2911" s="371"/>
      <c r="D2911" s="2714"/>
      <c r="E2911" s="2714"/>
      <c r="F2911" s="371"/>
      <c r="G2911" s="405" t="s">
        <v>6237</v>
      </c>
      <c r="H2911" s="371" t="s">
        <v>2747</v>
      </c>
      <c r="I2911" s="371" t="s">
        <v>2850</v>
      </c>
      <c r="J2911" s="371" t="s">
        <v>2851</v>
      </c>
      <c r="K2911" s="371" t="s">
        <v>2748</v>
      </c>
      <c r="L2911" s="547" t="s">
        <v>2853</v>
      </c>
      <c r="M2911" s="371" t="s">
        <v>2854</v>
      </c>
      <c r="N2911" s="349"/>
      <c r="O2911" s="349"/>
      <c r="P2911" s="368"/>
      <c r="Q2911" s="582"/>
      <c r="R2911" s="582"/>
      <c r="S2911" s="564"/>
      <c r="T2911" s="292"/>
      <c r="U2911" s="292"/>
      <c r="V2911" s="292"/>
      <c r="W2911" s="292"/>
      <c r="X2911" s="292"/>
      <c r="Y2911" s="292"/>
      <c r="Z2911" s="609" t="s">
        <v>1200</v>
      </c>
      <c r="AA2911" s="609" t="s">
        <v>5661</v>
      </c>
      <c r="AB2911" s="369"/>
      <c r="AC2911" s="369"/>
      <c r="AD2911" s="369"/>
      <c r="AE2911" s="369"/>
      <c r="AF2911" s="292"/>
      <c r="AG2911" s="292"/>
      <c r="AH2911" s="292"/>
    </row>
    <row r="2912" spans="1:34" s="289" customFormat="1" ht="0.75" customHeight="1" thickBot="1">
      <c r="A2912" s="2712"/>
      <c r="B2912" s="371"/>
      <c r="C2912" s="371"/>
      <c r="D2912" s="2714"/>
      <c r="E2912" s="2714"/>
      <c r="F2912" s="371"/>
      <c r="G2912" s="405"/>
      <c r="H2912" s="371" t="s">
        <v>2855</v>
      </c>
      <c r="I2912" s="371" t="s">
        <v>3096</v>
      </c>
      <c r="J2912" s="371" t="s">
        <v>2857</v>
      </c>
      <c r="K2912" s="547" t="s">
        <v>2858</v>
      </c>
      <c r="L2912" s="547" t="s">
        <v>3331</v>
      </c>
      <c r="M2912" s="371" t="s">
        <v>2860</v>
      </c>
      <c r="N2912" s="349"/>
      <c r="O2912" s="349"/>
      <c r="P2912" s="368"/>
      <c r="Q2912" s="582"/>
      <c r="R2912" s="582"/>
      <c r="S2912" s="564"/>
      <c r="T2912" s="292"/>
      <c r="U2912" s="292"/>
      <c r="V2912" s="292"/>
      <c r="W2912" s="292"/>
      <c r="X2912" s="292"/>
      <c r="Y2912" s="292"/>
      <c r="Z2912" s="609" t="s">
        <v>1200</v>
      </c>
      <c r="AA2912" s="609" t="s">
        <v>5661</v>
      </c>
      <c r="AB2912" s="369"/>
      <c r="AC2912" s="369"/>
      <c r="AD2912" s="369"/>
      <c r="AE2912" s="369"/>
      <c r="AF2912" s="292"/>
      <c r="AG2912" s="292"/>
      <c r="AH2912" s="292"/>
    </row>
    <row r="2913" spans="1:34" s="289" customFormat="1" ht="15.75" customHeight="1">
      <c r="A2913" s="2712"/>
      <c r="B2913" s="371"/>
      <c r="C2913" s="371"/>
      <c r="D2913" s="2714"/>
      <c r="E2913" s="2714" t="s">
        <v>2749</v>
      </c>
      <c r="F2913" s="368"/>
      <c r="G2913" s="3541" t="s">
        <v>47</v>
      </c>
      <c r="H2913" s="3556" t="str">
        <f>$V$2</f>
        <v>2019年12月31日</v>
      </c>
      <c r="I2913" s="3590"/>
      <c r="J2913" s="3557"/>
      <c r="K2913" s="3627" t="str">
        <f>$V$3</f>
        <v>2018年12月31日</v>
      </c>
      <c r="L2913" s="3628"/>
      <c r="M2913" s="3628"/>
      <c r="N2913" s="355" t="s">
        <v>5287</v>
      </c>
      <c r="O2913" s="349"/>
      <c r="P2913" s="368"/>
      <c r="Q2913" s="582"/>
      <c r="R2913" s="582"/>
      <c r="S2913" s="564"/>
      <c r="T2913" s="292"/>
      <c r="U2913" s="292"/>
      <c r="V2913" s="292"/>
      <c r="W2913" s="292"/>
      <c r="X2913" s="292"/>
      <c r="Y2913" s="292"/>
      <c r="Z2913" s="609" t="s">
        <v>1200</v>
      </c>
      <c r="AA2913" s="609" t="s">
        <v>5661</v>
      </c>
      <c r="AB2913" s="369"/>
      <c r="AC2913" s="369"/>
      <c r="AD2913" s="369"/>
      <c r="AE2913" s="369"/>
      <c r="AF2913" s="292"/>
      <c r="AG2913" s="292"/>
      <c r="AH2913" s="292"/>
    </row>
    <row r="2914" spans="1:34" ht="18">
      <c r="A2914" s="2712"/>
      <c r="B2914" s="371"/>
      <c r="C2914" s="371"/>
      <c r="D2914" s="2714"/>
      <c r="E2914" s="2714" t="s">
        <v>2749</v>
      </c>
      <c r="F2914" s="371"/>
      <c r="G2914" s="3542"/>
      <c r="H2914" s="408" t="s">
        <v>2861</v>
      </c>
      <c r="I2914" s="408" t="s">
        <v>3097</v>
      </c>
      <c r="J2914" s="408" t="s">
        <v>2863</v>
      </c>
      <c r="K2914" s="419" t="s">
        <v>2861</v>
      </c>
      <c r="L2914" s="419" t="s">
        <v>3097</v>
      </c>
      <c r="M2914" s="421" t="s">
        <v>2863</v>
      </c>
      <c r="N2914" s="391"/>
      <c r="O2914" s="349"/>
      <c r="P2914" s="301"/>
      <c r="S2914" s="364"/>
      <c r="Z2914" s="609" t="s">
        <v>1200</v>
      </c>
      <c r="AA2914" s="609" t="s">
        <v>5661</v>
      </c>
    </row>
    <row r="2915" spans="1:34" ht="18">
      <c r="A2915" s="2712"/>
      <c r="B2915" s="371">
        <v>101</v>
      </c>
      <c r="C2915" s="371" t="s">
        <v>2791</v>
      </c>
      <c r="D2915" s="2714">
        <f t="shared" ref="D2915:D2919" si="324">IF(OR(G2915="*",G2915="",G2915=0),0,COUNTIF($G$2915:$G$2919,G2915))</f>
        <v>1</v>
      </c>
      <c r="E2915" s="2719">
        <v>1</v>
      </c>
      <c r="F2915" s="371"/>
      <c r="G2915" s="319" t="s">
        <v>7754</v>
      </c>
      <c r="H2915" s="309">
        <v>6957994.4000000004</v>
      </c>
      <c r="I2915" s="422">
        <v>210454.9</v>
      </c>
      <c r="J2915" s="309">
        <f>H2915-I2915</f>
        <v>6747539.5</v>
      </c>
      <c r="K2915" s="320">
        <v>6730881.6699999999</v>
      </c>
      <c r="L2915" s="309">
        <v>210454.9</v>
      </c>
      <c r="M2915" s="346">
        <f>K2915-L2915</f>
        <v>6520426.7699999996</v>
      </c>
      <c r="N2915" s="391"/>
      <c r="O2915" s="349"/>
      <c r="P2915" s="301"/>
      <c r="S2915" s="364"/>
      <c r="Z2915" s="609" t="s">
        <v>1200</v>
      </c>
      <c r="AA2915" s="609" t="s">
        <v>5661</v>
      </c>
    </row>
    <row r="2916" spans="1:34" ht="18">
      <c r="A2916" s="2712"/>
      <c r="B2916" s="371">
        <v>102</v>
      </c>
      <c r="C2916" s="371" t="s">
        <v>2791</v>
      </c>
      <c r="D2916" s="2714">
        <f t="shared" si="324"/>
        <v>0</v>
      </c>
      <c r="E2916" s="2719">
        <v>1</v>
      </c>
      <c r="F2916" s="371"/>
      <c r="G2916" s="319" t="s">
        <v>2792</v>
      </c>
      <c r="H2916" s="309"/>
      <c r="I2916" s="422"/>
      <c r="J2916" s="309">
        <f t="shared" ref="J2916:J2918" si="325">H2916-I2916</f>
        <v>0</v>
      </c>
      <c r="K2916" s="320"/>
      <c r="L2916" s="309"/>
      <c r="M2916" s="346">
        <f t="shared" ref="M2916:M2918" si="326">K2916-L2916</f>
        <v>0</v>
      </c>
      <c r="N2916" s="391"/>
      <c r="O2916" s="349"/>
      <c r="P2916" s="301"/>
      <c r="S2916" s="364"/>
      <c r="Z2916" s="609" t="s">
        <v>1200</v>
      </c>
      <c r="AA2916" s="609" t="s">
        <v>5661</v>
      </c>
    </row>
    <row r="2917" spans="1:34" ht="18">
      <c r="A2917" s="2712"/>
      <c r="B2917" s="371">
        <v>103</v>
      </c>
      <c r="C2917" s="371" t="s">
        <v>2791</v>
      </c>
      <c r="D2917" s="2714">
        <f t="shared" si="324"/>
        <v>0</v>
      </c>
      <c r="E2917" s="2719">
        <v>1</v>
      </c>
      <c r="F2917" s="371"/>
      <c r="G2917" s="319" t="s">
        <v>2792</v>
      </c>
      <c r="H2917" s="309"/>
      <c r="I2917" s="422"/>
      <c r="J2917" s="309">
        <f t="shared" si="325"/>
        <v>0</v>
      </c>
      <c r="K2917" s="320"/>
      <c r="L2917" s="309"/>
      <c r="M2917" s="346">
        <f t="shared" si="326"/>
        <v>0</v>
      </c>
      <c r="N2917" s="391"/>
      <c r="O2917" s="349"/>
      <c r="P2917" s="301"/>
      <c r="S2917" s="364"/>
      <c r="Z2917" s="609" t="s">
        <v>1200</v>
      </c>
      <c r="AA2917" s="609" t="s">
        <v>5661</v>
      </c>
    </row>
    <row r="2918" spans="1:34" ht="18">
      <c r="A2918" s="2712"/>
      <c r="B2918" s="371">
        <v>104</v>
      </c>
      <c r="C2918" s="371" t="s">
        <v>2791</v>
      </c>
      <c r="D2918" s="2714">
        <f t="shared" si="324"/>
        <v>0</v>
      </c>
      <c r="E2918" s="2719">
        <v>1</v>
      </c>
      <c r="F2918" s="371"/>
      <c r="G2918" s="319" t="s">
        <v>2792</v>
      </c>
      <c r="H2918" s="309"/>
      <c r="I2918" s="422"/>
      <c r="J2918" s="309">
        <f t="shared" si="325"/>
        <v>0</v>
      </c>
      <c r="K2918" s="320"/>
      <c r="L2918" s="309"/>
      <c r="M2918" s="346">
        <f t="shared" si="326"/>
        <v>0</v>
      </c>
      <c r="N2918" s="391"/>
      <c r="O2918" s="349"/>
      <c r="P2918" s="301"/>
      <c r="S2918" s="364"/>
      <c r="Z2918" s="609" t="s">
        <v>1200</v>
      </c>
      <c r="AA2918" s="609" t="s">
        <v>5661</v>
      </c>
    </row>
    <row r="2919" spans="1:34" ht="18.75" thickBot="1">
      <c r="A2919" s="2712"/>
      <c r="B2919" s="371"/>
      <c r="C2919" s="371"/>
      <c r="D2919" s="2714">
        <f t="shared" si="324"/>
        <v>1</v>
      </c>
      <c r="E2919" s="2719" t="s">
        <v>2751</v>
      </c>
      <c r="F2919" s="371"/>
      <c r="G2919" s="374" t="s">
        <v>2752</v>
      </c>
      <c r="H2919" s="375">
        <f t="shared" ref="H2919:M2919" si="327">SUMPRODUCT($E2914:$E2918,H2914:H2918)</f>
        <v>6957994.4000000004</v>
      </c>
      <c r="I2919" s="375">
        <f t="shared" si="327"/>
        <v>210454.9</v>
      </c>
      <c r="J2919" s="375">
        <f t="shared" si="327"/>
        <v>6747539.5</v>
      </c>
      <c r="K2919" s="375">
        <f t="shared" si="327"/>
        <v>6730881.6699999999</v>
      </c>
      <c r="L2919" s="375">
        <f t="shared" si="327"/>
        <v>210454.9</v>
      </c>
      <c r="M2919" s="395">
        <f t="shared" si="327"/>
        <v>6520426.7699999996</v>
      </c>
      <c r="N2919" s="1531" t="str">
        <f ca="1">HYPERLINK("#'"&amp;$G$1&amp;"'!"&amp;ADDRESS(ROW(Notes!L4888),COLUMN(Notes!L4888),4),"* 请勿删除此行！点击往勾稽单元格，F5+Enter返回")</f>
        <v>* 请勿删除此行！点击往勾稽单元格，F5+Enter返回</v>
      </c>
      <c r="O2919" s="349"/>
      <c r="P2919" s="301"/>
      <c r="S2919" s="364"/>
      <c r="Z2919" s="609" t="s">
        <v>1200</v>
      </c>
      <c r="AA2919" s="609" t="s">
        <v>5661</v>
      </c>
      <c r="AC2919" s="369" t="s">
        <v>6571</v>
      </c>
    </row>
    <row r="2920" spans="1:34" ht="18">
      <c r="A2920" s="2712"/>
      <c r="B2920" s="371"/>
      <c r="C2920" s="371" t="s">
        <v>2755</v>
      </c>
      <c r="D2920" s="371"/>
      <c r="F2920" s="294"/>
      <c r="G2920" s="301"/>
      <c r="H2920" s="349"/>
      <c r="I2920" s="350"/>
      <c r="J2920" s="349"/>
      <c r="K2920" s="349"/>
      <c r="L2920" s="349"/>
      <c r="M2920" s="349"/>
      <c r="N2920" s="291"/>
      <c r="O2920" s="291"/>
      <c r="P2920" s="291"/>
      <c r="Q2920" s="367"/>
      <c r="R2920" s="367"/>
      <c r="S2920" s="364"/>
      <c r="Z2920" s="609" t="s">
        <v>1200</v>
      </c>
      <c r="AA2920" s="609" t="s">
        <v>5661</v>
      </c>
    </row>
    <row r="2921" spans="1:34" ht="18">
      <c r="A2921" s="2712">
        <v>1621</v>
      </c>
      <c r="B2921" s="371">
        <v>25</v>
      </c>
      <c r="C2921" s="2714" t="str">
        <f>VLOOKUP($A2921,Sheet_Items,2,0)</f>
        <v>生产性生物资产</v>
      </c>
      <c r="D2921" s="371"/>
      <c r="E2921" s="2714" t="s">
        <v>2739</v>
      </c>
      <c r="F2921" s="294"/>
      <c r="G2921" s="305" t="str">
        <f>B2921&amp;" "&amp;C2921</f>
        <v>25 生产性生物资产</v>
      </c>
      <c r="H2921" s="306"/>
      <c r="I2921" s="306"/>
      <c r="J2921" s="306" t="s">
        <v>2740</v>
      </c>
      <c r="K2921" s="341">
        <f>VLOOKUP($A2921,Sheet_Trialbal,6,0)</f>
        <v>0</v>
      </c>
      <c r="L2921" s="342"/>
      <c r="M2921" s="306" t="s">
        <v>2741</v>
      </c>
      <c r="N2921" s="341">
        <f>VLOOKUP($A2921,Sheet_Trialbal,10,0)</f>
        <v>0</v>
      </c>
      <c r="O2921" s="306"/>
      <c r="P2921" s="301"/>
      <c r="S2921" s="364"/>
      <c r="Z2921" s="609" t="s">
        <v>1206</v>
      </c>
      <c r="AA2921" s="609" t="s">
        <v>5662</v>
      </c>
    </row>
    <row r="2922" spans="1:34" ht="24">
      <c r="A2922" s="2712" t="s">
        <v>1205</v>
      </c>
      <c r="B2922" s="371">
        <v>1</v>
      </c>
      <c r="C2922" s="371"/>
      <c r="D2922" s="2714" t="str">
        <f>VLOOKUP($A2922,Sheet_NoteList,2,0)</f>
        <v>采用成本计量模式的生产性生物资产</v>
      </c>
      <c r="E2922" s="2714" t="s">
        <v>2742</v>
      </c>
      <c r="F2922" s="294"/>
      <c r="G2922" s="372" t="str">
        <f>"("&amp;B2922&amp;")"&amp;D2922</f>
        <v>(1)采用成本计量模式的生产性生物资产</v>
      </c>
      <c r="H2922" s="1515" t="str">
        <f>$A2922</f>
        <v>1621c</v>
      </c>
      <c r="I2922" s="343" t="s">
        <v>2743</v>
      </c>
      <c r="J2922" s="301" t="s">
        <v>2744</v>
      </c>
      <c r="K2922" s="2208">
        <f>O2982</f>
        <v>0</v>
      </c>
      <c r="L2922" s="345"/>
      <c r="M2922" s="301" t="s">
        <v>2745</v>
      </c>
      <c r="N2922" s="2208">
        <f>H2982</f>
        <v>0</v>
      </c>
      <c r="O2922" s="315"/>
      <c r="P2922" s="301"/>
      <c r="Q2922" s="290" t="str">
        <f>IF($I2922="不适用","",IF(ROUND(SUM($H$2927:$O$2982),2)=0,"请输入",""))</f>
        <v>请输入</v>
      </c>
      <c r="S2922" s="364"/>
      <c r="Z2922" s="609" t="s">
        <v>1206</v>
      </c>
      <c r="AA2922" s="609" t="s">
        <v>5662</v>
      </c>
    </row>
    <row r="2923" spans="1:34" ht="0.75" customHeight="1">
      <c r="A2923" s="2712"/>
      <c r="B2923" s="371"/>
      <c r="C2923" s="371"/>
      <c r="D2923" s="371"/>
      <c r="F2923" s="371"/>
      <c r="G2923" s="371" t="s">
        <v>3676</v>
      </c>
      <c r="H2923" s="371" t="s">
        <v>6238</v>
      </c>
      <c r="I2923" s="371" t="s">
        <v>6239</v>
      </c>
      <c r="J2923" s="371" t="s">
        <v>6240</v>
      </c>
      <c r="K2923" s="371" t="s">
        <v>6241</v>
      </c>
      <c r="L2923" s="371" t="s">
        <v>6242</v>
      </c>
      <c r="M2923" s="371" t="s">
        <v>6243</v>
      </c>
      <c r="N2923" s="371" t="s">
        <v>6244</v>
      </c>
      <c r="O2923" s="371" t="s">
        <v>6245</v>
      </c>
      <c r="P2923" s="291"/>
      <c r="S2923" s="364"/>
      <c r="Z2923" s="609" t="s">
        <v>1206</v>
      </c>
      <c r="AA2923" s="609" t="s">
        <v>5662</v>
      </c>
    </row>
    <row r="2924" spans="1:34" ht="0.75" customHeight="1" thickBot="1">
      <c r="A2924" s="2712"/>
      <c r="B2924" s="371"/>
      <c r="C2924" s="371"/>
      <c r="D2924" s="371"/>
      <c r="F2924" s="371"/>
      <c r="G2924" s="371"/>
      <c r="H2924" s="371" t="s">
        <v>6246</v>
      </c>
      <c r="I2924" s="371" t="s">
        <v>6247</v>
      </c>
      <c r="J2924" s="371" t="s">
        <v>6248</v>
      </c>
      <c r="K2924" s="371" t="s">
        <v>6249</v>
      </c>
      <c r="L2924" s="371" t="s">
        <v>6250</v>
      </c>
      <c r="M2924" s="371" t="s">
        <v>6251</v>
      </c>
      <c r="N2924" s="371" t="s">
        <v>6252</v>
      </c>
      <c r="O2924" s="371" t="s">
        <v>6253</v>
      </c>
      <c r="P2924" s="291"/>
      <c r="S2924" s="364"/>
      <c r="Z2924" s="609" t="s">
        <v>1206</v>
      </c>
      <c r="AA2924" s="609" t="s">
        <v>5662</v>
      </c>
    </row>
    <row r="2925" spans="1:34" ht="23.25" customHeight="1">
      <c r="A2925" s="2712"/>
      <c r="B2925" s="371"/>
      <c r="C2925" s="371"/>
      <c r="D2925" s="371"/>
      <c r="E2925" s="2714" t="s">
        <v>2749</v>
      </c>
      <c r="F2925" s="294"/>
      <c r="G2925" s="3527" t="s">
        <v>47</v>
      </c>
      <c r="H2925" s="3535" t="s">
        <v>3574</v>
      </c>
      <c r="I2925" s="3535" t="s">
        <v>3558</v>
      </c>
      <c r="J2925" s="3535"/>
      <c r="K2925" s="3535"/>
      <c r="L2925" s="3535"/>
      <c r="M2925" s="3535" t="s">
        <v>3560</v>
      </c>
      <c r="N2925" s="3535"/>
      <c r="O2925" s="3599" t="s">
        <v>3575</v>
      </c>
      <c r="P2925" s="355" t="s">
        <v>5288</v>
      </c>
      <c r="S2925" s="364"/>
      <c r="Z2925" s="609" t="s">
        <v>1206</v>
      </c>
      <c r="AA2925" s="609" t="s">
        <v>5662</v>
      </c>
    </row>
    <row r="2926" spans="1:34" ht="18">
      <c r="A2926" s="2712"/>
      <c r="B2926" s="371"/>
      <c r="C2926" s="371"/>
      <c r="D2926" s="371"/>
      <c r="E2926" s="2714" t="s">
        <v>2749</v>
      </c>
      <c r="F2926" s="294"/>
      <c r="G2926" s="3528"/>
      <c r="H2926" s="3624"/>
      <c r="I2926" s="2368" t="s">
        <v>3546</v>
      </c>
      <c r="J2926" s="2368" t="s">
        <v>3678</v>
      </c>
      <c r="K2926" s="2369" t="s">
        <v>5162</v>
      </c>
      <c r="L2926" s="2369" t="s">
        <v>5161</v>
      </c>
      <c r="M2926" s="2370" t="s">
        <v>3561</v>
      </c>
      <c r="N2926" s="2368" t="s">
        <v>3679</v>
      </c>
      <c r="O2926" s="3600"/>
      <c r="P2926" s="291"/>
      <c r="S2926" s="364"/>
      <c r="Z2926" s="609" t="s">
        <v>1206</v>
      </c>
      <c r="AA2926" s="609" t="s">
        <v>5662</v>
      </c>
    </row>
    <row r="2927" spans="1:34" ht="18">
      <c r="A2927" s="2712"/>
      <c r="B2927" s="371">
        <v>101</v>
      </c>
      <c r="C2927" s="371"/>
      <c r="D2927" s="2714">
        <f t="shared" ref="D2927:D2958" si="328">IF(OR(G2927="*",G2927="",G2927=0),0,COUNTIF($G$2927:$G$2982,G2927))</f>
        <v>1</v>
      </c>
      <c r="E2927" s="2719" t="s">
        <v>41</v>
      </c>
      <c r="F2927" s="294"/>
      <c r="G2927" s="308" t="s">
        <v>3577</v>
      </c>
      <c r="H2927" s="309"/>
      <c r="I2927" s="309"/>
      <c r="J2927" s="309"/>
      <c r="K2927" s="1463">
        <v>0</v>
      </c>
      <c r="L2927" s="309"/>
      <c r="M2927" s="309"/>
      <c r="N2927" s="309"/>
      <c r="O2927" s="346"/>
      <c r="P2927" s="291"/>
      <c r="S2927" s="364"/>
      <c r="Z2927" s="609" t="s">
        <v>1206</v>
      </c>
      <c r="AA2927" s="609" t="s">
        <v>5662</v>
      </c>
    </row>
    <row r="2928" spans="1:34" ht="18">
      <c r="A2928" s="2712"/>
      <c r="B2928" s="371">
        <v>102</v>
      </c>
      <c r="C2928" s="371"/>
      <c r="D2928" s="2714">
        <f t="shared" si="328"/>
        <v>1</v>
      </c>
      <c r="E2928" s="2719" t="s">
        <v>41</v>
      </c>
      <c r="F2928" s="294"/>
      <c r="G2928" s="308" t="s">
        <v>5164</v>
      </c>
      <c r="H2928" s="309"/>
      <c r="I2928" s="309"/>
      <c r="J2928" s="309"/>
      <c r="K2928" s="1463">
        <v>0</v>
      </c>
      <c r="L2928" s="309"/>
      <c r="M2928" s="309"/>
      <c r="N2928" s="309"/>
      <c r="O2928" s="346"/>
      <c r="P2928" s="292"/>
      <c r="S2928" s="364"/>
      <c r="Z2928" s="609" t="s">
        <v>1206</v>
      </c>
      <c r="AA2928" s="609" t="s">
        <v>5662</v>
      </c>
    </row>
    <row r="2929" spans="1:27" ht="18">
      <c r="A2929" s="2712"/>
      <c r="B2929" s="371">
        <v>102.001</v>
      </c>
      <c r="C2929" s="371" t="s">
        <v>2791</v>
      </c>
      <c r="D2929" s="2714">
        <f t="shared" si="328"/>
        <v>1</v>
      </c>
      <c r="E2929" s="2719" t="s">
        <v>5157</v>
      </c>
      <c r="F2929" s="294"/>
      <c r="G2929" s="1484" t="s">
        <v>5190</v>
      </c>
      <c r="H2929" s="309"/>
      <c r="I2929" s="309"/>
      <c r="J2929" s="309"/>
      <c r="K2929" s="1463">
        <v>0</v>
      </c>
      <c r="L2929" s="309"/>
      <c r="M2929" s="309"/>
      <c r="N2929" s="309"/>
      <c r="O2929" s="1475">
        <f>SUM(H2929:L2929,-M2929,-N2929)</f>
        <v>0</v>
      </c>
      <c r="P2929" s="292"/>
      <c r="S2929" s="364"/>
      <c r="Z2929" s="609" t="s">
        <v>1206</v>
      </c>
      <c r="AA2929" s="609" t="s">
        <v>5662</v>
      </c>
    </row>
    <row r="2930" spans="1:27" ht="18">
      <c r="A2930" s="2712"/>
      <c r="B2930" s="371">
        <v>102.002</v>
      </c>
      <c r="C2930" s="371" t="s">
        <v>2791</v>
      </c>
      <c r="D2930" s="2714">
        <f t="shared" si="328"/>
        <v>1</v>
      </c>
      <c r="E2930" s="2719" t="s">
        <v>5157</v>
      </c>
      <c r="F2930" s="294"/>
      <c r="G2930" s="1484" t="s">
        <v>5191</v>
      </c>
      <c r="H2930" s="309"/>
      <c r="I2930" s="309"/>
      <c r="J2930" s="309"/>
      <c r="K2930" s="1463">
        <v>0</v>
      </c>
      <c r="L2930" s="309"/>
      <c r="M2930" s="309"/>
      <c r="N2930" s="309"/>
      <c r="O2930" s="1475">
        <f>SUM(H2930:L2930,-M2930,-N2930)</f>
        <v>0</v>
      </c>
      <c r="P2930" s="292"/>
      <c r="S2930" s="364"/>
      <c r="Z2930" s="609" t="s">
        <v>1206</v>
      </c>
      <c r="AA2930" s="609" t="s">
        <v>5662</v>
      </c>
    </row>
    <row r="2931" spans="1:27" ht="18">
      <c r="A2931" s="2712"/>
      <c r="B2931" s="371">
        <v>103</v>
      </c>
      <c r="C2931" s="371"/>
      <c r="D2931" s="2714">
        <f t="shared" si="328"/>
        <v>1</v>
      </c>
      <c r="E2931" s="2719" t="s">
        <v>41</v>
      </c>
      <c r="F2931" s="294"/>
      <c r="G2931" s="308" t="s">
        <v>5165</v>
      </c>
      <c r="H2931" s="309"/>
      <c r="I2931" s="309"/>
      <c r="J2931" s="309"/>
      <c r="K2931" s="1463">
        <v>0</v>
      </c>
      <c r="L2931" s="309"/>
      <c r="M2931" s="309"/>
      <c r="N2931" s="309"/>
      <c r="O2931" s="346"/>
      <c r="P2931" s="292"/>
      <c r="S2931" s="364"/>
      <c r="Z2931" s="609" t="s">
        <v>1206</v>
      </c>
      <c r="AA2931" s="609" t="s">
        <v>5662</v>
      </c>
    </row>
    <row r="2932" spans="1:27" ht="18">
      <c r="A2932" s="2712"/>
      <c r="B2932" s="371">
        <v>103.001</v>
      </c>
      <c r="C2932" s="371" t="s">
        <v>2791</v>
      </c>
      <c r="D2932" s="2714">
        <f t="shared" si="328"/>
        <v>1</v>
      </c>
      <c r="E2932" s="2719" t="s">
        <v>5157</v>
      </c>
      <c r="F2932" s="294"/>
      <c r="G2932" s="1484" t="s">
        <v>5192</v>
      </c>
      <c r="H2932" s="309"/>
      <c r="I2932" s="309"/>
      <c r="J2932" s="309"/>
      <c r="K2932" s="1463">
        <v>0</v>
      </c>
      <c r="L2932" s="309"/>
      <c r="M2932" s="309"/>
      <c r="N2932" s="309"/>
      <c r="O2932" s="1475">
        <f>SUM(H2932:L2932,-M2932,-N2932)</f>
        <v>0</v>
      </c>
      <c r="P2932" s="292"/>
      <c r="S2932" s="364"/>
      <c r="Z2932" s="609" t="s">
        <v>1206</v>
      </c>
      <c r="AA2932" s="609" t="s">
        <v>5662</v>
      </c>
    </row>
    <row r="2933" spans="1:27" ht="18">
      <c r="A2933" s="2712"/>
      <c r="B2933" s="371">
        <v>103.002</v>
      </c>
      <c r="C2933" s="371" t="s">
        <v>2791</v>
      </c>
      <c r="D2933" s="2714">
        <f t="shared" si="328"/>
        <v>1</v>
      </c>
      <c r="E2933" s="2719" t="s">
        <v>5157</v>
      </c>
      <c r="F2933" s="294"/>
      <c r="G2933" s="1484" t="s">
        <v>5193</v>
      </c>
      <c r="H2933" s="309"/>
      <c r="I2933" s="309"/>
      <c r="J2933" s="309"/>
      <c r="K2933" s="1463">
        <v>0</v>
      </c>
      <c r="L2933" s="309"/>
      <c r="M2933" s="309"/>
      <c r="N2933" s="309"/>
      <c r="O2933" s="1475">
        <f>SUM(H2933:L2933,-M2933,-N2933)</f>
        <v>0</v>
      </c>
      <c r="P2933" s="292"/>
      <c r="S2933" s="364"/>
      <c r="Z2933" s="609" t="s">
        <v>1206</v>
      </c>
      <c r="AA2933" s="609" t="s">
        <v>5662</v>
      </c>
    </row>
    <row r="2934" spans="1:27" ht="18">
      <c r="A2934" s="2712"/>
      <c r="B2934" s="371">
        <v>104</v>
      </c>
      <c r="C2934" s="371"/>
      <c r="D2934" s="2714">
        <f t="shared" si="328"/>
        <v>1</v>
      </c>
      <c r="E2934" s="2719" t="s">
        <v>41</v>
      </c>
      <c r="F2934" s="294"/>
      <c r="G2934" s="308" t="s">
        <v>5166</v>
      </c>
      <c r="H2934" s="309"/>
      <c r="I2934" s="309"/>
      <c r="J2934" s="309"/>
      <c r="K2934" s="1463">
        <v>0</v>
      </c>
      <c r="L2934" s="309"/>
      <c r="M2934" s="309"/>
      <c r="N2934" s="309"/>
      <c r="O2934" s="346"/>
      <c r="P2934" s="292"/>
      <c r="S2934" s="364"/>
      <c r="Z2934" s="609" t="s">
        <v>1206</v>
      </c>
      <c r="AA2934" s="609" t="s">
        <v>5662</v>
      </c>
    </row>
    <row r="2935" spans="1:27" ht="18">
      <c r="A2935" s="2712"/>
      <c r="B2935" s="371">
        <v>104.001</v>
      </c>
      <c r="C2935" s="371" t="s">
        <v>2791</v>
      </c>
      <c r="D2935" s="2714">
        <f t="shared" si="328"/>
        <v>1</v>
      </c>
      <c r="E2935" s="2719" t="s">
        <v>5157</v>
      </c>
      <c r="F2935" s="294"/>
      <c r="G2935" s="1484" t="s">
        <v>5194</v>
      </c>
      <c r="H2935" s="309"/>
      <c r="I2935" s="309"/>
      <c r="J2935" s="309"/>
      <c r="K2935" s="1463">
        <v>0</v>
      </c>
      <c r="L2935" s="309"/>
      <c r="M2935" s="309"/>
      <c r="N2935" s="309"/>
      <c r="O2935" s="1475">
        <f>SUM(H2935:L2935,-M2935,-N2935)</f>
        <v>0</v>
      </c>
      <c r="P2935" s="292"/>
      <c r="S2935" s="364"/>
      <c r="Z2935" s="609" t="s">
        <v>1206</v>
      </c>
      <c r="AA2935" s="609" t="s">
        <v>5662</v>
      </c>
    </row>
    <row r="2936" spans="1:27" ht="18">
      <c r="A2936" s="2712"/>
      <c r="B2936" s="371">
        <v>104.002</v>
      </c>
      <c r="C2936" s="371" t="s">
        <v>2791</v>
      </c>
      <c r="D2936" s="2714">
        <f t="shared" si="328"/>
        <v>1</v>
      </c>
      <c r="E2936" s="2719" t="s">
        <v>5157</v>
      </c>
      <c r="F2936" s="294"/>
      <c r="G2936" s="1484" t="s">
        <v>5195</v>
      </c>
      <c r="H2936" s="309"/>
      <c r="I2936" s="309"/>
      <c r="J2936" s="309"/>
      <c r="K2936" s="1463">
        <v>0</v>
      </c>
      <c r="L2936" s="309"/>
      <c r="M2936" s="309"/>
      <c r="N2936" s="309"/>
      <c r="O2936" s="1475">
        <f>SUM(H2936:L2936,-M2936,-N2936)</f>
        <v>0</v>
      </c>
      <c r="P2936" s="292"/>
      <c r="S2936" s="364"/>
      <c r="Z2936" s="609" t="s">
        <v>1206</v>
      </c>
      <c r="AA2936" s="609" t="s">
        <v>5662</v>
      </c>
    </row>
    <row r="2937" spans="1:27" ht="18">
      <c r="A2937" s="2712"/>
      <c r="B2937" s="371">
        <v>105</v>
      </c>
      <c r="C2937" s="371"/>
      <c r="D2937" s="2714">
        <f t="shared" si="328"/>
        <v>1</v>
      </c>
      <c r="E2937" s="2719" t="s">
        <v>41</v>
      </c>
      <c r="F2937" s="294"/>
      <c r="G2937" s="308" t="s">
        <v>5167</v>
      </c>
      <c r="H2937" s="309"/>
      <c r="I2937" s="309"/>
      <c r="J2937" s="309"/>
      <c r="K2937" s="1463">
        <v>0</v>
      </c>
      <c r="L2937" s="309"/>
      <c r="M2937" s="309"/>
      <c r="N2937" s="309"/>
      <c r="O2937" s="346"/>
      <c r="P2937" s="292"/>
      <c r="S2937" s="364"/>
      <c r="Z2937" s="609" t="s">
        <v>1206</v>
      </c>
      <c r="AA2937" s="609" t="s">
        <v>5662</v>
      </c>
    </row>
    <row r="2938" spans="1:27" ht="18">
      <c r="A2938" s="2712"/>
      <c r="B2938" s="371">
        <v>105.001</v>
      </c>
      <c r="C2938" s="371" t="s">
        <v>2791</v>
      </c>
      <c r="D2938" s="2714">
        <f t="shared" si="328"/>
        <v>1</v>
      </c>
      <c r="E2938" s="2719" t="s">
        <v>5157</v>
      </c>
      <c r="F2938" s="294"/>
      <c r="G2938" s="1484" t="s">
        <v>5196</v>
      </c>
      <c r="H2938" s="309"/>
      <c r="I2938" s="309"/>
      <c r="J2938" s="309"/>
      <c r="K2938" s="1463">
        <v>0</v>
      </c>
      <c r="L2938" s="309"/>
      <c r="M2938" s="309"/>
      <c r="N2938" s="309"/>
      <c r="O2938" s="1475">
        <f>SUM(H2938:L2938,-M2938,-N2938)</f>
        <v>0</v>
      </c>
      <c r="P2938" s="292"/>
      <c r="S2938" s="364"/>
      <c r="Z2938" s="609" t="s">
        <v>1206</v>
      </c>
      <c r="AA2938" s="609" t="s">
        <v>5662</v>
      </c>
    </row>
    <row r="2939" spans="1:27" ht="18">
      <c r="A2939" s="2712"/>
      <c r="B2939" s="371">
        <v>105.002</v>
      </c>
      <c r="C2939" s="371" t="s">
        <v>2791</v>
      </c>
      <c r="D2939" s="2714">
        <f t="shared" si="328"/>
        <v>1</v>
      </c>
      <c r="E2939" s="2719" t="s">
        <v>5157</v>
      </c>
      <c r="F2939" s="294"/>
      <c r="G2939" s="1484" t="s">
        <v>5197</v>
      </c>
      <c r="H2939" s="309"/>
      <c r="I2939" s="309"/>
      <c r="J2939" s="309"/>
      <c r="K2939" s="1463">
        <v>0</v>
      </c>
      <c r="L2939" s="309"/>
      <c r="M2939" s="309"/>
      <c r="N2939" s="309"/>
      <c r="O2939" s="1475">
        <f>SUM(H2939:L2939,-M2939,-N2939)</f>
        <v>0</v>
      </c>
      <c r="P2939" s="292"/>
      <c r="S2939" s="364"/>
      <c r="Z2939" s="609" t="s">
        <v>1206</v>
      </c>
      <c r="AA2939" s="609" t="s">
        <v>5662</v>
      </c>
    </row>
    <row r="2940" spans="1:27" ht="18">
      <c r="A2940" s="2712"/>
      <c r="B2940" s="371">
        <v>105.999</v>
      </c>
      <c r="C2940" s="371" t="s">
        <v>2793</v>
      </c>
      <c r="D2940" s="2714">
        <f t="shared" si="328"/>
        <v>1</v>
      </c>
      <c r="E2940" s="2719">
        <v>1</v>
      </c>
      <c r="F2940" s="294"/>
      <c r="G2940" s="308" t="s">
        <v>5163</v>
      </c>
      <c r="H2940" s="1474">
        <f>SUMIF($E$2926:$E$2981,$G2940,H$2926:H$2981)</f>
        <v>0</v>
      </c>
      <c r="I2940" s="1474">
        <f>SUMIF($E$2926:$E$2981,$G2940,I$2926:I$2981)</f>
        <v>0</v>
      </c>
      <c r="J2940" s="1474">
        <f>SUMIF($E$2926:$E$2981,$G2940,J$2926:J$2981)</f>
        <v>0</v>
      </c>
      <c r="K2940" s="1463">
        <v>0</v>
      </c>
      <c r="L2940" s="1474">
        <f>SUMIF($E$2926:$E$2981,$G2940,L$2926:L$2981)</f>
        <v>0</v>
      </c>
      <c r="M2940" s="1474">
        <f>SUMIF($E$2926:$E$2981,$G2940,M$2926:M$2981)</f>
        <v>0</v>
      </c>
      <c r="N2940" s="1474">
        <f>SUMIF($E$2926:$E$2981,$G2940,N$2926:N$2981)</f>
        <v>0</v>
      </c>
      <c r="O2940" s="1475">
        <f>SUMIF($E$2926:$E$2981,$G2940,O$2926:O$2981)</f>
        <v>0</v>
      </c>
      <c r="P2940" s="292"/>
      <c r="S2940" s="364"/>
      <c r="Z2940" s="609" t="s">
        <v>1206</v>
      </c>
      <c r="AA2940" s="609" t="s">
        <v>5662</v>
      </c>
    </row>
    <row r="2941" spans="1:27" ht="18">
      <c r="A2941" s="2712"/>
      <c r="B2941" s="371">
        <v>106</v>
      </c>
      <c r="C2941" s="371"/>
      <c r="D2941" s="2714">
        <f t="shared" si="328"/>
        <v>1</v>
      </c>
      <c r="E2941" s="2719" t="s">
        <v>41</v>
      </c>
      <c r="F2941" s="294"/>
      <c r="G2941" s="308" t="s">
        <v>3610</v>
      </c>
      <c r="H2941" s="1474"/>
      <c r="I2941" s="1463">
        <v>0</v>
      </c>
      <c r="J2941" s="1463">
        <v>0</v>
      </c>
      <c r="K2941" s="309"/>
      <c r="L2941" s="1474"/>
      <c r="M2941" s="1474"/>
      <c r="N2941" s="1474"/>
      <c r="O2941" s="1475"/>
      <c r="P2941" s="292"/>
      <c r="S2941" s="364"/>
      <c r="Z2941" s="609" t="s">
        <v>1206</v>
      </c>
      <c r="AA2941" s="609" t="s">
        <v>5662</v>
      </c>
    </row>
    <row r="2942" spans="1:27" ht="18">
      <c r="A2942" s="2712"/>
      <c r="B2942" s="371">
        <v>107</v>
      </c>
      <c r="C2942" s="371"/>
      <c r="D2942" s="2714">
        <f t="shared" si="328"/>
        <v>1</v>
      </c>
      <c r="E2942" s="2719" t="s">
        <v>41</v>
      </c>
      <c r="F2942" s="294"/>
      <c r="G2942" s="1482" t="str">
        <f>G$2928&amp;" "</f>
        <v xml:space="preserve">种植业 </v>
      </c>
      <c r="H2942" s="1474"/>
      <c r="I2942" s="1463">
        <v>0</v>
      </c>
      <c r="J2942" s="1463">
        <v>0</v>
      </c>
      <c r="K2942" s="309"/>
      <c r="L2942" s="1474"/>
      <c r="M2942" s="1474"/>
      <c r="N2942" s="1474"/>
      <c r="O2942" s="1475"/>
      <c r="P2942" s="292"/>
      <c r="S2942" s="364"/>
      <c r="Z2942" s="609" t="s">
        <v>1206</v>
      </c>
      <c r="AA2942" s="609" t="s">
        <v>5662</v>
      </c>
    </row>
    <row r="2943" spans="1:27" ht="18">
      <c r="A2943" s="2712"/>
      <c r="B2943" s="371">
        <v>107.001</v>
      </c>
      <c r="C2943" s="371" t="s">
        <v>2791</v>
      </c>
      <c r="D2943" s="2714">
        <f t="shared" si="328"/>
        <v>1</v>
      </c>
      <c r="E2943" s="2719" t="s">
        <v>486</v>
      </c>
      <c r="F2943" s="294"/>
      <c r="G2943" s="1482" t="str">
        <f>G$2929&amp;" "</f>
        <v xml:space="preserve">*种植1（在原值处修改清除） </v>
      </c>
      <c r="H2943" s="1474"/>
      <c r="I2943" s="1463">
        <v>0</v>
      </c>
      <c r="J2943" s="1463">
        <v>0</v>
      </c>
      <c r="K2943" s="309"/>
      <c r="L2943" s="1474"/>
      <c r="M2943" s="1474"/>
      <c r="N2943" s="1474"/>
      <c r="O2943" s="1475">
        <f t="shared" ref="O2943:O2944" si="329">SUM(H2943:L2943,-M2943,-N2943)</f>
        <v>0</v>
      </c>
      <c r="P2943" s="292"/>
      <c r="S2943" s="364"/>
      <c r="Z2943" s="609" t="s">
        <v>1206</v>
      </c>
      <c r="AA2943" s="609" t="s">
        <v>5662</v>
      </c>
    </row>
    <row r="2944" spans="1:27" ht="18">
      <c r="A2944" s="2712"/>
      <c r="B2944" s="371">
        <v>107.002</v>
      </c>
      <c r="C2944" s="371" t="s">
        <v>2791</v>
      </c>
      <c r="D2944" s="2714">
        <f t="shared" si="328"/>
        <v>1</v>
      </c>
      <c r="E2944" s="2719" t="s">
        <v>486</v>
      </c>
      <c r="F2944" s="294"/>
      <c r="G2944" s="1482" t="str">
        <f>G$2930&amp;" "</f>
        <v xml:space="preserve">*种植2（在原值处修改清除） </v>
      </c>
      <c r="H2944" s="1474"/>
      <c r="I2944" s="1463">
        <v>0</v>
      </c>
      <c r="J2944" s="1463">
        <v>0</v>
      </c>
      <c r="K2944" s="309"/>
      <c r="L2944" s="1474"/>
      <c r="M2944" s="1474"/>
      <c r="N2944" s="1474"/>
      <c r="O2944" s="1475">
        <f t="shared" si="329"/>
        <v>0</v>
      </c>
      <c r="P2944" s="292"/>
      <c r="S2944" s="364"/>
      <c r="Z2944" s="609" t="s">
        <v>1206</v>
      </c>
      <c r="AA2944" s="609" t="s">
        <v>5662</v>
      </c>
    </row>
    <row r="2945" spans="1:27" ht="18">
      <c r="A2945" s="2712"/>
      <c r="B2945" s="371">
        <v>108</v>
      </c>
      <c r="C2945" s="371"/>
      <c r="D2945" s="2714">
        <f t="shared" si="328"/>
        <v>1</v>
      </c>
      <c r="E2945" s="2719" t="s">
        <v>41</v>
      </c>
      <c r="F2945" s="294"/>
      <c r="G2945" s="1482" t="str">
        <f>G$2931&amp;" "</f>
        <v xml:space="preserve">畜牧养殖业 </v>
      </c>
      <c r="H2945" s="1474"/>
      <c r="I2945" s="1463">
        <v>0</v>
      </c>
      <c r="J2945" s="1463">
        <v>0</v>
      </c>
      <c r="K2945" s="309"/>
      <c r="L2945" s="1474"/>
      <c r="M2945" s="1474"/>
      <c r="N2945" s="1474"/>
      <c r="O2945" s="1475"/>
      <c r="P2945" s="292"/>
      <c r="S2945" s="364"/>
      <c r="Z2945" s="609" t="s">
        <v>1206</v>
      </c>
      <c r="AA2945" s="609" t="s">
        <v>5662</v>
      </c>
    </row>
    <row r="2946" spans="1:27" ht="18">
      <c r="A2946" s="2712"/>
      <c r="B2946" s="371">
        <v>108.001</v>
      </c>
      <c r="C2946" s="371" t="s">
        <v>2791</v>
      </c>
      <c r="D2946" s="2714">
        <f t="shared" si="328"/>
        <v>1</v>
      </c>
      <c r="E2946" s="2719" t="s">
        <v>486</v>
      </c>
      <c r="F2946" s="294"/>
      <c r="G2946" s="1482" t="str">
        <f>G$2932&amp;" "</f>
        <v xml:space="preserve">*畜牧1（在原值处修改清除） </v>
      </c>
      <c r="H2946" s="1474"/>
      <c r="I2946" s="1463">
        <v>0</v>
      </c>
      <c r="J2946" s="1463">
        <v>0</v>
      </c>
      <c r="K2946" s="309"/>
      <c r="L2946" s="1474"/>
      <c r="M2946" s="1474"/>
      <c r="N2946" s="1474"/>
      <c r="O2946" s="1475">
        <f t="shared" ref="O2946:O2947" si="330">SUM(H2946:L2946,-M2946,-N2946)</f>
        <v>0</v>
      </c>
      <c r="P2946" s="292"/>
      <c r="S2946" s="364"/>
      <c r="Z2946" s="609" t="s">
        <v>1206</v>
      </c>
      <c r="AA2946" s="609" t="s">
        <v>5662</v>
      </c>
    </row>
    <row r="2947" spans="1:27" ht="18">
      <c r="A2947" s="2712"/>
      <c r="B2947" s="371">
        <v>108.002</v>
      </c>
      <c r="C2947" s="371" t="s">
        <v>2791</v>
      </c>
      <c r="D2947" s="2714">
        <f t="shared" si="328"/>
        <v>1</v>
      </c>
      <c r="E2947" s="2719" t="s">
        <v>486</v>
      </c>
      <c r="F2947" s="294"/>
      <c r="G2947" s="1482" t="str">
        <f>G$2933&amp;" "</f>
        <v xml:space="preserve">*畜牧2（在原值处修改清除） </v>
      </c>
      <c r="H2947" s="1474"/>
      <c r="I2947" s="1463">
        <v>0</v>
      </c>
      <c r="J2947" s="1463">
        <v>0</v>
      </c>
      <c r="K2947" s="309"/>
      <c r="L2947" s="1474"/>
      <c r="M2947" s="1474"/>
      <c r="N2947" s="1474"/>
      <c r="O2947" s="1475">
        <f t="shared" si="330"/>
        <v>0</v>
      </c>
      <c r="P2947" s="292"/>
      <c r="S2947" s="364"/>
      <c r="Z2947" s="609" t="s">
        <v>1206</v>
      </c>
      <c r="AA2947" s="609" t="s">
        <v>5662</v>
      </c>
    </row>
    <row r="2948" spans="1:27" ht="18">
      <c r="A2948" s="2712"/>
      <c r="B2948" s="371">
        <v>109</v>
      </c>
      <c r="C2948" s="371"/>
      <c r="D2948" s="2714">
        <f t="shared" si="328"/>
        <v>1</v>
      </c>
      <c r="E2948" s="2719" t="s">
        <v>41</v>
      </c>
      <c r="F2948" s="294"/>
      <c r="G2948" s="1482" t="str">
        <f>G$2934&amp;" "</f>
        <v xml:space="preserve">林业 </v>
      </c>
      <c r="H2948" s="1474"/>
      <c r="I2948" s="1463">
        <v>0</v>
      </c>
      <c r="J2948" s="1463">
        <v>0</v>
      </c>
      <c r="K2948" s="309"/>
      <c r="L2948" s="1474"/>
      <c r="M2948" s="1474"/>
      <c r="N2948" s="1474"/>
      <c r="O2948" s="1475"/>
      <c r="P2948" s="292"/>
      <c r="S2948" s="364"/>
      <c r="Z2948" s="609" t="s">
        <v>1206</v>
      </c>
      <c r="AA2948" s="609" t="s">
        <v>5662</v>
      </c>
    </row>
    <row r="2949" spans="1:27" ht="18">
      <c r="A2949" s="2712"/>
      <c r="B2949" s="371">
        <v>109.001</v>
      </c>
      <c r="C2949" s="371" t="s">
        <v>2791</v>
      </c>
      <c r="D2949" s="2714">
        <f t="shared" si="328"/>
        <v>1</v>
      </c>
      <c r="E2949" s="2719" t="s">
        <v>486</v>
      </c>
      <c r="F2949" s="294"/>
      <c r="G2949" s="1482" t="str">
        <f>G$2935&amp;" "</f>
        <v xml:space="preserve">*林业1（在原值处修改清除） </v>
      </c>
      <c r="H2949" s="1474"/>
      <c r="I2949" s="1463">
        <v>0</v>
      </c>
      <c r="J2949" s="1463">
        <v>0</v>
      </c>
      <c r="K2949" s="309"/>
      <c r="L2949" s="1474"/>
      <c r="M2949" s="1474"/>
      <c r="N2949" s="1474"/>
      <c r="O2949" s="1475">
        <f t="shared" ref="O2949:O2950" si="331">SUM(H2949:L2949,-M2949,-N2949)</f>
        <v>0</v>
      </c>
      <c r="P2949" s="292"/>
      <c r="S2949" s="364"/>
      <c r="Z2949" s="609" t="s">
        <v>1206</v>
      </c>
      <c r="AA2949" s="609" t="s">
        <v>5662</v>
      </c>
    </row>
    <row r="2950" spans="1:27" ht="18">
      <c r="A2950" s="2712"/>
      <c r="B2950" s="371">
        <v>109.002</v>
      </c>
      <c r="C2950" s="371" t="s">
        <v>2791</v>
      </c>
      <c r="D2950" s="2714">
        <f t="shared" si="328"/>
        <v>1</v>
      </c>
      <c r="E2950" s="2719" t="s">
        <v>486</v>
      </c>
      <c r="F2950" s="294"/>
      <c r="G2950" s="1482" t="str">
        <f>G$2936&amp;" "</f>
        <v xml:space="preserve">*林业2（在原值处修改清除） </v>
      </c>
      <c r="H2950" s="1474"/>
      <c r="I2950" s="1463">
        <v>0</v>
      </c>
      <c r="J2950" s="1463">
        <v>0</v>
      </c>
      <c r="K2950" s="309"/>
      <c r="L2950" s="1474"/>
      <c r="M2950" s="1474"/>
      <c r="N2950" s="1474"/>
      <c r="O2950" s="1475">
        <f t="shared" si="331"/>
        <v>0</v>
      </c>
      <c r="P2950" s="292"/>
      <c r="S2950" s="364"/>
      <c r="Z2950" s="609" t="s">
        <v>1206</v>
      </c>
      <c r="AA2950" s="609" t="s">
        <v>5662</v>
      </c>
    </row>
    <row r="2951" spans="1:27" ht="18">
      <c r="A2951" s="2712"/>
      <c r="B2951" s="371">
        <v>110</v>
      </c>
      <c r="C2951" s="371"/>
      <c r="D2951" s="2714">
        <f t="shared" si="328"/>
        <v>1</v>
      </c>
      <c r="E2951" s="2719" t="s">
        <v>41</v>
      </c>
      <c r="F2951" s="294"/>
      <c r="G2951" s="1482" t="str">
        <f>G$2937&amp;" "</f>
        <v xml:space="preserve">水产业 </v>
      </c>
      <c r="H2951" s="1474"/>
      <c r="I2951" s="1463">
        <v>0</v>
      </c>
      <c r="J2951" s="1463">
        <v>0</v>
      </c>
      <c r="K2951" s="309"/>
      <c r="L2951" s="1474"/>
      <c r="M2951" s="1474"/>
      <c r="N2951" s="1474"/>
      <c r="O2951" s="1475"/>
      <c r="P2951" s="292"/>
      <c r="S2951" s="364"/>
      <c r="Z2951" s="609" t="s">
        <v>1206</v>
      </c>
      <c r="AA2951" s="609" t="s">
        <v>5662</v>
      </c>
    </row>
    <row r="2952" spans="1:27" ht="18">
      <c r="A2952" s="2712"/>
      <c r="B2952" s="371">
        <v>110.001</v>
      </c>
      <c r="C2952" s="371" t="s">
        <v>2791</v>
      </c>
      <c r="D2952" s="2714">
        <f t="shared" si="328"/>
        <v>1</v>
      </c>
      <c r="E2952" s="2719" t="s">
        <v>486</v>
      </c>
      <c r="F2952" s="294"/>
      <c r="G2952" s="1482" t="str">
        <f>G$2938&amp;" "</f>
        <v xml:space="preserve">*水产1（在原值处修改清除） </v>
      </c>
      <c r="H2952" s="1474"/>
      <c r="I2952" s="1463">
        <v>0</v>
      </c>
      <c r="J2952" s="1463">
        <v>0</v>
      </c>
      <c r="K2952" s="309"/>
      <c r="L2952" s="1474"/>
      <c r="M2952" s="1474"/>
      <c r="N2952" s="1474"/>
      <c r="O2952" s="1475">
        <f t="shared" ref="O2952:O2953" si="332">SUM(H2952:L2952,-M2952,-N2952)</f>
        <v>0</v>
      </c>
      <c r="P2952" s="292"/>
      <c r="S2952" s="364"/>
      <c r="Z2952" s="609" t="s">
        <v>1206</v>
      </c>
      <c r="AA2952" s="609" t="s">
        <v>5662</v>
      </c>
    </row>
    <row r="2953" spans="1:27" ht="18">
      <c r="A2953" s="2712"/>
      <c r="B2953" s="371">
        <v>110.002</v>
      </c>
      <c r="C2953" s="371" t="s">
        <v>2791</v>
      </c>
      <c r="D2953" s="2714">
        <f t="shared" si="328"/>
        <v>1</v>
      </c>
      <c r="E2953" s="2719" t="s">
        <v>486</v>
      </c>
      <c r="F2953" s="294"/>
      <c r="G2953" s="1482" t="str">
        <f>G$2939&amp;" "</f>
        <v xml:space="preserve">*水产2（在原值处修改清除） </v>
      </c>
      <c r="H2953" s="1474"/>
      <c r="I2953" s="1463">
        <v>0</v>
      </c>
      <c r="J2953" s="1463">
        <v>0</v>
      </c>
      <c r="K2953" s="309"/>
      <c r="L2953" s="1474"/>
      <c r="M2953" s="1474"/>
      <c r="N2953" s="1474"/>
      <c r="O2953" s="1475">
        <f t="shared" si="332"/>
        <v>0</v>
      </c>
      <c r="P2953" s="292"/>
      <c r="S2953" s="364"/>
      <c r="Z2953" s="609" t="s">
        <v>1206</v>
      </c>
      <c r="AA2953" s="609" t="s">
        <v>5662</v>
      </c>
    </row>
    <row r="2954" spans="1:27" ht="18">
      <c r="A2954" s="2712"/>
      <c r="B2954" s="371">
        <v>110.999</v>
      </c>
      <c r="C2954" s="371" t="s">
        <v>2793</v>
      </c>
      <c r="D2954" s="2714">
        <f t="shared" si="328"/>
        <v>1</v>
      </c>
      <c r="E2954" s="2719">
        <v>-1</v>
      </c>
      <c r="F2954" s="294"/>
      <c r="G2954" s="308" t="s">
        <v>5168</v>
      </c>
      <c r="H2954" s="1474">
        <f>SUMIF($E$2926:$E$2981,$G2954,H$2926:H$2981)</f>
        <v>0</v>
      </c>
      <c r="I2954" s="1463">
        <v>0</v>
      </c>
      <c r="J2954" s="1463">
        <v>0</v>
      </c>
      <c r="K2954" s="1474">
        <f>SUMIF($E$2926:$E$2981,$G2954,K$2926:K$2981)</f>
        <v>0</v>
      </c>
      <c r="L2954" s="1474">
        <f>SUMIF($E$2926:$E$2981,$G2954,L$2926:L$2981)</f>
        <v>0</v>
      </c>
      <c r="M2954" s="1474">
        <f>SUMIF($E$2926:$E$2981,$G2954,M$2926:M$2981)</f>
        <v>0</v>
      </c>
      <c r="N2954" s="1474">
        <f>SUMIF($E$2926:$E$2981,$G2954,N$2926:N$2981)</f>
        <v>0</v>
      </c>
      <c r="O2954" s="1475">
        <f>SUMIF($E$2926:$E$2981,$G2954,O$2926:O$2981)</f>
        <v>0</v>
      </c>
      <c r="P2954" s="292"/>
      <c r="S2954" s="364"/>
      <c r="Z2954" s="609" t="s">
        <v>1206</v>
      </c>
      <c r="AA2954" s="609" t="s">
        <v>5662</v>
      </c>
    </row>
    <row r="2955" spans="1:27" ht="18">
      <c r="A2955" s="2712"/>
      <c r="B2955" s="371">
        <v>111</v>
      </c>
      <c r="C2955" s="371"/>
      <c r="D2955" s="2714">
        <f t="shared" si="328"/>
        <v>1</v>
      </c>
      <c r="E2955" s="2719" t="s">
        <v>41</v>
      </c>
      <c r="F2955" s="294"/>
      <c r="G2955" s="308" t="s">
        <v>3581</v>
      </c>
      <c r="H2955" s="1474"/>
      <c r="I2955" s="1463">
        <v>0</v>
      </c>
      <c r="J2955" s="1463">
        <v>0</v>
      </c>
      <c r="K2955" s="309"/>
      <c r="L2955" s="1474"/>
      <c r="M2955" s="1474"/>
      <c r="N2955" s="1474"/>
      <c r="O2955" s="1475"/>
      <c r="P2955" s="292"/>
      <c r="S2955" s="364"/>
      <c r="Z2955" s="609" t="s">
        <v>1206</v>
      </c>
      <c r="AA2955" s="609" t="s">
        <v>5662</v>
      </c>
    </row>
    <row r="2956" spans="1:27" ht="18">
      <c r="A2956" s="2712"/>
      <c r="B2956" s="371">
        <v>112</v>
      </c>
      <c r="C2956" s="371"/>
      <c r="D2956" s="2714">
        <f t="shared" si="328"/>
        <v>1</v>
      </c>
      <c r="E2956" s="2719" t="s">
        <v>41</v>
      </c>
      <c r="F2956" s="294"/>
      <c r="G2956" s="1482" t="str">
        <f>G$2928&amp;"  "</f>
        <v xml:space="preserve">种植业  </v>
      </c>
      <c r="H2956" s="1474"/>
      <c r="I2956" s="1463">
        <v>0</v>
      </c>
      <c r="J2956" s="1463">
        <v>0</v>
      </c>
      <c r="K2956" s="309"/>
      <c r="L2956" s="1474"/>
      <c r="M2956" s="1474"/>
      <c r="N2956" s="1474"/>
      <c r="O2956" s="1475"/>
      <c r="P2956" s="292"/>
      <c r="S2956" s="364"/>
      <c r="Z2956" s="609" t="s">
        <v>1206</v>
      </c>
      <c r="AA2956" s="609" t="s">
        <v>5662</v>
      </c>
    </row>
    <row r="2957" spans="1:27" ht="18">
      <c r="A2957" s="2712"/>
      <c r="B2957" s="371">
        <v>112.001</v>
      </c>
      <c r="C2957" s="371" t="s">
        <v>2791</v>
      </c>
      <c r="D2957" s="2714">
        <f t="shared" si="328"/>
        <v>1</v>
      </c>
      <c r="E2957" s="2719" t="s">
        <v>3097</v>
      </c>
      <c r="F2957" s="294"/>
      <c r="G2957" s="1482" t="str">
        <f>G$2929&amp;"  "</f>
        <v xml:space="preserve">*种植1（在原值处修改清除）  </v>
      </c>
      <c r="H2957" s="1474"/>
      <c r="I2957" s="1463">
        <v>0</v>
      </c>
      <c r="J2957" s="1463">
        <v>0</v>
      </c>
      <c r="K2957" s="309"/>
      <c r="L2957" s="1474"/>
      <c r="M2957" s="1474"/>
      <c r="N2957" s="1474"/>
      <c r="O2957" s="1475">
        <f t="shared" ref="O2957:O2958" si="333">SUM(H2957:L2957,-M2957,-N2957)</f>
        <v>0</v>
      </c>
      <c r="P2957" s="292"/>
      <c r="S2957" s="364"/>
      <c r="Z2957" s="609" t="s">
        <v>1206</v>
      </c>
      <c r="AA2957" s="609" t="s">
        <v>5662</v>
      </c>
    </row>
    <row r="2958" spans="1:27" ht="18">
      <c r="A2958" s="2712"/>
      <c r="B2958" s="371">
        <v>112.002</v>
      </c>
      <c r="C2958" s="371" t="s">
        <v>2791</v>
      </c>
      <c r="D2958" s="2714">
        <f t="shared" si="328"/>
        <v>1</v>
      </c>
      <c r="E2958" s="2719" t="s">
        <v>3097</v>
      </c>
      <c r="F2958" s="294"/>
      <c r="G2958" s="1482" t="str">
        <f>G$2930&amp;"  "</f>
        <v xml:space="preserve">*种植2（在原值处修改清除）  </v>
      </c>
      <c r="H2958" s="1474"/>
      <c r="I2958" s="1463">
        <v>0</v>
      </c>
      <c r="J2958" s="1463">
        <v>0</v>
      </c>
      <c r="K2958" s="309"/>
      <c r="L2958" s="1474"/>
      <c r="M2958" s="1474"/>
      <c r="N2958" s="1474"/>
      <c r="O2958" s="1475">
        <f t="shared" si="333"/>
        <v>0</v>
      </c>
      <c r="P2958" s="292"/>
      <c r="S2958" s="364"/>
      <c r="Z2958" s="609" t="s">
        <v>1206</v>
      </c>
      <c r="AA2958" s="609" t="s">
        <v>5662</v>
      </c>
    </row>
    <row r="2959" spans="1:27" ht="18">
      <c r="A2959" s="2712"/>
      <c r="B2959" s="371">
        <v>113</v>
      </c>
      <c r="C2959" s="371"/>
      <c r="D2959" s="2714">
        <f t="shared" ref="D2959:D2982" si="334">IF(OR(G2959="*",G2959="",G2959=0),0,COUNTIF($G$2927:$G$2982,G2959))</f>
        <v>1</v>
      </c>
      <c r="E2959" s="2719" t="s">
        <v>41</v>
      </c>
      <c r="F2959" s="294"/>
      <c r="G2959" s="1482" t="str">
        <f>G$2931&amp;"  "</f>
        <v xml:space="preserve">畜牧养殖业  </v>
      </c>
      <c r="H2959" s="1474"/>
      <c r="I2959" s="1463">
        <v>0</v>
      </c>
      <c r="J2959" s="1463">
        <v>0</v>
      </c>
      <c r="K2959" s="309"/>
      <c r="L2959" s="1474"/>
      <c r="M2959" s="1474"/>
      <c r="N2959" s="1474"/>
      <c r="O2959" s="1475"/>
      <c r="P2959" s="292"/>
      <c r="S2959" s="364"/>
      <c r="Z2959" s="609" t="s">
        <v>1206</v>
      </c>
      <c r="AA2959" s="609" t="s">
        <v>5662</v>
      </c>
    </row>
    <row r="2960" spans="1:27" ht="18">
      <c r="A2960" s="2712"/>
      <c r="B2960" s="371">
        <v>113.001</v>
      </c>
      <c r="C2960" s="371" t="s">
        <v>2791</v>
      </c>
      <c r="D2960" s="2714">
        <f t="shared" si="334"/>
        <v>1</v>
      </c>
      <c r="E2960" s="2719" t="s">
        <v>3097</v>
      </c>
      <c r="F2960" s="294"/>
      <c r="G2960" s="1482" t="str">
        <f>G$2932&amp;"  "</f>
        <v xml:space="preserve">*畜牧1（在原值处修改清除）  </v>
      </c>
      <c r="H2960" s="1474"/>
      <c r="I2960" s="1463">
        <v>0</v>
      </c>
      <c r="J2960" s="1463">
        <v>0</v>
      </c>
      <c r="K2960" s="309"/>
      <c r="L2960" s="1474"/>
      <c r="M2960" s="1474"/>
      <c r="N2960" s="1474"/>
      <c r="O2960" s="1475">
        <f t="shared" ref="O2960:O2961" si="335">SUM(H2960:L2960,-M2960,-N2960)</f>
        <v>0</v>
      </c>
      <c r="P2960" s="292"/>
      <c r="S2960" s="364"/>
      <c r="Z2960" s="609" t="s">
        <v>1206</v>
      </c>
      <c r="AA2960" s="609" t="s">
        <v>5662</v>
      </c>
    </row>
    <row r="2961" spans="1:29" ht="18">
      <c r="A2961" s="2712"/>
      <c r="B2961" s="371">
        <v>113.002</v>
      </c>
      <c r="C2961" s="371" t="s">
        <v>2791</v>
      </c>
      <c r="D2961" s="2714">
        <f t="shared" si="334"/>
        <v>1</v>
      </c>
      <c r="E2961" s="2719" t="s">
        <v>3097</v>
      </c>
      <c r="F2961" s="294"/>
      <c r="G2961" s="1482" t="str">
        <f>G$2933&amp;"  "</f>
        <v xml:space="preserve">*畜牧2（在原值处修改清除）  </v>
      </c>
      <c r="H2961" s="1474"/>
      <c r="I2961" s="1463">
        <v>0</v>
      </c>
      <c r="J2961" s="1463">
        <v>0</v>
      </c>
      <c r="K2961" s="309"/>
      <c r="L2961" s="1474"/>
      <c r="M2961" s="1474"/>
      <c r="N2961" s="1474"/>
      <c r="O2961" s="1475">
        <f t="shared" si="335"/>
        <v>0</v>
      </c>
      <c r="P2961" s="292"/>
      <c r="S2961" s="364"/>
      <c r="Z2961" s="609" t="s">
        <v>1206</v>
      </c>
      <c r="AA2961" s="609" t="s">
        <v>5662</v>
      </c>
    </row>
    <row r="2962" spans="1:29" ht="18">
      <c r="A2962" s="2712"/>
      <c r="B2962" s="371">
        <v>114</v>
      </c>
      <c r="C2962" s="371"/>
      <c r="D2962" s="2714">
        <f t="shared" si="334"/>
        <v>1</v>
      </c>
      <c r="E2962" s="2719" t="s">
        <v>41</v>
      </c>
      <c r="F2962" s="294"/>
      <c r="G2962" s="1482" t="str">
        <f>G$2934&amp;"  "</f>
        <v xml:space="preserve">林业  </v>
      </c>
      <c r="H2962" s="1474"/>
      <c r="I2962" s="1463">
        <v>0</v>
      </c>
      <c r="J2962" s="1463">
        <v>0</v>
      </c>
      <c r="K2962" s="309"/>
      <c r="L2962" s="1474"/>
      <c r="M2962" s="1474"/>
      <c r="N2962" s="1474"/>
      <c r="O2962" s="1475"/>
      <c r="P2962" s="292"/>
      <c r="S2962" s="364"/>
      <c r="Z2962" s="609" t="s">
        <v>1206</v>
      </c>
      <c r="AA2962" s="609" t="s">
        <v>5662</v>
      </c>
    </row>
    <row r="2963" spans="1:29" ht="18">
      <c r="A2963" s="2712"/>
      <c r="B2963" s="371">
        <v>114.001</v>
      </c>
      <c r="C2963" s="371" t="s">
        <v>2791</v>
      </c>
      <c r="D2963" s="2714">
        <f t="shared" si="334"/>
        <v>1</v>
      </c>
      <c r="E2963" s="2719" t="s">
        <v>3097</v>
      </c>
      <c r="F2963" s="294"/>
      <c r="G2963" s="1482" t="str">
        <f>G$2935&amp;"  "</f>
        <v xml:space="preserve">*林业1（在原值处修改清除）  </v>
      </c>
      <c r="H2963" s="1474"/>
      <c r="I2963" s="1463">
        <v>0</v>
      </c>
      <c r="J2963" s="1463">
        <v>0</v>
      </c>
      <c r="K2963" s="309"/>
      <c r="L2963" s="1474"/>
      <c r="M2963" s="1474"/>
      <c r="N2963" s="1474"/>
      <c r="O2963" s="1475">
        <f t="shared" ref="O2963:O2964" si="336">SUM(H2963:L2963,-M2963,-N2963)</f>
        <v>0</v>
      </c>
      <c r="P2963" s="292"/>
      <c r="S2963" s="364"/>
      <c r="Z2963" s="609" t="s">
        <v>1206</v>
      </c>
      <c r="AA2963" s="609" t="s">
        <v>5662</v>
      </c>
    </row>
    <row r="2964" spans="1:29" ht="18">
      <c r="A2964" s="2712"/>
      <c r="B2964" s="371">
        <v>114.002</v>
      </c>
      <c r="C2964" s="371" t="s">
        <v>2791</v>
      </c>
      <c r="D2964" s="2714">
        <f t="shared" si="334"/>
        <v>1</v>
      </c>
      <c r="E2964" s="2719" t="s">
        <v>3097</v>
      </c>
      <c r="F2964" s="294"/>
      <c r="G2964" s="1482" t="str">
        <f>G$2936&amp;"  "</f>
        <v xml:space="preserve">*林业2（在原值处修改清除）  </v>
      </c>
      <c r="H2964" s="1474"/>
      <c r="I2964" s="1463">
        <v>0</v>
      </c>
      <c r="J2964" s="1463">
        <v>0</v>
      </c>
      <c r="K2964" s="309"/>
      <c r="L2964" s="1474"/>
      <c r="M2964" s="1474"/>
      <c r="N2964" s="1474"/>
      <c r="O2964" s="1475">
        <f t="shared" si="336"/>
        <v>0</v>
      </c>
      <c r="P2964" s="292"/>
      <c r="S2964" s="364"/>
      <c r="Z2964" s="609" t="s">
        <v>1206</v>
      </c>
      <c r="AA2964" s="609" t="s">
        <v>5662</v>
      </c>
    </row>
    <row r="2965" spans="1:29" ht="18">
      <c r="A2965" s="2712"/>
      <c r="B2965" s="371">
        <v>115</v>
      </c>
      <c r="C2965" s="371"/>
      <c r="D2965" s="2714">
        <f t="shared" si="334"/>
        <v>1</v>
      </c>
      <c r="E2965" s="2719" t="s">
        <v>41</v>
      </c>
      <c r="F2965" s="294"/>
      <c r="G2965" s="1482" t="str">
        <f>G$2937&amp;"  "</f>
        <v xml:space="preserve">水产业  </v>
      </c>
      <c r="H2965" s="1474"/>
      <c r="I2965" s="1463">
        <v>0</v>
      </c>
      <c r="J2965" s="1463">
        <v>0</v>
      </c>
      <c r="K2965" s="309"/>
      <c r="L2965" s="1474"/>
      <c r="M2965" s="1474"/>
      <c r="N2965" s="1474"/>
      <c r="O2965" s="1475"/>
      <c r="P2965" s="292"/>
      <c r="S2965" s="364"/>
      <c r="Z2965" s="609" t="s">
        <v>1206</v>
      </c>
      <c r="AA2965" s="609" t="s">
        <v>5662</v>
      </c>
    </row>
    <row r="2966" spans="1:29" ht="18">
      <c r="A2966" s="2712"/>
      <c r="B2966" s="371">
        <v>115.001</v>
      </c>
      <c r="C2966" s="371" t="s">
        <v>2791</v>
      </c>
      <c r="D2966" s="2714">
        <f t="shared" si="334"/>
        <v>1</v>
      </c>
      <c r="E2966" s="2719" t="s">
        <v>3097</v>
      </c>
      <c r="F2966" s="294"/>
      <c r="G2966" s="1482" t="str">
        <f>G$2938&amp;"  "</f>
        <v xml:space="preserve">*水产1（在原值处修改清除）  </v>
      </c>
      <c r="H2966" s="1474"/>
      <c r="I2966" s="1463">
        <v>0</v>
      </c>
      <c r="J2966" s="1463">
        <v>0</v>
      </c>
      <c r="K2966" s="309"/>
      <c r="L2966" s="1474"/>
      <c r="M2966" s="1474"/>
      <c r="N2966" s="1474"/>
      <c r="O2966" s="1475">
        <f t="shared" ref="O2966:O2967" si="337">SUM(H2966:L2966,-M2966,-N2966)</f>
        <v>0</v>
      </c>
      <c r="P2966" s="292"/>
      <c r="S2966" s="364"/>
      <c r="Z2966" s="609" t="s">
        <v>1206</v>
      </c>
      <c r="AA2966" s="609" t="s">
        <v>5662</v>
      </c>
    </row>
    <row r="2967" spans="1:29" ht="18">
      <c r="A2967" s="2712"/>
      <c r="B2967" s="371">
        <v>115.002</v>
      </c>
      <c r="C2967" s="371" t="s">
        <v>2791</v>
      </c>
      <c r="D2967" s="2714">
        <f t="shared" si="334"/>
        <v>1</v>
      </c>
      <c r="E2967" s="2719" t="s">
        <v>3097</v>
      </c>
      <c r="F2967" s="294"/>
      <c r="G2967" s="1482" t="str">
        <f>G$2939&amp;"  "</f>
        <v xml:space="preserve">*水产2（在原值处修改清除）  </v>
      </c>
      <c r="H2967" s="1474"/>
      <c r="I2967" s="1463">
        <v>0</v>
      </c>
      <c r="J2967" s="1463">
        <v>0</v>
      </c>
      <c r="K2967" s="309"/>
      <c r="L2967" s="1474"/>
      <c r="M2967" s="1474"/>
      <c r="N2967" s="1474"/>
      <c r="O2967" s="1475">
        <f t="shared" si="337"/>
        <v>0</v>
      </c>
      <c r="P2967" s="292"/>
      <c r="S2967" s="364"/>
      <c r="Z2967" s="609" t="s">
        <v>1206</v>
      </c>
      <c r="AA2967" s="609" t="s">
        <v>5662</v>
      </c>
    </row>
    <row r="2968" spans="1:29" ht="18">
      <c r="A2968" s="2712"/>
      <c r="B2968" s="371">
        <v>115.999</v>
      </c>
      <c r="C2968" s="371" t="s">
        <v>2793</v>
      </c>
      <c r="D2968" s="2714">
        <f t="shared" si="334"/>
        <v>1</v>
      </c>
      <c r="E2968" s="2719">
        <v>-1</v>
      </c>
      <c r="F2968" s="294"/>
      <c r="G2968" s="308" t="s">
        <v>5169</v>
      </c>
      <c r="H2968" s="1474">
        <f>SUMIF($E$2926:$E$2981,$G2968,H$2926:H$2981)</f>
        <v>0</v>
      </c>
      <c r="I2968" s="1463">
        <v>0</v>
      </c>
      <c r="J2968" s="1463">
        <v>0</v>
      </c>
      <c r="K2968" s="1474">
        <f>SUMIF($E$2926:$E$2981,$G2968,K$2926:K$2981)</f>
        <v>0</v>
      </c>
      <c r="L2968" s="1474">
        <f>SUMIF($E$2926:$E$2981,$G2968,L$2926:L$2981)</f>
        <v>0</v>
      </c>
      <c r="M2968" s="1474">
        <f>SUMIF($E$2926:$E$2981,$G2968,M$2926:M$2981)</f>
        <v>0</v>
      </c>
      <c r="N2968" s="1474">
        <f>SUMIF($E$2926:$E$2981,$G2968,N$2926:N$2981)</f>
        <v>0</v>
      </c>
      <c r="O2968" s="1475">
        <f>SUMIF($E$2926:$E$2981,$G2968,O$2926:O$2981)</f>
        <v>0</v>
      </c>
      <c r="P2968" s="1532" t="str">
        <f ca="1">HYPERLINK("#'"&amp;$G$1&amp;"'!"&amp;ADDRESS(ROW(Notes!L4890),COLUMN(Notes!L4890),4),"* 请勿删除此行！点击往勾稽单元格，F5+Enter返回")</f>
        <v>* 请勿删除此行！点击往勾稽单元格，F5+Enter返回</v>
      </c>
      <c r="S2968" s="364"/>
      <c r="Z2968" s="609" t="s">
        <v>1206</v>
      </c>
      <c r="AA2968" s="609" t="s">
        <v>5662</v>
      </c>
      <c r="AC2968" s="369" t="s">
        <v>2794</v>
      </c>
    </row>
    <row r="2969" spans="1:29" ht="18">
      <c r="A2969" s="2712"/>
      <c r="B2969" s="371">
        <v>116</v>
      </c>
      <c r="C2969" s="371"/>
      <c r="D2969" s="2714">
        <f t="shared" si="334"/>
        <v>1</v>
      </c>
      <c r="E2969" s="2719" t="s">
        <v>41</v>
      </c>
      <c r="F2969" s="294"/>
      <c r="G2969" s="308" t="s">
        <v>3582</v>
      </c>
      <c r="H2969" s="1474"/>
      <c r="I2969" s="1463">
        <v>0</v>
      </c>
      <c r="J2969" s="1463">
        <v>0</v>
      </c>
      <c r="K2969" s="1463">
        <v>0</v>
      </c>
      <c r="L2969" s="1463">
        <v>0</v>
      </c>
      <c r="M2969" s="1463">
        <v>0</v>
      </c>
      <c r="N2969" s="1463">
        <v>0</v>
      </c>
      <c r="O2969" s="1475"/>
      <c r="P2969" s="292"/>
      <c r="S2969" s="364"/>
      <c r="Z2969" s="609" t="s">
        <v>1206</v>
      </c>
      <c r="AA2969" s="609" t="s">
        <v>5662</v>
      </c>
    </row>
    <row r="2970" spans="1:29" ht="18">
      <c r="A2970" s="2712"/>
      <c r="B2970" s="371">
        <v>117</v>
      </c>
      <c r="C2970" s="371"/>
      <c r="D2970" s="2714">
        <f t="shared" si="334"/>
        <v>1</v>
      </c>
      <c r="E2970" s="2719" t="s">
        <v>41</v>
      </c>
      <c r="F2970" s="294"/>
      <c r="G2970" s="1482" t="str">
        <f>G$2928&amp;"   "</f>
        <v xml:space="preserve">种植业   </v>
      </c>
      <c r="H2970" s="1474"/>
      <c r="I2970" s="1463">
        <v>0</v>
      </c>
      <c r="J2970" s="1463">
        <v>0</v>
      </c>
      <c r="K2970" s="1463">
        <v>0</v>
      </c>
      <c r="L2970" s="1463">
        <v>0</v>
      </c>
      <c r="M2970" s="1463">
        <v>0</v>
      </c>
      <c r="N2970" s="1463">
        <v>0</v>
      </c>
      <c r="O2970" s="1475"/>
      <c r="P2970" s="292"/>
      <c r="S2970" s="364"/>
      <c r="Z2970" s="609" t="s">
        <v>1206</v>
      </c>
      <c r="AA2970" s="609" t="s">
        <v>5662</v>
      </c>
    </row>
    <row r="2971" spans="1:29" ht="18">
      <c r="A2971" s="2712"/>
      <c r="B2971" s="371">
        <v>118</v>
      </c>
      <c r="C2971" s="371" t="s">
        <v>2791</v>
      </c>
      <c r="D2971" s="2714">
        <f t="shared" si="334"/>
        <v>1</v>
      </c>
      <c r="E2971" s="2719">
        <v>0</v>
      </c>
      <c r="F2971" s="294"/>
      <c r="G2971" s="1482" t="str">
        <f>G$2929&amp;"   "</f>
        <v xml:space="preserve">*种植1（在原值处修改清除）   </v>
      </c>
      <c r="H2971" s="1474">
        <f>H2929-H2943-H2957</f>
        <v>0</v>
      </c>
      <c r="I2971" s="1463">
        <v>0</v>
      </c>
      <c r="J2971" s="1463">
        <v>0</v>
      </c>
      <c r="K2971" s="1463">
        <v>0</v>
      </c>
      <c r="L2971" s="1463">
        <v>0</v>
      </c>
      <c r="M2971" s="1463">
        <v>0</v>
      </c>
      <c r="N2971" s="1463">
        <v>0</v>
      </c>
      <c r="O2971" s="1475">
        <f>O2929-O2943-O2957</f>
        <v>0</v>
      </c>
      <c r="P2971" s="292"/>
      <c r="S2971" s="364"/>
      <c r="Z2971" s="609" t="s">
        <v>1206</v>
      </c>
      <c r="AA2971" s="609" t="s">
        <v>5662</v>
      </c>
    </row>
    <row r="2972" spans="1:29" ht="18">
      <c r="A2972" s="2712"/>
      <c r="B2972" s="371">
        <v>119</v>
      </c>
      <c r="C2972" s="371" t="s">
        <v>2791</v>
      </c>
      <c r="D2972" s="2714">
        <f t="shared" si="334"/>
        <v>1</v>
      </c>
      <c r="E2972" s="2719">
        <v>0</v>
      </c>
      <c r="F2972" s="294"/>
      <c r="G2972" s="1482" t="str">
        <f>G$2930&amp;"   "</f>
        <v xml:space="preserve">*种植2（在原值处修改清除）   </v>
      </c>
      <c r="H2972" s="1474">
        <f>H2930-H2944-H2958</f>
        <v>0</v>
      </c>
      <c r="I2972" s="1463">
        <v>0</v>
      </c>
      <c r="J2972" s="1463">
        <v>0</v>
      </c>
      <c r="K2972" s="1463">
        <v>0</v>
      </c>
      <c r="L2972" s="1463">
        <v>0</v>
      </c>
      <c r="M2972" s="1463">
        <v>0</v>
      </c>
      <c r="N2972" s="1463">
        <v>0</v>
      </c>
      <c r="O2972" s="1475">
        <f>O2930-O2944-O2958</f>
        <v>0</v>
      </c>
      <c r="P2972" s="292"/>
      <c r="S2972" s="364"/>
      <c r="Z2972" s="609" t="s">
        <v>1206</v>
      </c>
      <c r="AA2972" s="609" t="s">
        <v>5662</v>
      </c>
    </row>
    <row r="2973" spans="1:29" ht="18">
      <c r="A2973" s="2712"/>
      <c r="B2973" s="371">
        <v>120</v>
      </c>
      <c r="C2973" s="371"/>
      <c r="D2973" s="2714">
        <f t="shared" si="334"/>
        <v>1</v>
      </c>
      <c r="E2973" s="2719" t="s">
        <v>41</v>
      </c>
      <c r="F2973" s="294"/>
      <c r="G2973" s="1482" t="str">
        <f>G$2931&amp;"   "</f>
        <v xml:space="preserve">畜牧养殖业   </v>
      </c>
      <c r="H2973" s="1474"/>
      <c r="I2973" s="1463">
        <v>0</v>
      </c>
      <c r="J2973" s="1463">
        <v>0</v>
      </c>
      <c r="K2973" s="1463">
        <v>0</v>
      </c>
      <c r="L2973" s="1463">
        <v>0</v>
      </c>
      <c r="M2973" s="1463">
        <v>0</v>
      </c>
      <c r="N2973" s="1463">
        <v>0</v>
      </c>
      <c r="O2973" s="1475"/>
      <c r="P2973" s="292"/>
      <c r="S2973" s="364"/>
      <c r="Z2973" s="609" t="s">
        <v>1206</v>
      </c>
      <c r="AA2973" s="609" t="s">
        <v>5662</v>
      </c>
    </row>
    <row r="2974" spans="1:29" ht="18">
      <c r="A2974" s="2712"/>
      <c r="B2974" s="371">
        <v>121</v>
      </c>
      <c r="C2974" s="371" t="s">
        <v>2791</v>
      </c>
      <c r="D2974" s="2714">
        <f t="shared" si="334"/>
        <v>1</v>
      </c>
      <c r="E2974" s="2719">
        <v>0</v>
      </c>
      <c r="F2974" s="294"/>
      <c r="G2974" s="1482" t="str">
        <f>G$2932&amp;"   "</f>
        <v xml:space="preserve">*畜牧1（在原值处修改清除）   </v>
      </c>
      <c r="H2974" s="1474">
        <f t="shared" ref="H2974:H2975" si="338">H2932-H2946-H2960</f>
        <v>0</v>
      </c>
      <c r="I2974" s="1463">
        <v>0</v>
      </c>
      <c r="J2974" s="1463">
        <v>0</v>
      </c>
      <c r="K2974" s="1463">
        <v>0</v>
      </c>
      <c r="L2974" s="1463">
        <v>0</v>
      </c>
      <c r="M2974" s="1463">
        <v>0</v>
      </c>
      <c r="N2974" s="1463">
        <v>0</v>
      </c>
      <c r="O2974" s="1475">
        <f t="shared" ref="O2974:O2975" si="339">O2932-O2946-O2960</f>
        <v>0</v>
      </c>
      <c r="P2974" s="292"/>
      <c r="S2974" s="364"/>
      <c r="Z2974" s="609" t="s">
        <v>1206</v>
      </c>
      <c r="AA2974" s="609" t="s">
        <v>5662</v>
      </c>
    </row>
    <row r="2975" spans="1:29" ht="18">
      <c r="A2975" s="2712"/>
      <c r="B2975" s="371">
        <v>122</v>
      </c>
      <c r="C2975" s="371" t="s">
        <v>2791</v>
      </c>
      <c r="D2975" s="2714">
        <f t="shared" si="334"/>
        <v>1</v>
      </c>
      <c r="E2975" s="2719">
        <v>0</v>
      </c>
      <c r="F2975" s="294"/>
      <c r="G2975" s="1482" t="str">
        <f>G$2933&amp;"   "</f>
        <v xml:space="preserve">*畜牧2（在原值处修改清除）   </v>
      </c>
      <c r="H2975" s="1474">
        <f t="shared" si="338"/>
        <v>0</v>
      </c>
      <c r="I2975" s="1463">
        <v>0</v>
      </c>
      <c r="J2975" s="1463">
        <v>0</v>
      </c>
      <c r="K2975" s="1463">
        <v>0</v>
      </c>
      <c r="L2975" s="1463">
        <v>0</v>
      </c>
      <c r="M2975" s="1463">
        <v>0</v>
      </c>
      <c r="N2975" s="1463">
        <v>0</v>
      </c>
      <c r="O2975" s="1475">
        <f t="shared" si="339"/>
        <v>0</v>
      </c>
      <c r="P2975" s="292"/>
      <c r="S2975" s="364"/>
      <c r="Z2975" s="609" t="s">
        <v>1206</v>
      </c>
      <c r="AA2975" s="609" t="s">
        <v>5662</v>
      </c>
    </row>
    <row r="2976" spans="1:29" ht="18">
      <c r="A2976" s="2712"/>
      <c r="B2976" s="371">
        <v>123</v>
      </c>
      <c r="C2976" s="371"/>
      <c r="D2976" s="2714">
        <f t="shared" si="334"/>
        <v>1</v>
      </c>
      <c r="E2976" s="2719" t="s">
        <v>41</v>
      </c>
      <c r="F2976" s="294"/>
      <c r="G2976" s="1482" t="str">
        <f>G$2934&amp;"   "</f>
        <v xml:space="preserve">林业   </v>
      </c>
      <c r="H2976" s="1474"/>
      <c r="I2976" s="1463">
        <v>0</v>
      </c>
      <c r="J2976" s="1463">
        <v>0</v>
      </c>
      <c r="K2976" s="1463">
        <v>0</v>
      </c>
      <c r="L2976" s="1463">
        <v>0</v>
      </c>
      <c r="M2976" s="1463">
        <v>0</v>
      </c>
      <c r="N2976" s="1463">
        <v>0</v>
      </c>
      <c r="O2976" s="1475"/>
      <c r="P2976" s="292"/>
      <c r="S2976" s="364"/>
      <c r="Z2976" s="609" t="s">
        <v>1206</v>
      </c>
      <c r="AA2976" s="609" t="s">
        <v>5662</v>
      </c>
    </row>
    <row r="2977" spans="1:27" ht="18">
      <c r="A2977" s="2712"/>
      <c r="B2977" s="371">
        <v>124</v>
      </c>
      <c r="C2977" s="371" t="s">
        <v>2791</v>
      </c>
      <c r="D2977" s="2714">
        <f t="shared" si="334"/>
        <v>1</v>
      </c>
      <c r="E2977" s="2719">
        <v>0</v>
      </c>
      <c r="F2977" s="294"/>
      <c r="G2977" s="1482" t="str">
        <f>G$2935&amp;"   "</f>
        <v xml:space="preserve">*林业1（在原值处修改清除）   </v>
      </c>
      <c r="H2977" s="1474">
        <f t="shared" ref="H2977:H2978" si="340">H2935-H2949-H2963</f>
        <v>0</v>
      </c>
      <c r="I2977" s="1463">
        <v>0</v>
      </c>
      <c r="J2977" s="1463">
        <v>0</v>
      </c>
      <c r="K2977" s="1463">
        <v>0</v>
      </c>
      <c r="L2977" s="1463">
        <v>0</v>
      </c>
      <c r="M2977" s="1463">
        <v>0</v>
      </c>
      <c r="N2977" s="1463">
        <v>0</v>
      </c>
      <c r="O2977" s="1475">
        <f t="shared" ref="O2977:O2978" si="341">O2935-O2949-O2963</f>
        <v>0</v>
      </c>
      <c r="P2977" s="292"/>
      <c r="S2977" s="364"/>
      <c r="Z2977" s="609" t="s">
        <v>1206</v>
      </c>
      <c r="AA2977" s="609" t="s">
        <v>5662</v>
      </c>
    </row>
    <row r="2978" spans="1:27" ht="18">
      <c r="A2978" s="2712"/>
      <c r="B2978" s="371">
        <v>125</v>
      </c>
      <c r="C2978" s="371" t="s">
        <v>2791</v>
      </c>
      <c r="D2978" s="2714">
        <f t="shared" si="334"/>
        <v>1</v>
      </c>
      <c r="E2978" s="2719">
        <v>0</v>
      </c>
      <c r="F2978" s="294"/>
      <c r="G2978" s="1482" t="str">
        <f>G$2936&amp;"   "</f>
        <v xml:space="preserve">*林业2（在原值处修改清除）   </v>
      </c>
      <c r="H2978" s="1474">
        <f t="shared" si="340"/>
        <v>0</v>
      </c>
      <c r="I2978" s="1463">
        <v>0</v>
      </c>
      <c r="J2978" s="1463">
        <v>0</v>
      </c>
      <c r="K2978" s="1463">
        <v>0</v>
      </c>
      <c r="L2978" s="1463">
        <v>0</v>
      </c>
      <c r="M2978" s="1463">
        <v>0</v>
      </c>
      <c r="N2978" s="1463">
        <v>0</v>
      </c>
      <c r="O2978" s="1475">
        <f t="shared" si="341"/>
        <v>0</v>
      </c>
      <c r="P2978" s="292"/>
      <c r="S2978" s="364"/>
      <c r="Z2978" s="609" t="s">
        <v>1206</v>
      </c>
      <c r="AA2978" s="609" t="s">
        <v>5662</v>
      </c>
    </row>
    <row r="2979" spans="1:27" ht="18">
      <c r="A2979" s="2712"/>
      <c r="B2979" s="371">
        <v>126</v>
      </c>
      <c r="C2979" s="371"/>
      <c r="D2979" s="2714">
        <f t="shared" si="334"/>
        <v>1</v>
      </c>
      <c r="E2979" s="2719" t="s">
        <v>41</v>
      </c>
      <c r="F2979" s="294"/>
      <c r="G2979" s="1482" t="str">
        <f>G$2937&amp;"   "</f>
        <v xml:space="preserve">水产业   </v>
      </c>
      <c r="H2979" s="1474"/>
      <c r="I2979" s="1463">
        <v>0</v>
      </c>
      <c r="J2979" s="1463">
        <v>0</v>
      </c>
      <c r="K2979" s="1463">
        <v>0</v>
      </c>
      <c r="L2979" s="1463">
        <v>0</v>
      </c>
      <c r="M2979" s="1463">
        <v>0</v>
      </c>
      <c r="N2979" s="1463">
        <v>0</v>
      </c>
      <c r="O2979" s="1475"/>
      <c r="P2979" s="292"/>
      <c r="S2979" s="364"/>
      <c r="Z2979" s="609" t="s">
        <v>1206</v>
      </c>
      <c r="AA2979" s="609" t="s">
        <v>5662</v>
      </c>
    </row>
    <row r="2980" spans="1:27" ht="18">
      <c r="A2980" s="2712"/>
      <c r="B2980" s="371">
        <v>127</v>
      </c>
      <c r="C2980" s="371" t="s">
        <v>2791</v>
      </c>
      <c r="D2980" s="2714">
        <f t="shared" si="334"/>
        <v>1</v>
      </c>
      <c r="E2980" s="2719">
        <v>0</v>
      </c>
      <c r="F2980" s="294"/>
      <c r="G2980" s="1482" t="str">
        <f>G$2938&amp;"   "</f>
        <v xml:space="preserve">*水产1（在原值处修改清除）   </v>
      </c>
      <c r="H2980" s="1474">
        <f t="shared" ref="H2980:H2981" si="342">H2938-H2952-H2966</f>
        <v>0</v>
      </c>
      <c r="I2980" s="1463">
        <v>0</v>
      </c>
      <c r="J2980" s="1463">
        <v>0</v>
      </c>
      <c r="K2980" s="1463">
        <v>0</v>
      </c>
      <c r="L2980" s="1463">
        <v>0</v>
      </c>
      <c r="M2980" s="1463">
        <v>0</v>
      </c>
      <c r="N2980" s="1463">
        <v>0</v>
      </c>
      <c r="O2980" s="1475">
        <f t="shared" ref="O2980:O2981" si="343">O2938-O2952-O2966</f>
        <v>0</v>
      </c>
      <c r="P2980" s="292"/>
      <c r="S2980" s="364"/>
      <c r="Z2980" s="609" t="s">
        <v>1206</v>
      </c>
      <c r="AA2980" s="609" t="s">
        <v>5662</v>
      </c>
    </row>
    <row r="2981" spans="1:27" ht="18">
      <c r="A2981" s="2712"/>
      <c r="B2981" s="371">
        <v>128</v>
      </c>
      <c r="C2981" s="371" t="s">
        <v>2791</v>
      </c>
      <c r="D2981" s="2714">
        <f t="shared" si="334"/>
        <v>1</v>
      </c>
      <c r="E2981" s="2719">
        <v>0</v>
      </c>
      <c r="F2981" s="294"/>
      <c r="G2981" s="1482" t="str">
        <f>G$2939&amp;"   "</f>
        <v xml:space="preserve">*水产2（在原值处修改清除）   </v>
      </c>
      <c r="H2981" s="1474">
        <f t="shared" si="342"/>
        <v>0</v>
      </c>
      <c r="I2981" s="1463">
        <v>0</v>
      </c>
      <c r="J2981" s="1463">
        <v>0</v>
      </c>
      <c r="K2981" s="1463">
        <v>0</v>
      </c>
      <c r="L2981" s="1463">
        <v>0</v>
      </c>
      <c r="M2981" s="1463">
        <v>0</v>
      </c>
      <c r="N2981" s="1463">
        <v>0</v>
      </c>
      <c r="O2981" s="1475">
        <f t="shared" si="343"/>
        <v>0</v>
      </c>
      <c r="P2981" s="292"/>
      <c r="S2981" s="364"/>
      <c r="Z2981" s="609" t="s">
        <v>1206</v>
      </c>
      <c r="AA2981" s="609" t="s">
        <v>5662</v>
      </c>
    </row>
    <row r="2982" spans="1:27" ht="18.75" thickBot="1">
      <c r="A2982" s="2712"/>
      <c r="B2982" s="371"/>
      <c r="C2982" s="371"/>
      <c r="D2982" s="2714">
        <f t="shared" si="334"/>
        <v>1</v>
      </c>
      <c r="E2982" s="2719" t="s">
        <v>3032</v>
      </c>
      <c r="F2982" s="294"/>
      <c r="G2982" s="374" t="s">
        <v>5170</v>
      </c>
      <c r="H2982" s="1476">
        <f>SUMPRODUCT($E2926:$E2981,H2926:H2981)</f>
        <v>0</v>
      </c>
      <c r="I2982" s="2378">
        <v>0</v>
      </c>
      <c r="J2982" s="2378">
        <v>0</v>
      </c>
      <c r="K2982" s="2378">
        <v>0</v>
      </c>
      <c r="L2982" s="2378">
        <v>0</v>
      </c>
      <c r="M2982" s="2378">
        <v>0</v>
      </c>
      <c r="N2982" s="2378">
        <v>0</v>
      </c>
      <c r="O2982" s="1477">
        <f>SUMPRODUCT($E2926:$E2981,O2926:O2981)</f>
        <v>0</v>
      </c>
      <c r="P2982" s="291"/>
      <c r="S2982" s="364"/>
      <c r="Z2982" s="609" t="s">
        <v>1206</v>
      </c>
      <c r="AA2982" s="609" t="s">
        <v>5662</v>
      </c>
    </row>
    <row r="2983" spans="1:27" ht="18">
      <c r="A2983" s="2712"/>
      <c r="B2983" s="371"/>
      <c r="C2983" s="371" t="s">
        <v>2755</v>
      </c>
      <c r="D2983" s="371"/>
      <c r="F2983" s="294"/>
      <c r="G2983" s="301"/>
      <c r="H2983" s="315"/>
      <c r="I2983" s="315"/>
      <c r="J2983" s="315"/>
      <c r="K2983" s="315"/>
      <c r="L2983" s="315"/>
      <c r="M2983" s="315"/>
      <c r="N2983" s="315"/>
      <c r="O2983" s="315"/>
      <c r="P2983" s="291"/>
      <c r="S2983" s="364"/>
      <c r="Z2983" s="609" t="s">
        <v>1206</v>
      </c>
      <c r="AA2983" s="609" t="s">
        <v>5662</v>
      </c>
    </row>
    <row r="2984" spans="1:27" ht="24">
      <c r="A2984" s="2712" t="s">
        <v>1223</v>
      </c>
      <c r="B2984" s="371">
        <v>2</v>
      </c>
      <c r="C2984" s="371"/>
      <c r="D2984" s="2714" t="str">
        <f>VLOOKUP($A2984,Sheet_NoteList,2,0)</f>
        <v>采用公允价值计量模式的生产性生物资产</v>
      </c>
      <c r="E2984" s="2714" t="s">
        <v>2742</v>
      </c>
      <c r="F2984" s="294"/>
      <c r="G2984" s="372" t="str">
        <f>"("&amp;B2984&amp;")"&amp;D2984</f>
        <v>(2)采用公允价值计量模式的生产性生物资产</v>
      </c>
      <c r="H2984" s="1515" t="str">
        <f>$A2984</f>
        <v>1621b</v>
      </c>
      <c r="I2984" s="343" t="s">
        <v>2743</v>
      </c>
      <c r="J2984" s="301" t="s">
        <v>2744</v>
      </c>
      <c r="K2984" s="2208">
        <f>P3005</f>
        <v>0</v>
      </c>
      <c r="L2984" s="345" t="str">
        <f>IF($I2984="适用",IF(ROUND(K2921-K2984,2)=0,"F/S",ROUND(K2921-K2984,2)),"#N/A")</f>
        <v>F/S</v>
      </c>
      <c r="M2984" s="301" t="s">
        <v>2745</v>
      </c>
      <c r="N2984" s="2208">
        <f>H3005</f>
        <v>0</v>
      </c>
      <c r="O2984" s="345" t="str">
        <f>IF($I2984="适用",IF(ROUND(N2921-N2984,2)=0,"F/S",ROUND(N2921-N2984,2)),"#N/A")</f>
        <v>F/S</v>
      </c>
      <c r="P2984" s="301"/>
      <c r="Q2984" s="290" t="str">
        <f>IF($I2984="不适用","",IF(ROUND(SUM($H$2989:$P$3005),2)=0,"请输入",""))</f>
        <v>请输入</v>
      </c>
      <c r="S2984" s="364"/>
      <c r="Z2984" s="609" t="s">
        <v>1206</v>
      </c>
      <c r="AA2984" s="609" t="s">
        <v>5662</v>
      </c>
    </row>
    <row r="2985" spans="1:27" ht="0.75" customHeight="1">
      <c r="A2985" s="2712"/>
      <c r="B2985" s="371"/>
      <c r="C2985" s="371"/>
      <c r="D2985" s="371"/>
      <c r="F2985" s="304"/>
      <c r="G2985" s="304" t="s">
        <v>3688</v>
      </c>
      <c r="H2985" s="304" t="s">
        <v>2904</v>
      </c>
      <c r="I2985" s="304" t="s">
        <v>3564</v>
      </c>
      <c r="J2985" s="304" t="s">
        <v>3677</v>
      </c>
      <c r="K2985" s="304" t="s">
        <v>3565</v>
      </c>
      <c r="L2985" s="304" t="s">
        <v>3566</v>
      </c>
      <c r="M2985" s="304" t="s">
        <v>3567</v>
      </c>
      <c r="N2985" s="304" t="s">
        <v>3568</v>
      </c>
      <c r="O2985" s="304" t="s">
        <v>3689</v>
      </c>
      <c r="P2985" s="304" t="s">
        <v>3690</v>
      </c>
      <c r="S2985" s="364"/>
      <c r="Z2985" s="609" t="s">
        <v>1206</v>
      </c>
      <c r="AA2985" s="609" t="s">
        <v>5662</v>
      </c>
    </row>
    <row r="2986" spans="1:27" ht="0.75" customHeight="1" thickBot="1">
      <c r="A2986" s="2712"/>
      <c r="B2986" s="371"/>
      <c r="C2986" s="371"/>
      <c r="D2986" s="371"/>
      <c r="F2986" s="304"/>
      <c r="G2986" s="304"/>
      <c r="H2986" s="304" t="s">
        <v>3691</v>
      </c>
      <c r="I2986" s="304" t="s">
        <v>3692</v>
      </c>
      <c r="J2986" s="304" t="s">
        <v>3693</v>
      </c>
      <c r="K2986" s="304" t="s">
        <v>3694</v>
      </c>
      <c r="L2986" s="304" t="s">
        <v>3695</v>
      </c>
      <c r="M2986" s="304" t="s">
        <v>3696</v>
      </c>
      <c r="N2986" s="304" t="s">
        <v>3697</v>
      </c>
      <c r="O2986" s="304" t="s">
        <v>3698</v>
      </c>
      <c r="P2986" s="304" t="s">
        <v>3508</v>
      </c>
      <c r="S2986" s="364"/>
      <c r="Z2986" s="609" t="s">
        <v>1206</v>
      </c>
      <c r="AA2986" s="609" t="s">
        <v>5662</v>
      </c>
    </row>
    <row r="2987" spans="1:27" ht="18" customHeight="1">
      <c r="A2987" s="2712"/>
      <c r="B2987" s="371"/>
      <c r="C2987" s="371"/>
      <c r="D2987" s="371"/>
      <c r="E2987" s="2714" t="s">
        <v>2749</v>
      </c>
      <c r="F2987" s="387"/>
      <c r="G2987" s="3527" t="s">
        <v>47</v>
      </c>
      <c r="H2987" s="3607" t="s">
        <v>3524</v>
      </c>
      <c r="I2987" s="3607" t="s">
        <v>3649</v>
      </c>
      <c r="J2987" s="3535"/>
      <c r="K2987" s="3535"/>
      <c r="L2987" s="3535"/>
      <c r="M2987" s="3607" t="s">
        <v>3699</v>
      </c>
      <c r="N2987" s="3535"/>
      <c r="O2987" s="3607" t="s">
        <v>3700</v>
      </c>
      <c r="P2987" s="3615" t="s">
        <v>2560</v>
      </c>
      <c r="Q2987" s="355" t="s">
        <v>5288</v>
      </c>
      <c r="S2987" s="364"/>
      <c r="Z2987" s="609" t="s">
        <v>1206</v>
      </c>
      <c r="AA2987" s="609" t="s">
        <v>5662</v>
      </c>
    </row>
    <row r="2988" spans="1:27" ht="18">
      <c r="A2988" s="2712"/>
      <c r="B2988" s="371"/>
      <c r="C2988" s="371"/>
      <c r="D2988" s="371"/>
      <c r="E2988" s="2714" t="s">
        <v>2749</v>
      </c>
      <c r="F2988" s="294"/>
      <c r="G2988" s="3528"/>
      <c r="H2988" s="3624"/>
      <c r="I2988" s="2316" t="s">
        <v>3701</v>
      </c>
      <c r="J2988" s="2317" t="s">
        <v>3702</v>
      </c>
      <c r="K2988" s="2316" t="s">
        <v>3703</v>
      </c>
      <c r="L2988" s="2316" t="s">
        <v>3704</v>
      </c>
      <c r="M2988" s="2316" t="s">
        <v>3596</v>
      </c>
      <c r="N2988" s="2316" t="s">
        <v>3705</v>
      </c>
      <c r="O2988" s="3608"/>
      <c r="P2988" s="3600"/>
      <c r="S2988" s="364"/>
      <c r="Z2988" s="609" t="s">
        <v>1206</v>
      </c>
      <c r="AA2988" s="609" t="s">
        <v>5662</v>
      </c>
    </row>
    <row r="2989" spans="1:27" ht="18">
      <c r="A2989" s="2712"/>
      <c r="B2989" s="371">
        <v>101</v>
      </c>
      <c r="C2989" s="371"/>
      <c r="D2989" s="2714">
        <f t="shared" ref="D2989:D3005" si="344">IF(OR(G2989="*",G2989="",G2989=0),0,COUNTIF($G$2989:$G$3005,G2989))</f>
        <v>1</v>
      </c>
      <c r="E2989" s="2719" t="s">
        <v>41</v>
      </c>
      <c r="F2989" s="294"/>
      <c r="G2989" s="380" t="s">
        <v>3680</v>
      </c>
      <c r="H2989" s="383"/>
      <c r="I2989" s="383"/>
      <c r="J2989" s="383"/>
      <c r="K2989" s="383"/>
      <c r="L2989" s="383"/>
      <c r="M2989" s="383"/>
      <c r="N2989" s="383"/>
      <c r="O2989" s="383"/>
      <c r="P2989" s="401"/>
      <c r="S2989" s="364"/>
      <c r="Z2989" s="609" t="s">
        <v>1206</v>
      </c>
      <c r="AA2989" s="609" t="s">
        <v>5662</v>
      </c>
    </row>
    <row r="2990" spans="1:27" ht="18">
      <c r="A2990" s="2712"/>
      <c r="B2990" s="371">
        <v>101.001</v>
      </c>
      <c r="C2990" s="371" t="s">
        <v>2791</v>
      </c>
      <c r="D2990" s="2714">
        <f t="shared" si="344"/>
        <v>0</v>
      </c>
      <c r="E2990" s="2719" t="s">
        <v>3681</v>
      </c>
      <c r="F2990" s="294"/>
      <c r="G2990" s="384" t="s">
        <v>2792</v>
      </c>
      <c r="H2990" s="383"/>
      <c r="I2990" s="383"/>
      <c r="J2990" s="383"/>
      <c r="K2990" s="383"/>
      <c r="L2990" s="383"/>
      <c r="M2990" s="383"/>
      <c r="N2990" s="383"/>
      <c r="O2990" s="383"/>
      <c r="P2990" s="401">
        <f t="shared" ref="P2990:P3003" si="345">SUM(H2990:L2990,-M2990,-N2990,O2990)</f>
        <v>0</v>
      </c>
      <c r="S2990" s="364"/>
      <c r="Z2990" s="609" t="s">
        <v>1206</v>
      </c>
      <c r="AA2990" s="609" t="s">
        <v>5662</v>
      </c>
    </row>
    <row r="2991" spans="1:27" ht="18">
      <c r="A2991" s="2712"/>
      <c r="B2991" s="371">
        <v>101.002</v>
      </c>
      <c r="C2991" s="371" t="s">
        <v>2791</v>
      </c>
      <c r="D2991" s="2714">
        <f t="shared" si="344"/>
        <v>0</v>
      </c>
      <c r="E2991" s="2719" t="s">
        <v>3681</v>
      </c>
      <c r="F2991" s="294"/>
      <c r="G2991" s="384" t="s">
        <v>2792</v>
      </c>
      <c r="H2991" s="383"/>
      <c r="I2991" s="383"/>
      <c r="J2991" s="383"/>
      <c r="K2991" s="383"/>
      <c r="L2991" s="383"/>
      <c r="M2991" s="383"/>
      <c r="N2991" s="383"/>
      <c r="O2991" s="383"/>
      <c r="P2991" s="401">
        <f t="shared" si="345"/>
        <v>0</v>
      </c>
      <c r="S2991" s="364"/>
      <c r="Z2991" s="609" t="s">
        <v>1206</v>
      </c>
      <c r="AA2991" s="609" t="s">
        <v>5662</v>
      </c>
    </row>
    <row r="2992" spans="1:27" ht="18">
      <c r="A2992" s="2712"/>
      <c r="B2992" s="371">
        <v>101.999</v>
      </c>
      <c r="C2992" s="371" t="s">
        <v>2793</v>
      </c>
      <c r="D2992" s="2714">
        <f t="shared" si="344"/>
        <v>1</v>
      </c>
      <c r="E2992" s="2719">
        <v>1</v>
      </c>
      <c r="F2992" s="294"/>
      <c r="G2992" s="382" t="s">
        <v>3681</v>
      </c>
      <c r="H2992" s="386">
        <f t="shared" ref="H2992:P2992" si="346">SUMIF($E$2988:$E$3004,$G2992,H$2988:H$3004)</f>
        <v>0</v>
      </c>
      <c r="I2992" s="386">
        <f t="shared" si="346"/>
        <v>0</v>
      </c>
      <c r="J2992" s="386">
        <f t="shared" si="346"/>
        <v>0</v>
      </c>
      <c r="K2992" s="386">
        <f t="shared" si="346"/>
        <v>0</v>
      </c>
      <c r="L2992" s="386">
        <f t="shared" si="346"/>
        <v>0</v>
      </c>
      <c r="M2992" s="386">
        <f t="shared" si="346"/>
        <v>0</v>
      </c>
      <c r="N2992" s="386">
        <f t="shared" si="346"/>
        <v>0</v>
      </c>
      <c r="O2992" s="386">
        <f t="shared" si="346"/>
        <v>0</v>
      </c>
      <c r="P2992" s="402">
        <f t="shared" si="346"/>
        <v>0</v>
      </c>
      <c r="S2992" s="364"/>
      <c r="Z2992" s="609" t="s">
        <v>1206</v>
      </c>
      <c r="AA2992" s="609" t="s">
        <v>5662</v>
      </c>
    </row>
    <row r="2993" spans="1:27" ht="18">
      <c r="A2993" s="2712"/>
      <c r="B2993" s="371">
        <v>102</v>
      </c>
      <c r="C2993" s="371"/>
      <c r="D2993" s="2714">
        <f t="shared" si="344"/>
        <v>1</v>
      </c>
      <c r="E2993" s="2719" t="s">
        <v>41</v>
      </c>
      <c r="F2993" s="294"/>
      <c r="G2993" s="380" t="s">
        <v>3682</v>
      </c>
      <c r="H2993" s="383"/>
      <c r="I2993" s="383"/>
      <c r="J2993" s="383"/>
      <c r="K2993" s="383"/>
      <c r="L2993" s="383"/>
      <c r="M2993" s="383"/>
      <c r="N2993" s="383"/>
      <c r="O2993" s="383"/>
      <c r="P2993" s="401"/>
      <c r="S2993" s="364"/>
      <c r="Z2993" s="609" t="s">
        <v>1206</v>
      </c>
      <c r="AA2993" s="609" t="s">
        <v>5662</v>
      </c>
    </row>
    <row r="2994" spans="1:27" ht="18">
      <c r="A2994" s="2712"/>
      <c r="B2994" s="371">
        <v>102.001</v>
      </c>
      <c r="C2994" s="371" t="s">
        <v>2791</v>
      </c>
      <c r="D2994" s="2714">
        <f t="shared" si="344"/>
        <v>0</v>
      </c>
      <c r="E2994" s="2719" t="s">
        <v>3683</v>
      </c>
      <c r="F2994" s="294"/>
      <c r="G2994" s="384" t="s">
        <v>2792</v>
      </c>
      <c r="H2994" s="383"/>
      <c r="I2994" s="383"/>
      <c r="J2994" s="383"/>
      <c r="K2994" s="383"/>
      <c r="L2994" s="383"/>
      <c r="M2994" s="383"/>
      <c r="N2994" s="383"/>
      <c r="O2994" s="383"/>
      <c r="P2994" s="401">
        <f t="shared" si="345"/>
        <v>0</v>
      </c>
      <c r="S2994" s="364"/>
      <c r="Z2994" s="609" t="s">
        <v>1206</v>
      </c>
      <c r="AA2994" s="609" t="s">
        <v>5662</v>
      </c>
    </row>
    <row r="2995" spans="1:27" ht="18">
      <c r="A2995" s="2712"/>
      <c r="B2995" s="371">
        <v>102.002</v>
      </c>
      <c r="C2995" s="371" t="s">
        <v>2791</v>
      </c>
      <c r="D2995" s="2714">
        <f t="shared" si="344"/>
        <v>0</v>
      </c>
      <c r="E2995" s="2719" t="s">
        <v>3683</v>
      </c>
      <c r="F2995" s="294"/>
      <c r="G2995" s="384" t="s">
        <v>2792</v>
      </c>
      <c r="H2995" s="383"/>
      <c r="I2995" s="383"/>
      <c r="J2995" s="383"/>
      <c r="K2995" s="383"/>
      <c r="L2995" s="383"/>
      <c r="M2995" s="383"/>
      <c r="N2995" s="383"/>
      <c r="O2995" s="383"/>
      <c r="P2995" s="401">
        <f t="shared" si="345"/>
        <v>0</v>
      </c>
      <c r="S2995" s="364"/>
      <c r="Z2995" s="609" t="s">
        <v>1206</v>
      </c>
      <c r="AA2995" s="609" t="s">
        <v>5662</v>
      </c>
    </row>
    <row r="2996" spans="1:27" ht="18">
      <c r="A2996" s="2712"/>
      <c r="B2996" s="371">
        <v>102.999</v>
      </c>
      <c r="C2996" s="371" t="s">
        <v>2793</v>
      </c>
      <c r="D2996" s="2714">
        <f t="shared" si="344"/>
        <v>1</v>
      </c>
      <c r="E2996" s="2719">
        <v>1</v>
      </c>
      <c r="F2996" s="294"/>
      <c r="G2996" s="382" t="s">
        <v>3683</v>
      </c>
      <c r="H2996" s="386">
        <f t="shared" ref="H2996:P2996" si="347">SUMIF($E$2988:$E$3004,$G2996,H$2988:H$3004)</f>
        <v>0</v>
      </c>
      <c r="I2996" s="386">
        <f t="shared" si="347"/>
        <v>0</v>
      </c>
      <c r="J2996" s="386">
        <f t="shared" si="347"/>
        <v>0</v>
      </c>
      <c r="K2996" s="386">
        <f t="shared" si="347"/>
        <v>0</v>
      </c>
      <c r="L2996" s="386">
        <f t="shared" si="347"/>
        <v>0</v>
      </c>
      <c r="M2996" s="386">
        <f t="shared" si="347"/>
        <v>0</v>
      </c>
      <c r="N2996" s="386">
        <f t="shared" si="347"/>
        <v>0</v>
      </c>
      <c r="O2996" s="386">
        <f t="shared" si="347"/>
        <v>0</v>
      </c>
      <c r="P2996" s="402">
        <f t="shared" si="347"/>
        <v>0</v>
      </c>
      <c r="S2996" s="364"/>
      <c r="Z2996" s="609" t="s">
        <v>1206</v>
      </c>
      <c r="AA2996" s="609" t="s">
        <v>5662</v>
      </c>
    </row>
    <row r="2997" spans="1:27" ht="18">
      <c r="A2997" s="2712"/>
      <c r="B2997" s="371">
        <v>103</v>
      </c>
      <c r="C2997" s="371"/>
      <c r="D2997" s="2714">
        <f t="shared" si="344"/>
        <v>1</v>
      </c>
      <c r="E2997" s="2719" t="s">
        <v>41</v>
      </c>
      <c r="F2997" s="294"/>
      <c r="G2997" s="380" t="s">
        <v>3684</v>
      </c>
      <c r="H2997" s="383"/>
      <c r="I2997" s="383"/>
      <c r="J2997" s="383"/>
      <c r="K2997" s="383"/>
      <c r="L2997" s="383"/>
      <c r="M2997" s="383"/>
      <c r="N2997" s="383"/>
      <c r="O2997" s="383"/>
      <c r="P2997" s="401"/>
      <c r="S2997" s="364"/>
      <c r="Z2997" s="609" t="s">
        <v>1206</v>
      </c>
      <c r="AA2997" s="609" t="s">
        <v>5662</v>
      </c>
    </row>
    <row r="2998" spans="1:27" ht="18">
      <c r="A2998" s="2712"/>
      <c r="B2998" s="371">
        <v>103.001</v>
      </c>
      <c r="C2998" s="371" t="s">
        <v>2791</v>
      </c>
      <c r="D2998" s="2714">
        <f t="shared" si="344"/>
        <v>0</v>
      </c>
      <c r="E2998" s="2719" t="s">
        <v>3685</v>
      </c>
      <c r="F2998" s="294"/>
      <c r="G2998" s="384" t="s">
        <v>2792</v>
      </c>
      <c r="H2998" s="383"/>
      <c r="I2998" s="383"/>
      <c r="J2998" s="383"/>
      <c r="K2998" s="383"/>
      <c r="L2998" s="383"/>
      <c r="M2998" s="383"/>
      <c r="N2998" s="383"/>
      <c r="O2998" s="383"/>
      <c r="P2998" s="401">
        <f t="shared" si="345"/>
        <v>0</v>
      </c>
      <c r="S2998" s="364"/>
      <c r="Z2998" s="609" t="s">
        <v>1206</v>
      </c>
      <c r="AA2998" s="609" t="s">
        <v>5662</v>
      </c>
    </row>
    <row r="2999" spans="1:27" ht="18">
      <c r="A2999" s="2712"/>
      <c r="B2999" s="371">
        <v>103.002</v>
      </c>
      <c r="C2999" s="371" t="s">
        <v>2791</v>
      </c>
      <c r="D2999" s="2714">
        <f t="shared" si="344"/>
        <v>0</v>
      </c>
      <c r="E2999" s="2719" t="s">
        <v>3685</v>
      </c>
      <c r="F2999" s="294"/>
      <c r="G2999" s="384" t="s">
        <v>2792</v>
      </c>
      <c r="H2999" s="383"/>
      <c r="I2999" s="383"/>
      <c r="J2999" s="383"/>
      <c r="K2999" s="383"/>
      <c r="L2999" s="383"/>
      <c r="M2999" s="383"/>
      <c r="N2999" s="383"/>
      <c r="O2999" s="383"/>
      <c r="P2999" s="401">
        <f t="shared" si="345"/>
        <v>0</v>
      </c>
      <c r="S2999" s="364"/>
      <c r="Z2999" s="609" t="s">
        <v>1206</v>
      </c>
      <c r="AA2999" s="609" t="s">
        <v>5662</v>
      </c>
    </row>
    <row r="3000" spans="1:27" ht="18">
      <c r="A3000" s="2712"/>
      <c r="B3000" s="371">
        <v>103.999</v>
      </c>
      <c r="C3000" s="371" t="s">
        <v>2793</v>
      </c>
      <c r="D3000" s="2714">
        <f t="shared" si="344"/>
        <v>1</v>
      </c>
      <c r="E3000" s="2719">
        <v>1</v>
      </c>
      <c r="F3000" s="294"/>
      <c r="G3000" s="382" t="s">
        <v>3685</v>
      </c>
      <c r="H3000" s="386">
        <f t="shared" ref="H3000:P3000" si="348">SUMIF($E$2988:$E$3004,$G3000,H$2988:H$3004)</f>
        <v>0</v>
      </c>
      <c r="I3000" s="386">
        <f t="shared" si="348"/>
        <v>0</v>
      </c>
      <c r="J3000" s="386">
        <f t="shared" si="348"/>
        <v>0</v>
      </c>
      <c r="K3000" s="386">
        <f t="shared" si="348"/>
        <v>0</v>
      </c>
      <c r="L3000" s="386">
        <f t="shared" si="348"/>
        <v>0</v>
      </c>
      <c r="M3000" s="386">
        <f t="shared" si="348"/>
        <v>0</v>
      </c>
      <c r="N3000" s="386">
        <f t="shared" si="348"/>
        <v>0</v>
      </c>
      <c r="O3000" s="386">
        <f t="shared" si="348"/>
        <v>0</v>
      </c>
      <c r="P3000" s="402">
        <f t="shared" si="348"/>
        <v>0</v>
      </c>
      <c r="S3000" s="364"/>
      <c r="Z3000" s="609" t="s">
        <v>1206</v>
      </c>
      <c r="AA3000" s="609" t="s">
        <v>5662</v>
      </c>
    </row>
    <row r="3001" spans="1:27" ht="18">
      <c r="A3001" s="2712"/>
      <c r="B3001" s="371">
        <v>104</v>
      </c>
      <c r="C3001" s="371"/>
      <c r="D3001" s="2714">
        <f t="shared" si="344"/>
        <v>1</v>
      </c>
      <c r="E3001" s="2719" t="s">
        <v>41</v>
      </c>
      <c r="F3001" s="294"/>
      <c r="G3001" s="380" t="s">
        <v>3686</v>
      </c>
      <c r="H3001" s="383"/>
      <c r="I3001" s="383"/>
      <c r="J3001" s="383"/>
      <c r="K3001" s="383"/>
      <c r="L3001" s="383"/>
      <c r="M3001" s="383"/>
      <c r="N3001" s="383"/>
      <c r="O3001" s="383"/>
      <c r="P3001" s="401"/>
      <c r="S3001" s="364"/>
      <c r="Z3001" s="609" t="s">
        <v>1206</v>
      </c>
      <c r="AA3001" s="609" t="s">
        <v>5662</v>
      </c>
    </row>
    <row r="3002" spans="1:27" ht="18">
      <c r="A3002" s="2712"/>
      <c r="B3002" s="371">
        <v>104.001</v>
      </c>
      <c r="C3002" s="371" t="s">
        <v>2791</v>
      </c>
      <c r="D3002" s="2714">
        <f t="shared" si="344"/>
        <v>0</v>
      </c>
      <c r="E3002" s="2719" t="s">
        <v>3687</v>
      </c>
      <c r="F3002" s="294"/>
      <c r="G3002" s="384" t="s">
        <v>2792</v>
      </c>
      <c r="H3002" s="383"/>
      <c r="I3002" s="383"/>
      <c r="J3002" s="383"/>
      <c r="K3002" s="383"/>
      <c r="L3002" s="383"/>
      <c r="M3002" s="383"/>
      <c r="N3002" s="383"/>
      <c r="O3002" s="383"/>
      <c r="P3002" s="401">
        <f t="shared" si="345"/>
        <v>0</v>
      </c>
      <c r="S3002" s="364"/>
      <c r="Z3002" s="609" t="s">
        <v>1206</v>
      </c>
      <c r="AA3002" s="609" t="s">
        <v>5662</v>
      </c>
    </row>
    <row r="3003" spans="1:27" ht="18">
      <c r="A3003" s="2712"/>
      <c r="B3003" s="371">
        <v>104.002</v>
      </c>
      <c r="C3003" s="371" t="s">
        <v>2791</v>
      </c>
      <c r="D3003" s="2714">
        <f t="shared" si="344"/>
        <v>0</v>
      </c>
      <c r="E3003" s="2719" t="s">
        <v>3687</v>
      </c>
      <c r="F3003" s="294"/>
      <c r="G3003" s="384" t="s">
        <v>2792</v>
      </c>
      <c r="H3003" s="383"/>
      <c r="I3003" s="383"/>
      <c r="J3003" s="383"/>
      <c r="K3003" s="383"/>
      <c r="L3003" s="383"/>
      <c r="M3003" s="383"/>
      <c r="N3003" s="383"/>
      <c r="O3003" s="383"/>
      <c r="P3003" s="401">
        <f t="shared" si="345"/>
        <v>0</v>
      </c>
      <c r="S3003" s="364"/>
      <c r="Z3003" s="609" t="s">
        <v>1206</v>
      </c>
      <c r="AA3003" s="609" t="s">
        <v>5662</v>
      </c>
    </row>
    <row r="3004" spans="1:27" ht="18">
      <c r="A3004" s="2712"/>
      <c r="B3004" s="371">
        <v>104.999</v>
      </c>
      <c r="C3004" s="371" t="s">
        <v>2793</v>
      </c>
      <c r="D3004" s="2714">
        <f t="shared" si="344"/>
        <v>1</v>
      </c>
      <c r="E3004" s="2719">
        <v>1</v>
      </c>
      <c r="F3004" s="294"/>
      <c r="G3004" s="382" t="s">
        <v>3687</v>
      </c>
      <c r="H3004" s="386">
        <f t="shared" ref="H3004:P3004" si="349">SUMIF($E$2988:$E$3004,$G3004,H$2988:H$3004)</f>
        <v>0</v>
      </c>
      <c r="I3004" s="386">
        <f t="shared" si="349"/>
        <v>0</v>
      </c>
      <c r="J3004" s="386">
        <f t="shared" si="349"/>
        <v>0</v>
      </c>
      <c r="K3004" s="386">
        <f t="shared" si="349"/>
        <v>0</v>
      </c>
      <c r="L3004" s="386">
        <f t="shared" si="349"/>
        <v>0</v>
      </c>
      <c r="M3004" s="386">
        <f t="shared" si="349"/>
        <v>0</v>
      </c>
      <c r="N3004" s="386">
        <f t="shared" si="349"/>
        <v>0</v>
      </c>
      <c r="O3004" s="386">
        <f t="shared" si="349"/>
        <v>0</v>
      </c>
      <c r="P3004" s="402">
        <f t="shared" si="349"/>
        <v>0</v>
      </c>
      <c r="S3004" s="364"/>
      <c r="Z3004" s="609" t="s">
        <v>1206</v>
      </c>
      <c r="AA3004" s="609" t="s">
        <v>5662</v>
      </c>
    </row>
    <row r="3005" spans="1:27" ht="18.75" thickBot="1">
      <c r="A3005" s="2712"/>
      <c r="B3005" s="371"/>
      <c r="C3005" s="371"/>
      <c r="D3005" s="2714">
        <f t="shared" si="344"/>
        <v>1</v>
      </c>
      <c r="E3005" s="2719" t="s">
        <v>2751</v>
      </c>
      <c r="F3005" s="294"/>
      <c r="G3005" s="2328" t="s">
        <v>5487</v>
      </c>
      <c r="H3005" s="2329">
        <f t="shared" ref="H3005:P3005" si="350">SUMPRODUCT($E2988:$E3004,H2988:H3004)</f>
        <v>0</v>
      </c>
      <c r="I3005" s="2329">
        <f t="shared" si="350"/>
        <v>0</v>
      </c>
      <c r="J3005" s="2329">
        <f t="shared" si="350"/>
        <v>0</v>
      </c>
      <c r="K3005" s="2329">
        <f t="shared" si="350"/>
        <v>0</v>
      </c>
      <c r="L3005" s="2329">
        <f t="shared" si="350"/>
        <v>0</v>
      </c>
      <c r="M3005" s="2329">
        <f t="shared" si="350"/>
        <v>0</v>
      </c>
      <c r="N3005" s="2329">
        <f t="shared" si="350"/>
        <v>0</v>
      </c>
      <c r="O3005" s="2329">
        <f t="shared" si="350"/>
        <v>0</v>
      </c>
      <c r="P3005" s="2330">
        <f t="shared" si="350"/>
        <v>0</v>
      </c>
      <c r="S3005" s="364"/>
      <c r="Z3005" s="609" t="s">
        <v>1206</v>
      </c>
      <c r="AA3005" s="609" t="s">
        <v>5662</v>
      </c>
    </row>
    <row r="3006" spans="1:27" ht="18">
      <c r="A3006" s="2712"/>
      <c r="B3006" s="371"/>
      <c r="C3006" s="371" t="s">
        <v>2755</v>
      </c>
      <c r="D3006" s="371"/>
      <c r="F3006" s="294"/>
      <c r="G3006" s="301"/>
      <c r="H3006" s="315"/>
      <c r="I3006" s="315"/>
      <c r="J3006" s="315"/>
      <c r="K3006" s="315"/>
      <c r="L3006" s="315"/>
      <c r="M3006" s="315"/>
      <c r="N3006" s="315"/>
      <c r="O3006" s="315"/>
      <c r="P3006" s="315"/>
      <c r="S3006" s="364"/>
      <c r="Z3006" s="609" t="s">
        <v>1206</v>
      </c>
      <c r="AA3006" s="609" t="s">
        <v>5662</v>
      </c>
    </row>
    <row r="3007" spans="1:27" ht="18">
      <c r="A3007" s="2712">
        <v>1631</v>
      </c>
      <c r="B3007" s="371">
        <v>26</v>
      </c>
      <c r="C3007" s="2714" t="str">
        <f>VLOOKUP($A3007,Sheet_Items,2,0)</f>
        <v>油气资产</v>
      </c>
      <c r="D3007" s="371"/>
      <c r="E3007" s="2714" t="s">
        <v>2739</v>
      </c>
      <c r="F3007" s="294"/>
      <c r="G3007" s="305" t="str">
        <f>B3007&amp;" "&amp;C3007</f>
        <v>26 油气资产</v>
      </c>
      <c r="H3007" s="306"/>
      <c r="I3007" s="306"/>
      <c r="J3007" s="306" t="s">
        <v>2740</v>
      </c>
      <c r="K3007" s="341">
        <f>VLOOKUP($A3007,Sheet_Trialbal,6,0)</f>
        <v>0</v>
      </c>
      <c r="L3007" s="342"/>
      <c r="M3007" s="306" t="s">
        <v>2741</v>
      </c>
      <c r="N3007" s="341">
        <f>VLOOKUP($A3007,Sheet_Trialbal,10,0)</f>
        <v>0</v>
      </c>
      <c r="O3007" s="306"/>
      <c r="P3007" s="301"/>
      <c r="S3007" s="364"/>
      <c r="Z3007" s="609" t="s">
        <v>1235</v>
      </c>
      <c r="AA3007" s="609" t="s">
        <v>3706</v>
      </c>
    </row>
    <row r="3008" spans="1:27" ht="18">
      <c r="A3008" s="2712" t="s">
        <v>1233</v>
      </c>
      <c r="B3008" s="371">
        <v>1</v>
      </c>
      <c r="C3008" s="371"/>
      <c r="D3008" s="2714" t="str">
        <f>VLOOKUP($A3008,Sheet_NoteList,2,0)</f>
        <v>油气资产情况</v>
      </c>
      <c r="E3008" s="2714" t="s">
        <v>2742</v>
      </c>
      <c r="F3008" s="293"/>
      <c r="G3008" s="372" t="str">
        <f>"("&amp;B3008&amp;")"&amp;D3008</f>
        <v>(1)油气资产情况</v>
      </c>
      <c r="H3008" s="1515" t="str">
        <f>$A3008</f>
        <v>1631b</v>
      </c>
      <c r="I3008" s="343" t="s">
        <v>2743</v>
      </c>
      <c r="J3008" s="301" t="s">
        <v>2744</v>
      </c>
      <c r="K3008" s="2208">
        <f>H3042</f>
        <v>0</v>
      </c>
      <c r="L3008" s="349" t="str">
        <f>IF($I3008="适用",IF(ROUND(K$3007-K3008,2)=0,"F/S",ROUND(K$3007-K3008,2)),"#N/A")</f>
        <v>F/S</v>
      </c>
      <c r="M3008" s="301" t="s">
        <v>2745</v>
      </c>
      <c r="N3008" s="2208">
        <f>I3042</f>
        <v>0</v>
      </c>
      <c r="O3008" s="349" t="str">
        <f>IF($I3008="适用",IF(ROUND(N$3007-N3008,2)=0,"F/S",ROUND(N$3007-N3008,2)),"#N/A")</f>
        <v>F/S</v>
      </c>
      <c r="P3008" s="301"/>
      <c r="S3008" s="364"/>
      <c r="Z3008" s="609" t="s">
        <v>1235</v>
      </c>
      <c r="AA3008" s="609" t="s">
        <v>3706</v>
      </c>
    </row>
    <row r="3009" spans="1:27" ht="0.75" customHeight="1" thickBot="1">
      <c r="A3009" s="2712"/>
      <c r="B3009" s="371"/>
      <c r="C3009" s="371"/>
      <c r="D3009" s="2714"/>
      <c r="F3009" s="371"/>
      <c r="G3009" s="405" t="s">
        <v>3707</v>
      </c>
      <c r="H3009" s="371" t="s">
        <v>2747</v>
      </c>
      <c r="I3009" s="371" t="s">
        <v>2748</v>
      </c>
      <c r="J3009" s="371" t="s">
        <v>2948</v>
      </c>
      <c r="K3009" s="547" t="s">
        <v>3034</v>
      </c>
      <c r="L3009" s="547" t="s">
        <v>3035</v>
      </c>
      <c r="M3009" s="433"/>
      <c r="N3009" s="428"/>
      <c r="O3009" s="428"/>
      <c r="P3009" s="433"/>
      <c r="Q3009" s="442"/>
      <c r="R3009" s="443"/>
      <c r="S3009" s="364"/>
      <c r="Z3009" s="609" t="s">
        <v>1235</v>
      </c>
      <c r="AA3009" s="609" t="s">
        <v>3706</v>
      </c>
    </row>
    <row r="3010" spans="1:27" ht="18">
      <c r="A3010" s="2712"/>
      <c r="B3010" s="371"/>
      <c r="C3010" s="371"/>
      <c r="D3010" s="2714"/>
      <c r="E3010" s="2714" t="s">
        <v>2749</v>
      </c>
      <c r="F3010" s="293"/>
      <c r="G3010" s="1577" t="s">
        <v>5488</v>
      </c>
      <c r="H3010" s="1464" t="s">
        <v>3708</v>
      </c>
      <c r="I3010" s="1464" t="s">
        <v>3709</v>
      </c>
      <c r="J3010" s="1464" t="s">
        <v>3710</v>
      </c>
      <c r="K3010" s="1465" t="s">
        <v>5148</v>
      </c>
      <c r="L3010" s="1471" t="s">
        <v>3351</v>
      </c>
      <c r="M3010" s="355" t="s">
        <v>5289</v>
      </c>
      <c r="N3010" s="434"/>
      <c r="O3010" s="434"/>
      <c r="P3010" s="435"/>
      <c r="Q3010" s="442"/>
      <c r="R3010" s="443"/>
      <c r="S3010" s="364"/>
      <c r="Z3010" s="609" t="s">
        <v>1235</v>
      </c>
      <c r="AA3010" s="609" t="s">
        <v>3706</v>
      </c>
    </row>
    <row r="3011" spans="1:27" ht="18">
      <c r="A3011" s="2712"/>
      <c r="B3011" s="371">
        <v>101</v>
      </c>
      <c r="C3011" s="371"/>
      <c r="D3011" s="2714">
        <f t="shared" ref="D3011:D3042" si="351">IF(OR(G3011="*",G3011="",G3011=0),0,COUNTIF($G$3011:$G$3042,G3011))</f>
        <v>1</v>
      </c>
      <c r="E3011" s="2719">
        <v>1</v>
      </c>
      <c r="F3011" s="293"/>
      <c r="G3011" s="308" t="s">
        <v>3544</v>
      </c>
      <c r="H3011" s="309"/>
      <c r="I3011" s="422"/>
      <c r="J3011" s="309"/>
      <c r="K3011" s="320"/>
      <c r="L3011" s="346"/>
      <c r="M3011" s="438"/>
      <c r="N3011" s="439"/>
      <c r="O3011" s="437"/>
      <c r="P3011" s="438"/>
      <c r="Q3011" s="442"/>
      <c r="R3011" s="443"/>
      <c r="S3011" s="364"/>
      <c r="Z3011" s="609" t="s">
        <v>1235</v>
      </c>
      <c r="AA3011" s="609" t="s">
        <v>3706</v>
      </c>
    </row>
    <row r="3012" spans="1:27" ht="18">
      <c r="A3012" s="2712"/>
      <c r="B3012" s="371">
        <v>102</v>
      </c>
      <c r="C3012" s="371"/>
      <c r="D3012" s="2714">
        <f t="shared" si="351"/>
        <v>1</v>
      </c>
      <c r="E3012" s="2719">
        <v>1</v>
      </c>
      <c r="F3012" s="293"/>
      <c r="G3012" s="308" t="str">
        <f>"1."&amp;$W$3&amp;" "</f>
        <v xml:space="preserve">1.2018年12月31日 </v>
      </c>
      <c r="H3012" s="309"/>
      <c r="I3012" s="422"/>
      <c r="J3012" s="309"/>
      <c r="K3012" s="320"/>
      <c r="L3012" s="1475">
        <f>SUM(H3012:K3012)</f>
        <v>0</v>
      </c>
      <c r="M3012" s="438"/>
      <c r="N3012" s="439"/>
      <c r="O3012" s="437"/>
      <c r="P3012" s="438"/>
      <c r="Q3012" s="442"/>
      <c r="R3012" s="443"/>
      <c r="S3012" s="364"/>
      <c r="Z3012" s="609" t="s">
        <v>1235</v>
      </c>
      <c r="AA3012" s="609" t="s">
        <v>3706</v>
      </c>
    </row>
    <row r="3013" spans="1:27" ht="18">
      <c r="A3013" s="2712"/>
      <c r="B3013" s="371">
        <v>103</v>
      </c>
      <c r="C3013" s="371"/>
      <c r="D3013" s="2714">
        <f t="shared" si="351"/>
        <v>1</v>
      </c>
      <c r="E3013" s="2719">
        <v>1</v>
      </c>
      <c r="F3013" s="293"/>
      <c r="G3013" s="308" t="s">
        <v>3545</v>
      </c>
      <c r="H3013" s="1474">
        <f>SUM(H3014:H3016)</f>
        <v>0</v>
      </c>
      <c r="I3013" s="1474">
        <f t="shared" ref="I3013:L3013" si="352">SUM(I3014:I3016)</f>
        <v>0</v>
      </c>
      <c r="J3013" s="1474">
        <f t="shared" si="352"/>
        <v>0</v>
      </c>
      <c r="K3013" s="1474">
        <f t="shared" si="352"/>
        <v>0</v>
      </c>
      <c r="L3013" s="1475">
        <f t="shared" si="352"/>
        <v>0</v>
      </c>
      <c r="M3013" s="438"/>
      <c r="N3013" s="439"/>
      <c r="O3013" s="437"/>
      <c r="P3013" s="438"/>
      <c r="Q3013" s="442"/>
      <c r="R3013" s="443"/>
      <c r="S3013" s="364"/>
      <c r="Z3013" s="609" t="s">
        <v>1235</v>
      </c>
      <c r="AA3013" s="609" t="s">
        <v>3706</v>
      </c>
    </row>
    <row r="3014" spans="1:27" ht="18">
      <c r="A3014" s="2712"/>
      <c r="B3014" s="371">
        <v>104</v>
      </c>
      <c r="C3014" s="371"/>
      <c r="D3014" s="2714">
        <f t="shared" si="351"/>
        <v>1</v>
      </c>
      <c r="E3014" s="2719">
        <v>1</v>
      </c>
      <c r="F3014" s="293"/>
      <c r="G3014" s="308" t="s">
        <v>5149</v>
      </c>
      <c r="H3014" s="309"/>
      <c r="I3014" s="422"/>
      <c r="J3014" s="309"/>
      <c r="K3014" s="320"/>
      <c r="L3014" s="1475">
        <f t="shared" ref="L3014:L3037" si="353">SUM(H3014:K3014)</f>
        <v>0</v>
      </c>
      <c r="M3014" s="438"/>
      <c r="N3014" s="439"/>
      <c r="O3014" s="437"/>
      <c r="P3014" s="438"/>
      <c r="Q3014" s="442"/>
      <c r="R3014" s="443"/>
      <c r="S3014" s="364"/>
      <c r="Z3014" s="609" t="s">
        <v>1235</v>
      </c>
      <c r="AA3014" s="609" t="s">
        <v>3706</v>
      </c>
    </row>
    <row r="3015" spans="1:27" ht="18">
      <c r="A3015" s="2712"/>
      <c r="B3015" s="371">
        <v>105</v>
      </c>
      <c r="C3015" s="371"/>
      <c r="D3015" s="2714">
        <f t="shared" si="351"/>
        <v>1</v>
      </c>
      <c r="E3015" s="2719">
        <v>1</v>
      </c>
      <c r="F3015" s="293"/>
      <c r="G3015" s="308" t="s">
        <v>3711</v>
      </c>
      <c r="H3015" s="309"/>
      <c r="I3015" s="422"/>
      <c r="J3015" s="309"/>
      <c r="K3015" s="320"/>
      <c r="L3015" s="1475">
        <f t="shared" si="353"/>
        <v>0</v>
      </c>
      <c r="M3015" s="438"/>
      <c r="N3015" s="439"/>
      <c r="O3015" s="437"/>
      <c r="P3015" s="438"/>
      <c r="Q3015" s="442"/>
      <c r="R3015" s="443"/>
      <c r="S3015" s="364"/>
      <c r="Z3015" s="609" t="s">
        <v>1235</v>
      </c>
      <c r="AA3015" s="609" t="s">
        <v>3706</v>
      </c>
    </row>
    <row r="3016" spans="1:27" ht="18">
      <c r="A3016" s="2712"/>
      <c r="B3016" s="371">
        <v>106</v>
      </c>
      <c r="C3016" s="371" t="s">
        <v>2791</v>
      </c>
      <c r="D3016" s="2714">
        <f t="shared" si="351"/>
        <v>0</v>
      </c>
      <c r="E3016" s="2719">
        <v>1</v>
      </c>
      <c r="F3016" s="293"/>
      <c r="G3016" s="1470" t="s">
        <v>2792</v>
      </c>
      <c r="H3016" s="309"/>
      <c r="I3016" s="422"/>
      <c r="J3016" s="309"/>
      <c r="K3016" s="320"/>
      <c r="L3016" s="1475">
        <f t="shared" si="353"/>
        <v>0</v>
      </c>
      <c r="M3016" s="438"/>
      <c r="N3016" s="439"/>
      <c r="O3016" s="437"/>
      <c r="P3016" s="438"/>
      <c r="Q3016" s="442"/>
      <c r="R3016" s="443"/>
      <c r="S3016" s="364"/>
      <c r="Z3016" s="609" t="s">
        <v>1235</v>
      </c>
      <c r="AA3016" s="609" t="s">
        <v>3706</v>
      </c>
    </row>
    <row r="3017" spans="1:27" ht="18">
      <c r="A3017" s="2712"/>
      <c r="B3017" s="371">
        <v>107</v>
      </c>
      <c r="C3017" s="371"/>
      <c r="D3017" s="2714">
        <f t="shared" si="351"/>
        <v>1</v>
      </c>
      <c r="E3017" s="2719">
        <v>1</v>
      </c>
      <c r="F3017" s="293"/>
      <c r="G3017" s="308" t="s">
        <v>3548</v>
      </c>
      <c r="H3017" s="1474">
        <f>SUM(H3018:H3019)</f>
        <v>0</v>
      </c>
      <c r="I3017" s="1474">
        <f t="shared" ref="I3017:L3017" si="354">SUM(I3018:I3019)</f>
        <v>0</v>
      </c>
      <c r="J3017" s="1474">
        <f t="shared" si="354"/>
        <v>0</v>
      </c>
      <c r="K3017" s="1474">
        <f t="shared" si="354"/>
        <v>0</v>
      </c>
      <c r="L3017" s="1475">
        <f t="shared" si="354"/>
        <v>0</v>
      </c>
      <c r="M3017" s="438"/>
      <c r="N3017" s="439"/>
      <c r="O3017" s="437"/>
      <c r="P3017" s="438"/>
      <c r="Q3017" s="442"/>
      <c r="R3017" s="443"/>
      <c r="S3017" s="364"/>
      <c r="Z3017" s="609" t="s">
        <v>1235</v>
      </c>
      <c r="AA3017" s="609" t="s">
        <v>3706</v>
      </c>
    </row>
    <row r="3018" spans="1:27" ht="18">
      <c r="A3018" s="2712"/>
      <c r="B3018" s="371">
        <v>108</v>
      </c>
      <c r="C3018" s="371"/>
      <c r="D3018" s="2714">
        <f t="shared" si="351"/>
        <v>1</v>
      </c>
      <c r="E3018" s="2719">
        <v>1</v>
      </c>
      <c r="F3018" s="293"/>
      <c r="G3018" s="308" t="s">
        <v>5150</v>
      </c>
      <c r="H3018" s="309"/>
      <c r="I3018" s="422"/>
      <c r="J3018" s="309"/>
      <c r="K3018" s="320"/>
      <c r="L3018" s="1475">
        <f t="shared" si="353"/>
        <v>0</v>
      </c>
      <c r="M3018" s="438"/>
      <c r="N3018" s="439"/>
      <c r="O3018" s="437"/>
      <c r="P3018" s="438"/>
      <c r="Q3018" s="442"/>
      <c r="R3018" s="443"/>
      <c r="S3018" s="364"/>
      <c r="Z3018" s="609" t="s">
        <v>1235</v>
      </c>
      <c r="AA3018" s="609" t="s">
        <v>3706</v>
      </c>
    </row>
    <row r="3019" spans="1:27" ht="18">
      <c r="A3019" s="2712"/>
      <c r="B3019" s="371">
        <v>109</v>
      </c>
      <c r="C3019" s="371" t="s">
        <v>2791</v>
      </c>
      <c r="D3019" s="2714">
        <f t="shared" si="351"/>
        <v>0</v>
      </c>
      <c r="E3019" s="2719">
        <v>1</v>
      </c>
      <c r="F3019" s="293"/>
      <c r="G3019" s="1470" t="s">
        <v>2792</v>
      </c>
      <c r="H3019" s="309"/>
      <c r="I3019" s="422"/>
      <c r="J3019" s="309"/>
      <c r="K3019" s="320"/>
      <c r="L3019" s="1475">
        <f t="shared" si="353"/>
        <v>0</v>
      </c>
      <c r="M3019" s="438"/>
      <c r="N3019" s="439"/>
      <c r="O3019" s="437"/>
      <c r="P3019" s="438"/>
      <c r="Q3019" s="442"/>
      <c r="R3019" s="443"/>
      <c r="S3019" s="364"/>
      <c r="Z3019" s="609" t="s">
        <v>1235</v>
      </c>
      <c r="AA3019" s="609" t="s">
        <v>3706</v>
      </c>
    </row>
    <row r="3020" spans="1:27" ht="18">
      <c r="A3020" s="2712"/>
      <c r="B3020" s="371">
        <v>110</v>
      </c>
      <c r="C3020" s="371"/>
      <c r="D3020" s="2714">
        <f t="shared" si="351"/>
        <v>1</v>
      </c>
      <c r="E3020" s="2719">
        <v>1</v>
      </c>
      <c r="F3020" s="293"/>
      <c r="G3020" s="308" t="str">
        <f>"4."&amp;$W$2&amp;"  "</f>
        <v xml:space="preserve">4.2019年12月31日  </v>
      </c>
      <c r="H3020" s="1474">
        <f>SUM(H3012:H3013,-H3017)</f>
        <v>0</v>
      </c>
      <c r="I3020" s="1474">
        <f t="shared" ref="I3020:L3020" si="355">SUM(I3012:I3013,-I3017)</f>
        <v>0</v>
      </c>
      <c r="J3020" s="1474">
        <f t="shared" si="355"/>
        <v>0</v>
      </c>
      <c r="K3020" s="1474">
        <f t="shared" si="355"/>
        <v>0</v>
      </c>
      <c r="L3020" s="1475">
        <f t="shared" si="355"/>
        <v>0</v>
      </c>
      <c r="M3020" s="438"/>
      <c r="N3020" s="439"/>
      <c r="O3020" s="437"/>
      <c r="P3020" s="438"/>
      <c r="Q3020" s="442"/>
      <c r="R3020" s="443"/>
      <c r="S3020" s="364"/>
      <c r="Z3020" s="609" t="s">
        <v>1235</v>
      </c>
      <c r="AA3020" s="609" t="s">
        <v>3706</v>
      </c>
    </row>
    <row r="3021" spans="1:27" ht="18">
      <c r="A3021" s="2712"/>
      <c r="B3021" s="371">
        <v>111</v>
      </c>
      <c r="C3021" s="371"/>
      <c r="D3021" s="2714">
        <f t="shared" si="351"/>
        <v>1</v>
      </c>
      <c r="E3021" s="2719">
        <v>1</v>
      </c>
      <c r="F3021" s="293"/>
      <c r="G3021" s="308" t="s">
        <v>3604</v>
      </c>
      <c r="H3021" s="309"/>
      <c r="I3021" s="422"/>
      <c r="J3021" s="309"/>
      <c r="K3021" s="320"/>
      <c r="L3021" s="346"/>
      <c r="M3021" s="438"/>
      <c r="N3021" s="439"/>
      <c r="O3021" s="437"/>
      <c r="P3021" s="438"/>
      <c r="Q3021" s="442"/>
      <c r="R3021" s="443"/>
      <c r="S3021" s="364"/>
      <c r="Z3021" s="609" t="s">
        <v>1235</v>
      </c>
      <c r="AA3021" s="609" t="s">
        <v>3706</v>
      </c>
    </row>
    <row r="3022" spans="1:27" ht="18">
      <c r="A3022" s="2712"/>
      <c r="B3022" s="371">
        <v>112</v>
      </c>
      <c r="C3022" s="371"/>
      <c r="D3022" s="2714">
        <f t="shared" si="351"/>
        <v>1</v>
      </c>
      <c r="E3022" s="2719">
        <v>1</v>
      </c>
      <c r="F3022" s="293"/>
      <c r="G3022" s="308" t="str">
        <f>"1."&amp;$W$3&amp;"   "</f>
        <v xml:space="preserve">1.2018年12月31日   </v>
      </c>
      <c r="H3022" s="309"/>
      <c r="I3022" s="422"/>
      <c r="J3022" s="309"/>
      <c r="K3022" s="320"/>
      <c r="L3022" s="1475">
        <f t="shared" si="353"/>
        <v>0</v>
      </c>
      <c r="M3022" s="438"/>
      <c r="N3022" s="439"/>
      <c r="O3022" s="437"/>
      <c r="P3022" s="438"/>
      <c r="Q3022" s="442"/>
      <c r="R3022" s="443"/>
      <c r="S3022" s="364"/>
      <c r="Z3022" s="609" t="s">
        <v>1235</v>
      </c>
      <c r="AA3022" s="609" t="s">
        <v>3706</v>
      </c>
    </row>
    <row r="3023" spans="1:27" ht="18">
      <c r="A3023" s="2712"/>
      <c r="B3023" s="371">
        <v>113</v>
      </c>
      <c r="C3023" s="371"/>
      <c r="D3023" s="2714">
        <f t="shared" si="351"/>
        <v>1</v>
      </c>
      <c r="E3023" s="2719">
        <v>1</v>
      </c>
      <c r="F3023" s="293"/>
      <c r="G3023" s="308" t="s">
        <v>3552</v>
      </c>
      <c r="H3023" s="1474">
        <f>SUM(H3024:H3025)</f>
        <v>0</v>
      </c>
      <c r="I3023" s="1474">
        <f t="shared" ref="I3023:L3023" si="356">SUM(I3024:I3025)</f>
        <v>0</v>
      </c>
      <c r="J3023" s="1474">
        <f t="shared" si="356"/>
        <v>0</v>
      </c>
      <c r="K3023" s="1474">
        <f t="shared" si="356"/>
        <v>0</v>
      </c>
      <c r="L3023" s="1475">
        <f t="shared" si="356"/>
        <v>0</v>
      </c>
      <c r="M3023" s="438"/>
      <c r="N3023" s="439"/>
      <c r="O3023" s="437"/>
      <c r="P3023" s="438"/>
      <c r="Q3023" s="442"/>
      <c r="R3023" s="443"/>
      <c r="S3023" s="364"/>
      <c r="Z3023" s="609" t="s">
        <v>1235</v>
      </c>
      <c r="AA3023" s="609" t="s">
        <v>3706</v>
      </c>
    </row>
    <row r="3024" spans="1:27" ht="18">
      <c r="A3024" s="2712"/>
      <c r="B3024" s="371">
        <v>114</v>
      </c>
      <c r="C3024" s="371"/>
      <c r="D3024" s="2714">
        <f t="shared" si="351"/>
        <v>1</v>
      </c>
      <c r="E3024" s="2719">
        <v>1</v>
      </c>
      <c r="F3024" s="293"/>
      <c r="G3024" s="308" t="s">
        <v>5151</v>
      </c>
      <c r="H3024" s="309"/>
      <c r="I3024" s="422"/>
      <c r="J3024" s="309"/>
      <c r="K3024" s="320"/>
      <c r="L3024" s="1475">
        <f t="shared" si="353"/>
        <v>0</v>
      </c>
      <c r="M3024" s="438"/>
      <c r="N3024" s="439"/>
      <c r="O3024" s="437"/>
      <c r="P3024" s="438"/>
      <c r="Q3024" s="442"/>
      <c r="R3024" s="443"/>
      <c r="S3024" s="364"/>
      <c r="Z3024" s="609" t="s">
        <v>1235</v>
      </c>
      <c r="AA3024" s="609" t="s">
        <v>3706</v>
      </c>
    </row>
    <row r="3025" spans="1:29" ht="18">
      <c r="A3025" s="2712"/>
      <c r="B3025" s="371">
        <v>115</v>
      </c>
      <c r="C3025" s="371" t="s">
        <v>2791</v>
      </c>
      <c r="D3025" s="2714">
        <f t="shared" si="351"/>
        <v>0</v>
      </c>
      <c r="E3025" s="2719">
        <v>1</v>
      </c>
      <c r="F3025" s="293"/>
      <c r="G3025" s="1470" t="s">
        <v>2792</v>
      </c>
      <c r="H3025" s="309"/>
      <c r="I3025" s="422"/>
      <c r="J3025" s="309"/>
      <c r="K3025" s="320"/>
      <c r="L3025" s="1475">
        <f t="shared" si="353"/>
        <v>0</v>
      </c>
      <c r="M3025" s="438"/>
      <c r="N3025" s="439"/>
      <c r="O3025" s="437"/>
      <c r="P3025" s="438"/>
      <c r="Q3025" s="442"/>
      <c r="R3025" s="443"/>
      <c r="S3025" s="364"/>
      <c r="Z3025" s="609" t="s">
        <v>1235</v>
      </c>
      <c r="AA3025" s="609" t="s">
        <v>3706</v>
      </c>
    </row>
    <row r="3026" spans="1:29" ht="18">
      <c r="A3026" s="2712"/>
      <c r="B3026" s="371">
        <v>116</v>
      </c>
      <c r="C3026" s="371"/>
      <c r="D3026" s="2714">
        <f t="shared" si="351"/>
        <v>1</v>
      </c>
      <c r="E3026" s="2719">
        <v>1</v>
      </c>
      <c r="F3026" s="293"/>
      <c r="G3026" s="308" t="s">
        <v>3554</v>
      </c>
      <c r="H3026" s="1474">
        <f>SUM(H3027:H3028)</f>
        <v>0</v>
      </c>
      <c r="I3026" s="1474">
        <f t="shared" ref="I3026:L3026" si="357">SUM(I3027:I3028)</f>
        <v>0</v>
      </c>
      <c r="J3026" s="1474">
        <f t="shared" si="357"/>
        <v>0</v>
      </c>
      <c r="K3026" s="1474">
        <f t="shared" si="357"/>
        <v>0</v>
      </c>
      <c r="L3026" s="1475">
        <f t="shared" si="357"/>
        <v>0</v>
      </c>
      <c r="M3026" s="438"/>
      <c r="N3026" s="439"/>
      <c r="O3026" s="437"/>
      <c r="P3026" s="438"/>
      <c r="Q3026" s="442"/>
      <c r="R3026" s="443"/>
      <c r="S3026" s="364"/>
      <c r="Z3026" s="609" t="s">
        <v>1235</v>
      </c>
      <c r="AA3026" s="609" t="s">
        <v>3706</v>
      </c>
    </row>
    <row r="3027" spans="1:29" ht="18">
      <c r="A3027" s="2712"/>
      <c r="B3027" s="371">
        <v>117</v>
      </c>
      <c r="C3027" s="371"/>
      <c r="D3027" s="2714">
        <f t="shared" si="351"/>
        <v>1</v>
      </c>
      <c r="E3027" s="2719">
        <v>1</v>
      </c>
      <c r="F3027" s="293"/>
      <c r="G3027" s="308" t="s">
        <v>5152</v>
      </c>
      <c r="H3027" s="309"/>
      <c r="I3027" s="422"/>
      <c r="J3027" s="309"/>
      <c r="K3027" s="320"/>
      <c r="L3027" s="1475">
        <f t="shared" si="353"/>
        <v>0</v>
      </c>
      <c r="M3027" s="438"/>
      <c r="N3027" s="439"/>
      <c r="O3027" s="437"/>
      <c r="P3027" s="438"/>
      <c r="Q3027" s="442"/>
      <c r="R3027" s="443"/>
      <c r="S3027" s="364"/>
      <c r="Z3027" s="609" t="s">
        <v>1235</v>
      </c>
      <c r="AA3027" s="609" t="s">
        <v>3706</v>
      </c>
    </row>
    <row r="3028" spans="1:29" ht="18">
      <c r="A3028" s="2712"/>
      <c r="B3028" s="371">
        <v>118</v>
      </c>
      <c r="C3028" s="371" t="s">
        <v>2791</v>
      </c>
      <c r="D3028" s="2714">
        <f t="shared" si="351"/>
        <v>0</v>
      </c>
      <c r="E3028" s="2719">
        <v>1</v>
      </c>
      <c r="F3028" s="293"/>
      <c r="G3028" s="1470" t="s">
        <v>2792</v>
      </c>
      <c r="H3028" s="309"/>
      <c r="I3028" s="422"/>
      <c r="J3028" s="309"/>
      <c r="K3028" s="320"/>
      <c r="L3028" s="1475">
        <f t="shared" si="353"/>
        <v>0</v>
      </c>
      <c r="M3028" s="438"/>
      <c r="N3028" s="439"/>
      <c r="O3028" s="437"/>
      <c r="P3028" s="438"/>
      <c r="Q3028" s="442"/>
      <c r="R3028" s="443"/>
      <c r="S3028" s="364"/>
      <c r="Z3028" s="609" t="s">
        <v>1235</v>
      </c>
      <c r="AA3028" s="609" t="s">
        <v>3706</v>
      </c>
    </row>
    <row r="3029" spans="1:29" ht="18">
      <c r="A3029" s="2712"/>
      <c r="B3029" s="371">
        <v>119</v>
      </c>
      <c r="C3029" s="371"/>
      <c r="D3029" s="2714">
        <f t="shared" si="351"/>
        <v>1</v>
      </c>
      <c r="E3029" s="2719">
        <v>1</v>
      </c>
      <c r="F3029" s="293"/>
      <c r="G3029" s="308" t="str">
        <f>"4."&amp;$W$2&amp;"   "</f>
        <v xml:space="preserve">4.2019年12月31日   </v>
      </c>
      <c r="H3029" s="1474">
        <f>SUM(H3022:H3023,-H3026)</f>
        <v>0</v>
      </c>
      <c r="I3029" s="1474">
        <f t="shared" ref="I3029:L3029" si="358">SUM(I3022:I3023,-I3026)</f>
        <v>0</v>
      </c>
      <c r="J3029" s="1474">
        <f t="shared" si="358"/>
        <v>0</v>
      </c>
      <c r="K3029" s="1474">
        <f t="shared" si="358"/>
        <v>0</v>
      </c>
      <c r="L3029" s="1475">
        <f t="shared" si="358"/>
        <v>0</v>
      </c>
      <c r="M3029" s="438"/>
      <c r="N3029" s="439"/>
      <c r="O3029" s="437"/>
      <c r="P3029" s="438"/>
      <c r="Q3029" s="442"/>
      <c r="R3029" s="443"/>
      <c r="S3029" s="364"/>
      <c r="Z3029" s="609" t="s">
        <v>1235</v>
      </c>
      <c r="AA3029" s="609" t="s">
        <v>3706</v>
      </c>
    </row>
    <row r="3030" spans="1:29" ht="18">
      <c r="A3030" s="2712"/>
      <c r="B3030" s="371">
        <v>120</v>
      </c>
      <c r="C3030" s="371"/>
      <c r="D3030" s="2714">
        <f t="shared" si="351"/>
        <v>1</v>
      </c>
      <c r="E3030" s="2719">
        <v>1</v>
      </c>
      <c r="F3030" s="293"/>
      <c r="G3030" s="308" t="s">
        <v>3557</v>
      </c>
      <c r="H3030" s="309"/>
      <c r="I3030" s="422"/>
      <c r="J3030" s="309"/>
      <c r="K3030" s="320"/>
      <c r="L3030" s="346"/>
      <c r="M3030" s="438"/>
      <c r="N3030" s="439"/>
      <c r="O3030" s="437"/>
      <c r="P3030" s="438"/>
      <c r="Q3030" s="442"/>
      <c r="R3030" s="443"/>
      <c r="S3030" s="364"/>
      <c r="Z3030" s="609" t="s">
        <v>1235</v>
      </c>
      <c r="AA3030" s="609" t="s">
        <v>3706</v>
      </c>
    </row>
    <row r="3031" spans="1:29" ht="18">
      <c r="A3031" s="2712"/>
      <c r="B3031" s="371">
        <v>121</v>
      </c>
      <c r="C3031" s="371"/>
      <c r="D3031" s="2714">
        <f t="shared" si="351"/>
        <v>1</v>
      </c>
      <c r="E3031" s="2719">
        <v>1</v>
      </c>
      <c r="F3031" s="293"/>
      <c r="G3031" s="308" t="str">
        <f>"1."&amp;$W$3&amp;""</f>
        <v>1.2018年12月31日</v>
      </c>
      <c r="H3031" s="309"/>
      <c r="I3031" s="422"/>
      <c r="J3031" s="309"/>
      <c r="K3031" s="320"/>
      <c r="L3031" s="1475">
        <f t="shared" si="353"/>
        <v>0</v>
      </c>
      <c r="M3031" s="438"/>
      <c r="N3031" s="439"/>
      <c r="O3031" s="437"/>
      <c r="P3031" s="438"/>
      <c r="Q3031" s="442"/>
      <c r="R3031" s="443"/>
      <c r="S3031" s="364"/>
      <c r="Z3031" s="609" t="s">
        <v>1235</v>
      </c>
      <c r="AA3031" s="609" t="s">
        <v>3706</v>
      </c>
    </row>
    <row r="3032" spans="1:29" ht="18">
      <c r="A3032" s="2712"/>
      <c r="B3032" s="371">
        <v>122</v>
      </c>
      <c r="C3032" s="371"/>
      <c r="D3032" s="2714">
        <f t="shared" si="351"/>
        <v>1</v>
      </c>
      <c r="E3032" s="2719">
        <v>1</v>
      </c>
      <c r="F3032" s="293"/>
      <c r="G3032" s="308" t="s">
        <v>3558</v>
      </c>
      <c r="H3032" s="1474">
        <f>SUM(H3033:H3034)</f>
        <v>0</v>
      </c>
      <c r="I3032" s="1474">
        <f t="shared" ref="I3032:L3032" si="359">SUM(I3033:I3034)</f>
        <v>0</v>
      </c>
      <c r="J3032" s="1474">
        <f t="shared" si="359"/>
        <v>0</v>
      </c>
      <c r="K3032" s="1474">
        <f t="shared" si="359"/>
        <v>0</v>
      </c>
      <c r="L3032" s="1475">
        <f t="shared" si="359"/>
        <v>0</v>
      </c>
      <c r="M3032" s="438"/>
      <c r="N3032" s="439"/>
      <c r="O3032" s="437"/>
      <c r="P3032" s="438"/>
      <c r="Q3032" s="442"/>
      <c r="R3032" s="443"/>
      <c r="S3032" s="364"/>
      <c r="Z3032" s="609" t="s">
        <v>1235</v>
      </c>
      <c r="AA3032" s="609" t="s">
        <v>3706</v>
      </c>
    </row>
    <row r="3033" spans="1:29" ht="18">
      <c r="A3033" s="2712"/>
      <c r="B3033" s="371">
        <v>123</v>
      </c>
      <c r="C3033" s="371"/>
      <c r="D3033" s="2714">
        <f t="shared" si="351"/>
        <v>1</v>
      </c>
      <c r="E3033" s="2719">
        <v>1</v>
      </c>
      <c r="F3033" s="293"/>
      <c r="G3033" s="308" t="s">
        <v>5153</v>
      </c>
      <c r="H3033" s="309"/>
      <c r="I3033" s="422"/>
      <c r="J3033" s="309"/>
      <c r="K3033" s="320"/>
      <c r="L3033" s="1475">
        <f t="shared" si="353"/>
        <v>0</v>
      </c>
      <c r="M3033" s="1587" t="str">
        <f ca="1">HYPERLINK("#'"&amp;$G$1&amp;"'!"&amp;ADDRESS(ROW(Notes!L4891),COLUMN(Notes!L4891),4),"* 请勿删除此行！点击往勾稽单元格，F5+Enter返回")</f>
        <v>* 请勿删除此行！点击往勾稽单元格，F5+Enter返回</v>
      </c>
      <c r="N3033" s="439"/>
      <c r="O3033" s="437"/>
      <c r="P3033" s="438"/>
      <c r="Q3033" s="442"/>
      <c r="R3033" s="443"/>
      <c r="S3033" s="364"/>
      <c r="Z3033" s="609" t="s">
        <v>1235</v>
      </c>
      <c r="AA3033" s="609" t="s">
        <v>3706</v>
      </c>
      <c r="AC3033" s="369" t="s">
        <v>2794</v>
      </c>
    </row>
    <row r="3034" spans="1:29" ht="18">
      <c r="A3034" s="2712"/>
      <c r="B3034" s="371">
        <v>124</v>
      </c>
      <c r="C3034" s="371" t="s">
        <v>2791</v>
      </c>
      <c r="D3034" s="2714">
        <f t="shared" si="351"/>
        <v>0</v>
      </c>
      <c r="E3034" s="2719">
        <v>1</v>
      </c>
      <c r="F3034" s="293"/>
      <c r="G3034" s="1470" t="s">
        <v>2792</v>
      </c>
      <c r="H3034" s="309"/>
      <c r="I3034" s="422"/>
      <c r="J3034" s="309"/>
      <c r="K3034" s="320"/>
      <c r="L3034" s="1475">
        <f t="shared" si="353"/>
        <v>0</v>
      </c>
      <c r="M3034" s="438"/>
      <c r="N3034" s="439"/>
      <c r="O3034" s="437"/>
      <c r="P3034" s="438"/>
      <c r="Q3034" s="442"/>
      <c r="R3034" s="443"/>
      <c r="S3034" s="364"/>
      <c r="Z3034" s="609" t="s">
        <v>1235</v>
      </c>
      <c r="AA3034" s="609" t="s">
        <v>3706</v>
      </c>
    </row>
    <row r="3035" spans="1:29" ht="18">
      <c r="A3035" s="2712"/>
      <c r="B3035" s="371">
        <v>125</v>
      </c>
      <c r="C3035" s="371"/>
      <c r="D3035" s="2714">
        <f t="shared" si="351"/>
        <v>1</v>
      </c>
      <c r="E3035" s="2719">
        <v>1</v>
      </c>
      <c r="F3035" s="293"/>
      <c r="G3035" s="308" t="s">
        <v>3560</v>
      </c>
      <c r="H3035" s="1474">
        <f>SUM(H3036:H3037)</f>
        <v>0</v>
      </c>
      <c r="I3035" s="1474">
        <f t="shared" ref="I3035:L3035" si="360">SUM(I3036:I3037)</f>
        <v>0</v>
      </c>
      <c r="J3035" s="1474">
        <f t="shared" si="360"/>
        <v>0</v>
      </c>
      <c r="K3035" s="1474">
        <f t="shared" si="360"/>
        <v>0</v>
      </c>
      <c r="L3035" s="1475">
        <f t="shared" si="360"/>
        <v>0</v>
      </c>
      <c r="M3035" s="438"/>
      <c r="N3035" s="439"/>
      <c r="O3035" s="437"/>
      <c r="P3035" s="438"/>
      <c r="Q3035" s="442"/>
      <c r="R3035" s="443"/>
      <c r="S3035" s="364"/>
      <c r="Z3035" s="609" t="s">
        <v>1235</v>
      </c>
      <c r="AA3035" s="609" t="s">
        <v>3706</v>
      </c>
    </row>
    <row r="3036" spans="1:29" ht="18">
      <c r="A3036" s="2712"/>
      <c r="B3036" s="371">
        <v>126</v>
      </c>
      <c r="C3036" s="371"/>
      <c r="D3036" s="2714">
        <f t="shared" si="351"/>
        <v>1</v>
      </c>
      <c r="E3036" s="2719">
        <v>1</v>
      </c>
      <c r="F3036" s="293"/>
      <c r="G3036" s="308" t="s">
        <v>5154</v>
      </c>
      <c r="H3036" s="309"/>
      <c r="I3036" s="422"/>
      <c r="J3036" s="309"/>
      <c r="K3036" s="320"/>
      <c r="L3036" s="1475">
        <f>SUM(H3036:K3036)</f>
        <v>0</v>
      </c>
      <c r="M3036" s="438"/>
      <c r="N3036" s="439"/>
      <c r="O3036" s="437"/>
      <c r="P3036" s="438"/>
      <c r="Q3036" s="442"/>
      <c r="R3036" s="443"/>
      <c r="S3036" s="364"/>
      <c r="Z3036" s="609" t="s">
        <v>1235</v>
      </c>
      <c r="AA3036" s="609" t="s">
        <v>3706</v>
      </c>
    </row>
    <row r="3037" spans="1:29" ht="18">
      <c r="A3037" s="2712"/>
      <c r="B3037" s="371">
        <v>127</v>
      </c>
      <c r="C3037" s="371" t="s">
        <v>2791</v>
      </c>
      <c r="D3037" s="2714">
        <f t="shared" si="351"/>
        <v>0</v>
      </c>
      <c r="E3037" s="2719">
        <v>1</v>
      </c>
      <c r="F3037" s="293"/>
      <c r="G3037" s="1470" t="s">
        <v>2792</v>
      </c>
      <c r="H3037" s="309"/>
      <c r="I3037" s="422"/>
      <c r="J3037" s="309"/>
      <c r="K3037" s="320"/>
      <c r="L3037" s="1475">
        <f t="shared" si="353"/>
        <v>0</v>
      </c>
      <c r="M3037" s="438"/>
      <c r="N3037" s="439"/>
      <c r="O3037" s="437"/>
      <c r="P3037" s="438"/>
      <c r="Q3037" s="442"/>
      <c r="R3037" s="443"/>
      <c r="S3037" s="364"/>
      <c r="Z3037" s="609" t="s">
        <v>1235</v>
      </c>
      <c r="AA3037" s="609" t="s">
        <v>3706</v>
      </c>
    </row>
    <row r="3038" spans="1:29" ht="18">
      <c r="A3038" s="2712"/>
      <c r="B3038" s="371">
        <v>128</v>
      </c>
      <c r="C3038" s="371"/>
      <c r="D3038" s="2714">
        <f t="shared" si="351"/>
        <v>1</v>
      </c>
      <c r="E3038" s="2719">
        <v>1</v>
      </c>
      <c r="F3038" s="293"/>
      <c r="G3038" s="308" t="str">
        <f>"4."&amp;$W$2&amp;""</f>
        <v>4.2019年12月31日</v>
      </c>
      <c r="H3038" s="1474">
        <f>SUM(H3031:H3032,-H3035)</f>
        <v>0</v>
      </c>
      <c r="I3038" s="1474">
        <f t="shared" ref="I3038:L3038" si="361">SUM(I3031:I3032,-I3035)</f>
        <v>0</v>
      </c>
      <c r="J3038" s="1474">
        <f t="shared" si="361"/>
        <v>0</v>
      </c>
      <c r="K3038" s="1474">
        <f t="shared" si="361"/>
        <v>0</v>
      </c>
      <c r="L3038" s="1475">
        <f t="shared" si="361"/>
        <v>0</v>
      </c>
      <c r="M3038" s="438"/>
      <c r="N3038" s="439"/>
      <c r="O3038" s="437"/>
      <c r="P3038" s="438"/>
      <c r="Q3038" s="442"/>
      <c r="R3038" s="443"/>
      <c r="S3038" s="364"/>
      <c r="Z3038" s="609" t="s">
        <v>1235</v>
      </c>
      <c r="AA3038" s="609" t="s">
        <v>3706</v>
      </c>
    </row>
    <row r="3039" spans="1:29" ht="18">
      <c r="A3039" s="2712"/>
      <c r="B3039" s="371">
        <v>129</v>
      </c>
      <c r="C3039" s="371"/>
      <c r="D3039" s="2714">
        <f t="shared" si="351"/>
        <v>1</v>
      </c>
      <c r="E3039" s="2719">
        <v>1</v>
      </c>
      <c r="F3039" s="293"/>
      <c r="G3039" s="308" t="s">
        <v>3563</v>
      </c>
      <c r="H3039" s="309"/>
      <c r="I3039" s="422"/>
      <c r="J3039" s="309"/>
      <c r="K3039" s="320"/>
      <c r="L3039" s="346"/>
      <c r="M3039" s="438"/>
      <c r="N3039" s="439"/>
      <c r="O3039" s="437"/>
      <c r="P3039" s="438"/>
      <c r="Q3039" s="442"/>
      <c r="R3039" s="443"/>
      <c r="S3039" s="364"/>
      <c r="Z3039" s="609" t="s">
        <v>1235</v>
      </c>
      <c r="AA3039" s="609" t="s">
        <v>3706</v>
      </c>
    </row>
    <row r="3040" spans="1:29" ht="18">
      <c r="A3040" s="2712"/>
      <c r="B3040" s="371">
        <v>130</v>
      </c>
      <c r="C3040" s="371"/>
      <c r="D3040" s="2714">
        <f t="shared" si="351"/>
        <v>1</v>
      </c>
      <c r="E3040" s="2719">
        <v>1</v>
      </c>
      <c r="F3040" s="293"/>
      <c r="G3040" s="308" t="str">
        <f>"1."&amp;$W$2&amp;"账面价值"</f>
        <v>1.2019年12月31日账面价值</v>
      </c>
      <c r="H3040" s="1474">
        <f>SUM(H3020,-H3029,-H3038)</f>
        <v>0</v>
      </c>
      <c r="I3040" s="1474">
        <f t="shared" ref="I3040:L3040" si="362">SUM(I3020,-I3029,-I3038)</f>
        <v>0</v>
      </c>
      <c r="J3040" s="1474">
        <f t="shared" si="362"/>
        <v>0</v>
      </c>
      <c r="K3040" s="1474">
        <f t="shared" si="362"/>
        <v>0</v>
      </c>
      <c r="L3040" s="1475">
        <f t="shared" si="362"/>
        <v>0</v>
      </c>
      <c r="M3040" s="438"/>
      <c r="N3040" s="439"/>
      <c r="O3040" s="437"/>
      <c r="P3040" s="438"/>
      <c r="Q3040" s="442"/>
      <c r="R3040" s="443"/>
      <c r="S3040" s="364"/>
      <c r="Z3040" s="609" t="s">
        <v>1235</v>
      </c>
      <c r="AA3040" s="609" t="s">
        <v>3706</v>
      </c>
    </row>
    <row r="3041" spans="1:27" ht="18">
      <c r="A3041" s="2712"/>
      <c r="B3041" s="371">
        <v>131</v>
      </c>
      <c r="C3041" s="371"/>
      <c r="D3041" s="2714">
        <f t="shared" si="351"/>
        <v>1</v>
      </c>
      <c r="E3041" s="2719">
        <v>1</v>
      </c>
      <c r="F3041" s="293"/>
      <c r="G3041" s="308" t="str">
        <f>"2."&amp;$W$3&amp;"账面价值"</f>
        <v>2.2018年12月31日账面价值</v>
      </c>
      <c r="H3041" s="1474">
        <f>SUM(H3012,-H3022,-H3031)</f>
        <v>0</v>
      </c>
      <c r="I3041" s="1474">
        <f t="shared" ref="I3041:L3041" si="363">SUM(I3012,-I3022,-I3031)</f>
        <v>0</v>
      </c>
      <c r="J3041" s="1474">
        <f t="shared" si="363"/>
        <v>0</v>
      </c>
      <c r="K3041" s="1474">
        <f t="shared" si="363"/>
        <v>0</v>
      </c>
      <c r="L3041" s="1475">
        <f t="shared" si="363"/>
        <v>0</v>
      </c>
      <c r="M3041" s="438"/>
      <c r="N3041" s="439"/>
      <c r="O3041" s="437"/>
      <c r="P3041" s="438"/>
      <c r="Q3041" s="442"/>
      <c r="R3041" s="443"/>
      <c r="S3041" s="364"/>
      <c r="Z3041" s="609" t="s">
        <v>1235</v>
      </c>
      <c r="AA3041" s="609" t="s">
        <v>3706</v>
      </c>
    </row>
    <row r="3042" spans="1:27" ht="18.75" thickBot="1">
      <c r="A3042" s="2712"/>
      <c r="B3042" s="371"/>
      <c r="C3042" s="371"/>
      <c r="D3042" s="2714">
        <f t="shared" si="351"/>
        <v>0</v>
      </c>
      <c r="E3042" s="2719" t="s">
        <v>6553</v>
      </c>
      <c r="F3042" s="293"/>
      <c r="G3042" s="2379"/>
      <c r="H3042" s="607"/>
      <c r="I3042" s="607"/>
      <c r="J3042" s="607"/>
      <c r="K3042" s="607"/>
      <c r="L3042" s="608"/>
      <c r="M3042" s="440"/>
      <c r="N3042" s="439"/>
      <c r="O3042" s="437"/>
      <c r="P3042" s="440"/>
      <c r="Q3042" s="442"/>
      <c r="R3042" s="443"/>
      <c r="S3042" s="364"/>
      <c r="Z3042" s="609" t="s">
        <v>1235</v>
      </c>
      <c r="AA3042" s="609" t="s">
        <v>3706</v>
      </c>
    </row>
    <row r="3043" spans="1:27" ht="18">
      <c r="A3043" s="2712"/>
      <c r="B3043" s="371"/>
      <c r="C3043" s="371" t="s">
        <v>2755</v>
      </c>
      <c r="D3043" s="2714"/>
      <c r="F3043" s="293"/>
      <c r="G3043" s="376"/>
      <c r="H3043" s="315"/>
      <c r="I3043" s="396"/>
      <c r="J3043" s="315"/>
      <c r="K3043" s="423"/>
      <c r="L3043" s="315"/>
      <c r="M3043" s="425"/>
      <c r="N3043" s="426"/>
      <c r="O3043" s="427"/>
      <c r="P3043" s="425"/>
      <c r="Q3043" s="442"/>
      <c r="R3043" s="443"/>
      <c r="S3043" s="364"/>
      <c r="Z3043" s="609" t="s">
        <v>1235</v>
      </c>
      <c r="AA3043" s="609" t="s">
        <v>3706</v>
      </c>
    </row>
    <row r="3044" spans="1:27" ht="18">
      <c r="A3044" s="2712">
        <v>1701</v>
      </c>
      <c r="B3044" s="371">
        <v>27</v>
      </c>
      <c r="C3044" s="2714" t="str">
        <f>VLOOKUP($A3044,Sheet_Items,2,0)</f>
        <v>无形资产</v>
      </c>
      <c r="D3044" s="371"/>
      <c r="F3044" s="294"/>
      <c r="G3044" s="583" t="str">
        <f>B3044&amp;" "&amp;C3044</f>
        <v>27 无形资产</v>
      </c>
      <c r="H3044" s="290"/>
      <c r="I3044" s="290"/>
      <c r="J3044" s="540" t="s">
        <v>2740</v>
      </c>
      <c r="K3044" s="341">
        <f>VLOOKUP($A3044,Sheet_Trialbal,6,0)</f>
        <v>22921846.190000001</v>
      </c>
      <c r="L3044" s="541"/>
      <c r="M3044" s="540" t="s">
        <v>2741</v>
      </c>
      <c r="N3044" s="341">
        <f>VLOOKUP($A3044,Sheet_Trialbal,10,0)</f>
        <v>20891148.170000002</v>
      </c>
      <c r="O3044" s="540"/>
      <c r="S3044" s="364"/>
      <c r="Z3044" s="609" t="s">
        <v>1246</v>
      </c>
      <c r="AA3044" s="609" t="s">
        <v>3720</v>
      </c>
    </row>
    <row r="3045" spans="1:27" ht="18">
      <c r="A3045" s="2712" t="s">
        <v>1245</v>
      </c>
      <c r="B3045" s="371">
        <v>1</v>
      </c>
      <c r="C3045" s="371"/>
      <c r="D3045" s="2714" t="str">
        <f>VLOOKUP($A3045,Sheet_NoteList,2,0)</f>
        <v>无形资产情况</v>
      </c>
      <c r="E3045" s="2714" t="s">
        <v>2742</v>
      </c>
      <c r="F3045" s="294"/>
      <c r="G3045" s="307" t="str">
        <f>"("&amp;B3045&amp;")"&amp;D3045</f>
        <v>(1)无形资产情况</v>
      </c>
      <c r="H3045" s="1515" t="str">
        <f>$A3045</f>
        <v>1701a</v>
      </c>
      <c r="I3045" s="343" t="s">
        <v>2743</v>
      </c>
      <c r="J3045" s="301" t="s">
        <v>2744</v>
      </c>
      <c r="K3045" s="2208">
        <f>P3105</f>
        <v>22921846.190000001</v>
      </c>
      <c r="L3045" s="345"/>
      <c r="M3045" s="301" t="s">
        <v>2745</v>
      </c>
      <c r="N3045" s="2208">
        <f>H3105</f>
        <v>20891148.170000002</v>
      </c>
      <c r="O3045" s="315"/>
      <c r="P3045" s="301"/>
      <c r="Q3045" s="290" t="str">
        <f>IF($I3045="不适用","",IF(ROUND(SUM($H$3050:$P$3105),2)=0,"请输入",""))</f>
        <v/>
      </c>
      <c r="S3045" s="364"/>
      <c r="Z3045" s="609" t="s">
        <v>1246</v>
      </c>
      <c r="AA3045" s="609" t="s">
        <v>3720</v>
      </c>
    </row>
    <row r="3046" spans="1:27" ht="0.75" customHeight="1">
      <c r="A3046" s="2712"/>
      <c r="B3046" s="371"/>
      <c r="C3046" s="371"/>
      <c r="D3046" s="371"/>
      <c r="F3046" s="371"/>
      <c r="G3046" s="371" t="s">
        <v>3714</v>
      </c>
      <c r="H3046" s="371" t="s">
        <v>6254</v>
      </c>
      <c r="I3046" s="371" t="s">
        <v>6255</v>
      </c>
      <c r="J3046" s="371" t="s">
        <v>6256</v>
      </c>
      <c r="K3046" s="371" t="s">
        <v>6257</v>
      </c>
      <c r="L3046" s="371" t="s">
        <v>6258</v>
      </c>
      <c r="M3046" s="371" t="s">
        <v>6259</v>
      </c>
      <c r="N3046" s="371" t="s">
        <v>6260</v>
      </c>
      <c r="O3046" s="371" t="s">
        <v>6261</v>
      </c>
      <c r="P3046" s="371" t="s">
        <v>6262</v>
      </c>
      <c r="S3046" s="364"/>
      <c r="Z3046" s="609" t="s">
        <v>1246</v>
      </c>
      <c r="AA3046" s="609" t="s">
        <v>3720</v>
      </c>
    </row>
    <row r="3047" spans="1:27" ht="0.75" customHeight="1" thickBot="1">
      <c r="A3047" s="2712"/>
      <c r="B3047" s="371"/>
      <c r="C3047" s="371"/>
      <c r="D3047" s="371"/>
      <c r="F3047" s="371"/>
      <c r="G3047" s="371"/>
      <c r="H3047" s="371" t="s">
        <v>6263</v>
      </c>
      <c r="I3047" s="371" t="s">
        <v>6264</v>
      </c>
      <c r="J3047" s="371" t="s">
        <v>6265</v>
      </c>
      <c r="K3047" s="371" t="s">
        <v>6266</v>
      </c>
      <c r="L3047" s="371" t="s">
        <v>5158</v>
      </c>
      <c r="M3047" s="371" t="s">
        <v>6267</v>
      </c>
      <c r="N3047" s="371" t="s">
        <v>6268</v>
      </c>
      <c r="O3047" s="371" t="s">
        <v>6269</v>
      </c>
      <c r="P3047" s="371" t="s">
        <v>6270</v>
      </c>
      <c r="S3047" s="364"/>
      <c r="Z3047" s="609" t="s">
        <v>1246</v>
      </c>
      <c r="AA3047" s="609" t="s">
        <v>3720</v>
      </c>
    </row>
    <row r="3048" spans="1:27" ht="23.25" customHeight="1">
      <c r="A3048" s="2712"/>
      <c r="B3048" s="371"/>
      <c r="C3048" s="371"/>
      <c r="D3048" s="371"/>
      <c r="E3048" s="2714" t="s">
        <v>2749</v>
      </c>
      <c r="F3048" s="294"/>
      <c r="G3048" s="3527" t="s">
        <v>47</v>
      </c>
      <c r="H3048" s="3535" t="s">
        <v>3574</v>
      </c>
      <c r="I3048" s="3535" t="s">
        <v>3558</v>
      </c>
      <c r="J3048" s="3535"/>
      <c r="K3048" s="3535"/>
      <c r="L3048" s="3535"/>
      <c r="M3048" s="3535"/>
      <c r="N3048" s="3535" t="s">
        <v>3560</v>
      </c>
      <c r="O3048" s="3535"/>
      <c r="P3048" s="3599" t="s">
        <v>3575</v>
      </c>
      <c r="Q3048" s="355" t="s">
        <v>5290</v>
      </c>
      <c r="S3048" s="364"/>
      <c r="Z3048" s="609" t="s">
        <v>1246</v>
      </c>
      <c r="AA3048" s="609" t="s">
        <v>3720</v>
      </c>
    </row>
    <row r="3049" spans="1:27" ht="24">
      <c r="A3049" s="2712"/>
      <c r="B3049" s="371"/>
      <c r="C3049" s="371"/>
      <c r="D3049" s="371"/>
      <c r="E3049" s="2714" t="s">
        <v>2749</v>
      </c>
      <c r="F3049" s="294"/>
      <c r="G3049" s="3528"/>
      <c r="H3049" s="3624"/>
      <c r="I3049" s="2370" t="s">
        <v>3576</v>
      </c>
      <c r="J3049" s="2370" t="s">
        <v>3715</v>
      </c>
      <c r="K3049" s="2368" t="s">
        <v>3547</v>
      </c>
      <c r="L3049" s="2369" t="s">
        <v>5172</v>
      </c>
      <c r="M3049" s="2369" t="s">
        <v>5171</v>
      </c>
      <c r="N3049" s="2370" t="s">
        <v>3561</v>
      </c>
      <c r="O3049" s="2370" t="s">
        <v>3609</v>
      </c>
      <c r="P3049" s="3600"/>
      <c r="S3049" s="364"/>
      <c r="Z3049" s="609" t="s">
        <v>1246</v>
      </c>
      <c r="AA3049" s="609" t="s">
        <v>3720</v>
      </c>
    </row>
    <row r="3050" spans="1:27" ht="18">
      <c r="A3050" s="2712"/>
      <c r="B3050" s="371">
        <v>101</v>
      </c>
      <c r="C3050" s="371"/>
      <c r="D3050" s="2714">
        <f t="shared" ref="D3050:D3081" si="364">IF(OR(G3050="*",G3050="",G3050=0),0,COUNTIF($G$3050:$G$3105,G3050))</f>
        <v>1</v>
      </c>
      <c r="E3050" s="2719" t="s">
        <v>41</v>
      </c>
      <c r="F3050" s="294"/>
      <c r="G3050" s="308" t="s">
        <v>3577</v>
      </c>
      <c r="H3050" s="320"/>
      <c r="I3050" s="320"/>
      <c r="J3050" s="320"/>
      <c r="K3050" s="320"/>
      <c r="L3050" s="1463">
        <v>0</v>
      </c>
      <c r="M3050" s="320"/>
      <c r="N3050" s="309"/>
      <c r="O3050" s="309"/>
      <c r="P3050" s="346"/>
      <c r="S3050" s="364"/>
      <c r="Z3050" s="609" t="s">
        <v>1246</v>
      </c>
      <c r="AA3050" s="609" t="s">
        <v>3720</v>
      </c>
    </row>
    <row r="3051" spans="1:27" ht="18">
      <c r="A3051" s="2712"/>
      <c r="B3051" s="371">
        <v>101.001</v>
      </c>
      <c r="C3051" s="371"/>
      <c r="D3051" s="2714">
        <f t="shared" si="364"/>
        <v>1</v>
      </c>
      <c r="E3051" s="2719" t="s">
        <v>5157</v>
      </c>
      <c r="F3051" s="294"/>
      <c r="G3051" s="308" t="s">
        <v>3543</v>
      </c>
      <c r="H3051" s="309">
        <v>24228354.390000001</v>
      </c>
      <c r="I3051" s="309">
        <v>5170794.5</v>
      </c>
      <c r="J3051" s="309"/>
      <c r="K3051" s="309"/>
      <c r="L3051" s="1463">
        <v>0</v>
      </c>
      <c r="M3051" s="309"/>
      <c r="N3051" s="320">
        <v>2941417.45</v>
      </c>
      <c r="O3051" s="309"/>
      <c r="P3051" s="1475">
        <f t="shared" ref="P3051:P3062" si="365">SUM(H3051:M3051,-N3051,-O3051)</f>
        <v>26457731.440000001</v>
      </c>
      <c r="S3051" s="364"/>
      <c r="Z3051" s="609" t="s">
        <v>1246</v>
      </c>
      <c r="AA3051" s="609" t="s">
        <v>3720</v>
      </c>
    </row>
    <row r="3052" spans="1:27" ht="18">
      <c r="A3052" s="2712"/>
      <c r="B3052" s="371">
        <v>101.002</v>
      </c>
      <c r="C3052" s="371"/>
      <c r="D3052" s="2714">
        <f t="shared" si="364"/>
        <v>1</v>
      </c>
      <c r="E3052" s="2719" t="s">
        <v>5157</v>
      </c>
      <c r="F3052" s="294"/>
      <c r="G3052" s="308" t="s">
        <v>3716</v>
      </c>
      <c r="H3052" s="309">
        <v>52027.35</v>
      </c>
      <c r="I3052" s="309"/>
      <c r="J3052" s="309"/>
      <c r="K3052" s="309"/>
      <c r="L3052" s="1463">
        <v>0</v>
      </c>
      <c r="M3052" s="309"/>
      <c r="N3052" s="320"/>
      <c r="O3052" s="309"/>
      <c r="P3052" s="1475">
        <f t="shared" si="365"/>
        <v>52027.35</v>
      </c>
      <c r="S3052" s="364"/>
      <c r="Z3052" s="609" t="s">
        <v>1246</v>
      </c>
      <c r="AA3052" s="609" t="s">
        <v>3720</v>
      </c>
    </row>
    <row r="3053" spans="1:27" ht="18">
      <c r="A3053" s="2712"/>
      <c r="B3053" s="371">
        <v>101.003</v>
      </c>
      <c r="C3053" s="371"/>
      <c r="D3053" s="2714">
        <f t="shared" si="364"/>
        <v>1</v>
      </c>
      <c r="E3053" s="2719" t="s">
        <v>5157</v>
      </c>
      <c r="F3053" s="294"/>
      <c r="G3053" s="308" t="s">
        <v>3717</v>
      </c>
      <c r="H3053" s="309">
        <v>5000000</v>
      </c>
      <c r="I3053" s="309"/>
      <c r="J3053" s="309"/>
      <c r="K3053" s="309"/>
      <c r="L3053" s="1463">
        <v>0</v>
      </c>
      <c r="M3053" s="309"/>
      <c r="N3053" s="320"/>
      <c r="O3053" s="309"/>
      <c r="P3053" s="1475">
        <f t="shared" si="365"/>
        <v>5000000</v>
      </c>
      <c r="S3053" s="364"/>
      <c r="Z3053" s="609" t="s">
        <v>1246</v>
      </c>
      <c r="AA3053" s="609" t="s">
        <v>3720</v>
      </c>
    </row>
    <row r="3054" spans="1:27" ht="18">
      <c r="A3054" s="2712"/>
      <c r="B3054" s="371">
        <v>101.004</v>
      </c>
      <c r="C3054" s="371" t="s">
        <v>2791</v>
      </c>
      <c r="D3054" s="2714">
        <f t="shared" si="364"/>
        <v>1</v>
      </c>
      <c r="E3054" s="2719" t="s">
        <v>5157</v>
      </c>
      <c r="F3054" s="294"/>
      <c r="G3054" s="1634" t="s">
        <v>5614</v>
      </c>
      <c r="H3054" s="309">
        <v>180937.97</v>
      </c>
      <c r="I3054" s="309"/>
      <c r="J3054" s="309"/>
      <c r="K3054" s="309"/>
      <c r="L3054" s="1463">
        <v>0</v>
      </c>
      <c r="M3054" s="309"/>
      <c r="N3054" s="320"/>
      <c r="O3054" s="309"/>
      <c r="P3054" s="1475">
        <f t="shared" si="365"/>
        <v>180937.97</v>
      </c>
      <c r="S3054" s="364"/>
      <c r="Z3054" s="609" t="s">
        <v>1246</v>
      </c>
      <c r="AA3054" s="609" t="s">
        <v>3720</v>
      </c>
    </row>
    <row r="3055" spans="1:27" ht="18">
      <c r="A3055" s="2712"/>
      <c r="B3055" s="371">
        <v>101.005</v>
      </c>
      <c r="C3055" s="371" t="s">
        <v>2791</v>
      </c>
      <c r="D3055" s="2714">
        <f t="shared" si="364"/>
        <v>1</v>
      </c>
      <c r="E3055" s="2719" t="s">
        <v>5157</v>
      </c>
      <c r="F3055" s="294"/>
      <c r="G3055" s="1483" t="s">
        <v>5173</v>
      </c>
      <c r="H3055" s="309"/>
      <c r="I3055" s="309"/>
      <c r="J3055" s="309"/>
      <c r="K3055" s="309"/>
      <c r="L3055" s="1463">
        <v>0</v>
      </c>
      <c r="M3055" s="309"/>
      <c r="N3055" s="320"/>
      <c r="O3055" s="309"/>
      <c r="P3055" s="1475">
        <f t="shared" si="365"/>
        <v>0</v>
      </c>
      <c r="S3055" s="364"/>
      <c r="Z3055" s="609" t="s">
        <v>1246</v>
      </c>
      <c r="AA3055" s="609" t="s">
        <v>3720</v>
      </c>
    </row>
    <row r="3056" spans="1:27" ht="18">
      <c r="A3056" s="2712"/>
      <c r="B3056" s="371">
        <v>101.006</v>
      </c>
      <c r="C3056" s="371" t="s">
        <v>2791</v>
      </c>
      <c r="D3056" s="2714">
        <f t="shared" si="364"/>
        <v>1</v>
      </c>
      <c r="E3056" s="2719" t="s">
        <v>5157</v>
      </c>
      <c r="F3056" s="294"/>
      <c r="G3056" s="1483" t="s">
        <v>5174</v>
      </c>
      <c r="H3056" s="309"/>
      <c r="I3056" s="309"/>
      <c r="J3056" s="309"/>
      <c r="K3056" s="309"/>
      <c r="L3056" s="1463">
        <v>0</v>
      </c>
      <c r="M3056" s="309"/>
      <c r="N3056" s="320"/>
      <c r="O3056" s="309"/>
      <c r="P3056" s="1475">
        <f t="shared" si="365"/>
        <v>0</v>
      </c>
      <c r="S3056" s="364"/>
      <c r="Z3056" s="609" t="s">
        <v>1246</v>
      </c>
      <c r="AA3056" s="609" t="s">
        <v>3720</v>
      </c>
    </row>
    <row r="3057" spans="1:27" ht="18">
      <c r="A3057" s="2712"/>
      <c r="B3057" s="371">
        <v>101.00700000000001</v>
      </c>
      <c r="C3057" s="371" t="s">
        <v>2791</v>
      </c>
      <c r="D3057" s="2714">
        <f t="shared" si="364"/>
        <v>1</v>
      </c>
      <c r="E3057" s="2719" t="s">
        <v>5157</v>
      </c>
      <c r="F3057" s="294"/>
      <c r="G3057" s="1483" t="s">
        <v>5175</v>
      </c>
      <c r="H3057" s="309"/>
      <c r="I3057" s="309"/>
      <c r="J3057" s="309"/>
      <c r="K3057" s="309"/>
      <c r="L3057" s="1463">
        <v>0</v>
      </c>
      <c r="M3057" s="309"/>
      <c r="N3057" s="320"/>
      <c r="O3057" s="309"/>
      <c r="P3057" s="1475">
        <f t="shared" si="365"/>
        <v>0</v>
      </c>
      <c r="S3057" s="364"/>
      <c r="Z3057" s="609" t="s">
        <v>1246</v>
      </c>
      <c r="AA3057" s="609" t="s">
        <v>3720</v>
      </c>
    </row>
    <row r="3058" spans="1:27" ht="18">
      <c r="A3058" s="2712"/>
      <c r="B3058" s="371">
        <v>101.008</v>
      </c>
      <c r="C3058" s="371" t="s">
        <v>2791</v>
      </c>
      <c r="D3058" s="2714">
        <f t="shared" si="364"/>
        <v>1</v>
      </c>
      <c r="E3058" s="2719" t="s">
        <v>5157</v>
      </c>
      <c r="F3058" s="294"/>
      <c r="G3058" s="1483" t="s">
        <v>5176</v>
      </c>
      <c r="H3058" s="309"/>
      <c r="I3058" s="309"/>
      <c r="J3058" s="309"/>
      <c r="K3058" s="309"/>
      <c r="L3058" s="1463">
        <v>0</v>
      </c>
      <c r="M3058" s="309"/>
      <c r="N3058" s="320"/>
      <c r="O3058" s="309"/>
      <c r="P3058" s="1475">
        <f t="shared" si="365"/>
        <v>0</v>
      </c>
      <c r="S3058" s="364"/>
      <c r="Z3058" s="609" t="s">
        <v>1246</v>
      </c>
      <c r="AA3058" s="609" t="s">
        <v>3720</v>
      </c>
    </row>
    <row r="3059" spans="1:27" ht="18">
      <c r="A3059" s="2712"/>
      <c r="B3059" s="371">
        <v>101.009</v>
      </c>
      <c r="C3059" s="371" t="s">
        <v>2791</v>
      </c>
      <c r="D3059" s="2714">
        <f t="shared" si="364"/>
        <v>1</v>
      </c>
      <c r="E3059" s="2719" t="s">
        <v>5157</v>
      </c>
      <c r="F3059" s="294"/>
      <c r="G3059" s="1483" t="s">
        <v>5177</v>
      </c>
      <c r="H3059" s="309"/>
      <c r="I3059" s="309"/>
      <c r="J3059" s="309"/>
      <c r="K3059" s="309"/>
      <c r="L3059" s="1463">
        <v>0</v>
      </c>
      <c r="M3059" s="309"/>
      <c r="N3059" s="320"/>
      <c r="O3059" s="309"/>
      <c r="P3059" s="1475">
        <f t="shared" si="365"/>
        <v>0</v>
      </c>
      <c r="S3059" s="364"/>
      <c r="Z3059" s="609" t="s">
        <v>1246</v>
      </c>
      <c r="AA3059" s="609" t="s">
        <v>3720</v>
      </c>
    </row>
    <row r="3060" spans="1:27" ht="18">
      <c r="A3060" s="2712"/>
      <c r="B3060" s="371">
        <v>101.01</v>
      </c>
      <c r="C3060" s="371" t="s">
        <v>2791</v>
      </c>
      <c r="D3060" s="2714">
        <f t="shared" si="364"/>
        <v>1</v>
      </c>
      <c r="E3060" s="2719" t="s">
        <v>5157</v>
      </c>
      <c r="F3060" s="294"/>
      <c r="G3060" s="1483" t="s">
        <v>5178</v>
      </c>
      <c r="H3060" s="309"/>
      <c r="I3060" s="309"/>
      <c r="J3060" s="309"/>
      <c r="K3060" s="309"/>
      <c r="L3060" s="1463">
        <v>0</v>
      </c>
      <c r="M3060" s="309"/>
      <c r="N3060" s="320"/>
      <c r="O3060" s="309"/>
      <c r="P3060" s="1475">
        <f t="shared" si="365"/>
        <v>0</v>
      </c>
      <c r="S3060" s="364"/>
      <c r="Z3060" s="609" t="s">
        <v>1246</v>
      </c>
      <c r="AA3060" s="609" t="s">
        <v>3720</v>
      </c>
    </row>
    <row r="3061" spans="1:27" ht="18">
      <c r="A3061" s="2712"/>
      <c r="B3061" s="371">
        <v>101.011</v>
      </c>
      <c r="C3061" s="371" t="s">
        <v>2791</v>
      </c>
      <c r="D3061" s="2714">
        <f t="shared" si="364"/>
        <v>1</v>
      </c>
      <c r="E3061" s="2719" t="s">
        <v>5157</v>
      </c>
      <c r="F3061" s="294"/>
      <c r="G3061" s="1483" t="s">
        <v>5179</v>
      </c>
      <c r="H3061" s="309"/>
      <c r="I3061" s="309"/>
      <c r="J3061" s="309"/>
      <c r="K3061" s="309"/>
      <c r="L3061" s="1463">
        <v>0</v>
      </c>
      <c r="M3061" s="309"/>
      <c r="N3061" s="320"/>
      <c r="O3061" s="309"/>
      <c r="P3061" s="1475">
        <f t="shared" si="365"/>
        <v>0</v>
      </c>
      <c r="S3061" s="364"/>
      <c r="Z3061" s="609" t="s">
        <v>1246</v>
      </c>
      <c r="AA3061" s="609" t="s">
        <v>3720</v>
      </c>
    </row>
    <row r="3062" spans="1:27" ht="18">
      <c r="A3062" s="2712"/>
      <c r="B3062" s="371">
        <v>101.012</v>
      </c>
      <c r="C3062" s="371" t="s">
        <v>2791</v>
      </c>
      <c r="D3062" s="2714">
        <f t="shared" si="364"/>
        <v>1</v>
      </c>
      <c r="E3062" s="2719" t="s">
        <v>5157</v>
      </c>
      <c r="F3062" s="294"/>
      <c r="G3062" s="1483" t="s">
        <v>5180</v>
      </c>
      <c r="H3062" s="309"/>
      <c r="I3062" s="309"/>
      <c r="J3062" s="309"/>
      <c r="K3062" s="309"/>
      <c r="L3062" s="1463">
        <v>0</v>
      </c>
      <c r="M3062" s="309"/>
      <c r="N3062" s="320"/>
      <c r="O3062" s="309"/>
      <c r="P3062" s="1475">
        <f t="shared" si="365"/>
        <v>0</v>
      </c>
      <c r="S3062" s="364"/>
      <c r="Z3062" s="609" t="s">
        <v>1246</v>
      </c>
      <c r="AA3062" s="609" t="s">
        <v>3720</v>
      </c>
    </row>
    <row r="3063" spans="1:27" ht="18">
      <c r="A3063" s="2712"/>
      <c r="B3063" s="371">
        <v>101.999</v>
      </c>
      <c r="C3063" s="371" t="s">
        <v>6560</v>
      </c>
      <c r="D3063" s="2714">
        <f t="shared" si="364"/>
        <v>1</v>
      </c>
      <c r="E3063" s="2719">
        <v>1</v>
      </c>
      <c r="F3063" s="294"/>
      <c r="G3063" s="308" t="s">
        <v>5181</v>
      </c>
      <c r="H3063" s="1474">
        <f>SUMIF($E$3049:$E$3104,$G3063,H$3049:H$3104)</f>
        <v>29461319.710000001</v>
      </c>
      <c r="I3063" s="1474">
        <f>SUMIF($E$3049:$E$3104,$G3063,I$3049:I$3104)</f>
        <v>5170794.5</v>
      </c>
      <c r="J3063" s="1474">
        <f>SUMIF($E$3049:$E$3104,$G3063,J$3049:J$3104)</f>
        <v>0</v>
      </c>
      <c r="K3063" s="1474">
        <f>SUMIF($E$3049:$E$3104,$G3063,K$3049:K$3104)</f>
        <v>0</v>
      </c>
      <c r="L3063" s="1481">
        <v>0</v>
      </c>
      <c r="M3063" s="1474">
        <f>SUMIF($E$3049:$E$3104,$G3063,M$3049:M$3104)</f>
        <v>0</v>
      </c>
      <c r="N3063" s="1474">
        <f>SUMIF($E$3049:$E$3104,$G3063,N$3049:N$3104)</f>
        <v>2941417.45</v>
      </c>
      <c r="O3063" s="1474">
        <f>SUMIF($E$3049:$E$3104,$G3063,O$3049:O$3104)</f>
        <v>0</v>
      </c>
      <c r="P3063" s="1475">
        <f>SUMIF($E$3049:$E$3104,$G3063,P$3049:P$3104)</f>
        <v>31690696.760000002</v>
      </c>
      <c r="S3063" s="364"/>
      <c r="Z3063" s="609" t="s">
        <v>1246</v>
      </c>
      <c r="AA3063" s="609" t="s">
        <v>3720</v>
      </c>
    </row>
    <row r="3064" spans="1:27" ht="18">
      <c r="A3064" s="2712"/>
      <c r="B3064" s="371">
        <v>102</v>
      </c>
      <c r="C3064" s="371"/>
      <c r="D3064" s="2714">
        <f t="shared" si="364"/>
        <v>1</v>
      </c>
      <c r="E3064" s="2719" t="s">
        <v>41</v>
      </c>
      <c r="F3064" s="294"/>
      <c r="G3064" s="308" t="s">
        <v>3718</v>
      </c>
      <c r="H3064" s="309"/>
      <c r="I3064" s="1463">
        <v>0</v>
      </c>
      <c r="J3064" s="1463">
        <v>0</v>
      </c>
      <c r="K3064" s="1463">
        <v>0</v>
      </c>
      <c r="L3064" s="309"/>
      <c r="M3064" s="309"/>
      <c r="N3064" s="320"/>
      <c r="O3064" s="309"/>
      <c r="P3064" s="1475"/>
      <c r="S3064" s="364"/>
      <c r="Z3064" s="609" t="s">
        <v>1246</v>
      </c>
      <c r="AA3064" s="609" t="s">
        <v>3720</v>
      </c>
    </row>
    <row r="3065" spans="1:27" ht="18">
      <c r="A3065" s="2712"/>
      <c r="B3065" s="371">
        <v>102.001</v>
      </c>
      <c r="C3065" s="371"/>
      <c r="D3065" s="2714">
        <f t="shared" si="364"/>
        <v>1</v>
      </c>
      <c r="E3065" s="2719" t="s">
        <v>568</v>
      </c>
      <c r="F3065" s="294"/>
      <c r="G3065" s="1483" t="str">
        <f>G$3051&amp;" "</f>
        <v xml:space="preserve">土地使用权 </v>
      </c>
      <c r="H3065" s="309">
        <v>3491003.52</v>
      </c>
      <c r="I3065" s="1463">
        <v>0</v>
      </c>
      <c r="J3065" s="1463">
        <v>0</v>
      </c>
      <c r="K3065" s="1463">
        <v>0</v>
      </c>
      <c r="L3065" s="309">
        <v>471028.05</v>
      </c>
      <c r="M3065" s="309"/>
      <c r="N3065" s="320">
        <v>308377.58</v>
      </c>
      <c r="O3065" s="309"/>
      <c r="P3065" s="1475">
        <f>SUM(H3065:M3065,-N3065,-O3065)</f>
        <v>3653653.99</v>
      </c>
      <c r="S3065" s="364"/>
      <c r="Z3065" s="609" t="s">
        <v>1246</v>
      </c>
      <c r="AA3065" s="609" t="s">
        <v>3720</v>
      </c>
    </row>
    <row r="3066" spans="1:27" ht="18">
      <c r="A3066" s="2712"/>
      <c r="B3066" s="371">
        <v>102.002</v>
      </c>
      <c r="C3066" s="371"/>
      <c r="D3066" s="2714">
        <f t="shared" si="364"/>
        <v>1</v>
      </c>
      <c r="E3066" s="2719" t="s">
        <v>568</v>
      </c>
      <c r="F3066" s="294"/>
      <c r="G3066" s="1483" t="str">
        <f>G$3052&amp;" "</f>
        <v xml:space="preserve">专利权 </v>
      </c>
      <c r="H3066" s="309">
        <v>52027.35</v>
      </c>
      <c r="I3066" s="1463">
        <v>0</v>
      </c>
      <c r="J3066" s="1463">
        <v>0</v>
      </c>
      <c r="K3066" s="1463">
        <v>0</v>
      </c>
      <c r="L3066" s="309"/>
      <c r="M3066" s="309"/>
      <c r="N3066" s="320"/>
      <c r="O3066" s="309"/>
      <c r="P3066" s="1475">
        <f t="shared" ref="P3066:P3090" si="366">SUM(H3066:M3066,-N3066,-O3066)</f>
        <v>52027.35</v>
      </c>
      <c r="S3066" s="364"/>
      <c r="Z3066" s="609" t="s">
        <v>1246</v>
      </c>
      <c r="AA3066" s="609" t="s">
        <v>3720</v>
      </c>
    </row>
    <row r="3067" spans="1:27" ht="18">
      <c r="A3067" s="2712"/>
      <c r="B3067" s="371">
        <v>102.003</v>
      </c>
      <c r="C3067" s="371"/>
      <c r="D3067" s="2714">
        <f t="shared" si="364"/>
        <v>1</v>
      </c>
      <c r="E3067" s="2719" t="s">
        <v>568</v>
      </c>
      <c r="F3067" s="294"/>
      <c r="G3067" s="1483" t="str">
        <f>G$3053&amp;" "</f>
        <v xml:space="preserve">非专利技术 </v>
      </c>
      <c r="H3067" s="309">
        <v>4775558.74</v>
      </c>
      <c r="I3067" s="1463">
        <v>0</v>
      </c>
      <c r="J3067" s="1463">
        <v>0</v>
      </c>
      <c r="K3067" s="1463">
        <v>0</v>
      </c>
      <c r="L3067" s="309"/>
      <c r="M3067" s="309"/>
      <c r="N3067" s="320"/>
      <c r="O3067" s="309"/>
      <c r="P3067" s="1475">
        <f t="shared" si="366"/>
        <v>4775558.74</v>
      </c>
      <c r="S3067" s="364"/>
      <c r="Z3067" s="609" t="s">
        <v>1246</v>
      </c>
      <c r="AA3067" s="609" t="s">
        <v>3720</v>
      </c>
    </row>
    <row r="3068" spans="1:27" ht="18">
      <c r="A3068" s="2712"/>
      <c r="B3068" s="371">
        <v>102.004</v>
      </c>
      <c r="C3068" s="371" t="s">
        <v>2791</v>
      </c>
      <c r="D3068" s="2714">
        <f t="shared" si="364"/>
        <v>1</v>
      </c>
      <c r="E3068" s="2719" t="s">
        <v>568</v>
      </c>
      <c r="F3068" s="294"/>
      <c r="G3068" s="1483" t="str">
        <f>G$3054&amp;" "</f>
        <v xml:space="preserve">计算机软件 </v>
      </c>
      <c r="H3068" s="309">
        <v>27140.67</v>
      </c>
      <c r="I3068" s="1463">
        <v>0</v>
      </c>
      <c r="J3068" s="1463">
        <v>0</v>
      </c>
      <c r="K3068" s="1463">
        <v>0</v>
      </c>
      <c r="L3068" s="309">
        <v>36028.559999999998</v>
      </c>
      <c r="M3068" s="309"/>
      <c r="N3068" s="320"/>
      <c r="O3068" s="309"/>
      <c r="P3068" s="1475">
        <f t="shared" si="366"/>
        <v>63169.23</v>
      </c>
      <c r="S3068" s="364"/>
      <c r="Z3068" s="609" t="s">
        <v>1246</v>
      </c>
      <c r="AA3068" s="609" t="s">
        <v>3720</v>
      </c>
    </row>
    <row r="3069" spans="1:27" ht="18">
      <c r="A3069" s="2712"/>
      <c r="B3069" s="371">
        <v>102.005</v>
      </c>
      <c r="C3069" s="371" t="s">
        <v>2791</v>
      </c>
      <c r="D3069" s="2714">
        <f t="shared" si="364"/>
        <v>1</v>
      </c>
      <c r="E3069" s="2719" t="s">
        <v>568</v>
      </c>
      <c r="F3069" s="294"/>
      <c r="G3069" s="1483" t="str">
        <f>G$3055&amp;" "</f>
        <v xml:space="preserve">*5（在原值处修改清除） </v>
      </c>
      <c r="H3069" s="309"/>
      <c r="I3069" s="1463">
        <v>0</v>
      </c>
      <c r="J3069" s="1463">
        <v>0</v>
      </c>
      <c r="K3069" s="1463">
        <v>0</v>
      </c>
      <c r="L3069" s="309"/>
      <c r="M3069" s="309"/>
      <c r="N3069" s="320"/>
      <c r="O3069" s="309"/>
      <c r="P3069" s="1475">
        <f t="shared" si="366"/>
        <v>0</v>
      </c>
      <c r="S3069" s="364"/>
      <c r="Z3069" s="609" t="s">
        <v>1246</v>
      </c>
      <c r="AA3069" s="609" t="s">
        <v>3720</v>
      </c>
    </row>
    <row r="3070" spans="1:27" ht="18">
      <c r="A3070" s="2712"/>
      <c r="B3070" s="371">
        <v>102.006</v>
      </c>
      <c r="C3070" s="371" t="s">
        <v>2791</v>
      </c>
      <c r="D3070" s="2714">
        <f t="shared" si="364"/>
        <v>1</v>
      </c>
      <c r="E3070" s="2719" t="s">
        <v>568</v>
      </c>
      <c r="F3070" s="294"/>
      <c r="G3070" s="1483" t="str">
        <f>G$3056&amp;" "</f>
        <v xml:space="preserve">*6（在原值处修改清除） </v>
      </c>
      <c r="H3070" s="309"/>
      <c r="I3070" s="1463">
        <v>0</v>
      </c>
      <c r="J3070" s="1463">
        <v>0</v>
      </c>
      <c r="K3070" s="1463">
        <v>0</v>
      </c>
      <c r="L3070" s="309"/>
      <c r="M3070" s="309"/>
      <c r="N3070" s="320"/>
      <c r="O3070" s="309"/>
      <c r="P3070" s="1475">
        <f t="shared" si="366"/>
        <v>0</v>
      </c>
      <c r="S3070" s="364"/>
      <c r="Z3070" s="609" t="s">
        <v>1246</v>
      </c>
      <c r="AA3070" s="609" t="s">
        <v>3720</v>
      </c>
    </row>
    <row r="3071" spans="1:27" ht="18">
      <c r="A3071" s="2712"/>
      <c r="B3071" s="371">
        <v>102.00700000000001</v>
      </c>
      <c r="C3071" s="371" t="s">
        <v>2791</v>
      </c>
      <c r="D3071" s="2714">
        <f t="shared" si="364"/>
        <v>1</v>
      </c>
      <c r="E3071" s="2719" t="s">
        <v>568</v>
      </c>
      <c r="F3071" s="294"/>
      <c r="G3071" s="1483" t="str">
        <f>G$3057&amp;" "</f>
        <v xml:space="preserve">*7（在原值处修改清除） </v>
      </c>
      <c r="H3071" s="309"/>
      <c r="I3071" s="1463">
        <v>0</v>
      </c>
      <c r="J3071" s="1463">
        <v>0</v>
      </c>
      <c r="K3071" s="1463">
        <v>0</v>
      </c>
      <c r="L3071" s="309"/>
      <c r="M3071" s="309"/>
      <c r="N3071" s="320"/>
      <c r="O3071" s="309"/>
      <c r="P3071" s="1475">
        <f t="shared" si="366"/>
        <v>0</v>
      </c>
      <c r="S3071" s="364"/>
      <c r="Z3071" s="609" t="s">
        <v>1246</v>
      </c>
      <c r="AA3071" s="609" t="s">
        <v>3720</v>
      </c>
    </row>
    <row r="3072" spans="1:27" ht="18">
      <c r="A3072" s="2712"/>
      <c r="B3072" s="371">
        <v>102.008</v>
      </c>
      <c r="C3072" s="371" t="s">
        <v>2791</v>
      </c>
      <c r="D3072" s="2714">
        <f t="shared" si="364"/>
        <v>1</v>
      </c>
      <c r="E3072" s="2719" t="s">
        <v>568</v>
      </c>
      <c r="F3072" s="294"/>
      <c r="G3072" s="1483" t="str">
        <f>G$3058&amp;" "</f>
        <v xml:space="preserve">*8（在原值处修改清除） </v>
      </c>
      <c r="H3072" s="309"/>
      <c r="I3072" s="1463">
        <v>0</v>
      </c>
      <c r="J3072" s="1463">
        <v>0</v>
      </c>
      <c r="K3072" s="1463">
        <v>0</v>
      </c>
      <c r="L3072" s="309"/>
      <c r="M3072" s="309"/>
      <c r="N3072" s="320"/>
      <c r="O3072" s="309"/>
      <c r="P3072" s="1475">
        <f t="shared" si="366"/>
        <v>0</v>
      </c>
      <c r="S3072" s="364"/>
      <c r="Z3072" s="609" t="s">
        <v>1246</v>
      </c>
      <c r="AA3072" s="609" t="s">
        <v>3720</v>
      </c>
    </row>
    <row r="3073" spans="1:27" ht="18">
      <c r="A3073" s="2712"/>
      <c r="B3073" s="371">
        <v>102.009</v>
      </c>
      <c r="C3073" s="371" t="s">
        <v>2791</v>
      </c>
      <c r="D3073" s="2714">
        <f t="shared" si="364"/>
        <v>1</v>
      </c>
      <c r="E3073" s="2719" t="s">
        <v>568</v>
      </c>
      <c r="F3073" s="294"/>
      <c r="G3073" s="1483" t="str">
        <f>G$3059&amp;" "</f>
        <v xml:space="preserve">*9（在原值处修改清除） </v>
      </c>
      <c r="H3073" s="309"/>
      <c r="I3073" s="1463">
        <v>0</v>
      </c>
      <c r="J3073" s="1463">
        <v>0</v>
      </c>
      <c r="K3073" s="1463">
        <v>0</v>
      </c>
      <c r="L3073" s="309"/>
      <c r="M3073" s="309"/>
      <c r="N3073" s="320"/>
      <c r="O3073" s="309"/>
      <c r="P3073" s="1475">
        <f t="shared" si="366"/>
        <v>0</v>
      </c>
      <c r="S3073" s="364"/>
      <c r="Z3073" s="609" t="s">
        <v>1246</v>
      </c>
      <c r="AA3073" s="609" t="s">
        <v>3720</v>
      </c>
    </row>
    <row r="3074" spans="1:27" ht="18">
      <c r="A3074" s="2712"/>
      <c r="B3074" s="371">
        <v>102.01</v>
      </c>
      <c r="C3074" s="371" t="s">
        <v>2791</v>
      </c>
      <c r="D3074" s="2714">
        <f t="shared" si="364"/>
        <v>1</v>
      </c>
      <c r="E3074" s="2719" t="s">
        <v>568</v>
      </c>
      <c r="F3074" s="294"/>
      <c r="G3074" s="1483" t="str">
        <f>G$3060&amp;" "</f>
        <v xml:space="preserve">*10（在原值处修改清除） </v>
      </c>
      <c r="H3074" s="309"/>
      <c r="I3074" s="1463">
        <v>0</v>
      </c>
      <c r="J3074" s="1463">
        <v>0</v>
      </c>
      <c r="K3074" s="1463">
        <v>0</v>
      </c>
      <c r="L3074" s="309"/>
      <c r="M3074" s="309"/>
      <c r="N3074" s="320"/>
      <c r="O3074" s="309"/>
      <c r="P3074" s="1475">
        <f t="shared" si="366"/>
        <v>0</v>
      </c>
      <c r="S3074" s="364"/>
      <c r="Z3074" s="609" t="s">
        <v>1246</v>
      </c>
      <c r="AA3074" s="609" t="s">
        <v>3720</v>
      </c>
    </row>
    <row r="3075" spans="1:27" ht="18">
      <c r="A3075" s="2712"/>
      <c r="B3075" s="371">
        <v>102.011</v>
      </c>
      <c r="C3075" s="371" t="s">
        <v>2791</v>
      </c>
      <c r="D3075" s="2714">
        <f t="shared" si="364"/>
        <v>1</v>
      </c>
      <c r="E3075" s="2719" t="s">
        <v>568</v>
      </c>
      <c r="F3075" s="294"/>
      <c r="G3075" s="1483" t="str">
        <f>G$3061&amp;" "</f>
        <v xml:space="preserve">*11（在原值处修改清除） </v>
      </c>
      <c r="H3075" s="309"/>
      <c r="I3075" s="1463">
        <v>0</v>
      </c>
      <c r="J3075" s="1463">
        <v>0</v>
      </c>
      <c r="K3075" s="1463">
        <v>0</v>
      </c>
      <c r="L3075" s="309"/>
      <c r="M3075" s="309"/>
      <c r="N3075" s="320"/>
      <c r="O3075" s="309"/>
      <c r="P3075" s="1475">
        <f t="shared" si="366"/>
        <v>0</v>
      </c>
      <c r="S3075" s="364"/>
      <c r="Z3075" s="609" t="s">
        <v>1246</v>
      </c>
      <c r="AA3075" s="609" t="s">
        <v>3720</v>
      </c>
    </row>
    <row r="3076" spans="1:27" ht="18">
      <c r="A3076" s="2712"/>
      <c r="B3076" s="371">
        <v>102.012</v>
      </c>
      <c r="C3076" s="371" t="s">
        <v>2791</v>
      </c>
      <c r="D3076" s="2714">
        <f t="shared" si="364"/>
        <v>1</v>
      </c>
      <c r="E3076" s="2719" t="s">
        <v>568</v>
      </c>
      <c r="F3076" s="294"/>
      <c r="G3076" s="1483" t="str">
        <f>G$3062&amp;" "</f>
        <v xml:space="preserve">*12（在原值处修改清除） </v>
      </c>
      <c r="H3076" s="309"/>
      <c r="I3076" s="1463">
        <v>0</v>
      </c>
      <c r="J3076" s="1463">
        <v>0</v>
      </c>
      <c r="K3076" s="1463">
        <v>0</v>
      </c>
      <c r="L3076" s="309"/>
      <c r="M3076" s="309"/>
      <c r="N3076" s="320"/>
      <c r="O3076" s="309"/>
      <c r="P3076" s="1475">
        <f t="shared" si="366"/>
        <v>0</v>
      </c>
      <c r="S3076" s="364"/>
      <c r="Z3076" s="609" t="s">
        <v>1246</v>
      </c>
      <c r="AA3076" s="609" t="s">
        <v>3720</v>
      </c>
    </row>
    <row r="3077" spans="1:27" ht="18">
      <c r="A3077" s="2712"/>
      <c r="B3077" s="371">
        <v>102.999</v>
      </c>
      <c r="C3077" s="371" t="s">
        <v>2793</v>
      </c>
      <c r="D3077" s="2714">
        <f t="shared" si="364"/>
        <v>1</v>
      </c>
      <c r="E3077" s="2719">
        <v>-1</v>
      </c>
      <c r="F3077" s="294"/>
      <c r="G3077" s="308" t="s">
        <v>5182</v>
      </c>
      <c r="H3077" s="1474">
        <f>SUMIF($E$3049:$E$3104,$G3077,H$3049:H$3104)</f>
        <v>8345730.2800000003</v>
      </c>
      <c r="I3077" s="1481">
        <v>0</v>
      </c>
      <c r="J3077" s="1481">
        <v>0</v>
      </c>
      <c r="K3077" s="1481">
        <v>0</v>
      </c>
      <c r="L3077" s="1474">
        <f>SUMIF($E$3049:$E$3104,$G3077,L$3049:L$3104)</f>
        <v>507056.61</v>
      </c>
      <c r="M3077" s="1474">
        <f>SUMIF($E$3049:$E$3104,$G3077,M$3049:M$3104)</f>
        <v>0</v>
      </c>
      <c r="N3077" s="1474">
        <f>SUMIF($E$3049:$E$3104,$G3077,N$3049:N$3104)</f>
        <v>308377.58</v>
      </c>
      <c r="O3077" s="1474">
        <f>SUMIF($E$3049:$E$3104,$G3077,O$3049:O$3104)</f>
        <v>0</v>
      </c>
      <c r="P3077" s="1475">
        <f>SUMIF($E$3049:$E$3104,$G3077,P$3049:P$3104)</f>
        <v>8544409.3100000005</v>
      </c>
      <c r="S3077" s="364"/>
      <c r="Z3077" s="609" t="s">
        <v>1246</v>
      </c>
      <c r="AA3077" s="609" t="s">
        <v>3720</v>
      </c>
    </row>
    <row r="3078" spans="1:27" ht="18">
      <c r="A3078" s="2712"/>
      <c r="B3078" s="371">
        <v>103</v>
      </c>
      <c r="C3078" s="371"/>
      <c r="D3078" s="2714">
        <f t="shared" si="364"/>
        <v>1</v>
      </c>
      <c r="E3078" s="2719" t="s">
        <v>41</v>
      </c>
      <c r="F3078" s="294"/>
      <c r="G3078" s="308" t="s">
        <v>3581</v>
      </c>
      <c r="H3078" s="309"/>
      <c r="I3078" s="1463">
        <v>0</v>
      </c>
      <c r="J3078" s="1463">
        <v>0</v>
      </c>
      <c r="K3078" s="1463">
        <v>0</v>
      </c>
      <c r="L3078" s="309"/>
      <c r="M3078" s="309"/>
      <c r="N3078" s="320"/>
      <c r="O3078" s="309"/>
      <c r="P3078" s="1475"/>
      <c r="S3078" s="364"/>
      <c r="Z3078" s="609" t="s">
        <v>1246</v>
      </c>
      <c r="AA3078" s="609" t="s">
        <v>3720</v>
      </c>
    </row>
    <row r="3079" spans="1:27" ht="18">
      <c r="A3079" s="2712"/>
      <c r="B3079" s="371">
        <v>103.001</v>
      </c>
      <c r="C3079" s="371"/>
      <c r="D3079" s="2714">
        <f t="shared" si="364"/>
        <v>1</v>
      </c>
      <c r="E3079" s="2719" t="s">
        <v>3097</v>
      </c>
      <c r="F3079" s="294"/>
      <c r="G3079" s="1483" t="str">
        <f>G$3051&amp;"  "</f>
        <v xml:space="preserve">土地使用权  </v>
      </c>
      <c r="H3079" s="309"/>
      <c r="I3079" s="1463">
        <v>0</v>
      </c>
      <c r="J3079" s="1463">
        <v>0</v>
      </c>
      <c r="K3079" s="1463">
        <v>0</v>
      </c>
      <c r="L3079" s="309"/>
      <c r="M3079" s="309"/>
      <c r="N3079" s="320"/>
      <c r="O3079" s="309"/>
      <c r="P3079" s="1475">
        <f t="shared" si="366"/>
        <v>0</v>
      </c>
      <c r="S3079" s="364"/>
      <c r="Z3079" s="609" t="s">
        <v>1246</v>
      </c>
      <c r="AA3079" s="609" t="s">
        <v>3720</v>
      </c>
    </row>
    <row r="3080" spans="1:27" ht="18">
      <c r="A3080" s="2712"/>
      <c r="B3080" s="371">
        <v>103.002</v>
      </c>
      <c r="C3080" s="371"/>
      <c r="D3080" s="2714">
        <f t="shared" si="364"/>
        <v>1</v>
      </c>
      <c r="E3080" s="2719" t="s">
        <v>3097</v>
      </c>
      <c r="F3080" s="294"/>
      <c r="G3080" s="1483" t="str">
        <f>G$3052&amp;"  "</f>
        <v xml:space="preserve">专利权  </v>
      </c>
      <c r="H3080" s="309"/>
      <c r="I3080" s="1463">
        <v>0</v>
      </c>
      <c r="J3080" s="1463">
        <v>0</v>
      </c>
      <c r="K3080" s="1463">
        <v>0</v>
      </c>
      <c r="L3080" s="309"/>
      <c r="M3080" s="309"/>
      <c r="N3080" s="320"/>
      <c r="O3080" s="309"/>
      <c r="P3080" s="1475">
        <f t="shared" si="366"/>
        <v>0</v>
      </c>
      <c r="S3080" s="364"/>
      <c r="Z3080" s="609" t="s">
        <v>1246</v>
      </c>
      <c r="AA3080" s="609" t="s">
        <v>3720</v>
      </c>
    </row>
    <row r="3081" spans="1:27" ht="18">
      <c r="A3081" s="2712"/>
      <c r="B3081" s="371">
        <v>103.003</v>
      </c>
      <c r="C3081" s="371"/>
      <c r="D3081" s="2714">
        <f t="shared" si="364"/>
        <v>1</v>
      </c>
      <c r="E3081" s="2719" t="s">
        <v>3097</v>
      </c>
      <c r="F3081" s="294"/>
      <c r="G3081" s="1483" t="str">
        <f>G$3053&amp;"  "</f>
        <v xml:space="preserve">非专利技术  </v>
      </c>
      <c r="H3081" s="309">
        <v>224441.26</v>
      </c>
      <c r="I3081" s="1463">
        <v>0</v>
      </c>
      <c r="J3081" s="1463">
        <v>0</v>
      </c>
      <c r="K3081" s="1463">
        <v>0</v>
      </c>
      <c r="L3081" s="309"/>
      <c r="M3081" s="309"/>
      <c r="N3081" s="320"/>
      <c r="O3081" s="309"/>
      <c r="P3081" s="1475">
        <f t="shared" si="366"/>
        <v>224441.26</v>
      </c>
      <c r="S3081" s="364"/>
      <c r="Z3081" s="609" t="s">
        <v>1246</v>
      </c>
      <c r="AA3081" s="609" t="s">
        <v>3720</v>
      </c>
    </row>
    <row r="3082" spans="1:27" ht="18">
      <c r="A3082" s="2712"/>
      <c r="B3082" s="371">
        <v>103.004</v>
      </c>
      <c r="C3082" s="371" t="s">
        <v>2791</v>
      </c>
      <c r="D3082" s="2714">
        <f t="shared" ref="D3082:D3105" si="367">IF(OR(G3082="*",G3082="",G3082=0),0,COUNTIF($G$3050:$G$3105,G3082))</f>
        <v>1</v>
      </c>
      <c r="E3082" s="2719" t="s">
        <v>3097</v>
      </c>
      <c r="F3082" s="294"/>
      <c r="G3082" s="1483" t="str">
        <f>G$3054&amp;"  "</f>
        <v xml:space="preserve">计算机软件  </v>
      </c>
      <c r="H3082" s="309"/>
      <c r="I3082" s="1463">
        <v>0</v>
      </c>
      <c r="J3082" s="1463">
        <v>0</v>
      </c>
      <c r="K3082" s="1463">
        <v>0</v>
      </c>
      <c r="L3082" s="309"/>
      <c r="M3082" s="309"/>
      <c r="N3082" s="320"/>
      <c r="O3082" s="309"/>
      <c r="P3082" s="1475">
        <f t="shared" si="366"/>
        <v>0</v>
      </c>
      <c r="S3082" s="364"/>
      <c r="Z3082" s="609" t="s">
        <v>1246</v>
      </c>
      <c r="AA3082" s="609" t="s">
        <v>3720</v>
      </c>
    </row>
    <row r="3083" spans="1:27" ht="18">
      <c r="A3083" s="2712"/>
      <c r="B3083" s="371">
        <v>103.005</v>
      </c>
      <c r="C3083" s="371" t="s">
        <v>2791</v>
      </c>
      <c r="D3083" s="2714">
        <f t="shared" si="367"/>
        <v>1</v>
      </c>
      <c r="E3083" s="2719" t="s">
        <v>3097</v>
      </c>
      <c r="F3083" s="294"/>
      <c r="G3083" s="1483" t="str">
        <f>G$3055&amp;"  "</f>
        <v xml:space="preserve">*5（在原值处修改清除）  </v>
      </c>
      <c r="H3083" s="309"/>
      <c r="I3083" s="1463">
        <v>0</v>
      </c>
      <c r="J3083" s="1463">
        <v>0</v>
      </c>
      <c r="K3083" s="1463">
        <v>0</v>
      </c>
      <c r="L3083" s="309"/>
      <c r="M3083" s="309"/>
      <c r="N3083" s="320"/>
      <c r="O3083" s="309"/>
      <c r="P3083" s="1475">
        <f t="shared" si="366"/>
        <v>0</v>
      </c>
      <c r="S3083" s="364"/>
      <c r="Z3083" s="609" t="s">
        <v>1246</v>
      </c>
      <c r="AA3083" s="609" t="s">
        <v>3720</v>
      </c>
    </row>
    <row r="3084" spans="1:27" ht="18">
      <c r="A3084" s="2712"/>
      <c r="B3084" s="371">
        <v>103.006</v>
      </c>
      <c r="C3084" s="371" t="s">
        <v>2791</v>
      </c>
      <c r="D3084" s="2714">
        <f t="shared" si="367"/>
        <v>1</v>
      </c>
      <c r="E3084" s="2719" t="s">
        <v>3097</v>
      </c>
      <c r="F3084" s="294"/>
      <c r="G3084" s="1483" t="str">
        <f>G$3056&amp;"  "</f>
        <v xml:space="preserve">*6（在原值处修改清除）  </v>
      </c>
      <c r="H3084" s="309"/>
      <c r="I3084" s="1463">
        <v>0</v>
      </c>
      <c r="J3084" s="1463">
        <v>0</v>
      </c>
      <c r="K3084" s="1463">
        <v>0</v>
      </c>
      <c r="L3084" s="309"/>
      <c r="M3084" s="309"/>
      <c r="N3084" s="320"/>
      <c r="O3084" s="309"/>
      <c r="P3084" s="1475">
        <f t="shared" si="366"/>
        <v>0</v>
      </c>
      <c r="S3084" s="364"/>
      <c r="Z3084" s="609" t="s">
        <v>1246</v>
      </c>
      <c r="AA3084" s="609" t="s">
        <v>3720</v>
      </c>
    </row>
    <row r="3085" spans="1:27" ht="18">
      <c r="A3085" s="2712"/>
      <c r="B3085" s="371">
        <v>103.00700000000001</v>
      </c>
      <c r="C3085" s="371" t="s">
        <v>2791</v>
      </c>
      <c r="D3085" s="2714">
        <f t="shared" si="367"/>
        <v>1</v>
      </c>
      <c r="E3085" s="2719" t="s">
        <v>3097</v>
      </c>
      <c r="F3085" s="294"/>
      <c r="G3085" s="1483" t="str">
        <f>G$3057&amp;"  "</f>
        <v xml:space="preserve">*7（在原值处修改清除）  </v>
      </c>
      <c r="H3085" s="309"/>
      <c r="I3085" s="1463">
        <v>0</v>
      </c>
      <c r="J3085" s="1463">
        <v>0</v>
      </c>
      <c r="K3085" s="1463">
        <v>0</v>
      </c>
      <c r="L3085" s="309"/>
      <c r="M3085" s="309"/>
      <c r="N3085" s="320"/>
      <c r="O3085" s="309"/>
      <c r="P3085" s="1475">
        <f t="shared" si="366"/>
        <v>0</v>
      </c>
      <c r="S3085" s="364"/>
      <c r="Z3085" s="609" t="s">
        <v>1246</v>
      </c>
      <c r="AA3085" s="609" t="s">
        <v>3720</v>
      </c>
    </row>
    <row r="3086" spans="1:27" ht="18">
      <c r="A3086" s="2712"/>
      <c r="B3086" s="371">
        <v>103.008</v>
      </c>
      <c r="C3086" s="371" t="s">
        <v>2791</v>
      </c>
      <c r="D3086" s="2714">
        <f t="shared" si="367"/>
        <v>1</v>
      </c>
      <c r="E3086" s="2719" t="s">
        <v>3097</v>
      </c>
      <c r="F3086" s="294"/>
      <c r="G3086" s="1483" t="str">
        <f>G$3058&amp;"  "</f>
        <v xml:space="preserve">*8（在原值处修改清除）  </v>
      </c>
      <c r="H3086" s="309"/>
      <c r="I3086" s="1463">
        <v>0</v>
      </c>
      <c r="J3086" s="1463">
        <v>0</v>
      </c>
      <c r="K3086" s="1463">
        <v>0</v>
      </c>
      <c r="L3086" s="309"/>
      <c r="M3086" s="309"/>
      <c r="N3086" s="320"/>
      <c r="O3086" s="309"/>
      <c r="P3086" s="1475">
        <f t="shared" si="366"/>
        <v>0</v>
      </c>
      <c r="S3086" s="364"/>
      <c r="Z3086" s="609" t="s">
        <v>1246</v>
      </c>
      <c r="AA3086" s="609" t="s">
        <v>3720</v>
      </c>
    </row>
    <row r="3087" spans="1:27" ht="18">
      <c r="A3087" s="2712"/>
      <c r="B3087" s="371">
        <v>103.009</v>
      </c>
      <c r="C3087" s="371" t="s">
        <v>2791</v>
      </c>
      <c r="D3087" s="2714">
        <f t="shared" si="367"/>
        <v>1</v>
      </c>
      <c r="E3087" s="2719" t="s">
        <v>3097</v>
      </c>
      <c r="F3087" s="294"/>
      <c r="G3087" s="1483" t="str">
        <f>G$3059&amp;"  "</f>
        <v xml:space="preserve">*9（在原值处修改清除）  </v>
      </c>
      <c r="H3087" s="309"/>
      <c r="I3087" s="1463">
        <v>0</v>
      </c>
      <c r="J3087" s="1463">
        <v>0</v>
      </c>
      <c r="K3087" s="1463">
        <v>0</v>
      </c>
      <c r="L3087" s="309"/>
      <c r="M3087" s="309"/>
      <c r="N3087" s="320"/>
      <c r="O3087" s="309"/>
      <c r="P3087" s="1475">
        <f t="shared" si="366"/>
        <v>0</v>
      </c>
      <c r="S3087" s="364"/>
      <c r="Z3087" s="609" t="s">
        <v>1246</v>
      </c>
      <c r="AA3087" s="609" t="s">
        <v>3720</v>
      </c>
    </row>
    <row r="3088" spans="1:27" ht="18">
      <c r="A3088" s="2712"/>
      <c r="B3088" s="371">
        <v>103.01</v>
      </c>
      <c r="C3088" s="371" t="s">
        <v>2791</v>
      </c>
      <c r="D3088" s="2714">
        <f t="shared" si="367"/>
        <v>1</v>
      </c>
      <c r="E3088" s="2719" t="s">
        <v>3097</v>
      </c>
      <c r="F3088" s="294"/>
      <c r="G3088" s="1483" t="str">
        <f>G$3060&amp;"  "</f>
        <v xml:space="preserve">*10（在原值处修改清除）  </v>
      </c>
      <c r="H3088" s="309"/>
      <c r="I3088" s="1463">
        <v>0</v>
      </c>
      <c r="J3088" s="1463">
        <v>0</v>
      </c>
      <c r="K3088" s="1463">
        <v>0</v>
      </c>
      <c r="L3088" s="309"/>
      <c r="M3088" s="309"/>
      <c r="N3088" s="320"/>
      <c r="O3088" s="309"/>
      <c r="P3088" s="1475">
        <f t="shared" si="366"/>
        <v>0</v>
      </c>
      <c r="S3088" s="364"/>
      <c r="Z3088" s="609" t="s">
        <v>1246</v>
      </c>
      <c r="AA3088" s="609" t="s">
        <v>3720</v>
      </c>
    </row>
    <row r="3089" spans="1:29" ht="18">
      <c r="A3089" s="2712"/>
      <c r="B3089" s="371">
        <v>103.011</v>
      </c>
      <c r="C3089" s="371" t="s">
        <v>2791</v>
      </c>
      <c r="D3089" s="2714">
        <f t="shared" si="367"/>
        <v>1</v>
      </c>
      <c r="E3089" s="2719" t="s">
        <v>3097</v>
      </c>
      <c r="F3089" s="294"/>
      <c r="G3089" s="1483" t="str">
        <f>G$3061&amp;"  "</f>
        <v xml:space="preserve">*11（在原值处修改清除）  </v>
      </c>
      <c r="H3089" s="309"/>
      <c r="I3089" s="1463">
        <v>0</v>
      </c>
      <c r="J3089" s="1463">
        <v>0</v>
      </c>
      <c r="K3089" s="1463">
        <v>0</v>
      </c>
      <c r="L3089" s="309"/>
      <c r="M3089" s="309"/>
      <c r="N3089" s="320"/>
      <c r="O3089" s="309"/>
      <c r="P3089" s="1475">
        <f t="shared" si="366"/>
        <v>0</v>
      </c>
      <c r="S3089" s="364"/>
      <c r="Z3089" s="609" t="s">
        <v>1246</v>
      </c>
      <c r="AA3089" s="609" t="s">
        <v>3720</v>
      </c>
    </row>
    <row r="3090" spans="1:29" ht="18">
      <c r="A3090" s="2712"/>
      <c r="B3090" s="371">
        <v>103.012</v>
      </c>
      <c r="C3090" s="371" t="s">
        <v>2791</v>
      </c>
      <c r="D3090" s="2714">
        <f t="shared" si="367"/>
        <v>1</v>
      </c>
      <c r="E3090" s="2719" t="s">
        <v>3097</v>
      </c>
      <c r="F3090" s="294"/>
      <c r="G3090" s="1483" t="str">
        <f>G$3062&amp;"  "</f>
        <v xml:space="preserve">*12（在原值处修改清除）  </v>
      </c>
      <c r="H3090" s="309"/>
      <c r="I3090" s="1463">
        <v>0</v>
      </c>
      <c r="J3090" s="1463">
        <v>0</v>
      </c>
      <c r="K3090" s="1463">
        <v>0</v>
      </c>
      <c r="L3090" s="309"/>
      <c r="M3090" s="309"/>
      <c r="N3090" s="320"/>
      <c r="O3090" s="309"/>
      <c r="P3090" s="1475">
        <f t="shared" si="366"/>
        <v>0</v>
      </c>
      <c r="S3090" s="364"/>
      <c r="Z3090" s="609" t="s">
        <v>1246</v>
      </c>
      <c r="AA3090" s="609" t="s">
        <v>3720</v>
      </c>
    </row>
    <row r="3091" spans="1:29" ht="18">
      <c r="A3091" s="2712"/>
      <c r="B3091" s="371">
        <v>103.999</v>
      </c>
      <c r="C3091" s="371" t="s">
        <v>2793</v>
      </c>
      <c r="D3091" s="2714">
        <f t="shared" si="367"/>
        <v>1</v>
      </c>
      <c r="E3091" s="2719">
        <v>-1</v>
      </c>
      <c r="F3091" s="294"/>
      <c r="G3091" s="308" t="s">
        <v>5183</v>
      </c>
      <c r="H3091" s="1474">
        <f>SUMIF($E$3049:$E$3104,$G3091,H$3049:H$3104)</f>
        <v>224441.26</v>
      </c>
      <c r="I3091" s="1481">
        <v>0</v>
      </c>
      <c r="J3091" s="1481">
        <v>0</v>
      </c>
      <c r="K3091" s="1481">
        <v>0</v>
      </c>
      <c r="L3091" s="1474">
        <f>SUMIF($E$3049:$E$3104,$G3091,L$3049:L$3104)</f>
        <v>0</v>
      </c>
      <c r="M3091" s="1474">
        <f>SUMIF($E$3049:$E$3104,$G3091,M$3049:M$3104)</f>
        <v>0</v>
      </c>
      <c r="N3091" s="1474">
        <f>SUMIF($E$3049:$E$3104,$G3091,N$3049:N$3104)</f>
        <v>0</v>
      </c>
      <c r="O3091" s="1474">
        <f>SUMIF($E$3049:$E$3104,$G3091,O$3049:O$3104)</f>
        <v>0</v>
      </c>
      <c r="P3091" s="1475">
        <f>SUMIF($E$3049:$E$3104,$G3091,P$3049:P$3104)</f>
        <v>224441.26</v>
      </c>
      <c r="Q3091" s="1596" t="str">
        <f ca="1">HYPERLINK("#'"&amp;$G$1&amp;"'!"&amp;ADDRESS(ROW(Notes!L4892),COLUMN(Notes!L4892),4),"* 请勿删除此行！点击往勾稽单元格，F5+Enter返回")</f>
        <v>* 请勿删除此行！点击往勾稽单元格，F5+Enter返回</v>
      </c>
      <c r="S3091" s="364"/>
      <c r="Z3091" s="609" t="s">
        <v>1246</v>
      </c>
      <c r="AA3091" s="609" t="s">
        <v>3720</v>
      </c>
      <c r="AC3091" s="369" t="s">
        <v>2794</v>
      </c>
    </row>
    <row r="3092" spans="1:29" ht="18">
      <c r="A3092" s="2712"/>
      <c r="B3092" s="371">
        <v>104</v>
      </c>
      <c r="C3092" s="371"/>
      <c r="D3092" s="2714">
        <f t="shared" si="367"/>
        <v>1</v>
      </c>
      <c r="E3092" s="2719" t="s">
        <v>41</v>
      </c>
      <c r="F3092" s="294"/>
      <c r="G3092" s="308" t="s">
        <v>3582</v>
      </c>
      <c r="H3092" s="309"/>
      <c r="I3092" s="1463">
        <v>0</v>
      </c>
      <c r="J3092" s="1463">
        <v>0</v>
      </c>
      <c r="K3092" s="1463">
        <v>0</v>
      </c>
      <c r="L3092" s="1463">
        <v>0</v>
      </c>
      <c r="M3092" s="1463">
        <v>0</v>
      </c>
      <c r="N3092" s="1485">
        <v>0</v>
      </c>
      <c r="O3092" s="1463">
        <v>0</v>
      </c>
      <c r="P3092" s="1475"/>
      <c r="S3092" s="364"/>
      <c r="Z3092" s="609" t="s">
        <v>1246</v>
      </c>
      <c r="AA3092" s="609" t="s">
        <v>3720</v>
      </c>
    </row>
    <row r="3093" spans="1:29" ht="18">
      <c r="A3093" s="2712"/>
      <c r="B3093" s="371">
        <v>105</v>
      </c>
      <c r="C3093" s="371"/>
      <c r="D3093" s="2714">
        <f t="shared" si="367"/>
        <v>1</v>
      </c>
      <c r="E3093" s="2719">
        <v>0</v>
      </c>
      <c r="F3093" s="294"/>
      <c r="G3093" s="1483" t="str">
        <f>G$3051&amp;"   "</f>
        <v xml:space="preserve">土地使用权   </v>
      </c>
      <c r="H3093" s="1474">
        <f>H3051-H3065-H3079</f>
        <v>20737350.870000001</v>
      </c>
      <c r="I3093" s="1463">
        <v>0</v>
      </c>
      <c r="J3093" s="1463">
        <v>0</v>
      </c>
      <c r="K3093" s="1463">
        <v>0</v>
      </c>
      <c r="L3093" s="1463">
        <v>0</v>
      </c>
      <c r="M3093" s="1463">
        <v>0</v>
      </c>
      <c r="N3093" s="1485">
        <v>0</v>
      </c>
      <c r="O3093" s="1463">
        <v>0</v>
      </c>
      <c r="P3093" s="1475">
        <f>P3051-P3065-P3079</f>
        <v>22804077.449999999</v>
      </c>
      <c r="S3093" s="364"/>
      <c r="Z3093" s="609" t="s">
        <v>1246</v>
      </c>
      <c r="AA3093" s="609" t="s">
        <v>3720</v>
      </c>
    </row>
    <row r="3094" spans="1:29" ht="18">
      <c r="A3094" s="2712"/>
      <c r="B3094" s="371">
        <v>106</v>
      </c>
      <c r="C3094" s="371"/>
      <c r="D3094" s="2714">
        <f t="shared" si="367"/>
        <v>1</v>
      </c>
      <c r="E3094" s="2719">
        <v>0</v>
      </c>
      <c r="F3094" s="294"/>
      <c r="G3094" s="1483" t="str">
        <f>G$3052&amp;"   "</f>
        <v xml:space="preserve">专利权   </v>
      </c>
      <c r="H3094" s="1474">
        <f t="shared" ref="H3094:H3104" si="368">H3052-H3066-H3080</f>
        <v>0</v>
      </c>
      <c r="I3094" s="1463">
        <v>0</v>
      </c>
      <c r="J3094" s="1463">
        <v>0</v>
      </c>
      <c r="K3094" s="1463">
        <v>0</v>
      </c>
      <c r="L3094" s="1463">
        <v>0</v>
      </c>
      <c r="M3094" s="1463">
        <v>0</v>
      </c>
      <c r="N3094" s="1485">
        <v>0</v>
      </c>
      <c r="O3094" s="1463">
        <v>0</v>
      </c>
      <c r="P3094" s="1475">
        <f t="shared" ref="P3094:P3104" si="369">P3052-P3066-P3080</f>
        <v>0</v>
      </c>
      <c r="S3094" s="364"/>
      <c r="Z3094" s="609" t="s">
        <v>1246</v>
      </c>
      <c r="AA3094" s="609" t="s">
        <v>3720</v>
      </c>
    </row>
    <row r="3095" spans="1:29" ht="18">
      <c r="A3095" s="2712"/>
      <c r="B3095" s="371">
        <v>107</v>
      </c>
      <c r="C3095" s="371"/>
      <c r="D3095" s="2714">
        <f t="shared" si="367"/>
        <v>1</v>
      </c>
      <c r="E3095" s="2719">
        <v>0</v>
      </c>
      <c r="F3095" s="294"/>
      <c r="G3095" s="1483" t="str">
        <f>G$3053&amp;"   "</f>
        <v xml:space="preserve">非专利技术   </v>
      </c>
      <c r="H3095" s="1474">
        <f t="shared" si="368"/>
        <v>0</v>
      </c>
      <c r="I3095" s="1463">
        <v>0</v>
      </c>
      <c r="J3095" s="1463">
        <v>0</v>
      </c>
      <c r="K3095" s="1463">
        <v>0</v>
      </c>
      <c r="L3095" s="1463">
        <v>0</v>
      </c>
      <c r="M3095" s="1463">
        <v>0</v>
      </c>
      <c r="N3095" s="1485">
        <v>0</v>
      </c>
      <c r="O3095" s="1463">
        <v>0</v>
      </c>
      <c r="P3095" s="1475">
        <f t="shared" si="369"/>
        <v>0</v>
      </c>
      <c r="S3095" s="364"/>
      <c r="Z3095" s="609" t="s">
        <v>1246</v>
      </c>
      <c r="AA3095" s="609" t="s">
        <v>3720</v>
      </c>
    </row>
    <row r="3096" spans="1:29" ht="18">
      <c r="A3096" s="2712"/>
      <c r="B3096" s="371">
        <v>108</v>
      </c>
      <c r="C3096" s="371" t="s">
        <v>2791</v>
      </c>
      <c r="D3096" s="2714">
        <f t="shared" si="367"/>
        <v>1</v>
      </c>
      <c r="E3096" s="2719">
        <v>0</v>
      </c>
      <c r="F3096" s="294"/>
      <c r="G3096" s="1483" t="str">
        <f>G$3054&amp;"   "</f>
        <v xml:space="preserve">计算机软件   </v>
      </c>
      <c r="H3096" s="1474">
        <f t="shared" si="368"/>
        <v>153797.29999999999</v>
      </c>
      <c r="I3096" s="1463">
        <v>0</v>
      </c>
      <c r="J3096" s="1463">
        <v>0</v>
      </c>
      <c r="K3096" s="1463">
        <v>0</v>
      </c>
      <c r="L3096" s="1463">
        <v>0</v>
      </c>
      <c r="M3096" s="1463">
        <v>0</v>
      </c>
      <c r="N3096" s="1485">
        <v>0</v>
      </c>
      <c r="O3096" s="1463">
        <v>0</v>
      </c>
      <c r="P3096" s="1475">
        <f t="shared" si="369"/>
        <v>117768.74</v>
      </c>
      <c r="S3096" s="364"/>
      <c r="Z3096" s="609" t="s">
        <v>1246</v>
      </c>
      <c r="AA3096" s="609" t="s">
        <v>3720</v>
      </c>
    </row>
    <row r="3097" spans="1:29" ht="18">
      <c r="A3097" s="2712"/>
      <c r="B3097" s="371">
        <v>109</v>
      </c>
      <c r="C3097" s="371" t="s">
        <v>2791</v>
      </c>
      <c r="D3097" s="2714">
        <f t="shared" si="367"/>
        <v>1</v>
      </c>
      <c r="E3097" s="2719">
        <v>0</v>
      </c>
      <c r="F3097" s="294"/>
      <c r="G3097" s="1483" t="str">
        <f>G$3055&amp;"   "</f>
        <v xml:space="preserve">*5（在原值处修改清除）   </v>
      </c>
      <c r="H3097" s="1474">
        <f t="shared" si="368"/>
        <v>0</v>
      </c>
      <c r="I3097" s="1463">
        <v>0</v>
      </c>
      <c r="J3097" s="1463">
        <v>0</v>
      </c>
      <c r="K3097" s="1463">
        <v>0</v>
      </c>
      <c r="L3097" s="1463">
        <v>0</v>
      </c>
      <c r="M3097" s="1463">
        <v>0</v>
      </c>
      <c r="N3097" s="1485">
        <v>0</v>
      </c>
      <c r="O3097" s="1463">
        <v>0</v>
      </c>
      <c r="P3097" s="1475">
        <f t="shared" si="369"/>
        <v>0</v>
      </c>
      <c r="S3097" s="364"/>
      <c r="Z3097" s="609" t="s">
        <v>1246</v>
      </c>
      <c r="AA3097" s="609" t="s">
        <v>3720</v>
      </c>
    </row>
    <row r="3098" spans="1:29" ht="18">
      <c r="A3098" s="2712"/>
      <c r="B3098" s="371">
        <v>110</v>
      </c>
      <c r="C3098" s="371" t="s">
        <v>2791</v>
      </c>
      <c r="D3098" s="2714">
        <f t="shared" si="367"/>
        <v>1</v>
      </c>
      <c r="E3098" s="2719">
        <v>0</v>
      </c>
      <c r="F3098" s="294"/>
      <c r="G3098" s="1483" t="str">
        <f>G$3056&amp;"   "</f>
        <v xml:space="preserve">*6（在原值处修改清除）   </v>
      </c>
      <c r="H3098" s="1474">
        <f t="shared" si="368"/>
        <v>0</v>
      </c>
      <c r="I3098" s="1463">
        <v>0</v>
      </c>
      <c r="J3098" s="1463">
        <v>0</v>
      </c>
      <c r="K3098" s="1463">
        <v>0</v>
      </c>
      <c r="L3098" s="1463">
        <v>0</v>
      </c>
      <c r="M3098" s="1463">
        <v>0</v>
      </c>
      <c r="N3098" s="1485">
        <v>0</v>
      </c>
      <c r="O3098" s="1463">
        <v>0</v>
      </c>
      <c r="P3098" s="1475">
        <f t="shared" si="369"/>
        <v>0</v>
      </c>
      <c r="S3098" s="364"/>
      <c r="Z3098" s="609" t="s">
        <v>1246</v>
      </c>
      <c r="AA3098" s="609" t="s">
        <v>3720</v>
      </c>
    </row>
    <row r="3099" spans="1:29" ht="18">
      <c r="A3099" s="2712"/>
      <c r="B3099" s="371">
        <v>111</v>
      </c>
      <c r="C3099" s="371" t="s">
        <v>2791</v>
      </c>
      <c r="D3099" s="2714">
        <f t="shared" si="367"/>
        <v>1</v>
      </c>
      <c r="E3099" s="2719">
        <v>0</v>
      </c>
      <c r="F3099" s="294"/>
      <c r="G3099" s="1483" t="str">
        <f>G$3057&amp;"   "</f>
        <v xml:space="preserve">*7（在原值处修改清除）   </v>
      </c>
      <c r="H3099" s="1474">
        <f t="shared" si="368"/>
        <v>0</v>
      </c>
      <c r="I3099" s="1463">
        <v>0</v>
      </c>
      <c r="J3099" s="1463">
        <v>0</v>
      </c>
      <c r="K3099" s="1463">
        <v>0</v>
      </c>
      <c r="L3099" s="1463">
        <v>0</v>
      </c>
      <c r="M3099" s="1463">
        <v>0</v>
      </c>
      <c r="N3099" s="1485">
        <v>0</v>
      </c>
      <c r="O3099" s="1463">
        <v>0</v>
      </c>
      <c r="P3099" s="1475">
        <f t="shared" si="369"/>
        <v>0</v>
      </c>
      <c r="S3099" s="364"/>
      <c r="Z3099" s="609" t="s">
        <v>1246</v>
      </c>
      <c r="AA3099" s="609" t="s">
        <v>3720</v>
      </c>
    </row>
    <row r="3100" spans="1:29" ht="18">
      <c r="A3100" s="2712"/>
      <c r="B3100" s="371">
        <v>112</v>
      </c>
      <c r="C3100" s="371" t="s">
        <v>2791</v>
      </c>
      <c r="D3100" s="2714">
        <f t="shared" si="367"/>
        <v>1</v>
      </c>
      <c r="E3100" s="2719">
        <v>0</v>
      </c>
      <c r="F3100" s="294"/>
      <c r="G3100" s="1483" t="str">
        <f>G$3058&amp;"   "</f>
        <v xml:space="preserve">*8（在原值处修改清除）   </v>
      </c>
      <c r="H3100" s="1474">
        <f t="shared" si="368"/>
        <v>0</v>
      </c>
      <c r="I3100" s="1463">
        <v>0</v>
      </c>
      <c r="J3100" s="1463">
        <v>0</v>
      </c>
      <c r="K3100" s="1463">
        <v>0</v>
      </c>
      <c r="L3100" s="1463">
        <v>0</v>
      </c>
      <c r="M3100" s="1463">
        <v>0</v>
      </c>
      <c r="N3100" s="1485">
        <v>0</v>
      </c>
      <c r="O3100" s="1463">
        <v>0</v>
      </c>
      <c r="P3100" s="1475">
        <f t="shared" si="369"/>
        <v>0</v>
      </c>
      <c r="S3100" s="364"/>
      <c r="Z3100" s="609" t="s">
        <v>1246</v>
      </c>
      <c r="AA3100" s="609" t="s">
        <v>3720</v>
      </c>
    </row>
    <row r="3101" spans="1:29" ht="18">
      <c r="A3101" s="2712"/>
      <c r="B3101" s="371">
        <v>113</v>
      </c>
      <c r="C3101" s="371" t="s">
        <v>2791</v>
      </c>
      <c r="D3101" s="2714">
        <f t="shared" si="367"/>
        <v>1</v>
      </c>
      <c r="E3101" s="2719">
        <v>0</v>
      </c>
      <c r="F3101" s="294"/>
      <c r="G3101" s="1483" t="str">
        <f>G$3059&amp;"   "</f>
        <v xml:space="preserve">*9（在原值处修改清除）   </v>
      </c>
      <c r="H3101" s="1474">
        <f t="shared" si="368"/>
        <v>0</v>
      </c>
      <c r="I3101" s="1463">
        <v>0</v>
      </c>
      <c r="J3101" s="1463">
        <v>0</v>
      </c>
      <c r="K3101" s="1463">
        <v>0</v>
      </c>
      <c r="L3101" s="1463">
        <v>0</v>
      </c>
      <c r="M3101" s="1463">
        <v>0</v>
      </c>
      <c r="N3101" s="1485">
        <v>0</v>
      </c>
      <c r="O3101" s="1463">
        <v>0</v>
      </c>
      <c r="P3101" s="1475">
        <f t="shared" si="369"/>
        <v>0</v>
      </c>
      <c r="S3101" s="364"/>
      <c r="Z3101" s="609" t="s">
        <v>1246</v>
      </c>
      <c r="AA3101" s="609" t="s">
        <v>3720</v>
      </c>
    </row>
    <row r="3102" spans="1:29" ht="18">
      <c r="A3102" s="2712"/>
      <c r="B3102" s="371">
        <v>114</v>
      </c>
      <c r="C3102" s="371" t="s">
        <v>2791</v>
      </c>
      <c r="D3102" s="2714">
        <f t="shared" si="367"/>
        <v>1</v>
      </c>
      <c r="E3102" s="2719">
        <v>0</v>
      </c>
      <c r="F3102" s="294"/>
      <c r="G3102" s="1483" t="str">
        <f>G$3060&amp;"   "</f>
        <v xml:space="preserve">*10（在原值处修改清除）   </v>
      </c>
      <c r="H3102" s="1474">
        <f t="shared" si="368"/>
        <v>0</v>
      </c>
      <c r="I3102" s="1463">
        <v>0</v>
      </c>
      <c r="J3102" s="1463">
        <v>0</v>
      </c>
      <c r="K3102" s="1463">
        <v>0</v>
      </c>
      <c r="L3102" s="1463">
        <v>0</v>
      </c>
      <c r="M3102" s="1463">
        <v>0</v>
      </c>
      <c r="N3102" s="1485">
        <v>0</v>
      </c>
      <c r="O3102" s="1463">
        <v>0</v>
      </c>
      <c r="P3102" s="1475">
        <f t="shared" si="369"/>
        <v>0</v>
      </c>
      <c r="S3102" s="364"/>
      <c r="Z3102" s="609" t="s">
        <v>1246</v>
      </c>
      <c r="AA3102" s="609" t="s">
        <v>3720</v>
      </c>
    </row>
    <row r="3103" spans="1:29" ht="18">
      <c r="A3103" s="2712"/>
      <c r="B3103" s="371">
        <v>115</v>
      </c>
      <c r="C3103" s="371" t="s">
        <v>2791</v>
      </c>
      <c r="D3103" s="2714">
        <f t="shared" si="367"/>
        <v>1</v>
      </c>
      <c r="E3103" s="2719">
        <v>0</v>
      </c>
      <c r="F3103" s="294"/>
      <c r="G3103" s="1483" t="str">
        <f>G$3061&amp;"   "</f>
        <v xml:space="preserve">*11（在原值处修改清除）   </v>
      </c>
      <c r="H3103" s="1474">
        <f t="shared" si="368"/>
        <v>0</v>
      </c>
      <c r="I3103" s="1463">
        <v>0</v>
      </c>
      <c r="J3103" s="1463">
        <v>0</v>
      </c>
      <c r="K3103" s="1463">
        <v>0</v>
      </c>
      <c r="L3103" s="1463">
        <v>0</v>
      </c>
      <c r="M3103" s="1463">
        <v>0</v>
      </c>
      <c r="N3103" s="1485">
        <v>0</v>
      </c>
      <c r="O3103" s="1463">
        <v>0</v>
      </c>
      <c r="P3103" s="1475">
        <f t="shared" si="369"/>
        <v>0</v>
      </c>
      <c r="S3103" s="364"/>
      <c r="Z3103" s="609" t="s">
        <v>1246</v>
      </c>
      <c r="AA3103" s="609" t="s">
        <v>3720</v>
      </c>
    </row>
    <row r="3104" spans="1:29" ht="18">
      <c r="A3104" s="2712"/>
      <c r="B3104" s="371">
        <v>116</v>
      </c>
      <c r="C3104" s="371" t="s">
        <v>2791</v>
      </c>
      <c r="D3104" s="2714">
        <f t="shared" si="367"/>
        <v>1</v>
      </c>
      <c r="E3104" s="2719">
        <v>0</v>
      </c>
      <c r="F3104" s="294"/>
      <c r="G3104" s="1483" t="str">
        <f>G$3062&amp;"   "</f>
        <v xml:space="preserve">*12（在原值处修改清除）   </v>
      </c>
      <c r="H3104" s="1474">
        <f t="shared" si="368"/>
        <v>0</v>
      </c>
      <c r="I3104" s="1463">
        <v>0</v>
      </c>
      <c r="J3104" s="1463">
        <v>0</v>
      </c>
      <c r="K3104" s="1463">
        <v>0</v>
      </c>
      <c r="L3104" s="1463">
        <v>0</v>
      </c>
      <c r="M3104" s="1463">
        <v>0</v>
      </c>
      <c r="N3104" s="1485">
        <v>0</v>
      </c>
      <c r="O3104" s="1463">
        <v>0</v>
      </c>
      <c r="P3104" s="1475">
        <f t="shared" si="369"/>
        <v>0</v>
      </c>
      <c r="S3104" s="364"/>
      <c r="Z3104" s="609" t="s">
        <v>1246</v>
      </c>
      <c r="AA3104" s="609" t="s">
        <v>3720</v>
      </c>
    </row>
    <row r="3105" spans="1:27" ht="18.75" thickBot="1">
      <c r="A3105" s="2712"/>
      <c r="B3105" s="371"/>
      <c r="C3105" s="371"/>
      <c r="D3105" s="2714">
        <f t="shared" si="367"/>
        <v>1</v>
      </c>
      <c r="E3105" s="2719" t="s">
        <v>3032</v>
      </c>
      <c r="F3105" s="294"/>
      <c r="G3105" s="2380" t="s">
        <v>5184</v>
      </c>
      <c r="H3105" s="1476">
        <f>SUMPRODUCT($E3049:$E3104,H3049:H3104)</f>
        <v>20891148.170000002</v>
      </c>
      <c r="I3105" s="2381">
        <v>0</v>
      </c>
      <c r="J3105" s="2381">
        <v>0</v>
      </c>
      <c r="K3105" s="2381">
        <v>0</v>
      </c>
      <c r="L3105" s="2381">
        <v>0</v>
      </c>
      <c r="M3105" s="2381">
        <v>0</v>
      </c>
      <c r="N3105" s="2381">
        <v>0</v>
      </c>
      <c r="O3105" s="2381">
        <v>0</v>
      </c>
      <c r="P3105" s="1477">
        <f>SUMPRODUCT($E3049:$E3104,P3049:P3104)</f>
        <v>22921846.190000001</v>
      </c>
      <c r="S3105" s="364"/>
      <c r="Z3105" s="609" t="s">
        <v>1246</v>
      </c>
      <c r="AA3105" s="609" t="s">
        <v>3720</v>
      </c>
    </row>
    <row r="3106" spans="1:27" ht="24.75" thickBot="1">
      <c r="A3106" s="2712"/>
      <c r="B3106" s="371">
        <v>901</v>
      </c>
      <c r="C3106" s="371"/>
      <c r="D3106" s="371"/>
      <c r="E3106" s="2714" t="s">
        <v>2753</v>
      </c>
      <c r="F3106" s="294"/>
      <c r="G3106" s="584" t="s">
        <v>3719</v>
      </c>
      <c r="H3106" s="585"/>
      <c r="I3106" s="432"/>
      <c r="J3106" s="425"/>
      <c r="K3106" s="426"/>
      <c r="L3106" s="427"/>
      <c r="M3106" s="425"/>
      <c r="N3106" s="426"/>
      <c r="O3106" s="427"/>
      <c r="P3106" s="425"/>
      <c r="S3106" s="364"/>
      <c r="Z3106" s="609" t="s">
        <v>1246</v>
      </c>
      <c r="AA3106" s="609" t="s">
        <v>3720</v>
      </c>
    </row>
    <row r="3107" spans="1:27" ht="18.75" thickBot="1">
      <c r="A3107" s="2712"/>
      <c r="B3107" s="371"/>
      <c r="C3107" s="371" t="s">
        <v>2755</v>
      </c>
      <c r="D3107" s="371"/>
      <c r="F3107" s="294"/>
      <c r="G3107" s="301"/>
      <c r="H3107" s="527" t="s">
        <v>3002</v>
      </c>
      <c r="I3107" s="315"/>
      <c r="J3107" s="315"/>
      <c r="K3107" s="315"/>
      <c r="L3107" s="315"/>
      <c r="M3107" s="315"/>
      <c r="N3107" s="315"/>
      <c r="O3107" s="315"/>
      <c r="P3107" s="527" t="s">
        <v>3002</v>
      </c>
      <c r="S3107" s="364"/>
      <c r="Z3107" s="609" t="s">
        <v>1246</v>
      </c>
      <c r="AA3107" s="609" t="s">
        <v>3720</v>
      </c>
    </row>
    <row r="3108" spans="1:27" ht="18.75" thickTop="1">
      <c r="A3108" s="2712"/>
      <c r="B3108" s="371"/>
      <c r="C3108" s="371" t="s">
        <v>2565</v>
      </c>
      <c r="D3108" s="371"/>
      <c r="F3108" s="294"/>
      <c r="G3108" s="1559" t="s">
        <v>5365</v>
      </c>
      <c r="H3108" s="1548"/>
      <c r="I3108" s="1549"/>
      <c r="J3108" s="1549"/>
      <c r="K3108" s="1549"/>
      <c r="L3108" s="1549"/>
      <c r="M3108" s="1549"/>
      <c r="N3108" s="1549"/>
      <c r="O3108" s="1549"/>
      <c r="P3108" s="1550"/>
      <c r="Q3108" s="1551" t="s">
        <v>5366</v>
      </c>
      <c r="S3108" s="364"/>
      <c r="Z3108" s="609" t="s">
        <v>1246</v>
      </c>
      <c r="AA3108" s="609" t="s">
        <v>3720</v>
      </c>
    </row>
    <row r="3109" spans="1:27" ht="18">
      <c r="A3109" s="2712"/>
      <c r="B3109" s="371"/>
      <c r="C3109" s="371" t="s">
        <v>2565</v>
      </c>
      <c r="D3109" s="371"/>
      <c r="F3109" s="294"/>
      <c r="G3109" s="316" t="str">
        <f>"本注释A:"&amp; "账面价值分类加计"</f>
        <v>本注释A:账面价值分类加计</v>
      </c>
      <c r="H3109" s="456">
        <f>SUM(H3093:H3104)</f>
        <v>20891148.170000002</v>
      </c>
      <c r="I3109" s="351"/>
      <c r="J3109" s="351"/>
      <c r="K3109" s="351"/>
      <c r="L3109" s="351"/>
      <c r="M3109" s="351"/>
      <c r="N3109" s="351"/>
      <c r="O3109" s="351"/>
      <c r="P3109" s="456">
        <f>SUM(P3093:P3104)</f>
        <v>22921846.190000001</v>
      </c>
      <c r="Q3109" s="495"/>
      <c r="S3109" s="364"/>
      <c r="Z3109" s="609" t="s">
        <v>1246</v>
      </c>
      <c r="AA3109" s="609" t="s">
        <v>3720</v>
      </c>
    </row>
    <row r="3110" spans="1:27" ht="18">
      <c r="A3110" s="2712"/>
      <c r="B3110" s="371"/>
      <c r="C3110" s="371" t="s">
        <v>2565</v>
      </c>
      <c r="D3110" s="371"/>
      <c r="F3110" s="294"/>
      <c r="G3110" s="316" t="str">
        <f>"本注释B:"&amp; G3105</f>
        <v>本注释B:账面价值</v>
      </c>
      <c r="H3110" s="456">
        <f>H3105</f>
        <v>20891148.170000002</v>
      </c>
      <c r="I3110" s="351"/>
      <c r="J3110" s="351"/>
      <c r="K3110" s="351"/>
      <c r="L3110" s="351"/>
      <c r="M3110" s="351"/>
      <c r="N3110" s="351"/>
      <c r="O3110" s="351"/>
      <c r="P3110" s="456">
        <f>P3105</f>
        <v>22921846.190000001</v>
      </c>
      <c r="Q3110" s="495" t="s">
        <v>1245</v>
      </c>
      <c r="S3110" s="364"/>
      <c r="Z3110" s="609" t="s">
        <v>1246</v>
      </c>
      <c r="AA3110" s="609" t="s">
        <v>3720</v>
      </c>
    </row>
    <row r="3111" spans="1:27" ht="18.75" thickBot="1">
      <c r="A3111" s="2712"/>
      <c r="B3111" s="371"/>
      <c r="C3111" s="371" t="s">
        <v>2565</v>
      </c>
      <c r="D3111" s="371"/>
      <c r="F3111" s="294"/>
      <c r="G3111" s="1560" t="s">
        <v>2757</v>
      </c>
      <c r="H3111" s="1529">
        <f>IF(AND(H3109="",H3110=""),"",ROUND(H3109-H3110,2))</f>
        <v>0</v>
      </c>
      <c r="I3111" s="1553"/>
      <c r="J3111" s="1553"/>
      <c r="K3111" s="1553"/>
      <c r="L3111" s="1553"/>
      <c r="M3111" s="1553"/>
      <c r="N3111" s="1553"/>
      <c r="O3111" s="1553"/>
      <c r="P3111" s="1529">
        <f>IF(AND(P3109="",P3110=""),"",ROUND(P3109-P3110,2))</f>
        <v>0</v>
      </c>
      <c r="Q3111" s="1553"/>
      <c r="S3111" s="364"/>
      <c r="Z3111" s="609" t="s">
        <v>1246</v>
      </c>
      <c r="AA3111" s="609" t="s">
        <v>3720</v>
      </c>
    </row>
    <row r="3112" spans="1:27" ht="18.75" thickTop="1">
      <c r="A3112" s="2712"/>
      <c r="B3112" s="371"/>
      <c r="C3112" s="371" t="s">
        <v>2565</v>
      </c>
      <c r="D3112" s="371"/>
      <c r="F3112" s="294"/>
      <c r="G3112" s="354"/>
      <c r="H3112" s="459" t="str">
        <f>IF(OR(H3111=0,H3111=""),"√","？")</f>
        <v>√</v>
      </c>
      <c r="I3112" s="317"/>
      <c r="J3112" s="317"/>
      <c r="K3112" s="317"/>
      <c r="L3112" s="317"/>
      <c r="M3112" s="317"/>
      <c r="N3112" s="317"/>
      <c r="O3112" s="317"/>
      <c r="P3112" s="459" t="str">
        <f>IF(OR(P3111=0,P3111=""),"√","？")</f>
        <v>√</v>
      </c>
      <c r="Q3112" s="1558"/>
      <c r="S3112" s="364"/>
      <c r="Z3112" s="609" t="s">
        <v>1246</v>
      </c>
      <c r="AA3112" s="609" t="s">
        <v>3720</v>
      </c>
    </row>
    <row r="3113" spans="1:27" ht="18">
      <c r="A3113" s="2712"/>
      <c r="B3113" s="371"/>
      <c r="C3113" s="371" t="s">
        <v>2565</v>
      </c>
      <c r="D3113" s="371"/>
      <c r="F3113" s="294"/>
      <c r="G3113" s="460" t="s">
        <v>2759</v>
      </c>
      <c r="H3113" s="461"/>
      <c r="I3113" s="317"/>
      <c r="J3113" s="317"/>
      <c r="K3113" s="352">
        <f>SUMIF($H$3112:$Q$3112,"&lt;&gt;√",$H$3111:$Q$3111)</f>
        <v>0</v>
      </c>
      <c r="L3113" s="353" t="str">
        <f>IF(OR(K3113=0,K3113=""),"√","？")</f>
        <v>√</v>
      </c>
      <c r="M3113" s="317"/>
      <c r="N3113" s="317"/>
      <c r="O3113" s="317"/>
      <c r="P3113" s="461"/>
      <c r="Q3113" s="1558"/>
      <c r="S3113" s="364"/>
      <c r="Z3113" s="609" t="s">
        <v>1246</v>
      </c>
      <c r="AA3113" s="609" t="s">
        <v>3720</v>
      </c>
    </row>
    <row r="3114" spans="1:27" ht="18">
      <c r="A3114" s="2712"/>
      <c r="B3114" s="371"/>
      <c r="C3114" s="371" t="s">
        <v>2565</v>
      </c>
      <c r="D3114" s="371"/>
      <c r="F3114" s="294"/>
      <c r="G3114" s="354"/>
      <c r="H3114" s="461"/>
      <c r="I3114" s="317"/>
      <c r="J3114" s="317"/>
      <c r="K3114" s="317"/>
      <c r="L3114" s="317"/>
      <c r="M3114" s="317"/>
      <c r="N3114" s="317"/>
      <c r="O3114" s="317"/>
      <c r="P3114" s="461"/>
      <c r="Q3114" s="1558"/>
      <c r="S3114" s="364"/>
      <c r="Z3114" s="609" t="s">
        <v>1246</v>
      </c>
      <c r="AA3114" s="609" t="s">
        <v>3720</v>
      </c>
    </row>
    <row r="3115" spans="1:27" ht="24">
      <c r="A3115" s="2712" t="s">
        <v>1264</v>
      </c>
      <c r="B3115" s="371">
        <v>2</v>
      </c>
      <c r="C3115" s="371"/>
      <c r="D3115" s="2714" t="str">
        <f>VLOOKUP($A3115,Sheet_NoteList,2,0)</f>
        <v>未办妥产权证书的土地使用权情况</v>
      </c>
      <c r="E3115" s="2714" t="s">
        <v>2742</v>
      </c>
      <c r="F3115" s="293"/>
      <c r="G3115" s="372" t="str">
        <f>"("&amp;B3115&amp;")"&amp;D3115</f>
        <v>(2)未办妥产权证书的土地使用权情况</v>
      </c>
      <c r="H3115" s="1515" t="str">
        <f>$A3115</f>
        <v>1701f</v>
      </c>
      <c r="I3115" s="343" t="s">
        <v>2743</v>
      </c>
      <c r="J3115" s="301" t="s">
        <v>2744</v>
      </c>
      <c r="K3115" s="2208">
        <f>H3126</f>
        <v>0</v>
      </c>
      <c r="L3115" s="349"/>
      <c r="M3115" s="301"/>
      <c r="N3115" s="391"/>
      <c r="O3115" s="349"/>
      <c r="P3115" s="301"/>
      <c r="S3115" s="364"/>
      <c r="Z3115" s="609" t="s">
        <v>1246</v>
      </c>
      <c r="AA3115" s="609" t="s">
        <v>3720</v>
      </c>
    </row>
    <row r="3116" spans="1:27" ht="0.75" customHeight="1" thickBot="1">
      <c r="A3116" s="2712"/>
      <c r="B3116" s="371"/>
      <c r="C3116" s="371"/>
      <c r="D3116" s="2714"/>
      <c r="E3116" s="586"/>
      <c r="F3116" s="586"/>
      <c r="G3116" s="2222" t="s">
        <v>3721</v>
      </c>
      <c r="H3116" s="371" t="s">
        <v>2747</v>
      </c>
      <c r="I3116" s="371" t="s">
        <v>2821</v>
      </c>
      <c r="J3116" s="433"/>
      <c r="K3116" s="428"/>
      <c r="L3116" s="428"/>
      <c r="M3116" s="433"/>
      <c r="N3116" s="428"/>
      <c r="O3116" s="428"/>
      <c r="P3116" s="433"/>
      <c r="Q3116" s="442"/>
      <c r="R3116" s="443"/>
      <c r="S3116" s="364"/>
      <c r="Z3116" s="609" t="s">
        <v>1246</v>
      </c>
      <c r="AA3116" s="609" t="s">
        <v>3720</v>
      </c>
    </row>
    <row r="3117" spans="1:27" ht="24">
      <c r="A3117" s="2712"/>
      <c r="B3117" s="371"/>
      <c r="C3117" s="371"/>
      <c r="D3117" s="2714"/>
      <c r="E3117" s="586" t="s">
        <v>2749</v>
      </c>
      <c r="F3117" s="414"/>
      <c r="G3117" s="2359" t="s">
        <v>2870</v>
      </c>
      <c r="H3117" s="2364" t="s">
        <v>2863</v>
      </c>
      <c r="I3117" s="2365" t="s">
        <v>3635</v>
      </c>
      <c r="J3117" s="355" t="s">
        <v>5290</v>
      </c>
      <c r="K3117" s="434"/>
      <c r="L3117" s="434"/>
      <c r="M3117" s="435"/>
      <c r="N3117" s="434"/>
      <c r="O3117" s="434"/>
      <c r="P3117" s="435"/>
      <c r="Q3117" s="442"/>
      <c r="R3117" s="443"/>
      <c r="S3117" s="364"/>
      <c r="Z3117" s="609" t="s">
        <v>1246</v>
      </c>
      <c r="AA3117" s="609" t="s">
        <v>3720</v>
      </c>
    </row>
    <row r="3118" spans="1:27" ht="18">
      <c r="A3118" s="2712"/>
      <c r="B3118" s="371">
        <v>101</v>
      </c>
      <c r="C3118" s="371" t="s">
        <v>2791</v>
      </c>
      <c r="D3118" s="2714">
        <f t="shared" ref="D3118:D3126" si="370">IF(OR(G3118="*",G3118="",G3118=0),0,COUNTIF($G$3118:$G$3126,G3118))</f>
        <v>0</v>
      </c>
      <c r="E3118" s="2719">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8">
      <c r="A3119" s="2712"/>
      <c r="B3119" s="371">
        <v>102</v>
      </c>
      <c r="C3119" s="371" t="s">
        <v>2791</v>
      </c>
      <c r="D3119" s="2714">
        <f t="shared" si="370"/>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2"/>
      <c r="B3120" s="371">
        <v>103</v>
      </c>
      <c r="C3120" s="371" t="s">
        <v>2791</v>
      </c>
      <c r="D3120" s="2714">
        <f t="shared" si="370"/>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2"/>
      <c r="B3121" s="371">
        <v>104</v>
      </c>
      <c r="C3121" s="371" t="s">
        <v>2791</v>
      </c>
      <c r="D3121" s="2714">
        <f t="shared" si="370"/>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2"/>
      <c r="B3122" s="371">
        <v>105</v>
      </c>
      <c r="C3122" s="371" t="s">
        <v>2791</v>
      </c>
      <c r="D3122" s="2714">
        <f t="shared" si="370"/>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106</v>
      </c>
      <c r="C3123" s="371" t="s">
        <v>2791</v>
      </c>
      <c r="D3123" s="2714">
        <f t="shared" si="370"/>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
      <c r="A3124" s="2712"/>
      <c r="B3124" s="371">
        <v>107</v>
      </c>
      <c r="C3124" s="371" t="s">
        <v>2791</v>
      </c>
      <c r="D3124" s="2714">
        <f t="shared" si="370"/>
        <v>0</v>
      </c>
      <c r="E3124" s="2719">
        <v>1</v>
      </c>
      <c r="F3124" s="293"/>
      <c r="G3124" s="2373" t="s">
        <v>2792</v>
      </c>
      <c r="H3124" s="2273"/>
      <c r="I3124" s="2274"/>
      <c r="J3124" s="438"/>
      <c r="K3124" s="439"/>
      <c r="L3124" s="437"/>
      <c r="M3124" s="438"/>
      <c r="N3124" s="439"/>
      <c r="O3124" s="437"/>
      <c r="P3124" s="438"/>
      <c r="Q3124" s="442"/>
      <c r="R3124" s="443"/>
      <c r="S3124" s="364"/>
      <c r="Z3124" s="609" t="s">
        <v>1246</v>
      </c>
      <c r="AA3124" s="609" t="s">
        <v>3720</v>
      </c>
    </row>
    <row r="3125" spans="1:27" ht="18">
      <c r="A3125" s="2712"/>
      <c r="B3125" s="371">
        <v>108</v>
      </c>
      <c r="C3125" s="371" t="s">
        <v>2791</v>
      </c>
      <c r="D3125" s="2714">
        <f t="shared" si="370"/>
        <v>0</v>
      </c>
      <c r="E3125" s="2719">
        <v>1</v>
      </c>
      <c r="F3125" s="293"/>
      <c r="G3125" s="2373" t="s">
        <v>2792</v>
      </c>
      <c r="H3125" s="2273"/>
      <c r="I3125" s="2274"/>
      <c r="J3125" s="438"/>
      <c r="K3125" s="439"/>
      <c r="L3125" s="437"/>
      <c r="M3125" s="438"/>
      <c r="N3125" s="439"/>
      <c r="O3125" s="437"/>
      <c r="P3125" s="438"/>
      <c r="Q3125" s="442"/>
      <c r="R3125" s="443"/>
      <c r="S3125" s="364"/>
      <c r="Z3125" s="609" t="s">
        <v>1246</v>
      </c>
      <c r="AA3125" s="609" t="s">
        <v>3720</v>
      </c>
    </row>
    <row r="3126" spans="1:27" ht="18.75" thickBot="1">
      <c r="A3126" s="2712"/>
      <c r="B3126" s="371"/>
      <c r="C3126" s="371"/>
      <c r="D3126" s="2714">
        <f t="shared" si="370"/>
        <v>1</v>
      </c>
      <c r="E3126" s="2719" t="s">
        <v>2751</v>
      </c>
      <c r="F3126" s="293"/>
      <c r="G3126" s="2232" t="s">
        <v>2752</v>
      </c>
      <c r="H3126" s="2233">
        <f>SUMPRODUCT($E3117:$E3125,H3117:H3125)</f>
        <v>0</v>
      </c>
      <c r="I3126" s="2242"/>
      <c r="J3126" s="440"/>
      <c r="K3126" s="439"/>
      <c r="L3126" s="437"/>
      <c r="M3126" s="440"/>
      <c r="N3126" s="439"/>
      <c r="O3126" s="437"/>
      <c r="P3126" s="440"/>
      <c r="Q3126" s="442"/>
      <c r="R3126" s="443"/>
      <c r="S3126" s="364"/>
      <c r="Z3126" s="609" t="s">
        <v>1246</v>
      </c>
      <c r="AA3126" s="609" t="s">
        <v>3720</v>
      </c>
    </row>
    <row r="3127" spans="1:27" ht="18">
      <c r="A3127" s="2712"/>
      <c r="B3127" s="371"/>
      <c r="C3127" s="371" t="s">
        <v>2755</v>
      </c>
      <c r="D3127" s="2714"/>
      <c r="F3127" s="293"/>
      <c r="G3127" s="376"/>
      <c r="H3127" s="315"/>
      <c r="I3127" s="432"/>
      <c r="J3127" s="425"/>
      <c r="K3127" s="426"/>
      <c r="L3127" s="427"/>
      <c r="M3127" s="425"/>
      <c r="N3127" s="426"/>
      <c r="O3127" s="427"/>
      <c r="P3127" s="425"/>
      <c r="Q3127" s="442"/>
      <c r="R3127" s="443"/>
      <c r="S3127" s="364"/>
      <c r="Z3127" s="609" t="s">
        <v>1246</v>
      </c>
      <c r="AA3127" s="609" t="s">
        <v>3720</v>
      </c>
    </row>
    <row r="3128" spans="1:27" ht="36">
      <c r="A3128" s="2712" t="s">
        <v>1269</v>
      </c>
      <c r="B3128" s="371">
        <v>3</v>
      </c>
      <c r="C3128" s="371"/>
      <c r="D3128" s="2714" t="str">
        <f>VLOOKUP($A3128,Sheet_NoteList,2,0)</f>
        <v>未办妥产权证书的土地使用权及其累计摊销明细项目</v>
      </c>
      <c r="E3128" s="2714" t="s">
        <v>6529</v>
      </c>
      <c r="F3128" s="294"/>
      <c r="G3128" s="372" t="str">
        <f>"("&amp;B3128&amp;")"&amp;D3128</f>
        <v>(3)未办妥产权证书的土地使用权及其累计摊销明细项目</v>
      </c>
      <c r="H3128" s="1515" t="str">
        <f>$A3128</f>
        <v>1701e</v>
      </c>
      <c r="I3128" s="343" t="s">
        <v>5964</v>
      </c>
      <c r="J3128" s="301"/>
      <c r="K3128" s="3083"/>
      <c r="L3128" s="345"/>
      <c r="M3128" s="301"/>
      <c r="N3128" s="3083"/>
      <c r="O3128" s="315"/>
      <c r="P3128" s="301"/>
      <c r="Q3128" s="290" t="str">
        <f>IF($I3128="不适用","",IF(ROUND(SUM($H$3131:$L$3136),2)=0,"请输入",""))</f>
        <v>请输入</v>
      </c>
      <c r="S3128" s="364"/>
      <c r="Z3128" s="609" t="s">
        <v>1246</v>
      </c>
      <c r="AA3128" s="609" t="s">
        <v>3720</v>
      </c>
    </row>
    <row r="3129" spans="1:27" ht="0.75" customHeight="1" thickBot="1">
      <c r="A3129" s="2712"/>
      <c r="B3129" s="371"/>
      <c r="C3129" s="371"/>
      <c r="D3129" s="371"/>
      <c r="E3129" s="586"/>
      <c r="F3129" s="518"/>
      <c r="G3129" s="518" t="s">
        <v>3722</v>
      </c>
      <c r="H3129" s="304" t="s">
        <v>3287</v>
      </c>
      <c r="I3129" s="304" t="s">
        <v>3586</v>
      </c>
      <c r="J3129" s="304" t="s">
        <v>3612</v>
      </c>
      <c r="K3129" s="304" t="s">
        <v>3723</v>
      </c>
      <c r="L3129" s="304" t="s">
        <v>3614</v>
      </c>
      <c r="S3129" s="364"/>
      <c r="Z3129" s="609" t="s">
        <v>1246</v>
      </c>
      <c r="AA3129" s="609" t="s">
        <v>3720</v>
      </c>
    </row>
    <row r="3130" spans="1:27" ht="24">
      <c r="A3130" s="2712"/>
      <c r="B3130" s="371"/>
      <c r="C3130" s="371"/>
      <c r="D3130" s="371"/>
      <c r="E3130" s="586" t="s">
        <v>2749</v>
      </c>
      <c r="F3130" s="363"/>
      <c r="G3130" s="2361" t="s">
        <v>47</v>
      </c>
      <c r="H3130" s="2362" t="s">
        <v>2863</v>
      </c>
      <c r="I3130" s="2362" t="s">
        <v>3616</v>
      </c>
      <c r="J3130" s="2362" t="s">
        <v>3593</v>
      </c>
      <c r="K3130" s="2362" t="s">
        <v>568</v>
      </c>
      <c r="L3130" s="2363" t="s">
        <v>3097</v>
      </c>
      <c r="M3130" s="355" t="s">
        <v>6174</v>
      </c>
      <c r="N3130" s="532"/>
      <c r="S3130" s="364"/>
      <c r="Z3130" s="609" t="s">
        <v>1246</v>
      </c>
      <c r="AA3130" s="609" t="s">
        <v>3720</v>
      </c>
    </row>
    <row r="3131" spans="1:27" ht="18">
      <c r="A3131" s="2712"/>
      <c r="B3131" s="371">
        <v>101</v>
      </c>
      <c r="C3131" s="371" t="s">
        <v>2791</v>
      </c>
      <c r="D3131" s="2714">
        <f t="shared" ref="D3131:D3136" si="371">IF(OR(G3131="*",G3131="",G3131=0),0,COUNTIF($G$3131:$G$3136,G3131))</f>
        <v>0</v>
      </c>
      <c r="E3131" s="2719">
        <v>1</v>
      </c>
      <c r="F3131" s="294"/>
      <c r="G3131" s="2373" t="s">
        <v>2792</v>
      </c>
      <c r="H3131" s="2273"/>
      <c r="I3131" s="2296"/>
      <c r="J3131" s="2273"/>
      <c r="K3131" s="2273"/>
      <c r="L3131" s="2294"/>
      <c r="M3131" s="575"/>
      <c r="S3131" s="364"/>
      <c r="Z3131" s="609" t="s">
        <v>1246</v>
      </c>
      <c r="AA3131" s="609" t="s">
        <v>3720</v>
      </c>
    </row>
    <row r="3132" spans="1:27" ht="18">
      <c r="A3132" s="2712"/>
      <c r="B3132" s="371">
        <v>102</v>
      </c>
      <c r="C3132" s="371" t="s">
        <v>2791</v>
      </c>
      <c r="D3132" s="2714">
        <f t="shared" si="371"/>
        <v>0</v>
      </c>
      <c r="E3132" s="2719">
        <v>1</v>
      </c>
      <c r="F3132" s="294"/>
      <c r="G3132" s="2373" t="s">
        <v>2792</v>
      </c>
      <c r="H3132" s="2273"/>
      <c r="I3132" s="2296"/>
      <c r="J3132" s="2273"/>
      <c r="K3132" s="2273"/>
      <c r="L3132" s="2294"/>
      <c r="S3132" s="364"/>
      <c r="Z3132" s="609" t="s">
        <v>1246</v>
      </c>
      <c r="AA3132" s="609" t="s">
        <v>3720</v>
      </c>
    </row>
    <row r="3133" spans="1:27" ht="18">
      <c r="A3133" s="2712"/>
      <c r="B3133" s="371">
        <v>103</v>
      </c>
      <c r="C3133" s="371" t="s">
        <v>2791</v>
      </c>
      <c r="D3133" s="2714">
        <f t="shared" si="371"/>
        <v>0</v>
      </c>
      <c r="E3133" s="2719">
        <v>1</v>
      </c>
      <c r="F3133" s="294"/>
      <c r="G3133" s="2373" t="s">
        <v>2792</v>
      </c>
      <c r="H3133" s="2273"/>
      <c r="I3133" s="2296"/>
      <c r="J3133" s="2273"/>
      <c r="K3133" s="2273"/>
      <c r="L3133" s="2294"/>
      <c r="S3133" s="364"/>
      <c r="Z3133" s="609" t="s">
        <v>1246</v>
      </c>
      <c r="AA3133" s="609" t="s">
        <v>3720</v>
      </c>
    </row>
    <row r="3134" spans="1:27" ht="18">
      <c r="A3134" s="2712"/>
      <c r="B3134" s="371">
        <v>104</v>
      </c>
      <c r="C3134" s="371" t="s">
        <v>2791</v>
      </c>
      <c r="D3134" s="2714">
        <f t="shared" si="371"/>
        <v>0</v>
      </c>
      <c r="E3134" s="2719">
        <v>1</v>
      </c>
      <c r="F3134" s="294"/>
      <c r="G3134" s="2373" t="s">
        <v>2792</v>
      </c>
      <c r="H3134" s="2273"/>
      <c r="I3134" s="2296"/>
      <c r="J3134" s="2273"/>
      <c r="K3134" s="2273"/>
      <c r="L3134" s="2294"/>
      <c r="S3134" s="364"/>
      <c r="Z3134" s="609" t="s">
        <v>1246</v>
      </c>
      <c r="AA3134" s="609" t="s">
        <v>3720</v>
      </c>
    </row>
    <row r="3135" spans="1:27" ht="18">
      <c r="A3135" s="2712"/>
      <c r="B3135" s="371">
        <v>105</v>
      </c>
      <c r="C3135" s="371" t="s">
        <v>2791</v>
      </c>
      <c r="D3135" s="2714">
        <f t="shared" si="371"/>
        <v>0</v>
      </c>
      <c r="E3135" s="2719">
        <v>1</v>
      </c>
      <c r="F3135" s="294"/>
      <c r="G3135" s="2373" t="s">
        <v>2792</v>
      </c>
      <c r="H3135" s="2273"/>
      <c r="I3135" s="2296"/>
      <c r="J3135" s="2273"/>
      <c r="K3135" s="2273"/>
      <c r="L3135" s="2294"/>
      <c r="S3135" s="364"/>
      <c r="Z3135" s="609" t="s">
        <v>1246</v>
      </c>
      <c r="AA3135" s="609" t="s">
        <v>3720</v>
      </c>
    </row>
    <row r="3136" spans="1:27" ht="18.75" thickBot="1">
      <c r="A3136" s="2712"/>
      <c r="B3136" s="371"/>
      <c r="C3136" s="371"/>
      <c r="D3136" s="2714">
        <f t="shared" si="371"/>
        <v>0</v>
      </c>
      <c r="E3136" s="2719" t="s">
        <v>3595</v>
      </c>
      <c r="F3136" s="294"/>
      <c r="G3136" s="590"/>
      <c r="H3136" s="2315"/>
      <c r="I3136" s="2374"/>
      <c r="J3136" s="2315"/>
      <c r="K3136" s="2315"/>
      <c r="L3136" s="2382"/>
      <c r="S3136" s="364"/>
      <c r="Z3136" s="609" t="s">
        <v>1246</v>
      </c>
      <c r="AA3136" s="609" t="s">
        <v>3720</v>
      </c>
    </row>
    <row r="3137" spans="1:27" ht="18">
      <c r="A3137" s="2712"/>
      <c r="B3137" s="371"/>
      <c r="C3137" s="371" t="s">
        <v>2755</v>
      </c>
      <c r="D3137" s="371"/>
      <c r="F3137" s="294"/>
      <c r="G3137" s="301"/>
      <c r="H3137" s="315"/>
      <c r="I3137" s="393"/>
      <c r="J3137" s="315"/>
      <c r="K3137" s="315"/>
      <c r="L3137" s="315"/>
      <c r="M3137" s="349"/>
      <c r="S3137" s="364"/>
      <c r="Z3137" s="609" t="s">
        <v>1246</v>
      </c>
      <c r="AA3137" s="609" t="s">
        <v>3720</v>
      </c>
    </row>
    <row r="3138" spans="1:27" ht="24">
      <c r="A3138" s="2712" t="s">
        <v>6051</v>
      </c>
      <c r="B3138" s="371">
        <v>4</v>
      </c>
      <c r="C3138" s="371"/>
      <c r="D3138" s="2714" t="str">
        <f>VLOOKUP($A3138,Sheet_NoteList,2,0)</f>
        <v>无形资产抵押或担保情况</v>
      </c>
      <c r="E3138" s="2714" t="s">
        <v>6529</v>
      </c>
      <c r="F3138" s="293"/>
      <c r="G3138" s="372" t="str">
        <f>"("&amp;B3138&amp;")"&amp;D3138</f>
        <v>(4)无形资产抵押或担保情况</v>
      </c>
      <c r="H3138" s="1515" t="str">
        <f>$A3138</f>
        <v>1701g</v>
      </c>
      <c r="I3138" s="343" t="s">
        <v>6055</v>
      </c>
      <c r="J3138" s="301" t="s">
        <v>6056</v>
      </c>
      <c r="K3138" s="2208">
        <f>K3149</f>
        <v>0</v>
      </c>
      <c r="L3138" s="349"/>
      <c r="M3138" s="301"/>
      <c r="N3138" s="391"/>
      <c r="O3138" s="349"/>
      <c r="P3138" s="301"/>
      <c r="S3138" s="364"/>
      <c r="Z3138" s="609" t="s">
        <v>1246</v>
      </c>
      <c r="AA3138" s="609" t="s">
        <v>3720</v>
      </c>
    </row>
    <row r="3139" spans="1:27" ht="0.75" customHeight="1" thickBot="1">
      <c r="A3139" s="2712"/>
      <c r="B3139" s="371"/>
      <c r="C3139" s="371"/>
      <c r="D3139" s="2714"/>
      <c r="E3139" s="586"/>
      <c r="F3139" s="586"/>
      <c r="G3139" s="2222" t="s">
        <v>6058</v>
      </c>
      <c r="H3139" s="1615" t="s">
        <v>3588</v>
      </c>
      <c r="I3139" s="371" t="s">
        <v>3724</v>
      </c>
      <c r="J3139" s="371" t="s">
        <v>3590</v>
      </c>
      <c r="K3139" s="547" t="s">
        <v>3591</v>
      </c>
      <c r="L3139" s="547" t="s">
        <v>3592</v>
      </c>
      <c r="M3139" s="301"/>
      <c r="N3139" s="391"/>
      <c r="O3139" s="349"/>
      <c r="P3139" s="301"/>
      <c r="S3139" s="364"/>
      <c r="Z3139" s="609" t="s">
        <v>1246</v>
      </c>
      <c r="AA3139" s="609" t="s">
        <v>3720</v>
      </c>
    </row>
    <row r="3140" spans="1:27" ht="18">
      <c r="A3140" s="2712"/>
      <c r="B3140" s="371"/>
      <c r="C3140" s="371"/>
      <c r="D3140" s="2714"/>
      <c r="E3140" s="586" t="s">
        <v>2749</v>
      </c>
      <c r="F3140" s="414"/>
      <c r="G3140" s="2361" t="s">
        <v>47</v>
      </c>
      <c r="H3140" s="2358" t="s">
        <v>3593</v>
      </c>
      <c r="I3140" s="2362" t="s">
        <v>568</v>
      </c>
      <c r="J3140" s="2362" t="s">
        <v>3097</v>
      </c>
      <c r="K3140" s="2388" t="s">
        <v>5170</v>
      </c>
      <c r="L3140" s="2387" t="s">
        <v>3594</v>
      </c>
      <c r="M3140" s="355" t="s">
        <v>6174</v>
      </c>
      <c r="N3140" s="391"/>
      <c r="O3140" s="349"/>
      <c r="P3140" s="301"/>
      <c r="S3140" s="364"/>
      <c r="Z3140" s="609" t="s">
        <v>1246</v>
      </c>
      <c r="AA3140" s="609" t="s">
        <v>3720</v>
      </c>
    </row>
    <row r="3141" spans="1:27" ht="18">
      <c r="A3141" s="2712"/>
      <c r="B3141" s="371">
        <v>101</v>
      </c>
      <c r="C3141" s="371" t="s">
        <v>2791</v>
      </c>
      <c r="D3141" s="2714">
        <f t="shared" ref="D3141:D3149" si="372">IF(OR(G3141="*",G3141="",G3141=0),0,COUNTIF($G$3141:$G$3149,G3141))</f>
        <v>1</v>
      </c>
      <c r="E3141" s="2719">
        <v>1</v>
      </c>
      <c r="F3141" s="293"/>
      <c r="G3141" s="2373" t="s">
        <v>6061</v>
      </c>
      <c r="H3141" s="2273"/>
      <c r="I3141" s="2273"/>
      <c r="J3141" s="2273"/>
      <c r="K3141" s="2273"/>
      <c r="L3141" s="2274"/>
      <c r="M3141" s="301"/>
      <c r="N3141" s="391"/>
      <c r="O3141" s="349"/>
      <c r="P3141" s="301"/>
      <c r="S3141" s="364"/>
      <c r="Z3141" s="609" t="s">
        <v>1246</v>
      </c>
      <c r="AA3141" s="609" t="s">
        <v>3720</v>
      </c>
    </row>
    <row r="3142" spans="1:27" ht="18">
      <c r="A3142" s="2712"/>
      <c r="B3142" s="371">
        <v>102</v>
      </c>
      <c r="C3142" s="371" t="s">
        <v>2791</v>
      </c>
      <c r="D3142" s="2714">
        <f t="shared" si="372"/>
        <v>0</v>
      </c>
      <c r="E3142" s="2719">
        <v>1</v>
      </c>
      <c r="F3142" s="293"/>
      <c r="G3142" s="2373" t="s">
        <v>2792</v>
      </c>
      <c r="H3142" s="2273"/>
      <c r="I3142" s="2273"/>
      <c r="J3142" s="2273"/>
      <c r="K3142" s="2273"/>
      <c r="L3142" s="2274"/>
      <c r="M3142" s="301"/>
      <c r="N3142" s="391"/>
      <c r="O3142" s="349"/>
      <c r="P3142" s="301"/>
      <c r="S3142" s="364"/>
      <c r="Z3142" s="609" t="s">
        <v>1246</v>
      </c>
      <c r="AA3142" s="609" t="s">
        <v>3720</v>
      </c>
    </row>
    <row r="3143" spans="1:27" ht="18">
      <c r="A3143" s="2712"/>
      <c r="B3143" s="371">
        <v>103</v>
      </c>
      <c r="C3143" s="371" t="s">
        <v>2791</v>
      </c>
      <c r="D3143" s="2714">
        <f t="shared" si="372"/>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2"/>
      <c r="B3144" s="371">
        <v>104</v>
      </c>
      <c r="C3144" s="371" t="s">
        <v>2791</v>
      </c>
      <c r="D3144" s="2714">
        <f t="shared" si="372"/>
        <v>1</v>
      </c>
      <c r="E3144" s="2719">
        <v>1</v>
      </c>
      <c r="F3144" s="293"/>
      <c r="G3144" s="2373" t="s">
        <v>6060</v>
      </c>
      <c r="H3144" s="2273"/>
      <c r="I3144" s="2273"/>
      <c r="J3144" s="2273"/>
      <c r="K3144" s="2273"/>
      <c r="L3144" s="2274"/>
      <c r="M3144" s="301"/>
      <c r="N3144" s="391"/>
      <c r="O3144" s="349"/>
      <c r="P3144" s="301"/>
      <c r="S3144" s="364"/>
      <c r="Z3144" s="609" t="s">
        <v>1246</v>
      </c>
      <c r="AA3144" s="609" t="s">
        <v>3720</v>
      </c>
    </row>
    <row r="3145" spans="1:27" ht="18">
      <c r="A3145" s="2712"/>
      <c r="B3145" s="371">
        <v>105</v>
      </c>
      <c r="C3145" s="371" t="s">
        <v>2791</v>
      </c>
      <c r="D3145" s="2714">
        <f t="shared" si="372"/>
        <v>0</v>
      </c>
      <c r="E3145" s="2719">
        <v>1</v>
      </c>
      <c r="F3145" s="293"/>
      <c r="G3145" s="2373" t="s">
        <v>2792</v>
      </c>
      <c r="H3145" s="2273"/>
      <c r="I3145" s="2273"/>
      <c r="J3145" s="2273"/>
      <c r="K3145" s="2273"/>
      <c r="L3145" s="2274"/>
      <c r="M3145" s="301"/>
      <c r="N3145" s="391"/>
      <c r="O3145" s="349"/>
      <c r="P3145" s="301"/>
      <c r="S3145" s="364"/>
      <c r="Z3145" s="609" t="s">
        <v>1246</v>
      </c>
      <c r="AA3145" s="609" t="s">
        <v>3720</v>
      </c>
    </row>
    <row r="3146" spans="1:27" ht="18">
      <c r="A3146" s="2712"/>
      <c r="B3146" s="371">
        <v>106</v>
      </c>
      <c r="C3146" s="371" t="s">
        <v>2791</v>
      </c>
      <c r="D3146" s="2714">
        <f t="shared" si="372"/>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
      <c r="A3147" s="2712"/>
      <c r="B3147" s="371">
        <v>107</v>
      </c>
      <c r="C3147" s="371" t="s">
        <v>2791</v>
      </c>
      <c r="D3147" s="2714">
        <f t="shared" si="372"/>
        <v>0</v>
      </c>
      <c r="E3147" s="2719">
        <v>1</v>
      </c>
      <c r="F3147" s="293"/>
      <c r="G3147" s="2373" t="s">
        <v>2792</v>
      </c>
      <c r="H3147" s="2273"/>
      <c r="I3147" s="2273"/>
      <c r="J3147" s="2273"/>
      <c r="K3147" s="2273"/>
      <c r="L3147" s="2274"/>
      <c r="M3147" s="301"/>
      <c r="N3147" s="391"/>
      <c r="O3147" s="349"/>
      <c r="P3147" s="301"/>
      <c r="S3147" s="364"/>
      <c r="Z3147" s="609" t="s">
        <v>1246</v>
      </c>
      <c r="AA3147" s="609" t="s">
        <v>3720</v>
      </c>
    </row>
    <row r="3148" spans="1:27" ht="18">
      <c r="A3148" s="2712"/>
      <c r="B3148" s="371">
        <v>108</v>
      </c>
      <c r="C3148" s="371" t="s">
        <v>2791</v>
      </c>
      <c r="D3148" s="2714">
        <f t="shared" si="372"/>
        <v>0</v>
      </c>
      <c r="E3148" s="2719">
        <v>1</v>
      </c>
      <c r="F3148" s="293"/>
      <c r="G3148" s="2373" t="s">
        <v>2792</v>
      </c>
      <c r="H3148" s="2273"/>
      <c r="I3148" s="2273"/>
      <c r="J3148" s="2273"/>
      <c r="K3148" s="2273"/>
      <c r="L3148" s="2274"/>
      <c r="M3148" s="301"/>
      <c r="N3148" s="391"/>
      <c r="O3148" s="349"/>
      <c r="P3148" s="301"/>
      <c r="S3148" s="364"/>
      <c r="Z3148" s="609" t="s">
        <v>1246</v>
      </c>
      <c r="AA3148" s="609" t="s">
        <v>3720</v>
      </c>
    </row>
    <row r="3149" spans="1:27" ht="18.75" thickBot="1">
      <c r="A3149" s="2712"/>
      <c r="B3149" s="371"/>
      <c r="C3149" s="371"/>
      <c r="D3149" s="2714">
        <f t="shared" si="372"/>
        <v>1</v>
      </c>
      <c r="E3149" s="2719" t="s">
        <v>2751</v>
      </c>
      <c r="F3149" s="293"/>
      <c r="G3149" s="1527" t="s">
        <v>2752</v>
      </c>
      <c r="H3149" s="1525">
        <f>SUMPRODUCT($E3140:$E3148,H3140:H3148)</f>
        <v>0</v>
      </c>
      <c r="I3149" s="1525">
        <f>SUMPRODUCT($E3140:$E3148,I3140:I3148)</f>
        <v>0</v>
      </c>
      <c r="J3149" s="1525">
        <f>SUMPRODUCT($E3140:$E3148,J3140:J3148)</f>
        <v>0</v>
      </c>
      <c r="K3149" s="1525">
        <f>SUMPRODUCT($E3140:$E3148,K3140:K3148)</f>
        <v>0</v>
      </c>
      <c r="L3149" s="2264"/>
      <c r="M3149" s="301"/>
      <c r="N3149" s="391"/>
      <c r="O3149" s="349"/>
      <c r="P3149" s="301"/>
      <c r="S3149" s="364"/>
      <c r="Z3149" s="609" t="s">
        <v>1246</v>
      </c>
      <c r="AA3149" s="609" t="s">
        <v>3720</v>
      </c>
    </row>
    <row r="3150" spans="1:27" ht="18">
      <c r="A3150" s="2712"/>
      <c r="B3150" s="371"/>
      <c r="C3150" s="371" t="s">
        <v>2755</v>
      </c>
      <c r="D3150" s="2714"/>
      <c r="F3150" s="293"/>
      <c r="G3150" s="376"/>
      <c r="H3150" s="1574"/>
      <c r="I3150" s="396"/>
      <c r="J3150" s="315"/>
      <c r="K3150" s="423"/>
      <c r="L3150" s="393"/>
      <c r="M3150" s="301"/>
      <c r="N3150" s="391"/>
      <c r="O3150" s="349"/>
      <c r="P3150" s="301"/>
      <c r="S3150" s="364"/>
      <c r="Z3150" s="609" t="s">
        <v>1246</v>
      </c>
      <c r="AA3150" s="609" t="s">
        <v>3720</v>
      </c>
    </row>
    <row r="3151" spans="1:27" ht="18">
      <c r="A3151" s="2712" t="s">
        <v>6052</v>
      </c>
      <c r="B3151" s="371">
        <v>5</v>
      </c>
      <c r="C3151" s="371"/>
      <c r="D3151" s="2714" t="str">
        <f>VLOOKUP($A3151,Sheet_NoteList,2,0)</f>
        <v>无形资产补充资料</v>
      </c>
      <c r="E3151" s="2714" t="s">
        <v>6529</v>
      </c>
      <c r="F3151" s="293"/>
      <c r="G3151" s="372" t="str">
        <f>"("&amp;B3151&amp;")"&amp;D3151</f>
        <v>(5)无形资产补充资料</v>
      </c>
      <c r="H3151" s="1515" t="str">
        <f>$A3151</f>
        <v>1701h</v>
      </c>
      <c r="I3151" s="343" t="s">
        <v>6055</v>
      </c>
      <c r="J3151" s="301" t="s">
        <v>6056</v>
      </c>
      <c r="K3151" s="2208">
        <f>H3162</f>
        <v>0</v>
      </c>
      <c r="L3151" s="349">
        <f>IF($I3151="适用",IF(ROUND(K$3044-K3151,2)=0,"F/S",ROUND(K$3044-K3151,2)),"#N/A")</f>
        <v>22921846.190000001</v>
      </c>
      <c r="M3151" s="301" t="s">
        <v>6057</v>
      </c>
      <c r="N3151" s="2208">
        <f>I3162</f>
        <v>0</v>
      </c>
      <c r="O3151" s="349">
        <f>IF($I3151="适用",IF(ROUND(N$3044-N3151,2)=0,"F/S",ROUND(N$3044-N3151,2)),"#N/A")</f>
        <v>20891148.170000002</v>
      </c>
      <c r="P3151" s="301"/>
      <c r="S3151" s="364"/>
      <c r="Z3151" s="609" t="s">
        <v>1246</v>
      </c>
      <c r="AA3151" s="609" t="s">
        <v>3720</v>
      </c>
    </row>
    <row r="3152" spans="1:27" ht="0.75" customHeight="1" thickBot="1">
      <c r="A3152" s="2712"/>
      <c r="B3152" s="371"/>
      <c r="C3152" s="371"/>
      <c r="D3152" s="2714"/>
      <c r="E3152" s="586"/>
      <c r="F3152" s="586"/>
      <c r="G3152" s="2222" t="s">
        <v>6059</v>
      </c>
      <c r="H3152" s="1615" t="s">
        <v>6271</v>
      </c>
      <c r="I3152" s="371" t="s">
        <v>6272</v>
      </c>
      <c r="J3152" s="371" t="s">
        <v>6273</v>
      </c>
      <c r="K3152" s="547" t="s">
        <v>6274</v>
      </c>
      <c r="L3152" s="547" t="s">
        <v>6275</v>
      </c>
      <c r="M3152" s="371" t="s">
        <v>6276</v>
      </c>
      <c r="N3152" s="547" t="s">
        <v>6277</v>
      </c>
      <c r="O3152" s="547" t="s">
        <v>6278</v>
      </c>
      <c r="P3152" s="371" t="s">
        <v>6279</v>
      </c>
      <c r="S3152" s="364"/>
      <c r="Z3152" s="609" t="s">
        <v>1246</v>
      </c>
      <c r="AA3152" s="609" t="s">
        <v>3720</v>
      </c>
    </row>
    <row r="3153" spans="1:27" ht="18">
      <c r="A3153" s="2712"/>
      <c r="B3153" s="371"/>
      <c r="C3153" s="371"/>
      <c r="D3153" s="2714"/>
      <c r="E3153" s="586" t="s">
        <v>2749</v>
      </c>
      <c r="F3153" s="414"/>
      <c r="G3153" s="2361" t="s">
        <v>47</v>
      </c>
      <c r="H3153" s="2362" t="s">
        <v>6062</v>
      </c>
      <c r="I3153" s="2362" t="s">
        <v>6063</v>
      </c>
      <c r="J3153" s="2362" t="s">
        <v>2544</v>
      </c>
      <c r="K3153" s="1641" t="s">
        <v>6038</v>
      </c>
      <c r="L3153" s="1641" t="s">
        <v>6039</v>
      </c>
      <c r="M3153" s="2362" t="s">
        <v>2549</v>
      </c>
      <c r="N3153" s="1641" t="s">
        <v>6040</v>
      </c>
      <c r="O3153" s="1641" t="s">
        <v>6041</v>
      </c>
      <c r="P3153" s="2363" t="s">
        <v>3277</v>
      </c>
      <c r="Q3153" s="355" t="s">
        <v>6174</v>
      </c>
      <c r="S3153" s="364"/>
      <c r="Z3153" s="609" t="s">
        <v>1246</v>
      </c>
      <c r="AA3153" s="609" t="s">
        <v>3720</v>
      </c>
    </row>
    <row r="3154" spans="1:27" ht="18">
      <c r="A3154" s="2712"/>
      <c r="B3154" s="371">
        <v>101</v>
      </c>
      <c r="C3154" s="371" t="s">
        <v>2791</v>
      </c>
      <c r="D3154" s="2714">
        <f t="shared" ref="D3154:D3162" si="373">IF(OR(G3154="*",G3154="",G3154=0),0,COUNTIF($G$3154:$G$3162,G3154))</f>
        <v>0</v>
      </c>
      <c r="E3154" s="2719">
        <v>1</v>
      </c>
      <c r="F3154" s="293"/>
      <c r="G3154" s="2373" t="s">
        <v>2792</v>
      </c>
      <c r="H3154" s="2273"/>
      <c r="I3154" s="2273"/>
      <c r="J3154" s="2273"/>
      <c r="K3154" s="2296"/>
      <c r="L3154" s="2296"/>
      <c r="M3154" s="2273"/>
      <c r="N3154" s="2296"/>
      <c r="O3154" s="2296"/>
      <c r="P3154" s="2294"/>
      <c r="S3154" s="364"/>
      <c r="Z3154" s="609" t="s">
        <v>1246</v>
      </c>
      <c r="AA3154" s="609" t="s">
        <v>3720</v>
      </c>
    </row>
    <row r="3155" spans="1:27" ht="18">
      <c r="A3155" s="2712"/>
      <c r="B3155" s="371">
        <v>102</v>
      </c>
      <c r="C3155" s="371" t="s">
        <v>2791</v>
      </c>
      <c r="D3155" s="2714">
        <f t="shared" si="373"/>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2"/>
      <c r="B3156" s="371">
        <v>103</v>
      </c>
      <c r="C3156" s="371" t="s">
        <v>2791</v>
      </c>
      <c r="D3156" s="2714">
        <f t="shared" si="373"/>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2"/>
      <c r="B3157" s="371">
        <v>104</v>
      </c>
      <c r="C3157" s="371" t="s">
        <v>2791</v>
      </c>
      <c r="D3157" s="2714">
        <f t="shared" si="373"/>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2"/>
      <c r="B3158" s="371">
        <v>105</v>
      </c>
      <c r="C3158" s="371" t="s">
        <v>2791</v>
      </c>
      <c r="D3158" s="2714">
        <f t="shared" si="373"/>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106</v>
      </c>
      <c r="C3159" s="371" t="s">
        <v>2791</v>
      </c>
      <c r="D3159" s="2714">
        <f t="shared" si="373"/>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
      <c r="A3160" s="2712"/>
      <c r="B3160" s="371">
        <v>107</v>
      </c>
      <c r="C3160" s="371" t="s">
        <v>2791</v>
      </c>
      <c r="D3160" s="2714">
        <f t="shared" si="373"/>
        <v>0</v>
      </c>
      <c r="E3160" s="2719">
        <v>1</v>
      </c>
      <c r="F3160" s="293"/>
      <c r="G3160" s="2373" t="s">
        <v>2792</v>
      </c>
      <c r="H3160" s="2273"/>
      <c r="I3160" s="2273"/>
      <c r="J3160" s="2273"/>
      <c r="K3160" s="2296"/>
      <c r="L3160" s="2296"/>
      <c r="M3160" s="2273"/>
      <c r="N3160" s="2296"/>
      <c r="O3160" s="2296"/>
      <c r="P3160" s="2294"/>
      <c r="S3160" s="364"/>
      <c r="Z3160" s="609" t="s">
        <v>1246</v>
      </c>
      <c r="AA3160" s="609" t="s">
        <v>3720</v>
      </c>
    </row>
    <row r="3161" spans="1:27" ht="18">
      <c r="A3161" s="2712"/>
      <c r="B3161" s="371">
        <v>108</v>
      </c>
      <c r="C3161" s="371" t="s">
        <v>2791</v>
      </c>
      <c r="D3161" s="2714">
        <f t="shared" si="373"/>
        <v>0</v>
      </c>
      <c r="E3161" s="2719">
        <v>1</v>
      </c>
      <c r="F3161" s="293"/>
      <c r="G3161" s="2373" t="s">
        <v>2792</v>
      </c>
      <c r="H3161" s="2273"/>
      <c r="I3161" s="2273"/>
      <c r="J3161" s="2273"/>
      <c r="K3161" s="2296"/>
      <c r="L3161" s="2296"/>
      <c r="M3161" s="2273"/>
      <c r="N3161" s="2296"/>
      <c r="O3161" s="2296"/>
      <c r="P3161" s="2294"/>
      <c r="S3161" s="364"/>
      <c r="Z3161" s="609" t="s">
        <v>1246</v>
      </c>
      <c r="AA3161" s="609" t="s">
        <v>3720</v>
      </c>
    </row>
    <row r="3162" spans="1:27" ht="18.75" thickBot="1">
      <c r="A3162" s="2712"/>
      <c r="B3162" s="371"/>
      <c r="C3162" s="371"/>
      <c r="D3162" s="2714">
        <f t="shared" si="373"/>
        <v>1</v>
      </c>
      <c r="E3162" s="2719" t="s">
        <v>2751</v>
      </c>
      <c r="F3162" s="293"/>
      <c r="G3162" s="1527" t="s">
        <v>2752</v>
      </c>
      <c r="H3162" s="1525">
        <f>SUMPRODUCT($E3153:$E3161,H3153:H3161)</f>
        <v>0</v>
      </c>
      <c r="I3162" s="1525">
        <f>SUMPRODUCT($E3153:$E3161,I3153:I3161)</f>
        <v>0</v>
      </c>
      <c r="J3162" s="1525">
        <f>SUMPRODUCT($E3153:$E3161,J3153:J3161)</f>
        <v>0</v>
      </c>
      <c r="K3162" s="2314"/>
      <c r="L3162" s="2314"/>
      <c r="M3162" s="1525">
        <f>SUMPRODUCT($E3153:$E3161,M3153:M3161)</f>
        <v>0</v>
      </c>
      <c r="N3162" s="2314"/>
      <c r="O3162" s="2314"/>
      <c r="P3162" s="1526">
        <f>SUMPRODUCT($E3153:$E3161,P3153:P3161)</f>
        <v>0</v>
      </c>
      <c r="S3162" s="364"/>
      <c r="Z3162" s="609" t="s">
        <v>1246</v>
      </c>
      <c r="AA3162" s="609" t="s">
        <v>3720</v>
      </c>
    </row>
    <row r="3163" spans="1:27" ht="18">
      <c r="A3163" s="2712"/>
      <c r="B3163" s="371"/>
      <c r="C3163" s="371" t="s">
        <v>2755</v>
      </c>
      <c r="D3163" s="2714"/>
      <c r="F3163" s="293"/>
      <c r="G3163" s="376"/>
      <c r="H3163" s="1574"/>
      <c r="I3163" s="396"/>
      <c r="J3163" s="315"/>
      <c r="K3163" s="392"/>
      <c r="L3163" s="393"/>
      <c r="M3163" s="315"/>
      <c r="N3163" s="392"/>
      <c r="O3163" s="393"/>
      <c r="P3163" s="315"/>
      <c r="S3163" s="364"/>
      <c r="Z3163" s="609" t="s">
        <v>1246</v>
      </c>
      <c r="AA3163" s="609" t="s">
        <v>3720</v>
      </c>
    </row>
    <row r="3164" spans="1:27" ht="24">
      <c r="A3164" s="2712" t="s">
        <v>1274</v>
      </c>
      <c r="B3164" s="371">
        <v>6</v>
      </c>
      <c r="C3164" s="371"/>
      <c r="D3164" s="2714" t="str">
        <f>VLOOKUP($A3164,Sheet_NoteList,2,0)</f>
        <v>无形资产累计摊销补充资料</v>
      </c>
      <c r="E3164" s="2714" t="s">
        <v>6529</v>
      </c>
      <c r="F3164" s="294"/>
      <c r="G3164" s="372" t="str">
        <f>"("&amp;B3164&amp;")"&amp;D3164</f>
        <v>(6)无形资产累计摊销补充资料</v>
      </c>
      <c r="H3164" s="1515" t="str">
        <f>$A3164</f>
        <v>1701x</v>
      </c>
      <c r="I3164" s="343" t="s">
        <v>5964</v>
      </c>
      <c r="J3164" s="301"/>
      <c r="K3164" s="3083"/>
      <c r="L3164" s="315"/>
      <c r="M3164" s="301"/>
      <c r="N3164" s="3083"/>
      <c r="O3164" s="315"/>
      <c r="P3164" s="301"/>
      <c r="S3164" s="364"/>
      <c r="Z3164" s="609" t="s">
        <v>1246</v>
      </c>
      <c r="AA3164" s="609" t="s">
        <v>3720</v>
      </c>
    </row>
    <row r="3165" spans="1:27" ht="0.75" customHeight="1" thickBot="1">
      <c r="A3165" s="2712"/>
      <c r="B3165" s="371"/>
      <c r="C3165" s="371"/>
      <c r="D3165" s="371"/>
      <c r="E3165" s="586"/>
      <c r="F3165" s="586"/>
      <c r="G3165" s="586" t="s">
        <v>3725</v>
      </c>
      <c r="H3165" s="371" t="s">
        <v>3620</v>
      </c>
      <c r="I3165" s="371" t="s">
        <v>2821</v>
      </c>
      <c r="J3165" s="291"/>
      <c r="S3165" s="364"/>
      <c r="Z3165" s="609" t="s">
        <v>1246</v>
      </c>
      <c r="AA3165" s="609" t="s">
        <v>3720</v>
      </c>
    </row>
    <row r="3166" spans="1:27" ht="18">
      <c r="A3166" s="2712"/>
      <c r="B3166" s="371"/>
      <c r="C3166" s="371"/>
      <c r="D3166" s="371"/>
      <c r="E3166" s="586" t="s">
        <v>2749</v>
      </c>
      <c r="F3166" s="363"/>
      <c r="G3166" s="2361" t="s">
        <v>47</v>
      </c>
      <c r="H3166" s="2362" t="s">
        <v>2887</v>
      </c>
      <c r="I3166" s="2363" t="s">
        <v>2508</v>
      </c>
      <c r="J3166" s="355" t="s">
        <v>6174</v>
      </c>
      <c r="K3166" s="532"/>
      <c r="L3166" s="532"/>
      <c r="M3166" s="532"/>
      <c r="S3166" s="364"/>
      <c r="Z3166" s="609" t="s">
        <v>1246</v>
      </c>
      <c r="AA3166" s="609" t="s">
        <v>3720</v>
      </c>
    </row>
    <row r="3167" spans="1:27" ht="18">
      <c r="A3167" s="2712"/>
      <c r="B3167" s="371">
        <v>101</v>
      </c>
      <c r="C3167" s="371"/>
      <c r="D3167" s="2714">
        <f t="shared" ref="D3167:D3174" si="374">IF(OR(G3167="*",G3167="",G3167=0),0,COUNTIF($G$3167:$G$3174,G3167))</f>
        <v>1</v>
      </c>
      <c r="E3167" s="2719" t="s">
        <v>41</v>
      </c>
      <c r="F3167" s="294"/>
      <c r="G3167" s="1472" t="s">
        <v>3726</v>
      </c>
      <c r="H3167" s="2273"/>
      <c r="I3167" s="2274"/>
      <c r="J3167" s="579"/>
      <c r="S3167" s="364"/>
      <c r="Z3167" s="609" t="s">
        <v>1246</v>
      </c>
      <c r="AA3167" s="609" t="s">
        <v>3720</v>
      </c>
    </row>
    <row r="3168" spans="1:27" ht="18">
      <c r="A3168" s="2712"/>
      <c r="B3168" s="371">
        <v>102</v>
      </c>
      <c r="C3168" s="371" t="s">
        <v>2791</v>
      </c>
      <c r="D3168" s="2714">
        <f t="shared" si="374"/>
        <v>1</v>
      </c>
      <c r="E3168" s="2719">
        <v>-1</v>
      </c>
      <c r="F3168" s="294"/>
      <c r="G3168" s="578" t="s">
        <v>3727</v>
      </c>
      <c r="H3168" s="2273">
        <v>507056.61</v>
      </c>
      <c r="I3168" s="2274"/>
      <c r="S3168" s="364"/>
      <c r="Z3168" s="609" t="s">
        <v>1246</v>
      </c>
      <c r="AA3168" s="609" t="s">
        <v>3720</v>
      </c>
    </row>
    <row r="3169" spans="1:27" ht="18">
      <c r="A3169" s="2712"/>
      <c r="B3169" s="371">
        <v>103</v>
      </c>
      <c r="C3169" s="371" t="s">
        <v>2791</v>
      </c>
      <c r="D3169" s="2714">
        <f t="shared" si="374"/>
        <v>1</v>
      </c>
      <c r="E3169" s="2719">
        <v>1</v>
      </c>
      <c r="F3169" s="294"/>
      <c r="G3169" s="578" t="s">
        <v>685</v>
      </c>
      <c r="H3169" s="2273">
        <v>507056.61</v>
      </c>
      <c r="I3169" s="2274"/>
      <c r="S3169" s="364"/>
      <c r="Z3169" s="609" t="s">
        <v>1246</v>
      </c>
      <c r="AA3169" s="609" t="s">
        <v>3720</v>
      </c>
    </row>
    <row r="3170" spans="1:27" ht="18">
      <c r="A3170" s="2712"/>
      <c r="B3170" s="371">
        <v>104</v>
      </c>
      <c r="C3170" s="371" t="s">
        <v>2791</v>
      </c>
      <c r="D3170" s="2714">
        <f t="shared" si="374"/>
        <v>1</v>
      </c>
      <c r="E3170" s="2719">
        <v>1</v>
      </c>
      <c r="F3170" s="294"/>
      <c r="G3170" s="578" t="s">
        <v>680</v>
      </c>
      <c r="H3170" s="2273"/>
      <c r="I3170" s="2274"/>
      <c r="S3170" s="364"/>
      <c r="Z3170" s="609" t="s">
        <v>1246</v>
      </c>
      <c r="AA3170" s="609" t="s">
        <v>3720</v>
      </c>
    </row>
    <row r="3171" spans="1:27" ht="18">
      <c r="A3171" s="2712"/>
      <c r="B3171" s="371">
        <v>105</v>
      </c>
      <c r="C3171" s="371" t="s">
        <v>2791</v>
      </c>
      <c r="D3171" s="2714">
        <f t="shared" si="374"/>
        <v>1</v>
      </c>
      <c r="E3171" s="2719">
        <v>1</v>
      </c>
      <c r="F3171" s="294"/>
      <c r="G3171" s="578" t="s">
        <v>362</v>
      </c>
      <c r="H3171" s="2273"/>
      <c r="I3171" s="2274"/>
      <c r="S3171" s="364"/>
      <c r="Z3171" s="609" t="s">
        <v>1246</v>
      </c>
      <c r="AA3171" s="609" t="s">
        <v>3720</v>
      </c>
    </row>
    <row r="3172" spans="1:27" ht="18">
      <c r="A3172" s="2712"/>
      <c r="B3172" s="371">
        <v>106</v>
      </c>
      <c r="C3172" s="371" t="s">
        <v>2791</v>
      </c>
      <c r="D3172" s="2714">
        <f t="shared" si="374"/>
        <v>1</v>
      </c>
      <c r="E3172" s="2719">
        <v>1</v>
      </c>
      <c r="F3172" s="294"/>
      <c r="G3172" s="578" t="s">
        <v>369</v>
      </c>
      <c r="H3172" s="2273"/>
      <c r="I3172" s="2274"/>
      <c r="S3172" s="364"/>
      <c r="Z3172" s="609" t="s">
        <v>1246</v>
      </c>
      <c r="AA3172" s="609" t="s">
        <v>3720</v>
      </c>
    </row>
    <row r="3173" spans="1:27" ht="18">
      <c r="A3173" s="2712"/>
      <c r="B3173" s="371">
        <v>107</v>
      </c>
      <c r="C3173" s="371" t="s">
        <v>2791</v>
      </c>
      <c r="D3173" s="2714">
        <f t="shared" si="374"/>
        <v>0</v>
      </c>
      <c r="E3173" s="2719">
        <v>1</v>
      </c>
      <c r="F3173" s="294"/>
      <c r="G3173" s="2373" t="s">
        <v>2792</v>
      </c>
      <c r="H3173" s="2273"/>
      <c r="I3173" s="2274"/>
      <c r="S3173" s="364"/>
      <c r="Z3173" s="609" t="s">
        <v>1246</v>
      </c>
      <c r="AA3173" s="609" t="s">
        <v>3720</v>
      </c>
    </row>
    <row r="3174" spans="1:27" ht="18.75" thickBot="1">
      <c r="A3174" s="2712"/>
      <c r="B3174" s="371"/>
      <c r="C3174" s="371"/>
      <c r="D3174" s="2714">
        <f t="shared" si="374"/>
        <v>1</v>
      </c>
      <c r="E3174" s="2719" t="s">
        <v>2751</v>
      </c>
      <c r="F3174" s="294"/>
      <c r="G3174" s="1527" t="s">
        <v>2752</v>
      </c>
      <c r="H3174" s="1525">
        <f>SUMPRODUCT($E3166:$E3173,H3166:H3173)</f>
        <v>0</v>
      </c>
      <c r="I3174" s="2264"/>
      <c r="S3174" s="364"/>
      <c r="Z3174" s="609" t="s">
        <v>1246</v>
      </c>
      <c r="AA3174" s="609" t="s">
        <v>3720</v>
      </c>
    </row>
    <row r="3175" spans="1:27" ht="18">
      <c r="A3175" s="2712"/>
      <c r="B3175" s="371"/>
      <c r="C3175" s="371" t="s">
        <v>2755</v>
      </c>
      <c r="D3175" s="371"/>
      <c r="F3175" s="294"/>
      <c r="G3175" s="301"/>
      <c r="H3175" s="315"/>
      <c r="I3175" s="393"/>
      <c r="J3175" s="349"/>
      <c r="K3175" s="349"/>
      <c r="L3175" s="349"/>
      <c r="M3175" s="349"/>
      <c r="S3175" s="364"/>
      <c r="Z3175" s="609" t="s">
        <v>1246</v>
      </c>
      <c r="AA3175" s="609" t="s">
        <v>3720</v>
      </c>
    </row>
    <row r="3176" spans="1:27" ht="18">
      <c r="A3176" s="2712">
        <v>1700</v>
      </c>
      <c r="B3176" s="371">
        <v>28</v>
      </c>
      <c r="C3176" s="2714" t="str">
        <f>VLOOKUP($A3176,Sheet_Items,2,0)</f>
        <v>开发支出</v>
      </c>
      <c r="D3176" s="371"/>
      <c r="F3176" s="294"/>
      <c r="G3176" s="583" t="str">
        <f>B3176&amp;" "&amp;C3176</f>
        <v>28 开发支出</v>
      </c>
      <c r="H3176" s="290"/>
      <c r="I3176" s="290"/>
      <c r="J3176" s="540" t="s">
        <v>2740</v>
      </c>
      <c r="K3176" s="341">
        <f>VLOOKUP($A3176,Sheet_Trialbal,6,0)</f>
        <v>0</v>
      </c>
      <c r="L3176" s="541"/>
      <c r="M3176" s="540" t="s">
        <v>2741</v>
      </c>
      <c r="N3176" s="341">
        <f>VLOOKUP($A3176,Sheet_Trialbal,10,0)</f>
        <v>0</v>
      </c>
      <c r="O3176" s="540"/>
      <c r="S3176" s="364"/>
      <c r="Z3176" s="609" t="s">
        <v>3728</v>
      </c>
      <c r="AA3176" s="609" t="s">
        <v>5664</v>
      </c>
    </row>
    <row r="3177" spans="1:27" ht="18">
      <c r="A3177" s="2712" t="s">
        <v>6564</v>
      </c>
      <c r="B3177" s="371">
        <v>1</v>
      </c>
      <c r="C3177" s="371"/>
      <c r="D3177" s="2714" t="str">
        <f>VLOOKUP($A3177,Sheet_NoteList,2,0)</f>
        <v>开发支出变动情况</v>
      </c>
      <c r="E3177" s="2714" t="s">
        <v>2742</v>
      </c>
      <c r="F3177" s="294"/>
      <c r="G3177" s="307" t="str">
        <f>"("&amp;B3177&amp;")"&amp;D3177</f>
        <v>(1)开发支出变动情况</v>
      </c>
      <c r="H3177" s="1515" t="str">
        <f>$A3177</f>
        <v>1700b</v>
      </c>
      <c r="I3177" s="343" t="s">
        <v>2743</v>
      </c>
      <c r="J3177" s="301" t="s">
        <v>2744</v>
      </c>
      <c r="K3177" s="2208">
        <f>M3187</f>
        <v>0</v>
      </c>
      <c r="L3177" s="345" t="str">
        <f>IF($I3177="适用",IF(ROUND(K3176-K3177,2)=0,"F/S",ROUND(K3176-K3177,2)),"#N/A")</f>
        <v>F/S</v>
      </c>
      <c r="M3177" s="301" t="s">
        <v>2745</v>
      </c>
      <c r="N3177" s="2208">
        <f>H3187</f>
        <v>0</v>
      </c>
      <c r="O3177" s="345" t="str">
        <f>IF($I3177="适用",IF(ROUND(N3176-N3177,2)=0,"F/S",ROUND(N3176-N3177,2)),"#N/A")</f>
        <v>F/S</v>
      </c>
      <c r="P3177" s="301"/>
      <c r="Q3177" s="290" t="str">
        <f>IF($I3177="不适用","",IF(ROUND(SUM($H$3182:$P$3187),2)=0,"请输入",""))</f>
        <v>请输入</v>
      </c>
      <c r="S3177" s="364"/>
      <c r="Z3177" s="609" t="s">
        <v>3728</v>
      </c>
      <c r="AA3177" s="609" t="s">
        <v>5664</v>
      </c>
    </row>
    <row r="3178" spans="1:27" ht="0.75" customHeight="1">
      <c r="A3178" s="2712"/>
      <c r="B3178" s="371"/>
      <c r="C3178" s="371"/>
      <c r="D3178" s="371"/>
      <c r="F3178" s="371"/>
      <c r="G3178" s="371" t="s">
        <v>6280</v>
      </c>
      <c r="H3178" s="371" t="s">
        <v>2904</v>
      </c>
      <c r="I3178" s="371" t="s">
        <v>3729</v>
      </c>
      <c r="J3178" s="369" t="s">
        <v>3578</v>
      </c>
      <c r="K3178" s="371" t="s">
        <v>3730</v>
      </c>
      <c r="L3178" s="371" t="s">
        <v>3731</v>
      </c>
      <c r="M3178" s="371" t="s">
        <v>3221</v>
      </c>
      <c r="N3178" s="586" t="s">
        <v>3732</v>
      </c>
      <c r="O3178" s="586" t="s">
        <v>3733</v>
      </c>
      <c r="P3178" s="586" t="s">
        <v>3734</v>
      </c>
      <c r="Q3178" s="367"/>
      <c r="R3178" s="367"/>
      <c r="S3178" s="364"/>
      <c r="Z3178" s="609" t="s">
        <v>3728</v>
      </c>
      <c r="AA3178" s="609" t="s">
        <v>5664</v>
      </c>
    </row>
    <row r="3179" spans="1:27" ht="0.75" customHeight="1" thickBot="1">
      <c r="A3179" s="2712"/>
      <c r="B3179" s="371"/>
      <c r="C3179" s="371"/>
      <c r="D3179" s="371"/>
      <c r="F3179" s="371"/>
      <c r="G3179" s="371"/>
      <c r="H3179" s="371" t="s">
        <v>3020</v>
      </c>
      <c r="I3179" s="371" t="s">
        <v>3735</v>
      </c>
      <c r="J3179" s="369" t="s">
        <v>3736</v>
      </c>
      <c r="K3179" s="371" t="s">
        <v>3737</v>
      </c>
      <c r="L3179" s="371" t="s">
        <v>3738</v>
      </c>
      <c r="M3179" s="371" t="s">
        <v>3026</v>
      </c>
      <c r="N3179" s="586" t="s">
        <v>3739</v>
      </c>
      <c r="O3179" s="586" t="s">
        <v>3740</v>
      </c>
      <c r="P3179" s="586" t="s">
        <v>3741</v>
      </c>
      <c r="Q3179" s="367"/>
      <c r="R3179" s="367"/>
      <c r="S3179" s="364"/>
      <c r="Z3179" s="609" t="s">
        <v>3728</v>
      </c>
      <c r="AA3179" s="609" t="s">
        <v>5664</v>
      </c>
    </row>
    <row r="3180" spans="1:27" ht="18">
      <c r="A3180" s="2712"/>
      <c r="B3180" s="371"/>
      <c r="C3180" s="371"/>
      <c r="D3180" s="371"/>
      <c r="E3180" s="2714" t="s">
        <v>2749</v>
      </c>
      <c r="F3180" s="294"/>
      <c r="G3180" s="3527" t="s">
        <v>47</v>
      </c>
      <c r="H3180" s="3584" t="str">
        <f>$V$3</f>
        <v>2018年12月31日</v>
      </c>
      <c r="I3180" s="3536" t="s">
        <v>3027</v>
      </c>
      <c r="J3180" s="3536"/>
      <c r="K3180" s="3536" t="s">
        <v>3028</v>
      </c>
      <c r="L3180" s="3536"/>
      <c r="M3180" s="3618" t="str">
        <f>$V$2</f>
        <v>2019年12月31日</v>
      </c>
      <c r="N3180" s="3601" t="s">
        <v>3742</v>
      </c>
      <c r="O3180" s="3601" t="s">
        <v>3743</v>
      </c>
      <c r="P3180" s="3616" t="s">
        <v>3744</v>
      </c>
      <c r="Q3180" s="355" t="s">
        <v>5291</v>
      </c>
      <c r="R3180" s="367"/>
      <c r="S3180" s="364"/>
      <c r="Z3180" s="609" t="s">
        <v>3728</v>
      </c>
      <c r="AA3180" s="609" t="s">
        <v>5664</v>
      </c>
    </row>
    <row r="3181" spans="1:27" ht="18">
      <c r="A3181" s="2712"/>
      <c r="B3181" s="371"/>
      <c r="C3181" s="371"/>
      <c r="D3181" s="371"/>
      <c r="E3181" s="2714" t="s">
        <v>2749</v>
      </c>
      <c r="F3181" s="294"/>
      <c r="G3181" s="3528"/>
      <c r="H3181" s="3585"/>
      <c r="I3181" s="554" t="s">
        <v>3745</v>
      </c>
      <c r="J3181" s="587" t="s">
        <v>3704</v>
      </c>
      <c r="K3181" s="554" t="s">
        <v>3746</v>
      </c>
      <c r="L3181" s="1489" t="s">
        <v>5198</v>
      </c>
      <c r="M3181" s="3619"/>
      <c r="N3181" s="3602"/>
      <c r="O3181" s="3602"/>
      <c r="P3181" s="3617"/>
      <c r="Q3181" s="367"/>
      <c r="R3181" s="367"/>
      <c r="S3181" s="364"/>
      <c r="Z3181" s="609" t="s">
        <v>3728</v>
      </c>
      <c r="AA3181" s="609" t="s">
        <v>5664</v>
      </c>
    </row>
    <row r="3182" spans="1:27" ht="18">
      <c r="A3182" s="2712"/>
      <c r="B3182" s="371">
        <v>101</v>
      </c>
      <c r="C3182" s="371" t="s">
        <v>2791</v>
      </c>
      <c r="D3182" s="2714">
        <f t="shared" ref="D3182:D3187" si="375">IF(OR(G3182="*",G3182="",G3182=0),0,COUNTIF($G$3182:$G$3187,G3182))</f>
        <v>0</v>
      </c>
      <c r="E3182" s="2719">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5664</v>
      </c>
    </row>
    <row r="3183" spans="1:27" ht="18">
      <c r="A3183" s="2712"/>
      <c r="B3183" s="371">
        <v>102</v>
      </c>
      <c r="C3183" s="371" t="s">
        <v>2791</v>
      </c>
      <c r="D3183" s="2714">
        <f t="shared" si="375"/>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5664</v>
      </c>
    </row>
    <row r="3184" spans="1:27" ht="18">
      <c r="A3184" s="2712"/>
      <c r="B3184" s="371">
        <v>103</v>
      </c>
      <c r="C3184" s="371" t="s">
        <v>2791</v>
      </c>
      <c r="D3184" s="2714">
        <f t="shared" si="375"/>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5664</v>
      </c>
    </row>
    <row r="3185" spans="1:27" ht="18">
      <c r="A3185" s="2712"/>
      <c r="B3185" s="371">
        <v>104</v>
      </c>
      <c r="C3185" s="371" t="s">
        <v>2791</v>
      </c>
      <c r="D3185" s="2714">
        <f t="shared" si="375"/>
        <v>0</v>
      </c>
      <c r="E3185" s="2719">
        <v>1</v>
      </c>
      <c r="F3185" s="294"/>
      <c r="G3185" s="409" t="s">
        <v>2792</v>
      </c>
      <c r="H3185" s="383"/>
      <c r="I3185" s="383"/>
      <c r="J3185" s="383"/>
      <c r="K3185" s="383"/>
      <c r="L3185" s="383"/>
      <c r="M3185" s="561">
        <f>SUM(H3185:J3185,-K3185,-L3185)</f>
        <v>0</v>
      </c>
      <c r="N3185" s="469"/>
      <c r="O3185" s="469"/>
      <c r="P3185" s="492"/>
      <c r="Q3185" s="367"/>
      <c r="R3185" s="367"/>
      <c r="S3185" s="364"/>
      <c r="Z3185" s="609" t="s">
        <v>3728</v>
      </c>
      <c r="AA3185" s="609" t="s">
        <v>5664</v>
      </c>
    </row>
    <row r="3186" spans="1:27" ht="18">
      <c r="A3186" s="2712"/>
      <c r="B3186" s="371">
        <v>105</v>
      </c>
      <c r="C3186" s="371" t="s">
        <v>2791</v>
      </c>
      <c r="D3186" s="2714">
        <f t="shared" si="375"/>
        <v>0</v>
      </c>
      <c r="E3186" s="2719">
        <v>1</v>
      </c>
      <c r="F3186" s="294"/>
      <c r="G3186" s="409" t="s">
        <v>2792</v>
      </c>
      <c r="H3186" s="383"/>
      <c r="I3186" s="383"/>
      <c r="J3186" s="383"/>
      <c r="K3186" s="383"/>
      <c r="L3186" s="383"/>
      <c r="M3186" s="561">
        <f>SUM(H3186:J3186,-K3186,-L3186)</f>
        <v>0</v>
      </c>
      <c r="N3186" s="469"/>
      <c r="O3186" s="469"/>
      <c r="P3186" s="492"/>
      <c r="Q3186" s="367"/>
      <c r="R3186" s="367"/>
      <c r="S3186" s="364"/>
      <c r="Z3186" s="609" t="s">
        <v>3728</v>
      </c>
      <c r="AA3186" s="609" t="s">
        <v>5664</v>
      </c>
    </row>
    <row r="3187" spans="1:27" ht="18.75" thickBot="1">
      <c r="A3187" s="2712"/>
      <c r="B3187" s="371"/>
      <c r="C3187" s="371"/>
      <c r="D3187" s="2714">
        <f t="shared" si="375"/>
        <v>1</v>
      </c>
      <c r="E3187" s="2719" t="s">
        <v>2751</v>
      </c>
      <c r="F3187" s="294"/>
      <c r="G3187" s="403" t="s">
        <v>2752</v>
      </c>
      <c r="H3187" s="503">
        <f t="shared" ref="H3187:M3187" si="376">SUMPRODUCT($E3181:$E3186,H3181:H3186)</f>
        <v>0</v>
      </c>
      <c r="I3187" s="503">
        <f t="shared" si="376"/>
        <v>0</v>
      </c>
      <c r="J3187" s="503">
        <f t="shared" si="376"/>
        <v>0</v>
      </c>
      <c r="K3187" s="503">
        <f t="shared" si="376"/>
        <v>0</v>
      </c>
      <c r="L3187" s="503">
        <f t="shared" si="376"/>
        <v>0</v>
      </c>
      <c r="M3187" s="503">
        <f t="shared" si="376"/>
        <v>0</v>
      </c>
      <c r="N3187" s="2589"/>
      <c r="O3187" s="2589"/>
      <c r="P3187" s="2590"/>
      <c r="Q3187" s="367"/>
      <c r="R3187" s="367"/>
      <c r="S3187" s="364"/>
      <c r="Z3187" s="609" t="s">
        <v>3728</v>
      </c>
      <c r="AA3187" s="609" t="s">
        <v>5664</v>
      </c>
    </row>
    <row r="3188" spans="1:27" ht="18">
      <c r="A3188" s="2712"/>
      <c r="B3188" s="371"/>
      <c r="C3188" s="371" t="s">
        <v>2755</v>
      </c>
      <c r="D3188" s="371"/>
      <c r="F3188" s="294"/>
      <c r="G3188" s="557"/>
      <c r="H3188" s="349"/>
      <c r="I3188" s="349"/>
      <c r="J3188" s="349"/>
      <c r="K3188" s="349"/>
      <c r="L3188" s="349"/>
      <c r="M3188" s="349"/>
      <c r="N3188" s="350"/>
      <c r="O3188" s="350"/>
      <c r="P3188" s="350"/>
      <c r="Q3188" s="367"/>
      <c r="R3188" s="367"/>
      <c r="S3188" s="364"/>
      <c r="Z3188" s="609" t="s">
        <v>3728</v>
      </c>
      <c r="AA3188" s="609" t="s">
        <v>5664</v>
      </c>
    </row>
    <row r="3189" spans="1:27" ht="18">
      <c r="A3189" s="2712">
        <v>1711</v>
      </c>
      <c r="B3189" s="371">
        <v>29</v>
      </c>
      <c r="C3189" s="2714" t="str">
        <f>VLOOKUP($A3189,Sheet_Items,2,0)</f>
        <v>商誉</v>
      </c>
      <c r="D3189" s="371"/>
      <c r="E3189" s="2714" t="s">
        <v>2739</v>
      </c>
      <c r="F3189" s="294"/>
      <c r="G3189" s="305" t="str">
        <f>B3189&amp;" "&amp;C3189</f>
        <v>29 商誉</v>
      </c>
      <c r="H3189" s="306"/>
      <c r="I3189" s="306"/>
      <c r="J3189" s="306" t="s">
        <v>2740</v>
      </c>
      <c r="K3189" s="341">
        <f>VLOOKUP($A3189,Sheet_Trialbal,6,0)</f>
        <v>0</v>
      </c>
      <c r="L3189" s="342"/>
      <c r="M3189" s="306" t="s">
        <v>2741</v>
      </c>
      <c r="N3189" s="341">
        <f>VLOOKUP($A3189,Sheet_Trialbal,10,0)</f>
        <v>0</v>
      </c>
      <c r="O3189" s="306"/>
      <c r="P3189" s="301"/>
      <c r="S3189" s="364"/>
      <c r="Z3189" s="609" t="s">
        <v>1296</v>
      </c>
      <c r="AA3189" s="609" t="s">
        <v>5665</v>
      </c>
    </row>
    <row r="3190" spans="1:27" ht="18">
      <c r="A3190" s="2712" t="s">
        <v>1294</v>
      </c>
      <c r="B3190" s="371">
        <v>1</v>
      </c>
      <c r="C3190" s="371"/>
      <c r="D3190" s="2714" t="str">
        <f>VLOOKUP($A3190,Sheet_NoteList,2,0)</f>
        <v>商誉账面原值</v>
      </c>
      <c r="E3190" s="2714" t="s">
        <v>2742</v>
      </c>
      <c r="F3190" s="294"/>
      <c r="G3190" s="307" t="str">
        <f>"("&amp;B3190&amp;")"&amp;D3190</f>
        <v>(1)商誉账面原值</v>
      </c>
      <c r="H3190" s="1515" t="str">
        <f>$A3190</f>
        <v>1711a</v>
      </c>
      <c r="I3190" s="343" t="s">
        <v>2743</v>
      </c>
      <c r="J3190" s="301" t="s">
        <v>2744</v>
      </c>
      <c r="K3190" s="2208">
        <f>M3200-K3202</f>
        <v>0</v>
      </c>
      <c r="L3190" s="345" t="str">
        <f>IF($I3190="适用",IF(ROUND(K3189-K3190-K3202,2)=0,"F/S",ROUND(K3189-K3190-K3202,2)),"#N/A")</f>
        <v>F/S</v>
      </c>
      <c r="M3190" s="301" t="s">
        <v>2745</v>
      </c>
      <c r="N3190" s="2208">
        <f>H3200-N3202</f>
        <v>0</v>
      </c>
      <c r="O3190" s="345" t="str">
        <f>IF($I3190="适用",IF(ROUND(N3189-N3190-N3202,2)=0,"F/S",ROUND(N3189-N3190-N3202,2)),"#N/A")</f>
        <v>F/S</v>
      </c>
      <c r="P3190" s="301"/>
      <c r="Q3190" s="290" t="str">
        <f>IF($I3190="不适用","",IF(ROUND(SUM($H$3195:$M$3200),2)=0,"请输入",""))</f>
        <v>请输入</v>
      </c>
      <c r="S3190" s="364"/>
      <c r="Z3190" s="609" t="s">
        <v>1296</v>
      </c>
      <c r="AA3190" s="609" t="s">
        <v>5665</v>
      </c>
    </row>
    <row r="3191" spans="1:27" ht="0.75" customHeight="1">
      <c r="A3191" s="2712"/>
      <c r="B3191" s="371"/>
      <c r="C3191" s="371"/>
      <c r="D3191" s="371"/>
      <c r="E3191" s="586"/>
      <c r="F3191" s="518"/>
      <c r="G3191" s="518" t="s">
        <v>3747</v>
      </c>
      <c r="H3191" s="304" t="s">
        <v>2904</v>
      </c>
      <c r="I3191" s="304" t="s">
        <v>3748</v>
      </c>
      <c r="J3191" s="304" t="s">
        <v>3578</v>
      </c>
      <c r="K3191" s="304" t="s">
        <v>3579</v>
      </c>
      <c r="L3191" s="304" t="s">
        <v>3580</v>
      </c>
      <c r="M3191" s="304" t="s">
        <v>3221</v>
      </c>
      <c r="P3191" s="291"/>
      <c r="S3191" s="364"/>
      <c r="Z3191" s="609" t="s">
        <v>1296</v>
      </c>
      <c r="AA3191" s="609" t="s">
        <v>5665</v>
      </c>
    </row>
    <row r="3192" spans="1:27" ht="0.75" customHeight="1" thickBot="1">
      <c r="A3192" s="2712"/>
      <c r="B3192" s="371"/>
      <c r="C3192" s="371"/>
      <c r="D3192" s="371"/>
      <c r="E3192" s="586"/>
      <c r="F3192" s="518"/>
      <c r="G3192" s="518"/>
      <c r="H3192" s="304" t="s">
        <v>3691</v>
      </c>
      <c r="I3192" s="304" t="s">
        <v>3749</v>
      </c>
      <c r="J3192" s="304" t="s">
        <v>3736</v>
      </c>
      <c r="K3192" s="304" t="s">
        <v>3750</v>
      </c>
      <c r="L3192" s="304" t="s">
        <v>3751</v>
      </c>
      <c r="M3192" s="304" t="s">
        <v>3508</v>
      </c>
      <c r="P3192" s="291"/>
      <c r="S3192" s="364"/>
      <c r="Z3192" s="609" t="s">
        <v>1296</v>
      </c>
      <c r="AA3192" s="609" t="s">
        <v>5665</v>
      </c>
    </row>
    <row r="3193" spans="1:27" ht="24" customHeight="1">
      <c r="A3193" s="2712"/>
      <c r="B3193" s="371"/>
      <c r="C3193" s="371"/>
      <c r="D3193" s="371"/>
      <c r="E3193" s="586" t="s">
        <v>2749</v>
      </c>
      <c r="F3193" s="2341"/>
      <c r="G3193" s="3487" t="s">
        <v>3752</v>
      </c>
      <c r="H3193" s="3563" t="str">
        <f>$V$3</f>
        <v>2018年12月31日</v>
      </c>
      <c r="I3193" s="3519" t="s">
        <v>3027</v>
      </c>
      <c r="J3193" s="3519"/>
      <c r="K3193" s="3519" t="s">
        <v>3028</v>
      </c>
      <c r="L3193" s="3519"/>
      <c r="M3193" s="3537" t="str">
        <f>$V$2</f>
        <v>2019年12月31日</v>
      </c>
      <c r="N3193" s="355" t="s">
        <v>5292</v>
      </c>
      <c r="P3193" s="291"/>
      <c r="S3193" s="364"/>
      <c r="Z3193" s="609" t="s">
        <v>1296</v>
      </c>
      <c r="AA3193" s="609" t="s">
        <v>5665</v>
      </c>
    </row>
    <row r="3194" spans="1:27" ht="18">
      <c r="A3194" s="2712"/>
      <c r="B3194" s="371"/>
      <c r="C3194" s="371"/>
      <c r="D3194" s="371"/>
      <c r="E3194" s="586" t="s">
        <v>2749</v>
      </c>
      <c r="F3194" s="363"/>
      <c r="G3194" s="3488"/>
      <c r="H3194" s="3564"/>
      <c r="I3194" s="2367" t="s">
        <v>6065</v>
      </c>
      <c r="J3194" s="2367" t="s">
        <v>3704</v>
      </c>
      <c r="K3194" s="2367" t="s">
        <v>3596</v>
      </c>
      <c r="L3194" s="2367" t="s">
        <v>3658</v>
      </c>
      <c r="M3194" s="3538"/>
      <c r="P3194" s="291"/>
      <c r="S3194" s="364"/>
      <c r="Z3194" s="609" t="s">
        <v>1296</v>
      </c>
      <c r="AA3194" s="609" t="s">
        <v>5665</v>
      </c>
    </row>
    <row r="3195" spans="1:27" ht="18">
      <c r="A3195" s="2712"/>
      <c r="B3195" s="371">
        <v>101</v>
      </c>
      <c r="C3195" s="371" t="s">
        <v>2791</v>
      </c>
      <c r="D3195" s="2714">
        <f t="shared" ref="D3195:D3200" si="377">IF(OR(G3195="*",G3195="",G3195=0),0,COUNTIF($G$3195:$G$3200,G3195))</f>
        <v>0</v>
      </c>
      <c r="E3195" s="2719">
        <v>1</v>
      </c>
      <c r="F3195" s="294"/>
      <c r="G3195" s="2373" t="s">
        <v>2792</v>
      </c>
      <c r="H3195" s="2273"/>
      <c r="I3195" s="2273"/>
      <c r="J3195" s="2273"/>
      <c r="K3195" s="2273"/>
      <c r="L3195" s="2273"/>
      <c r="M3195" s="1475">
        <f>SUM(H3195:J3195,-K3195,-L3195)</f>
        <v>0</v>
      </c>
      <c r="N3195" s="291"/>
      <c r="O3195" s="291"/>
      <c r="P3195" s="291"/>
      <c r="S3195" s="364"/>
      <c r="Z3195" s="609" t="s">
        <v>1296</v>
      </c>
      <c r="AA3195" s="609" t="s">
        <v>5665</v>
      </c>
    </row>
    <row r="3196" spans="1:27" ht="18">
      <c r="A3196" s="2712"/>
      <c r="B3196" s="371">
        <v>102</v>
      </c>
      <c r="C3196" s="371" t="s">
        <v>2791</v>
      </c>
      <c r="D3196" s="2714">
        <f t="shared" si="377"/>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5665</v>
      </c>
    </row>
    <row r="3197" spans="1:27" ht="18">
      <c r="A3197" s="2712"/>
      <c r="B3197" s="371">
        <v>103</v>
      </c>
      <c r="C3197" s="371" t="s">
        <v>2791</v>
      </c>
      <c r="D3197" s="2714">
        <f t="shared" si="377"/>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5665</v>
      </c>
    </row>
    <row r="3198" spans="1:27" ht="18">
      <c r="A3198" s="2712"/>
      <c r="B3198" s="371">
        <v>104</v>
      </c>
      <c r="C3198" s="371" t="s">
        <v>2791</v>
      </c>
      <c r="D3198" s="2714">
        <f t="shared" si="377"/>
        <v>0</v>
      </c>
      <c r="E3198" s="2719">
        <v>1</v>
      </c>
      <c r="F3198" s="294"/>
      <c r="G3198" s="2373" t="s">
        <v>2792</v>
      </c>
      <c r="H3198" s="2273"/>
      <c r="I3198" s="2273"/>
      <c r="J3198" s="2273"/>
      <c r="K3198" s="2273"/>
      <c r="L3198" s="2273"/>
      <c r="M3198" s="1475">
        <f>SUM(H3198:J3198,-K3198,-L3198)</f>
        <v>0</v>
      </c>
      <c r="N3198" s="291"/>
      <c r="O3198" s="291"/>
      <c r="P3198" s="291"/>
      <c r="S3198" s="364"/>
      <c r="Z3198" s="609" t="s">
        <v>1296</v>
      </c>
      <c r="AA3198" s="609" t="s">
        <v>5665</v>
      </c>
    </row>
    <row r="3199" spans="1:27" ht="18">
      <c r="A3199" s="2712"/>
      <c r="B3199" s="371">
        <v>105</v>
      </c>
      <c r="C3199" s="371" t="s">
        <v>2791</v>
      </c>
      <c r="D3199" s="2714">
        <f t="shared" si="377"/>
        <v>0</v>
      </c>
      <c r="E3199" s="2719">
        <v>1</v>
      </c>
      <c r="F3199" s="294"/>
      <c r="G3199" s="2373" t="s">
        <v>2792</v>
      </c>
      <c r="H3199" s="2273"/>
      <c r="I3199" s="2273"/>
      <c r="J3199" s="2273"/>
      <c r="K3199" s="2273"/>
      <c r="L3199" s="2273"/>
      <c r="M3199" s="1475">
        <f>SUM(H3199:J3199,-K3199,-L3199)</f>
        <v>0</v>
      </c>
      <c r="N3199" s="291"/>
      <c r="O3199" s="291"/>
      <c r="P3199" s="291"/>
      <c r="S3199" s="364"/>
      <c r="Z3199" s="609" t="s">
        <v>1296</v>
      </c>
      <c r="AA3199" s="609" t="s">
        <v>5665</v>
      </c>
    </row>
    <row r="3200" spans="1:27" ht="18.75" thickBot="1">
      <c r="A3200" s="2712"/>
      <c r="B3200" s="371"/>
      <c r="C3200" s="371"/>
      <c r="D3200" s="2714">
        <f t="shared" si="377"/>
        <v>1</v>
      </c>
      <c r="E3200" s="2719" t="s">
        <v>2751</v>
      </c>
      <c r="F3200" s="294"/>
      <c r="G3200" s="374" t="s">
        <v>2752</v>
      </c>
      <c r="H3200" s="1476">
        <f t="shared" ref="H3200:M3200" si="378">SUMPRODUCT($E3194:$E3199,H3194:H3199)</f>
        <v>0</v>
      </c>
      <c r="I3200" s="1476">
        <f t="shared" si="378"/>
        <v>0</v>
      </c>
      <c r="J3200" s="1476">
        <f t="shared" si="378"/>
        <v>0</v>
      </c>
      <c r="K3200" s="1476">
        <f t="shared" si="378"/>
        <v>0</v>
      </c>
      <c r="L3200" s="1476">
        <f t="shared" si="378"/>
        <v>0</v>
      </c>
      <c r="M3200" s="1477">
        <f t="shared" si="378"/>
        <v>0</v>
      </c>
      <c r="N3200" s="291"/>
      <c r="O3200" s="291"/>
      <c r="P3200" s="291"/>
      <c r="S3200" s="364"/>
      <c r="Z3200" s="609" t="s">
        <v>1296</v>
      </c>
      <c r="AA3200" s="609" t="s">
        <v>5665</v>
      </c>
    </row>
    <row r="3201" spans="1:34" ht="18">
      <c r="A3201" s="2712"/>
      <c r="B3201" s="371"/>
      <c r="C3201" s="371" t="s">
        <v>2755</v>
      </c>
      <c r="D3201" s="371"/>
      <c r="F3201" s="294"/>
      <c r="G3201" s="301"/>
      <c r="H3201" s="315"/>
      <c r="I3201" s="315"/>
      <c r="J3201" s="315"/>
      <c r="K3201" s="315"/>
      <c r="L3201" s="315"/>
      <c r="M3201" s="315"/>
      <c r="N3201" s="291"/>
      <c r="O3201" s="291"/>
      <c r="P3201" s="291"/>
      <c r="S3201" s="364"/>
      <c r="Z3201" s="609" t="s">
        <v>1296</v>
      </c>
      <c r="AA3201" s="609" t="s">
        <v>5665</v>
      </c>
    </row>
    <row r="3202" spans="1:34" ht="18">
      <c r="A3202" s="2712" t="s">
        <v>1300</v>
      </c>
      <c r="B3202" s="371">
        <v>2</v>
      </c>
      <c r="C3202" s="371"/>
      <c r="D3202" s="2714" t="str">
        <f>VLOOKUP($A3202,Sheet_NoteList,2,0)</f>
        <v>商誉减值准备</v>
      </c>
      <c r="E3202" s="2714" t="s">
        <v>2742</v>
      </c>
      <c r="F3202" s="294"/>
      <c r="G3202" s="307" t="str">
        <f>"("&amp;B3202&amp;")"&amp;D3202</f>
        <v>(2)商誉减值准备</v>
      </c>
      <c r="H3202" s="1515" t="str">
        <f>$A3202</f>
        <v>1711b</v>
      </c>
      <c r="I3202" s="343" t="s">
        <v>2743</v>
      </c>
      <c r="J3202" s="301" t="s">
        <v>2744</v>
      </c>
      <c r="K3202" s="2208">
        <f>M3212</f>
        <v>0</v>
      </c>
      <c r="L3202" s="345"/>
      <c r="M3202" s="301" t="s">
        <v>2745</v>
      </c>
      <c r="N3202" s="2208">
        <f>H3212</f>
        <v>0</v>
      </c>
      <c r="O3202" s="315"/>
      <c r="P3202" s="301"/>
      <c r="Q3202" s="290" t="str">
        <f>IF($I3202="不适用","",IF(ROUND(SUM($H$3207:$M$3212),2)=0,"请输入",""))</f>
        <v>请输入</v>
      </c>
      <c r="S3202" s="364"/>
      <c r="Z3202" s="609" t="s">
        <v>1296</v>
      </c>
      <c r="AA3202" s="609" t="s">
        <v>5665</v>
      </c>
    </row>
    <row r="3203" spans="1:34" ht="0.75" customHeight="1">
      <c r="A3203" s="2712"/>
      <c r="B3203" s="371"/>
      <c r="C3203" s="371"/>
      <c r="D3203" s="371"/>
      <c r="E3203" s="586"/>
      <c r="F3203" s="518"/>
      <c r="G3203" s="518" t="s">
        <v>3753</v>
      </c>
      <c r="H3203" s="304" t="s">
        <v>2904</v>
      </c>
      <c r="I3203" s="304" t="s">
        <v>2905</v>
      </c>
      <c r="J3203" s="304" t="s">
        <v>3578</v>
      </c>
      <c r="K3203" s="304" t="s">
        <v>3579</v>
      </c>
      <c r="L3203" s="304" t="s">
        <v>3580</v>
      </c>
      <c r="M3203" s="304" t="s">
        <v>3221</v>
      </c>
      <c r="P3203" s="291"/>
      <c r="S3203" s="364"/>
      <c r="Z3203" s="609" t="s">
        <v>1296</v>
      </c>
      <c r="AA3203" s="609" t="s">
        <v>5665</v>
      </c>
    </row>
    <row r="3204" spans="1:34" ht="0.75" customHeight="1" thickBot="1">
      <c r="A3204" s="2712"/>
      <c r="B3204" s="371"/>
      <c r="C3204" s="371"/>
      <c r="D3204" s="371"/>
      <c r="E3204" s="586"/>
      <c r="F3204" s="518"/>
      <c r="G3204" s="518"/>
      <c r="H3204" s="304" t="s">
        <v>3691</v>
      </c>
      <c r="I3204" s="304" t="s">
        <v>3021</v>
      </c>
      <c r="J3204" s="304" t="s">
        <v>3736</v>
      </c>
      <c r="K3204" s="304" t="s">
        <v>3750</v>
      </c>
      <c r="L3204" s="304" t="s">
        <v>3751</v>
      </c>
      <c r="M3204" s="304" t="s">
        <v>3508</v>
      </c>
      <c r="P3204" s="291"/>
      <c r="S3204" s="364"/>
      <c r="Z3204" s="609" t="s">
        <v>1296</v>
      </c>
      <c r="AA3204" s="609" t="s">
        <v>5665</v>
      </c>
    </row>
    <row r="3205" spans="1:34" ht="24" customHeight="1">
      <c r="A3205" s="2712"/>
      <c r="B3205" s="371"/>
      <c r="C3205" s="371"/>
      <c r="D3205" s="371"/>
      <c r="E3205" s="586" t="s">
        <v>2749</v>
      </c>
      <c r="F3205" s="2341"/>
      <c r="G3205" s="3487" t="s">
        <v>3752</v>
      </c>
      <c r="H3205" s="3563" t="str">
        <f>$V$3</f>
        <v>2018年12月31日</v>
      </c>
      <c r="I3205" s="3519" t="s">
        <v>3027</v>
      </c>
      <c r="J3205" s="3519"/>
      <c r="K3205" s="3519" t="s">
        <v>3028</v>
      </c>
      <c r="L3205" s="3519"/>
      <c r="M3205" s="3537" t="str">
        <f>$V$2</f>
        <v>2019年12月31日</v>
      </c>
      <c r="N3205" s="355" t="s">
        <v>5292</v>
      </c>
      <c r="P3205" s="291"/>
      <c r="S3205" s="364"/>
      <c r="Z3205" s="609" t="s">
        <v>1296</v>
      </c>
      <c r="AA3205" s="609" t="s">
        <v>5665</v>
      </c>
    </row>
    <row r="3206" spans="1:34" ht="18">
      <c r="A3206" s="2712"/>
      <c r="B3206" s="371"/>
      <c r="C3206" s="371"/>
      <c r="D3206" s="371"/>
      <c r="E3206" s="586" t="s">
        <v>2749</v>
      </c>
      <c r="F3206" s="363"/>
      <c r="G3206" s="3488"/>
      <c r="H3206" s="3564"/>
      <c r="I3206" s="2367" t="s">
        <v>2920</v>
      </c>
      <c r="J3206" s="2367" t="s">
        <v>3704</v>
      </c>
      <c r="K3206" s="2367" t="s">
        <v>3596</v>
      </c>
      <c r="L3206" s="2367" t="s">
        <v>3658</v>
      </c>
      <c r="M3206" s="3538"/>
      <c r="P3206" s="291"/>
      <c r="S3206" s="364"/>
      <c r="Z3206" s="609" t="s">
        <v>1296</v>
      </c>
      <c r="AA3206" s="609" t="s">
        <v>5665</v>
      </c>
    </row>
    <row r="3207" spans="1:34" ht="18">
      <c r="A3207" s="2712"/>
      <c r="B3207" s="371">
        <v>101</v>
      </c>
      <c r="C3207" s="371" t="s">
        <v>2791</v>
      </c>
      <c r="D3207" s="2714">
        <f t="shared" ref="D3207:D3212" si="379">IF(OR(G3207="*",G3207="",G3207=0),0,COUNTIF($G$3207:$G$3212,G3207))</f>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5665</v>
      </c>
    </row>
    <row r="3208" spans="1:34" ht="18">
      <c r="A3208" s="2712"/>
      <c r="B3208" s="371">
        <v>102</v>
      </c>
      <c r="C3208" s="371" t="s">
        <v>2791</v>
      </c>
      <c r="D3208" s="2714">
        <f t="shared" si="379"/>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5665</v>
      </c>
    </row>
    <row r="3209" spans="1:34" ht="18">
      <c r="A3209" s="2712"/>
      <c r="B3209" s="371">
        <v>103</v>
      </c>
      <c r="C3209" s="371" t="s">
        <v>2791</v>
      </c>
      <c r="D3209" s="2714">
        <f t="shared" si="379"/>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5665</v>
      </c>
    </row>
    <row r="3210" spans="1:34" ht="18">
      <c r="A3210" s="2712"/>
      <c r="B3210" s="371">
        <v>104</v>
      </c>
      <c r="C3210" s="371" t="s">
        <v>2791</v>
      </c>
      <c r="D3210" s="2714">
        <f t="shared" si="379"/>
        <v>0</v>
      </c>
      <c r="E3210" s="2719">
        <v>1</v>
      </c>
      <c r="F3210" s="294"/>
      <c r="G3210" s="2373" t="s">
        <v>2792</v>
      </c>
      <c r="H3210" s="2273"/>
      <c r="I3210" s="2273"/>
      <c r="J3210" s="2273"/>
      <c r="K3210" s="2273"/>
      <c r="L3210" s="2273"/>
      <c r="M3210" s="1475">
        <f>SUM(H3210:J3210,-K3210,-L3210)</f>
        <v>0</v>
      </c>
      <c r="N3210" s="291"/>
      <c r="O3210" s="291"/>
      <c r="P3210" s="291"/>
      <c r="S3210" s="364"/>
      <c r="Z3210" s="609" t="s">
        <v>1296</v>
      </c>
      <c r="AA3210" s="609" t="s">
        <v>5665</v>
      </c>
    </row>
    <row r="3211" spans="1:34" ht="18">
      <c r="A3211" s="2712"/>
      <c r="B3211" s="371">
        <v>105</v>
      </c>
      <c r="C3211" s="371" t="s">
        <v>2791</v>
      </c>
      <c r="D3211" s="2714">
        <f t="shared" si="379"/>
        <v>0</v>
      </c>
      <c r="E3211" s="2719">
        <v>1</v>
      </c>
      <c r="F3211" s="294"/>
      <c r="G3211" s="2373" t="s">
        <v>2792</v>
      </c>
      <c r="H3211" s="2273"/>
      <c r="I3211" s="2273"/>
      <c r="J3211" s="2273"/>
      <c r="K3211" s="2273"/>
      <c r="L3211" s="2273"/>
      <c r="M3211" s="1475">
        <f>SUM(H3211:J3211,-K3211,-L3211)</f>
        <v>0</v>
      </c>
      <c r="N3211" s="291"/>
      <c r="O3211" s="291"/>
      <c r="P3211" s="291"/>
      <c r="S3211" s="364"/>
      <c r="Z3211" s="609" t="s">
        <v>1296</v>
      </c>
      <c r="AA3211" s="609" t="s">
        <v>5665</v>
      </c>
    </row>
    <row r="3212" spans="1:34" ht="18.75" thickBot="1">
      <c r="A3212" s="2712"/>
      <c r="B3212" s="371"/>
      <c r="C3212" s="371"/>
      <c r="D3212" s="2714">
        <f t="shared" si="379"/>
        <v>1</v>
      </c>
      <c r="E3212" s="2719" t="s">
        <v>2751</v>
      </c>
      <c r="F3212" s="294"/>
      <c r="G3212" s="374" t="s">
        <v>2752</v>
      </c>
      <c r="H3212" s="1476">
        <f t="shared" ref="H3212:M3212" si="380">SUMPRODUCT($E3206:$E3211,H3206:H3211)</f>
        <v>0</v>
      </c>
      <c r="I3212" s="1476">
        <f t="shared" si="380"/>
        <v>0</v>
      </c>
      <c r="J3212" s="1476">
        <f t="shared" si="380"/>
        <v>0</v>
      </c>
      <c r="K3212" s="1476">
        <f t="shared" si="380"/>
        <v>0</v>
      </c>
      <c r="L3212" s="1476">
        <f t="shared" si="380"/>
        <v>0</v>
      </c>
      <c r="M3212" s="1477">
        <f t="shared" si="380"/>
        <v>0</v>
      </c>
      <c r="N3212" s="1531" t="str">
        <f ca="1">HYPERLINK("#'"&amp;$G$1&amp;"'!"&amp;ADDRESS(ROW(Notes!L4893),COLUMN(Notes!L4893),4),"* 请勿删除此行！点击往勾稽单元格，F5+Enter返回")</f>
        <v>* 请勿删除此行！点击往勾稽单元格，F5+Enter返回</v>
      </c>
      <c r="O3212" s="291"/>
      <c r="P3212" s="291"/>
      <c r="S3212" s="364"/>
      <c r="Z3212" s="609" t="s">
        <v>1296</v>
      </c>
      <c r="AA3212" s="609" t="s">
        <v>5665</v>
      </c>
      <c r="AC3212" s="369" t="s">
        <v>2794</v>
      </c>
    </row>
    <row r="3213" spans="1:34" ht="18">
      <c r="A3213" s="2712"/>
      <c r="B3213" s="371"/>
      <c r="C3213" s="371" t="s">
        <v>2755</v>
      </c>
      <c r="D3213" s="371"/>
      <c r="F3213" s="294"/>
      <c r="G3213" s="301"/>
      <c r="H3213" s="315"/>
      <c r="I3213" s="315"/>
      <c r="J3213" s="315"/>
      <c r="K3213" s="315"/>
      <c r="L3213" s="315"/>
      <c r="M3213" s="315"/>
      <c r="N3213" s="291"/>
      <c r="O3213" s="291"/>
      <c r="P3213" s="291"/>
      <c r="S3213" s="364"/>
      <c r="Z3213" s="609" t="s">
        <v>1296</v>
      </c>
      <c r="AA3213" s="609" t="s">
        <v>5665</v>
      </c>
    </row>
    <row r="3214" spans="1:34" ht="18">
      <c r="A3214" s="2712">
        <v>1801</v>
      </c>
      <c r="B3214" s="371">
        <v>30</v>
      </c>
      <c r="C3214" s="2714" t="str">
        <f>VLOOKUP($A3214,Sheet_Items,2,0)</f>
        <v>长期待摊费用</v>
      </c>
      <c r="D3214" s="371"/>
      <c r="E3214" s="2714" t="s">
        <v>2739</v>
      </c>
      <c r="F3214" s="294"/>
      <c r="G3214" s="305" t="str">
        <f>B3214&amp;" "&amp;C3214</f>
        <v>30 长期待摊费用</v>
      </c>
      <c r="H3214" s="306"/>
      <c r="I3214" s="306"/>
      <c r="J3214" s="306" t="s">
        <v>2740</v>
      </c>
      <c r="K3214" s="341">
        <f>VLOOKUP($A3214,Sheet_Trialbal,6,0)</f>
        <v>1548766.81</v>
      </c>
      <c r="L3214" s="342"/>
      <c r="M3214" s="306" t="s">
        <v>2741</v>
      </c>
      <c r="N3214" s="341">
        <f>VLOOKUP($A3214,Sheet_Trialbal,10,0)</f>
        <v>1731944.44</v>
      </c>
      <c r="O3214" s="306"/>
      <c r="P3214" s="301"/>
      <c r="S3214" s="364"/>
      <c r="Z3214" s="609" t="s">
        <v>1306</v>
      </c>
      <c r="AA3214" s="609" t="s">
        <v>5666</v>
      </c>
    </row>
    <row r="3215" spans="1:34" ht="18">
      <c r="A3215" s="2712" t="s">
        <v>1304</v>
      </c>
      <c r="B3215" s="371">
        <v>1</v>
      </c>
      <c r="C3215" s="371"/>
      <c r="D3215" s="2714" t="str">
        <f>VLOOKUP($A3215,Sheet_NoteList,2,0)</f>
        <v>长期待摊费用明细项目</v>
      </c>
      <c r="E3215" s="2714" t="s">
        <v>2742</v>
      </c>
      <c r="F3215" s="294"/>
      <c r="G3215" s="307" t="str">
        <f>"("&amp;B3215&amp;")"&amp;D3215</f>
        <v>(1)长期待摊费用明细项目</v>
      </c>
      <c r="H3215" s="1515" t="str">
        <f>$A3215</f>
        <v>1801a</v>
      </c>
      <c r="I3215" s="343" t="s">
        <v>2743</v>
      </c>
      <c r="J3215" s="301" t="s">
        <v>2744</v>
      </c>
      <c r="K3215" s="2208">
        <f>L3225</f>
        <v>1548766.81</v>
      </c>
      <c r="L3215" s="345" t="str">
        <f>IF($I3215="适用",IF(ROUND(K3214-K3215,2)=0,"F/S",ROUND(K3214-K3215,2)),"#N/A")</f>
        <v>F/S</v>
      </c>
      <c r="M3215" s="301" t="s">
        <v>2745</v>
      </c>
      <c r="N3215" s="2208">
        <f>H3225</f>
        <v>1731944.44</v>
      </c>
      <c r="O3215" s="345" t="str">
        <f>IF($I3215="适用",IF(ROUND(N3214-N3215,2)=0,"F/S",ROUND(N3214-N3215,2)),"#N/A")</f>
        <v>F/S</v>
      </c>
      <c r="P3215" s="301"/>
      <c r="Q3215" s="290" t="str">
        <f>IF($I3215="不适用","",IF(ROUND(SUM($H$3220:$M$3225),2)=0,"请输入",""))</f>
        <v/>
      </c>
      <c r="S3215" s="364"/>
      <c r="Z3215" s="609" t="s">
        <v>1306</v>
      </c>
      <c r="AA3215" s="609" t="s">
        <v>5666</v>
      </c>
    </row>
    <row r="3216" spans="1:34" s="289" customFormat="1" ht="0.75" customHeight="1">
      <c r="A3216" s="2712"/>
      <c r="B3216" s="371"/>
      <c r="C3216" s="371"/>
      <c r="D3216" s="371"/>
      <c r="E3216" s="2714"/>
      <c r="F3216" s="371"/>
      <c r="G3216" s="371" t="s">
        <v>3754</v>
      </c>
      <c r="H3216" s="371" t="s">
        <v>2904</v>
      </c>
      <c r="I3216" s="371" t="s">
        <v>3255</v>
      </c>
      <c r="J3216" s="371" t="s">
        <v>3755</v>
      </c>
      <c r="K3216" s="371" t="s">
        <v>3654</v>
      </c>
      <c r="L3216" s="371" t="s">
        <v>3252</v>
      </c>
      <c r="M3216" s="591"/>
      <c r="N3216" s="592"/>
      <c r="O3216" s="591"/>
      <c r="P3216" s="591"/>
      <c r="Q3216" s="592"/>
      <c r="R3216" s="595"/>
      <c r="S3216" s="564"/>
      <c r="T3216" s="292"/>
      <c r="U3216" s="292"/>
      <c r="V3216" s="292"/>
      <c r="W3216" s="292"/>
      <c r="X3216" s="292"/>
      <c r="Y3216" s="292"/>
      <c r="Z3216" s="609" t="s">
        <v>1306</v>
      </c>
      <c r="AA3216" s="609" t="s">
        <v>5666</v>
      </c>
      <c r="AB3216" s="369"/>
      <c r="AC3216" s="369"/>
      <c r="AD3216" s="369"/>
      <c r="AE3216" s="369"/>
      <c r="AF3216" s="292"/>
      <c r="AG3216" s="292"/>
      <c r="AH3216" s="292"/>
    </row>
    <row r="3217" spans="1:34" s="289" customFormat="1" ht="0.75" customHeight="1" thickBot="1">
      <c r="A3217" s="2712"/>
      <c r="B3217" s="371"/>
      <c r="C3217" s="371"/>
      <c r="D3217" s="371"/>
      <c r="E3217" s="2714"/>
      <c r="F3217" s="371"/>
      <c r="G3217" s="371"/>
      <c r="H3217" s="371" t="s">
        <v>2911</v>
      </c>
      <c r="I3217" s="371" t="s">
        <v>3756</v>
      </c>
      <c r="J3217" s="371" t="s">
        <v>3757</v>
      </c>
      <c r="K3217" s="371" t="s">
        <v>3758</v>
      </c>
      <c r="L3217" s="371" t="s">
        <v>3508</v>
      </c>
      <c r="M3217" s="591"/>
      <c r="N3217" s="592"/>
      <c r="O3217" s="591"/>
      <c r="P3217" s="591"/>
      <c r="Q3217" s="592"/>
      <c r="R3217" s="595"/>
      <c r="S3217" s="564"/>
      <c r="T3217" s="292"/>
      <c r="U3217" s="292"/>
      <c r="V3217" s="292"/>
      <c r="W3217" s="292"/>
      <c r="X3217" s="292"/>
      <c r="Y3217" s="292"/>
      <c r="Z3217" s="609" t="s">
        <v>1306</v>
      </c>
      <c r="AA3217" s="609" t="s">
        <v>5666</v>
      </c>
      <c r="AB3217" s="369"/>
      <c r="AC3217" s="369"/>
      <c r="AD3217" s="369"/>
      <c r="AE3217" s="369"/>
      <c r="AF3217" s="292"/>
      <c r="AG3217" s="292"/>
      <c r="AH3217" s="292"/>
    </row>
    <row r="3218" spans="1:34" s="289" customFormat="1" ht="15.75" customHeight="1">
      <c r="A3218" s="2712"/>
      <c r="B3218" s="371"/>
      <c r="C3218" s="371"/>
      <c r="D3218" s="371"/>
      <c r="E3218" s="2714" t="s">
        <v>2749</v>
      </c>
      <c r="F3218" s="368"/>
      <c r="G3218" s="3550" t="s">
        <v>47</v>
      </c>
      <c r="H3218" s="3552" t="str">
        <f>$V$3</f>
        <v>2018年12月31日</v>
      </c>
      <c r="I3218" s="3565" t="s">
        <v>3027</v>
      </c>
      <c r="J3218" s="3535" t="s">
        <v>3028</v>
      </c>
      <c r="K3218" s="3535"/>
      <c r="L3218" s="3612" t="str">
        <f>$V$2</f>
        <v>2019年12月31日</v>
      </c>
      <c r="M3218" s="355" t="s">
        <v>5293</v>
      </c>
      <c r="N3218" s="592"/>
      <c r="O3218" s="591"/>
      <c r="P3218" s="591"/>
      <c r="Q3218" s="592"/>
      <c r="R3218" s="595"/>
      <c r="S3218" s="564"/>
      <c r="T3218" s="292"/>
      <c r="U3218" s="292"/>
      <c r="V3218" s="292"/>
      <c r="W3218" s="292"/>
      <c r="X3218" s="292"/>
      <c r="Y3218" s="292"/>
      <c r="Z3218" s="609" t="s">
        <v>1306</v>
      </c>
      <c r="AA3218" s="609" t="s">
        <v>5666</v>
      </c>
      <c r="AB3218" s="369"/>
      <c r="AC3218" s="369"/>
      <c r="AD3218" s="369"/>
      <c r="AE3218" s="369"/>
      <c r="AF3218" s="292"/>
      <c r="AG3218" s="292"/>
      <c r="AH3218" s="292"/>
    </row>
    <row r="3219" spans="1:34" ht="18">
      <c r="A3219" s="2712"/>
      <c r="B3219" s="371"/>
      <c r="C3219" s="371"/>
      <c r="D3219" s="371"/>
      <c r="E3219" s="2714" t="s">
        <v>2749</v>
      </c>
      <c r="F3219" s="294"/>
      <c r="G3219" s="3551"/>
      <c r="H3219" s="3553"/>
      <c r="I3219" s="3566"/>
      <c r="J3219" s="558" t="s">
        <v>3759</v>
      </c>
      <c r="K3219" s="1490" t="s">
        <v>5199</v>
      </c>
      <c r="L3219" s="3613"/>
      <c r="M3219" s="571"/>
      <c r="N3219" s="574"/>
      <c r="O3219" s="472"/>
      <c r="P3219" s="472"/>
      <c r="Q3219" s="442"/>
      <c r="R3219" s="443"/>
      <c r="S3219" s="364"/>
      <c r="Z3219" s="609" t="s">
        <v>1306</v>
      </c>
      <c r="AA3219" s="609" t="s">
        <v>5666</v>
      </c>
    </row>
    <row r="3220" spans="1:34" ht="18">
      <c r="A3220" s="2712"/>
      <c r="B3220" s="371">
        <v>101</v>
      </c>
      <c r="C3220" s="371" t="s">
        <v>2791</v>
      </c>
      <c r="D3220" s="2714">
        <f t="shared" ref="D3220:D3225" si="381">IF(OR(G3220="*",G3220="",G3220=0),0,COUNTIF($G$3220:$G$3225,G3220))</f>
        <v>1</v>
      </c>
      <c r="E3220" s="2719">
        <v>1</v>
      </c>
      <c r="F3220" s="294"/>
      <c r="G3220" s="319" t="s">
        <v>7363</v>
      </c>
      <c r="H3220" s="309">
        <v>1731944.44</v>
      </c>
      <c r="I3220" s="309">
        <v>808111.18</v>
      </c>
      <c r="J3220" s="309">
        <v>991288.81</v>
      </c>
      <c r="K3220" s="309"/>
      <c r="L3220" s="361">
        <f>H3220+I3220-J3220-K3220</f>
        <v>1548766.81</v>
      </c>
      <c r="M3220" s="438"/>
      <c r="N3220" s="442"/>
      <c r="O3220" s="472"/>
      <c r="P3220" s="472"/>
      <c r="Q3220" s="442"/>
      <c r="R3220" s="443"/>
      <c r="S3220" s="364"/>
      <c r="Z3220" s="609" t="s">
        <v>1306</v>
      </c>
      <c r="AA3220" s="609" t="s">
        <v>5666</v>
      </c>
    </row>
    <row r="3221" spans="1:34" ht="18">
      <c r="A3221" s="2712"/>
      <c r="B3221" s="371">
        <v>102</v>
      </c>
      <c r="C3221" s="371" t="s">
        <v>2791</v>
      </c>
      <c r="D3221" s="2714">
        <f t="shared" si="381"/>
        <v>0</v>
      </c>
      <c r="E3221" s="2719">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5666</v>
      </c>
    </row>
    <row r="3222" spans="1:34" ht="18">
      <c r="A3222" s="2712"/>
      <c r="B3222" s="371">
        <v>103</v>
      </c>
      <c r="C3222" s="371" t="s">
        <v>2791</v>
      </c>
      <c r="D3222" s="2714">
        <f t="shared" si="381"/>
        <v>0</v>
      </c>
      <c r="E3222" s="2719">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5666</v>
      </c>
    </row>
    <row r="3223" spans="1:34" ht="18">
      <c r="A3223" s="2712"/>
      <c r="B3223" s="371">
        <v>104</v>
      </c>
      <c r="C3223" s="371" t="s">
        <v>2791</v>
      </c>
      <c r="D3223" s="2714">
        <f t="shared" si="381"/>
        <v>0</v>
      </c>
      <c r="E3223" s="2719">
        <v>1</v>
      </c>
      <c r="F3223" s="294"/>
      <c r="G3223" s="319" t="s">
        <v>2792</v>
      </c>
      <c r="H3223" s="309"/>
      <c r="I3223" s="309"/>
      <c r="J3223" s="309"/>
      <c r="K3223" s="309"/>
      <c r="L3223" s="361">
        <f>H3223+I3223-J3223-K3223</f>
        <v>0</v>
      </c>
      <c r="M3223" s="438"/>
      <c r="N3223" s="442"/>
      <c r="O3223" s="472"/>
      <c r="P3223" s="472"/>
      <c r="Q3223" s="442"/>
      <c r="R3223" s="443"/>
      <c r="S3223" s="364"/>
      <c r="Z3223" s="609" t="s">
        <v>1306</v>
      </c>
      <c r="AA3223" s="609" t="s">
        <v>5666</v>
      </c>
    </row>
    <row r="3224" spans="1:34" ht="18">
      <c r="A3224" s="2712"/>
      <c r="B3224" s="371">
        <v>105</v>
      </c>
      <c r="C3224" s="371" t="s">
        <v>2791</v>
      </c>
      <c r="D3224" s="2714">
        <f t="shared" si="381"/>
        <v>0</v>
      </c>
      <c r="E3224" s="2719">
        <v>1</v>
      </c>
      <c r="F3224" s="294"/>
      <c r="G3224" s="319" t="s">
        <v>2792</v>
      </c>
      <c r="H3224" s="309"/>
      <c r="I3224" s="309"/>
      <c r="J3224" s="309"/>
      <c r="K3224" s="309"/>
      <c r="L3224" s="361">
        <f>H3224+I3224-J3224-K3224</f>
        <v>0</v>
      </c>
      <c r="M3224" s="438"/>
      <c r="N3224" s="442"/>
      <c r="O3224" s="472"/>
      <c r="P3224" s="472"/>
      <c r="Q3224" s="442"/>
      <c r="R3224" s="443"/>
      <c r="S3224" s="364"/>
      <c r="Z3224" s="609" t="s">
        <v>1306</v>
      </c>
      <c r="AA3224" s="609" t="s">
        <v>5666</v>
      </c>
    </row>
    <row r="3225" spans="1:34" ht="18.75" thickBot="1">
      <c r="A3225" s="2712"/>
      <c r="B3225" s="371"/>
      <c r="C3225" s="371"/>
      <c r="D3225" s="2714">
        <f t="shared" si="381"/>
        <v>1</v>
      </c>
      <c r="E3225" s="2719" t="s">
        <v>2751</v>
      </c>
      <c r="F3225" s="294"/>
      <c r="G3225" s="374" t="s">
        <v>2752</v>
      </c>
      <c r="H3225" s="375">
        <f>SUMPRODUCT($E3219:$E3224,H3219:H3224)</f>
        <v>1731944.44</v>
      </c>
      <c r="I3225" s="375">
        <f>SUMPRODUCT($E3219:$E3224,I3219:I3224)</f>
        <v>808111.18</v>
      </c>
      <c r="J3225" s="375">
        <f>SUMPRODUCT($E3219:$E3224,J3219:J3224)</f>
        <v>991288.81</v>
      </c>
      <c r="K3225" s="375">
        <f>SUMPRODUCT($E3219:$E3224,K3219:K3224)</f>
        <v>0</v>
      </c>
      <c r="L3225" s="395">
        <f>SUMPRODUCT($E3219:$E3224,L3219:L3224)</f>
        <v>1548766.81</v>
      </c>
      <c r="M3225" s="438"/>
      <c r="N3225" s="442"/>
      <c r="O3225" s="472"/>
      <c r="P3225" s="472"/>
      <c r="Q3225" s="442"/>
      <c r="R3225" s="443"/>
      <c r="S3225" s="364"/>
      <c r="Z3225" s="609" t="s">
        <v>1306</v>
      </c>
      <c r="AA3225" s="609" t="s">
        <v>5666</v>
      </c>
    </row>
    <row r="3226" spans="1:34" ht="18">
      <c r="A3226" s="2712"/>
      <c r="B3226" s="371"/>
      <c r="C3226" s="371" t="s">
        <v>2755</v>
      </c>
      <c r="D3226" s="371"/>
      <c r="F3226" s="294"/>
      <c r="G3226" s="301"/>
      <c r="H3226" s="315"/>
      <c r="I3226" s="315"/>
      <c r="J3226" s="315"/>
      <c r="K3226" s="315"/>
      <c r="L3226" s="315"/>
      <c r="M3226" s="438"/>
      <c r="N3226" s="438"/>
      <c r="O3226" s="472"/>
      <c r="P3226" s="472"/>
      <c r="Q3226" s="442"/>
      <c r="R3226" s="443"/>
      <c r="S3226" s="364"/>
      <c r="Z3226" s="609" t="s">
        <v>1306</v>
      </c>
      <c r="AA3226" s="609" t="s">
        <v>5666</v>
      </c>
    </row>
    <row r="3227" spans="1:34" ht="18">
      <c r="A3227" s="2712" t="s">
        <v>1310</v>
      </c>
      <c r="B3227" s="371">
        <v>2</v>
      </c>
      <c r="C3227" s="371"/>
      <c r="D3227" s="2714" t="str">
        <f>VLOOKUP($A3227,Sheet_NoteList,2,0)</f>
        <v>长期待摊费用补充资料</v>
      </c>
      <c r="E3227" s="2714" t="s">
        <v>6529</v>
      </c>
      <c r="F3227" s="294"/>
      <c r="G3227" s="307" t="str">
        <f>"("&amp;B3227&amp;")"&amp;D3227</f>
        <v>(2)长期待摊费用补充资料</v>
      </c>
      <c r="H3227" s="1515" t="str">
        <f>$A3227</f>
        <v>1801x</v>
      </c>
      <c r="I3227" s="343" t="s">
        <v>5964</v>
      </c>
      <c r="J3227" s="301"/>
      <c r="K3227" s="391"/>
      <c r="L3227" s="345"/>
      <c r="M3227" s="301"/>
      <c r="N3227" s="391"/>
      <c r="O3227" s="345"/>
      <c r="P3227" s="301"/>
      <c r="S3227" s="364"/>
      <c r="Z3227" s="609" t="s">
        <v>1306</v>
      </c>
      <c r="AA3227" s="609" t="s">
        <v>5666</v>
      </c>
    </row>
    <row r="3228" spans="1:34" ht="0.75" customHeight="1" thickBot="1">
      <c r="A3228" s="2712"/>
      <c r="B3228" s="371"/>
      <c r="C3228" s="371"/>
      <c r="D3228" s="371"/>
      <c r="F3228" s="371"/>
      <c r="G3228" s="371" t="s">
        <v>3760</v>
      </c>
      <c r="H3228" s="371" t="s">
        <v>3620</v>
      </c>
      <c r="I3228" s="371" t="s">
        <v>2821</v>
      </c>
      <c r="J3228" s="291"/>
      <c r="O3228" s="291"/>
      <c r="P3228" s="291"/>
      <c r="S3228" s="364"/>
      <c r="Z3228" s="609" t="s">
        <v>1306</v>
      </c>
      <c r="AA3228" s="609" t="s">
        <v>5666</v>
      </c>
    </row>
    <row r="3229" spans="1:34" ht="18">
      <c r="A3229" s="2712"/>
      <c r="B3229" s="371"/>
      <c r="C3229" s="371"/>
      <c r="D3229" s="371"/>
      <c r="E3229" s="2714" t="s">
        <v>2749</v>
      </c>
      <c r="F3229" s="294"/>
      <c r="G3229" s="2384" t="s">
        <v>47</v>
      </c>
      <c r="H3229" s="2385" t="s">
        <v>2887</v>
      </c>
      <c r="I3229" s="2386" t="s">
        <v>2508</v>
      </c>
      <c r="J3229" s="355" t="s">
        <v>6174</v>
      </c>
      <c r="O3229" s="291"/>
      <c r="P3229" s="291"/>
      <c r="S3229" s="364"/>
      <c r="Z3229" s="609" t="s">
        <v>1306</v>
      </c>
      <c r="AA3229" s="609" t="s">
        <v>5666</v>
      </c>
    </row>
    <row r="3230" spans="1:34" ht="18">
      <c r="A3230" s="2712"/>
      <c r="B3230" s="371">
        <v>101</v>
      </c>
      <c r="C3230" s="371"/>
      <c r="D3230" s="2714">
        <f t="shared" ref="D3230:D3237" si="382">IF(OR(G3230="*",G3230="",G3230=0),0,COUNTIF($G$3230:$G$3237,G3230))</f>
        <v>1</v>
      </c>
      <c r="E3230" s="2719" t="s">
        <v>41</v>
      </c>
      <c r="F3230" s="294"/>
      <c r="G3230" s="308" t="s">
        <v>3761</v>
      </c>
      <c r="H3230" s="309"/>
      <c r="I3230" s="388"/>
      <c r="J3230" s="579"/>
      <c r="O3230" s="291"/>
      <c r="P3230" s="291"/>
      <c r="S3230" s="364"/>
      <c r="Z3230" s="609" t="s">
        <v>1306</v>
      </c>
      <c r="AA3230" s="609" t="s">
        <v>5666</v>
      </c>
    </row>
    <row r="3231" spans="1:34" ht="18">
      <c r="A3231" s="2712"/>
      <c r="B3231" s="371">
        <v>102</v>
      </c>
      <c r="C3231" s="371"/>
      <c r="D3231" s="2714">
        <f t="shared" si="382"/>
        <v>1</v>
      </c>
      <c r="E3231" s="2719">
        <v>-1</v>
      </c>
      <c r="F3231" s="294"/>
      <c r="G3231" s="308" t="s">
        <v>3762</v>
      </c>
      <c r="H3231" s="309"/>
      <c r="I3231" s="388"/>
      <c r="O3231" s="291"/>
      <c r="P3231" s="291"/>
      <c r="S3231" s="364"/>
      <c r="Z3231" s="609" t="s">
        <v>1306</v>
      </c>
      <c r="AA3231" s="609" t="s">
        <v>5666</v>
      </c>
    </row>
    <row r="3232" spans="1:34" ht="18">
      <c r="A3232" s="2712"/>
      <c r="B3232" s="371">
        <v>103</v>
      </c>
      <c r="C3232" s="371" t="s">
        <v>2791</v>
      </c>
      <c r="D3232" s="2714">
        <f t="shared" si="382"/>
        <v>1</v>
      </c>
      <c r="E3232" s="2719">
        <v>1</v>
      </c>
      <c r="F3232" s="294"/>
      <c r="G3232" s="578" t="s">
        <v>685</v>
      </c>
      <c r="H3232" s="309">
        <v>991288.81</v>
      </c>
      <c r="I3232" s="388"/>
      <c r="O3232" s="291"/>
      <c r="P3232" s="291"/>
      <c r="S3232" s="364"/>
      <c r="Z3232" s="609" t="s">
        <v>1306</v>
      </c>
      <c r="AA3232" s="609" t="s">
        <v>5666</v>
      </c>
    </row>
    <row r="3233" spans="1:27" ht="18">
      <c r="A3233" s="2712"/>
      <c r="B3233" s="371">
        <v>104</v>
      </c>
      <c r="C3233" s="371" t="s">
        <v>2791</v>
      </c>
      <c r="D3233" s="2714">
        <f t="shared" si="382"/>
        <v>1</v>
      </c>
      <c r="E3233" s="2719">
        <v>1</v>
      </c>
      <c r="F3233" s="294"/>
      <c r="G3233" s="578" t="s">
        <v>680</v>
      </c>
      <c r="H3233" s="309"/>
      <c r="I3233" s="388"/>
      <c r="O3233" s="291"/>
      <c r="P3233" s="291"/>
      <c r="S3233" s="364"/>
      <c r="Z3233" s="609" t="s">
        <v>1306</v>
      </c>
      <c r="AA3233" s="609" t="s">
        <v>5666</v>
      </c>
    </row>
    <row r="3234" spans="1:27" ht="18">
      <c r="A3234" s="2712"/>
      <c r="B3234" s="371">
        <v>105</v>
      </c>
      <c r="C3234" s="371" t="s">
        <v>2791</v>
      </c>
      <c r="D3234" s="2714">
        <f t="shared" si="382"/>
        <v>1</v>
      </c>
      <c r="E3234" s="2719">
        <v>1</v>
      </c>
      <c r="F3234" s="294"/>
      <c r="G3234" s="578" t="s">
        <v>362</v>
      </c>
      <c r="H3234" s="309"/>
      <c r="I3234" s="388"/>
      <c r="O3234" s="291"/>
      <c r="P3234" s="291"/>
      <c r="S3234" s="364"/>
      <c r="Z3234" s="609" t="s">
        <v>1306</v>
      </c>
      <c r="AA3234" s="609" t="s">
        <v>5666</v>
      </c>
    </row>
    <row r="3235" spans="1:27" ht="18">
      <c r="A3235" s="2712"/>
      <c r="B3235" s="371">
        <v>106</v>
      </c>
      <c r="C3235" s="371" t="s">
        <v>2791</v>
      </c>
      <c r="D3235" s="2714">
        <f t="shared" si="382"/>
        <v>1</v>
      </c>
      <c r="E3235" s="2719">
        <v>1</v>
      </c>
      <c r="F3235" s="294"/>
      <c r="G3235" s="578" t="s">
        <v>369</v>
      </c>
      <c r="H3235" s="309"/>
      <c r="I3235" s="388"/>
      <c r="O3235" s="291"/>
      <c r="P3235" s="291"/>
      <c r="S3235" s="364"/>
      <c r="Z3235" s="609" t="s">
        <v>1306</v>
      </c>
      <c r="AA3235" s="609" t="s">
        <v>5666</v>
      </c>
    </row>
    <row r="3236" spans="1:27" ht="18">
      <c r="A3236" s="2712"/>
      <c r="B3236" s="371">
        <v>107</v>
      </c>
      <c r="C3236" s="371" t="s">
        <v>2791</v>
      </c>
      <c r="D3236" s="2714">
        <f t="shared" si="382"/>
        <v>0</v>
      </c>
      <c r="E3236" s="2719">
        <v>1</v>
      </c>
      <c r="F3236" s="294"/>
      <c r="G3236" s="578" t="s">
        <v>2792</v>
      </c>
      <c r="H3236" s="309"/>
      <c r="I3236" s="388"/>
      <c r="O3236" s="291"/>
      <c r="P3236" s="291"/>
      <c r="S3236" s="364"/>
      <c r="Z3236" s="609" t="s">
        <v>1306</v>
      </c>
      <c r="AA3236" s="609" t="s">
        <v>5666</v>
      </c>
    </row>
    <row r="3237" spans="1:27" ht="18.75" thickBot="1">
      <c r="A3237" s="2712"/>
      <c r="B3237" s="371"/>
      <c r="C3237" s="371"/>
      <c r="D3237" s="2714">
        <f t="shared" si="382"/>
        <v>1</v>
      </c>
      <c r="E3237" s="2719" t="s">
        <v>2751</v>
      </c>
      <c r="F3237" s="294"/>
      <c r="G3237" s="1527" t="s">
        <v>2752</v>
      </c>
      <c r="H3237" s="2389">
        <f>SUMPRODUCT($E3229:$E3236,H3229:H3236)</f>
        <v>991288.81</v>
      </c>
      <c r="I3237" s="2390"/>
      <c r="O3237" s="291"/>
      <c r="P3237" s="291"/>
      <c r="S3237" s="364"/>
      <c r="Z3237" s="609" t="s">
        <v>1306</v>
      </c>
      <c r="AA3237" s="609" t="s">
        <v>5666</v>
      </c>
    </row>
    <row r="3238" spans="1:27" ht="18">
      <c r="A3238" s="2712"/>
      <c r="B3238" s="371"/>
      <c r="C3238" s="371" t="s">
        <v>2755</v>
      </c>
      <c r="D3238" s="371"/>
      <c r="F3238" s="294"/>
      <c r="G3238" s="301"/>
      <c r="H3238" s="315"/>
      <c r="I3238" s="393"/>
      <c r="J3238" s="349"/>
      <c r="K3238" s="349"/>
      <c r="L3238" s="349"/>
      <c r="M3238" s="349"/>
      <c r="N3238" s="349"/>
      <c r="O3238" s="291"/>
      <c r="P3238" s="291"/>
      <c r="S3238" s="364"/>
      <c r="Z3238" s="609" t="s">
        <v>1306</v>
      </c>
      <c r="AA3238" s="609" t="s">
        <v>5666</v>
      </c>
    </row>
    <row r="3239" spans="1:27" ht="18">
      <c r="A3239" s="2712">
        <v>1829</v>
      </c>
      <c r="B3239" s="371">
        <v>31</v>
      </c>
      <c r="C3239" s="2714" t="str">
        <f>VLOOKUP($A3239,Sheet_Items,2,0)</f>
        <v>递延所得税资产与递延所得税负债</v>
      </c>
      <c r="D3239" s="371"/>
      <c r="E3239" s="2714" t="s">
        <v>2739</v>
      </c>
      <c r="F3239" s="294"/>
      <c r="G3239" s="535" t="str">
        <f>B3239&amp;" "&amp;C3239</f>
        <v>31 递延所得税资产与递延所得税负债</v>
      </c>
      <c r="H3239" s="306"/>
      <c r="I3239" s="306"/>
      <c r="J3239" s="306"/>
      <c r="K3239" s="539"/>
      <c r="L3239" s="342"/>
      <c r="M3239" s="306"/>
      <c r="N3239" s="539"/>
      <c r="O3239" s="306"/>
      <c r="P3239" s="301"/>
      <c r="S3239" s="364"/>
      <c r="Z3239" s="609" t="s">
        <v>1317</v>
      </c>
      <c r="AA3239" s="609"/>
    </row>
    <row r="3240" spans="1:27" ht="18">
      <c r="A3240" s="2712">
        <v>1811</v>
      </c>
      <c r="B3240" s="371">
        <v>31.1</v>
      </c>
      <c r="C3240" s="2714" t="str">
        <f>VLOOKUP($A3240,Sheet_Items,2,0)</f>
        <v>递延所得税资产</v>
      </c>
      <c r="D3240" s="371"/>
      <c r="F3240" s="294"/>
      <c r="G3240" s="589" t="str">
        <f>B3240&amp;" "&amp;C3240</f>
        <v>31.1 递延所得税资产</v>
      </c>
      <c r="H3240" s="290"/>
      <c r="I3240" s="290"/>
      <c r="J3240" s="540" t="s">
        <v>2740</v>
      </c>
      <c r="K3240" s="341">
        <f>VLOOKUP($A3240,Sheet_Trialbal,6,0)</f>
        <v>16879550.879999999</v>
      </c>
      <c r="L3240" s="541"/>
      <c r="M3240" s="540" t="s">
        <v>2741</v>
      </c>
      <c r="N3240" s="341">
        <f>VLOOKUP($A3240,Sheet_Trialbal,10,0)</f>
        <v>15732218.73</v>
      </c>
      <c r="O3240" s="542"/>
      <c r="S3240" s="364"/>
      <c r="Z3240" s="609" t="s">
        <v>3763</v>
      </c>
      <c r="AA3240" s="609" t="s">
        <v>5667</v>
      </c>
    </row>
    <row r="3241" spans="1:27" ht="18">
      <c r="A3241" s="2712">
        <v>2901</v>
      </c>
      <c r="B3241" s="371">
        <v>31.2</v>
      </c>
      <c r="C3241" s="2714" t="str">
        <f>VLOOKUP($A3241,Sheet_Items,2,0)</f>
        <v>递延所得税负债</v>
      </c>
      <c r="D3241" s="371"/>
      <c r="F3241" s="294"/>
      <c r="G3241" s="589" t="str">
        <f>B3241&amp;" "&amp;C3241</f>
        <v>31.2 递延所得税负债</v>
      </c>
      <c r="H3241" s="290"/>
      <c r="I3241" s="290"/>
      <c r="J3241" s="540" t="s">
        <v>2740</v>
      </c>
      <c r="K3241" s="341">
        <f>VLOOKUP($A3241,Sheet_Trialbal,6,0)</f>
        <v>0</v>
      </c>
      <c r="L3241" s="541"/>
      <c r="M3241" s="540" t="s">
        <v>2741</v>
      </c>
      <c r="N3241" s="341">
        <f>VLOOKUP($A3241,Sheet_Trialbal,10,0)</f>
        <v>0</v>
      </c>
      <c r="O3241" s="540"/>
      <c r="S3241" s="364"/>
      <c r="Z3241" s="609" t="s">
        <v>3764</v>
      </c>
      <c r="AA3241" s="609" t="s">
        <v>5692</v>
      </c>
    </row>
    <row r="3242" spans="1:27" ht="24">
      <c r="A3242" s="2712" t="s">
        <v>1315</v>
      </c>
      <c r="B3242" s="371">
        <v>1</v>
      </c>
      <c r="C3242" s="371"/>
      <c r="D3242" s="2714" t="str">
        <f>VLOOKUP($A3242,Sheet_NoteList,2,0)</f>
        <v>未经抵销的递延所得税资产</v>
      </c>
      <c r="E3242" s="2714" t="s">
        <v>2742</v>
      </c>
      <c r="F3242" s="294"/>
      <c r="G3242" s="372" t="str">
        <f>"("&amp;B3242&amp;")"&amp;D3242</f>
        <v>(1)未经抵销的递延所得税资产</v>
      </c>
      <c r="H3242" s="1515" t="str">
        <f>$A3242</f>
        <v>1829a</v>
      </c>
      <c r="I3242" s="343" t="s">
        <v>2743</v>
      </c>
      <c r="J3242" s="301" t="s">
        <v>2744</v>
      </c>
      <c r="K3242" s="2208">
        <f>I3256</f>
        <v>16879550.879999999</v>
      </c>
      <c r="L3242" s="345" t="str">
        <f>IF($I3242="适用",IF(ROUND(K3240-K3242,2)=0,"F/S",ROUND(K3240-K3242,2)),"#N/A")</f>
        <v>F/S</v>
      </c>
      <c r="M3242" s="301" t="s">
        <v>2745</v>
      </c>
      <c r="N3242" s="2208">
        <f>K3256</f>
        <v>15732218.73</v>
      </c>
      <c r="O3242" s="345" t="str">
        <f>IF($I3242="适用",IF(ROUND(N3240-N3242,2)=0,"F/S",ROUND(N3240-N3242,2)),"#N/A")</f>
        <v>F/S</v>
      </c>
      <c r="P3242" s="301"/>
      <c r="Q3242" s="290" t="str">
        <f>IF($I3242="不适用","",IF(ROUND(SUM($H$3247:$K$3256),2)=0,"请输入",""))</f>
        <v/>
      </c>
      <c r="S3242" s="364"/>
      <c r="Z3242" s="609" t="s">
        <v>3763</v>
      </c>
      <c r="AA3242" s="609" t="s">
        <v>5667</v>
      </c>
    </row>
    <row r="3243" spans="1:27" ht="0.75" customHeight="1">
      <c r="A3243" s="2712"/>
      <c r="B3243" s="371"/>
      <c r="C3243" s="371"/>
      <c r="D3243" s="371"/>
      <c r="E3243" s="586"/>
      <c r="F3243" s="518"/>
      <c r="G3243" s="518" t="s">
        <v>3765</v>
      </c>
      <c r="H3243" s="304" t="s">
        <v>3766</v>
      </c>
      <c r="I3243" s="304" t="s">
        <v>3767</v>
      </c>
      <c r="J3243" s="304" t="s">
        <v>3768</v>
      </c>
      <c r="K3243" s="304" t="s">
        <v>3769</v>
      </c>
      <c r="L3243" s="291"/>
      <c r="M3243" s="291"/>
      <c r="N3243" s="291"/>
      <c r="O3243" s="291"/>
      <c r="S3243" s="364"/>
      <c r="Z3243" s="609" t="s">
        <v>3763</v>
      </c>
      <c r="AA3243" s="609" t="s">
        <v>5667</v>
      </c>
    </row>
    <row r="3244" spans="1:27" ht="0.75" customHeight="1" thickBot="1">
      <c r="A3244" s="2712"/>
      <c r="B3244" s="371"/>
      <c r="C3244" s="371"/>
      <c r="D3244" s="371"/>
      <c r="E3244" s="586"/>
      <c r="F3244" s="518"/>
      <c r="G3244" s="518"/>
      <c r="H3244" s="304" t="s">
        <v>3770</v>
      </c>
      <c r="I3244" s="304" t="s">
        <v>3771</v>
      </c>
      <c r="J3244" s="304" t="s">
        <v>3772</v>
      </c>
      <c r="K3244" s="304" t="s">
        <v>3773</v>
      </c>
      <c r="L3244" s="291"/>
      <c r="M3244" s="291"/>
      <c r="N3244" s="291"/>
      <c r="O3244" s="291"/>
      <c r="S3244" s="364"/>
      <c r="Z3244" s="609" t="s">
        <v>3763</v>
      </c>
      <c r="AA3244" s="609" t="s">
        <v>5667</v>
      </c>
    </row>
    <row r="3245" spans="1:27" ht="18">
      <c r="A3245" s="2712"/>
      <c r="B3245" s="371"/>
      <c r="C3245" s="371"/>
      <c r="D3245" s="371"/>
      <c r="E3245" s="586" t="s">
        <v>2749</v>
      </c>
      <c r="F3245" s="363"/>
      <c r="G3245" s="3487" t="s">
        <v>47</v>
      </c>
      <c r="H3245" s="3548" t="str">
        <f>$V$2</f>
        <v>2019年12月31日</v>
      </c>
      <c r="I3245" s="3549"/>
      <c r="J3245" s="3548" t="str">
        <f>$V$3</f>
        <v>2018年12月31日</v>
      </c>
      <c r="K3245" s="3562"/>
      <c r="L3245" s="355" t="s">
        <v>5294</v>
      </c>
      <c r="M3245" s="291"/>
      <c r="N3245" s="291"/>
      <c r="O3245" s="291"/>
      <c r="S3245" s="364"/>
      <c r="Z3245" s="609" t="s">
        <v>3763</v>
      </c>
      <c r="AA3245" s="609" t="s">
        <v>5667</v>
      </c>
    </row>
    <row r="3246" spans="1:27" ht="24">
      <c r="A3246" s="2712"/>
      <c r="B3246" s="371"/>
      <c r="C3246" s="371"/>
      <c r="D3246" s="371"/>
      <c r="E3246" s="586" t="s">
        <v>2749</v>
      </c>
      <c r="F3246" s="363"/>
      <c r="G3246" s="3488"/>
      <c r="H3246" s="2367" t="s">
        <v>3774</v>
      </c>
      <c r="I3246" s="2367" t="s">
        <v>422</v>
      </c>
      <c r="J3246" s="2367" t="s">
        <v>3774</v>
      </c>
      <c r="K3246" s="2372" t="s">
        <v>422</v>
      </c>
      <c r="L3246" s="594"/>
      <c r="M3246" s="291"/>
      <c r="N3246" s="291"/>
      <c r="O3246" s="291"/>
      <c r="S3246" s="364"/>
      <c r="Z3246" s="609" t="s">
        <v>3763</v>
      </c>
      <c r="AA3246" s="609" t="s">
        <v>5667</v>
      </c>
    </row>
    <row r="3247" spans="1:27" ht="18">
      <c r="A3247" s="2712"/>
      <c r="B3247" s="371">
        <v>101</v>
      </c>
      <c r="C3247" s="371"/>
      <c r="D3247" s="2714">
        <f t="shared" ref="D3247:D3256" si="383">IF(OR(G3247="*",G3247="",G3247=0),0,COUNTIF($G$3247:$G$3256,G3247))</f>
        <v>1</v>
      </c>
      <c r="E3247" s="2719">
        <v>1</v>
      </c>
      <c r="F3247" s="294"/>
      <c r="G3247" s="1472" t="s">
        <v>2302</v>
      </c>
      <c r="H3247" s="2273">
        <f>递延所得税!E9+递延所得税!E11+递延所得税!E12+递延所得税!E8</f>
        <v>53757688.210000001</v>
      </c>
      <c r="I3247" s="2273">
        <f>H3247*25%+AJE!O107+0.02</f>
        <v>13457672.84</v>
      </c>
      <c r="J3247" s="2273">
        <v>62928874.899999999</v>
      </c>
      <c r="K3247" s="2294">
        <f>15732218.73+'AJE1'!O11</f>
        <v>15732218.73</v>
      </c>
      <c r="L3247" s="291"/>
      <c r="M3247" s="291"/>
      <c r="N3247" s="291"/>
      <c r="O3247" s="291"/>
      <c r="S3247" s="364"/>
      <c r="Z3247" s="609" t="s">
        <v>3763</v>
      </c>
      <c r="AA3247" s="609" t="s">
        <v>5667</v>
      </c>
    </row>
    <row r="3248" spans="1:27" ht="18">
      <c r="A3248" s="2712"/>
      <c r="B3248" s="371">
        <v>102</v>
      </c>
      <c r="C3248" s="371"/>
      <c r="D3248" s="2714">
        <f t="shared" si="383"/>
        <v>1</v>
      </c>
      <c r="E3248" s="2719">
        <v>1</v>
      </c>
      <c r="F3248" s="294"/>
      <c r="G3248" s="1472" t="s">
        <v>3775</v>
      </c>
      <c r="H3248" s="2273">
        <f>递延所得税!E7</f>
        <v>13687512.16</v>
      </c>
      <c r="I3248" s="2273">
        <f>H3248*25%</f>
        <v>3421878.04</v>
      </c>
      <c r="J3248" s="2297">
        <v>0</v>
      </c>
      <c r="K3248" s="2295">
        <v>0</v>
      </c>
      <c r="L3248" s="291"/>
      <c r="M3248" s="291"/>
      <c r="N3248" s="291"/>
      <c r="O3248" s="291"/>
      <c r="S3248" s="364"/>
      <c r="Z3248" s="609" t="s">
        <v>3763</v>
      </c>
      <c r="AA3248" s="609" t="s">
        <v>5667</v>
      </c>
    </row>
    <row r="3249" spans="1:27" ht="18">
      <c r="A3249" s="2712"/>
      <c r="B3249" s="371">
        <v>103</v>
      </c>
      <c r="C3249" s="371"/>
      <c r="D3249" s="2714">
        <f t="shared" si="383"/>
        <v>1</v>
      </c>
      <c r="E3249" s="2719">
        <v>1</v>
      </c>
      <c r="F3249" s="294"/>
      <c r="G3249" s="1472" t="s">
        <v>3776</v>
      </c>
      <c r="H3249" s="2273"/>
      <c r="I3249" s="2273"/>
      <c r="J3249" s="2273"/>
      <c r="K3249" s="2294"/>
      <c r="L3249" s="291"/>
      <c r="M3249" s="291"/>
      <c r="N3249" s="291"/>
      <c r="O3249" s="291"/>
      <c r="S3249" s="364"/>
      <c r="Z3249" s="609" t="s">
        <v>3763</v>
      </c>
      <c r="AA3249" s="609" t="s">
        <v>5667</v>
      </c>
    </row>
    <row r="3250" spans="1:27" ht="18">
      <c r="A3250" s="2712"/>
      <c r="B3250" s="371">
        <v>104</v>
      </c>
      <c r="C3250" s="371"/>
      <c r="D3250" s="2714">
        <f t="shared" si="383"/>
        <v>1</v>
      </c>
      <c r="E3250" s="2719">
        <v>1</v>
      </c>
      <c r="F3250" s="294"/>
      <c r="G3250" s="1472" t="s">
        <v>3777</v>
      </c>
      <c r="H3250" s="2273"/>
      <c r="I3250" s="2273"/>
      <c r="J3250" s="2273"/>
      <c r="K3250" s="2294"/>
      <c r="L3250" s="291"/>
      <c r="M3250" s="291"/>
      <c r="N3250" s="291"/>
      <c r="O3250" s="291"/>
      <c r="S3250" s="364"/>
      <c r="Z3250" s="609" t="s">
        <v>3763</v>
      </c>
      <c r="AA3250" s="609" t="s">
        <v>5667</v>
      </c>
    </row>
    <row r="3251" spans="1:27" ht="24">
      <c r="A3251" s="2712"/>
      <c r="B3251" s="371">
        <v>105</v>
      </c>
      <c r="C3251" s="371" t="s">
        <v>2791</v>
      </c>
      <c r="D3251" s="2714">
        <f t="shared" si="383"/>
        <v>1</v>
      </c>
      <c r="E3251" s="2719">
        <v>1</v>
      </c>
      <c r="F3251" s="294"/>
      <c r="G3251" s="2373" t="s">
        <v>5641</v>
      </c>
      <c r="H3251" s="2273"/>
      <c r="I3251" s="2273"/>
      <c r="J3251" s="2273"/>
      <c r="K3251" s="2294"/>
      <c r="L3251" s="291"/>
      <c r="M3251" s="291"/>
      <c r="N3251" s="291"/>
      <c r="O3251" s="291"/>
      <c r="S3251" s="364"/>
      <c r="Z3251" s="609" t="s">
        <v>3763</v>
      </c>
      <c r="AA3251" s="609" t="s">
        <v>5667</v>
      </c>
    </row>
    <row r="3252" spans="1:27" ht="18">
      <c r="A3252" s="2712"/>
      <c r="B3252" s="371">
        <v>106</v>
      </c>
      <c r="C3252" s="371" t="s">
        <v>2791</v>
      </c>
      <c r="D3252" s="2714">
        <f t="shared" si="383"/>
        <v>1</v>
      </c>
      <c r="E3252" s="2719">
        <v>1</v>
      </c>
      <c r="F3252" s="294"/>
      <c r="G3252" s="2373" t="s">
        <v>570</v>
      </c>
      <c r="H3252" s="2273"/>
      <c r="I3252" s="2273"/>
      <c r="J3252" s="2273"/>
      <c r="K3252" s="2294"/>
      <c r="L3252" s="291"/>
      <c r="M3252" s="291"/>
      <c r="N3252" s="291"/>
      <c r="O3252" s="291"/>
      <c r="S3252" s="364"/>
      <c r="Z3252" s="609" t="s">
        <v>3763</v>
      </c>
      <c r="AA3252" s="609" t="s">
        <v>5667</v>
      </c>
    </row>
    <row r="3253" spans="1:27" ht="18">
      <c r="A3253" s="2712"/>
      <c r="B3253" s="371">
        <v>107</v>
      </c>
      <c r="C3253" s="371" t="s">
        <v>2791</v>
      </c>
      <c r="D3253" s="2714">
        <f t="shared" si="383"/>
        <v>1</v>
      </c>
      <c r="E3253" s="2719">
        <v>1</v>
      </c>
      <c r="F3253" s="294"/>
      <c r="G3253" s="2373" t="s">
        <v>489</v>
      </c>
      <c r="H3253" s="2273"/>
      <c r="I3253" s="2273"/>
      <c r="J3253" s="2273"/>
      <c r="K3253" s="2294"/>
      <c r="L3253" s="291"/>
      <c r="M3253" s="291"/>
      <c r="N3253" s="291"/>
      <c r="O3253" s="291"/>
      <c r="S3253" s="364"/>
      <c r="Z3253" s="609" t="s">
        <v>3763</v>
      </c>
      <c r="AA3253" s="609" t="s">
        <v>5667</v>
      </c>
    </row>
    <row r="3254" spans="1:27" ht="18">
      <c r="A3254" s="2712"/>
      <c r="B3254" s="371">
        <v>108</v>
      </c>
      <c r="C3254" s="371" t="s">
        <v>2791</v>
      </c>
      <c r="D3254" s="2714">
        <f t="shared" si="383"/>
        <v>0</v>
      </c>
      <c r="E3254" s="2719">
        <v>1</v>
      </c>
      <c r="F3254" s="294"/>
      <c r="G3254" s="2373" t="s">
        <v>2792</v>
      </c>
      <c r="H3254" s="2273"/>
      <c r="I3254" s="2273"/>
      <c r="J3254" s="2273"/>
      <c r="K3254" s="2294"/>
      <c r="L3254" s="291"/>
      <c r="M3254" s="291"/>
      <c r="N3254" s="291"/>
      <c r="O3254" s="291"/>
      <c r="S3254" s="364"/>
      <c r="Z3254" s="609" t="s">
        <v>3763</v>
      </c>
      <c r="AA3254" s="609" t="s">
        <v>5667</v>
      </c>
    </row>
    <row r="3255" spans="1:27" ht="18">
      <c r="A3255" s="2712"/>
      <c r="B3255" s="371">
        <v>109</v>
      </c>
      <c r="C3255" s="371" t="s">
        <v>2791</v>
      </c>
      <c r="D3255" s="2714">
        <f t="shared" si="383"/>
        <v>0</v>
      </c>
      <c r="E3255" s="2719">
        <v>1</v>
      </c>
      <c r="F3255" s="294"/>
      <c r="G3255" s="2373" t="s">
        <v>2792</v>
      </c>
      <c r="H3255" s="2273"/>
      <c r="I3255" s="2273"/>
      <c r="J3255" s="2273"/>
      <c r="K3255" s="2294"/>
      <c r="L3255" s="291"/>
      <c r="M3255" s="291"/>
      <c r="N3255" s="291"/>
      <c r="O3255" s="291"/>
      <c r="S3255" s="364"/>
      <c r="Z3255" s="609" t="s">
        <v>3763</v>
      </c>
      <c r="AA3255" s="609" t="s">
        <v>5667</v>
      </c>
    </row>
    <row r="3256" spans="1:27" ht="18.75" thickBot="1">
      <c r="A3256" s="2712"/>
      <c r="B3256" s="371"/>
      <c r="C3256" s="371"/>
      <c r="D3256" s="2714">
        <f t="shared" si="383"/>
        <v>1</v>
      </c>
      <c r="E3256" s="2719" t="s">
        <v>2751</v>
      </c>
      <c r="F3256" s="294"/>
      <c r="G3256" s="374" t="s">
        <v>2752</v>
      </c>
      <c r="H3256" s="1476">
        <f>SUMPRODUCT($E3246:$E3255,H3246:H3255)</f>
        <v>67445200.370000005</v>
      </c>
      <c r="I3256" s="1476">
        <f>SUMPRODUCT($E3246:$E3255,I3246:I3255)</f>
        <v>16879550.879999999</v>
      </c>
      <c r="J3256" s="1476">
        <f>SUMPRODUCT($E3246:$E3255,J3246:J3255)</f>
        <v>62928874.899999999</v>
      </c>
      <c r="K3256" s="1477">
        <f>SUMPRODUCT($E3246:$E3255,K3246:K3255)</f>
        <v>15732218.73</v>
      </c>
      <c r="L3256" s="291"/>
      <c r="M3256" s="291"/>
      <c r="N3256" s="291"/>
      <c r="O3256" s="291"/>
      <c r="S3256" s="364"/>
      <c r="Z3256" s="609" t="s">
        <v>3763</v>
      </c>
      <c r="AA3256" s="609" t="s">
        <v>5667</v>
      </c>
    </row>
    <row r="3257" spans="1:27" ht="18">
      <c r="A3257" s="2712"/>
      <c r="B3257" s="371"/>
      <c r="C3257" s="371" t="s">
        <v>2755</v>
      </c>
      <c r="D3257" s="371"/>
      <c r="F3257" s="294"/>
      <c r="G3257" s="301"/>
      <c r="H3257" s="315"/>
      <c r="I3257" s="315"/>
      <c r="J3257" s="315"/>
      <c r="K3257" s="315"/>
      <c r="L3257" s="291"/>
      <c r="M3257" s="291"/>
      <c r="N3257" s="291"/>
      <c r="O3257" s="291"/>
      <c r="S3257" s="364"/>
      <c r="Z3257" s="609" t="s">
        <v>3763</v>
      </c>
      <c r="AA3257" s="609" t="s">
        <v>5667</v>
      </c>
    </row>
    <row r="3258" spans="1:27" ht="24">
      <c r="A3258" s="2712" t="s">
        <v>1321</v>
      </c>
      <c r="B3258" s="371">
        <v>2</v>
      </c>
      <c r="C3258" s="371"/>
      <c r="D3258" s="2714" t="str">
        <f>VLOOKUP($A3258,Sheet_NoteList,2,0)</f>
        <v>未经抵销的递延所得税负债</v>
      </c>
      <c r="E3258" s="2714" t="s">
        <v>2742</v>
      </c>
      <c r="F3258" s="294"/>
      <c r="G3258" s="372" t="str">
        <f>"("&amp;B3258&amp;")"&amp;D3258</f>
        <v>(2)未经抵销的递延所得税负债</v>
      </c>
      <c r="H3258" s="1515" t="str">
        <f>$A3258</f>
        <v>1829b</v>
      </c>
      <c r="I3258" s="343" t="s">
        <v>2743</v>
      </c>
      <c r="J3258" s="301" t="s">
        <v>2744</v>
      </c>
      <c r="K3258" s="2208">
        <f>I3269</f>
        <v>0</v>
      </c>
      <c r="L3258" s="345" t="str">
        <f>IF($I3258="适用",IF(ROUND(K3241-K3258,2)=0,"F/S",ROUND(K3241-K3258,2)),"#N/A")</f>
        <v>F/S</v>
      </c>
      <c r="M3258" s="301" t="s">
        <v>2745</v>
      </c>
      <c r="N3258" s="2208">
        <f>K3269</f>
        <v>0</v>
      </c>
      <c r="O3258" s="345" t="str">
        <f>IF($I3258="适用",IF(ROUND(N3241-N3258,2)=0,"F/S",ROUND(N3241-N3258,2)),"#N/A")</f>
        <v>F/S</v>
      </c>
      <c r="P3258" s="301"/>
      <c r="Q3258" s="290" t="str">
        <f>IF($I3258="不适用","",IF(ROUND(SUM($H$3263:$K$3269),2)=0,"请输入",""))</f>
        <v>请输入</v>
      </c>
      <c r="S3258" s="364"/>
      <c r="Z3258" s="609" t="s">
        <v>3764</v>
      </c>
      <c r="AA3258" s="609" t="s">
        <v>5692</v>
      </c>
    </row>
    <row r="3259" spans="1:27" ht="0.75" customHeight="1">
      <c r="A3259" s="2712"/>
      <c r="B3259" s="371"/>
      <c r="C3259" s="371"/>
      <c r="D3259" s="371"/>
      <c r="E3259" s="586"/>
      <c r="F3259" s="518"/>
      <c r="G3259" s="518" t="s">
        <v>3778</v>
      </c>
      <c r="H3259" s="304" t="s">
        <v>3779</v>
      </c>
      <c r="I3259" s="304" t="s">
        <v>3780</v>
      </c>
      <c r="J3259" s="304" t="s">
        <v>3781</v>
      </c>
      <c r="K3259" s="304" t="s">
        <v>3782</v>
      </c>
      <c r="L3259" s="291"/>
      <c r="M3259" s="291"/>
      <c r="N3259" s="291"/>
      <c r="O3259" s="291"/>
      <c r="S3259" s="364"/>
      <c r="Z3259" s="609" t="s">
        <v>3764</v>
      </c>
      <c r="AA3259" s="609" t="s">
        <v>5692</v>
      </c>
    </row>
    <row r="3260" spans="1:27" ht="0.75" customHeight="1" thickBot="1">
      <c r="A3260" s="2712"/>
      <c r="B3260" s="371"/>
      <c r="C3260" s="371"/>
      <c r="D3260" s="371"/>
      <c r="E3260" s="586"/>
      <c r="F3260" s="518"/>
      <c r="G3260" s="518"/>
      <c r="H3260" s="304" t="s">
        <v>3783</v>
      </c>
      <c r="I3260" s="304" t="s">
        <v>3784</v>
      </c>
      <c r="J3260" s="304" t="s">
        <v>3785</v>
      </c>
      <c r="K3260" s="304" t="s">
        <v>3786</v>
      </c>
      <c r="L3260" s="291"/>
      <c r="M3260" s="291"/>
      <c r="N3260" s="291"/>
      <c r="O3260" s="291"/>
      <c r="S3260" s="364"/>
      <c r="Z3260" s="609" t="s">
        <v>3764</v>
      </c>
      <c r="AA3260" s="609" t="s">
        <v>5692</v>
      </c>
    </row>
    <row r="3261" spans="1:27" ht="18">
      <c r="A3261" s="2712"/>
      <c r="B3261" s="371"/>
      <c r="C3261" s="371"/>
      <c r="D3261" s="371"/>
      <c r="E3261" s="586" t="s">
        <v>2749</v>
      </c>
      <c r="F3261" s="363"/>
      <c r="G3261" s="3487" t="s">
        <v>47</v>
      </c>
      <c r="H3261" s="3548" t="str">
        <f>$V$2</f>
        <v>2019年12月31日</v>
      </c>
      <c r="I3261" s="3549"/>
      <c r="J3261" s="3548" t="str">
        <f>$V$3</f>
        <v>2018年12月31日</v>
      </c>
      <c r="K3261" s="3562"/>
      <c r="L3261" s="355" t="s">
        <v>5294</v>
      </c>
      <c r="M3261" s="291"/>
      <c r="N3261" s="291"/>
      <c r="O3261" s="291"/>
      <c r="S3261" s="364"/>
      <c r="Z3261" s="609" t="s">
        <v>3764</v>
      </c>
      <c r="AA3261" s="609" t="s">
        <v>5692</v>
      </c>
    </row>
    <row r="3262" spans="1:27" ht="24">
      <c r="A3262" s="2712"/>
      <c r="B3262" s="371"/>
      <c r="C3262" s="371"/>
      <c r="D3262" s="371"/>
      <c r="E3262" s="586" t="s">
        <v>2749</v>
      </c>
      <c r="F3262" s="363"/>
      <c r="G3262" s="3488"/>
      <c r="H3262" s="2367" t="s">
        <v>3787</v>
      </c>
      <c r="I3262" s="2367" t="s">
        <v>576</v>
      </c>
      <c r="J3262" s="2367" t="s">
        <v>3787</v>
      </c>
      <c r="K3262" s="2372" t="s">
        <v>576</v>
      </c>
      <c r="L3262" s="291"/>
      <c r="M3262" s="291"/>
      <c r="N3262" s="291"/>
      <c r="O3262" s="291"/>
      <c r="S3262" s="364"/>
      <c r="Z3262" s="609" t="s">
        <v>3764</v>
      </c>
      <c r="AA3262" s="609" t="s">
        <v>5692</v>
      </c>
    </row>
    <row r="3263" spans="1:27" ht="24">
      <c r="A3263" s="2712"/>
      <c r="B3263" s="371">
        <v>101</v>
      </c>
      <c r="C3263" s="371"/>
      <c r="D3263" s="2714">
        <f t="shared" ref="D3263:D3269" si="384">IF(OR(G3263="*",G3263="",G3263=0),0,COUNTIF($G$3263:$G$3269,G3263))</f>
        <v>1</v>
      </c>
      <c r="E3263" s="2719">
        <v>1</v>
      </c>
      <c r="F3263" s="294"/>
      <c r="G3263" s="1472" t="s">
        <v>3788</v>
      </c>
      <c r="H3263" s="2273"/>
      <c r="I3263" s="2273"/>
      <c r="J3263" s="2273"/>
      <c r="K3263" s="2294"/>
      <c r="L3263" s="291"/>
      <c r="M3263" s="291"/>
      <c r="N3263" s="291"/>
      <c r="O3263" s="291"/>
      <c r="S3263" s="364"/>
      <c r="Z3263" s="609" t="s">
        <v>3764</v>
      </c>
      <c r="AA3263" s="609" t="s">
        <v>5692</v>
      </c>
    </row>
    <row r="3264" spans="1:27" ht="24">
      <c r="A3264" s="2712"/>
      <c r="B3264" s="371">
        <v>102</v>
      </c>
      <c r="C3264" s="371"/>
      <c r="D3264" s="2714">
        <f t="shared" si="384"/>
        <v>1</v>
      </c>
      <c r="E3264" s="2719">
        <v>1</v>
      </c>
      <c r="F3264" s="294"/>
      <c r="G3264" s="1472" t="s">
        <v>3789</v>
      </c>
      <c r="H3264" s="2273"/>
      <c r="I3264" s="2273"/>
      <c r="J3264" s="2273"/>
      <c r="K3264" s="2294"/>
      <c r="L3264" s="291"/>
      <c r="M3264" s="291"/>
      <c r="N3264" s="291"/>
      <c r="O3264" s="291"/>
      <c r="S3264" s="364"/>
      <c r="Z3264" s="609" t="s">
        <v>3764</v>
      </c>
      <c r="AA3264" s="609" t="s">
        <v>5692</v>
      </c>
    </row>
    <row r="3265" spans="1:27" ht="18">
      <c r="A3265" s="2712"/>
      <c r="B3265" s="371">
        <v>103</v>
      </c>
      <c r="C3265" s="371" t="s">
        <v>2791</v>
      </c>
      <c r="D3265" s="2714">
        <f t="shared" si="384"/>
        <v>0</v>
      </c>
      <c r="E3265" s="2719">
        <v>1</v>
      </c>
      <c r="F3265" s="294"/>
      <c r="G3265" s="2373" t="s">
        <v>2792</v>
      </c>
      <c r="H3265" s="2273"/>
      <c r="I3265" s="2273"/>
      <c r="J3265" s="2273"/>
      <c r="K3265" s="2294"/>
      <c r="L3265" s="291"/>
      <c r="M3265" s="291"/>
      <c r="N3265" s="291"/>
      <c r="O3265" s="291"/>
      <c r="S3265" s="364"/>
      <c r="Z3265" s="609" t="s">
        <v>3764</v>
      </c>
      <c r="AA3265" s="609" t="s">
        <v>5692</v>
      </c>
    </row>
    <row r="3266" spans="1:27" ht="18">
      <c r="A3266" s="2712"/>
      <c r="B3266" s="371">
        <v>104</v>
      </c>
      <c r="C3266" s="371" t="s">
        <v>2791</v>
      </c>
      <c r="D3266" s="2714">
        <f t="shared" si="384"/>
        <v>0</v>
      </c>
      <c r="E3266" s="2719">
        <v>1</v>
      </c>
      <c r="F3266" s="294"/>
      <c r="G3266" s="2373" t="s">
        <v>2792</v>
      </c>
      <c r="H3266" s="2273"/>
      <c r="I3266" s="2273"/>
      <c r="J3266" s="2273"/>
      <c r="K3266" s="2294"/>
      <c r="L3266" s="291"/>
      <c r="M3266" s="291"/>
      <c r="N3266" s="291"/>
      <c r="O3266" s="291"/>
      <c r="S3266" s="364"/>
      <c r="Z3266" s="609" t="s">
        <v>3764</v>
      </c>
      <c r="AA3266" s="609" t="s">
        <v>5692</v>
      </c>
    </row>
    <row r="3267" spans="1:27" ht="18">
      <c r="A3267" s="2712"/>
      <c r="B3267" s="371">
        <v>105</v>
      </c>
      <c r="C3267" s="371" t="s">
        <v>2791</v>
      </c>
      <c r="D3267" s="2714">
        <f t="shared" si="384"/>
        <v>0</v>
      </c>
      <c r="E3267" s="2719">
        <v>1</v>
      </c>
      <c r="F3267" s="294"/>
      <c r="G3267" s="2373" t="s">
        <v>2792</v>
      </c>
      <c r="H3267" s="2273"/>
      <c r="I3267" s="2273"/>
      <c r="J3267" s="2273"/>
      <c r="K3267" s="2294"/>
      <c r="L3267" s="291"/>
      <c r="M3267" s="291"/>
      <c r="N3267" s="291"/>
      <c r="O3267" s="291"/>
      <c r="S3267" s="364"/>
      <c r="Z3267" s="609" t="s">
        <v>3764</v>
      </c>
      <c r="AA3267" s="609" t="s">
        <v>5692</v>
      </c>
    </row>
    <row r="3268" spans="1:27" ht="18">
      <c r="A3268" s="2712"/>
      <c r="B3268" s="371">
        <v>106</v>
      </c>
      <c r="C3268" s="371" t="s">
        <v>2791</v>
      </c>
      <c r="D3268" s="2714">
        <f t="shared" si="384"/>
        <v>0</v>
      </c>
      <c r="E3268" s="2719">
        <v>1</v>
      </c>
      <c r="F3268" s="294"/>
      <c r="G3268" s="2373" t="s">
        <v>2792</v>
      </c>
      <c r="H3268" s="2273"/>
      <c r="I3268" s="2273"/>
      <c r="J3268" s="2273"/>
      <c r="K3268" s="2294"/>
      <c r="L3268" s="291"/>
      <c r="M3268" s="291"/>
      <c r="N3268" s="291"/>
      <c r="O3268" s="291"/>
      <c r="S3268" s="364"/>
      <c r="Z3268" s="609" t="s">
        <v>3764</v>
      </c>
      <c r="AA3268" s="609" t="s">
        <v>5692</v>
      </c>
    </row>
    <row r="3269" spans="1:27" ht="18.75" thickBot="1">
      <c r="A3269" s="2712"/>
      <c r="B3269" s="371"/>
      <c r="C3269" s="371"/>
      <c r="D3269" s="2714">
        <f t="shared" si="384"/>
        <v>1</v>
      </c>
      <c r="E3269" s="2719" t="s">
        <v>2751</v>
      </c>
      <c r="F3269" s="294"/>
      <c r="G3269" s="374" t="s">
        <v>2752</v>
      </c>
      <c r="H3269" s="1476">
        <f>SUMPRODUCT($E3262:$E3268,H3262:H3268)</f>
        <v>0</v>
      </c>
      <c r="I3269" s="1476">
        <f>SUMPRODUCT($E3262:$E3268,I3262:I3268)</f>
        <v>0</v>
      </c>
      <c r="J3269" s="1476">
        <f>SUMPRODUCT($E3262:$E3268,J3262:J3268)</f>
        <v>0</v>
      </c>
      <c r="K3269" s="1477">
        <f>SUMPRODUCT($E3262:$E3268,K3262:K3268)</f>
        <v>0</v>
      </c>
      <c r="L3269" s="291"/>
      <c r="M3269" s="291"/>
      <c r="N3269" s="291"/>
      <c r="O3269" s="291"/>
      <c r="S3269" s="364"/>
      <c r="Z3269" s="609" t="s">
        <v>3764</v>
      </c>
      <c r="AA3269" s="609" t="s">
        <v>5692</v>
      </c>
    </row>
    <row r="3270" spans="1:27" ht="18">
      <c r="A3270" s="2712"/>
      <c r="B3270" s="371"/>
      <c r="C3270" s="371" t="s">
        <v>2755</v>
      </c>
      <c r="D3270" s="371"/>
      <c r="F3270" s="294"/>
      <c r="G3270" s="301"/>
      <c r="H3270" s="315"/>
      <c r="I3270" s="315"/>
      <c r="J3270" s="315"/>
      <c r="K3270" s="315"/>
      <c r="L3270" s="291"/>
      <c r="M3270" s="291"/>
      <c r="N3270" s="291"/>
      <c r="O3270" s="291"/>
      <c r="S3270" s="364"/>
      <c r="Z3270" s="609" t="s">
        <v>3764</v>
      </c>
      <c r="AA3270" s="609" t="s">
        <v>5692</v>
      </c>
    </row>
    <row r="3271" spans="1:27" ht="24">
      <c r="A3271" s="2712" t="s">
        <v>1326</v>
      </c>
      <c r="B3271" s="371">
        <v>3</v>
      </c>
      <c r="C3271" s="371"/>
      <c r="D3271" s="2714" t="str">
        <f>VLOOKUP($A3271,Sheet_NoteList,2,0)</f>
        <v>以抵销后净额列示的递延所得税资产或负债</v>
      </c>
      <c r="E3271" s="2714" t="s">
        <v>2742</v>
      </c>
      <c r="F3271" s="294"/>
      <c r="G3271" s="372" t="str">
        <f>"("&amp;B3271&amp;")"&amp;D3271</f>
        <v>(3)以抵销后净额列示的递延所得税资产或负债</v>
      </c>
      <c r="H3271" s="1515" t="str">
        <f>$A3271</f>
        <v>1829c</v>
      </c>
      <c r="I3271" s="343" t="s">
        <v>2743</v>
      </c>
      <c r="J3271" s="301"/>
      <c r="K3271" s="3083"/>
      <c r="L3271" s="315"/>
      <c r="M3271" s="301"/>
      <c r="N3271" s="3083"/>
      <c r="O3271" s="315"/>
      <c r="P3271" s="301"/>
      <c r="Q3271" s="290" t="str">
        <f>IF($I3271="不适用","",IF(ROUND(SUM($H$3274:$K$3276),2)=0,"请输入",""))</f>
        <v>请输入</v>
      </c>
      <c r="S3271" s="364"/>
      <c r="Z3271" s="609" t="s">
        <v>3790</v>
      </c>
      <c r="AA3271" s="609" t="s">
        <v>6573</v>
      </c>
    </row>
    <row r="3272" spans="1:27" ht="0.75" customHeight="1" thickBot="1">
      <c r="A3272" s="2712"/>
      <c r="B3272" s="371"/>
      <c r="C3272" s="371"/>
      <c r="D3272" s="371"/>
      <c r="E3272" s="586"/>
      <c r="F3272" s="518"/>
      <c r="G3272" s="518" t="s">
        <v>3791</v>
      </c>
      <c r="H3272" s="304" t="s">
        <v>3792</v>
      </c>
      <c r="I3272" s="304" t="s">
        <v>3793</v>
      </c>
      <c r="J3272" s="304" t="s">
        <v>3794</v>
      </c>
      <c r="K3272" s="304" t="s">
        <v>3795</v>
      </c>
      <c r="L3272" s="291"/>
      <c r="M3272" s="291"/>
      <c r="N3272" s="291"/>
      <c r="O3272" s="291"/>
      <c r="S3272" s="364"/>
      <c r="Z3272" s="609" t="s">
        <v>3790</v>
      </c>
      <c r="AA3272" s="609" t="s">
        <v>6573</v>
      </c>
    </row>
    <row r="3273" spans="1:27" ht="48">
      <c r="A3273" s="2712"/>
      <c r="B3273" s="371"/>
      <c r="C3273" s="371"/>
      <c r="D3273" s="371"/>
      <c r="E3273" s="586" t="s">
        <v>2749</v>
      </c>
      <c r="F3273" s="363"/>
      <c r="G3273" s="2360" t="s">
        <v>47</v>
      </c>
      <c r="H3273" s="2366" t="str">
        <f>"递延所得税资产和负债于"&amp;$W$2&amp;"互抵金额"</f>
        <v>递延所得税资产和负债于2019年12月31日互抵金额</v>
      </c>
      <c r="I3273" s="2366" t="str">
        <f>"抵销后递延所得税资产或负债于"&amp;$W$2&amp;"余额"</f>
        <v>抵销后递延所得税资产或负债于2019年12月31日余额</v>
      </c>
      <c r="J3273" s="2366" t="str">
        <f>"递延所得税资产和负债于"&amp;$W$3&amp;"互抵金额"</f>
        <v>递延所得税资产和负债于2018年12月31日互抵金额</v>
      </c>
      <c r="K3273" s="2371" t="str">
        <f>"抵销后递延所得税资产或负债于"&amp;$W$3&amp;"余额"</f>
        <v>抵销后递延所得税资产或负债于2018年12月31日余额</v>
      </c>
      <c r="L3273" s="355" t="s">
        <v>5294</v>
      </c>
      <c r="M3273" s="291"/>
      <c r="N3273" s="291"/>
      <c r="O3273" s="291"/>
      <c r="S3273" s="364"/>
      <c r="Z3273" s="609" t="s">
        <v>3790</v>
      </c>
      <c r="AA3273" s="609" t="s">
        <v>6573</v>
      </c>
    </row>
    <row r="3274" spans="1:27" ht="18">
      <c r="A3274" s="2712"/>
      <c r="B3274" s="371">
        <v>101</v>
      </c>
      <c r="C3274" s="371"/>
      <c r="D3274" s="2714">
        <f>IF(OR(G3274="*",G3274="",G3274=0),0,COUNTIF($G$3274:$G$3276,G3274))</f>
        <v>1</v>
      </c>
      <c r="E3274" s="2719">
        <v>1</v>
      </c>
      <c r="F3274" s="294"/>
      <c r="G3274" s="1472" t="s">
        <v>422</v>
      </c>
      <c r="H3274" s="2273"/>
      <c r="I3274" s="2273"/>
      <c r="J3274" s="2273"/>
      <c r="K3274" s="2294"/>
      <c r="L3274" s="291"/>
      <c r="M3274" s="291"/>
      <c r="N3274" s="291"/>
      <c r="O3274" s="291"/>
      <c r="S3274" s="364"/>
      <c r="Z3274" s="609" t="s">
        <v>3790</v>
      </c>
      <c r="AA3274" s="609" t="s">
        <v>6573</v>
      </c>
    </row>
    <row r="3275" spans="1:27" ht="18">
      <c r="A3275" s="2712"/>
      <c r="B3275" s="371">
        <v>102</v>
      </c>
      <c r="C3275" s="371"/>
      <c r="D3275" s="2714">
        <f>IF(OR(G3275="*",G3275="",G3275=0),0,COUNTIF($G$3274:$G$3276,G3275))</f>
        <v>1</v>
      </c>
      <c r="E3275" s="2719">
        <v>1</v>
      </c>
      <c r="F3275" s="294"/>
      <c r="G3275" s="1472" t="s">
        <v>576</v>
      </c>
      <c r="H3275" s="2273"/>
      <c r="I3275" s="2273"/>
      <c r="J3275" s="2273"/>
      <c r="K3275" s="2294"/>
      <c r="L3275" s="291"/>
      <c r="M3275" s="291"/>
      <c r="N3275" s="291"/>
      <c r="O3275" s="291"/>
      <c r="S3275" s="364"/>
      <c r="Z3275" s="609" t="s">
        <v>3790</v>
      </c>
      <c r="AA3275" s="609" t="s">
        <v>6573</v>
      </c>
    </row>
    <row r="3276" spans="1:27" ht="18.75" thickBot="1">
      <c r="A3276" s="2712"/>
      <c r="B3276" s="371"/>
      <c r="C3276" s="371" t="s">
        <v>2793</v>
      </c>
      <c r="D3276" s="2714">
        <f>IF(OR(G3276="*",G3276="",G3276=0),0,COUNTIF($G$3274:$G$3276,G3276))</f>
        <v>0</v>
      </c>
      <c r="E3276" s="2719" t="s">
        <v>3595</v>
      </c>
      <c r="F3276" s="294"/>
      <c r="G3276" s="590"/>
      <c r="H3276" s="2315"/>
      <c r="I3276" s="2315"/>
      <c r="J3276" s="2315"/>
      <c r="K3276" s="2382"/>
      <c r="L3276" s="291"/>
      <c r="M3276" s="291"/>
      <c r="N3276" s="291"/>
      <c r="O3276" s="291"/>
      <c r="S3276" s="364"/>
      <c r="Z3276" s="609" t="s">
        <v>3790</v>
      </c>
      <c r="AA3276" s="609" t="s">
        <v>6573</v>
      </c>
    </row>
    <row r="3277" spans="1:27" ht="18">
      <c r="A3277" s="2712"/>
      <c r="B3277" s="371"/>
      <c r="C3277" s="371" t="s">
        <v>2755</v>
      </c>
      <c r="D3277" s="371"/>
      <c r="F3277" s="294"/>
      <c r="G3277" s="301"/>
      <c r="H3277" s="315"/>
      <c r="I3277" s="315"/>
      <c r="J3277" s="315"/>
      <c r="K3277" s="315"/>
      <c r="L3277" s="291"/>
      <c r="M3277" s="291"/>
      <c r="N3277" s="291"/>
      <c r="O3277" s="291"/>
      <c r="S3277" s="364"/>
      <c r="Z3277" s="609" t="s">
        <v>3790</v>
      </c>
      <c r="AA3277" s="609" t="s">
        <v>6573</v>
      </c>
    </row>
    <row r="3278" spans="1:27" ht="24">
      <c r="A3278" s="2712" t="s">
        <v>1331</v>
      </c>
      <c r="B3278" s="371">
        <v>4</v>
      </c>
      <c r="C3278" s="371"/>
      <c r="D3278" s="2714" t="str">
        <f>VLOOKUP($A3278,Sheet_NoteList,2,0)</f>
        <v>未确认递延所得税资产明细</v>
      </c>
      <c r="E3278" s="2714" t="s">
        <v>2742</v>
      </c>
      <c r="F3278" s="294"/>
      <c r="G3278" s="372" t="str">
        <f>"("&amp;B3278&amp;")"&amp;D3278</f>
        <v>(4)未确认递延所得税资产明细</v>
      </c>
      <c r="H3278" s="1515" t="str">
        <f>$A3278</f>
        <v>1829e</v>
      </c>
      <c r="I3278" s="343" t="s">
        <v>2743</v>
      </c>
      <c r="J3278" s="301"/>
      <c r="K3278" s="3083"/>
      <c r="L3278" s="315"/>
      <c r="M3278" s="301"/>
      <c r="N3278" s="3083"/>
      <c r="O3278" s="315"/>
      <c r="P3278" s="301"/>
      <c r="Q3278" s="290" t="str">
        <f>IF($I3278="不适用","",IF(ROUND(SUM($H$3281:$I$3286),2)=0,"请输入",""))</f>
        <v>请输入</v>
      </c>
      <c r="S3278" s="364"/>
      <c r="Z3278" s="609" t="s">
        <v>3763</v>
      </c>
      <c r="AA3278" s="609" t="s">
        <v>5667</v>
      </c>
    </row>
    <row r="3279" spans="1:27" ht="0.75" customHeight="1" thickBot="1">
      <c r="A3279" s="2712"/>
      <c r="B3279" s="371"/>
      <c r="C3279" s="371"/>
      <c r="D3279" s="371"/>
      <c r="E3279" s="586"/>
      <c r="F3279" s="363"/>
      <c r="G3279" s="363" t="s">
        <v>3796</v>
      </c>
      <c r="H3279" s="294" t="s">
        <v>2849</v>
      </c>
      <c r="I3279" s="294" t="s">
        <v>3797</v>
      </c>
      <c r="J3279" s="291"/>
      <c r="K3279" s="291"/>
      <c r="L3279" s="291"/>
      <c r="M3279" s="291"/>
      <c r="S3279" s="364"/>
      <c r="Z3279" s="609" t="s">
        <v>3763</v>
      </c>
      <c r="AA3279" s="609" t="s">
        <v>5667</v>
      </c>
    </row>
    <row r="3280" spans="1:27" ht="18">
      <c r="A3280" s="2712"/>
      <c r="B3280" s="371"/>
      <c r="C3280" s="371"/>
      <c r="D3280" s="371"/>
      <c r="E3280" s="586" t="s">
        <v>2749</v>
      </c>
      <c r="F3280" s="363"/>
      <c r="G3280" s="2360" t="s">
        <v>47</v>
      </c>
      <c r="H3280" s="2223" t="str">
        <f>$V$2</f>
        <v>2019年12月31日</v>
      </c>
      <c r="I3280" s="2224" t="str">
        <f>$V$3</f>
        <v>2018年12月31日</v>
      </c>
      <c r="J3280" s="355" t="s">
        <v>5294</v>
      </c>
      <c r="K3280" s="291"/>
      <c r="L3280" s="291"/>
      <c r="M3280" s="291"/>
      <c r="S3280" s="364"/>
      <c r="Z3280" s="609" t="s">
        <v>3763</v>
      </c>
      <c r="AA3280" s="609" t="s">
        <v>5667</v>
      </c>
    </row>
    <row r="3281" spans="1:29" ht="18">
      <c r="A3281" s="2712"/>
      <c r="B3281" s="371">
        <v>101</v>
      </c>
      <c r="C3281" s="371"/>
      <c r="D3281" s="2714">
        <f t="shared" ref="D3281:D3286" si="385">IF(OR(G3281="*",G3281="",G3281=0),0,COUNTIF($G$3281:$G$3286,G3281))</f>
        <v>1</v>
      </c>
      <c r="E3281" s="2719">
        <v>1</v>
      </c>
      <c r="F3281" s="294"/>
      <c r="G3281" s="1472" t="s">
        <v>3774</v>
      </c>
      <c r="H3281" s="2273"/>
      <c r="I3281" s="2294"/>
      <c r="J3281" s="291"/>
      <c r="K3281" s="291"/>
      <c r="L3281" s="291"/>
      <c r="M3281" s="291"/>
      <c r="S3281" s="364"/>
      <c r="Z3281" s="609" t="s">
        <v>3763</v>
      </c>
      <c r="AA3281" s="609" t="s">
        <v>5667</v>
      </c>
    </row>
    <row r="3282" spans="1:29" ht="18">
      <c r="A3282" s="2712"/>
      <c r="B3282" s="371">
        <v>102</v>
      </c>
      <c r="C3282" s="371"/>
      <c r="D3282" s="2714">
        <f t="shared" si="385"/>
        <v>1</v>
      </c>
      <c r="E3282" s="2719">
        <v>1</v>
      </c>
      <c r="F3282" s="294"/>
      <c r="G3282" s="1472" t="s">
        <v>3777</v>
      </c>
      <c r="H3282" s="2273"/>
      <c r="I3282" s="2294"/>
      <c r="J3282" s="1531" t="str">
        <f ca="1">HYPERLINK("#'"&amp;$G$1&amp;"'!"&amp;ADDRESS(ROW(Notes!H3301),COLUMN(Notes!H3301),4),"* 请勿删除此行！点击往勾稽单元格，F5+Enter返回")</f>
        <v>* 请勿删除此行！点击往勾稽单元格，F5+Enter返回</v>
      </c>
      <c r="K3282" s="291"/>
      <c r="L3282" s="291"/>
      <c r="M3282" s="291"/>
      <c r="S3282" s="364"/>
      <c r="Z3282" s="609" t="s">
        <v>3763</v>
      </c>
      <c r="AA3282" s="609" t="s">
        <v>5667</v>
      </c>
      <c r="AC3282" s="369" t="s">
        <v>6571</v>
      </c>
    </row>
    <row r="3283" spans="1:29" ht="18">
      <c r="A3283" s="2712"/>
      <c r="B3283" s="371">
        <v>103</v>
      </c>
      <c r="C3283" s="371" t="s">
        <v>2791</v>
      </c>
      <c r="D3283" s="2714">
        <f t="shared" si="385"/>
        <v>0</v>
      </c>
      <c r="E3283" s="2719">
        <v>1</v>
      </c>
      <c r="F3283" s="294"/>
      <c r="G3283" s="2373" t="s">
        <v>2792</v>
      </c>
      <c r="H3283" s="2273"/>
      <c r="I3283" s="2294"/>
      <c r="J3283" s="291"/>
      <c r="K3283" s="291"/>
      <c r="L3283" s="291"/>
      <c r="M3283" s="291"/>
      <c r="S3283" s="364"/>
      <c r="Z3283" s="609" t="s">
        <v>3763</v>
      </c>
      <c r="AA3283" s="609" t="s">
        <v>5667</v>
      </c>
    </row>
    <row r="3284" spans="1:29" ht="18">
      <c r="A3284" s="2712"/>
      <c r="B3284" s="371">
        <v>104</v>
      </c>
      <c r="C3284" s="371" t="s">
        <v>2791</v>
      </c>
      <c r="D3284" s="2714">
        <f t="shared" si="385"/>
        <v>0</v>
      </c>
      <c r="E3284" s="2719">
        <v>1</v>
      </c>
      <c r="F3284" s="294"/>
      <c r="G3284" s="2373" t="s">
        <v>2792</v>
      </c>
      <c r="H3284" s="2273"/>
      <c r="I3284" s="2294"/>
      <c r="J3284" s="291"/>
      <c r="K3284" s="291"/>
      <c r="L3284" s="291"/>
      <c r="M3284" s="291"/>
      <c r="S3284" s="364"/>
      <c r="Z3284" s="609" t="s">
        <v>3763</v>
      </c>
      <c r="AA3284" s="609" t="s">
        <v>5667</v>
      </c>
    </row>
    <row r="3285" spans="1:29" ht="18">
      <c r="A3285" s="2712"/>
      <c r="B3285" s="371">
        <v>105</v>
      </c>
      <c r="C3285" s="371" t="s">
        <v>2791</v>
      </c>
      <c r="D3285" s="2714">
        <f t="shared" si="385"/>
        <v>0</v>
      </c>
      <c r="E3285" s="2719">
        <v>1</v>
      </c>
      <c r="F3285" s="294"/>
      <c r="G3285" s="2373" t="s">
        <v>2792</v>
      </c>
      <c r="H3285" s="2273"/>
      <c r="I3285" s="2294"/>
      <c r="J3285" s="291"/>
      <c r="K3285" s="291"/>
      <c r="L3285" s="291"/>
      <c r="M3285" s="291"/>
      <c r="S3285" s="364"/>
      <c r="Z3285" s="609" t="s">
        <v>3763</v>
      </c>
      <c r="AA3285" s="609" t="s">
        <v>5667</v>
      </c>
    </row>
    <row r="3286" spans="1:29" ht="18.75" thickBot="1">
      <c r="A3286" s="2712"/>
      <c r="B3286" s="371"/>
      <c r="C3286" s="371"/>
      <c r="D3286" s="2714">
        <f t="shared" si="385"/>
        <v>1</v>
      </c>
      <c r="E3286" s="2719" t="s">
        <v>3032</v>
      </c>
      <c r="F3286" s="294"/>
      <c r="G3286" s="374" t="s">
        <v>2752</v>
      </c>
      <c r="H3286" s="1476">
        <f>SUMPRODUCT($E3280:$E3285,H3280:H3285)</f>
        <v>0</v>
      </c>
      <c r="I3286" s="1477">
        <f>SUMPRODUCT($E3280:$E3285,I3280:I3285)</f>
        <v>0</v>
      </c>
      <c r="J3286" s="291"/>
      <c r="K3286" s="291"/>
      <c r="L3286" s="291"/>
      <c r="M3286" s="291"/>
      <c r="S3286" s="364"/>
      <c r="Z3286" s="609" t="s">
        <v>3763</v>
      </c>
      <c r="AA3286" s="609" t="s">
        <v>5667</v>
      </c>
    </row>
    <row r="3287" spans="1:29" ht="18">
      <c r="A3287" s="2712"/>
      <c r="B3287" s="371"/>
      <c r="C3287" s="371" t="s">
        <v>2755</v>
      </c>
      <c r="D3287" s="371"/>
      <c r="F3287" s="294"/>
      <c r="G3287" s="301"/>
      <c r="H3287" s="315"/>
      <c r="I3287" s="315"/>
      <c r="J3287" s="291"/>
      <c r="K3287" s="291"/>
      <c r="L3287" s="291"/>
      <c r="M3287" s="291"/>
      <c r="S3287" s="364"/>
      <c r="Z3287" s="609" t="s">
        <v>3763</v>
      </c>
      <c r="AA3287" s="609" t="s">
        <v>5667</v>
      </c>
    </row>
    <row r="3288" spans="1:29" ht="36">
      <c r="A3288" s="2712" t="s">
        <v>1336</v>
      </c>
      <c r="B3288" s="371">
        <v>5</v>
      </c>
      <c r="C3288" s="371"/>
      <c r="D3288" s="2714" t="str">
        <f>VLOOKUP($A3288,Sheet_NoteList,2,0)</f>
        <v>未确认递延所得税资产的可抵扣亏损将于以下年度到期</v>
      </c>
      <c r="E3288" s="2714" t="s">
        <v>2742</v>
      </c>
      <c r="F3288" s="294"/>
      <c r="G3288" s="372" t="str">
        <f>"("&amp;B3288&amp;")"&amp;D3288</f>
        <v>(5)未确认递延所得税资产的可抵扣亏损将于以下年度到期</v>
      </c>
      <c r="H3288" s="1515" t="str">
        <f>$A3288</f>
        <v>1829f</v>
      </c>
      <c r="I3288" s="343" t="s">
        <v>2743</v>
      </c>
      <c r="J3288" s="301"/>
      <c r="K3288" s="3086">
        <f>H3298</f>
        <v>0</v>
      </c>
      <c r="L3288" s="315"/>
      <c r="M3288" s="301"/>
      <c r="N3288" s="3086">
        <f>I3298</f>
        <v>0</v>
      </c>
      <c r="O3288" s="315"/>
      <c r="P3288" s="301"/>
      <c r="Q3288" s="290" t="str">
        <f>IF($I3288="不适用","",IF(ROUND(SUM($H$3291:$J$3298),2)=0,"请输入",""))</f>
        <v>请输入</v>
      </c>
      <c r="S3288" s="364"/>
      <c r="Z3288" s="609" t="s">
        <v>3763</v>
      </c>
      <c r="AA3288" s="609" t="s">
        <v>5667</v>
      </c>
    </row>
    <row r="3289" spans="1:29" ht="0.75" customHeight="1" thickBot="1">
      <c r="A3289" s="2712"/>
      <c r="B3289" s="371"/>
      <c r="C3289" s="371"/>
      <c r="D3289" s="371"/>
      <c r="E3289" s="586"/>
      <c r="F3289" s="586"/>
      <c r="G3289" s="586" t="s">
        <v>3798</v>
      </c>
      <c r="H3289" s="371" t="s">
        <v>6284</v>
      </c>
      <c r="I3289" s="371" t="s">
        <v>6285</v>
      </c>
      <c r="J3289" s="371" t="s">
        <v>6286</v>
      </c>
      <c r="K3289" s="472"/>
      <c r="L3289" s="472"/>
      <c r="M3289" s="472"/>
      <c r="N3289" s="472"/>
      <c r="O3289" s="442"/>
      <c r="P3289" s="442"/>
      <c r="Q3289" s="442"/>
      <c r="R3289" s="443"/>
      <c r="S3289" s="364"/>
      <c r="Z3289" s="609" t="s">
        <v>3763</v>
      </c>
      <c r="AA3289" s="609" t="s">
        <v>5667</v>
      </c>
    </row>
    <row r="3290" spans="1:29" ht="18">
      <c r="A3290" s="2712"/>
      <c r="B3290" s="371"/>
      <c r="C3290" s="371"/>
      <c r="D3290" s="371"/>
      <c r="E3290" s="586" t="s">
        <v>2749</v>
      </c>
      <c r="F3290" s="363"/>
      <c r="G3290" s="2360" t="s">
        <v>3799</v>
      </c>
      <c r="H3290" s="2223" t="str">
        <f>$V$2</f>
        <v>2019年12月31日</v>
      </c>
      <c r="I3290" s="2223" t="str">
        <f>$V$3</f>
        <v>2018年12月31日</v>
      </c>
      <c r="J3290" s="2371" t="s">
        <v>2508</v>
      </c>
      <c r="K3290" s="355" t="s">
        <v>5294</v>
      </c>
      <c r="L3290" s="472"/>
      <c r="M3290" s="472"/>
      <c r="N3290" s="472"/>
      <c r="O3290" s="442"/>
      <c r="P3290" s="442"/>
      <c r="Q3290" s="442"/>
      <c r="R3290" s="443"/>
      <c r="S3290" s="364"/>
      <c r="Z3290" s="609" t="s">
        <v>3763</v>
      </c>
      <c r="AA3290" s="609" t="s">
        <v>5667</v>
      </c>
    </row>
    <row r="3291" spans="1:29" ht="18">
      <c r="A3291" s="2712"/>
      <c r="B3291" s="371">
        <v>101</v>
      </c>
      <c r="C3291" s="371" t="s">
        <v>2791</v>
      </c>
      <c r="D3291" s="2714">
        <f t="shared" ref="D3291:D3298" si="386">IF(OR(G3291="*",G3291="",G3291=0),0,COUNTIF($G$3291:$G$3298,G3291))</f>
        <v>1</v>
      </c>
      <c r="E3291" s="2719">
        <v>1</v>
      </c>
      <c r="F3291" s="294"/>
      <c r="G3291" s="2373" t="s">
        <v>3800</v>
      </c>
      <c r="H3291" s="2273"/>
      <c r="I3291" s="2273"/>
      <c r="J3291" s="2274"/>
      <c r="K3291" s="472"/>
      <c r="L3291" s="472"/>
      <c r="M3291" s="472"/>
      <c r="N3291" s="472"/>
      <c r="O3291" s="442"/>
      <c r="P3291" s="442"/>
      <c r="Q3291" s="442"/>
      <c r="R3291" s="443"/>
      <c r="S3291" s="364"/>
      <c r="Z3291" s="609" t="s">
        <v>3763</v>
      </c>
      <c r="AA3291" s="609" t="s">
        <v>5667</v>
      </c>
    </row>
    <row r="3292" spans="1:29" ht="18">
      <c r="A3292" s="2712"/>
      <c r="B3292" s="371">
        <v>102</v>
      </c>
      <c r="C3292" s="371" t="s">
        <v>2791</v>
      </c>
      <c r="D3292" s="2714">
        <f t="shared" si="386"/>
        <v>1</v>
      </c>
      <c r="E3292" s="2719">
        <v>1</v>
      </c>
      <c r="F3292" s="294"/>
      <c r="G3292" s="2373" t="s">
        <v>3801</v>
      </c>
      <c r="H3292" s="2273"/>
      <c r="I3292" s="2273"/>
      <c r="J3292" s="2274"/>
      <c r="K3292" s="472"/>
      <c r="L3292" s="472"/>
      <c r="M3292" s="472"/>
      <c r="N3292" s="472"/>
      <c r="O3292" s="442"/>
      <c r="P3292" s="442"/>
      <c r="Q3292" s="442"/>
      <c r="R3292" s="443"/>
      <c r="S3292" s="364"/>
      <c r="Z3292" s="609" t="s">
        <v>3763</v>
      </c>
      <c r="AA3292" s="609" t="s">
        <v>5667</v>
      </c>
    </row>
    <row r="3293" spans="1:29" ht="18">
      <c r="A3293" s="2712"/>
      <c r="B3293" s="371">
        <v>103</v>
      </c>
      <c r="C3293" s="371" t="s">
        <v>2791</v>
      </c>
      <c r="D3293" s="2714">
        <f t="shared" si="386"/>
        <v>1</v>
      </c>
      <c r="E3293" s="2719">
        <v>1</v>
      </c>
      <c r="F3293" s="294"/>
      <c r="G3293" s="2373" t="s">
        <v>3802</v>
      </c>
      <c r="H3293" s="2273"/>
      <c r="I3293" s="2273"/>
      <c r="J3293" s="2274"/>
      <c r="K3293" s="472"/>
      <c r="L3293" s="472"/>
      <c r="M3293" s="472"/>
      <c r="N3293" s="472"/>
      <c r="O3293" s="442"/>
      <c r="P3293" s="442"/>
      <c r="Q3293" s="442"/>
      <c r="R3293" s="443"/>
      <c r="S3293" s="364"/>
      <c r="Z3293" s="609" t="s">
        <v>3763</v>
      </c>
      <c r="AA3293" s="609" t="s">
        <v>5667</v>
      </c>
    </row>
    <row r="3294" spans="1:29" ht="18">
      <c r="A3294" s="2712"/>
      <c r="B3294" s="371">
        <v>104</v>
      </c>
      <c r="C3294" s="371" t="s">
        <v>2791</v>
      </c>
      <c r="D3294" s="2714">
        <f t="shared" si="386"/>
        <v>1</v>
      </c>
      <c r="E3294" s="2719">
        <v>1</v>
      </c>
      <c r="F3294" s="294"/>
      <c r="G3294" s="2373" t="s">
        <v>3803</v>
      </c>
      <c r="H3294" s="2273"/>
      <c r="I3294" s="2273"/>
      <c r="J3294" s="2274"/>
      <c r="K3294" s="472"/>
      <c r="L3294" s="472"/>
      <c r="M3294" s="472"/>
      <c r="N3294" s="472"/>
      <c r="O3294" s="442"/>
      <c r="P3294" s="442"/>
      <c r="Q3294" s="442"/>
      <c r="R3294" s="443"/>
      <c r="S3294" s="364"/>
      <c r="Z3294" s="609" t="s">
        <v>3763</v>
      </c>
      <c r="AA3294" s="609" t="s">
        <v>5667</v>
      </c>
    </row>
    <row r="3295" spans="1:29" ht="18">
      <c r="A3295" s="2712"/>
      <c r="B3295" s="371">
        <v>105</v>
      </c>
      <c r="C3295" s="371" t="s">
        <v>2791</v>
      </c>
      <c r="D3295" s="2714">
        <f t="shared" si="386"/>
        <v>1</v>
      </c>
      <c r="E3295" s="2719">
        <v>1</v>
      </c>
      <c r="F3295" s="294"/>
      <c r="G3295" s="2373" t="s">
        <v>3804</v>
      </c>
      <c r="H3295" s="2273"/>
      <c r="I3295" s="2273"/>
      <c r="J3295" s="2274"/>
      <c r="K3295" s="472"/>
      <c r="L3295" s="472"/>
      <c r="M3295" s="472"/>
      <c r="N3295" s="472"/>
      <c r="O3295" s="442"/>
      <c r="P3295" s="442"/>
      <c r="Q3295" s="442"/>
      <c r="R3295" s="443"/>
      <c r="S3295" s="364"/>
      <c r="Z3295" s="609" t="s">
        <v>3763</v>
      </c>
      <c r="AA3295" s="609" t="s">
        <v>5667</v>
      </c>
    </row>
    <row r="3296" spans="1:29" ht="18">
      <c r="A3296" s="2712"/>
      <c r="B3296" s="371">
        <v>106</v>
      </c>
      <c r="C3296" s="371" t="s">
        <v>2791</v>
      </c>
      <c r="D3296" s="2714">
        <f t="shared" si="386"/>
        <v>0</v>
      </c>
      <c r="E3296" s="2719">
        <v>1</v>
      </c>
      <c r="F3296" s="294"/>
      <c r="G3296" s="2373" t="s">
        <v>2792</v>
      </c>
      <c r="H3296" s="2273"/>
      <c r="I3296" s="2273"/>
      <c r="J3296" s="2274"/>
      <c r="K3296" s="472"/>
      <c r="L3296" s="472"/>
      <c r="M3296" s="472"/>
      <c r="N3296" s="472"/>
      <c r="O3296" s="442"/>
      <c r="P3296" s="442"/>
      <c r="Q3296" s="442"/>
      <c r="R3296" s="443"/>
      <c r="S3296" s="364"/>
      <c r="Z3296" s="609" t="s">
        <v>3763</v>
      </c>
      <c r="AA3296" s="609" t="s">
        <v>5667</v>
      </c>
    </row>
    <row r="3297" spans="1:27" ht="18">
      <c r="A3297" s="2712"/>
      <c r="B3297" s="371">
        <v>107</v>
      </c>
      <c r="C3297" s="371" t="s">
        <v>2791</v>
      </c>
      <c r="D3297" s="2714">
        <f t="shared" si="386"/>
        <v>0</v>
      </c>
      <c r="E3297" s="2719">
        <v>1</v>
      </c>
      <c r="F3297" s="294"/>
      <c r="G3297" s="2373" t="s">
        <v>2792</v>
      </c>
      <c r="H3297" s="2273"/>
      <c r="I3297" s="2273"/>
      <c r="J3297" s="2274"/>
      <c r="K3297" s="472"/>
      <c r="L3297" s="472"/>
      <c r="M3297" s="472"/>
      <c r="N3297" s="472"/>
      <c r="O3297" s="442"/>
      <c r="P3297" s="442"/>
      <c r="Q3297" s="442"/>
      <c r="R3297" s="443"/>
      <c r="S3297" s="364"/>
      <c r="Z3297" s="609" t="s">
        <v>3763</v>
      </c>
      <c r="AA3297" s="609" t="s">
        <v>5667</v>
      </c>
    </row>
    <row r="3298" spans="1:27" ht="18.75" thickBot="1">
      <c r="A3298" s="2712"/>
      <c r="B3298" s="371"/>
      <c r="C3298" s="371"/>
      <c r="D3298" s="2714">
        <f t="shared" si="386"/>
        <v>1</v>
      </c>
      <c r="E3298" s="2719" t="s">
        <v>3032</v>
      </c>
      <c r="F3298" s="294"/>
      <c r="G3298" s="374" t="s">
        <v>2752</v>
      </c>
      <c r="H3298" s="1476">
        <f>SUMPRODUCT($E3290:$E3297,H3290:H3297)</f>
        <v>0</v>
      </c>
      <c r="I3298" s="1476">
        <f>SUMPRODUCT($E3290:$E3297,I3290:I3297)</f>
        <v>0</v>
      </c>
      <c r="J3298" s="2258"/>
      <c r="K3298" s="472"/>
      <c r="L3298" s="472"/>
      <c r="M3298" s="472"/>
      <c r="N3298" s="472"/>
      <c r="O3298" s="442"/>
      <c r="P3298" s="442"/>
      <c r="Q3298" s="442"/>
      <c r="R3298" s="443"/>
      <c r="S3298" s="364"/>
      <c r="Z3298" s="609" t="s">
        <v>3763</v>
      </c>
      <c r="AA3298" s="609" t="s">
        <v>5667</v>
      </c>
    </row>
    <row r="3299" spans="1:27" ht="18.75" thickBot="1">
      <c r="A3299" s="2712"/>
      <c r="B3299" s="371"/>
      <c r="C3299" s="371" t="s">
        <v>2755</v>
      </c>
      <c r="D3299" s="371"/>
      <c r="F3299" s="294"/>
      <c r="G3299" s="301"/>
      <c r="H3299" s="315" t="s">
        <v>3002</v>
      </c>
      <c r="I3299" s="315" t="s">
        <v>3002</v>
      </c>
      <c r="J3299" s="427"/>
      <c r="K3299" s="472"/>
      <c r="L3299" s="472"/>
      <c r="M3299" s="472"/>
      <c r="N3299" s="472"/>
      <c r="O3299" s="442"/>
      <c r="P3299" s="442"/>
      <c r="Q3299" s="442"/>
      <c r="R3299" s="443"/>
      <c r="S3299" s="364"/>
      <c r="Z3299" s="609" t="s">
        <v>3763</v>
      </c>
      <c r="AA3299" s="609" t="s">
        <v>5667</v>
      </c>
    </row>
    <row r="3300" spans="1:27" ht="18.75" thickTop="1">
      <c r="A3300" s="2712"/>
      <c r="B3300" s="371"/>
      <c r="C3300" s="371" t="s">
        <v>2565</v>
      </c>
      <c r="D3300" s="371"/>
      <c r="F3300" s="294"/>
      <c r="G3300" s="454" t="s">
        <v>2756</v>
      </c>
      <c r="H3300" s="455" t="str">
        <f>G3278</f>
        <v>(4)未确认递延所得税资产明细</v>
      </c>
      <c r="I3300" s="487"/>
      <c r="J3300" s="474"/>
      <c r="K3300" s="291"/>
      <c r="L3300" s="291"/>
      <c r="M3300" s="291"/>
      <c r="N3300" s="291"/>
      <c r="S3300" s="364"/>
      <c r="Z3300" s="609" t="s">
        <v>3763</v>
      </c>
      <c r="AA3300" s="609" t="s">
        <v>5667</v>
      </c>
    </row>
    <row r="3301" spans="1:27" ht="18">
      <c r="A3301" s="2712"/>
      <c r="B3301" s="371"/>
      <c r="C3301" s="371" t="s">
        <v>2565</v>
      </c>
      <c r="D3301" s="371"/>
      <c r="F3301" s="294"/>
      <c r="G3301" s="316" t="str">
        <f>G3282</f>
        <v>可抵扣亏损</v>
      </c>
      <c r="H3301" s="2250">
        <f ca="1">HYPERLINK("#'"&amp;$G$1&amp;"'!"&amp;ADDRESS(ROW(Notes!H3282),COLUMN(Notes!H3282),4),H3282)</f>
        <v>0</v>
      </c>
      <c r="I3301" s="2250">
        <f ca="1">HYPERLINK("#'"&amp;$G$1&amp;"'!"&amp;ADDRESS(ROW(Notes!I3282),COLUMN(Notes!I3282),4),I3282)</f>
        <v>0</v>
      </c>
      <c r="J3301" s="2630" t="str">
        <f>H3278</f>
        <v>1829e</v>
      </c>
      <c r="K3301" s="291"/>
      <c r="L3301" s="291"/>
      <c r="M3301" s="291"/>
      <c r="N3301" s="291"/>
      <c r="S3301" s="364"/>
      <c r="Z3301" s="609" t="s">
        <v>3763</v>
      </c>
      <c r="AA3301" s="609" t="s">
        <v>5667</v>
      </c>
    </row>
    <row r="3302" spans="1:27" ht="18">
      <c r="A3302" s="2712"/>
      <c r="B3302" s="371"/>
      <c r="C3302" s="371" t="s">
        <v>2565</v>
      </c>
      <c r="D3302" s="371"/>
      <c r="F3302" s="294"/>
      <c r="G3302" s="316" t="s">
        <v>3003</v>
      </c>
      <c r="H3302" s="456">
        <f>H3298</f>
        <v>0</v>
      </c>
      <c r="I3302" s="456">
        <f>I3298</f>
        <v>0</v>
      </c>
      <c r="J3302" s="351" t="str">
        <f>H3288</f>
        <v>1829f</v>
      </c>
      <c r="K3302" s="291"/>
      <c r="L3302" s="291"/>
      <c r="M3302" s="291"/>
      <c r="N3302" s="291"/>
      <c r="S3302" s="364"/>
      <c r="Z3302" s="609" t="s">
        <v>3763</v>
      </c>
      <c r="AA3302" s="609" t="s">
        <v>5667</v>
      </c>
    </row>
    <row r="3303" spans="1:27" ht="18.75" thickBot="1">
      <c r="A3303" s="2712"/>
      <c r="B3303" s="371"/>
      <c r="C3303" s="371" t="s">
        <v>2565</v>
      </c>
      <c r="D3303" s="371"/>
      <c r="F3303" s="294"/>
      <c r="G3303" s="457" t="s">
        <v>2757</v>
      </c>
      <c r="H3303" s="458">
        <f ca="1">IF(AND(H3301="",H3302=""),"",ROUND(H3301-H3302,2))</f>
        <v>0</v>
      </c>
      <c r="I3303" s="458">
        <f ca="1">IF(AND(I3301="",I3302=""),"",ROUND(I3301-I3302,2))</f>
        <v>0</v>
      </c>
      <c r="J3303" s="356"/>
      <c r="K3303" s="291"/>
      <c r="L3303" s="291"/>
      <c r="M3303" s="291"/>
      <c r="N3303" s="291"/>
      <c r="S3303" s="364"/>
      <c r="Z3303" s="609" t="s">
        <v>3763</v>
      </c>
      <c r="AA3303" s="609" t="s">
        <v>5667</v>
      </c>
    </row>
    <row r="3304" spans="1:27" ht="18.75" thickTop="1">
      <c r="A3304" s="2712"/>
      <c r="B3304" s="371"/>
      <c r="C3304" s="371" t="s">
        <v>2565</v>
      </c>
      <c r="D3304" s="371"/>
      <c r="F3304" s="294"/>
      <c r="G3304" s="354"/>
      <c r="H3304" s="459" t="str">
        <f ca="1">IF(OR(H3303=0,H3303=""),"√","？")</f>
        <v>√</v>
      </c>
      <c r="I3304" s="459" t="str">
        <f ca="1">IF(OR(I3303=0,I3303=""),"√","？")</f>
        <v>√</v>
      </c>
      <c r="J3304" s="317"/>
      <c r="K3304" s="291"/>
      <c r="L3304" s="291"/>
      <c r="M3304" s="291"/>
      <c r="N3304" s="291"/>
      <c r="S3304" s="364"/>
      <c r="Z3304" s="609" t="s">
        <v>3763</v>
      </c>
      <c r="AA3304" s="609" t="s">
        <v>5667</v>
      </c>
    </row>
    <row r="3305" spans="1:27" ht="18">
      <c r="A3305" s="2712"/>
      <c r="B3305" s="371"/>
      <c r="C3305" s="371" t="s">
        <v>2565</v>
      </c>
      <c r="D3305" s="371"/>
      <c r="F3305" s="294"/>
      <c r="G3305" s="460" t="s">
        <v>2759</v>
      </c>
      <c r="H3305" s="461"/>
      <c r="I3305" s="461"/>
      <c r="J3305" s="317"/>
      <c r="K3305" s="345">
        <f ca="1">SUMIF($H$3304:$J$3304,"&lt;&gt;√",$H$3303:$J$3303)</f>
        <v>0</v>
      </c>
      <c r="L3305" s="475" t="str">
        <f ca="1">IF(OR(K3305=0,K3305=""),"√","？")</f>
        <v>√</v>
      </c>
      <c r="M3305" s="291"/>
      <c r="N3305" s="291"/>
      <c r="S3305" s="364"/>
      <c r="Z3305" s="609" t="s">
        <v>3763</v>
      </c>
      <c r="AA3305" s="609" t="s">
        <v>5667</v>
      </c>
    </row>
    <row r="3306" spans="1:27" ht="18">
      <c r="A3306" s="2712"/>
      <c r="B3306" s="371"/>
      <c r="C3306" s="371" t="s">
        <v>2565</v>
      </c>
      <c r="D3306" s="371"/>
      <c r="F3306" s="294"/>
      <c r="G3306" s="354"/>
      <c r="H3306" s="461"/>
      <c r="I3306" s="461"/>
      <c r="J3306" s="317"/>
      <c r="K3306" s="291"/>
      <c r="L3306" s="291"/>
      <c r="M3306" s="291"/>
      <c r="N3306" s="291"/>
      <c r="S3306" s="364"/>
      <c r="Z3306" s="609" t="s">
        <v>3763</v>
      </c>
      <c r="AA3306" s="609" t="s">
        <v>5667</v>
      </c>
    </row>
    <row r="3307" spans="1:27" ht="18">
      <c r="A3307" s="2712">
        <v>1996</v>
      </c>
      <c r="B3307" s="371">
        <v>32</v>
      </c>
      <c r="C3307" s="2714" t="str">
        <f>VLOOKUP($A3307,Sheet_Items,2,0)</f>
        <v>其他非流动资产</v>
      </c>
      <c r="D3307" s="371"/>
      <c r="E3307" s="2714" t="s">
        <v>2739</v>
      </c>
      <c r="F3307" s="294"/>
      <c r="G3307" s="305" t="str">
        <f>B3307&amp;" "&amp;C3307</f>
        <v>32 其他非流动资产</v>
      </c>
      <c r="H3307" s="306"/>
      <c r="I3307" s="306"/>
      <c r="J3307" s="306" t="s">
        <v>2740</v>
      </c>
      <c r="K3307" s="341">
        <f>VLOOKUP($A3307,Sheet_Trialbal,6,0)</f>
        <v>443012.47</v>
      </c>
      <c r="L3307" s="342"/>
      <c r="M3307" s="306" t="s">
        <v>2741</v>
      </c>
      <c r="N3307" s="341">
        <f>VLOOKUP($A3307,Sheet_Trialbal,10,0)</f>
        <v>3483445.9</v>
      </c>
      <c r="O3307" s="306"/>
      <c r="P3307" s="301"/>
      <c r="S3307" s="364"/>
      <c r="Z3307" s="609" t="s">
        <v>1343</v>
      </c>
      <c r="AA3307" s="609" t="s">
        <v>5668</v>
      </c>
    </row>
    <row r="3308" spans="1:27" ht="18">
      <c r="A3308" s="2712" t="s">
        <v>1341</v>
      </c>
      <c r="B3308" s="371">
        <v>1</v>
      </c>
      <c r="C3308" s="371"/>
      <c r="D3308" s="2714" t="str">
        <f>VLOOKUP($A3308,Sheet_NoteList,2,0)</f>
        <v>其他非流动资产明细项目</v>
      </c>
      <c r="E3308" s="2714" t="s">
        <v>2742</v>
      </c>
      <c r="F3308" s="294"/>
      <c r="G3308" s="307" t="str">
        <f>"("&amp;B3308&amp;")"&amp;D3308</f>
        <v>(1)其他非流动资产明细项目</v>
      </c>
      <c r="H3308" s="1515" t="str">
        <f>$A3308</f>
        <v>1996a</v>
      </c>
      <c r="I3308" s="343" t="s">
        <v>2743</v>
      </c>
      <c r="J3308" s="301" t="s">
        <v>2744</v>
      </c>
      <c r="K3308" s="2208">
        <f>H3318</f>
        <v>443012.47</v>
      </c>
      <c r="L3308" s="345" t="str">
        <f>IF($I3308="适用",IF(ROUND(K3307-K3308,2)=0,"F/S",ROUND(K3307-K3308,2)),"#N/A")</f>
        <v>F/S</v>
      </c>
      <c r="M3308" s="301" t="s">
        <v>2745</v>
      </c>
      <c r="N3308" s="2208">
        <f>I3318</f>
        <v>3483445.9</v>
      </c>
      <c r="O3308" s="345" t="str">
        <f>IF($I3308="适用",IF(ROUND(N3307-N3308,2)=0,"F/S",ROUND(N3307-N3308,2)),"#N/A")</f>
        <v>F/S</v>
      </c>
      <c r="P3308" s="301"/>
      <c r="Q3308" s="290" t="str">
        <f>IF($I3308="不适用","",IF(ROUND(SUM($H$3311:$I$3318),2)=0,"请输入",""))</f>
        <v/>
      </c>
      <c r="S3308" s="364"/>
      <c r="Z3308" s="609" t="s">
        <v>1343</v>
      </c>
      <c r="AA3308" s="609" t="s">
        <v>5668</v>
      </c>
    </row>
    <row r="3309" spans="1:27" ht="0.75" customHeight="1" thickBot="1">
      <c r="A3309" s="2712"/>
      <c r="B3309" s="371"/>
      <c r="C3309" s="371"/>
      <c r="D3309" s="371"/>
      <c r="F3309" s="304"/>
      <c r="G3309" s="304" t="s">
        <v>3805</v>
      </c>
      <c r="H3309" s="304" t="s">
        <v>2747</v>
      </c>
      <c r="I3309" s="304" t="s">
        <v>2748</v>
      </c>
      <c r="M3309" s="291"/>
      <c r="S3309" s="364"/>
      <c r="Z3309" s="609" t="s">
        <v>1343</v>
      </c>
      <c r="AA3309" s="609" t="s">
        <v>5668</v>
      </c>
    </row>
    <row r="3310" spans="1:27" ht="18">
      <c r="A3310" s="2712"/>
      <c r="B3310" s="371"/>
      <c r="C3310" s="371"/>
      <c r="D3310" s="371"/>
      <c r="E3310" s="2714" t="s">
        <v>2749</v>
      </c>
      <c r="F3310" s="294"/>
      <c r="G3310" s="410" t="s">
        <v>47</v>
      </c>
      <c r="H3310" s="1452" t="str">
        <f>$V$2</f>
        <v>2019年12月31日</v>
      </c>
      <c r="I3310" s="1453" t="str">
        <f>$V$3</f>
        <v>2018年12月31日</v>
      </c>
      <c r="J3310" s="355" t="s">
        <v>5295</v>
      </c>
      <c r="M3310" s="291"/>
      <c r="S3310" s="364"/>
      <c r="Z3310" s="609" t="s">
        <v>1343</v>
      </c>
      <c r="AA3310" s="609" t="s">
        <v>5668</v>
      </c>
    </row>
    <row r="3311" spans="1:27" ht="18">
      <c r="A3311" s="2712"/>
      <c r="B3311" s="371">
        <v>101</v>
      </c>
      <c r="C3311" s="371"/>
      <c r="D3311" s="2714">
        <f t="shared" ref="D3311:D3318" si="387">IF(OR(G3311="*",G3311="",G3311=0),0,COUNTIF($G$3311:$G$3318,G3311))</f>
        <v>1</v>
      </c>
      <c r="E3311" s="2719">
        <v>1</v>
      </c>
      <c r="F3311" s="294"/>
      <c r="G3311" s="308" t="s">
        <v>3325</v>
      </c>
      <c r="H3311" s="309"/>
      <c r="I3311" s="346"/>
      <c r="L3311" s="291"/>
      <c r="M3311" s="291"/>
      <c r="S3311" s="364"/>
      <c r="Z3311" s="609" t="s">
        <v>1343</v>
      </c>
      <c r="AA3311" s="609" t="s">
        <v>5668</v>
      </c>
    </row>
    <row r="3312" spans="1:27" ht="18">
      <c r="A3312" s="2712"/>
      <c r="B3312" s="371">
        <v>102</v>
      </c>
      <c r="C3312" s="371" t="s">
        <v>2791</v>
      </c>
      <c r="D3312" s="2714">
        <f t="shared" si="387"/>
        <v>1</v>
      </c>
      <c r="E3312" s="2719">
        <v>1</v>
      </c>
      <c r="F3312" s="294"/>
      <c r="G3312" s="319" t="s">
        <v>7467</v>
      </c>
      <c r="H3312" s="309">
        <v>443012.47</v>
      </c>
      <c r="I3312" s="346">
        <v>2953212.99</v>
      </c>
      <c r="L3312" s="291"/>
      <c r="M3312" s="291"/>
      <c r="S3312" s="364"/>
      <c r="Z3312" s="609" t="s">
        <v>1343</v>
      </c>
      <c r="AA3312" s="609" t="s">
        <v>5668</v>
      </c>
    </row>
    <row r="3313" spans="1:29" ht="18">
      <c r="A3313" s="2712"/>
      <c r="B3313" s="371">
        <v>103</v>
      </c>
      <c r="C3313" s="371" t="s">
        <v>2791</v>
      </c>
      <c r="D3313" s="2714">
        <f t="shared" si="387"/>
        <v>1</v>
      </c>
      <c r="E3313" s="2719">
        <v>1</v>
      </c>
      <c r="F3313" s="294"/>
      <c r="G3313" s="319" t="s">
        <v>7468</v>
      </c>
      <c r="H3313" s="309"/>
      <c r="I3313" s="346">
        <v>530232.91</v>
      </c>
      <c r="L3313" s="291"/>
      <c r="M3313" s="291"/>
      <c r="S3313" s="364"/>
      <c r="Z3313" s="609" t="s">
        <v>1343</v>
      </c>
      <c r="AA3313" s="609" t="s">
        <v>5668</v>
      </c>
    </row>
    <row r="3314" spans="1:29" ht="18">
      <c r="A3314" s="2712"/>
      <c r="B3314" s="371">
        <v>104</v>
      </c>
      <c r="C3314" s="371" t="s">
        <v>2791</v>
      </c>
      <c r="D3314" s="2714">
        <f t="shared" si="387"/>
        <v>0</v>
      </c>
      <c r="E3314" s="2719">
        <v>1</v>
      </c>
      <c r="F3314" s="294"/>
      <c r="G3314" s="319" t="s">
        <v>2792</v>
      </c>
      <c r="H3314" s="309"/>
      <c r="I3314" s="346"/>
      <c r="L3314" s="291"/>
      <c r="M3314" s="291"/>
      <c r="S3314" s="364"/>
      <c r="Z3314" s="609" t="s">
        <v>1343</v>
      </c>
      <c r="AA3314" s="609" t="s">
        <v>5668</v>
      </c>
    </row>
    <row r="3315" spans="1:29" ht="18">
      <c r="A3315" s="2712"/>
      <c r="B3315" s="371">
        <v>105</v>
      </c>
      <c r="C3315" s="371" t="s">
        <v>2791</v>
      </c>
      <c r="D3315" s="2714">
        <f t="shared" si="387"/>
        <v>0</v>
      </c>
      <c r="E3315" s="2719">
        <v>1</v>
      </c>
      <c r="F3315" s="294"/>
      <c r="G3315" s="319" t="s">
        <v>2792</v>
      </c>
      <c r="H3315" s="309"/>
      <c r="I3315" s="346"/>
      <c r="L3315" s="291"/>
      <c r="M3315" s="291"/>
      <c r="S3315" s="364"/>
      <c r="Z3315" s="609" t="s">
        <v>1343</v>
      </c>
      <c r="AA3315" s="609" t="s">
        <v>5668</v>
      </c>
    </row>
    <row r="3316" spans="1:29" ht="18">
      <c r="A3316" s="2712"/>
      <c r="B3316" s="371">
        <v>106</v>
      </c>
      <c r="C3316" s="371" t="s">
        <v>2791</v>
      </c>
      <c r="D3316" s="2714">
        <f t="shared" si="387"/>
        <v>0</v>
      </c>
      <c r="E3316" s="2719">
        <v>1</v>
      </c>
      <c r="F3316" s="294"/>
      <c r="G3316" s="319" t="s">
        <v>2792</v>
      </c>
      <c r="H3316" s="309"/>
      <c r="I3316" s="346"/>
      <c r="L3316" s="291"/>
      <c r="M3316" s="291"/>
      <c r="S3316" s="364"/>
      <c r="Z3316" s="609" t="s">
        <v>1343</v>
      </c>
      <c r="AA3316" s="609" t="s">
        <v>5668</v>
      </c>
    </row>
    <row r="3317" spans="1:29" ht="18">
      <c r="A3317" s="2712"/>
      <c r="B3317" s="371">
        <v>107</v>
      </c>
      <c r="C3317" s="371" t="s">
        <v>2791</v>
      </c>
      <c r="D3317" s="2714">
        <f t="shared" si="387"/>
        <v>0</v>
      </c>
      <c r="E3317" s="2719">
        <v>1</v>
      </c>
      <c r="F3317" s="294"/>
      <c r="G3317" s="319" t="s">
        <v>2792</v>
      </c>
      <c r="H3317" s="309"/>
      <c r="I3317" s="346"/>
      <c r="L3317" s="291"/>
      <c r="M3317" s="291"/>
      <c r="S3317" s="364"/>
      <c r="Z3317" s="609" t="s">
        <v>1343</v>
      </c>
      <c r="AA3317" s="609" t="s">
        <v>5668</v>
      </c>
    </row>
    <row r="3318" spans="1:29" ht="18.75" thickBot="1">
      <c r="A3318" s="2712"/>
      <c r="B3318" s="371"/>
      <c r="C3318" s="371"/>
      <c r="D3318" s="2714">
        <f t="shared" si="387"/>
        <v>1</v>
      </c>
      <c r="E3318" s="2719" t="s">
        <v>2751</v>
      </c>
      <c r="F3318" s="294"/>
      <c r="G3318" s="374" t="s">
        <v>2752</v>
      </c>
      <c r="H3318" s="596">
        <f>SUMPRODUCT($E3310:$E3317,H3310:H3317)</f>
        <v>443012.47</v>
      </c>
      <c r="I3318" s="599">
        <f>SUMPRODUCT($E3310:$E3317,I3310:I3317)</f>
        <v>3483445.9</v>
      </c>
      <c r="L3318" s="291"/>
      <c r="M3318" s="291"/>
      <c r="S3318" s="364"/>
      <c r="Z3318" s="609" t="s">
        <v>1343</v>
      </c>
      <c r="AA3318" s="609" t="s">
        <v>5668</v>
      </c>
    </row>
    <row r="3319" spans="1:29" ht="18">
      <c r="A3319" s="2712"/>
      <c r="B3319" s="371"/>
      <c r="C3319" s="371" t="s">
        <v>2755</v>
      </c>
      <c r="D3319" s="371"/>
      <c r="F3319" s="294"/>
      <c r="G3319" s="301"/>
      <c r="H3319" s="315"/>
      <c r="I3319" s="315"/>
      <c r="J3319" s="349"/>
      <c r="K3319" s="349"/>
      <c r="L3319" s="291"/>
      <c r="M3319" s="291"/>
      <c r="S3319" s="364"/>
      <c r="Z3319" s="609" t="s">
        <v>1343</v>
      </c>
      <c r="AA3319" s="609" t="s">
        <v>5668</v>
      </c>
    </row>
    <row r="3320" spans="1:29" ht="18">
      <c r="A3320" s="2712">
        <v>2001</v>
      </c>
      <c r="B3320" s="371">
        <v>33</v>
      </c>
      <c r="C3320" s="2714" t="str">
        <f>VLOOKUP($A3320,Sheet_Items,2,0)</f>
        <v>短期借款</v>
      </c>
      <c r="D3320" s="371"/>
      <c r="E3320" s="2714" t="s">
        <v>2739</v>
      </c>
      <c r="F3320" s="294"/>
      <c r="G3320" s="305" t="str">
        <f>B3320&amp;" "&amp;C3320</f>
        <v>33 短期借款</v>
      </c>
      <c r="H3320" s="306"/>
      <c r="I3320" s="306"/>
      <c r="J3320" s="306" t="s">
        <v>2740</v>
      </c>
      <c r="K3320" s="341">
        <f>VLOOKUP($A3320,Sheet_Trialbal,6,0)</f>
        <v>0</v>
      </c>
      <c r="L3320" s="342"/>
      <c r="M3320" s="306" t="s">
        <v>2741</v>
      </c>
      <c r="N3320" s="341">
        <f>VLOOKUP($A3320,Sheet_Trialbal,10,0)</f>
        <v>0</v>
      </c>
      <c r="O3320" s="306"/>
      <c r="P3320" s="301"/>
      <c r="S3320" s="364"/>
      <c r="Z3320" s="609" t="s">
        <v>3806</v>
      </c>
      <c r="AA3320" s="609" t="s">
        <v>5669</v>
      </c>
    </row>
    <row r="3321" spans="1:29" ht="18">
      <c r="A3321" s="2712" t="s">
        <v>1357</v>
      </c>
      <c r="B3321" s="371">
        <v>1</v>
      </c>
      <c r="C3321" s="371"/>
      <c r="D3321" s="2714" t="str">
        <f>VLOOKUP($A3321,Sheet_NoteList,2,0)</f>
        <v>短期借款分类</v>
      </c>
      <c r="E3321" s="2714" t="s">
        <v>2742</v>
      </c>
      <c r="F3321" s="294"/>
      <c r="G3321" s="307" t="str">
        <f>"("&amp;B3321&amp;")"&amp;D3321</f>
        <v>(1)短期借款分类</v>
      </c>
      <c r="H3321" s="1515" t="str">
        <f>$A3321</f>
        <v>2001a</v>
      </c>
      <c r="I3321" s="343" t="s">
        <v>2743</v>
      </c>
      <c r="J3321" s="301" t="s">
        <v>2744</v>
      </c>
      <c r="K3321" s="2208">
        <f>H3329</f>
        <v>0</v>
      </c>
      <c r="L3321" s="345" t="str">
        <f>IF($I3321="适用",IF(ROUND(K$3320-K3321,2)=0,"F/S",ROUND(K$3320-K3321,2)),"#N/A")</f>
        <v>F/S</v>
      </c>
      <c r="M3321" s="301" t="s">
        <v>2745</v>
      </c>
      <c r="N3321" s="2208">
        <f>I3329</f>
        <v>0</v>
      </c>
      <c r="O3321" s="345" t="str">
        <f>IF($I3321="适用",IF(ROUND(N$3320-N3321,2)=0,"F/S",ROUND(N$3320-N3321,2)),"#N/A")</f>
        <v>F/S</v>
      </c>
      <c r="P3321" s="301"/>
      <c r="Q3321" s="290" t="str">
        <f>IF($I3321="不适用","",IF(ROUND(SUM($H$3324:$J$3329),2)=0,"请输入",""))</f>
        <v>请输入</v>
      </c>
      <c r="S3321" s="364"/>
      <c r="Z3321" s="609" t="s">
        <v>3806</v>
      </c>
      <c r="AA3321" s="609" t="s">
        <v>5669</v>
      </c>
    </row>
    <row r="3322" spans="1:29" ht="0.75" customHeight="1" thickBot="1">
      <c r="A3322" s="2712"/>
      <c r="B3322" s="371"/>
      <c r="C3322" s="371"/>
      <c r="D3322" s="371"/>
      <c r="F3322" s="371"/>
      <c r="G3322" s="371" t="s">
        <v>3807</v>
      </c>
      <c r="H3322" s="371" t="s">
        <v>2747</v>
      </c>
      <c r="I3322" s="371" t="s">
        <v>2748</v>
      </c>
      <c r="J3322" s="598"/>
      <c r="K3322" s="472"/>
      <c r="L3322" s="472"/>
      <c r="M3322" s="472"/>
      <c r="N3322" s="472"/>
      <c r="O3322" s="442"/>
      <c r="P3322" s="442"/>
      <c r="Q3322" s="442"/>
      <c r="R3322" s="443"/>
      <c r="S3322" s="364"/>
      <c r="Z3322" s="609" t="s">
        <v>3806</v>
      </c>
      <c r="AA3322" s="609" t="s">
        <v>5669</v>
      </c>
    </row>
    <row r="3323" spans="1:29" ht="18">
      <c r="A3323" s="2712"/>
      <c r="B3323" s="371"/>
      <c r="C3323" s="371"/>
      <c r="D3323" s="371"/>
      <c r="E3323" s="2714" t="s">
        <v>2749</v>
      </c>
      <c r="F3323" s="294"/>
      <c r="G3323" s="588" t="s">
        <v>1359</v>
      </c>
      <c r="H3323" s="1452" t="str">
        <f>$V$2</f>
        <v>2019年12月31日</v>
      </c>
      <c r="I3323" s="1453" t="str">
        <f>$V$3</f>
        <v>2018年12月31日</v>
      </c>
      <c r="J3323" s="355" t="s">
        <v>5296</v>
      </c>
      <c r="K3323" s="472"/>
      <c r="L3323" s="472"/>
      <c r="M3323" s="472"/>
      <c r="N3323" s="472"/>
      <c r="O3323" s="442"/>
      <c r="P3323" s="442"/>
      <c r="Q3323" s="442"/>
      <c r="R3323" s="443"/>
      <c r="S3323" s="364"/>
      <c r="Z3323" s="609" t="s">
        <v>3806</v>
      </c>
      <c r="AA3323" s="609" t="s">
        <v>5669</v>
      </c>
    </row>
    <row r="3324" spans="1:29" ht="18">
      <c r="A3324" s="2712"/>
      <c r="B3324" s="371">
        <v>101</v>
      </c>
      <c r="C3324" s="371"/>
      <c r="D3324" s="2714">
        <f t="shared" ref="D3324:D3329" si="388">IF(OR(G3324="*",G3324="",G3324=0),0,COUNTIF($G$3324:$G$3329,G3324))</f>
        <v>1</v>
      </c>
      <c r="E3324" s="2719">
        <v>1</v>
      </c>
      <c r="F3324" s="294"/>
      <c r="G3324" s="308" t="s">
        <v>3808</v>
      </c>
      <c r="H3324" s="309"/>
      <c r="I3324" s="346"/>
      <c r="J3324" s="437"/>
      <c r="K3324" s="525"/>
      <c r="L3324" s="472"/>
      <c r="M3324" s="472"/>
      <c r="N3324" s="472"/>
      <c r="O3324" s="442"/>
      <c r="P3324" s="442"/>
      <c r="Q3324" s="442"/>
      <c r="R3324" s="443"/>
      <c r="S3324" s="364"/>
      <c r="Z3324" s="609" t="s">
        <v>3806</v>
      </c>
      <c r="AA3324" s="609" t="s">
        <v>5669</v>
      </c>
      <c r="AC3324" s="369" t="s">
        <v>2794</v>
      </c>
    </row>
    <row r="3325" spans="1:29" ht="18">
      <c r="A3325" s="2712"/>
      <c r="B3325" s="371">
        <v>102</v>
      </c>
      <c r="C3325" s="371"/>
      <c r="D3325" s="2714">
        <f t="shared" si="388"/>
        <v>1</v>
      </c>
      <c r="E3325" s="2719">
        <v>1</v>
      </c>
      <c r="F3325" s="294"/>
      <c r="G3325" s="308" t="s">
        <v>3809</v>
      </c>
      <c r="H3325" s="309"/>
      <c r="I3325" s="346"/>
      <c r="J3325" s="437"/>
      <c r="K3325" s="525"/>
      <c r="L3325" s="472"/>
      <c r="M3325" s="472"/>
      <c r="N3325" s="472"/>
      <c r="O3325" s="442"/>
      <c r="P3325" s="442"/>
      <c r="Q3325" s="442"/>
      <c r="R3325" s="443"/>
      <c r="S3325" s="364"/>
      <c r="Z3325" s="609" t="s">
        <v>3806</v>
      </c>
      <c r="AA3325" s="609" t="s">
        <v>5669</v>
      </c>
      <c r="AC3325" s="369" t="s">
        <v>2794</v>
      </c>
    </row>
    <row r="3326" spans="1:29" ht="18">
      <c r="A3326" s="2712"/>
      <c r="B3326" s="371">
        <v>103</v>
      </c>
      <c r="C3326" s="371"/>
      <c r="D3326" s="2714">
        <f t="shared" si="388"/>
        <v>1</v>
      </c>
      <c r="E3326" s="2719">
        <v>1</v>
      </c>
      <c r="F3326" s="294"/>
      <c r="G3326" s="308" t="s">
        <v>3810</v>
      </c>
      <c r="H3326" s="309"/>
      <c r="I3326" s="346"/>
      <c r="J3326" s="437"/>
      <c r="K3326" s="472"/>
      <c r="L3326" s="472"/>
      <c r="M3326" s="472"/>
      <c r="N3326" s="472"/>
      <c r="O3326" s="442"/>
      <c r="P3326" s="442"/>
      <c r="Q3326" s="442"/>
      <c r="R3326" s="443"/>
      <c r="S3326" s="364"/>
      <c r="Z3326" s="609" t="s">
        <v>3806</v>
      </c>
      <c r="AA3326" s="609" t="s">
        <v>5669</v>
      </c>
    </row>
    <row r="3327" spans="1:29" ht="18">
      <c r="A3327" s="2712"/>
      <c r="B3327" s="371">
        <v>104</v>
      </c>
      <c r="C3327" s="371"/>
      <c r="D3327" s="2714">
        <f t="shared" si="388"/>
        <v>1</v>
      </c>
      <c r="E3327" s="2719">
        <v>1</v>
      </c>
      <c r="F3327" s="294"/>
      <c r="G3327" s="308" t="s">
        <v>3811</v>
      </c>
      <c r="H3327" s="309"/>
      <c r="I3327" s="346"/>
      <c r="J3327" s="437"/>
      <c r="K3327" s="472"/>
      <c r="L3327" s="472"/>
      <c r="M3327" s="472"/>
      <c r="N3327" s="472"/>
      <c r="O3327" s="442"/>
      <c r="P3327" s="442"/>
      <c r="Q3327" s="442"/>
      <c r="R3327" s="443"/>
      <c r="S3327" s="364"/>
      <c r="Z3327" s="609" t="s">
        <v>3806</v>
      </c>
      <c r="AA3327" s="609" t="s">
        <v>5669</v>
      </c>
    </row>
    <row r="3328" spans="1:29" ht="18">
      <c r="A3328" s="2712"/>
      <c r="B3328" s="371">
        <v>105</v>
      </c>
      <c r="C3328" s="371" t="s">
        <v>2791</v>
      </c>
      <c r="D3328" s="2714">
        <f t="shared" si="388"/>
        <v>0</v>
      </c>
      <c r="E3328" s="2719">
        <v>1</v>
      </c>
      <c r="F3328" s="294"/>
      <c r="G3328" s="319" t="s">
        <v>2792</v>
      </c>
      <c r="H3328" s="309"/>
      <c r="I3328" s="346"/>
      <c r="J3328" s="437"/>
      <c r="K3328" s="472"/>
      <c r="L3328" s="472"/>
      <c r="M3328" s="472"/>
      <c r="N3328" s="472"/>
      <c r="O3328" s="442"/>
      <c r="P3328" s="442"/>
      <c r="Q3328" s="442"/>
      <c r="R3328" s="443"/>
      <c r="S3328" s="364"/>
      <c r="Z3328" s="609" t="s">
        <v>3806</v>
      </c>
      <c r="AA3328" s="609" t="s">
        <v>5669</v>
      </c>
    </row>
    <row r="3329" spans="1:27" ht="18.75" thickBot="1">
      <c r="A3329" s="2712"/>
      <c r="B3329" s="371"/>
      <c r="C3329" s="371"/>
      <c r="D3329" s="2714">
        <f t="shared" si="388"/>
        <v>1</v>
      </c>
      <c r="E3329" s="2719" t="s">
        <v>2751</v>
      </c>
      <c r="F3329" s="294"/>
      <c r="G3329" s="374" t="s">
        <v>2752</v>
      </c>
      <c r="H3329" s="375">
        <f>SUMPRODUCT($E3323:$E3328,H3323:H3328)</f>
        <v>0</v>
      </c>
      <c r="I3329" s="395">
        <f>SUMPRODUCT($E3323:$E3328,I3323:I3328)</f>
        <v>0</v>
      </c>
      <c r="J3329" s="437"/>
      <c r="K3329" s="472"/>
      <c r="L3329" s="472"/>
      <c r="M3329" s="472"/>
      <c r="N3329" s="472"/>
      <c r="O3329" s="442"/>
      <c r="P3329" s="442"/>
      <c r="Q3329" s="442"/>
      <c r="R3329" s="443"/>
      <c r="S3329" s="364"/>
      <c r="Z3329" s="609" t="s">
        <v>3806</v>
      </c>
      <c r="AA3329" s="609" t="s">
        <v>5669</v>
      </c>
    </row>
    <row r="3330" spans="1:27" ht="18">
      <c r="A3330" s="2712"/>
      <c r="B3330" s="371"/>
      <c r="C3330" s="371" t="s">
        <v>2755</v>
      </c>
      <c r="D3330" s="371"/>
      <c r="F3330" s="294"/>
      <c r="G3330" s="301"/>
      <c r="H3330" s="315"/>
      <c r="I3330" s="315"/>
      <c r="J3330" s="437"/>
      <c r="K3330" s="472"/>
      <c r="L3330" s="472"/>
      <c r="M3330" s="472"/>
      <c r="N3330" s="472"/>
      <c r="O3330" s="442"/>
      <c r="P3330" s="442"/>
      <c r="Q3330" s="442"/>
      <c r="R3330" s="443"/>
      <c r="S3330" s="364"/>
      <c r="Z3330" s="609" t="s">
        <v>3806</v>
      </c>
      <c r="AA3330" s="609" t="s">
        <v>5669</v>
      </c>
    </row>
    <row r="3331" spans="1:27" ht="24">
      <c r="A3331" s="2712" t="s">
        <v>1369</v>
      </c>
      <c r="B3331" s="371">
        <v>1.1000000000000001</v>
      </c>
      <c r="C3331" s="371"/>
      <c r="D3331" s="2714" t="str">
        <f>VLOOKUP($A3331,Sheet_NoteList,2,0)</f>
        <v>短期借款中的质押借款明细列示</v>
      </c>
      <c r="E3331" s="2714" t="s">
        <v>6529</v>
      </c>
      <c r="F3331" s="294"/>
      <c r="G3331" s="483" t="str">
        <f>"("&amp;B3331&amp;")"&amp;D3331</f>
        <v>(1.1)短期借款中的质押借款明细列示</v>
      </c>
      <c r="H3331" s="1515" t="str">
        <f>$A3331</f>
        <v>2001d</v>
      </c>
      <c r="I3331" s="343" t="s">
        <v>5963</v>
      </c>
      <c r="J3331" s="301" t="s">
        <v>5961</v>
      </c>
      <c r="K3331" s="2208">
        <f>H3339</f>
        <v>0</v>
      </c>
      <c r="L3331" s="345"/>
      <c r="M3331" s="301"/>
      <c r="N3331" s="391"/>
      <c r="O3331" s="345"/>
      <c r="P3331" s="301"/>
      <c r="S3331" s="364"/>
      <c r="Z3331" s="609" t="s">
        <v>3806</v>
      </c>
      <c r="AA3331" s="609" t="s">
        <v>5669</v>
      </c>
    </row>
    <row r="3332" spans="1:27" ht="0.75" customHeight="1" thickBot="1">
      <c r="A3332" s="2712"/>
      <c r="B3332" s="371"/>
      <c r="C3332" s="371"/>
      <c r="D3332" s="371"/>
      <c r="E3332" s="586"/>
      <c r="F3332" s="586"/>
      <c r="G3332" s="586" t="s">
        <v>3812</v>
      </c>
      <c r="H3332" s="371" t="s">
        <v>2747</v>
      </c>
      <c r="I3332" s="371" t="s">
        <v>3813</v>
      </c>
      <c r="J3332" s="371" t="s">
        <v>3814</v>
      </c>
      <c r="L3332" s="293"/>
      <c r="M3332" s="293"/>
      <c r="N3332" s="293"/>
      <c r="O3332" s="293"/>
      <c r="P3332" s="293"/>
      <c r="S3332" s="364"/>
      <c r="Z3332" s="609" t="s">
        <v>3806</v>
      </c>
      <c r="AA3332" s="609" t="s">
        <v>5669</v>
      </c>
    </row>
    <row r="3333" spans="1:27" ht="18">
      <c r="A3333" s="2712"/>
      <c r="B3333" s="371"/>
      <c r="C3333" s="371"/>
      <c r="D3333" s="371"/>
      <c r="E3333" s="586" t="s">
        <v>2749</v>
      </c>
      <c r="F3333" s="363"/>
      <c r="G3333" s="2361" t="s">
        <v>1365</v>
      </c>
      <c r="H3333" s="2362" t="s">
        <v>3815</v>
      </c>
      <c r="I3333" s="2362" t="s">
        <v>3816</v>
      </c>
      <c r="J3333" s="2363" t="s">
        <v>3817</v>
      </c>
      <c r="K3333" s="355" t="s">
        <v>6174</v>
      </c>
      <c r="L3333" s="293"/>
      <c r="M3333" s="293"/>
      <c r="N3333" s="293"/>
      <c r="O3333" s="293"/>
      <c r="P3333" s="293"/>
      <c r="S3333" s="364"/>
      <c r="Z3333" s="609" t="s">
        <v>3806</v>
      </c>
      <c r="AA3333" s="609" t="s">
        <v>5669</v>
      </c>
    </row>
    <row r="3334" spans="1:27" ht="18">
      <c r="A3334" s="2712"/>
      <c r="B3334" s="371">
        <v>101</v>
      </c>
      <c r="C3334" s="371" t="s">
        <v>2791</v>
      </c>
      <c r="D3334" s="2714">
        <f t="shared" ref="D3334:D3339" si="389">IF(OR(G3334="*",G3334="",G3334=0),0,COUNTIF($G$3334:$G$3339,G3334))</f>
        <v>0</v>
      </c>
      <c r="E3334" s="2719">
        <v>1</v>
      </c>
      <c r="F3334" s="294"/>
      <c r="G3334" s="2373" t="s">
        <v>2792</v>
      </c>
      <c r="H3334" s="2273"/>
      <c r="I3334" s="2296"/>
      <c r="J3334" s="2274"/>
      <c r="K3334" s="579"/>
      <c r="L3334" s="293"/>
      <c r="M3334" s="293"/>
      <c r="N3334" s="293"/>
      <c r="O3334" s="293"/>
      <c r="P3334" s="293"/>
      <c r="S3334" s="364"/>
      <c r="Z3334" s="609" t="s">
        <v>3806</v>
      </c>
      <c r="AA3334" s="609" t="s">
        <v>5669</v>
      </c>
    </row>
    <row r="3335" spans="1:27" ht="18">
      <c r="A3335" s="2712"/>
      <c r="B3335" s="371">
        <v>102</v>
      </c>
      <c r="C3335" s="371" t="s">
        <v>2791</v>
      </c>
      <c r="D3335" s="2714">
        <f t="shared" si="389"/>
        <v>0</v>
      </c>
      <c r="E3335" s="2719">
        <v>1</v>
      </c>
      <c r="F3335" s="294"/>
      <c r="G3335" s="2373" t="s">
        <v>2792</v>
      </c>
      <c r="H3335" s="2273"/>
      <c r="I3335" s="2296"/>
      <c r="J3335" s="2274"/>
      <c r="L3335" s="293"/>
      <c r="M3335" s="293"/>
      <c r="N3335" s="293"/>
      <c r="O3335" s="293"/>
      <c r="P3335" s="293"/>
      <c r="S3335" s="364"/>
      <c r="Z3335" s="609" t="s">
        <v>3806</v>
      </c>
      <c r="AA3335" s="609" t="s">
        <v>5669</v>
      </c>
    </row>
    <row r="3336" spans="1:27" ht="18">
      <c r="A3336" s="2712"/>
      <c r="B3336" s="371">
        <v>103</v>
      </c>
      <c r="C3336" s="371" t="s">
        <v>2791</v>
      </c>
      <c r="D3336" s="2714">
        <f t="shared" si="389"/>
        <v>0</v>
      </c>
      <c r="E3336" s="2719">
        <v>1</v>
      </c>
      <c r="F3336" s="294"/>
      <c r="G3336" s="2373" t="s">
        <v>2792</v>
      </c>
      <c r="H3336" s="2273"/>
      <c r="I3336" s="2296"/>
      <c r="J3336" s="2274"/>
      <c r="L3336" s="293"/>
      <c r="M3336" s="293"/>
      <c r="N3336" s="293"/>
      <c r="O3336" s="293"/>
      <c r="P3336" s="293"/>
      <c r="S3336" s="364"/>
      <c r="Z3336" s="609" t="s">
        <v>3806</v>
      </c>
      <c r="AA3336" s="609" t="s">
        <v>5669</v>
      </c>
    </row>
    <row r="3337" spans="1:27" ht="18">
      <c r="A3337" s="2712"/>
      <c r="B3337" s="371">
        <v>104</v>
      </c>
      <c r="C3337" s="371" t="s">
        <v>2791</v>
      </c>
      <c r="D3337" s="2714">
        <f t="shared" si="389"/>
        <v>0</v>
      </c>
      <c r="E3337" s="2719">
        <v>1</v>
      </c>
      <c r="F3337" s="294"/>
      <c r="G3337" s="2373" t="s">
        <v>2792</v>
      </c>
      <c r="H3337" s="2273"/>
      <c r="I3337" s="2296"/>
      <c r="J3337" s="2274"/>
      <c r="L3337" s="293"/>
      <c r="M3337" s="293"/>
      <c r="N3337" s="293"/>
      <c r="O3337" s="293"/>
      <c r="P3337" s="293"/>
      <c r="S3337" s="364"/>
      <c r="Z3337" s="609" t="s">
        <v>3806</v>
      </c>
      <c r="AA3337" s="609" t="s">
        <v>5669</v>
      </c>
    </row>
    <row r="3338" spans="1:27" ht="18">
      <c r="A3338" s="2712"/>
      <c r="B3338" s="371">
        <v>105</v>
      </c>
      <c r="C3338" s="371" t="s">
        <v>2791</v>
      </c>
      <c r="D3338" s="2714">
        <f t="shared" si="389"/>
        <v>0</v>
      </c>
      <c r="E3338" s="2719">
        <v>1</v>
      </c>
      <c r="F3338" s="294"/>
      <c r="G3338" s="2373" t="s">
        <v>2792</v>
      </c>
      <c r="H3338" s="2273"/>
      <c r="I3338" s="2296"/>
      <c r="J3338" s="2274"/>
      <c r="L3338" s="293"/>
      <c r="M3338" s="293"/>
      <c r="N3338" s="293"/>
      <c r="O3338" s="293"/>
      <c r="P3338" s="293"/>
      <c r="S3338" s="364"/>
      <c r="Z3338" s="609" t="s">
        <v>3806</v>
      </c>
      <c r="AA3338" s="609" t="s">
        <v>5669</v>
      </c>
    </row>
    <row r="3339" spans="1:27" ht="18.75" thickBot="1">
      <c r="A3339" s="2712"/>
      <c r="B3339" s="371"/>
      <c r="C3339" s="371"/>
      <c r="D3339" s="2714">
        <f t="shared" si="389"/>
        <v>1</v>
      </c>
      <c r="E3339" s="2719" t="s">
        <v>2751</v>
      </c>
      <c r="F3339" s="294"/>
      <c r="G3339" s="1527" t="s">
        <v>2752</v>
      </c>
      <c r="H3339" s="1525">
        <f>SUMPRODUCT($E3333:$E3338,H3333:H3338)</f>
        <v>0</v>
      </c>
      <c r="I3339" s="2314"/>
      <c r="J3339" s="2264"/>
      <c r="L3339" s="293"/>
      <c r="M3339" s="293"/>
      <c r="N3339" s="293"/>
      <c r="O3339" s="293"/>
      <c r="P3339" s="293"/>
      <c r="S3339" s="364"/>
      <c r="Z3339" s="609" t="s">
        <v>3806</v>
      </c>
      <c r="AA3339" s="609" t="s">
        <v>5669</v>
      </c>
    </row>
    <row r="3340" spans="1:27" ht="18">
      <c r="A3340" s="2712"/>
      <c r="B3340" s="371"/>
      <c r="C3340" s="371" t="s">
        <v>2755</v>
      </c>
      <c r="D3340" s="371"/>
      <c r="F3340" s="294"/>
      <c r="G3340" s="301"/>
      <c r="H3340" s="315" t="s">
        <v>3002</v>
      </c>
      <c r="I3340" s="393"/>
      <c r="J3340" s="393"/>
      <c r="K3340" s="350"/>
      <c r="L3340" s="293"/>
      <c r="M3340" s="293"/>
      <c r="N3340" s="293"/>
      <c r="O3340" s="293"/>
      <c r="P3340" s="293"/>
      <c r="S3340" s="364"/>
      <c r="Z3340" s="609" t="s">
        <v>3806</v>
      </c>
      <c r="AA3340" s="609" t="s">
        <v>5669</v>
      </c>
    </row>
    <row r="3341" spans="1:27" ht="24">
      <c r="A3341" s="2712" t="s">
        <v>1375</v>
      </c>
      <c r="B3341" s="371">
        <v>1.2</v>
      </c>
      <c r="C3341" s="371"/>
      <c r="D3341" s="2714" t="str">
        <f>VLOOKUP($A3341,Sheet_NoteList,2,0)</f>
        <v>短期借款中的抵押借款明细列示</v>
      </c>
      <c r="E3341" s="2714" t="s">
        <v>6529</v>
      </c>
      <c r="F3341" s="294"/>
      <c r="G3341" s="483" t="str">
        <f>"("&amp;B3341&amp;")"&amp;D3341</f>
        <v>(1.2)短期借款中的抵押借款明细列示</v>
      </c>
      <c r="H3341" s="1515" t="str">
        <f>$A3341</f>
        <v>2001e</v>
      </c>
      <c r="I3341" s="343" t="s">
        <v>5963</v>
      </c>
      <c r="J3341" s="301" t="s">
        <v>5961</v>
      </c>
      <c r="K3341" s="2208">
        <f>H3349</f>
        <v>0</v>
      </c>
      <c r="L3341" s="345"/>
      <c r="M3341" s="301"/>
      <c r="N3341" s="391"/>
      <c r="O3341" s="345"/>
      <c r="P3341" s="301"/>
      <c r="S3341" s="364"/>
      <c r="Z3341" s="609" t="s">
        <v>3806</v>
      </c>
      <c r="AA3341" s="609" t="s">
        <v>5669</v>
      </c>
    </row>
    <row r="3342" spans="1:27" ht="0.75" customHeight="1" thickBot="1">
      <c r="A3342" s="2712"/>
      <c r="B3342" s="371"/>
      <c r="C3342" s="371"/>
      <c r="D3342" s="371"/>
      <c r="E3342" s="586"/>
      <c r="F3342" s="586"/>
      <c r="G3342" s="586" t="s">
        <v>3818</v>
      </c>
      <c r="H3342" s="371" t="s">
        <v>2747</v>
      </c>
      <c r="I3342" s="371" t="s">
        <v>3813</v>
      </c>
      <c r="J3342" s="371" t="s">
        <v>3814</v>
      </c>
      <c r="K3342" s="293"/>
      <c r="L3342" s="293"/>
      <c r="M3342" s="293"/>
      <c r="N3342" s="293"/>
      <c r="O3342" s="293"/>
      <c r="P3342" s="293"/>
      <c r="S3342" s="364"/>
      <c r="Z3342" s="609" t="s">
        <v>3806</v>
      </c>
      <c r="AA3342" s="609" t="s">
        <v>5669</v>
      </c>
    </row>
    <row r="3343" spans="1:27" ht="18">
      <c r="A3343" s="2712"/>
      <c r="B3343" s="371"/>
      <c r="C3343" s="371"/>
      <c r="D3343" s="371"/>
      <c r="E3343" s="586" t="s">
        <v>2749</v>
      </c>
      <c r="F3343" s="363"/>
      <c r="G3343" s="2361" t="s">
        <v>1365</v>
      </c>
      <c r="H3343" s="2362" t="s">
        <v>3815</v>
      </c>
      <c r="I3343" s="2362" t="s">
        <v>3819</v>
      </c>
      <c r="J3343" s="2363" t="s">
        <v>3820</v>
      </c>
      <c r="K3343" s="355" t="s">
        <v>6174</v>
      </c>
      <c r="L3343" s="293"/>
      <c r="M3343" s="293"/>
      <c r="N3343" s="293"/>
      <c r="O3343" s="293"/>
      <c r="P3343" s="293"/>
      <c r="S3343" s="364"/>
      <c r="Z3343" s="609" t="s">
        <v>3806</v>
      </c>
      <c r="AA3343" s="609" t="s">
        <v>5669</v>
      </c>
    </row>
    <row r="3344" spans="1:27" ht="18">
      <c r="A3344" s="2712"/>
      <c r="B3344" s="371">
        <v>101</v>
      </c>
      <c r="C3344" s="371" t="s">
        <v>2791</v>
      </c>
      <c r="D3344" s="2714">
        <f t="shared" ref="D3344:D3349" si="390">IF(OR(G3344="*",G3344="",G3344=0),0,COUNTIF($G$3344:$G$3349,G3344))</f>
        <v>0</v>
      </c>
      <c r="E3344" s="2719">
        <v>1</v>
      </c>
      <c r="F3344" s="294"/>
      <c r="G3344" s="2373" t="s">
        <v>2792</v>
      </c>
      <c r="H3344" s="2273"/>
      <c r="I3344" s="2296"/>
      <c r="J3344" s="2274"/>
      <c r="K3344" s="579"/>
      <c r="L3344" s="293"/>
      <c r="M3344" s="293"/>
      <c r="N3344" s="293"/>
      <c r="O3344" s="293"/>
      <c r="P3344" s="293"/>
      <c r="S3344" s="364"/>
      <c r="Z3344" s="609" t="s">
        <v>3806</v>
      </c>
      <c r="AA3344" s="609" t="s">
        <v>5669</v>
      </c>
    </row>
    <row r="3345" spans="1:27" ht="18">
      <c r="A3345" s="2712"/>
      <c r="B3345" s="371">
        <v>102</v>
      </c>
      <c r="C3345" s="371" t="s">
        <v>2791</v>
      </c>
      <c r="D3345" s="2714">
        <f t="shared" si="390"/>
        <v>0</v>
      </c>
      <c r="E3345" s="2719">
        <v>1</v>
      </c>
      <c r="F3345" s="294"/>
      <c r="G3345" s="2373" t="s">
        <v>2792</v>
      </c>
      <c r="H3345" s="2273"/>
      <c r="I3345" s="2296"/>
      <c r="J3345" s="2274"/>
      <c r="K3345" s="293"/>
      <c r="L3345" s="293"/>
      <c r="M3345" s="293"/>
      <c r="N3345" s="293"/>
      <c r="O3345" s="293"/>
      <c r="P3345" s="293"/>
      <c r="S3345" s="364"/>
      <c r="Z3345" s="609" t="s">
        <v>3806</v>
      </c>
      <c r="AA3345" s="609" t="s">
        <v>5669</v>
      </c>
    </row>
    <row r="3346" spans="1:27" ht="18">
      <c r="A3346" s="2712"/>
      <c r="B3346" s="371">
        <v>103</v>
      </c>
      <c r="C3346" s="371" t="s">
        <v>2791</v>
      </c>
      <c r="D3346" s="2714">
        <f t="shared" si="390"/>
        <v>0</v>
      </c>
      <c r="E3346" s="2719">
        <v>1</v>
      </c>
      <c r="F3346" s="294"/>
      <c r="G3346" s="2373" t="s">
        <v>2792</v>
      </c>
      <c r="H3346" s="2273"/>
      <c r="I3346" s="2296"/>
      <c r="J3346" s="2274"/>
      <c r="K3346" s="293"/>
      <c r="L3346" s="293"/>
      <c r="M3346" s="293"/>
      <c r="N3346" s="293"/>
      <c r="O3346" s="293"/>
      <c r="P3346" s="293"/>
      <c r="S3346" s="364"/>
      <c r="Z3346" s="609" t="s">
        <v>3806</v>
      </c>
      <c r="AA3346" s="609" t="s">
        <v>5669</v>
      </c>
    </row>
    <row r="3347" spans="1:27" ht="18">
      <c r="A3347" s="2712"/>
      <c r="B3347" s="371">
        <v>104</v>
      </c>
      <c r="C3347" s="371" t="s">
        <v>2791</v>
      </c>
      <c r="D3347" s="2714">
        <f t="shared" si="390"/>
        <v>0</v>
      </c>
      <c r="E3347" s="2719">
        <v>1</v>
      </c>
      <c r="F3347" s="294"/>
      <c r="G3347" s="2373" t="s">
        <v>2792</v>
      </c>
      <c r="H3347" s="2273"/>
      <c r="I3347" s="2296"/>
      <c r="J3347" s="2274"/>
      <c r="K3347" s="293"/>
      <c r="L3347" s="293"/>
      <c r="M3347" s="293"/>
      <c r="N3347" s="293"/>
      <c r="O3347" s="293"/>
      <c r="P3347" s="293"/>
      <c r="S3347" s="364"/>
      <c r="Z3347" s="609" t="s">
        <v>3806</v>
      </c>
      <c r="AA3347" s="609" t="s">
        <v>5669</v>
      </c>
    </row>
    <row r="3348" spans="1:27" ht="18">
      <c r="A3348" s="2712"/>
      <c r="B3348" s="371">
        <v>105</v>
      </c>
      <c r="C3348" s="371" t="s">
        <v>2791</v>
      </c>
      <c r="D3348" s="2714">
        <f t="shared" si="390"/>
        <v>0</v>
      </c>
      <c r="E3348" s="2719">
        <v>1</v>
      </c>
      <c r="F3348" s="294"/>
      <c r="G3348" s="2373" t="s">
        <v>2792</v>
      </c>
      <c r="H3348" s="2273"/>
      <c r="I3348" s="2296"/>
      <c r="J3348" s="2274"/>
      <c r="K3348" s="293"/>
      <c r="L3348" s="293"/>
      <c r="M3348" s="293"/>
      <c r="N3348" s="293"/>
      <c r="O3348" s="293"/>
      <c r="P3348" s="293"/>
      <c r="S3348" s="364"/>
      <c r="Z3348" s="609" t="s">
        <v>3806</v>
      </c>
      <c r="AA3348" s="609" t="s">
        <v>5669</v>
      </c>
    </row>
    <row r="3349" spans="1:27" ht="18.75" thickBot="1">
      <c r="A3349" s="2712"/>
      <c r="B3349" s="371"/>
      <c r="C3349" s="371"/>
      <c r="D3349" s="2714">
        <f t="shared" si="390"/>
        <v>1</v>
      </c>
      <c r="E3349" s="2719" t="s">
        <v>2751</v>
      </c>
      <c r="F3349" s="294"/>
      <c r="G3349" s="1527" t="s">
        <v>2752</v>
      </c>
      <c r="H3349" s="1525">
        <f>SUMPRODUCT($E3343:$E3348,H3343:H3348)</f>
        <v>0</v>
      </c>
      <c r="I3349" s="2314"/>
      <c r="J3349" s="2264"/>
      <c r="K3349" s="293"/>
      <c r="L3349" s="293"/>
      <c r="M3349" s="293"/>
      <c r="N3349" s="293"/>
      <c r="O3349" s="293"/>
      <c r="P3349" s="293"/>
      <c r="S3349" s="364"/>
      <c r="Z3349" s="609" t="s">
        <v>3806</v>
      </c>
      <c r="AA3349" s="609" t="s">
        <v>5669</v>
      </c>
    </row>
    <row r="3350" spans="1:27" ht="18">
      <c r="A3350" s="2712"/>
      <c r="B3350" s="371"/>
      <c r="C3350" s="371" t="s">
        <v>2755</v>
      </c>
      <c r="D3350" s="371"/>
      <c r="F3350" s="294"/>
      <c r="G3350" s="301"/>
      <c r="H3350" s="315" t="s">
        <v>3002</v>
      </c>
      <c r="I3350" s="393"/>
      <c r="J3350" s="393"/>
      <c r="K3350" s="293"/>
      <c r="L3350" s="293"/>
      <c r="M3350" s="293"/>
      <c r="N3350" s="293"/>
      <c r="O3350" s="293"/>
      <c r="P3350" s="293"/>
      <c r="S3350" s="364"/>
      <c r="Z3350" s="609" t="s">
        <v>3806</v>
      </c>
      <c r="AA3350" s="609" t="s">
        <v>5669</v>
      </c>
    </row>
    <row r="3351" spans="1:27" ht="24">
      <c r="A3351" s="2712" t="s">
        <v>1380</v>
      </c>
      <c r="B3351" s="371">
        <v>1.3</v>
      </c>
      <c r="C3351" s="371"/>
      <c r="D3351" s="2714" t="str">
        <f>VLOOKUP($A3351,Sheet_NoteList,2,0)</f>
        <v>短期借款中的保证借款明细列示</v>
      </c>
      <c r="E3351" s="2714" t="s">
        <v>6529</v>
      </c>
      <c r="F3351" s="294"/>
      <c r="G3351" s="483" t="str">
        <f>"("&amp;B3351&amp;")"&amp;D3351</f>
        <v>(1.3)短期借款中的保证借款明细列示</v>
      </c>
      <c r="H3351" s="1515" t="str">
        <f>$A3351</f>
        <v>2001f</v>
      </c>
      <c r="I3351" s="343" t="s">
        <v>5964</v>
      </c>
      <c r="J3351" s="301" t="s">
        <v>5969</v>
      </c>
      <c r="K3351" s="2208">
        <f>H3359</f>
        <v>0</v>
      </c>
      <c r="L3351" s="345"/>
      <c r="M3351" s="301"/>
      <c r="N3351" s="391"/>
      <c r="O3351" s="345"/>
      <c r="P3351" s="301"/>
      <c r="S3351" s="364"/>
      <c r="Z3351" s="609" t="s">
        <v>3806</v>
      </c>
      <c r="AA3351" s="609" t="s">
        <v>5669</v>
      </c>
    </row>
    <row r="3352" spans="1:27" ht="0.75" customHeight="1" thickBot="1">
      <c r="A3352" s="2712"/>
      <c r="B3352" s="371"/>
      <c r="C3352" s="371"/>
      <c r="D3352" s="371"/>
      <c r="E3352" s="586"/>
      <c r="F3352" s="586"/>
      <c r="G3352" s="586" t="s">
        <v>3821</v>
      </c>
      <c r="H3352" s="371" t="s">
        <v>2747</v>
      </c>
      <c r="I3352" s="371" t="s">
        <v>3822</v>
      </c>
      <c r="J3352" s="371" t="s">
        <v>3814</v>
      </c>
      <c r="M3352" s="290"/>
      <c r="N3352" s="290"/>
      <c r="O3352" s="290"/>
      <c r="P3352" s="290"/>
      <c r="S3352" s="364"/>
      <c r="Z3352" s="609" t="s">
        <v>3806</v>
      </c>
      <c r="AA3352" s="609" t="s">
        <v>5669</v>
      </c>
    </row>
    <row r="3353" spans="1:27" ht="18">
      <c r="A3353" s="2712"/>
      <c r="B3353" s="371"/>
      <c r="C3353" s="371"/>
      <c r="D3353" s="371"/>
      <c r="E3353" s="586" t="s">
        <v>2749</v>
      </c>
      <c r="F3353" s="363"/>
      <c r="G3353" s="2361" t="s">
        <v>1365</v>
      </c>
      <c r="H3353" s="2362" t="s">
        <v>3815</v>
      </c>
      <c r="I3353" s="2362" t="s">
        <v>3823</v>
      </c>
      <c r="J3353" s="2363" t="s">
        <v>3824</v>
      </c>
      <c r="K3353" s="355" t="s">
        <v>6174</v>
      </c>
      <c r="M3353" s="290"/>
      <c r="N3353" s="290"/>
      <c r="O3353" s="290"/>
      <c r="P3353" s="290"/>
      <c r="S3353" s="364"/>
      <c r="Z3353" s="609" t="s">
        <v>3806</v>
      </c>
      <c r="AA3353" s="609" t="s">
        <v>5669</v>
      </c>
    </row>
    <row r="3354" spans="1:27" ht="18">
      <c r="A3354" s="2712"/>
      <c r="B3354" s="371">
        <v>101</v>
      </c>
      <c r="C3354" s="371" t="s">
        <v>2791</v>
      </c>
      <c r="D3354" s="2714">
        <f t="shared" ref="D3354:D3359" si="391">IF(OR(G3354="*",G3354="",G3354=0),0,COUNTIF($G$3354:$G$3359,G3354))</f>
        <v>0</v>
      </c>
      <c r="E3354" s="2719">
        <v>1</v>
      </c>
      <c r="F3354" s="294"/>
      <c r="G3354" s="2373" t="s">
        <v>2792</v>
      </c>
      <c r="H3354" s="2273"/>
      <c r="I3354" s="2296"/>
      <c r="J3354" s="2274"/>
      <c r="K3354" s="579"/>
      <c r="M3354" s="290"/>
      <c r="N3354" s="290"/>
      <c r="O3354" s="290"/>
      <c r="P3354" s="290"/>
      <c r="S3354" s="364"/>
      <c r="Z3354" s="609" t="s">
        <v>3806</v>
      </c>
      <c r="AA3354" s="609" t="s">
        <v>5669</v>
      </c>
    </row>
    <row r="3355" spans="1:27" ht="18">
      <c r="A3355" s="2712"/>
      <c r="B3355" s="371">
        <v>102</v>
      </c>
      <c r="C3355" s="371" t="s">
        <v>2791</v>
      </c>
      <c r="D3355" s="2714">
        <f t="shared" si="391"/>
        <v>0</v>
      </c>
      <c r="E3355" s="2719">
        <v>1</v>
      </c>
      <c r="F3355" s="294"/>
      <c r="G3355" s="2373" t="s">
        <v>2792</v>
      </c>
      <c r="H3355" s="2273"/>
      <c r="I3355" s="2296"/>
      <c r="J3355" s="2274"/>
      <c r="M3355" s="290"/>
      <c r="N3355" s="290"/>
      <c r="O3355" s="290"/>
      <c r="P3355" s="290"/>
      <c r="S3355" s="364"/>
      <c r="Z3355" s="609" t="s">
        <v>3806</v>
      </c>
      <c r="AA3355" s="609" t="s">
        <v>5669</v>
      </c>
    </row>
    <row r="3356" spans="1:27" ht="18">
      <c r="A3356" s="2712"/>
      <c r="B3356" s="371">
        <v>103</v>
      </c>
      <c r="C3356" s="371" t="s">
        <v>2791</v>
      </c>
      <c r="D3356" s="2714">
        <f t="shared" si="391"/>
        <v>0</v>
      </c>
      <c r="E3356" s="2719">
        <v>1</v>
      </c>
      <c r="F3356" s="294"/>
      <c r="G3356" s="2373" t="s">
        <v>2792</v>
      </c>
      <c r="H3356" s="2273"/>
      <c r="I3356" s="2296"/>
      <c r="J3356" s="2274"/>
      <c r="M3356" s="290"/>
      <c r="N3356" s="290"/>
      <c r="O3356" s="290"/>
      <c r="P3356" s="290"/>
      <c r="S3356" s="364"/>
      <c r="Z3356" s="609" t="s">
        <v>3806</v>
      </c>
      <c r="AA3356" s="609" t="s">
        <v>5669</v>
      </c>
    </row>
    <row r="3357" spans="1:27" ht="18">
      <c r="A3357" s="2712"/>
      <c r="B3357" s="371">
        <v>104</v>
      </c>
      <c r="C3357" s="371" t="s">
        <v>2791</v>
      </c>
      <c r="D3357" s="2714">
        <f t="shared" si="391"/>
        <v>0</v>
      </c>
      <c r="E3357" s="2719">
        <v>1</v>
      </c>
      <c r="F3357" s="294"/>
      <c r="G3357" s="2373" t="s">
        <v>2792</v>
      </c>
      <c r="H3357" s="2273"/>
      <c r="I3357" s="2296"/>
      <c r="J3357" s="2274"/>
      <c r="M3357" s="290"/>
      <c r="N3357" s="290"/>
      <c r="O3357" s="290"/>
      <c r="P3357" s="290"/>
      <c r="S3357" s="364"/>
      <c r="Z3357" s="609" t="s">
        <v>3806</v>
      </c>
      <c r="AA3357" s="609" t="s">
        <v>5669</v>
      </c>
    </row>
    <row r="3358" spans="1:27" ht="18">
      <c r="A3358" s="2712"/>
      <c r="B3358" s="371">
        <v>105</v>
      </c>
      <c r="C3358" s="371" t="s">
        <v>2791</v>
      </c>
      <c r="D3358" s="2714">
        <f t="shared" si="391"/>
        <v>0</v>
      </c>
      <c r="E3358" s="2719">
        <v>1</v>
      </c>
      <c r="F3358" s="294"/>
      <c r="G3358" s="2373" t="s">
        <v>2792</v>
      </c>
      <c r="H3358" s="2273"/>
      <c r="I3358" s="2296"/>
      <c r="J3358" s="2274"/>
      <c r="M3358" s="290"/>
      <c r="N3358" s="290"/>
      <c r="O3358" s="290"/>
      <c r="P3358" s="290"/>
      <c r="S3358" s="364"/>
      <c r="Z3358" s="609" t="s">
        <v>3806</v>
      </c>
      <c r="AA3358" s="609" t="s">
        <v>5669</v>
      </c>
    </row>
    <row r="3359" spans="1:27" ht="18.75" thickBot="1">
      <c r="A3359" s="2712"/>
      <c r="B3359" s="371"/>
      <c r="C3359" s="371"/>
      <c r="D3359" s="2714">
        <f t="shared" si="391"/>
        <v>1</v>
      </c>
      <c r="E3359" s="2719" t="s">
        <v>2751</v>
      </c>
      <c r="F3359" s="294"/>
      <c r="G3359" s="1527" t="s">
        <v>2752</v>
      </c>
      <c r="H3359" s="1525">
        <f>SUMPRODUCT($E3353:$E3358,H3353:H3358)</f>
        <v>0</v>
      </c>
      <c r="I3359" s="2314"/>
      <c r="J3359" s="2264"/>
      <c r="M3359" s="290"/>
      <c r="N3359" s="290"/>
      <c r="O3359" s="290"/>
      <c r="P3359" s="290"/>
      <c r="S3359" s="364"/>
      <c r="Z3359" s="609" t="s">
        <v>3806</v>
      </c>
      <c r="AA3359" s="609" t="s">
        <v>5669</v>
      </c>
    </row>
    <row r="3360" spans="1:27" ht="18">
      <c r="A3360" s="2712"/>
      <c r="B3360" s="371"/>
      <c r="C3360" s="371" t="s">
        <v>2755</v>
      </c>
      <c r="D3360" s="371"/>
      <c r="F3360" s="294"/>
      <c r="G3360" s="301"/>
      <c r="H3360" s="315" t="s">
        <v>3002</v>
      </c>
      <c r="I3360" s="393"/>
      <c r="J3360" s="393"/>
      <c r="M3360" s="290"/>
      <c r="N3360" s="290"/>
      <c r="O3360" s="290"/>
      <c r="P3360" s="290"/>
      <c r="S3360" s="364"/>
      <c r="Z3360" s="609" t="s">
        <v>3806</v>
      </c>
      <c r="AA3360" s="609" t="s">
        <v>5669</v>
      </c>
    </row>
    <row r="3361" spans="1:27" ht="24">
      <c r="A3361" s="2712" t="s">
        <v>1363</v>
      </c>
      <c r="B3361" s="371">
        <v>2</v>
      </c>
      <c r="C3361" s="371"/>
      <c r="D3361" s="2714" t="str">
        <f>VLOOKUP($A3361,Sheet_NoteList,2,0)</f>
        <v>重要的已逾期未偿还的短期借款情况</v>
      </c>
      <c r="E3361" s="2714" t="s">
        <v>2742</v>
      </c>
      <c r="F3361" s="294"/>
      <c r="G3361" s="372" t="str">
        <f>"("&amp;B3361&amp;")"&amp;D3361</f>
        <v>(2)重要的已逾期未偿还的短期借款情况</v>
      </c>
      <c r="H3361" s="1515" t="str">
        <f>$A3361</f>
        <v>2001b</v>
      </c>
      <c r="I3361" s="343" t="s">
        <v>2743</v>
      </c>
      <c r="J3361" s="301" t="s">
        <v>2744</v>
      </c>
      <c r="K3361" s="2208">
        <f>H3369</f>
        <v>0</v>
      </c>
      <c r="L3361" s="345"/>
      <c r="M3361" s="301"/>
      <c r="N3361" s="3083"/>
      <c r="O3361" s="315"/>
      <c r="P3361" s="301"/>
      <c r="Q3361" s="290" t="str">
        <f>IF($I3361="不适用","",IF(ROUND(SUM($H$3364:$K$3369),2)=0,"请输入",""))</f>
        <v>请输入</v>
      </c>
      <c r="S3361" s="364"/>
      <c r="Z3361" s="609" t="s">
        <v>3806</v>
      </c>
      <c r="AA3361" s="609" t="s">
        <v>5669</v>
      </c>
    </row>
    <row r="3362" spans="1:27" ht="0.75" customHeight="1" thickBot="1">
      <c r="A3362" s="2712"/>
      <c r="B3362" s="371"/>
      <c r="C3362" s="371"/>
      <c r="D3362" s="371"/>
      <c r="F3362" s="304"/>
      <c r="G3362" s="304" t="s">
        <v>3825</v>
      </c>
      <c r="H3362" s="304" t="s">
        <v>2747</v>
      </c>
      <c r="I3362" s="304" t="s">
        <v>3826</v>
      </c>
      <c r="J3362" s="304" t="s">
        <v>3827</v>
      </c>
      <c r="K3362" s="304" t="s">
        <v>3190</v>
      </c>
      <c r="L3362" s="291"/>
      <c r="M3362" s="291"/>
      <c r="N3362" s="291"/>
      <c r="O3362" s="291"/>
      <c r="P3362" s="291"/>
      <c r="S3362" s="364"/>
      <c r="Z3362" s="609" t="s">
        <v>3806</v>
      </c>
      <c r="AA3362" s="609" t="s">
        <v>5669</v>
      </c>
    </row>
    <row r="3363" spans="1:27" ht="24">
      <c r="A3363" s="2712"/>
      <c r="B3363" s="371"/>
      <c r="C3363" s="371"/>
      <c r="D3363" s="371"/>
      <c r="E3363" s="2714" t="s">
        <v>2749</v>
      </c>
      <c r="F3363" s="294"/>
      <c r="G3363" s="378" t="s">
        <v>1365</v>
      </c>
      <c r="H3363" s="504" t="str">
        <f>$W$2&amp;"借款余额"</f>
        <v>2019年12月31日借款余额</v>
      </c>
      <c r="I3363" s="379" t="s">
        <v>3828</v>
      </c>
      <c r="J3363" s="398" t="s">
        <v>3129</v>
      </c>
      <c r="K3363" s="399" t="s">
        <v>3829</v>
      </c>
      <c r="L3363" s="355" t="s">
        <v>5296</v>
      </c>
      <c r="M3363" s="291"/>
      <c r="N3363" s="291"/>
      <c r="O3363" s="291"/>
      <c r="P3363" s="291"/>
      <c r="S3363" s="364"/>
      <c r="Z3363" s="609" t="s">
        <v>3806</v>
      </c>
      <c r="AA3363" s="609" t="s">
        <v>5669</v>
      </c>
    </row>
    <row r="3364" spans="1:27" ht="18">
      <c r="A3364" s="2712"/>
      <c r="B3364" s="371">
        <v>101</v>
      </c>
      <c r="C3364" s="371" t="s">
        <v>2791</v>
      </c>
      <c r="D3364" s="2714">
        <f t="shared" ref="D3364:D3369" si="392">IF(OR(G3364="*",G3364="",G3364=0),0,COUNTIF($G$3364:$G$3369,G3364))</f>
        <v>0</v>
      </c>
      <c r="E3364" s="2719">
        <v>1</v>
      </c>
      <c r="F3364" s="294"/>
      <c r="G3364" s="409" t="s">
        <v>2792</v>
      </c>
      <c r="H3364" s="383"/>
      <c r="I3364" s="469"/>
      <c r="J3364" s="469"/>
      <c r="K3364" s="492"/>
      <c r="L3364" s="291"/>
      <c r="M3364" s="291"/>
      <c r="N3364" s="291"/>
      <c r="O3364" s="291"/>
      <c r="P3364" s="291"/>
      <c r="S3364" s="364"/>
      <c r="Z3364" s="609" t="s">
        <v>3806</v>
      </c>
      <c r="AA3364" s="609" t="s">
        <v>5669</v>
      </c>
    </row>
    <row r="3365" spans="1:27" ht="18">
      <c r="A3365" s="2712"/>
      <c r="B3365" s="371">
        <v>102</v>
      </c>
      <c r="C3365" s="371" t="s">
        <v>2791</v>
      </c>
      <c r="D3365" s="2714">
        <f t="shared" si="392"/>
        <v>0</v>
      </c>
      <c r="E3365" s="2719">
        <v>1</v>
      </c>
      <c r="F3365" s="294"/>
      <c r="G3365" s="409" t="s">
        <v>2792</v>
      </c>
      <c r="H3365" s="383"/>
      <c r="I3365" s="469"/>
      <c r="J3365" s="469"/>
      <c r="K3365" s="492"/>
      <c r="L3365" s="291"/>
      <c r="M3365" s="291"/>
      <c r="N3365" s="291"/>
      <c r="O3365" s="291"/>
      <c r="P3365" s="291"/>
      <c r="S3365" s="364"/>
      <c r="Z3365" s="609" t="s">
        <v>3806</v>
      </c>
      <c r="AA3365" s="609" t="s">
        <v>5669</v>
      </c>
    </row>
    <row r="3366" spans="1:27" ht="18">
      <c r="A3366" s="2712"/>
      <c r="B3366" s="371">
        <v>103</v>
      </c>
      <c r="C3366" s="371" t="s">
        <v>2791</v>
      </c>
      <c r="D3366" s="2714">
        <f t="shared" si="392"/>
        <v>0</v>
      </c>
      <c r="E3366" s="2719">
        <v>1</v>
      </c>
      <c r="F3366" s="294"/>
      <c r="G3366" s="409" t="s">
        <v>2792</v>
      </c>
      <c r="H3366" s="383"/>
      <c r="I3366" s="469"/>
      <c r="J3366" s="469"/>
      <c r="K3366" s="492"/>
      <c r="L3366" s="291"/>
      <c r="M3366" s="291"/>
      <c r="N3366" s="291"/>
      <c r="O3366" s="291"/>
      <c r="P3366" s="291"/>
      <c r="S3366" s="364"/>
      <c r="Z3366" s="609" t="s">
        <v>3806</v>
      </c>
      <c r="AA3366" s="609" t="s">
        <v>5669</v>
      </c>
    </row>
    <row r="3367" spans="1:27" ht="18">
      <c r="A3367" s="2712"/>
      <c r="B3367" s="371">
        <v>104</v>
      </c>
      <c r="C3367" s="371" t="s">
        <v>2791</v>
      </c>
      <c r="D3367" s="2714">
        <f t="shared" si="392"/>
        <v>0</v>
      </c>
      <c r="E3367" s="2719">
        <v>1</v>
      </c>
      <c r="F3367" s="294"/>
      <c r="G3367" s="409" t="s">
        <v>2792</v>
      </c>
      <c r="H3367" s="383"/>
      <c r="I3367" s="469"/>
      <c r="J3367" s="469"/>
      <c r="K3367" s="492"/>
      <c r="L3367" s="291"/>
      <c r="M3367" s="291"/>
      <c r="N3367" s="291"/>
      <c r="O3367" s="291"/>
      <c r="P3367" s="291"/>
      <c r="S3367" s="364"/>
      <c r="Z3367" s="609" t="s">
        <v>3806</v>
      </c>
      <c r="AA3367" s="609" t="s">
        <v>5669</v>
      </c>
    </row>
    <row r="3368" spans="1:27" ht="18">
      <c r="A3368" s="2712"/>
      <c r="B3368" s="371">
        <v>105</v>
      </c>
      <c r="C3368" s="371" t="s">
        <v>2791</v>
      </c>
      <c r="D3368" s="2714">
        <f t="shared" si="392"/>
        <v>0</v>
      </c>
      <c r="E3368" s="2719">
        <v>1</v>
      </c>
      <c r="F3368" s="294"/>
      <c r="G3368" s="409" t="s">
        <v>2792</v>
      </c>
      <c r="H3368" s="383"/>
      <c r="I3368" s="469"/>
      <c r="J3368" s="469"/>
      <c r="K3368" s="492"/>
      <c r="L3368" s="291"/>
      <c r="M3368" s="291"/>
      <c r="N3368" s="291"/>
      <c r="O3368" s="291"/>
      <c r="P3368" s="291"/>
      <c r="S3368" s="364"/>
      <c r="Z3368" s="609" t="s">
        <v>3806</v>
      </c>
      <c r="AA3368" s="609" t="s">
        <v>5669</v>
      </c>
    </row>
    <row r="3369" spans="1:27" ht="18.75" thickBot="1">
      <c r="A3369" s="2712"/>
      <c r="B3369" s="371"/>
      <c r="C3369" s="371"/>
      <c r="D3369" s="2714">
        <f t="shared" si="392"/>
        <v>1</v>
      </c>
      <c r="E3369" s="2719" t="s">
        <v>2751</v>
      </c>
      <c r="F3369" s="294"/>
      <c r="G3369" s="403" t="s">
        <v>2752</v>
      </c>
      <c r="H3369" s="503">
        <f>SUMPRODUCT($E3363:$E3368,H3363:H3368)</f>
        <v>0</v>
      </c>
      <c r="I3369" s="512"/>
      <c r="J3369" s="512"/>
      <c r="K3369" s="513"/>
      <c r="L3369" s="291"/>
      <c r="M3369" s="291"/>
      <c r="N3369" s="291"/>
      <c r="O3369" s="291"/>
      <c r="P3369" s="291"/>
      <c r="S3369" s="364"/>
      <c r="Z3369" s="609" t="s">
        <v>3806</v>
      </c>
      <c r="AA3369" s="609" t="s">
        <v>5669</v>
      </c>
    </row>
    <row r="3370" spans="1:27" ht="24.75" thickBot="1">
      <c r="A3370" s="2712"/>
      <c r="B3370" s="371">
        <v>901</v>
      </c>
      <c r="C3370" s="371"/>
      <c r="D3370" s="371"/>
      <c r="E3370" s="2714" t="s">
        <v>2753</v>
      </c>
      <c r="F3370" s="294"/>
      <c r="G3370" s="2383" t="s">
        <v>6066</v>
      </c>
      <c r="H3370" s="2393"/>
      <c r="I3370" s="432"/>
      <c r="J3370" s="425"/>
      <c r="K3370" s="426"/>
      <c r="L3370" s="427"/>
      <c r="M3370" s="425"/>
      <c r="N3370" s="426"/>
      <c r="O3370" s="427"/>
      <c r="P3370" s="425"/>
      <c r="S3370" s="364"/>
      <c r="Z3370" s="609" t="s">
        <v>3806</v>
      </c>
      <c r="AA3370" s="609" t="s">
        <v>5669</v>
      </c>
    </row>
    <row r="3371" spans="1:27" ht="18">
      <c r="A3371" s="2712"/>
      <c r="B3371" s="371"/>
      <c r="C3371" s="371" t="s">
        <v>2755</v>
      </c>
      <c r="D3371" s="371"/>
      <c r="F3371" s="294"/>
      <c r="G3371" s="529"/>
      <c r="H3371" s="349"/>
      <c r="I3371" s="350"/>
      <c r="J3371" s="350"/>
      <c r="K3371" s="350"/>
      <c r="L3371" s="350"/>
      <c r="M3371" s="291"/>
      <c r="N3371" s="291"/>
      <c r="O3371" s="291"/>
      <c r="P3371" s="291"/>
      <c r="S3371" s="364"/>
      <c r="Z3371" s="609" t="s">
        <v>3806</v>
      </c>
      <c r="AA3371" s="609" t="s">
        <v>5669</v>
      </c>
    </row>
    <row r="3372" spans="1:27" ht="18">
      <c r="A3372" s="2712" t="s">
        <v>1385</v>
      </c>
      <c r="B3372" s="371">
        <v>3</v>
      </c>
      <c r="C3372" s="371"/>
      <c r="D3372" s="2714" t="str">
        <f>VLOOKUP($A3372,Sheet_NoteList,2,0)</f>
        <v>外币短期借款</v>
      </c>
      <c r="E3372" s="2714" t="s">
        <v>6529</v>
      </c>
      <c r="F3372" s="294"/>
      <c r="G3372" s="372" t="str">
        <f>"("&amp;B3372&amp;")"&amp;D3372</f>
        <v>(3)外币短期借款</v>
      </c>
      <c r="H3372" s="1515" t="str">
        <f>$A3372</f>
        <v>2001c</v>
      </c>
      <c r="I3372" s="343" t="s">
        <v>5574</v>
      </c>
      <c r="J3372" s="301" t="s">
        <v>5572</v>
      </c>
      <c r="K3372" s="2208">
        <f>J3380</f>
        <v>0</v>
      </c>
      <c r="L3372" s="345"/>
      <c r="M3372" s="301" t="s">
        <v>5573</v>
      </c>
      <c r="N3372" s="2208">
        <f>L3380</f>
        <v>0</v>
      </c>
      <c r="O3372" s="345"/>
      <c r="P3372" s="301"/>
      <c r="Q3372" s="290" t="str">
        <f>IF($I3372="不适用","",IF(ROUND(SUM($H$3375:$J$3380),2)=0,"请输入",""))</f>
        <v>请输入</v>
      </c>
      <c r="S3372" s="364"/>
      <c r="Z3372" s="609" t="s">
        <v>3806</v>
      </c>
      <c r="AA3372" s="609" t="s">
        <v>5669</v>
      </c>
    </row>
    <row r="3373" spans="1:27" ht="0.75" customHeight="1" thickBot="1">
      <c r="A3373" s="2712"/>
      <c r="B3373" s="371"/>
      <c r="C3373" s="371"/>
      <c r="D3373" s="371"/>
      <c r="F3373" s="304"/>
      <c r="G3373" s="304" t="s">
        <v>3830</v>
      </c>
      <c r="H3373" s="304" t="s">
        <v>3073</v>
      </c>
      <c r="I3373" s="304" t="s">
        <v>3074</v>
      </c>
      <c r="J3373" s="304" t="s">
        <v>3075</v>
      </c>
      <c r="N3373" s="291"/>
      <c r="O3373" s="291"/>
      <c r="P3373" s="291"/>
      <c r="Q3373" s="367"/>
      <c r="R3373" s="367"/>
      <c r="S3373" s="364"/>
      <c r="Z3373" s="609" t="s">
        <v>3806</v>
      </c>
      <c r="AA3373" s="609" t="s">
        <v>5669</v>
      </c>
    </row>
    <row r="3374" spans="1:27" ht="24">
      <c r="A3374" s="2712"/>
      <c r="B3374" s="371"/>
      <c r="C3374" s="371"/>
      <c r="D3374" s="371"/>
      <c r="E3374" s="2714" t="s">
        <v>2749</v>
      </c>
      <c r="F3374" s="294"/>
      <c r="G3374" s="1619" t="s">
        <v>1371</v>
      </c>
      <c r="H3374" s="1617" t="s">
        <v>3076</v>
      </c>
      <c r="I3374" s="1617" t="s">
        <v>3077</v>
      </c>
      <c r="J3374" s="1618" t="s">
        <v>3078</v>
      </c>
      <c r="K3374" s="355" t="s">
        <v>5602</v>
      </c>
      <c r="L3374" s="291"/>
      <c r="N3374" s="291"/>
      <c r="O3374" s="291"/>
      <c r="P3374" s="291"/>
      <c r="Q3374" s="367"/>
      <c r="R3374" s="367"/>
      <c r="S3374" s="364"/>
      <c r="Z3374" s="609" t="s">
        <v>3806</v>
      </c>
      <c r="AA3374" s="609" t="s">
        <v>5669</v>
      </c>
    </row>
    <row r="3375" spans="1:27" ht="18">
      <c r="A3375" s="2712"/>
      <c r="B3375" s="371">
        <v>101</v>
      </c>
      <c r="C3375" s="371" t="s">
        <v>2791</v>
      </c>
      <c r="D3375" s="2714">
        <f t="shared" ref="D3375:D3380" si="393">IF(OR(G3375="*",G3375="",G3375=0),0,COUNTIF($G$3375:$G$3380,G3375))</f>
        <v>1</v>
      </c>
      <c r="E3375" s="2719">
        <v>1</v>
      </c>
      <c r="F3375" s="294"/>
      <c r="G3375" s="1616" t="s">
        <v>3079</v>
      </c>
      <c r="H3375" s="309"/>
      <c r="I3375" s="360"/>
      <c r="J3375" s="346"/>
      <c r="K3375" s="355" t="s">
        <v>5362</v>
      </c>
      <c r="L3375" s="1520" t="s">
        <v>5363</v>
      </c>
      <c r="M3375" s="291"/>
      <c r="N3375" s="291"/>
      <c r="O3375" s="291"/>
      <c r="P3375" s="291"/>
      <c r="S3375" s="364"/>
      <c r="Z3375" s="609" t="s">
        <v>3806</v>
      </c>
      <c r="AA3375" s="609" t="s">
        <v>5669</v>
      </c>
    </row>
    <row r="3376" spans="1:27" ht="18">
      <c r="A3376" s="2712"/>
      <c r="B3376" s="371">
        <v>102</v>
      </c>
      <c r="C3376" s="371" t="s">
        <v>2791</v>
      </c>
      <c r="D3376" s="2714">
        <f t="shared" si="393"/>
        <v>1</v>
      </c>
      <c r="E3376" s="2719">
        <v>1</v>
      </c>
      <c r="F3376" s="294"/>
      <c r="G3376" s="1616" t="s">
        <v>3080</v>
      </c>
      <c r="H3376" s="309"/>
      <c r="I3376" s="360"/>
      <c r="J3376" s="346"/>
      <c r="K3376" s="291"/>
      <c r="L3376" s="291"/>
      <c r="M3376" s="291"/>
      <c r="N3376" s="291"/>
      <c r="O3376" s="291"/>
      <c r="P3376" s="291"/>
      <c r="S3376" s="364"/>
      <c r="Z3376" s="609" t="s">
        <v>3806</v>
      </c>
      <c r="AA3376" s="609" t="s">
        <v>5669</v>
      </c>
    </row>
    <row r="3377" spans="1:27" ht="18">
      <c r="A3377" s="2712"/>
      <c r="B3377" s="371">
        <v>103</v>
      </c>
      <c r="C3377" s="371" t="s">
        <v>2791</v>
      </c>
      <c r="D3377" s="2714">
        <f t="shared" si="393"/>
        <v>1</v>
      </c>
      <c r="E3377" s="2719">
        <v>1</v>
      </c>
      <c r="F3377" s="294"/>
      <c r="G3377" s="1616" t="s">
        <v>3081</v>
      </c>
      <c r="H3377" s="309"/>
      <c r="I3377" s="360"/>
      <c r="J3377" s="346"/>
      <c r="K3377" s="291"/>
      <c r="L3377" s="291"/>
      <c r="M3377" s="291"/>
      <c r="N3377" s="291"/>
      <c r="O3377" s="291"/>
      <c r="P3377" s="291"/>
      <c r="S3377" s="364"/>
      <c r="Z3377" s="609" t="s">
        <v>3806</v>
      </c>
      <c r="AA3377" s="609" t="s">
        <v>5669</v>
      </c>
    </row>
    <row r="3378" spans="1:27" ht="18">
      <c r="A3378" s="2712"/>
      <c r="B3378" s="371">
        <v>104</v>
      </c>
      <c r="C3378" s="371" t="s">
        <v>2791</v>
      </c>
      <c r="D3378" s="2714">
        <f t="shared" si="393"/>
        <v>0</v>
      </c>
      <c r="E3378" s="2719">
        <v>1</v>
      </c>
      <c r="F3378" s="294"/>
      <c r="G3378" s="1616" t="s">
        <v>2792</v>
      </c>
      <c r="H3378" s="309"/>
      <c r="I3378" s="360"/>
      <c r="J3378" s="346"/>
      <c r="K3378" s="291"/>
      <c r="L3378" s="291"/>
      <c r="M3378" s="291"/>
      <c r="N3378" s="291"/>
      <c r="O3378" s="291"/>
      <c r="P3378" s="291"/>
      <c r="S3378" s="364"/>
      <c r="Z3378" s="609" t="s">
        <v>3806</v>
      </c>
      <c r="AA3378" s="609" t="s">
        <v>5669</v>
      </c>
    </row>
    <row r="3379" spans="1:27" ht="18">
      <c r="A3379" s="2712"/>
      <c r="B3379" s="371">
        <v>105</v>
      </c>
      <c r="C3379" s="371" t="s">
        <v>2791</v>
      </c>
      <c r="D3379" s="2714">
        <f t="shared" si="393"/>
        <v>0</v>
      </c>
      <c r="E3379" s="2719">
        <v>1</v>
      </c>
      <c r="F3379" s="294"/>
      <c r="G3379" s="1616" t="s">
        <v>2792</v>
      </c>
      <c r="H3379" s="309"/>
      <c r="I3379" s="360"/>
      <c r="J3379" s="346"/>
      <c r="K3379" s="291"/>
      <c r="L3379" s="291"/>
      <c r="M3379" s="291"/>
      <c r="N3379" s="291"/>
      <c r="O3379" s="291"/>
      <c r="P3379" s="291"/>
      <c r="S3379" s="364"/>
      <c r="Z3379" s="609" t="s">
        <v>3806</v>
      </c>
      <c r="AA3379" s="609" t="s">
        <v>5669</v>
      </c>
    </row>
    <row r="3380" spans="1:27" ht="18.75" thickBot="1">
      <c r="A3380" s="2712"/>
      <c r="B3380" s="371"/>
      <c r="C3380" s="371"/>
      <c r="D3380" s="2714">
        <f t="shared" si="393"/>
        <v>1</v>
      </c>
      <c r="E3380" s="2719" t="s">
        <v>2751</v>
      </c>
      <c r="F3380" s="294"/>
      <c r="G3380" s="1527" t="s">
        <v>2752</v>
      </c>
      <c r="H3380" s="1523"/>
      <c r="I3380" s="1568"/>
      <c r="J3380" s="1526">
        <f>SUMPRODUCT($E3374:$E3379,J3374:J3379)</f>
        <v>0</v>
      </c>
      <c r="K3380" s="291"/>
      <c r="L3380" s="291"/>
      <c r="M3380" s="291"/>
      <c r="N3380" s="291"/>
      <c r="O3380" s="291"/>
      <c r="P3380" s="291"/>
      <c r="S3380" s="364"/>
      <c r="Z3380" s="609" t="s">
        <v>3806</v>
      </c>
      <c r="AA3380" s="609" t="s">
        <v>5669</v>
      </c>
    </row>
    <row r="3381" spans="1:27" ht="18">
      <c r="A3381" s="2712"/>
      <c r="B3381" s="371"/>
      <c r="C3381" s="371" t="s">
        <v>2755</v>
      </c>
      <c r="D3381" s="371"/>
      <c r="F3381" s="294"/>
      <c r="G3381" s="301"/>
      <c r="H3381" s="315"/>
      <c r="I3381" s="393"/>
      <c r="J3381" s="315"/>
      <c r="K3381" s="291"/>
      <c r="L3381" s="291"/>
      <c r="M3381" s="291"/>
      <c r="N3381" s="291"/>
      <c r="O3381" s="291"/>
      <c r="P3381" s="291"/>
      <c r="S3381" s="364"/>
      <c r="Z3381" s="609" t="s">
        <v>3806</v>
      </c>
      <c r="AA3381" s="609" t="s">
        <v>5669</v>
      </c>
    </row>
    <row r="3382" spans="1:27" ht="17.25">
      <c r="A3382" s="2713">
        <v>2102</v>
      </c>
      <c r="B3382" s="371">
        <v>34</v>
      </c>
      <c r="C3382" s="2714" t="str">
        <f>VLOOKUP($A3382,Sheet_Items,2,0)</f>
        <v>交易性金融负债</v>
      </c>
      <c r="D3382" s="371"/>
      <c r="E3382" s="2714" t="s">
        <v>2739</v>
      </c>
      <c r="F3382" s="293"/>
      <c r="G3382" s="305" t="str">
        <f>B3382&amp;" "&amp;C3382</f>
        <v>34 交易性金融负债</v>
      </c>
      <c r="H3382" s="306"/>
      <c r="I3382" s="306"/>
      <c r="J3382" s="306" t="s">
        <v>2740</v>
      </c>
      <c r="K3382" s="341">
        <f>VLOOKUP($A3382,Sheet_Trialbal,6,0)</f>
        <v>0</v>
      </c>
      <c r="L3382" s="342"/>
      <c r="M3382" s="306" t="s">
        <v>2741</v>
      </c>
      <c r="N3382" s="341">
        <f>VLOOKUP($A3382,Sheet_Trialbal,10,0)</f>
        <v>0</v>
      </c>
      <c r="O3382" s="342"/>
      <c r="P3382" s="301"/>
      <c r="S3382" s="364"/>
      <c r="Z3382" s="609" t="s">
        <v>3831</v>
      </c>
      <c r="AA3382" s="609" t="s">
        <v>3832</v>
      </c>
    </row>
    <row r="3383" spans="1:27" ht="18">
      <c r="A3383" s="2712" t="s">
        <v>1395</v>
      </c>
      <c r="B3383" s="371">
        <v>1</v>
      </c>
      <c r="C3383" s="371"/>
      <c r="D3383" s="2714" t="str">
        <f>VLOOKUP($A3383,Sheet_NoteList,2,0)</f>
        <v>交易性金融负债情况</v>
      </c>
      <c r="E3383" s="2714" t="s">
        <v>2742</v>
      </c>
      <c r="F3383" s="293"/>
      <c r="G3383" s="372" t="str">
        <f>"("&amp;B3383&amp;")"&amp;D3383</f>
        <v>(1)交易性金融负债情况</v>
      </c>
      <c r="H3383" s="1515" t="str">
        <f>$A3383</f>
        <v>2102a</v>
      </c>
      <c r="I3383" s="343" t="s">
        <v>2743</v>
      </c>
      <c r="J3383" s="301" t="s">
        <v>2744</v>
      </c>
      <c r="K3383" s="2208">
        <f>K3394</f>
        <v>0</v>
      </c>
      <c r="L3383" s="349" t="str">
        <f>IF($I3383="适用",IF(ROUND(K$3382-K3383,2)=0,"F/S",ROUND(K$3382-K3383,2)),"#N/A")</f>
        <v>F/S</v>
      </c>
      <c r="M3383" s="301" t="s">
        <v>2745</v>
      </c>
      <c r="N3383" s="2208">
        <f>H3394</f>
        <v>0</v>
      </c>
      <c r="O3383" s="349" t="str">
        <f>IF($I3383="适用",IF(ROUND(N$3382-N3383,2)=0,"F/S",ROUND(N$3382-N3383,2)),"#N/A")</f>
        <v>F/S</v>
      </c>
      <c r="P3383" s="301"/>
      <c r="S3383" s="364"/>
      <c r="Z3383" s="609" t="s">
        <v>3831</v>
      </c>
      <c r="AA3383" s="609" t="s">
        <v>3832</v>
      </c>
    </row>
    <row r="3384" spans="1:27" ht="0.75" customHeight="1" thickBot="1">
      <c r="A3384" s="2712"/>
      <c r="B3384" s="371"/>
      <c r="C3384" s="371"/>
      <c r="D3384" s="2714"/>
      <c r="F3384" s="371"/>
      <c r="G3384" s="405" t="s">
        <v>3833</v>
      </c>
      <c r="H3384" s="371" t="s">
        <v>2747</v>
      </c>
      <c r="I3384" s="371" t="s">
        <v>2748</v>
      </c>
      <c r="J3384" s="371" t="s">
        <v>2948</v>
      </c>
      <c r="K3384" s="547" t="s">
        <v>3034</v>
      </c>
      <c r="L3384" s="428"/>
      <c r="M3384" s="433"/>
      <c r="N3384" s="428"/>
      <c r="O3384" s="428"/>
      <c r="P3384" s="433"/>
      <c r="Q3384" s="442"/>
      <c r="R3384" s="443"/>
      <c r="S3384" s="364"/>
      <c r="Z3384" s="609" t="s">
        <v>3831</v>
      </c>
      <c r="AA3384" s="609" t="s">
        <v>3832</v>
      </c>
    </row>
    <row r="3385" spans="1:27" ht="18">
      <c r="A3385" s="2712"/>
      <c r="B3385" s="371"/>
      <c r="C3385" s="371"/>
      <c r="D3385" s="2714"/>
      <c r="E3385" s="2714" t="s">
        <v>2749</v>
      </c>
      <c r="F3385" s="293"/>
      <c r="G3385" s="2303" t="s">
        <v>47</v>
      </c>
      <c r="H3385" s="2476" t="str">
        <f>$V$3</f>
        <v>2018年12月31日</v>
      </c>
      <c r="I3385" s="2289" t="s">
        <v>3027</v>
      </c>
      <c r="J3385" s="2289" t="s">
        <v>3028</v>
      </c>
      <c r="K3385" s="2344" t="str">
        <f>$V$2</f>
        <v>2019年12月31日</v>
      </c>
      <c r="L3385" s="355" t="s">
        <v>5297</v>
      </c>
      <c r="M3385" s="435"/>
      <c r="N3385" s="434"/>
      <c r="O3385" s="434"/>
      <c r="P3385" s="435"/>
      <c r="Q3385" s="442"/>
      <c r="R3385" s="443"/>
      <c r="S3385" s="364"/>
      <c r="Z3385" s="609" t="s">
        <v>3831</v>
      </c>
      <c r="AA3385" s="609" t="s">
        <v>3832</v>
      </c>
    </row>
    <row r="3386" spans="1:27" ht="18">
      <c r="A3386" s="2712"/>
      <c r="B3386" s="371">
        <v>101</v>
      </c>
      <c r="C3386" s="371"/>
      <c r="D3386" s="2714">
        <f t="shared" ref="D3386:D3394" si="394">IF(OR(G3386="*",G3386="",G3386=0),0,COUNTIF($G$3386:$G$3394,G3386))</f>
        <v>1</v>
      </c>
      <c r="E3386" s="2719">
        <v>1</v>
      </c>
      <c r="F3386" s="293"/>
      <c r="G3386" s="308" t="s">
        <v>462</v>
      </c>
      <c r="H3386" s="1463">
        <v>0</v>
      </c>
      <c r="I3386" s="309">
        <f>SUM(I3387:I3389)</f>
        <v>0</v>
      </c>
      <c r="J3386" s="309">
        <f>SUM(J3387:J3389)</f>
        <v>0</v>
      </c>
      <c r="K3386" s="361">
        <f>H3386+I3386-J3386</f>
        <v>0</v>
      </c>
      <c r="L3386" s="437"/>
      <c r="M3386" s="438"/>
      <c r="N3386" s="439"/>
      <c r="O3386" s="437"/>
      <c r="P3386" s="438"/>
      <c r="Q3386" s="442"/>
      <c r="R3386" s="443"/>
      <c r="S3386" s="364"/>
      <c r="Z3386" s="609" t="s">
        <v>3831</v>
      </c>
      <c r="AA3386" s="609" t="s">
        <v>3832</v>
      </c>
    </row>
    <row r="3387" spans="1:27" ht="18">
      <c r="A3387" s="2712"/>
      <c r="B3387" s="371">
        <v>102</v>
      </c>
      <c r="C3387" s="371" t="s">
        <v>2791</v>
      </c>
      <c r="D3387" s="2714">
        <f t="shared" si="394"/>
        <v>1</v>
      </c>
      <c r="E3387" s="2719">
        <v>0</v>
      </c>
      <c r="F3387" s="293"/>
      <c r="G3387" s="319" t="s">
        <v>2891</v>
      </c>
      <c r="H3387" s="1463">
        <v>0</v>
      </c>
      <c r="I3387" s="309"/>
      <c r="J3387" s="309"/>
      <c r="K3387" s="361">
        <f t="shared" ref="K3387:K3393" si="395">H3387+I3387-J3387</f>
        <v>0</v>
      </c>
      <c r="L3387" s="437"/>
      <c r="M3387" s="438"/>
      <c r="N3387" s="439"/>
      <c r="O3387" s="437"/>
      <c r="P3387" s="438"/>
      <c r="Q3387" s="442"/>
      <c r="R3387" s="443"/>
      <c r="S3387" s="364"/>
      <c r="Z3387" s="609" t="s">
        <v>3831</v>
      </c>
      <c r="AA3387" s="609" t="s">
        <v>3832</v>
      </c>
    </row>
    <row r="3388" spans="1:27" ht="18">
      <c r="A3388" s="2712"/>
      <c r="B3388" s="371">
        <v>103</v>
      </c>
      <c r="C3388" s="371" t="s">
        <v>2791</v>
      </c>
      <c r="D3388" s="2714">
        <f t="shared" si="394"/>
        <v>0</v>
      </c>
      <c r="E3388" s="2719">
        <v>0</v>
      </c>
      <c r="F3388" s="293"/>
      <c r="G3388" s="319" t="s">
        <v>2792</v>
      </c>
      <c r="H3388" s="1463">
        <v>0</v>
      </c>
      <c r="I3388" s="309"/>
      <c r="J3388" s="309"/>
      <c r="K3388" s="361">
        <f t="shared" si="395"/>
        <v>0</v>
      </c>
      <c r="L3388" s="437"/>
      <c r="M3388" s="438"/>
      <c r="N3388" s="439"/>
      <c r="O3388" s="437"/>
      <c r="P3388" s="438"/>
      <c r="Q3388" s="442"/>
      <c r="R3388" s="443"/>
      <c r="S3388" s="364"/>
      <c r="Z3388" s="609" t="s">
        <v>3831</v>
      </c>
      <c r="AA3388" s="609" t="s">
        <v>3832</v>
      </c>
    </row>
    <row r="3389" spans="1:27" ht="18">
      <c r="A3389" s="2712"/>
      <c r="B3389" s="371">
        <v>104</v>
      </c>
      <c r="C3389" s="371" t="s">
        <v>2791</v>
      </c>
      <c r="D3389" s="2714">
        <f t="shared" si="394"/>
        <v>0</v>
      </c>
      <c r="E3389" s="2719">
        <v>0</v>
      </c>
      <c r="F3389" s="293"/>
      <c r="G3389" s="319" t="s">
        <v>2792</v>
      </c>
      <c r="H3389" s="1463">
        <v>0</v>
      </c>
      <c r="I3389" s="309"/>
      <c r="J3389" s="309"/>
      <c r="K3389" s="361">
        <f t="shared" si="395"/>
        <v>0</v>
      </c>
      <c r="L3389" s="437"/>
      <c r="M3389" s="438"/>
      <c r="N3389" s="439"/>
      <c r="O3389" s="437"/>
      <c r="P3389" s="438"/>
      <c r="Q3389" s="442"/>
      <c r="R3389" s="443"/>
      <c r="S3389" s="364"/>
      <c r="Z3389" s="609" t="s">
        <v>3831</v>
      </c>
      <c r="AA3389" s="609" t="s">
        <v>3832</v>
      </c>
    </row>
    <row r="3390" spans="1:27" ht="24">
      <c r="A3390" s="2712"/>
      <c r="B3390" s="371">
        <v>105</v>
      </c>
      <c r="C3390" s="371"/>
      <c r="D3390" s="2714">
        <f t="shared" si="394"/>
        <v>1</v>
      </c>
      <c r="E3390" s="2719">
        <v>1</v>
      </c>
      <c r="F3390" s="293"/>
      <c r="G3390" s="308" t="s">
        <v>3834</v>
      </c>
      <c r="H3390" s="1463">
        <v>0</v>
      </c>
      <c r="I3390" s="309">
        <f>SUM(I3391:I3393)</f>
        <v>0</v>
      </c>
      <c r="J3390" s="309">
        <f>SUM(J3391:J3393)</f>
        <v>0</v>
      </c>
      <c r="K3390" s="361">
        <f t="shared" si="395"/>
        <v>0</v>
      </c>
      <c r="L3390" s="437"/>
      <c r="M3390" s="438"/>
      <c r="N3390" s="439"/>
      <c r="O3390" s="437"/>
      <c r="P3390" s="438"/>
      <c r="Q3390" s="442"/>
      <c r="R3390" s="443"/>
      <c r="S3390" s="364"/>
      <c r="Z3390" s="609" t="s">
        <v>3831</v>
      </c>
      <c r="AA3390" s="609" t="s">
        <v>3832</v>
      </c>
    </row>
    <row r="3391" spans="1:27" ht="18">
      <c r="A3391" s="2712"/>
      <c r="B3391" s="371">
        <v>106</v>
      </c>
      <c r="C3391" s="371" t="s">
        <v>2791</v>
      </c>
      <c r="D3391" s="2714">
        <f t="shared" si="394"/>
        <v>1</v>
      </c>
      <c r="E3391" s="2719">
        <v>0</v>
      </c>
      <c r="F3391" s="293"/>
      <c r="G3391" s="319" t="s">
        <v>2829</v>
      </c>
      <c r="H3391" s="1463">
        <v>0</v>
      </c>
      <c r="I3391" s="309"/>
      <c r="J3391" s="309"/>
      <c r="K3391" s="361">
        <f t="shared" si="395"/>
        <v>0</v>
      </c>
      <c r="L3391" s="437"/>
      <c r="M3391" s="438"/>
      <c r="N3391" s="439"/>
      <c r="O3391" s="437"/>
      <c r="P3391" s="438"/>
      <c r="Q3391" s="442"/>
      <c r="R3391" s="443"/>
      <c r="S3391" s="364"/>
      <c r="Z3391" s="609" t="s">
        <v>3831</v>
      </c>
      <c r="AA3391" s="609" t="s">
        <v>3832</v>
      </c>
    </row>
    <row r="3392" spans="1:27" ht="18">
      <c r="A3392" s="2712"/>
      <c r="B3392" s="371">
        <v>107</v>
      </c>
      <c r="C3392" s="371" t="s">
        <v>2791</v>
      </c>
      <c r="D3392" s="2714">
        <f t="shared" si="394"/>
        <v>0</v>
      </c>
      <c r="E3392" s="2719">
        <v>0</v>
      </c>
      <c r="F3392" s="293"/>
      <c r="G3392" s="319" t="s">
        <v>2792</v>
      </c>
      <c r="H3392" s="1463">
        <v>0</v>
      </c>
      <c r="I3392" s="309"/>
      <c r="J3392" s="309"/>
      <c r="K3392" s="361">
        <f t="shared" si="395"/>
        <v>0</v>
      </c>
      <c r="L3392" s="437"/>
      <c r="M3392" s="438"/>
      <c r="N3392" s="439"/>
      <c r="O3392" s="437"/>
      <c r="P3392" s="438"/>
      <c r="Q3392" s="442"/>
      <c r="R3392" s="443"/>
      <c r="S3392" s="364"/>
      <c r="Z3392" s="609" t="s">
        <v>3831</v>
      </c>
      <c r="AA3392" s="609" t="s">
        <v>3832</v>
      </c>
    </row>
    <row r="3393" spans="1:27" ht="18">
      <c r="A3393" s="2712"/>
      <c r="B3393" s="371">
        <v>108</v>
      </c>
      <c r="C3393" s="371" t="s">
        <v>2791</v>
      </c>
      <c r="D3393" s="2714">
        <f t="shared" si="394"/>
        <v>0</v>
      </c>
      <c r="E3393" s="2719">
        <v>0</v>
      </c>
      <c r="F3393" s="293"/>
      <c r="G3393" s="319" t="s">
        <v>2792</v>
      </c>
      <c r="H3393" s="1463">
        <v>0</v>
      </c>
      <c r="I3393" s="309"/>
      <c r="J3393" s="309"/>
      <c r="K3393" s="361">
        <f t="shared" si="395"/>
        <v>0</v>
      </c>
      <c r="L3393" s="437"/>
      <c r="M3393" s="438"/>
      <c r="N3393" s="439"/>
      <c r="O3393" s="437"/>
      <c r="P3393" s="438"/>
      <c r="Q3393" s="442"/>
      <c r="R3393" s="443"/>
      <c r="S3393" s="364"/>
      <c r="Z3393" s="609" t="s">
        <v>3831</v>
      </c>
      <c r="AA3393" s="609" t="s">
        <v>3832</v>
      </c>
    </row>
    <row r="3394" spans="1:27" ht="18.75" thickBot="1">
      <c r="A3394" s="2712"/>
      <c r="B3394" s="371"/>
      <c r="C3394" s="371"/>
      <c r="D3394" s="2714">
        <f t="shared" si="394"/>
        <v>1</v>
      </c>
      <c r="E3394" s="2719" t="s">
        <v>2751</v>
      </c>
      <c r="F3394" s="293"/>
      <c r="G3394" s="2232" t="s">
        <v>2752</v>
      </c>
      <c r="H3394" s="2319">
        <v>0</v>
      </c>
      <c r="I3394" s="2323">
        <f>SUMPRODUCT($E3385:$E3393,I3385:I3393)</f>
        <v>0</v>
      </c>
      <c r="J3394" s="2323">
        <f>SUMPRODUCT($E3385:$E3393,J3385:J3393)</f>
        <v>0</v>
      </c>
      <c r="K3394" s="2340">
        <f>SUMPRODUCT($E3385:$E3393,K3385:K3393)</f>
        <v>0</v>
      </c>
      <c r="L3394" s="437"/>
      <c r="M3394" s="440"/>
      <c r="N3394" s="439"/>
      <c r="O3394" s="437"/>
      <c r="P3394" s="440"/>
      <c r="Q3394" s="442"/>
      <c r="R3394" s="443"/>
      <c r="S3394" s="364"/>
      <c r="Z3394" s="609" t="s">
        <v>3831</v>
      </c>
      <c r="AA3394" s="609" t="s">
        <v>3832</v>
      </c>
    </row>
    <row r="3395" spans="1:27" ht="18">
      <c r="A3395" s="2712"/>
      <c r="B3395" s="371"/>
      <c r="C3395" s="371" t="s">
        <v>2755</v>
      </c>
      <c r="D3395" s="2714"/>
      <c r="F3395" s="293"/>
      <c r="G3395" s="376"/>
      <c r="H3395" s="315"/>
      <c r="I3395" s="396"/>
      <c r="J3395" s="315"/>
      <c r="K3395" s="423"/>
      <c r="L3395" s="427"/>
      <c r="M3395" s="425"/>
      <c r="N3395" s="426"/>
      <c r="O3395" s="427"/>
      <c r="P3395" s="425"/>
      <c r="Q3395" s="442"/>
      <c r="R3395" s="443"/>
      <c r="S3395" s="364"/>
      <c r="Z3395" s="609" t="s">
        <v>3831</v>
      </c>
      <c r="AA3395" s="609" t="s">
        <v>3832</v>
      </c>
    </row>
    <row r="3396" spans="1:27" ht="36">
      <c r="A3396" s="2712" t="s">
        <v>1400</v>
      </c>
      <c r="B3396" s="371">
        <v>2</v>
      </c>
      <c r="C3396" s="371"/>
      <c r="D3396" s="2714" t="str">
        <f>VLOOKUP($A3396,Sheet_NoteList,2,0)</f>
        <v>指定为以公允价值计量且其变动计入当期损益的金融负债公允价值变动情况</v>
      </c>
      <c r="E3396" s="2714" t="s">
        <v>2742</v>
      </c>
      <c r="F3396" s="293"/>
      <c r="G3396" s="372" t="str">
        <f>"("&amp;B3396&amp;")"&amp;D3396</f>
        <v>(2)指定为以公允价值计量且其变动计入当期损益的金融负债公允价值变动情况</v>
      </c>
      <c r="H3396" s="1515" t="str">
        <f>$A3396</f>
        <v>2102b</v>
      </c>
      <c r="I3396" s="343" t="s">
        <v>2743</v>
      </c>
      <c r="J3396" s="301" t="s">
        <v>2744</v>
      </c>
      <c r="K3396" s="2208">
        <f>H3407</f>
        <v>0</v>
      </c>
      <c r="L3396" s="349" t="str">
        <f>IF($I3396="适用",IF(ROUND(K$3382-K3396,2)=0,"F/S",ROUND(K$3382-K3396,2)),"#N/A")</f>
        <v>F/S</v>
      </c>
      <c r="M3396" s="301" t="s">
        <v>2745</v>
      </c>
      <c r="N3396" s="2208">
        <f>I3407</f>
        <v>0</v>
      </c>
      <c r="O3396" s="349" t="str">
        <f>IF($I3396="适用",IF(ROUND(N$3382-N3396,2)=0,"F/S",ROUND(N$3382-N3396,2)),"#N/A")</f>
        <v>F/S</v>
      </c>
      <c r="P3396" s="301"/>
      <c r="S3396" s="364"/>
      <c r="Z3396" s="609" t="s">
        <v>3831</v>
      </c>
      <c r="AA3396" s="609" t="s">
        <v>3832</v>
      </c>
    </row>
    <row r="3397" spans="1:27" ht="0.75" customHeight="1" thickBot="1">
      <c r="A3397" s="2712"/>
      <c r="B3397" s="371"/>
      <c r="C3397" s="371"/>
      <c r="D3397" s="2714"/>
      <c r="F3397" s="371"/>
      <c r="G3397" s="405" t="s">
        <v>3835</v>
      </c>
      <c r="H3397" s="371" t="s">
        <v>2747</v>
      </c>
      <c r="I3397" s="371" t="s">
        <v>2748</v>
      </c>
      <c r="J3397" s="371" t="s">
        <v>2948</v>
      </c>
      <c r="K3397" s="428"/>
      <c r="L3397" s="428"/>
      <c r="M3397" s="433"/>
      <c r="N3397" s="428"/>
      <c r="O3397" s="428"/>
      <c r="P3397" s="433"/>
      <c r="Q3397" s="442"/>
      <c r="R3397" s="443"/>
      <c r="S3397" s="364"/>
      <c r="Z3397" s="609" t="s">
        <v>3831</v>
      </c>
      <c r="AA3397" s="609" t="s">
        <v>3832</v>
      </c>
    </row>
    <row r="3398" spans="1:27" ht="36">
      <c r="A3398" s="2712"/>
      <c r="B3398" s="371"/>
      <c r="C3398" s="371"/>
      <c r="D3398" s="2714"/>
      <c r="E3398" s="2714" t="s">
        <v>2749</v>
      </c>
      <c r="F3398" s="293"/>
      <c r="G3398" s="2303" t="s">
        <v>47</v>
      </c>
      <c r="H3398" s="2395" t="s">
        <v>6069</v>
      </c>
      <c r="I3398" s="2289" t="s">
        <v>3836</v>
      </c>
      <c r="J3398" s="2291" t="s">
        <v>3837</v>
      </c>
      <c r="K3398" s="355" t="s">
        <v>5297</v>
      </c>
      <c r="L3398" s="434"/>
      <c r="M3398" s="435"/>
      <c r="N3398" s="434"/>
      <c r="O3398" s="434"/>
      <c r="P3398" s="435"/>
      <c r="Q3398" s="442"/>
      <c r="R3398" s="443"/>
      <c r="S3398" s="364"/>
      <c r="Z3398" s="609" t="s">
        <v>3831</v>
      </c>
      <c r="AA3398" s="609" t="s">
        <v>3832</v>
      </c>
    </row>
    <row r="3399" spans="1:27" ht="18">
      <c r="A3399" s="2712"/>
      <c r="B3399" s="371">
        <v>101</v>
      </c>
      <c r="C3399" s="371"/>
      <c r="D3399" s="2714">
        <f t="shared" ref="D3399:D3407" si="396">IF(OR(G3399="*",G3399="",G3399=0),0,COUNTIF($G$3399:$G$3407,G3399))</f>
        <v>1</v>
      </c>
      <c r="E3399" s="2719">
        <v>1</v>
      </c>
      <c r="F3399" s="293"/>
      <c r="G3399" s="308" t="s">
        <v>3838</v>
      </c>
      <c r="H3399" s="309"/>
      <c r="I3399" s="422"/>
      <c r="J3399" s="346"/>
      <c r="K3399" s="355" t="s">
        <v>6070</v>
      </c>
      <c r="L3399" s="437"/>
      <c r="M3399" s="438"/>
      <c r="N3399" s="439"/>
      <c r="O3399" s="437"/>
      <c r="P3399" s="438"/>
      <c r="Q3399" s="442"/>
      <c r="R3399" s="443"/>
      <c r="S3399" s="364"/>
      <c r="Z3399" s="609" t="s">
        <v>3831</v>
      </c>
      <c r="AA3399" s="609" t="s">
        <v>3832</v>
      </c>
    </row>
    <row r="3400" spans="1:27" ht="18">
      <c r="A3400" s="2712"/>
      <c r="B3400" s="371">
        <v>102</v>
      </c>
      <c r="C3400" s="371" t="s">
        <v>2791</v>
      </c>
      <c r="D3400" s="2714">
        <f t="shared" si="396"/>
        <v>0</v>
      </c>
      <c r="E3400" s="2719">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2"/>
      <c r="B3401" s="371">
        <v>103</v>
      </c>
      <c r="C3401" s="371" t="s">
        <v>2791</v>
      </c>
      <c r="D3401" s="2714">
        <f t="shared" si="396"/>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2"/>
      <c r="B3402" s="371">
        <v>104</v>
      </c>
      <c r="C3402" s="371" t="s">
        <v>2791</v>
      </c>
      <c r="D3402" s="2714">
        <f t="shared" si="396"/>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2"/>
      <c r="B3403" s="371">
        <v>105</v>
      </c>
      <c r="C3403" s="371" t="s">
        <v>2791</v>
      </c>
      <c r="D3403" s="2714">
        <f t="shared" si="396"/>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2"/>
      <c r="B3404" s="371">
        <v>106</v>
      </c>
      <c r="C3404" s="371" t="s">
        <v>2791</v>
      </c>
      <c r="D3404" s="2714">
        <f t="shared" si="396"/>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
      <c r="A3405" s="2712"/>
      <c r="B3405" s="371">
        <v>107</v>
      </c>
      <c r="C3405" s="371" t="s">
        <v>2791</v>
      </c>
      <c r="D3405" s="2714">
        <f t="shared" si="396"/>
        <v>0</v>
      </c>
      <c r="E3405" s="2719">
        <v>1</v>
      </c>
      <c r="F3405" s="293"/>
      <c r="G3405" s="319" t="s">
        <v>2792</v>
      </c>
      <c r="H3405" s="309"/>
      <c r="I3405" s="422"/>
      <c r="J3405" s="346"/>
      <c r="K3405" s="439"/>
      <c r="L3405" s="437"/>
      <c r="M3405" s="438"/>
      <c r="N3405" s="439"/>
      <c r="O3405" s="437"/>
      <c r="P3405" s="438"/>
      <c r="Q3405" s="442"/>
      <c r="R3405" s="443"/>
      <c r="S3405" s="364"/>
      <c r="Z3405" s="609" t="s">
        <v>3831</v>
      </c>
      <c r="AA3405" s="609" t="s">
        <v>3832</v>
      </c>
    </row>
    <row r="3406" spans="1:27" ht="18">
      <c r="A3406" s="2712"/>
      <c r="B3406" s="371">
        <v>108</v>
      </c>
      <c r="C3406" s="371" t="s">
        <v>2791</v>
      </c>
      <c r="D3406" s="2714">
        <f t="shared" si="396"/>
        <v>0</v>
      </c>
      <c r="E3406" s="2719">
        <v>1</v>
      </c>
      <c r="F3406" s="293"/>
      <c r="G3406" s="319" t="s">
        <v>2792</v>
      </c>
      <c r="H3406" s="309"/>
      <c r="I3406" s="422"/>
      <c r="J3406" s="346"/>
      <c r="K3406" s="439"/>
      <c r="L3406" s="437"/>
      <c r="M3406" s="438"/>
      <c r="N3406" s="439"/>
      <c r="O3406" s="437"/>
      <c r="P3406" s="438"/>
      <c r="Q3406" s="442"/>
      <c r="R3406" s="443"/>
      <c r="S3406" s="364"/>
      <c r="Z3406" s="609" t="s">
        <v>3831</v>
      </c>
      <c r="AA3406" s="609" t="s">
        <v>3832</v>
      </c>
    </row>
    <row r="3407" spans="1:27" ht="18.75" thickBot="1">
      <c r="A3407" s="2712"/>
      <c r="B3407" s="371"/>
      <c r="C3407" s="371"/>
      <c r="D3407" s="2714">
        <f t="shared" si="396"/>
        <v>1</v>
      </c>
      <c r="E3407" s="2719" t="s">
        <v>2751</v>
      </c>
      <c r="F3407" s="293"/>
      <c r="G3407" s="2232" t="s">
        <v>2752</v>
      </c>
      <c r="H3407" s="2323">
        <f>SUMPRODUCT($E3398:$E3406,H3398:H3406)</f>
        <v>0</v>
      </c>
      <c r="I3407" s="2323">
        <f>SUMPRODUCT($E3398:$E3406,I3398:I3406)</f>
        <v>0</v>
      </c>
      <c r="J3407" s="2340">
        <f>SUMPRODUCT($E3398:$E3406,J3398:J3406)</f>
        <v>0</v>
      </c>
      <c r="K3407" s="439"/>
      <c r="L3407" s="437"/>
      <c r="M3407" s="440"/>
      <c r="N3407" s="439"/>
      <c r="O3407" s="437"/>
      <c r="P3407" s="440"/>
      <c r="Q3407" s="442"/>
      <c r="R3407" s="443"/>
      <c r="S3407" s="364"/>
      <c r="Z3407" s="609" t="s">
        <v>3831</v>
      </c>
      <c r="AA3407" s="609" t="s">
        <v>3832</v>
      </c>
    </row>
    <row r="3408" spans="1:27" ht="60.75" thickBot="1">
      <c r="A3408" s="2712"/>
      <c r="B3408" s="371">
        <v>901</v>
      </c>
      <c r="C3408" s="371"/>
      <c r="D3408" s="371"/>
      <c r="E3408" s="2714" t="s">
        <v>2753</v>
      </c>
      <c r="F3408" s="294"/>
      <c r="G3408" s="2394" t="s">
        <v>6067</v>
      </c>
      <c r="H3408" s="2393"/>
      <c r="I3408" s="432"/>
      <c r="J3408" s="425"/>
      <c r="K3408" s="355" t="s">
        <v>6068</v>
      </c>
      <c r="L3408" s="427"/>
      <c r="M3408" s="425"/>
      <c r="N3408" s="426"/>
      <c r="O3408" s="427"/>
      <c r="P3408" s="425"/>
      <c r="S3408" s="364"/>
      <c r="Z3408" s="609" t="s">
        <v>3831</v>
      </c>
      <c r="AA3408" s="609" t="s">
        <v>3832</v>
      </c>
    </row>
    <row r="3409" spans="1:27" ht="18">
      <c r="A3409" s="2712"/>
      <c r="B3409" s="371"/>
      <c r="C3409" s="371" t="s">
        <v>2755</v>
      </c>
      <c r="D3409" s="2714"/>
      <c r="F3409" s="293"/>
      <c r="G3409" s="376"/>
      <c r="H3409" s="315"/>
      <c r="I3409" s="396"/>
      <c r="J3409" s="315"/>
      <c r="K3409" s="426"/>
      <c r="L3409" s="427"/>
      <c r="M3409" s="425"/>
      <c r="N3409" s="426"/>
      <c r="O3409" s="427"/>
      <c r="P3409" s="425"/>
      <c r="Q3409" s="442"/>
      <c r="R3409" s="443"/>
      <c r="S3409" s="364"/>
      <c r="Z3409" s="609" t="s">
        <v>3831</v>
      </c>
      <c r="AA3409" s="609" t="s">
        <v>3832</v>
      </c>
    </row>
    <row r="3410" spans="1:27" ht="24">
      <c r="A3410" s="2712">
        <v>2101</v>
      </c>
      <c r="B3410" s="371">
        <v>35</v>
      </c>
      <c r="C3410" s="2714" t="str">
        <f>VLOOKUP($A3410,Sheet_Items,2,0)</f>
        <v>以公允价值计量且其变动计入当期损益的金融负债</v>
      </c>
      <c r="D3410" s="371"/>
      <c r="E3410" s="2714" t="s">
        <v>2739</v>
      </c>
      <c r="F3410" s="294"/>
      <c r="G3410" s="305" t="str">
        <f>B3410&amp;" "&amp;C3410</f>
        <v>35 以公允价值计量且其变动计入当期损益的金融负债</v>
      </c>
      <c r="H3410" s="306"/>
      <c r="I3410" s="306"/>
      <c r="J3410" s="306" t="s">
        <v>2740</v>
      </c>
      <c r="K3410" s="341">
        <f>VLOOKUP($A3410,Sheet_Trialbal,6,0)</f>
        <v>0</v>
      </c>
      <c r="L3410" s="342"/>
      <c r="M3410" s="306" t="s">
        <v>2741</v>
      </c>
      <c r="N3410" s="341">
        <f>VLOOKUP($A3410,Sheet_Trialbal,10,0)</f>
        <v>0</v>
      </c>
      <c r="O3410" s="306"/>
      <c r="P3410" s="301"/>
      <c r="S3410" s="364"/>
      <c r="Z3410" s="609" t="s">
        <v>3839</v>
      </c>
      <c r="AA3410" s="2718" t="s">
        <v>6574</v>
      </c>
    </row>
    <row r="3411" spans="1:27" ht="36">
      <c r="A3411" s="2712" t="s">
        <v>1390</v>
      </c>
      <c r="B3411" s="371">
        <v>1</v>
      </c>
      <c r="C3411" s="371"/>
      <c r="D3411" s="2714" t="str">
        <f>VLOOKUP($A3411,Sheet_NoteList,2,0)</f>
        <v>以公允价值计量且其变动计入当期损益的金融负债明细列示</v>
      </c>
      <c r="E3411" s="2714" t="s">
        <v>2742</v>
      </c>
      <c r="F3411" s="294"/>
      <c r="G3411" s="372" t="str">
        <f>"("&amp;B3411&amp;")"&amp;D3411</f>
        <v>(1)以公允价值计量且其变动计入当期损益的金融负债明细列示</v>
      </c>
      <c r="H3411" s="1515" t="str">
        <f>$A3411</f>
        <v>2101a</v>
      </c>
      <c r="I3411" s="343" t="s">
        <v>2743</v>
      </c>
      <c r="J3411" s="301" t="s">
        <v>2744</v>
      </c>
      <c r="K3411" s="2208">
        <f>H3420</f>
        <v>0</v>
      </c>
      <c r="L3411" s="345" t="str">
        <f>IF($I3411="适用",IF(ROUND(K3410-K3411,2)=0,"F/S",ROUND(K3410-K3411,2)),"#N/A")</f>
        <v>F/S</v>
      </c>
      <c r="M3411" s="301" t="s">
        <v>2745</v>
      </c>
      <c r="N3411" s="2208">
        <f>I3420</f>
        <v>0</v>
      </c>
      <c r="O3411" s="345" t="str">
        <f>IF($I3411="适用",IF(ROUND(N3410-N3411,2)=0,"F/S",ROUND(N3410-N3411,2)),"#N/A")</f>
        <v>F/S</v>
      </c>
      <c r="P3411" s="301"/>
      <c r="Q3411" s="290" t="str">
        <f>IF($I3411="不适用","",IF(ROUND(SUM($H$3414:$I$3420),2)=0,"请输入",""))</f>
        <v>请输入</v>
      </c>
      <c r="S3411" s="364"/>
      <c r="Z3411" s="609" t="s">
        <v>3839</v>
      </c>
      <c r="AA3411" s="2718" t="s">
        <v>6574</v>
      </c>
    </row>
    <row r="3412" spans="1:27" ht="0.75" customHeight="1" thickBot="1">
      <c r="A3412" s="2712"/>
      <c r="B3412" s="371"/>
      <c r="C3412" s="371"/>
      <c r="D3412" s="371"/>
      <c r="E3412" s="586"/>
      <c r="F3412" s="586"/>
      <c r="G3412" s="586" t="s">
        <v>3840</v>
      </c>
      <c r="H3412" s="371" t="s">
        <v>2833</v>
      </c>
      <c r="I3412" s="371" t="s">
        <v>2834</v>
      </c>
      <c r="J3412" s="291"/>
      <c r="K3412" s="291"/>
      <c r="L3412" s="291"/>
      <c r="M3412" s="291"/>
      <c r="S3412" s="364"/>
      <c r="Z3412" s="609" t="s">
        <v>3839</v>
      </c>
      <c r="AA3412" s="2718" t="s">
        <v>6574</v>
      </c>
    </row>
    <row r="3413" spans="1:27" ht="18">
      <c r="A3413" s="2712"/>
      <c r="B3413" s="371"/>
      <c r="C3413" s="371"/>
      <c r="D3413" s="371"/>
      <c r="E3413" s="586" t="s">
        <v>2749</v>
      </c>
      <c r="F3413" s="363"/>
      <c r="G3413" s="2539" t="s">
        <v>47</v>
      </c>
      <c r="H3413" s="2551" t="str">
        <f>$V$2</f>
        <v>2019年12月31日</v>
      </c>
      <c r="I3413" s="2552" t="str">
        <f>$V$3</f>
        <v>2018年12月31日</v>
      </c>
      <c r="J3413" s="355" t="s">
        <v>5298</v>
      </c>
      <c r="K3413" s="291"/>
      <c r="L3413" s="291"/>
      <c r="M3413" s="291"/>
      <c r="S3413" s="364"/>
      <c r="Z3413" s="609" t="s">
        <v>3839</v>
      </c>
      <c r="AA3413" s="2718" t="s">
        <v>6574</v>
      </c>
    </row>
    <row r="3414" spans="1:27" ht="18">
      <c r="A3414" s="2712"/>
      <c r="B3414" s="371">
        <v>101</v>
      </c>
      <c r="C3414" s="371"/>
      <c r="D3414" s="2714">
        <f t="shared" ref="D3414:D3420" si="397">IF(OR(G3414="*",G3414="",G3414=0),0,COUNTIF($G$3414:$G$3420,G3414))</f>
        <v>1</v>
      </c>
      <c r="E3414" s="2719" t="s">
        <v>41</v>
      </c>
      <c r="F3414" s="294"/>
      <c r="G3414" s="1472" t="s">
        <v>462</v>
      </c>
      <c r="H3414" s="2297">
        <v>0</v>
      </c>
      <c r="I3414" s="2294"/>
      <c r="J3414" s="291"/>
      <c r="K3414" s="291"/>
      <c r="L3414" s="291"/>
      <c r="M3414" s="291"/>
      <c r="S3414" s="364"/>
      <c r="Z3414" s="609" t="s">
        <v>3839</v>
      </c>
      <c r="AA3414" s="2718" t="s">
        <v>6574</v>
      </c>
    </row>
    <row r="3415" spans="1:27" ht="18">
      <c r="A3415" s="2712"/>
      <c r="B3415" s="371">
        <v>102</v>
      </c>
      <c r="C3415" s="371"/>
      <c r="D3415" s="2714">
        <f t="shared" si="397"/>
        <v>1</v>
      </c>
      <c r="E3415" s="2719">
        <v>1</v>
      </c>
      <c r="F3415" s="294"/>
      <c r="G3415" s="1472" t="s">
        <v>3841</v>
      </c>
      <c r="H3415" s="2297">
        <v>0</v>
      </c>
      <c r="I3415" s="2294"/>
      <c r="J3415" s="291"/>
      <c r="K3415" s="291"/>
      <c r="L3415" s="291"/>
      <c r="M3415" s="291"/>
      <c r="S3415" s="364"/>
      <c r="Z3415" s="609" t="s">
        <v>3839</v>
      </c>
      <c r="AA3415" s="2718" t="s">
        <v>6574</v>
      </c>
    </row>
    <row r="3416" spans="1:27" ht="18">
      <c r="A3416" s="2712"/>
      <c r="B3416" s="371">
        <v>103</v>
      </c>
      <c r="C3416" s="371" t="s">
        <v>2791</v>
      </c>
      <c r="D3416" s="2714">
        <f t="shared" si="397"/>
        <v>1</v>
      </c>
      <c r="E3416" s="2719">
        <v>1</v>
      </c>
      <c r="F3416" s="294"/>
      <c r="G3416" s="578" t="s">
        <v>467</v>
      </c>
      <c r="H3416" s="2297">
        <v>0</v>
      </c>
      <c r="I3416" s="2294"/>
      <c r="J3416" s="355" t="s">
        <v>6121</v>
      </c>
      <c r="K3416" s="291"/>
      <c r="L3416" s="291"/>
      <c r="M3416" s="291"/>
      <c r="S3416" s="364"/>
      <c r="Z3416" s="609" t="s">
        <v>3839</v>
      </c>
      <c r="AA3416" s="2718" t="s">
        <v>6574</v>
      </c>
    </row>
    <row r="3417" spans="1:27" ht="18">
      <c r="A3417" s="2712"/>
      <c r="B3417" s="371">
        <v>104</v>
      </c>
      <c r="C3417" s="371"/>
      <c r="D3417" s="2714">
        <f t="shared" si="397"/>
        <v>1</v>
      </c>
      <c r="E3417" s="2719">
        <v>1</v>
      </c>
      <c r="F3417" s="294"/>
      <c r="G3417" s="603" t="s">
        <v>932</v>
      </c>
      <c r="H3417" s="2297">
        <v>0</v>
      </c>
      <c r="I3417" s="2294"/>
      <c r="J3417" s="291"/>
      <c r="K3417" s="291"/>
      <c r="L3417" s="291"/>
      <c r="M3417" s="291"/>
      <c r="S3417" s="364"/>
      <c r="Z3417" s="609" t="s">
        <v>3839</v>
      </c>
      <c r="AA3417" s="2718" t="s">
        <v>6574</v>
      </c>
    </row>
    <row r="3418" spans="1:27" ht="24">
      <c r="A3418" s="2712"/>
      <c r="B3418" s="371">
        <v>105</v>
      </c>
      <c r="C3418" s="371"/>
      <c r="D3418" s="2714">
        <f t="shared" si="397"/>
        <v>1</v>
      </c>
      <c r="E3418" s="2719">
        <v>1</v>
      </c>
      <c r="F3418" s="294"/>
      <c r="G3418" s="1472" t="s">
        <v>3842</v>
      </c>
      <c r="H3418" s="2297">
        <v>0</v>
      </c>
      <c r="I3418" s="2294"/>
      <c r="J3418" s="291"/>
      <c r="K3418" s="291"/>
      <c r="L3418" s="291"/>
      <c r="M3418" s="291"/>
      <c r="S3418" s="364"/>
      <c r="Z3418" s="609" t="s">
        <v>3839</v>
      </c>
      <c r="AA3418" s="2718" t="s">
        <v>6574</v>
      </c>
    </row>
    <row r="3419" spans="1:27" ht="18">
      <c r="A3419" s="2712"/>
      <c r="B3419" s="371">
        <v>106</v>
      </c>
      <c r="C3419" s="371" t="s">
        <v>2791</v>
      </c>
      <c r="D3419" s="2714">
        <f t="shared" si="397"/>
        <v>0</v>
      </c>
      <c r="E3419" s="2719">
        <v>1</v>
      </c>
      <c r="F3419" s="294"/>
      <c r="G3419" s="2546" t="s">
        <v>2792</v>
      </c>
      <c r="H3419" s="2297">
        <v>0</v>
      </c>
      <c r="I3419" s="2294"/>
      <c r="J3419" s="291"/>
      <c r="K3419" s="291"/>
      <c r="L3419" s="291"/>
      <c r="M3419" s="291"/>
      <c r="S3419" s="364"/>
      <c r="Z3419" s="609" t="s">
        <v>3839</v>
      </c>
      <c r="AA3419" s="2718" t="s">
        <v>6574</v>
      </c>
    </row>
    <row r="3420" spans="1:27" ht="18.75" thickBot="1">
      <c r="A3420" s="2712"/>
      <c r="B3420" s="371"/>
      <c r="C3420" s="371"/>
      <c r="D3420" s="2714">
        <f t="shared" si="397"/>
        <v>1</v>
      </c>
      <c r="E3420" s="2719" t="s">
        <v>2751</v>
      </c>
      <c r="F3420" s="294"/>
      <c r="G3420" s="374" t="s">
        <v>2752</v>
      </c>
      <c r="H3420" s="1476">
        <f>SUMPRODUCT($E3413:$E3419,H3413:H3419)</f>
        <v>0</v>
      </c>
      <c r="I3420" s="1477">
        <f>SUMPRODUCT($E3413:$E3419,I3413:I3419)</f>
        <v>0</v>
      </c>
      <c r="J3420" s="291"/>
      <c r="K3420" s="291"/>
      <c r="L3420" s="291"/>
      <c r="M3420" s="291"/>
      <c r="S3420" s="364"/>
      <c r="Z3420" s="609" t="s">
        <v>3839</v>
      </c>
      <c r="AA3420" s="2718" t="s">
        <v>6574</v>
      </c>
    </row>
    <row r="3421" spans="1:27" ht="18">
      <c r="A3421" s="2712"/>
      <c r="B3421" s="371"/>
      <c r="C3421" s="371" t="s">
        <v>2755</v>
      </c>
      <c r="D3421" s="371"/>
      <c r="F3421" s="294"/>
      <c r="G3421" s="301"/>
      <c r="H3421" s="315"/>
      <c r="I3421" s="315"/>
      <c r="J3421" s="291"/>
      <c r="K3421" s="291"/>
      <c r="L3421" s="291"/>
      <c r="M3421" s="291"/>
      <c r="S3421" s="364"/>
      <c r="Z3421" s="609" t="s">
        <v>3839</v>
      </c>
      <c r="AA3421" s="2718" t="s">
        <v>6574</v>
      </c>
    </row>
    <row r="3422" spans="1:27" ht="18">
      <c r="A3422" s="2712">
        <v>2115</v>
      </c>
      <c r="B3422" s="371">
        <v>36</v>
      </c>
      <c r="C3422" s="2714" t="str">
        <f>VLOOKUP($A3422,Sheet_Items,2,0)</f>
        <v>衍生金融负债</v>
      </c>
      <c r="D3422" s="371"/>
      <c r="E3422" s="2714" t="s">
        <v>2739</v>
      </c>
      <c r="F3422" s="294"/>
      <c r="G3422" s="305" t="str">
        <f>B3422&amp;" "&amp;C3422</f>
        <v>36 衍生金融负债</v>
      </c>
      <c r="H3422" s="306"/>
      <c r="I3422" s="306"/>
      <c r="J3422" s="306" t="s">
        <v>2740</v>
      </c>
      <c r="K3422" s="341">
        <f>VLOOKUP($A3422,Sheet_Trialbal,6,0)</f>
        <v>0</v>
      </c>
      <c r="L3422" s="342"/>
      <c r="M3422" s="306" t="s">
        <v>2741</v>
      </c>
      <c r="N3422" s="341">
        <f>VLOOKUP($A3422,Sheet_Trialbal,10,0)</f>
        <v>0</v>
      </c>
      <c r="O3422" s="306"/>
      <c r="P3422" s="301"/>
      <c r="S3422" s="364"/>
      <c r="Z3422" s="609" t="s">
        <v>3843</v>
      </c>
      <c r="AA3422" s="609" t="s">
        <v>5671</v>
      </c>
    </row>
    <row r="3423" spans="1:27" ht="18">
      <c r="A3423" s="2712" t="s">
        <v>1405</v>
      </c>
      <c r="B3423" s="371">
        <v>1</v>
      </c>
      <c r="C3423" s="371"/>
      <c r="D3423" s="2714" t="str">
        <f>VLOOKUP($A3423,Sheet_NoteList,2,0)</f>
        <v>衍生金融负债明细列示</v>
      </c>
      <c r="E3423" s="2714" t="s">
        <v>2742</v>
      </c>
      <c r="F3423" s="294"/>
      <c r="G3423" s="372" t="str">
        <f>"("&amp;B3423&amp;")"&amp;D3423</f>
        <v>(1)衍生金融负债明细列示</v>
      </c>
      <c r="H3423" s="1515" t="str">
        <f>$A3423</f>
        <v>2115a</v>
      </c>
      <c r="I3423" s="343" t="s">
        <v>2743</v>
      </c>
      <c r="J3423" s="301" t="s">
        <v>2744</v>
      </c>
      <c r="K3423" s="2208">
        <f>H3431</f>
        <v>0</v>
      </c>
      <c r="L3423" s="345" t="str">
        <f>IF($I3423="适用",IF(ROUND(K3422-K3423,2)=0,"F/S",ROUND(K3422-K3423,2)),"#N/A")</f>
        <v>F/S</v>
      </c>
      <c r="M3423" s="301" t="s">
        <v>2745</v>
      </c>
      <c r="N3423" s="2208">
        <f>I3431</f>
        <v>0</v>
      </c>
      <c r="O3423" s="345" t="str">
        <f>IF($I3423="适用",IF(ROUND(N3422-N3423,2)=0,"F/S",ROUND(N3422-N3423,2)),"#N/A")</f>
        <v>F/S</v>
      </c>
      <c r="P3423" s="301"/>
      <c r="Q3423" s="290" t="str">
        <f>IF($I3423="不适用","",IF(ROUND(SUM($H$3426:$I$3431),2)=0,"请输入",""))</f>
        <v>请输入</v>
      </c>
      <c r="S3423" s="364"/>
      <c r="Z3423" s="609" t="s">
        <v>3843</v>
      </c>
      <c r="AA3423" s="609" t="s">
        <v>5671</v>
      </c>
    </row>
    <row r="3424" spans="1:27" ht="0.75" customHeight="1" thickBot="1">
      <c r="A3424" s="2712"/>
      <c r="B3424" s="371"/>
      <c r="C3424" s="371"/>
      <c r="D3424" s="371"/>
      <c r="F3424" s="304"/>
      <c r="G3424" s="304" t="s">
        <v>3844</v>
      </c>
      <c r="H3424" s="304" t="s">
        <v>2833</v>
      </c>
      <c r="I3424" s="304" t="s">
        <v>2834</v>
      </c>
      <c r="J3424" s="291"/>
      <c r="K3424" s="291"/>
      <c r="L3424" s="291"/>
      <c r="M3424" s="291"/>
      <c r="S3424" s="364"/>
      <c r="Z3424" s="609" t="s">
        <v>3843</v>
      </c>
      <c r="AA3424" s="609" t="s">
        <v>5671</v>
      </c>
    </row>
    <row r="3425" spans="1:27" ht="18">
      <c r="A3425" s="2712"/>
      <c r="B3425" s="371"/>
      <c r="C3425" s="371"/>
      <c r="D3425" s="371"/>
      <c r="E3425" s="2714" t="s">
        <v>2749</v>
      </c>
      <c r="F3425" s="294"/>
      <c r="G3425" s="410" t="s">
        <v>47</v>
      </c>
      <c r="H3425" s="1452" t="str">
        <f>$V$2</f>
        <v>2019年12月31日</v>
      </c>
      <c r="I3425" s="1453" t="str">
        <f>$V$3</f>
        <v>2018年12月31日</v>
      </c>
      <c r="J3425" s="355" t="s">
        <v>5299</v>
      </c>
      <c r="K3425" s="291"/>
      <c r="L3425" s="291"/>
      <c r="M3425" s="291"/>
      <c r="S3425" s="364"/>
      <c r="Z3425" s="609" t="s">
        <v>3843</v>
      </c>
      <c r="AA3425" s="609" t="s">
        <v>5671</v>
      </c>
    </row>
    <row r="3426" spans="1:27" ht="18">
      <c r="A3426" s="2712"/>
      <c r="B3426" s="371">
        <v>101</v>
      </c>
      <c r="C3426" s="371" t="s">
        <v>2791</v>
      </c>
      <c r="D3426" s="2714">
        <f t="shared" ref="D3426:D3431" si="398">IF(OR(G3426="*",G3426="",G3426=0),0,COUNTIF($G$3426:$G$3431,G3426))</f>
        <v>0</v>
      </c>
      <c r="E3426" s="2719">
        <v>1</v>
      </c>
      <c r="F3426" s="294"/>
      <c r="G3426" s="319" t="s">
        <v>2792</v>
      </c>
      <c r="H3426" s="320"/>
      <c r="I3426" s="361"/>
      <c r="J3426" s="291"/>
      <c r="K3426" s="291"/>
      <c r="L3426" s="291"/>
      <c r="M3426" s="291"/>
      <c r="S3426" s="364"/>
      <c r="Z3426" s="609" t="s">
        <v>3843</v>
      </c>
      <c r="AA3426" s="609" t="s">
        <v>5671</v>
      </c>
    </row>
    <row r="3427" spans="1:27" ht="18">
      <c r="A3427" s="2712"/>
      <c r="B3427" s="371">
        <v>102</v>
      </c>
      <c r="C3427" s="371" t="s">
        <v>2791</v>
      </c>
      <c r="D3427" s="2714">
        <f t="shared" si="398"/>
        <v>0</v>
      </c>
      <c r="E3427" s="2719">
        <v>1</v>
      </c>
      <c r="F3427" s="294"/>
      <c r="G3427" s="319" t="s">
        <v>2792</v>
      </c>
      <c r="H3427" s="309"/>
      <c r="I3427" s="346"/>
      <c r="J3427" s="291"/>
      <c r="K3427" s="291"/>
      <c r="L3427" s="291"/>
      <c r="M3427" s="291"/>
      <c r="S3427" s="364"/>
      <c r="Z3427" s="609" t="s">
        <v>3843</v>
      </c>
      <c r="AA3427" s="609" t="s">
        <v>5671</v>
      </c>
    </row>
    <row r="3428" spans="1:27" ht="18">
      <c r="A3428" s="2712"/>
      <c r="B3428" s="371">
        <v>103</v>
      </c>
      <c r="C3428" s="371" t="s">
        <v>2791</v>
      </c>
      <c r="D3428" s="2714">
        <f t="shared" si="398"/>
        <v>0</v>
      </c>
      <c r="E3428" s="2719">
        <v>1</v>
      </c>
      <c r="F3428" s="294"/>
      <c r="G3428" s="319" t="s">
        <v>2792</v>
      </c>
      <c r="H3428" s="309"/>
      <c r="I3428" s="346"/>
      <c r="J3428" s="291"/>
      <c r="K3428" s="291"/>
      <c r="L3428" s="291"/>
      <c r="M3428" s="291"/>
      <c r="S3428" s="364"/>
      <c r="Z3428" s="609" t="s">
        <v>3843</v>
      </c>
      <c r="AA3428" s="609" t="s">
        <v>5671</v>
      </c>
    </row>
    <row r="3429" spans="1:27" ht="18">
      <c r="A3429" s="2712"/>
      <c r="B3429" s="371">
        <v>104</v>
      </c>
      <c r="C3429" s="371" t="s">
        <v>2791</v>
      </c>
      <c r="D3429" s="2714">
        <f t="shared" si="398"/>
        <v>0</v>
      </c>
      <c r="E3429" s="2719">
        <v>1</v>
      </c>
      <c r="F3429" s="294"/>
      <c r="G3429" s="319" t="s">
        <v>2792</v>
      </c>
      <c r="H3429" s="309"/>
      <c r="I3429" s="346"/>
      <c r="J3429" s="291"/>
      <c r="K3429" s="291"/>
      <c r="L3429" s="291"/>
      <c r="M3429" s="291"/>
      <c r="S3429" s="364"/>
      <c r="Z3429" s="609" t="s">
        <v>3843</v>
      </c>
      <c r="AA3429" s="609" t="s">
        <v>5671</v>
      </c>
    </row>
    <row r="3430" spans="1:27" ht="18">
      <c r="A3430" s="2712"/>
      <c r="B3430" s="371">
        <v>105</v>
      </c>
      <c r="C3430" s="371" t="s">
        <v>2791</v>
      </c>
      <c r="D3430" s="2714">
        <f t="shared" si="398"/>
        <v>0</v>
      </c>
      <c r="E3430" s="2719">
        <v>1</v>
      </c>
      <c r="F3430" s="294"/>
      <c r="G3430" s="319" t="s">
        <v>2792</v>
      </c>
      <c r="H3430" s="309"/>
      <c r="I3430" s="346"/>
      <c r="J3430" s="291"/>
      <c r="K3430" s="291"/>
      <c r="L3430" s="291"/>
      <c r="M3430" s="291"/>
      <c r="S3430" s="364"/>
      <c r="Z3430" s="609" t="s">
        <v>3843</v>
      </c>
      <c r="AA3430" s="609" t="s">
        <v>5671</v>
      </c>
    </row>
    <row r="3431" spans="1:27" ht="18.75" thickBot="1">
      <c r="A3431" s="2712"/>
      <c r="B3431" s="371"/>
      <c r="C3431" s="371"/>
      <c r="D3431" s="2714">
        <f t="shared" si="398"/>
        <v>1</v>
      </c>
      <c r="E3431" s="2719" t="s">
        <v>2751</v>
      </c>
      <c r="F3431" s="294"/>
      <c r="G3431" s="374" t="s">
        <v>2752</v>
      </c>
      <c r="H3431" s="596">
        <f>SUMPRODUCT($E3425:$E3430,H3425:H3430)</f>
        <v>0</v>
      </c>
      <c r="I3431" s="599">
        <f>SUMPRODUCT($E3425:$E3430,I3425:I3430)</f>
        <v>0</v>
      </c>
      <c r="J3431" s="291"/>
      <c r="K3431" s="291"/>
      <c r="L3431" s="291"/>
      <c r="M3431" s="291"/>
      <c r="S3431" s="364"/>
      <c r="Z3431" s="609" t="s">
        <v>3843</v>
      </c>
      <c r="AA3431" s="609" t="s">
        <v>5671</v>
      </c>
    </row>
    <row r="3432" spans="1:27" ht="18">
      <c r="A3432" s="2712"/>
      <c r="B3432" s="371"/>
      <c r="C3432" s="371" t="s">
        <v>2755</v>
      </c>
      <c r="D3432" s="371"/>
      <c r="F3432" s="294"/>
      <c r="G3432" s="301"/>
      <c r="H3432" s="315"/>
      <c r="I3432" s="315"/>
      <c r="J3432" s="291"/>
      <c r="K3432" s="291"/>
      <c r="L3432" s="291"/>
      <c r="M3432" s="291"/>
      <c r="S3432" s="364"/>
      <c r="Z3432" s="609" t="s">
        <v>3843</v>
      </c>
      <c r="AA3432" s="609" t="s">
        <v>5671</v>
      </c>
    </row>
    <row r="3433" spans="1:27" ht="18">
      <c r="A3433" s="2712">
        <v>2201</v>
      </c>
      <c r="B3433" s="371">
        <v>37</v>
      </c>
      <c r="C3433" s="2714" t="str">
        <f>VLOOKUP($A3433,Sheet_Items,2,0)</f>
        <v>应付票据</v>
      </c>
      <c r="D3433" s="371"/>
      <c r="E3433" s="2714" t="s">
        <v>2739</v>
      </c>
      <c r="F3433" s="294"/>
      <c r="G3433" s="305" t="str">
        <f>B3433&amp;" "&amp;C3433</f>
        <v>37 应付票据</v>
      </c>
      <c r="H3433" s="306"/>
      <c r="I3433" s="306"/>
      <c r="J3433" s="306" t="s">
        <v>2740</v>
      </c>
      <c r="K3433" s="341">
        <f>VLOOKUP($A3433,Sheet_Trialbal,6,0)</f>
        <v>0</v>
      </c>
      <c r="L3433" s="342"/>
      <c r="M3433" s="306" t="s">
        <v>2741</v>
      </c>
      <c r="N3433" s="341">
        <f>VLOOKUP($A3433,Sheet_Trialbal,10,0)</f>
        <v>42762500</v>
      </c>
      <c r="O3433" s="306"/>
      <c r="P3433" s="301"/>
      <c r="S3433" s="364"/>
      <c r="Z3433" s="609" t="s">
        <v>3845</v>
      </c>
      <c r="AA3433" s="609" t="s">
        <v>5672</v>
      </c>
    </row>
    <row r="3434" spans="1:27" ht="18">
      <c r="A3434" s="2712" t="s">
        <v>1410</v>
      </c>
      <c r="B3434" s="371">
        <v>1</v>
      </c>
      <c r="C3434" s="371"/>
      <c r="D3434" s="2714" t="str">
        <f>VLOOKUP($A3434,Sheet_NoteList,2,0)</f>
        <v>应付票据明细项目</v>
      </c>
      <c r="E3434" s="2714" t="s">
        <v>2742</v>
      </c>
      <c r="F3434" s="294"/>
      <c r="G3434" s="307" t="str">
        <f>"("&amp;B3434&amp;")"&amp;D3434</f>
        <v>(1)应付票据明细项目</v>
      </c>
      <c r="H3434" s="1515" t="str">
        <f>$A3434</f>
        <v>2201a</v>
      </c>
      <c r="I3434" s="343" t="s">
        <v>2743</v>
      </c>
      <c r="J3434" s="301" t="s">
        <v>2744</v>
      </c>
      <c r="K3434" s="2208">
        <f>H3441</f>
        <v>0</v>
      </c>
      <c r="L3434" s="345" t="str">
        <f>IF($I3434="适用",IF(ROUND(K3433-K3434,2)=0,"F/S",ROUND(K3433-K3434,2)),"#N/A")</f>
        <v>F/S</v>
      </c>
      <c r="M3434" s="301" t="s">
        <v>2745</v>
      </c>
      <c r="N3434" s="2208">
        <f>I3441</f>
        <v>42762500</v>
      </c>
      <c r="O3434" s="345" t="str">
        <f>IF($I3434="适用",IF(ROUND(N3433-N3434,2)=0,"F/S",ROUND(N3433-N3434,2)),"#N/A")</f>
        <v>F/S</v>
      </c>
      <c r="P3434" s="301"/>
      <c r="Q3434" s="290" t="str">
        <f>IF($I3434="不适用","",IF(ROUND(SUM($H$3437:$J$3441),2)=0,"请输入",""))</f>
        <v/>
      </c>
      <c r="S3434" s="364"/>
      <c r="Z3434" s="609" t="s">
        <v>3845</v>
      </c>
      <c r="AA3434" s="609" t="s">
        <v>5672</v>
      </c>
    </row>
    <row r="3435" spans="1:27" ht="0.75" customHeight="1" thickBot="1">
      <c r="A3435" s="2712"/>
      <c r="B3435" s="371"/>
      <c r="C3435" s="371"/>
      <c r="D3435" s="371"/>
      <c r="F3435" s="371"/>
      <c r="G3435" s="371" t="s">
        <v>3846</v>
      </c>
      <c r="H3435" s="371" t="s">
        <v>2747</v>
      </c>
      <c r="I3435" s="371" t="s">
        <v>2748</v>
      </c>
      <c r="J3435" s="433"/>
      <c r="K3435" s="472"/>
      <c r="L3435" s="472"/>
      <c r="M3435" s="472"/>
      <c r="N3435" s="472"/>
      <c r="O3435" s="442"/>
      <c r="P3435" s="442"/>
      <c r="Q3435" s="442"/>
      <c r="R3435" s="443"/>
      <c r="S3435" s="364"/>
      <c r="Z3435" s="609" t="s">
        <v>3845</v>
      </c>
      <c r="AA3435" s="609" t="s">
        <v>5672</v>
      </c>
    </row>
    <row r="3436" spans="1:27" ht="18">
      <c r="A3436" s="2712"/>
      <c r="B3436" s="371"/>
      <c r="C3436" s="371"/>
      <c r="D3436" s="371"/>
      <c r="E3436" s="2714" t="s">
        <v>2749</v>
      </c>
      <c r="F3436" s="294"/>
      <c r="G3436" s="410" t="s">
        <v>1412</v>
      </c>
      <c r="H3436" s="1452" t="str">
        <f>$V$2</f>
        <v>2019年12月31日</v>
      </c>
      <c r="I3436" s="1453" t="str">
        <f>$V$3</f>
        <v>2018年12月31日</v>
      </c>
      <c r="J3436" s="355" t="s">
        <v>5300</v>
      </c>
      <c r="K3436" s="472"/>
      <c r="L3436" s="472"/>
      <c r="M3436" s="472"/>
      <c r="N3436" s="472"/>
      <c r="O3436" s="442"/>
      <c r="P3436" s="442"/>
      <c r="Q3436" s="442"/>
      <c r="R3436" s="443"/>
      <c r="S3436" s="364"/>
      <c r="Z3436" s="609" t="s">
        <v>3845</v>
      </c>
      <c r="AA3436" s="609" t="s">
        <v>5672</v>
      </c>
    </row>
    <row r="3437" spans="1:27" ht="18">
      <c r="A3437" s="2712"/>
      <c r="B3437" s="371">
        <v>101</v>
      </c>
      <c r="C3437" s="371"/>
      <c r="D3437" s="2714">
        <f t="shared" ref="D3437:D3441" si="399">IF(OR(G3437="*",G3437="",G3437=0),0,COUNTIF($G$3437:$G$3441,G3437))</f>
        <v>1</v>
      </c>
      <c r="E3437" s="2719">
        <v>1</v>
      </c>
      <c r="F3437" s="294"/>
      <c r="G3437" s="308" t="s">
        <v>2864</v>
      </c>
      <c r="H3437" s="309"/>
      <c r="I3437" s="346">
        <v>42762500</v>
      </c>
      <c r="J3437" s="437"/>
      <c r="K3437" s="472"/>
      <c r="L3437" s="472"/>
      <c r="M3437" s="472"/>
      <c r="N3437" s="472"/>
      <c r="O3437" s="442"/>
      <c r="P3437" s="442"/>
      <c r="Q3437" s="442"/>
      <c r="R3437" s="443"/>
      <c r="S3437" s="364"/>
      <c r="Z3437" s="609" t="s">
        <v>3845</v>
      </c>
      <c r="AA3437" s="609" t="s">
        <v>5672</v>
      </c>
    </row>
    <row r="3438" spans="1:27" ht="18">
      <c r="A3438" s="2712"/>
      <c r="B3438" s="371">
        <v>102</v>
      </c>
      <c r="C3438" s="371"/>
      <c r="D3438" s="2714">
        <f t="shared" si="399"/>
        <v>1</v>
      </c>
      <c r="E3438" s="2719">
        <v>1</v>
      </c>
      <c r="F3438" s="294"/>
      <c r="G3438" s="308" t="s">
        <v>2865</v>
      </c>
      <c r="H3438" s="309"/>
      <c r="I3438" s="346"/>
      <c r="J3438" s="437"/>
      <c r="K3438" s="472"/>
      <c r="L3438" s="472"/>
      <c r="M3438" s="472"/>
      <c r="N3438" s="472"/>
      <c r="O3438" s="442"/>
      <c r="P3438" s="442"/>
      <c r="Q3438" s="442"/>
      <c r="R3438" s="443"/>
      <c r="S3438" s="364"/>
      <c r="Z3438" s="609" t="s">
        <v>3845</v>
      </c>
      <c r="AA3438" s="609" t="s">
        <v>5672</v>
      </c>
    </row>
    <row r="3439" spans="1:27" ht="18">
      <c r="A3439" s="2712"/>
      <c r="B3439" s="371">
        <v>103</v>
      </c>
      <c r="C3439" s="371" t="s">
        <v>2791</v>
      </c>
      <c r="D3439" s="2714">
        <f t="shared" si="399"/>
        <v>0</v>
      </c>
      <c r="E3439" s="2719">
        <v>1</v>
      </c>
      <c r="F3439" s="294"/>
      <c r="G3439" s="319" t="s">
        <v>2792</v>
      </c>
      <c r="H3439" s="309"/>
      <c r="I3439" s="346"/>
      <c r="J3439" s="437"/>
      <c r="K3439" s="472"/>
      <c r="L3439" s="472"/>
      <c r="M3439" s="472"/>
      <c r="N3439" s="472"/>
      <c r="O3439" s="442"/>
      <c r="P3439" s="442"/>
      <c r="Q3439" s="442"/>
      <c r="R3439" s="443"/>
      <c r="S3439" s="364"/>
      <c r="Z3439" s="609" t="s">
        <v>3845</v>
      </c>
      <c r="AA3439" s="609" t="s">
        <v>5672</v>
      </c>
    </row>
    <row r="3440" spans="1:27" ht="18">
      <c r="A3440" s="2712"/>
      <c r="B3440" s="371">
        <v>104</v>
      </c>
      <c r="C3440" s="371" t="s">
        <v>2791</v>
      </c>
      <c r="D3440" s="2714">
        <f t="shared" si="399"/>
        <v>0</v>
      </c>
      <c r="E3440" s="2719">
        <v>1</v>
      </c>
      <c r="F3440" s="294"/>
      <c r="G3440" s="319" t="s">
        <v>2792</v>
      </c>
      <c r="H3440" s="309"/>
      <c r="I3440" s="346"/>
      <c r="J3440" s="437"/>
      <c r="K3440" s="472"/>
      <c r="L3440" s="472"/>
      <c r="M3440" s="472"/>
      <c r="N3440" s="472"/>
      <c r="O3440" s="442"/>
      <c r="P3440" s="442"/>
      <c r="Q3440" s="442"/>
      <c r="R3440" s="443"/>
      <c r="S3440" s="364"/>
      <c r="Z3440" s="609" t="s">
        <v>3845</v>
      </c>
      <c r="AA3440" s="609" t="s">
        <v>5672</v>
      </c>
    </row>
    <row r="3441" spans="1:31" ht="18.75" thickBot="1">
      <c r="A3441" s="2712"/>
      <c r="B3441" s="371"/>
      <c r="C3441" s="371"/>
      <c r="D3441" s="2714">
        <f t="shared" si="399"/>
        <v>1</v>
      </c>
      <c r="E3441" s="2719" t="s">
        <v>2751</v>
      </c>
      <c r="F3441" s="294"/>
      <c r="G3441" s="374" t="s">
        <v>2752</v>
      </c>
      <c r="H3441" s="375">
        <f>SUMPRODUCT($E3436:$E3440,H3436:H3440)</f>
        <v>0</v>
      </c>
      <c r="I3441" s="395">
        <f>SUMPRODUCT($E3436:$E3440,I3436:I3440)</f>
        <v>42762500</v>
      </c>
      <c r="J3441" s="437"/>
      <c r="K3441" s="472"/>
      <c r="L3441" s="472"/>
      <c r="M3441" s="472"/>
      <c r="N3441" s="472"/>
      <c r="O3441" s="442"/>
      <c r="P3441" s="442"/>
      <c r="Q3441" s="442"/>
      <c r="R3441" s="443"/>
      <c r="S3441" s="364"/>
      <c r="Z3441" s="609" t="s">
        <v>3845</v>
      </c>
      <c r="AA3441" s="609" t="s">
        <v>5672</v>
      </c>
    </row>
    <row r="3442" spans="1:31" s="288" customFormat="1" ht="24.75" thickBot="1">
      <c r="A3442" s="2712"/>
      <c r="B3442" s="371">
        <v>901</v>
      </c>
      <c r="C3442" s="371"/>
      <c r="D3442" s="371"/>
      <c r="E3442" s="2714" t="s">
        <v>2753</v>
      </c>
      <c r="F3442" s="294"/>
      <c r="G3442" s="600" t="s">
        <v>3847</v>
      </c>
      <c r="H3442" s="576"/>
      <c r="I3442" s="349"/>
      <c r="J3442" s="350"/>
      <c r="K3442" s="291"/>
      <c r="L3442" s="291"/>
      <c r="M3442" s="291"/>
      <c r="N3442" s="291"/>
      <c r="Q3442" s="290"/>
      <c r="R3442" s="290"/>
      <c r="S3442" s="364"/>
      <c r="Z3442" s="609" t="s">
        <v>3845</v>
      </c>
      <c r="AA3442" s="609" t="s">
        <v>5672</v>
      </c>
      <c r="AB3442" s="369"/>
      <c r="AC3442" s="369"/>
      <c r="AD3442" s="369"/>
      <c r="AE3442" s="369"/>
    </row>
    <row r="3443" spans="1:31" s="288" customFormat="1" ht="18">
      <c r="A3443" s="2712"/>
      <c r="B3443" s="371"/>
      <c r="C3443" s="371" t="s">
        <v>2755</v>
      </c>
      <c r="D3443" s="371"/>
      <c r="E3443" s="2714"/>
      <c r="F3443" s="294"/>
      <c r="G3443" s="601"/>
      <c r="H3443" s="315"/>
      <c r="I3443" s="315"/>
      <c r="J3443" s="350"/>
      <c r="K3443" s="291"/>
      <c r="L3443" s="291"/>
      <c r="M3443" s="291"/>
      <c r="N3443" s="291"/>
      <c r="Q3443" s="290"/>
      <c r="R3443" s="290"/>
      <c r="S3443" s="364"/>
      <c r="Z3443" s="609" t="s">
        <v>3845</v>
      </c>
      <c r="AA3443" s="609" t="s">
        <v>5672</v>
      </c>
      <c r="AB3443" s="369"/>
      <c r="AC3443" s="369"/>
      <c r="AD3443" s="369"/>
      <c r="AE3443" s="369"/>
    </row>
    <row r="3444" spans="1:31" ht="18">
      <c r="A3444" s="2712">
        <v>2202</v>
      </c>
      <c r="B3444" s="371">
        <v>38</v>
      </c>
      <c r="C3444" s="2714" t="str">
        <f>VLOOKUP($A3444,Sheet_Items,2,0)</f>
        <v>应付账款</v>
      </c>
      <c r="D3444" s="371"/>
      <c r="E3444" s="2714" t="s">
        <v>2739</v>
      </c>
      <c r="F3444" s="294"/>
      <c r="G3444" s="305" t="str">
        <f>B3444&amp;" "&amp;C3444</f>
        <v>38 应付账款</v>
      </c>
      <c r="H3444" s="306"/>
      <c r="I3444" s="306"/>
      <c r="J3444" s="306" t="s">
        <v>2740</v>
      </c>
      <c r="K3444" s="341">
        <f>VLOOKUP($A3444,Sheet_Trialbal,6,0)</f>
        <v>60014311.829999998</v>
      </c>
      <c r="L3444" s="342"/>
      <c r="M3444" s="306" t="s">
        <v>2741</v>
      </c>
      <c r="N3444" s="341">
        <f>VLOOKUP($A3444,Sheet_Trialbal,10,0)</f>
        <v>35943625.149999999</v>
      </c>
      <c r="O3444" s="306"/>
      <c r="P3444" s="301"/>
      <c r="S3444" s="364"/>
      <c r="Z3444" s="609" t="s">
        <v>3848</v>
      </c>
      <c r="AA3444" s="609" t="s">
        <v>5673</v>
      </c>
    </row>
    <row r="3445" spans="1:31" ht="18">
      <c r="A3445" s="2712" t="s">
        <v>1416</v>
      </c>
      <c r="B3445" s="371">
        <v>1</v>
      </c>
      <c r="C3445" s="371"/>
      <c r="D3445" s="2714" t="str">
        <f>VLOOKUP($A3445,Sheet_NoteList,2,0)</f>
        <v>应付账款按性质列示</v>
      </c>
      <c r="E3445" s="2714" t="s">
        <v>2742</v>
      </c>
      <c r="F3445" s="294"/>
      <c r="G3445" s="307" t="str">
        <f>"("&amp;B3445&amp;")"&amp;D3445</f>
        <v>(1)应付账款按性质列示</v>
      </c>
      <c r="H3445" s="1515" t="str">
        <f>$A3445</f>
        <v>2202e</v>
      </c>
      <c r="I3445" s="343" t="s">
        <v>2743</v>
      </c>
      <c r="J3445" s="301" t="s">
        <v>2744</v>
      </c>
      <c r="K3445" s="2208">
        <f>H3454</f>
        <v>60014311.829999998</v>
      </c>
      <c r="L3445" s="345" t="str">
        <f>IF($I3445="适用",IF(ROUND(K$3444-K3445,2)=0,"F/S",ROUND(K$3444-K3445,2)),"#N/A")</f>
        <v>F/S</v>
      </c>
      <c r="M3445" s="301" t="s">
        <v>2745</v>
      </c>
      <c r="N3445" s="2208">
        <f>I3454</f>
        <v>35943625.149999999</v>
      </c>
      <c r="O3445" s="345" t="str">
        <f>IF($I3445="适用",IF(ROUND(N$3444-N3445,2)=0,"F/S",ROUND(N$3444-N3445,2)),"#N/A")</f>
        <v>F/S</v>
      </c>
      <c r="P3445" s="301"/>
      <c r="Q3445" s="290" t="str">
        <f>IF($I3445="不适用","",IF(ROUND(SUM($H$3448:$I$3454),2)=0,"请输入",""))</f>
        <v/>
      </c>
      <c r="S3445" s="364"/>
      <c r="Z3445" s="609" t="s">
        <v>3848</v>
      </c>
      <c r="AA3445" s="609" t="s">
        <v>5673</v>
      </c>
    </row>
    <row r="3446" spans="1:31" ht="0.75" customHeight="1" thickBot="1">
      <c r="A3446" s="2712"/>
      <c r="B3446" s="371"/>
      <c r="C3446" s="371"/>
      <c r="D3446" s="371"/>
      <c r="E3446" s="586"/>
      <c r="F3446" s="586"/>
      <c r="G3446" s="586" t="s">
        <v>3849</v>
      </c>
      <c r="H3446" s="371" t="s">
        <v>2747</v>
      </c>
      <c r="I3446" s="371" t="s">
        <v>2748</v>
      </c>
      <c r="J3446" s="291"/>
      <c r="K3446" s="291"/>
      <c r="L3446" s="291"/>
      <c r="M3446" s="291"/>
      <c r="S3446" s="364"/>
      <c r="Z3446" s="609" t="s">
        <v>3848</v>
      </c>
      <c r="AA3446" s="609" t="s">
        <v>5673</v>
      </c>
    </row>
    <row r="3447" spans="1:31" ht="18">
      <c r="A3447" s="2712"/>
      <c r="B3447" s="371"/>
      <c r="C3447" s="371"/>
      <c r="D3447" s="371"/>
      <c r="E3447" s="586" t="s">
        <v>2749</v>
      </c>
      <c r="F3447" s="363"/>
      <c r="G3447" s="2360" t="s">
        <v>47</v>
      </c>
      <c r="H3447" s="2223" t="str">
        <f>$V$2</f>
        <v>2019年12月31日</v>
      </c>
      <c r="I3447" s="2224" t="str">
        <f>$V$3</f>
        <v>2018年12月31日</v>
      </c>
      <c r="J3447" s="355" t="s">
        <v>5301</v>
      </c>
      <c r="K3447" s="291"/>
      <c r="L3447" s="291"/>
      <c r="M3447" s="291"/>
      <c r="S3447" s="364"/>
      <c r="Z3447" s="609" t="s">
        <v>3848</v>
      </c>
      <c r="AA3447" s="609" t="s">
        <v>5673</v>
      </c>
    </row>
    <row r="3448" spans="1:31" ht="18">
      <c r="A3448" s="2712"/>
      <c r="B3448" s="371">
        <v>101</v>
      </c>
      <c r="C3448" s="371"/>
      <c r="D3448" s="2714">
        <f t="shared" ref="D3448:D3454" si="400">IF(OR(G3448="*",G3448="",G3448=0),0,COUNTIF($G$3448:$G$3454,G3448))</f>
        <v>1</v>
      </c>
      <c r="E3448" s="2719">
        <v>1</v>
      </c>
      <c r="F3448" s="294"/>
      <c r="G3448" s="1472" t="s">
        <v>3850</v>
      </c>
      <c r="H3448" s="2273">
        <v>34046086.289999999</v>
      </c>
      <c r="I3448" s="2294">
        <v>15222236.810000001</v>
      </c>
      <c r="J3448" s="291"/>
      <c r="K3448" s="291"/>
      <c r="L3448" s="291"/>
      <c r="M3448" s="291"/>
      <c r="S3448" s="364"/>
      <c r="Z3448" s="609" t="s">
        <v>3848</v>
      </c>
      <c r="AA3448" s="609" t="s">
        <v>5673</v>
      </c>
    </row>
    <row r="3449" spans="1:31" ht="18">
      <c r="A3449" s="2712"/>
      <c r="B3449" s="371">
        <v>102</v>
      </c>
      <c r="C3449" s="371"/>
      <c r="D3449" s="2714">
        <f t="shared" si="400"/>
        <v>1</v>
      </c>
      <c r="E3449" s="2719">
        <v>1</v>
      </c>
      <c r="F3449" s="294"/>
      <c r="G3449" s="1472" t="s">
        <v>3851</v>
      </c>
      <c r="H3449" s="2273">
        <v>2916420.95</v>
      </c>
      <c r="I3449" s="2294">
        <v>10026549.810000001</v>
      </c>
      <c r="J3449" s="291"/>
      <c r="K3449" s="291"/>
      <c r="L3449" s="291"/>
      <c r="M3449" s="291"/>
      <c r="S3449" s="364"/>
      <c r="Z3449" s="609" t="s">
        <v>3848</v>
      </c>
      <c r="AA3449" s="609" t="s">
        <v>5673</v>
      </c>
    </row>
    <row r="3450" spans="1:31" ht="18">
      <c r="A3450" s="2712"/>
      <c r="B3450" s="371">
        <v>103</v>
      </c>
      <c r="C3450" s="371"/>
      <c r="D3450" s="2714">
        <f t="shared" si="400"/>
        <v>1</v>
      </c>
      <c r="E3450" s="2719">
        <v>1</v>
      </c>
      <c r="F3450" s="294"/>
      <c r="G3450" s="1472" t="s">
        <v>3852</v>
      </c>
      <c r="H3450" s="2273"/>
      <c r="I3450" s="2294"/>
      <c r="J3450" s="291"/>
      <c r="K3450" s="291"/>
      <c r="L3450" s="291"/>
      <c r="M3450" s="291"/>
      <c r="S3450" s="364"/>
      <c r="Z3450" s="609" t="s">
        <v>3848</v>
      </c>
      <c r="AA3450" s="609" t="s">
        <v>5673</v>
      </c>
    </row>
    <row r="3451" spans="1:31" ht="18">
      <c r="A3451" s="2712"/>
      <c r="B3451" s="371">
        <v>104</v>
      </c>
      <c r="C3451" s="371"/>
      <c r="D3451" s="2714">
        <f t="shared" si="400"/>
        <v>1</v>
      </c>
      <c r="E3451" s="2719">
        <v>1</v>
      </c>
      <c r="F3451" s="294"/>
      <c r="G3451" s="1472" t="s">
        <v>3853</v>
      </c>
      <c r="H3451" s="2273"/>
      <c r="I3451" s="2294"/>
      <c r="J3451" s="291"/>
      <c r="K3451" s="291"/>
      <c r="L3451" s="291"/>
      <c r="M3451" s="291"/>
      <c r="S3451" s="364"/>
      <c r="Z3451" s="609" t="s">
        <v>3848</v>
      </c>
      <c r="AA3451" s="609" t="s">
        <v>5673</v>
      </c>
    </row>
    <row r="3452" spans="1:31" ht="18">
      <c r="A3452" s="2712"/>
      <c r="B3452" s="371">
        <v>105</v>
      </c>
      <c r="C3452" s="371" t="s">
        <v>2791</v>
      </c>
      <c r="D3452" s="2714">
        <f t="shared" si="400"/>
        <v>1</v>
      </c>
      <c r="E3452" s="2719">
        <v>1</v>
      </c>
      <c r="F3452" s="294"/>
      <c r="G3452" s="2373" t="s">
        <v>7449</v>
      </c>
      <c r="H3452" s="2273">
        <f>22911135.29+AJE!P179+AJE!P189</f>
        <v>23051804.59</v>
      </c>
      <c r="I3452" s="2294">
        <v>10694838.529999999</v>
      </c>
      <c r="J3452" s="291"/>
      <c r="K3452" s="291"/>
      <c r="L3452" s="291"/>
      <c r="M3452" s="291"/>
      <c r="S3452" s="364"/>
      <c r="Z3452" s="609" t="s">
        <v>3848</v>
      </c>
      <c r="AA3452" s="609" t="s">
        <v>5673</v>
      </c>
    </row>
    <row r="3453" spans="1:31" ht="18">
      <c r="A3453" s="2712"/>
      <c r="B3453" s="371">
        <v>106</v>
      </c>
      <c r="C3453" s="371" t="s">
        <v>2791</v>
      </c>
      <c r="D3453" s="2714">
        <f t="shared" si="400"/>
        <v>0</v>
      </c>
      <c r="E3453" s="2719">
        <v>1</v>
      </c>
      <c r="F3453" s="294"/>
      <c r="G3453" s="2373" t="s">
        <v>2792</v>
      </c>
      <c r="H3453" s="2273"/>
      <c r="I3453" s="2294"/>
      <c r="J3453" s="291"/>
      <c r="K3453" s="291"/>
      <c r="L3453" s="291"/>
      <c r="M3453" s="291"/>
      <c r="S3453" s="364"/>
      <c r="Z3453" s="609" t="s">
        <v>3848</v>
      </c>
      <c r="AA3453" s="609" t="s">
        <v>5673</v>
      </c>
    </row>
    <row r="3454" spans="1:31" ht="18.75" thickBot="1">
      <c r="A3454" s="2712"/>
      <c r="B3454" s="371"/>
      <c r="C3454" s="371"/>
      <c r="D3454" s="2714">
        <f t="shared" si="400"/>
        <v>1</v>
      </c>
      <c r="E3454" s="2719" t="s">
        <v>2751</v>
      </c>
      <c r="F3454" s="294"/>
      <c r="G3454" s="374" t="s">
        <v>2752</v>
      </c>
      <c r="H3454" s="1476">
        <f>SUMPRODUCT($E3447:$E3453,H3447:H3453)</f>
        <v>60014311.829999998</v>
      </c>
      <c r="I3454" s="1477">
        <f>SUMPRODUCT($E3447:$E3453,I3447:I3453)</f>
        <v>35943625.149999999</v>
      </c>
      <c r="J3454" s="1531" t="str">
        <f ca="1">HYPERLINK("#'"&amp;$G$1&amp;"'!"&amp;ADDRESS(ROW(Notes!H3467),COLUMN(Notes!H3467),4),"* 请勿删除此行！点击往勾稽单元格，F5+Enter返回")</f>
        <v>* 请勿删除此行！点击往勾稽单元格，F5+Enter返回</v>
      </c>
      <c r="K3454" s="291"/>
      <c r="L3454" s="291"/>
      <c r="M3454" s="291"/>
      <c r="S3454" s="364"/>
      <c r="Z3454" s="609" t="s">
        <v>3848</v>
      </c>
      <c r="AA3454" s="609" t="s">
        <v>5673</v>
      </c>
      <c r="AC3454" s="369" t="s">
        <v>6571</v>
      </c>
    </row>
    <row r="3455" spans="1:31" ht="18">
      <c r="A3455" s="2712"/>
      <c r="B3455" s="371"/>
      <c r="C3455" s="371" t="s">
        <v>2755</v>
      </c>
      <c r="D3455" s="371"/>
      <c r="F3455" s="294"/>
      <c r="G3455" s="301"/>
      <c r="H3455" s="315"/>
      <c r="I3455" s="315"/>
      <c r="J3455" s="291"/>
      <c r="K3455" s="291"/>
      <c r="L3455" s="291"/>
      <c r="M3455" s="291"/>
      <c r="S3455" s="364"/>
      <c r="Z3455" s="609" t="s">
        <v>3848</v>
      </c>
      <c r="AA3455" s="609" t="s">
        <v>5673</v>
      </c>
    </row>
    <row r="3456" spans="1:31" ht="18">
      <c r="A3456" s="2712" t="s">
        <v>1427</v>
      </c>
      <c r="B3456" s="371">
        <v>2</v>
      </c>
      <c r="C3456" s="371"/>
      <c r="D3456" s="2714" t="str">
        <f>VLOOKUP($A3456,Sheet_NoteList,2,0)</f>
        <v>应付账款按账龄列示</v>
      </c>
      <c r="E3456" s="2714" t="s">
        <v>6529</v>
      </c>
      <c r="F3456" s="294"/>
      <c r="G3456" s="307" t="str">
        <f>"("&amp;B3456&amp;")"&amp;D3456</f>
        <v>(2)应付账款按账龄列示</v>
      </c>
      <c r="H3456" s="1515" t="str">
        <f>$A3456</f>
        <v>2202f</v>
      </c>
      <c r="I3456" s="343" t="s">
        <v>5561</v>
      </c>
      <c r="J3456" s="301" t="s">
        <v>5559</v>
      </c>
      <c r="K3456" s="2208">
        <f>H3464</f>
        <v>0</v>
      </c>
      <c r="L3456" s="345">
        <f>IF($I3456="适用",IF(ROUND(K$3444-K3456,2)=0,"F/S",ROUND(K$3444-K3456,2)),"#N/A")</f>
        <v>60014311.829999998</v>
      </c>
      <c r="M3456" s="301" t="s">
        <v>5560</v>
      </c>
      <c r="N3456" s="2208">
        <f>I3464</f>
        <v>0</v>
      </c>
      <c r="O3456" s="345">
        <f>IF($I3456="适用",IF(ROUND(N$3444-N3456,2)=0,"F/S",ROUND(N$3444-N3456,2)),"#N/A")</f>
        <v>35943625.149999999</v>
      </c>
      <c r="P3456" s="301"/>
      <c r="S3456" s="364"/>
      <c r="Z3456" s="609" t="s">
        <v>3848</v>
      </c>
      <c r="AA3456" s="609" t="s">
        <v>5673</v>
      </c>
    </row>
    <row r="3457" spans="1:27" ht="0.75" customHeight="1" thickBot="1">
      <c r="A3457" s="2712"/>
      <c r="B3457" s="371"/>
      <c r="C3457" s="371"/>
      <c r="D3457" s="371"/>
      <c r="F3457" s="371"/>
      <c r="G3457" s="371" t="s">
        <v>3854</v>
      </c>
      <c r="H3457" s="371" t="s">
        <v>2747</v>
      </c>
      <c r="I3457" s="371" t="s">
        <v>2748</v>
      </c>
      <c r="J3457" s="291"/>
      <c r="K3457" s="291"/>
      <c r="L3457" s="291"/>
      <c r="M3457" s="291"/>
      <c r="S3457" s="364"/>
      <c r="Z3457" s="609" t="s">
        <v>3848</v>
      </c>
      <c r="AA3457" s="609" t="s">
        <v>5673</v>
      </c>
    </row>
    <row r="3458" spans="1:27" ht="18">
      <c r="A3458" s="2712"/>
      <c r="B3458" s="371"/>
      <c r="C3458" s="371"/>
      <c r="D3458" s="371"/>
      <c r="E3458" s="2714" t="s">
        <v>2749</v>
      </c>
      <c r="F3458" s="294"/>
      <c r="G3458" s="1613" t="s">
        <v>1439</v>
      </c>
      <c r="H3458" s="1611" t="s">
        <v>2775</v>
      </c>
      <c r="I3458" s="1612" t="s">
        <v>2776</v>
      </c>
      <c r="J3458" s="355" t="s">
        <v>6174</v>
      </c>
      <c r="K3458" s="291"/>
      <c r="L3458" s="291"/>
      <c r="M3458" s="291"/>
      <c r="S3458" s="364"/>
      <c r="Z3458" s="609" t="s">
        <v>3848</v>
      </c>
      <c r="AA3458" s="609" t="s">
        <v>5673</v>
      </c>
    </row>
    <row r="3459" spans="1:27" ht="18">
      <c r="A3459" s="2712"/>
      <c r="B3459" s="371">
        <v>101</v>
      </c>
      <c r="C3459" s="371" t="s">
        <v>2791</v>
      </c>
      <c r="D3459" s="2714">
        <f t="shared" ref="D3459:D3464" si="401">IF(OR(G3459="*",G3459="",G3459=0),0,COUNTIF($G$3459:$G$3464,G3459))</f>
        <v>1</v>
      </c>
      <c r="E3459" s="2719">
        <v>1</v>
      </c>
      <c r="F3459" s="294"/>
      <c r="G3459" s="1614" t="s">
        <v>3855</v>
      </c>
      <c r="H3459" s="309"/>
      <c r="I3459" s="346"/>
      <c r="J3459" s="579"/>
      <c r="K3459" s="291"/>
      <c r="L3459" s="291"/>
      <c r="M3459" s="291"/>
      <c r="S3459" s="364"/>
      <c r="Z3459" s="609" t="s">
        <v>3848</v>
      </c>
      <c r="AA3459" s="609" t="s">
        <v>5673</v>
      </c>
    </row>
    <row r="3460" spans="1:27" ht="18">
      <c r="A3460" s="2712"/>
      <c r="B3460" s="371">
        <v>102</v>
      </c>
      <c r="C3460" s="371" t="s">
        <v>2791</v>
      </c>
      <c r="D3460" s="2714">
        <f t="shared" si="401"/>
        <v>1</v>
      </c>
      <c r="E3460" s="2719">
        <v>1</v>
      </c>
      <c r="F3460" s="294"/>
      <c r="G3460" s="1614" t="s">
        <v>3856</v>
      </c>
      <c r="H3460" s="309"/>
      <c r="I3460" s="346"/>
      <c r="J3460" s="291"/>
      <c r="K3460" s="291"/>
      <c r="L3460" s="291"/>
      <c r="M3460" s="291"/>
      <c r="S3460" s="364"/>
      <c r="Z3460" s="609" t="s">
        <v>3848</v>
      </c>
      <c r="AA3460" s="609" t="s">
        <v>5673</v>
      </c>
    </row>
    <row r="3461" spans="1:27" ht="18">
      <c r="A3461" s="2712"/>
      <c r="B3461" s="371">
        <v>103</v>
      </c>
      <c r="C3461" s="371" t="s">
        <v>2791</v>
      </c>
      <c r="D3461" s="2714">
        <f t="shared" si="401"/>
        <v>1</v>
      </c>
      <c r="E3461" s="2719">
        <v>1</v>
      </c>
      <c r="F3461" s="294"/>
      <c r="G3461" s="1614" t="s">
        <v>3857</v>
      </c>
      <c r="H3461" s="309"/>
      <c r="I3461" s="346"/>
      <c r="J3461" s="291"/>
      <c r="K3461" s="291"/>
      <c r="L3461" s="291"/>
      <c r="M3461" s="291"/>
      <c r="S3461" s="364"/>
      <c r="Z3461" s="609" t="s">
        <v>3848</v>
      </c>
      <c r="AA3461" s="609" t="s">
        <v>5673</v>
      </c>
    </row>
    <row r="3462" spans="1:27" ht="18">
      <c r="A3462" s="2712"/>
      <c r="B3462" s="371">
        <v>104</v>
      </c>
      <c r="C3462" s="371" t="s">
        <v>2791</v>
      </c>
      <c r="D3462" s="2714">
        <f t="shared" si="401"/>
        <v>1</v>
      </c>
      <c r="E3462" s="2719">
        <v>1</v>
      </c>
      <c r="F3462" s="294"/>
      <c r="G3462" s="1614" t="s">
        <v>3108</v>
      </c>
      <c r="H3462" s="309"/>
      <c r="I3462" s="346"/>
      <c r="J3462" s="291"/>
      <c r="K3462" s="291"/>
      <c r="L3462" s="291"/>
      <c r="M3462" s="291"/>
      <c r="S3462" s="364"/>
      <c r="Z3462" s="609" t="s">
        <v>3848</v>
      </c>
      <c r="AA3462" s="609" t="s">
        <v>5673</v>
      </c>
    </row>
    <row r="3463" spans="1:27" ht="18">
      <c r="A3463" s="2712"/>
      <c r="B3463" s="371">
        <v>105</v>
      </c>
      <c r="C3463" s="371" t="s">
        <v>2791</v>
      </c>
      <c r="D3463" s="2714">
        <f t="shared" si="401"/>
        <v>0</v>
      </c>
      <c r="E3463" s="2719">
        <v>1</v>
      </c>
      <c r="F3463" s="294"/>
      <c r="G3463" s="1614" t="s">
        <v>2792</v>
      </c>
      <c r="H3463" s="309"/>
      <c r="I3463" s="346"/>
      <c r="J3463" s="291"/>
      <c r="K3463" s="291"/>
      <c r="L3463" s="291"/>
      <c r="M3463" s="291"/>
      <c r="S3463" s="364"/>
      <c r="Z3463" s="609" t="s">
        <v>3848</v>
      </c>
      <c r="AA3463" s="609" t="s">
        <v>5673</v>
      </c>
    </row>
    <row r="3464" spans="1:27" ht="18.75" thickBot="1">
      <c r="A3464" s="2712"/>
      <c r="B3464" s="371"/>
      <c r="C3464" s="371"/>
      <c r="D3464" s="2714">
        <f t="shared" si="401"/>
        <v>1</v>
      </c>
      <c r="E3464" s="2719" t="s">
        <v>2751</v>
      </c>
      <c r="F3464" s="294"/>
      <c r="G3464" s="1527" t="s">
        <v>2752</v>
      </c>
      <c r="H3464" s="1525">
        <f>SUMPRODUCT($E3458:$E3463,H3458:H3463)</f>
        <v>0</v>
      </c>
      <c r="I3464" s="1526">
        <f>SUMPRODUCT($E3458:$E3463,I3458:I3463)</f>
        <v>0</v>
      </c>
      <c r="J3464" s="291"/>
      <c r="K3464" s="291"/>
      <c r="L3464" s="291"/>
      <c r="M3464" s="291"/>
      <c r="S3464" s="364"/>
      <c r="Z3464" s="609" t="s">
        <v>3848</v>
      </c>
      <c r="AA3464" s="609" t="s">
        <v>5673</v>
      </c>
    </row>
    <row r="3465" spans="1:27" ht="18.75" thickBot="1">
      <c r="A3465" s="2712"/>
      <c r="B3465" s="371"/>
      <c r="C3465" s="371" t="s">
        <v>2755</v>
      </c>
      <c r="D3465" s="371"/>
      <c r="F3465" s="294"/>
      <c r="G3465" s="301"/>
      <c r="H3465" s="527" t="s">
        <v>3002</v>
      </c>
      <c r="I3465" s="527" t="s">
        <v>3002</v>
      </c>
      <c r="J3465" s="291"/>
      <c r="K3465" s="291"/>
      <c r="L3465" s="291"/>
      <c r="M3465" s="291"/>
      <c r="S3465" s="364"/>
      <c r="Z3465" s="609" t="s">
        <v>3848</v>
      </c>
      <c r="AA3465" s="609" t="s">
        <v>5673</v>
      </c>
    </row>
    <row r="3466" spans="1:27" ht="18.75" thickTop="1">
      <c r="A3466" s="2712"/>
      <c r="B3466" s="371"/>
      <c r="C3466" s="371" t="s">
        <v>2565</v>
      </c>
      <c r="D3466" s="371"/>
      <c r="F3466" s="294"/>
      <c r="G3466" s="1559" t="s">
        <v>5365</v>
      </c>
      <c r="H3466" s="1548" t="str">
        <f>G3445</f>
        <v>(1)应付账款按性质列示</v>
      </c>
      <c r="I3466" s="1550"/>
      <c r="J3466" s="1551" t="s">
        <v>5366</v>
      </c>
      <c r="K3466" s="291"/>
      <c r="L3466" s="291"/>
      <c r="M3466" s="291"/>
      <c r="S3466" s="364"/>
      <c r="Z3466" s="609" t="s">
        <v>3848</v>
      </c>
      <c r="AA3466" s="609" t="s">
        <v>5673</v>
      </c>
    </row>
    <row r="3467" spans="1:27" ht="18">
      <c r="A3467" s="2712"/>
      <c r="B3467" s="371"/>
      <c r="C3467" s="371" t="s">
        <v>2565</v>
      </c>
      <c r="D3467" s="371"/>
      <c r="F3467" s="294"/>
      <c r="G3467" s="316" t="str">
        <f>"注释A:"&amp; G3454</f>
        <v>注释A:合       计</v>
      </c>
      <c r="H3467" s="2250">
        <f ca="1">HYPERLINK("#'"&amp;$G$1&amp;"'!"&amp;ADDRESS(ROW(Notes!H3454),COLUMN(Notes!H3454),4),H3454)</f>
        <v>60014311.829999998</v>
      </c>
      <c r="I3467" s="2250">
        <f ca="1">HYPERLINK("#'"&amp;$G$1&amp;"'!"&amp;ADDRESS(ROW(Notes!I3454),COLUMN(Notes!I3454),4),I3454)</f>
        <v>35943625.149999999</v>
      </c>
      <c r="J3467" s="2630" t="str">
        <f>H3445</f>
        <v>2202e</v>
      </c>
      <c r="K3467" s="291"/>
      <c r="L3467" s="291"/>
      <c r="M3467" s="291"/>
      <c r="S3467" s="364"/>
      <c r="Z3467" s="609" t="s">
        <v>3848</v>
      </c>
      <c r="AA3467" s="609" t="s">
        <v>5673</v>
      </c>
    </row>
    <row r="3468" spans="1:27" ht="18">
      <c r="A3468" s="2712"/>
      <c r="B3468" s="371"/>
      <c r="C3468" s="371" t="s">
        <v>2565</v>
      </c>
      <c r="D3468" s="371"/>
      <c r="F3468" s="294"/>
      <c r="G3468" s="316" t="str">
        <f>"本注释B:"&amp; G3464</f>
        <v>本注释B:合       计</v>
      </c>
      <c r="H3468" s="456">
        <f>H3464</f>
        <v>0</v>
      </c>
      <c r="I3468" s="456">
        <f>I3464</f>
        <v>0</v>
      </c>
      <c r="J3468" s="2636" t="s">
        <v>1427</v>
      </c>
      <c r="K3468" s="291"/>
      <c r="L3468" s="291"/>
      <c r="M3468" s="291"/>
      <c r="S3468" s="364"/>
      <c r="Z3468" s="609" t="s">
        <v>3848</v>
      </c>
      <c r="AA3468" s="609" t="s">
        <v>5673</v>
      </c>
    </row>
    <row r="3469" spans="1:27" ht="18.75" thickBot="1">
      <c r="A3469" s="2712"/>
      <c r="B3469" s="371"/>
      <c r="C3469" s="371" t="s">
        <v>2565</v>
      </c>
      <c r="D3469" s="371"/>
      <c r="F3469" s="294"/>
      <c r="G3469" s="1560" t="s">
        <v>2757</v>
      </c>
      <c r="H3469" s="1529">
        <f ca="1">IF(AND(H3467="",H3468=""),"",ROUND(H3467-H3468,2))</f>
        <v>60014311.829999998</v>
      </c>
      <c r="I3469" s="1529">
        <f ca="1">IF(AND(I3467="",I3468=""),"",ROUND(I3467-I3468,2))</f>
        <v>35943625.149999999</v>
      </c>
      <c r="J3469" s="1553"/>
      <c r="K3469" s="291"/>
      <c r="L3469" s="291"/>
      <c r="M3469" s="291"/>
      <c r="S3469" s="364"/>
      <c r="Z3469" s="609" t="s">
        <v>3848</v>
      </c>
      <c r="AA3469" s="609" t="s">
        <v>5673</v>
      </c>
    </row>
    <row r="3470" spans="1:27" ht="18.75" thickTop="1">
      <c r="A3470" s="2712"/>
      <c r="B3470" s="371"/>
      <c r="C3470" s="371" t="s">
        <v>2565</v>
      </c>
      <c r="D3470" s="371"/>
      <c r="F3470" s="294"/>
      <c r="G3470" s="354"/>
      <c r="H3470" s="459" t="str">
        <f ca="1">IF(OR(H3469=0,H3469=""),"√","？")</f>
        <v>？</v>
      </c>
      <c r="I3470" s="459" t="str">
        <f ca="1">IF(OR(I3469=0,I3469=""),"√","？")</f>
        <v>？</v>
      </c>
      <c r="J3470" s="354"/>
      <c r="K3470" s="291"/>
      <c r="L3470" s="291"/>
      <c r="M3470" s="291"/>
      <c r="S3470" s="364"/>
      <c r="Z3470" s="609" t="s">
        <v>3848</v>
      </c>
      <c r="AA3470" s="609" t="s">
        <v>5673</v>
      </c>
    </row>
    <row r="3471" spans="1:27" ht="18">
      <c r="A3471" s="2712"/>
      <c r="B3471" s="371"/>
      <c r="C3471" s="371" t="s">
        <v>2565</v>
      </c>
      <c r="D3471" s="371"/>
      <c r="F3471" s="294"/>
      <c r="G3471" s="460" t="s">
        <v>2759</v>
      </c>
      <c r="H3471" s="461"/>
      <c r="I3471" s="461"/>
      <c r="J3471" s="354"/>
      <c r="K3471" s="345">
        <f ca="1">SUMIF($H$3470:$J$3470,"&lt;&gt;√",$H$3469:$J$3469)</f>
        <v>95957936.980000004</v>
      </c>
      <c r="L3471" s="475" t="str">
        <f ca="1">IF(OR(K3471=0,K3471=""),"√","？")</f>
        <v>？</v>
      </c>
      <c r="M3471" s="291"/>
      <c r="S3471" s="364"/>
      <c r="Z3471" s="609" t="s">
        <v>3848</v>
      </c>
      <c r="AA3471" s="609" t="s">
        <v>5673</v>
      </c>
    </row>
    <row r="3472" spans="1:27" ht="18">
      <c r="A3472" s="2712"/>
      <c r="B3472" s="371"/>
      <c r="C3472" s="371" t="s">
        <v>2565</v>
      </c>
      <c r="D3472" s="371"/>
      <c r="F3472" s="294"/>
      <c r="G3472" s="354"/>
      <c r="H3472" s="461"/>
      <c r="I3472" s="461"/>
      <c r="J3472" s="354"/>
      <c r="K3472" s="291"/>
      <c r="L3472" s="291"/>
      <c r="M3472" s="291"/>
      <c r="S3472" s="364"/>
      <c r="Z3472" s="609" t="s">
        <v>3848</v>
      </c>
      <c r="AA3472" s="609" t="s">
        <v>5673</v>
      </c>
    </row>
    <row r="3473" spans="1:27" ht="24">
      <c r="A3473" s="2712" t="s">
        <v>1421</v>
      </c>
      <c r="B3473" s="371">
        <v>3</v>
      </c>
      <c r="C3473" s="371"/>
      <c r="D3473" s="2714" t="str">
        <f>VLOOKUP($A3473,Sheet_NoteList,2,0)</f>
        <v>期末账龄超过1年的重要应付账款</v>
      </c>
      <c r="E3473" s="2714" t="s">
        <v>2742</v>
      </c>
      <c r="F3473" s="294"/>
      <c r="G3473" s="372" t="str">
        <f>"("&amp;B3473&amp;")"&amp;D3473</f>
        <v>(3)期末账龄超过1年的重要应付账款</v>
      </c>
      <c r="H3473" s="1515" t="str">
        <f>$A3473</f>
        <v>2202a</v>
      </c>
      <c r="I3473" s="343" t="s">
        <v>2743</v>
      </c>
      <c r="J3473" s="301" t="s">
        <v>2744</v>
      </c>
      <c r="K3473" s="2208">
        <f>H3481</f>
        <v>0</v>
      </c>
      <c r="L3473" s="345" t="str">
        <f>IF($I3473="适用",IF(ROUND(K3455-K3473,2)&gt;=0,"","#Logical!"),"#N/A")</f>
        <v/>
      </c>
      <c r="M3473" s="301"/>
      <c r="N3473" s="3083"/>
      <c r="O3473" s="315"/>
      <c r="P3473" s="301"/>
      <c r="Q3473" s="290" t="str">
        <f>IF($I3473="不适用","",IF(ROUND(SUM($H$3476:$I$3481),2)=0,"请输入",""))</f>
        <v>请输入</v>
      </c>
      <c r="S3473" s="364"/>
      <c r="Z3473" s="609" t="s">
        <v>3848</v>
      </c>
      <c r="AA3473" s="609" t="s">
        <v>5673</v>
      </c>
    </row>
    <row r="3474" spans="1:27" ht="0.75" customHeight="1" thickBot="1">
      <c r="A3474" s="2712"/>
      <c r="B3474" s="371"/>
      <c r="C3474" s="371"/>
      <c r="D3474" s="371"/>
      <c r="E3474" s="586"/>
      <c r="F3474" s="586"/>
      <c r="G3474" s="586" t="s">
        <v>3858</v>
      </c>
      <c r="H3474" s="371" t="s">
        <v>2747</v>
      </c>
      <c r="I3474" s="371" t="s">
        <v>3859</v>
      </c>
      <c r="K3474" s="291"/>
      <c r="L3474" s="291"/>
      <c r="M3474" s="291"/>
      <c r="N3474" s="291"/>
      <c r="S3474" s="364"/>
      <c r="Z3474" s="609" t="s">
        <v>3848</v>
      </c>
      <c r="AA3474" s="609" t="s">
        <v>5673</v>
      </c>
    </row>
    <row r="3475" spans="1:27" ht="24">
      <c r="A3475" s="2712"/>
      <c r="B3475" s="371"/>
      <c r="C3475" s="371"/>
      <c r="D3475" s="371"/>
      <c r="E3475" s="586" t="s">
        <v>2749</v>
      </c>
      <c r="F3475" s="363"/>
      <c r="G3475" s="2360" t="s">
        <v>47</v>
      </c>
      <c r="H3475" s="2473" t="str">
        <f>$V$2</f>
        <v>2019年12月31日</v>
      </c>
      <c r="I3475" s="2371" t="s">
        <v>3860</v>
      </c>
      <c r="J3475" s="355" t="s">
        <v>5301</v>
      </c>
      <c r="K3475" s="291"/>
      <c r="L3475" s="291"/>
      <c r="M3475" s="291"/>
      <c r="N3475" s="291"/>
      <c r="S3475" s="364"/>
      <c r="Z3475" s="609" t="s">
        <v>3848</v>
      </c>
      <c r="AA3475" s="609" t="s">
        <v>5673</v>
      </c>
    </row>
    <row r="3476" spans="1:27" ht="18">
      <c r="A3476" s="2712"/>
      <c r="B3476" s="371">
        <v>101</v>
      </c>
      <c r="C3476" s="371" t="s">
        <v>2791</v>
      </c>
      <c r="D3476" s="2714">
        <f t="shared" ref="D3476:D3481" si="402">IF(OR(G3476="*",G3476="",G3476=0),0,COUNTIF($G$3476:$G$3481,G3476))</f>
        <v>0</v>
      </c>
      <c r="E3476" s="2719">
        <v>1</v>
      </c>
      <c r="F3476" s="294"/>
      <c r="G3476" s="2373" t="s">
        <v>2792</v>
      </c>
      <c r="H3476" s="2273"/>
      <c r="I3476" s="2274"/>
      <c r="K3476" s="291"/>
      <c r="L3476" s="291"/>
      <c r="M3476" s="291"/>
      <c r="N3476" s="291"/>
      <c r="S3476" s="364"/>
      <c r="Z3476" s="609" t="s">
        <v>3848</v>
      </c>
      <c r="AA3476" s="609" t="s">
        <v>5673</v>
      </c>
    </row>
    <row r="3477" spans="1:27" ht="18">
      <c r="A3477" s="2712"/>
      <c r="B3477" s="371">
        <v>102</v>
      </c>
      <c r="C3477" s="371" t="s">
        <v>2791</v>
      </c>
      <c r="D3477" s="2714">
        <f t="shared" si="402"/>
        <v>0</v>
      </c>
      <c r="E3477" s="2719">
        <v>1</v>
      </c>
      <c r="F3477" s="294"/>
      <c r="G3477" s="2373" t="s">
        <v>2792</v>
      </c>
      <c r="H3477" s="2273"/>
      <c r="I3477" s="2274"/>
      <c r="K3477" s="291"/>
      <c r="L3477" s="291"/>
      <c r="M3477" s="291"/>
      <c r="N3477" s="291"/>
      <c r="S3477" s="364"/>
      <c r="Z3477" s="609" t="s">
        <v>3848</v>
      </c>
      <c r="AA3477" s="609" t="s">
        <v>5673</v>
      </c>
    </row>
    <row r="3478" spans="1:27" ht="18">
      <c r="A3478" s="2712"/>
      <c r="B3478" s="371">
        <v>103</v>
      </c>
      <c r="C3478" s="371" t="s">
        <v>2791</v>
      </c>
      <c r="D3478" s="2714">
        <f t="shared" si="402"/>
        <v>0</v>
      </c>
      <c r="E3478" s="2719">
        <v>1</v>
      </c>
      <c r="F3478" s="294"/>
      <c r="G3478" s="2373" t="s">
        <v>2792</v>
      </c>
      <c r="H3478" s="2273"/>
      <c r="I3478" s="2274"/>
      <c r="K3478" s="291"/>
      <c r="L3478" s="291"/>
      <c r="M3478" s="291"/>
      <c r="N3478" s="291"/>
      <c r="S3478" s="364"/>
      <c r="Z3478" s="609" t="s">
        <v>3848</v>
      </c>
      <c r="AA3478" s="609" t="s">
        <v>5673</v>
      </c>
    </row>
    <row r="3479" spans="1:27" ht="18">
      <c r="A3479" s="2712"/>
      <c r="B3479" s="371">
        <v>104</v>
      </c>
      <c r="C3479" s="371" t="s">
        <v>2791</v>
      </c>
      <c r="D3479" s="2714">
        <f t="shared" si="402"/>
        <v>0</v>
      </c>
      <c r="E3479" s="2719">
        <v>1</v>
      </c>
      <c r="F3479" s="294"/>
      <c r="G3479" s="2373" t="s">
        <v>2792</v>
      </c>
      <c r="H3479" s="2273"/>
      <c r="I3479" s="2274"/>
      <c r="K3479" s="291"/>
      <c r="L3479" s="291"/>
      <c r="M3479" s="291"/>
      <c r="N3479" s="291"/>
      <c r="S3479" s="364"/>
      <c r="Z3479" s="609" t="s">
        <v>3848</v>
      </c>
      <c r="AA3479" s="609" t="s">
        <v>5673</v>
      </c>
    </row>
    <row r="3480" spans="1:27" ht="18">
      <c r="A3480" s="2712"/>
      <c r="B3480" s="371">
        <v>105</v>
      </c>
      <c r="C3480" s="371" t="s">
        <v>2791</v>
      </c>
      <c r="D3480" s="2714">
        <f t="shared" si="402"/>
        <v>0</v>
      </c>
      <c r="E3480" s="2719">
        <v>1</v>
      </c>
      <c r="F3480" s="294"/>
      <c r="G3480" s="2373" t="s">
        <v>2792</v>
      </c>
      <c r="H3480" s="2273"/>
      <c r="I3480" s="2274"/>
      <c r="K3480" s="291"/>
      <c r="L3480" s="291"/>
      <c r="M3480" s="291"/>
      <c r="N3480" s="291"/>
      <c r="S3480" s="364"/>
      <c r="Z3480" s="609" t="s">
        <v>3848</v>
      </c>
      <c r="AA3480" s="609" t="s">
        <v>5673</v>
      </c>
    </row>
    <row r="3481" spans="1:27" ht="18.75" thickBot="1">
      <c r="A3481" s="2712"/>
      <c r="B3481" s="371"/>
      <c r="C3481" s="371"/>
      <c r="D3481" s="2714">
        <f t="shared" si="402"/>
        <v>1</v>
      </c>
      <c r="E3481" s="2719" t="s">
        <v>2751</v>
      </c>
      <c r="F3481" s="294"/>
      <c r="G3481" s="374" t="s">
        <v>2752</v>
      </c>
      <c r="H3481" s="1476">
        <f>SUMPRODUCT($E3475:$E3480,H3475:H3480)</f>
        <v>0</v>
      </c>
      <c r="I3481" s="2258"/>
      <c r="K3481" s="291"/>
      <c r="L3481" s="291"/>
      <c r="M3481" s="291"/>
      <c r="N3481" s="291"/>
      <c r="S3481" s="364"/>
      <c r="Z3481" s="609" t="s">
        <v>3848</v>
      </c>
      <c r="AA3481" s="609" t="s">
        <v>5673</v>
      </c>
    </row>
    <row r="3482" spans="1:27" ht="18">
      <c r="A3482" s="2712"/>
      <c r="B3482" s="371"/>
      <c r="C3482" s="371" t="s">
        <v>2755</v>
      </c>
      <c r="D3482" s="371"/>
      <c r="F3482" s="294"/>
      <c r="G3482" s="301"/>
      <c r="H3482" s="315"/>
      <c r="I3482" s="393"/>
      <c r="J3482" s="350"/>
      <c r="K3482" s="291"/>
      <c r="L3482" s="291"/>
      <c r="M3482" s="291"/>
      <c r="N3482" s="291"/>
      <c r="S3482" s="364"/>
      <c r="Z3482" s="609" t="s">
        <v>3848</v>
      </c>
      <c r="AA3482" s="609" t="s">
        <v>5673</v>
      </c>
    </row>
    <row r="3483" spans="1:27" ht="18">
      <c r="A3483" s="2712" t="s">
        <v>1437</v>
      </c>
      <c r="B3483" s="371">
        <v>4</v>
      </c>
      <c r="C3483" s="371"/>
      <c r="D3483" s="2714" t="str">
        <f>VLOOKUP($A3483,Sheet_NoteList,2,0)</f>
        <v>外币应付账款</v>
      </c>
      <c r="E3483" s="2714" t="s">
        <v>6529</v>
      </c>
      <c r="F3483" s="294"/>
      <c r="G3483" s="307" t="str">
        <f>"("&amp;B3483&amp;")"&amp;D3483</f>
        <v>(4)外币应付账款</v>
      </c>
      <c r="H3483" s="1515" t="str">
        <f>$A3483</f>
        <v>2202d</v>
      </c>
      <c r="I3483" s="343" t="s">
        <v>5576</v>
      </c>
      <c r="J3483" s="301" t="s">
        <v>5575</v>
      </c>
      <c r="K3483" s="2208">
        <f>J3491</f>
        <v>0</v>
      </c>
      <c r="L3483" s="345"/>
      <c r="M3483" s="301"/>
      <c r="N3483" s="391"/>
      <c r="O3483" s="345" t="str">
        <f>IF($I3483="适用",IF(ROUND(N$3444-N3483,2)&gt;=0,"","#Logical!"),"#N/A")</f>
        <v/>
      </c>
      <c r="P3483" s="301"/>
      <c r="Q3483" s="290" t="str">
        <f>IF($I3483="不适用","",IF(ROUND(SUM($H$3486:$J$3491),2)=0,"请输入",""))</f>
        <v>请输入</v>
      </c>
      <c r="S3483" s="364"/>
      <c r="Z3483" s="609" t="s">
        <v>3848</v>
      </c>
      <c r="AA3483" s="609" t="s">
        <v>5673</v>
      </c>
    </row>
    <row r="3484" spans="1:27" ht="0.75" customHeight="1" thickBot="1">
      <c r="A3484" s="2712"/>
      <c r="B3484" s="371"/>
      <c r="C3484" s="371"/>
      <c r="D3484" s="371"/>
      <c r="F3484" s="304"/>
      <c r="G3484" s="304" t="s">
        <v>3861</v>
      </c>
      <c r="H3484" s="304" t="s">
        <v>3073</v>
      </c>
      <c r="I3484" s="304" t="s">
        <v>3074</v>
      </c>
      <c r="J3484" s="304" t="s">
        <v>3075</v>
      </c>
      <c r="K3484" s="387"/>
      <c r="L3484" s="291"/>
      <c r="M3484" s="291"/>
      <c r="N3484" s="291"/>
      <c r="O3484" s="291"/>
      <c r="P3484" s="291"/>
      <c r="Q3484" s="367"/>
      <c r="R3484" s="367"/>
      <c r="S3484" s="364"/>
      <c r="Z3484" s="609" t="s">
        <v>3848</v>
      </c>
      <c r="AA3484" s="609" t="s">
        <v>5673</v>
      </c>
    </row>
    <row r="3485" spans="1:27" ht="24">
      <c r="A3485" s="2712"/>
      <c r="B3485" s="371"/>
      <c r="C3485" s="371"/>
      <c r="D3485" s="371"/>
      <c r="E3485" s="2714" t="s">
        <v>2749</v>
      </c>
      <c r="F3485" s="294"/>
      <c r="G3485" s="1622" t="s">
        <v>1371</v>
      </c>
      <c r="H3485" s="1620" t="s">
        <v>3076</v>
      </c>
      <c r="I3485" s="1620" t="s">
        <v>3077</v>
      </c>
      <c r="J3485" s="1621" t="s">
        <v>3078</v>
      </c>
      <c r="K3485" s="355" t="s">
        <v>5602</v>
      </c>
      <c r="L3485" s="291"/>
      <c r="M3485" s="291"/>
      <c r="N3485" s="291"/>
      <c r="O3485" s="291"/>
      <c r="P3485" s="291"/>
      <c r="Q3485" s="367"/>
      <c r="R3485" s="367"/>
      <c r="S3485" s="364"/>
      <c r="Z3485" s="609" t="s">
        <v>3848</v>
      </c>
      <c r="AA3485" s="609" t="s">
        <v>5673</v>
      </c>
    </row>
    <row r="3486" spans="1:27" ht="18">
      <c r="A3486" s="2712"/>
      <c r="B3486" s="371">
        <v>101</v>
      </c>
      <c r="C3486" s="371" t="s">
        <v>2791</v>
      </c>
      <c r="D3486" s="2714">
        <f t="shared" ref="D3486:D3491" si="403">IF(OR(G3486="*",G3486="",G3486=0),0,COUNTIF($G$3486:$G$3491,G3486))</f>
        <v>1</v>
      </c>
      <c r="E3486" s="2719">
        <v>1</v>
      </c>
      <c r="F3486" s="294"/>
      <c r="G3486" s="1623" t="s">
        <v>3079</v>
      </c>
      <c r="H3486" s="309"/>
      <c r="I3486" s="360"/>
      <c r="J3486" s="346"/>
      <c r="K3486" s="355" t="s">
        <v>5362</v>
      </c>
      <c r="L3486" s="1520" t="s">
        <v>5363</v>
      </c>
      <c r="M3486" s="291"/>
      <c r="N3486" s="291"/>
      <c r="O3486" s="291"/>
      <c r="P3486" s="291"/>
      <c r="Q3486" s="367"/>
      <c r="R3486" s="367"/>
      <c r="S3486" s="364"/>
      <c r="Z3486" s="609" t="s">
        <v>3848</v>
      </c>
      <c r="AA3486" s="609" t="s">
        <v>5673</v>
      </c>
    </row>
    <row r="3487" spans="1:27" ht="18">
      <c r="A3487" s="2712"/>
      <c r="B3487" s="371">
        <v>102</v>
      </c>
      <c r="C3487" s="371" t="s">
        <v>2791</v>
      </c>
      <c r="D3487" s="2714">
        <f t="shared" si="403"/>
        <v>1</v>
      </c>
      <c r="E3487" s="2719">
        <v>1</v>
      </c>
      <c r="F3487" s="294"/>
      <c r="G3487" s="1623" t="s">
        <v>3080</v>
      </c>
      <c r="H3487" s="309"/>
      <c r="I3487" s="360"/>
      <c r="J3487" s="346"/>
      <c r="K3487" s="291"/>
      <c r="L3487" s="291"/>
      <c r="M3487" s="291"/>
      <c r="N3487" s="291"/>
      <c r="O3487" s="291"/>
      <c r="P3487" s="291"/>
      <c r="Q3487" s="367"/>
      <c r="R3487" s="367"/>
      <c r="S3487" s="364"/>
      <c r="Z3487" s="609" t="s">
        <v>3848</v>
      </c>
      <c r="AA3487" s="609" t="s">
        <v>5673</v>
      </c>
    </row>
    <row r="3488" spans="1:27" ht="18">
      <c r="A3488" s="2712"/>
      <c r="B3488" s="371">
        <v>103</v>
      </c>
      <c r="C3488" s="371" t="s">
        <v>2791</v>
      </c>
      <c r="D3488" s="2714">
        <f t="shared" si="403"/>
        <v>1</v>
      </c>
      <c r="E3488" s="2719">
        <v>1</v>
      </c>
      <c r="F3488" s="294"/>
      <c r="G3488" s="1623" t="s">
        <v>3081</v>
      </c>
      <c r="H3488" s="309"/>
      <c r="I3488" s="360"/>
      <c r="J3488" s="346"/>
      <c r="K3488" s="291"/>
      <c r="L3488" s="291"/>
      <c r="M3488" s="291"/>
      <c r="N3488" s="291"/>
      <c r="O3488" s="291"/>
      <c r="P3488" s="291"/>
      <c r="Q3488" s="367"/>
      <c r="R3488" s="367"/>
      <c r="S3488" s="364"/>
      <c r="Z3488" s="609" t="s">
        <v>3848</v>
      </c>
      <c r="AA3488" s="609" t="s">
        <v>5673</v>
      </c>
    </row>
    <row r="3489" spans="1:27" ht="18">
      <c r="A3489" s="2712"/>
      <c r="B3489" s="371">
        <v>104</v>
      </c>
      <c r="C3489" s="371" t="s">
        <v>2791</v>
      </c>
      <c r="D3489" s="2714">
        <f t="shared" si="403"/>
        <v>0</v>
      </c>
      <c r="E3489" s="2719">
        <v>1</v>
      </c>
      <c r="F3489" s="294"/>
      <c r="G3489" s="1623" t="s">
        <v>2792</v>
      </c>
      <c r="H3489" s="309"/>
      <c r="I3489" s="360"/>
      <c r="J3489" s="346"/>
      <c r="K3489" s="291"/>
      <c r="L3489" s="291"/>
      <c r="M3489" s="291"/>
      <c r="N3489" s="291"/>
      <c r="O3489" s="291"/>
      <c r="P3489" s="291"/>
      <c r="Q3489" s="367"/>
      <c r="R3489" s="367"/>
      <c r="S3489" s="364"/>
      <c r="Z3489" s="609" t="s">
        <v>3848</v>
      </c>
      <c r="AA3489" s="609" t="s">
        <v>5673</v>
      </c>
    </row>
    <row r="3490" spans="1:27" ht="18">
      <c r="A3490" s="2712"/>
      <c r="B3490" s="371">
        <v>105</v>
      </c>
      <c r="C3490" s="371" t="s">
        <v>2791</v>
      </c>
      <c r="D3490" s="2714">
        <f t="shared" si="403"/>
        <v>0</v>
      </c>
      <c r="E3490" s="2719">
        <v>1</v>
      </c>
      <c r="F3490" s="294"/>
      <c r="G3490" s="1623" t="s">
        <v>2792</v>
      </c>
      <c r="H3490" s="309"/>
      <c r="I3490" s="360"/>
      <c r="J3490" s="346"/>
      <c r="K3490" s="291"/>
      <c r="L3490" s="291"/>
      <c r="M3490" s="291"/>
      <c r="N3490" s="291"/>
      <c r="O3490" s="291"/>
      <c r="P3490" s="291"/>
      <c r="Q3490" s="367"/>
      <c r="R3490" s="367"/>
      <c r="S3490" s="364"/>
      <c r="Z3490" s="609" t="s">
        <v>3848</v>
      </c>
      <c r="AA3490" s="609" t="s">
        <v>5673</v>
      </c>
    </row>
    <row r="3491" spans="1:27" ht="18.75" thickBot="1">
      <c r="A3491" s="2712"/>
      <c r="B3491" s="371"/>
      <c r="C3491" s="371"/>
      <c r="D3491" s="2714">
        <f t="shared" si="403"/>
        <v>1</v>
      </c>
      <c r="E3491" s="2719" t="s">
        <v>3032</v>
      </c>
      <c r="F3491" s="294"/>
      <c r="G3491" s="1527" t="s">
        <v>2752</v>
      </c>
      <c r="H3491" s="1523"/>
      <c r="I3491" s="1524"/>
      <c r="J3491" s="1526">
        <f>SUMPRODUCT($E3485:$E3490,J3485:J3490)</f>
        <v>0</v>
      </c>
      <c r="K3491" s="291"/>
      <c r="L3491" s="291"/>
      <c r="M3491" s="291"/>
      <c r="N3491" s="291"/>
      <c r="O3491" s="291"/>
      <c r="P3491" s="291"/>
      <c r="Q3491" s="367"/>
      <c r="R3491" s="367"/>
      <c r="S3491" s="364"/>
      <c r="Z3491" s="609" t="s">
        <v>3848</v>
      </c>
      <c r="AA3491" s="609" t="s">
        <v>5673</v>
      </c>
    </row>
    <row r="3492" spans="1:27" ht="18">
      <c r="A3492" s="2712"/>
      <c r="B3492" s="371"/>
      <c r="C3492" s="371" t="s">
        <v>2755</v>
      </c>
      <c r="D3492" s="371"/>
      <c r="F3492" s="294"/>
      <c r="G3492" s="301"/>
      <c r="H3492" s="315"/>
      <c r="I3492" s="393"/>
      <c r="J3492" s="315"/>
      <c r="K3492" s="291"/>
      <c r="L3492" s="291"/>
      <c r="M3492" s="291"/>
      <c r="N3492" s="291"/>
      <c r="O3492" s="291"/>
      <c r="P3492" s="291"/>
      <c r="Q3492" s="367"/>
      <c r="R3492" s="367"/>
      <c r="S3492" s="364"/>
      <c r="Z3492" s="609" t="s">
        <v>3848</v>
      </c>
      <c r="AA3492" s="609" t="s">
        <v>5673</v>
      </c>
    </row>
    <row r="3493" spans="1:27" ht="24">
      <c r="A3493" s="2712" t="s">
        <v>1432</v>
      </c>
      <c r="B3493" s="371">
        <v>5</v>
      </c>
      <c r="C3493" s="371"/>
      <c r="D3493" s="2714" t="str">
        <f>VLOOKUP($A3493,Sheet_NoteList,2,0)</f>
        <v>关联方应收应付款项——应付账款</v>
      </c>
      <c r="E3493" s="2714" t="s">
        <v>6529</v>
      </c>
      <c r="F3493" s="294"/>
      <c r="G3493" s="372" t="str">
        <f>"("&amp;B3493&amp;")"&amp;D3493</f>
        <v>(5)关联方应收应付款项——应付账款</v>
      </c>
      <c r="H3493" s="1515" t="str">
        <f>$A3493</f>
        <v>2202c</v>
      </c>
      <c r="I3493" s="343" t="s">
        <v>5610</v>
      </c>
      <c r="J3493" s="301"/>
      <c r="K3493" s="3083"/>
      <c r="L3493" s="315"/>
      <c r="M3493" s="301"/>
      <c r="N3493" s="3083"/>
      <c r="O3493" s="315"/>
      <c r="P3493" s="301"/>
      <c r="Q3493" s="290" t="str">
        <f>IF($I3493="不适用","",IF(ROUND(SUM($H$3496:$I$3501),2)=0,"请输入",""))</f>
        <v>请输入</v>
      </c>
      <c r="S3493" s="364"/>
      <c r="Z3493" s="609" t="s">
        <v>3848</v>
      </c>
      <c r="AA3493" s="609" t="s">
        <v>5673</v>
      </c>
    </row>
    <row r="3494" spans="1:27" ht="0.75" customHeight="1" thickBot="1">
      <c r="A3494" s="2712"/>
      <c r="B3494" s="371"/>
      <c r="C3494" s="371"/>
      <c r="D3494" s="371"/>
      <c r="F3494" s="304"/>
      <c r="G3494" s="304" t="s">
        <v>3862</v>
      </c>
      <c r="H3494" s="304" t="s">
        <v>2747</v>
      </c>
      <c r="I3494" s="304" t="s">
        <v>2748</v>
      </c>
      <c r="J3494" s="291"/>
      <c r="K3494" s="291"/>
      <c r="L3494" s="291"/>
      <c r="M3494" s="291"/>
      <c r="S3494" s="364"/>
      <c r="Z3494" s="609" t="s">
        <v>3848</v>
      </c>
      <c r="AA3494" s="609" t="s">
        <v>5673</v>
      </c>
    </row>
    <row r="3495" spans="1:27" ht="18">
      <c r="A3495" s="2712"/>
      <c r="B3495" s="371"/>
      <c r="C3495" s="371"/>
      <c r="D3495" s="371"/>
      <c r="E3495" s="2714" t="s">
        <v>2749</v>
      </c>
      <c r="F3495" s="294"/>
      <c r="G3495" s="1631" t="s">
        <v>1423</v>
      </c>
      <c r="H3495" s="1629" t="s">
        <v>2775</v>
      </c>
      <c r="I3495" s="1630" t="s">
        <v>2776</v>
      </c>
      <c r="J3495" s="343" t="s">
        <v>3089</v>
      </c>
      <c r="K3495" s="291"/>
      <c r="L3495" s="291"/>
      <c r="M3495" s="291"/>
      <c r="S3495" s="364"/>
      <c r="Z3495" s="609" t="s">
        <v>3848</v>
      </c>
      <c r="AA3495" s="609" t="s">
        <v>5673</v>
      </c>
    </row>
    <row r="3496" spans="1:27" ht="18">
      <c r="A3496" s="2712"/>
      <c r="B3496" s="371">
        <v>101</v>
      </c>
      <c r="C3496" s="371" t="s">
        <v>2791</v>
      </c>
      <c r="D3496" s="2714">
        <f t="shared" ref="D3496:D3501" si="404">IF(OR(G3496="*",G3496="",G3496=0),0,COUNTIF($G$3496:$G$3501,G3496))</f>
        <v>0</v>
      </c>
      <c r="E3496" s="2719">
        <v>1</v>
      </c>
      <c r="F3496" s="294"/>
      <c r="G3496" s="1632" t="s">
        <v>2792</v>
      </c>
      <c r="H3496" s="309"/>
      <c r="I3496" s="346"/>
      <c r="J3496" s="355" t="s">
        <v>5362</v>
      </c>
      <c r="K3496" s="1520" t="s">
        <v>5611</v>
      </c>
      <c r="L3496" s="291"/>
      <c r="M3496" s="291"/>
      <c r="S3496" s="364"/>
      <c r="Z3496" s="609" t="s">
        <v>3848</v>
      </c>
      <c r="AA3496" s="609" t="s">
        <v>5673</v>
      </c>
    </row>
    <row r="3497" spans="1:27" ht="18">
      <c r="A3497" s="2712"/>
      <c r="B3497" s="371">
        <v>102</v>
      </c>
      <c r="C3497" s="371" t="s">
        <v>2791</v>
      </c>
      <c r="D3497" s="2714">
        <f t="shared" si="404"/>
        <v>0</v>
      </c>
      <c r="E3497" s="2719">
        <v>1</v>
      </c>
      <c r="F3497" s="294"/>
      <c r="G3497" s="1632" t="s">
        <v>2792</v>
      </c>
      <c r="H3497" s="309"/>
      <c r="I3497" s="346"/>
      <c r="J3497" s="291"/>
      <c r="K3497" s="291"/>
      <c r="L3497" s="291"/>
      <c r="M3497" s="291"/>
      <c r="S3497" s="364"/>
      <c r="Z3497" s="609" t="s">
        <v>3848</v>
      </c>
      <c r="AA3497" s="609" t="s">
        <v>5673</v>
      </c>
    </row>
    <row r="3498" spans="1:27" ht="18">
      <c r="A3498" s="2712"/>
      <c r="B3498" s="371">
        <v>103</v>
      </c>
      <c r="C3498" s="371" t="s">
        <v>2791</v>
      </c>
      <c r="D3498" s="2714">
        <f t="shared" si="404"/>
        <v>0</v>
      </c>
      <c r="E3498" s="2719">
        <v>1</v>
      </c>
      <c r="F3498" s="294"/>
      <c r="G3498" s="1632" t="s">
        <v>2792</v>
      </c>
      <c r="H3498" s="309"/>
      <c r="I3498" s="346"/>
      <c r="J3498" s="291"/>
      <c r="K3498" s="291"/>
      <c r="L3498" s="291"/>
      <c r="M3498" s="291"/>
      <c r="S3498" s="364"/>
      <c r="Z3498" s="609" t="s">
        <v>3848</v>
      </c>
      <c r="AA3498" s="609" t="s">
        <v>5673</v>
      </c>
    </row>
    <row r="3499" spans="1:27" ht="18">
      <c r="A3499" s="2712"/>
      <c r="B3499" s="371">
        <v>104</v>
      </c>
      <c r="C3499" s="371" t="s">
        <v>2791</v>
      </c>
      <c r="D3499" s="2714">
        <f t="shared" si="404"/>
        <v>0</v>
      </c>
      <c r="E3499" s="2719">
        <v>1</v>
      </c>
      <c r="F3499" s="294"/>
      <c r="G3499" s="1632" t="s">
        <v>2792</v>
      </c>
      <c r="H3499" s="309"/>
      <c r="I3499" s="346"/>
      <c r="J3499" s="291"/>
      <c r="K3499" s="291"/>
      <c r="L3499" s="291"/>
      <c r="M3499" s="291"/>
      <c r="S3499" s="364"/>
      <c r="Z3499" s="609" t="s">
        <v>3848</v>
      </c>
      <c r="AA3499" s="609" t="s">
        <v>5673</v>
      </c>
    </row>
    <row r="3500" spans="1:27" ht="18">
      <c r="A3500" s="2712"/>
      <c r="B3500" s="371">
        <v>105</v>
      </c>
      <c r="C3500" s="371" t="s">
        <v>2791</v>
      </c>
      <c r="D3500" s="2714">
        <f t="shared" si="404"/>
        <v>0</v>
      </c>
      <c r="E3500" s="2719">
        <v>1</v>
      </c>
      <c r="F3500" s="294"/>
      <c r="G3500" s="1632" t="s">
        <v>2792</v>
      </c>
      <c r="H3500" s="309"/>
      <c r="I3500" s="346"/>
      <c r="J3500" s="291"/>
      <c r="K3500" s="291"/>
      <c r="L3500" s="291"/>
      <c r="M3500" s="291"/>
      <c r="S3500" s="364"/>
      <c r="Z3500" s="609" t="s">
        <v>3848</v>
      </c>
      <c r="AA3500" s="609" t="s">
        <v>5673</v>
      </c>
    </row>
    <row r="3501" spans="1:27" ht="18.75" thickBot="1">
      <c r="A3501" s="2712"/>
      <c r="B3501" s="371"/>
      <c r="C3501" s="371"/>
      <c r="D3501" s="2714">
        <f t="shared" si="404"/>
        <v>1</v>
      </c>
      <c r="E3501" s="2719" t="s">
        <v>3032</v>
      </c>
      <c r="F3501" s="294"/>
      <c r="G3501" s="1527" t="s">
        <v>2752</v>
      </c>
      <c r="H3501" s="1525">
        <f>SUMPRODUCT($E3495:$E3500,H3495:H3500)</f>
        <v>0</v>
      </c>
      <c r="I3501" s="1526">
        <f>SUMPRODUCT($E3495:$E3500,I3495:I3500)</f>
        <v>0</v>
      </c>
      <c r="J3501" s="291"/>
      <c r="K3501" s="291"/>
      <c r="L3501" s="291"/>
      <c r="M3501" s="291"/>
      <c r="S3501" s="364"/>
      <c r="Z3501" s="609" t="s">
        <v>3848</v>
      </c>
      <c r="AA3501" s="609" t="s">
        <v>5673</v>
      </c>
    </row>
    <row r="3502" spans="1:27" ht="18">
      <c r="A3502" s="2712"/>
      <c r="B3502" s="371"/>
      <c r="C3502" s="371" t="s">
        <v>2755</v>
      </c>
      <c r="D3502" s="371"/>
      <c r="F3502" s="294"/>
      <c r="G3502" s="301"/>
      <c r="H3502" s="315"/>
      <c r="I3502" s="315"/>
      <c r="J3502" s="291"/>
      <c r="K3502" s="291"/>
      <c r="L3502" s="291"/>
      <c r="M3502" s="291"/>
      <c r="S3502" s="364"/>
      <c r="Z3502" s="609" t="s">
        <v>3848</v>
      </c>
      <c r="AA3502" s="609" t="s">
        <v>5673</v>
      </c>
    </row>
    <row r="3503" spans="1:27" ht="24">
      <c r="A3503" s="2712" t="s">
        <v>1443</v>
      </c>
      <c r="B3503" s="371">
        <v>6</v>
      </c>
      <c r="C3503" s="371"/>
      <c r="D3503" s="2714" t="str">
        <f>VLOOKUP($A3503,Sheet_NoteList,2,0)</f>
        <v>单项金额较大的应付账款</v>
      </c>
      <c r="E3503" s="2714" t="s">
        <v>6529</v>
      </c>
      <c r="F3503" s="294"/>
      <c r="G3503" s="372" t="str">
        <f>"("&amp;B3503&amp;")"&amp;D3503</f>
        <v>(6)单项金额较大的应付账款</v>
      </c>
      <c r="H3503" s="1515" t="str">
        <f>$A3503</f>
        <v>2202g</v>
      </c>
      <c r="I3503" s="343" t="s">
        <v>5963</v>
      </c>
      <c r="J3503" s="301" t="s">
        <v>5961</v>
      </c>
      <c r="K3503" s="2208">
        <f>H3511</f>
        <v>0</v>
      </c>
      <c r="L3503" s="345" t="str">
        <f>IF($I3503="适用",IF(ROUND(K3444-K3503,2)&gt;=0,"","#Logical!"),"#N/A")</f>
        <v/>
      </c>
      <c r="M3503" s="301"/>
      <c r="N3503" s="3083"/>
      <c r="O3503" s="315"/>
      <c r="P3503" s="301"/>
      <c r="S3503" s="364"/>
      <c r="Z3503" s="609" t="s">
        <v>3848</v>
      </c>
      <c r="AA3503" s="609" t="s">
        <v>5673</v>
      </c>
    </row>
    <row r="3504" spans="1:27" ht="0.75" customHeight="1" thickBot="1">
      <c r="A3504" s="2712"/>
      <c r="B3504" s="371"/>
      <c r="C3504" s="371"/>
      <c r="D3504" s="371"/>
      <c r="E3504" s="586"/>
      <c r="F3504" s="586"/>
      <c r="G3504" s="586" t="s">
        <v>3863</v>
      </c>
      <c r="H3504" s="371" t="s">
        <v>2849</v>
      </c>
      <c r="I3504" s="371" t="s">
        <v>3110</v>
      </c>
      <c r="J3504" s="371" t="s">
        <v>3864</v>
      </c>
      <c r="K3504" s="291"/>
      <c r="L3504" s="291"/>
      <c r="M3504" s="291"/>
      <c r="N3504" s="291"/>
      <c r="S3504" s="364"/>
      <c r="Z3504" s="609" t="s">
        <v>3848</v>
      </c>
      <c r="AA3504" s="609" t="s">
        <v>5673</v>
      </c>
    </row>
    <row r="3505" spans="1:27" ht="18">
      <c r="A3505" s="2712"/>
      <c r="B3505" s="371"/>
      <c r="C3505" s="371"/>
      <c r="D3505" s="371"/>
      <c r="E3505" s="586" t="s">
        <v>2749</v>
      </c>
      <c r="F3505" s="363"/>
      <c r="G3505" s="2361" t="s">
        <v>3865</v>
      </c>
      <c r="H3505" s="2362" t="s">
        <v>3866</v>
      </c>
      <c r="I3505" s="2362" t="s">
        <v>2961</v>
      </c>
      <c r="J3505" s="2363" t="s">
        <v>3867</v>
      </c>
      <c r="K3505" s="355" t="s">
        <v>6174</v>
      </c>
      <c r="L3505" s="291"/>
      <c r="M3505" s="291"/>
      <c r="N3505" s="291"/>
      <c r="S3505" s="364"/>
      <c r="Z3505" s="609" t="s">
        <v>3848</v>
      </c>
      <c r="AA3505" s="609" t="s">
        <v>5673</v>
      </c>
    </row>
    <row r="3506" spans="1:27" ht="18">
      <c r="A3506" s="2712"/>
      <c r="B3506" s="371">
        <v>101</v>
      </c>
      <c r="C3506" s="371" t="s">
        <v>2791</v>
      </c>
      <c r="D3506" s="2714">
        <f t="shared" ref="D3506:D3511" si="405">IF(OR(G3506="*",G3506="",G3506=0),0,COUNTIF($G$3506:$G$3511,G3506))</f>
        <v>0</v>
      </c>
      <c r="E3506" s="2719">
        <v>1</v>
      </c>
      <c r="F3506" s="294"/>
      <c r="G3506" s="2373" t="s">
        <v>2792</v>
      </c>
      <c r="H3506" s="2273"/>
      <c r="I3506" s="2296"/>
      <c r="J3506" s="2274"/>
      <c r="K3506" s="579"/>
      <c r="L3506" s="291"/>
      <c r="M3506" s="291"/>
      <c r="N3506" s="291"/>
      <c r="S3506" s="364"/>
      <c r="Z3506" s="609" t="s">
        <v>3848</v>
      </c>
      <c r="AA3506" s="609" t="s">
        <v>5673</v>
      </c>
    </row>
    <row r="3507" spans="1:27" ht="18">
      <c r="A3507" s="2712"/>
      <c r="B3507" s="371">
        <v>102</v>
      </c>
      <c r="C3507" s="371" t="s">
        <v>2791</v>
      </c>
      <c r="D3507" s="2714">
        <f t="shared" si="405"/>
        <v>0</v>
      </c>
      <c r="E3507" s="2719">
        <v>1</v>
      </c>
      <c r="F3507" s="294"/>
      <c r="G3507" s="2373" t="s">
        <v>2792</v>
      </c>
      <c r="H3507" s="2273"/>
      <c r="I3507" s="2296"/>
      <c r="J3507" s="2274"/>
      <c r="K3507" s="291"/>
      <c r="L3507" s="291"/>
      <c r="M3507" s="291"/>
      <c r="N3507" s="291"/>
      <c r="S3507" s="364"/>
      <c r="Z3507" s="609" t="s">
        <v>3848</v>
      </c>
      <c r="AA3507" s="609" t="s">
        <v>5673</v>
      </c>
    </row>
    <row r="3508" spans="1:27" ht="18">
      <c r="A3508" s="2712"/>
      <c r="B3508" s="371">
        <v>103</v>
      </c>
      <c r="C3508" s="371" t="s">
        <v>2791</v>
      </c>
      <c r="D3508" s="2714">
        <f t="shared" si="405"/>
        <v>0</v>
      </c>
      <c r="E3508" s="2719">
        <v>1</v>
      </c>
      <c r="F3508" s="294"/>
      <c r="G3508" s="2373" t="s">
        <v>2792</v>
      </c>
      <c r="H3508" s="2273"/>
      <c r="I3508" s="2296"/>
      <c r="J3508" s="2274"/>
      <c r="K3508" s="291"/>
      <c r="L3508" s="291"/>
      <c r="M3508" s="291"/>
      <c r="N3508" s="291"/>
      <c r="S3508" s="364"/>
      <c r="Z3508" s="609" t="s">
        <v>3848</v>
      </c>
      <c r="AA3508" s="609" t="s">
        <v>5673</v>
      </c>
    </row>
    <row r="3509" spans="1:27" ht="18">
      <c r="A3509" s="2712"/>
      <c r="B3509" s="371">
        <v>104</v>
      </c>
      <c r="C3509" s="371" t="s">
        <v>2791</v>
      </c>
      <c r="D3509" s="2714">
        <f t="shared" si="405"/>
        <v>0</v>
      </c>
      <c r="E3509" s="2719">
        <v>1</v>
      </c>
      <c r="F3509" s="294"/>
      <c r="G3509" s="2373" t="s">
        <v>2792</v>
      </c>
      <c r="H3509" s="2273"/>
      <c r="I3509" s="2296"/>
      <c r="J3509" s="2274"/>
      <c r="K3509" s="291"/>
      <c r="L3509" s="291"/>
      <c r="M3509" s="291"/>
      <c r="N3509" s="291"/>
      <c r="S3509" s="364"/>
      <c r="Z3509" s="609" t="s">
        <v>3848</v>
      </c>
      <c r="AA3509" s="609" t="s">
        <v>5673</v>
      </c>
    </row>
    <row r="3510" spans="1:27" ht="18">
      <c r="A3510" s="2712"/>
      <c r="B3510" s="371">
        <v>105</v>
      </c>
      <c r="C3510" s="371" t="s">
        <v>2791</v>
      </c>
      <c r="D3510" s="2714">
        <f t="shared" si="405"/>
        <v>0</v>
      </c>
      <c r="E3510" s="2719">
        <v>1</v>
      </c>
      <c r="F3510" s="294"/>
      <c r="G3510" s="2373" t="s">
        <v>2792</v>
      </c>
      <c r="H3510" s="2273"/>
      <c r="I3510" s="2296"/>
      <c r="J3510" s="2274"/>
      <c r="K3510" s="291"/>
      <c r="L3510" s="291"/>
      <c r="M3510" s="291"/>
      <c r="N3510" s="291"/>
      <c r="S3510" s="364"/>
      <c r="Z3510" s="609" t="s">
        <v>3848</v>
      </c>
      <c r="AA3510" s="609" t="s">
        <v>5673</v>
      </c>
    </row>
    <row r="3511" spans="1:27" ht="18.75" thickBot="1">
      <c r="A3511" s="2712"/>
      <c r="B3511" s="371"/>
      <c r="C3511" s="371"/>
      <c r="D3511" s="2714">
        <f t="shared" si="405"/>
        <v>1</v>
      </c>
      <c r="E3511" s="2719" t="s">
        <v>2751</v>
      </c>
      <c r="F3511" s="294"/>
      <c r="G3511" s="1527" t="s">
        <v>2752</v>
      </c>
      <c r="H3511" s="1525">
        <f>SUMPRODUCT($E3505:$E3510,H3505:H3510)</f>
        <v>0</v>
      </c>
      <c r="I3511" s="2314"/>
      <c r="J3511" s="2264"/>
      <c r="K3511" s="291"/>
      <c r="L3511" s="291"/>
      <c r="M3511" s="291"/>
      <c r="N3511" s="291"/>
      <c r="S3511" s="364"/>
      <c r="Z3511" s="609" t="s">
        <v>3848</v>
      </c>
      <c r="AA3511" s="609" t="s">
        <v>5673</v>
      </c>
    </row>
    <row r="3512" spans="1:27" ht="18">
      <c r="A3512" s="2712"/>
      <c r="B3512" s="371"/>
      <c r="C3512" s="371" t="s">
        <v>2755</v>
      </c>
      <c r="D3512" s="371"/>
      <c r="F3512" s="294"/>
      <c r="G3512" s="301"/>
      <c r="H3512" s="315"/>
      <c r="I3512" s="393"/>
      <c r="J3512" s="393"/>
      <c r="K3512" s="291"/>
      <c r="L3512" s="291"/>
      <c r="M3512" s="291"/>
      <c r="N3512" s="291"/>
      <c r="S3512" s="364"/>
      <c r="Z3512" s="609" t="s">
        <v>3848</v>
      </c>
      <c r="AA3512" s="609" t="s">
        <v>5673</v>
      </c>
    </row>
    <row r="3513" spans="1:27" ht="18">
      <c r="A3513" s="2712" t="s">
        <v>1448</v>
      </c>
      <c r="B3513" s="371">
        <v>7</v>
      </c>
      <c r="C3513" s="371"/>
      <c r="D3513" s="2714" t="str">
        <f>VLOOKUP($A3513,Sheet_NoteList,2,0)</f>
        <v>应付账款补充资料</v>
      </c>
      <c r="E3513" s="2714" t="s">
        <v>6529</v>
      </c>
      <c r="F3513" s="294"/>
      <c r="G3513" s="597" t="str">
        <f>"("&amp;B3513&amp;")"&amp;D3513</f>
        <v>(7)应付账款补充资料</v>
      </c>
      <c r="H3513" s="1515" t="str">
        <f>$A3513</f>
        <v>2202x</v>
      </c>
      <c r="I3513" s="343" t="s">
        <v>5964</v>
      </c>
      <c r="J3513" s="301" t="s">
        <v>5961</v>
      </c>
      <c r="K3513" s="2208">
        <f>H3530</f>
        <v>0</v>
      </c>
      <c r="L3513" s="345"/>
      <c r="M3513" s="301"/>
      <c r="N3513" s="3083"/>
      <c r="O3513" s="315"/>
      <c r="P3513" s="301"/>
      <c r="S3513" s="364"/>
      <c r="Z3513" s="609" t="s">
        <v>3848</v>
      </c>
      <c r="AA3513" s="609" t="s">
        <v>5673</v>
      </c>
    </row>
    <row r="3514" spans="1:27" ht="0.75" customHeight="1" thickBot="1">
      <c r="A3514" s="2712"/>
      <c r="B3514" s="371"/>
      <c r="C3514" s="371"/>
      <c r="D3514" s="371"/>
      <c r="F3514" s="371"/>
      <c r="G3514" s="371" t="s">
        <v>3868</v>
      </c>
      <c r="H3514" s="371" t="s">
        <v>2747</v>
      </c>
      <c r="I3514" s="371" t="s">
        <v>3859</v>
      </c>
      <c r="K3514" s="291"/>
      <c r="L3514" s="291"/>
      <c r="M3514" s="291"/>
      <c r="N3514" s="291"/>
      <c r="S3514" s="364"/>
      <c r="Z3514" s="609" t="s">
        <v>3848</v>
      </c>
      <c r="AA3514" s="609" t="s">
        <v>5673</v>
      </c>
    </row>
    <row r="3515" spans="1:27" ht="18">
      <c r="A3515" s="2712"/>
      <c r="B3515" s="371"/>
      <c r="C3515" s="371"/>
      <c r="D3515" s="371"/>
      <c r="E3515" s="2714" t="s">
        <v>2749</v>
      </c>
      <c r="F3515" s="294"/>
      <c r="G3515" s="2384" t="s">
        <v>1465</v>
      </c>
      <c r="H3515" s="2396" t="s">
        <v>2775</v>
      </c>
      <c r="I3515" s="2386" t="s">
        <v>2508</v>
      </c>
      <c r="J3515" s="355" t="s">
        <v>6174</v>
      </c>
      <c r="K3515" s="291"/>
      <c r="L3515" s="291"/>
      <c r="M3515" s="291"/>
      <c r="N3515" s="291"/>
      <c r="S3515" s="364"/>
      <c r="Z3515" s="609" t="s">
        <v>3848</v>
      </c>
      <c r="AA3515" s="609" t="s">
        <v>5673</v>
      </c>
    </row>
    <row r="3516" spans="1:27" ht="24">
      <c r="A3516" s="2712"/>
      <c r="B3516" s="371">
        <v>101</v>
      </c>
      <c r="C3516" s="371"/>
      <c r="D3516" s="2714">
        <f t="shared" ref="D3516:D3530" si="406">IF(OR(G3516="*",G3516="",G3516=0),0,COUNTIF($G$3516:$G$3530,G3516))</f>
        <v>1</v>
      </c>
      <c r="E3516" s="2719" t="s">
        <v>41</v>
      </c>
      <c r="F3516" s="294"/>
      <c r="G3516" s="308" t="s">
        <v>3869</v>
      </c>
      <c r="H3516" s="309"/>
      <c r="I3516" s="388"/>
      <c r="J3516" s="579"/>
      <c r="K3516" s="291"/>
      <c r="L3516" s="291"/>
      <c r="M3516" s="291"/>
      <c r="N3516" s="291"/>
      <c r="S3516" s="364"/>
      <c r="Z3516" s="609" t="s">
        <v>3848</v>
      </c>
      <c r="AA3516" s="609" t="s">
        <v>5673</v>
      </c>
    </row>
    <row r="3517" spans="1:27" ht="18">
      <c r="A3517" s="2712"/>
      <c r="B3517" s="371">
        <v>101.001</v>
      </c>
      <c r="C3517" s="371" t="s">
        <v>2791</v>
      </c>
      <c r="D3517" s="2714">
        <f t="shared" si="406"/>
        <v>0</v>
      </c>
      <c r="E3517" s="2719" t="s">
        <v>3870</v>
      </c>
      <c r="F3517" s="294"/>
      <c r="G3517" s="319" t="s">
        <v>2792</v>
      </c>
      <c r="H3517" s="309"/>
      <c r="I3517" s="388"/>
      <c r="K3517" s="291"/>
      <c r="L3517" s="291"/>
      <c r="M3517" s="291"/>
      <c r="N3517" s="291"/>
      <c r="S3517" s="364"/>
      <c r="Z3517" s="609" t="s">
        <v>3848</v>
      </c>
      <c r="AA3517" s="609" t="s">
        <v>5673</v>
      </c>
    </row>
    <row r="3518" spans="1:27" ht="18">
      <c r="A3518" s="2712"/>
      <c r="B3518" s="371">
        <v>101.002</v>
      </c>
      <c r="C3518" s="371" t="s">
        <v>2791</v>
      </c>
      <c r="D3518" s="2714">
        <f t="shared" si="406"/>
        <v>0</v>
      </c>
      <c r="E3518" s="2719" t="s">
        <v>3870</v>
      </c>
      <c r="F3518" s="294"/>
      <c r="G3518" s="319" t="s">
        <v>2792</v>
      </c>
      <c r="H3518" s="309"/>
      <c r="I3518" s="388"/>
      <c r="K3518" s="291"/>
      <c r="L3518" s="291"/>
      <c r="M3518" s="291"/>
      <c r="N3518" s="291"/>
      <c r="S3518" s="364"/>
      <c r="Z3518" s="609" t="s">
        <v>3848</v>
      </c>
      <c r="AA3518" s="609" t="s">
        <v>5673</v>
      </c>
    </row>
    <row r="3519" spans="1:27" ht="18">
      <c r="A3519" s="2712"/>
      <c r="B3519" s="371">
        <v>101.003</v>
      </c>
      <c r="C3519" s="371" t="s">
        <v>2791</v>
      </c>
      <c r="D3519" s="2714">
        <f t="shared" si="406"/>
        <v>0</v>
      </c>
      <c r="E3519" s="2719" t="s">
        <v>3870</v>
      </c>
      <c r="F3519" s="294"/>
      <c r="G3519" s="319" t="s">
        <v>2792</v>
      </c>
      <c r="H3519" s="309"/>
      <c r="I3519" s="388"/>
      <c r="K3519" s="291"/>
      <c r="L3519" s="291"/>
      <c r="M3519" s="291"/>
      <c r="N3519" s="291"/>
      <c r="S3519" s="364"/>
      <c r="Z3519" s="609" t="s">
        <v>3848</v>
      </c>
      <c r="AA3519" s="609" t="s">
        <v>5673</v>
      </c>
    </row>
    <row r="3520" spans="1:27" ht="18">
      <c r="A3520" s="2712"/>
      <c r="B3520" s="371">
        <v>101.004</v>
      </c>
      <c r="C3520" s="371" t="s">
        <v>2791</v>
      </c>
      <c r="D3520" s="2714">
        <f t="shared" si="406"/>
        <v>0</v>
      </c>
      <c r="E3520" s="2719" t="s">
        <v>3870</v>
      </c>
      <c r="F3520" s="294"/>
      <c r="G3520" s="319" t="s">
        <v>2792</v>
      </c>
      <c r="H3520" s="309"/>
      <c r="I3520" s="388"/>
      <c r="K3520" s="291"/>
      <c r="L3520" s="291"/>
      <c r="M3520" s="291"/>
      <c r="N3520" s="291"/>
      <c r="S3520" s="364"/>
      <c r="Z3520" s="609" t="s">
        <v>3848</v>
      </c>
      <c r="AA3520" s="609" t="s">
        <v>5673</v>
      </c>
    </row>
    <row r="3521" spans="1:27" ht="18">
      <c r="A3521" s="2712"/>
      <c r="B3521" s="371">
        <v>101.005</v>
      </c>
      <c r="C3521" s="371" t="s">
        <v>2791</v>
      </c>
      <c r="D3521" s="2714">
        <f t="shared" si="406"/>
        <v>0</v>
      </c>
      <c r="E3521" s="2719" t="s">
        <v>3870</v>
      </c>
      <c r="F3521" s="294"/>
      <c r="G3521" s="319" t="s">
        <v>2792</v>
      </c>
      <c r="H3521" s="309"/>
      <c r="I3521" s="388"/>
      <c r="K3521" s="291"/>
      <c r="L3521" s="291"/>
      <c r="M3521" s="291"/>
      <c r="N3521" s="291"/>
      <c r="S3521" s="364"/>
      <c r="Z3521" s="609" t="s">
        <v>3848</v>
      </c>
      <c r="AA3521" s="609" t="s">
        <v>5673</v>
      </c>
    </row>
    <row r="3522" spans="1:27" ht="24">
      <c r="A3522" s="2712"/>
      <c r="B3522" s="371">
        <v>101.999</v>
      </c>
      <c r="C3522" s="371" t="s">
        <v>2793</v>
      </c>
      <c r="D3522" s="2714">
        <f t="shared" si="406"/>
        <v>1</v>
      </c>
      <c r="E3522" s="2719">
        <v>1</v>
      </c>
      <c r="F3522" s="294"/>
      <c r="G3522" s="549" t="s">
        <v>3870</v>
      </c>
      <c r="H3522" s="377">
        <f>SUMIF($E$3515:$E$3529,$G3522,H$3515:H$3529)</f>
        <v>0</v>
      </c>
      <c r="I3522" s="388"/>
      <c r="K3522" s="291"/>
      <c r="L3522" s="291"/>
      <c r="M3522" s="291"/>
      <c r="N3522" s="291"/>
      <c r="S3522" s="364"/>
      <c r="Z3522" s="609" t="s">
        <v>3848</v>
      </c>
      <c r="AA3522" s="609" t="s">
        <v>5673</v>
      </c>
    </row>
    <row r="3523" spans="1:27" ht="18">
      <c r="A3523" s="2712"/>
      <c r="B3523" s="371">
        <v>102</v>
      </c>
      <c r="C3523" s="371"/>
      <c r="D3523" s="2714">
        <f t="shared" si="406"/>
        <v>1</v>
      </c>
      <c r="E3523" s="2719" t="s">
        <v>41</v>
      </c>
      <c r="F3523" s="294"/>
      <c r="G3523" s="308" t="s">
        <v>3871</v>
      </c>
      <c r="H3523" s="309"/>
      <c r="I3523" s="388"/>
      <c r="K3523" s="291"/>
      <c r="L3523" s="291"/>
      <c r="M3523" s="291"/>
      <c r="N3523" s="291"/>
      <c r="S3523" s="364"/>
      <c r="Z3523" s="609" t="s">
        <v>3848</v>
      </c>
      <c r="AA3523" s="609" t="s">
        <v>5673</v>
      </c>
    </row>
    <row r="3524" spans="1:27" ht="18">
      <c r="A3524" s="2712"/>
      <c r="B3524" s="371">
        <v>102.001</v>
      </c>
      <c r="C3524" s="371" t="s">
        <v>2791</v>
      </c>
      <c r="D3524" s="2714">
        <f t="shared" si="406"/>
        <v>0</v>
      </c>
      <c r="E3524" s="2719" t="s">
        <v>3872</v>
      </c>
      <c r="F3524" s="294"/>
      <c r="G3524" s="319" t="s">
        <v>2792</v>
      </c>
      <c r="H3524" s="309"/>
      <c r="I3524" s="388"/>
      <c r="K3524" s="291"/>
      <c r="L3524" s="291"/>
      <c r="M3524" s="291"/>
      <c r="N3524" s="291"/>
      <c r="S3524" s="364"/>
      <c r="Z3524" s="609" t="s">
        <v>3848</v>
      </c>
      <c r="AA3524" s="609" t="s">
        <v>5673</v>
      </c>
    </row>
    <row r="3525" spans="1:27" ht="18">
      <c r="A3525" s="2712"/>
      <c r="B3525" s="371">
        <v>102.002</v>
      </c>
      <c r="C3525" s="371" t="s">
        <v>2791</v>
      </c>
      <c r="D3525" s="2714">
        <f t="shared" si="406"/>
        <v>0</v>
      </c>
      <c r="E3525" s="2719" t="s">
        <v>3872</v>
      </c>
      <c r="F3525" s="294"/>
      <c r="G3525" s="319" t="s">
        <v>2792</v>
      </c>
      <c r="H3525" s="309"/>
      <c r="I3525" s="388"/>
      <c r="K3525" s="291"/>
      <c r="L3525" s="291"/>
      <c r="M3525" s="291"/>
      <c r="N3525" s="291"/>
      <c r="S3525" s="364"/>
      <c r="Z3525" s="609" t="s">
        <v>3848</v>
      </c>
      <c r="AA3525" s="609" t="s">
        <v>5673</v>
      </c>
    </row>
    <row r="3526" spans="1:27" ht="18">
      <c r="A3526" s="2712"/>
      <c r="B3526" s="371">
        <v>102.003</v>
      </c>
      <c r="C3526" s="371" t="s">
        <v>2791</v>
      </c>
      <c r="D3526" s="2714">
        <f t="shared" si="406"/>
        <v>0</v>
      </c>
      <c r="E3526" s="2719" t="s">
        <v>3872</v>
      </c>
      <c r="F3526" s="294"/>
      <c r="G3526" s="319" t="s">
        <v>2792</v>
      </c>
      <c r="H3526" s="309"/>
      <c r="I3526" s="388"/>
      <c r="K3526" s="291"/>
      <c r="L3526" s="291"/>
      <c r="M3526" s="291"/>
      <c r="N3526" s="291"/>
      <c r="S3526" s="364"/>
      <c r="Z3526" s="609" t="s">
        <v>3848</v>
      </c>
      <c r="AA3526" s="609" t="s">
        <v>5673</v>
      </c>
    </row>
    <row r="3527" spans="1:27" ht="18">
      <c r="A3527" s="2712"/>
      <c r="B3527" s="371">
        <v>102.004</v>
      </c>
      <c r="C3527" s="371" t="s">
        <v>2791</v>
      </c>
      <c r="D3527" s="2714">
        <f t="shared" si="406"/>
        <v>0</v>
      </c>
      <c r="E3527" s="2719" t="s">
        <v>3872</v>
      </c>
      <c r="F3527" s="294"/>
      <c r="G3527" s="319" t="s">
        <v>2792</v>
      </c>
      <c r="H3527" s="309"/>
      <c r="I3527" s="388"/>
      <c r="K3527" s="291"/>
      <c r="L3527" s="291"/>
      <c r="M3527" s="291"/>
      <c r="N3527" s="291"/>
      <c r="S3527" s="364"/>
      <c r="Z3527" s="609" t="s">
        <v>3848</v>
      </c>
      <c r="AA3527" s="609" t="s">
        <v>5673</v>
      </c>
    </row>
    <row r="3528" spans="1:27" ht="18">
      <c r="A3528" s="2712"/>
      <c r="B3528" s="371">
        <v>102.005</v>
      </c>
      <c r="C3528" s="371" t="s">
        <v>2791</v>
      </c>
      <c r="D3528" s="2714">
        <f t="shared" si="406"/>
        <v>0</v>
      </c>
      <c r="E3528" s="2719" t="s">
        <v>3872</v>
      </c>
      <c r="F3528" s="294"/>
      <c r="G3528" s="319" t="s">
        <v>2792</v>
      </c>
      <c r="H3528" s="309"/>
      <c r="I3528" s="388"/>
      <c r="K3528" s="291"/>
      <c r="L3528" s="291"/>
      <c r="M3528" s="291"/>
      <c r="N3528" s="291"/>
      <c r="S3528" s="364"/>
      <c r="Z3528" s="609" t="s">
        <v>3848</v>
      </c>
      <c r="AA3528" s="609" t="s">
        <v>5673</v>
      </c>
    </row>
    <row r="3529" spans="1:27" ht="18">
      <c r="A3529" s="2712"/>
      <c r="B3529" s="371">
        <v>102.999</v>
      </c>
      <c r="C3529" s="371" t="s">
        <v>2793</v>
      </c>
      <c r="D3529" s="2714">
        <f t="shared" si="406"/>
        <v>1</v>
      </c>
      <c r="E3529" s="2719">
        <v>1</v>
      </c>
      <c r="F3529" s="294"/>
      <c r="G3529" s="549" t="s">
        <v>3872</v>
      </c>
      <c r="H3529" s="377">
        <f>SUMIF($E$3515:$E$3529,$G3529,H$3515:H$3529)</f>
        <v>0</v>
      </c>
      <c r="I3529" s="388"/>
      <c r="K3529" s="291"/>
      <c r="L3529" s="291"/>
      <c r="M3529" s="291"/>
      <c r="N3529" s="291"/>
      <c r="S3529" s="364"/>
      <c r="Z3529" s="609" t="s">
        <v>3848</v>
      </c>
      <c r="AA3529" s="609" t="s">
        <v>5673</v>
      </c>
    </row>
    <row r="3530" spans="1:27" ht="18.75" thickBot="1">
      <c r="A3530" s="2712"/>
      <c r="B3530" s="371"/>
      <c r="C3530" s="371"/>
      <c r="D3530" s="2714">
        <f t="shared" si="406"/>
        <v>1</v>
      </c>
      <c r="E3530" s="2719" t="s">
        <v>2751</v>
      </c>
      <c r="F3530" s="294"/>
      <c r="G3530" s="1527" t="s">
        <v>2752</v>
      </c>
      <c r="H3530" s="2389">
        <f>SUMPRODUCT($E3515:$E3529,H3515:H3529)</f>
        <v>0</v>
      </c>
      <c r="I3530" s="1610"/>
      <c r="K3530" s="291"/>
      <c r="L3530" s="291"/>
      <c r="M3530" s="291"/>
      <c r="N3530" s="291"/>
      <c r="S3530" s="364"/>
      <c r="Z3530" s="609" t="s">
        <v>3848</v>
      </c>
      <c r="AA3530" s="609" t="s">
        <v>5673</v>
      </c>
    </row>
    <row r="3531" spans="1:27" ht="18">
      <c r="A3531" s="2712"/>
      <c r="B3531" s="371"/>
      <c r="C3531" s="371" t="s">
        <v>2755</v>
      </c>
      <c r="D3531" s="371"/>
      <c r="F3531" s="294"/>
      <c r="G3531" s="301"/>
      <c r="H3531" s="315"/>
      <c r="I3531" s="393"/>
      <c r="J3531" s="350"/>
      <c r="K3531" s="291"/>
      <c r="L3531" s="291"/>
      <c r="M3531" s="291"/>
      <c r="N3531" s="291"/>
      <c r="S3531" s="364"/>
      <c r="Z3531" s="609" t="s">
        <v>3848</v>
      </c>
      <c r="AA3531" s="609" t="s">
        <v>5673</v>
      </c>
    </row>
    <row r="3532" spans="1:27" ht="18">
      <c r="A3532" s="2712">
        <v>2205</v>
      </c>
      <c r="B3532" s="371">
        <v>39</v>
      </c>
      <c r="C3532" s="2714" t="str">
        <f>VLOOKUP($A3532,Sheet_Items,2,0)</f>
        <v>预收款项</v>
      </c>
      <c r="D3532" s="371"/>
      <c r="E3532" s="2714" t="s">
        <v>2739</v>
      </c>
      <c r="F3532" s="294"/>
      <c r="G3532" s="305" t="str">
        <f>B3532&amp;" "&amp;C3532</f>
        <v>39 预收款项</v>
      </c>
      <c r="H3532" s="306"/>
      <c r="I3532" s="306"/>
      <c r="J3532" s="306" t="s">
        <v>2740</v>
      </c>
      <c r="K3532" s="341">
        <f>VLOOKUP($A3532,Sheet_Trialbal,6,0)</f>
        <v>1190488.93</v>
      </c>
      <c r="L3532" s="342"/>
      <c r="M3532" s="306" t="s">
        <v>2741</v>
      </c>
      <c r="N3532" s="341">
        <f>VLOOKUP($A3532,Sheet_Trialbal,10,0)</f>
        <v>2572903.23</v>
      </c>
      <c r="O3532" s="306"/>
      <c r="P3532" s="301"/>
      <c r="S3532" s="364"/>
      <c r="Z3532" s="609" t="s">
        <v>3873</v>
      </c>
      <c r="AA3532" s="609" t="s">
        <v>5674</v>
      </c>
    </row>
    <row r="3533" spans="1:27" ht="18">
      <c r="A3533" s="2712" t="s">
        <v>1458</v>
      </c>
      <c r="B3533" s="371">
        <v>1</v>
      </c>
      <c r="C3533" s="371"/>
      <c r="D3533" s="2714" t="str">
        <f>VLOOKUP($A3533,Sheet_NoteList,2,0)</f>
        <v>预收款项列示</v>
      </c>
      <c r="E3533" s="2714" t="s">
        <v>2742</v>
      </c>
      <c r="F3533" s="294"/>
      <c r="G3533" s="307" t="str">
        <f>"("&amp;B3533&amp;")"&amp;D3533</f>
        <v>(1)预收款项列示</v>
      </c>
      <c r="H3533" s="1515" t="str">
        <f>$A3533</f>
        <v>2205f</v>
      </c>
      <c r="I3533" s="343" t="s">
        <v>2743</v>
      </c>
      <c r="J3533" s="301" t="s">
        <v>2744</v>
      </c>
      <c r="K3533" s="2208">
        <f>H3541</f>
        <v>1190488.93</v>
      </c>
      <c r="L3533" s="345" t="str">
        <f>IF($I3533="适用",IF(ROUND(K$3532-K3533,2)=0,"F/S",ROUND(K$3532-K3533,2)),"#N/A")</f>
        <v>F/S</v>
      </c>
      <c r="M3533" s="301" t="s">
        <v>2745</v>
      </c>
      <c r="N3533" s="2208">
        <f>I3541</f>
        <v>2572903.23</v>
      </c>
      <c r="O3533" s="345" t="str">
        <f>IF($I3533="适用",IF(ROUND(N$3532-N3533,2)=0,"F/S",ROUND(N$3532-N3533,2)),"#N/A")</f>
        <v>F/S</v>
      </c>
      <c r="P3533" s="301"/>
      <c r="Q3533" s="290" t="str">
        <f>IF($I3533="不适用","",IF(ROUND(SUM($H$3536:$I$3541),2)=0,"请输入",""))</f>
        <v/>
      </c>
      <c r="S3533" s="364"/>
      <c r="Z3533" s="609" t="s">
        <v>3873</v>
      </c>
      <c r="AA3533" s="609" t="s">
        <v>5674</v>
      </c>
    </row>
    <row r="3534" spans="1:27" ht="0.75" customHeight="1" thickBot="1">
      <c r="A3534" s="2712"/>
      <c r="B3534" s="371"/>
      <c r="C3534" s="371"/>
      <c r="D3534" s="371"/>
      <c r="F3534" s="371"/>
      <c r="G3534" s="371" t="s">
        <v>3874</v>
      </c>
      <c r="H3534" s="371" t="s">
        <v>2747</v>
      </c>
      <c r="I3534" s="371" t="s">
        <v>2748</v>
      </c>
      <c r="J3534" s="291"/>
      <c r="K3534" s="291"/>
      <c r="L3534" s="291"/>
      <c r="M3534" s="291"/>
      <c r="S3534" s="364"/>
      <c r="Z3534" s="609" t="s">
        <v>3873</v>
      </c>
      <c r="AA3534" s="609" t="s">
        <v>5674</v>
      </c>
    </row>
    <row r="3535" spans="1:27" ht="18">
      <c r="A3535" s="2712"/>
      <c r="B3535" s="371"/>
      <c r="C3535" s="371"/>
      <c r="D3535" s="371"/>
      <c r="E3535" s="2714" t="s">
        <v>2749</v>
      </c>
      <c r="F3535" s="294"/>
      <c r="G3535" s="410" t="s">
        <v>47</v>
      </c>
      <c r="H3535" s="1452" t="str">
        <f>$V$2</f>
        <v>2019年12月31日</v>
      </c>
      <c r="I3535" s="1453" t="str">
        <f>$V$3</f>
        <v>2018年12月31日</v>
      </c>
      <c r="J3535" s="355" t="s">
        <v>5302</v>
      </c>
      <c r="K3535" s="291"/>
      <c r="L3535" s="291"/>
      <c r="M3535" s="291"/>
      <c r="S3535" s="364"/>
      <c r="Z3535" s="609" t="s">
        <v>3873</v>
      </c>
      <c r="AA3535" s="609" t="s">
        <v>5674</v>
      </c>
    </row>
    <row r="3536" spans="1:27" ht="18">
      <c r="A3536" s="2712"/>
      <c r="B3536" s="371">
        <v>101</v>
      </c>
      <c r="C3536" s="371"/>
      <c r="D3536" s="2714">
        <f t="shared" ref="D3536:D3541" si="407">IF(OR(G3536="*",G3536="",G3536=0),0,COUNTIF($G$3536:$G$3541,G3536))</f>
        <v>1</v>
      </c>
      <c r="E3536" s="2719">
        <v>1</v>
      </c>
      <c r="F3536" s="294"/>
      <c r="G3536" s="308" t="s">
        <v>3875</v>
      </c>
      <c r="H3536" s="309">
        <v>1190488.93</v>
      </c>
      <c r="I3536" s="346">
        <v>2572903.23</v>
      </c>
      <c r="J3536" s="291"/>
      <c r="K3536" s="291"/>
      <c r="L3536" s="291"/>
      <c r="M3536" s="291"/>
      <c r="S3536" s="364"/>
      <c r="Z3536" s="609" t="s">
        <v>3873</v>
      </c>
      <c r="AA3536" s="609" t="s">
        <v>5674</v>
      </c>
    </row>
    <row r="3537" spans="1:29" ht="18">
      <c r="A3537" s="2712"/>
      <c r="B3537" s="371">
        <v>102</v>
      </c>
      <c r="C3537" s="371"/>
      <c r="D3537" s="2714">
        <f t="shared" si="407"/>
        <v>1</v>
      </c>
      <c r="E3537" s="2719">
        <v>1</v>
      </c>
      <c r="F3537" s="294"/>
      <c r="G3537" s="308" t="s">
        <v>3876</v>
      </c>
      <c r="H3537" s="309"/>
      <c r="I3537" s="346"/>
      <c r="J3537" s="291"/>
      <c r="K3537" s="291"/>
      <c r="L3537" s="291"/>
      <c r="M3537" s="291"/>
      <c r="S3537" s="364"/>
      <c r="Z3537" s="609" t="s">
        <v>3873</v>
      </c>
      <c r="AA3537" s="609" t="s">
        <v>5674</v>
      </c>
    </row>
    <row r="3538" spans="1:29" ht="18">
      <c r="A3538" s="2712"/>
      <c r="B3538" s="371">
        <v>103</v>
      </c>
      <c r="C3538" s="371" t="s">
        <v>2791</v>
      </c>
      <c r="D3538" s="2714">
        <f t="shared" si="407"/>
        <v>0</v>
      </c>
      <c r="E3538" s="2719">
        <v>1</v>
      </c>
      <c r="F3538" s="294"/>
      <c r="G3538" s="319" t="s">
        <v>2792</v>
      </c>
      <c r="H3538" s="309"/>
      <c r="I3538" s="346"/>
      <c r="J3538" s="291"/>
      <c r="K3538" s="291"/>
      <c r="L3538" s="291"/>
      <c r="M3538" s="291"/>
      <c r="S3538" s="364"/>
      <c r="Z3538" s="609" t="s">
        <v>3873</v>
      </c>
      <c r="AA3538" s="609" t="s">
        <v>5674</v>
      </c>
    </row>
    <row r="3539" spans="1:29" ht="18">
      <c r="A3539" s="2712"/>
      <c r="B3539" s="371">
        <v>104</v>
      </c>
      <c r="C3539" s="371" t="s">
        <v>2791</v>
      </c>
      <c r="D3539" s="2714">
        <f t="shared" si="407"/>
        <v>0</v>
      </c>
      <c r="E3539" s="2719">
        <v>1</v>
      </c>
      <c r="F3539" s="294"/>
      <c r="G3539" s="319" t="s">
        <v>2792</v>
      </c>
      <c r="H3539" s="309"/>
      <c r="I3539" s="346"/>
      <c r="J3539" s="291"/>
      <c r="K3539" s="291"/>
      <c r="L3539" s="291"/>
      <c r="M3539" s="291"/>
      <c r="S3539" s="364"/>
      <c r="Z3539" s="609" t="s">
        <v>3873</v>
      </c>
      <c r="AA3539" s="609" t="s">
        <v>5674</v>
      </c>
    </row>
    <row r="3540" spans="1:29" ht="18">
      <c r="A3540" s="2712"/>
      <c r="B3540" s="371">
        <v>105</v>
      </c>
      <c r="C3540" s="371" t="s">
        <v>2791</v>
      </c>
      <c r="D3540" s="2714">
        <f t="shared" si="407"/>
        <v>0</v>
      </c>
      <c r="E3540" s="2719">
        <v>1</v>
      </c>
      <c r="F3540" s="294"/>
      <c r="G3540" s="319" t="s">
        <v>2792</v>
      </c>
      <c r="H3540" s="309"/>
      <c r="I3540" s="346"/>
      <c r="J3540" s="291"/>
      <c r="K3540" s="291"/>
      <c r="L3540" s="291"/>
      <c r="M3540" s="291"/>
      <c r="S3540" s="364"/>
      <c r="Z3540" s="609" t="s">
        <v>3873</v>
      </c>
      <c r="AA3540" s="609" t="s">
        <v>5674</v>
      </c>
    </row>
    <row r="3541" spans="1:29" ht="18.75" thickBot="1">
      <c r="A3541" s="2712"/>
      <c r="B3541" s="371"/>
      <c r="C3541" s="371"/>
      <c r="D3541" s="2714">
        <f t="shared" si="407"/>
        <v>1</v>
      </c>
      <c r="E3541" s="2719" t="s">
        <v>2751</v>
      </c>
      <c r="F3541" s="294"/>
      <c r="G3541" s="374" t="s">
        <v>2752</v>
      </c>
      <c r="H3541" s="596">
        <f>SUMPRODUCT($E3535:$E3540,H3535:H3540)</f>
        <v>1190488.93</v>
      </c>
      <c r="I3541" s="599">
        <f>SUMPRODUCT($E3535:$E3540,I3535:I3540)</f>
        <v>2572903.23</v>
      </c>
      <c r="J3541" s="1531" t="str">
        <f ca="1">HYPERLINK("#'"&amp;$G$1&amp;"'!"&amp;ADDRESS(ROW(Notes!H3554),COLUMN(Notes!H3554),4),"* 请勿删除此行！点击往勾稽单元格，F5+Enter返回")</f>
        <v>* 请勿删除此行！点击往勾稽单元格，F5+Enter返回</v>
      </c>
      <c r="K3541" s="291"/>
      <c r="L3541" s="291"/>
      <c r="M3541" s="291"/>
      <c r="S3541" s="364"/>
      <c r="Z3541" s="609" t="s">
        <v>3873</v>
      </c>
      <c r="AA3541" s="609" t="s">
        <v>5674</v>
      </c>
      <c r="AC3541" s="369" t="s">
        <v>6571</v>
      </c>
    </row>
    <row r="3542" spans="1:29" ht="18">
      <c r="A3542" s="2712"/>
      <c r="B3542" s="371"/>
      <c r="C3542" s="371" t="s">
        <v>2755</v>
      </c>
      <c r="D3542" s="371"/>
      <c r="F3542" s="294"/>
      <c r="G3542" s="301"/>
      <c r="H3542" s="315"/>
      <c r="I3542" s="315"/>
      <c r="J3542" s="291"/>
      <c r="K3542" s="291"/>
      <c r="L3542" s="291"/>
      <c r="M3542" s="291"/>
      <c r="S3542" s="364"/>
      <c r="Z3542" s="609" t="s">
        <v>3873</v>
      </c>
      <c r="AA3542" s="609" t="s">
        <v>5674</v>
      </c>
    </row>
    <row r="3543" spans="1:29" ht="18">
      <c r="A3543" s="2712" t="s">
        <v>1490</v>
      </c>
      <c r="B3543" s="371">
        <v>2</v>
      </c>
      <c r="C3543" s="371"/>
      <c r="D3543" s="2714" t="str">
        <f>VLOOKUP($A3543,Sheet_NoteList,2,0)</f>
        <v>预收账款按账龄列示</v>
      </c>
      <c r="E3543" s="2714" t="s">
        <v>6529</v>
      </c>
      <c r="F3543" s="294"/>
      <c r="G3543" s="307" t="str">
        <f>"("&amp;B3543&amp;")"&amp;D3543</f>
        <v>(2)预收账款按账龄列示</v>
      </c>
      <c r="H3543" s="1515" t="str">
        <f>$A3543</f>
        <v>2205g</v>
      </c>
      <c r="I3543" s="343" t="s">
        <v>5564</v>
      </c>
      <c r="J3543" s="301" t="s">
        <v>5562</v>
      </c>
      <c r="K3543" s="2208">
        <f>H3551</f>
        <v>1190488.93</v>
      </c>
      <c r="L3543" s="345" t="str">
        <f>IF($I3543="适用",IF(ROUND(K$3532-K3543,2)=0,"F/S",ROUND(K$3532-K3543,2)),"#N/A")</f>
        <v>F/S</v>
      </c>
      <c r="M3543" s="301" t="s">
        <v>5563</v>
      </c>
      <c r="N3543" s="2208">
        <f>I3551</f>
        <v>2572903.23</v>
      </c>
      <c r="O3543" s="345" t="str">
        <f>IF($I3543="适用",IF(ROUND(N$3532-N3543,2)=0,"F/S",ROUND(N$3532-N3543,2)),"#N/A")</f>
        <v>F/S</v>
      </c>
      <c r="P3543" s="301"/>
      <c r="S3543" s="364"/>
      <c r="Z3543" s="609" t="s">
        <v>3873</v>
      </c>
      <c r="AA3543" s="609" t="s">
        <v>5674</v>
      </c>
    </row>
    <row r="3544" spans="1:29" ht="0.75" customHeight="1" thickBot="1">
      <c r="A3544" s="2712"/>
      <c r="B3544" s="371"/>
      <c r="C3544" s="371"/>
      <c r="D3544" s="371"/>
      <c r="E3544" s="586"/>
      <c r="F3544" s="586"/>
      <c r="G3544" s="586" t="s">
        <v>3877</v>
      </c>
      <c r="H3544" s="371" t="s">
        <v>2747</v>
      </c>
      <c r="I3544" s="371" t="s">
        <v>2748</v>
      </c>
      <c r="J3544" s="291"/>
      <c r="K3544" s="291"/>
      <c r="L3544" s="291"/>
      <c r="M3544" s="291"/>
      <c r="S3544" s="364"/>
      <c r="Z3544" s="609" t="s">
        <v>3873</v>
      </c>
      <c r="AA3544" s="609" t="s">
        <v>5674</v>
      </c>
    </row>
    <row r="3545" spans="1:29" ht="18">
      <c r="A3545" s="2712"/>
      <c r="B3545" s="371"/>
      <c r="C3545" s="371"/>
      <c r="D3545" s="371"/>
      <c r="E3545" s="586" t="s">
        <v>2749</v>
      </c>
      <c r="F3545" s="363"/>
      <c r="G3545" s="2658" t="s">
        <v>1439</v>
      </c>
      <c r="H3545" s="2659" t="s">
        <v>2775</v>
      </c>
      <c r="I3545" s="2660" t="s">
        <v>2776</v>
      </c>
      <c r="J3545" s="355" t="s">
        <v>6174</v>
      </c>
      <c r="K3545" s="291"/>
      <c r="L3545" s="291"/>
      <c r="M3545" s="291"/>
      <c r="S3545" s="364"/>
      <c r="Z3545" s="609" t="s">
        <v>3873</v>
      </c>
      <c r="AA3545" s="609" t="s">
        <v>5674</v>
      </c>
    </row>
    <row r="3546" spans="1:29" ht="18">
      <c r="A3546" s="2712"/>
      <c r="B3546" s="371">
        <v>101</v>
      </c>
      <c r="C3546" s="371" t="s">
        <v>2791</v>
      </c>
      <c r="D3546" s="2714">
        <f t="shared" ref="D3546:D3551" si="408">IF(OR(G3546="*",G3546="",G3546=0),0,COUNTIF($G$3546:$G$3551,G3546))</f>
        <v>1</v>
      </c>
      <c r="E3546" s="2719">
        <v>1</v>
      </c>
      <c r="F3546" s="294"/>
      <c r="G3546" s="2661" t="s">
        <v>3855</v>
      </c>
      <c r="H3546" s="2273">
        <v>1190488.93</v>
      </c>
      <c r="I3546" s="2294">
        <v>2572903.23</v>
      </c>
      <c r="J3546" s="579"/>
      <c r="K3546" s="291"/>
      <c r="L3546" s="291"/>
      <c r="M3546" s="291"/>
      <c r="S3546" s="364"/>
      <c r="Z3546" s="609" t="s">
        <v>3873</v>
      </c>
      <c r="AA3546" s="609" t="s">
        <v>5674</v>
      </c>
    </row>
    <row r="3547" spans="1:29" ht="18">
      <c r="A3547" s="2712"/>
      <c r="B3547" s="371">
        <v>102</v>
      </c>
      <c r="C3547" s="371" t="s">
        <v>2791</v>
      </c>
      <c r="D3547" s="2714">
        <f t="shared" si="408"/>
        <v>1</v>
      </c>
      <c r="E3547" s="2719">
        <v>1</v>
      </c>
      <c r="F3547" s="294"/>
      <c r="G3547" s="2661" t="s">
        <v>3878</v>
      </c>
      <c r="H3547" s="2273"/>
      <c r="I3547" s="2294"/>
      <c r="J3547" s="291"/>
      <c r="K3547" s="291"/>
      <c r="L3547" s="291"/>
      <c r="M3547" s="291"/>
      <c r="S3547" s="364"/>
      <c r="Z3547" s="609" t="s">
        <v>3873</v>
      </c>
      <c r="AA3547" s="609" t="s">
        <v>5674</v>
      </c>
    </row>
    <row r="3548" spans="1:29" ht="18">
      <c r="A3548" s="2712"/>
      <c r="B3548" s="371">
        <v>103</v>
      </c>
      <c r="C3548" s="371" t="s">
        <v>2791</v>
      </c>
      <c r="D3548" s="2714">
        <f t="shared" si="408"/>
        <v>0</v>
      </c>
      <c r="E3548" s="2719">
        <v>1</v>
      </c>
      <c r="F3548" s="294"/>
      <c r="G3548" s="2661" t="s">
        <v>2792</v>
      </c>
      <c r="H3548" s="2273"/>
      <c r="I3548" s="2294"/>
      <c r="J3548" s="291"/>
      <c r="K3548" s="291"/>
      <c r="L3548" s="291"/>
      <c r="M3548" s="291"/>
      <c r="S3548" s="364"/>
      <c r="Z3548" s="609" t="s">
        <v>3873</v>
      </c>
      <c r="AA3548" s="609" t="s">
        <v>5674</v>
      </c>
    </row>
    <row r="3549" spans="1:29" ht="18">
      <c r="A3549" s="2712"/>
      <c r="B3549" s="371">
        <v>104</v>
      </c>
      <c r="C3549" s="371" t="s">
        <v>2791</v>
      </c>
      <c r="D3549" s="2714">
        <f t="shared" si="408"/>
        <v>0</v>
      </c>
      <c r="E3549" s="2719">
        <v>1</v>
      </c>
      <c r="F3549" s="294"/>
      <c r="G3549" s="2661" t="s">
        <v>2792</v>
      </c>
      <c r="H3549" s="2273"/>
      <c r="I3549" s="2294"/>
      <c r="J3549" s="291"/>
      <c r="K3549" s="291"/>
      <c r="L3549" s="291"/>
      <c r="M3549" s="291"/>
      <c r="S3549" s="364"/>
      <c r="Z3549" s="609" t="s">
        <v>3873</v>
      </c>
      <c r="AA3549" s="609" t="s">
        <v>5674</v>
      </c>
    </row>
    <row r="3550" spans="1:29" ht="18">
      <c r="A3550" s="2712"/>
      <c r="B3550" s="371">
        <v>105</v>
      </c>
      <c r="C3550" s="371" t="s">
        <v>2791</v>
      </c>
      <c r="D3550" s="2714">
        <f t="shared" si="408"/>
        <v>0</v>
      </c>
      <c r="E3550" s="2719">
        <v>1</v>
      </c>
      <c r="F3550" s="294"/>
      <c r="G3550" s="2661" t="s">
        <v>2792</v>
      </c>
      <c r="H3550" s="2273"/>
      <c r="I3550" s="2294"/>
      <c r="J3550" s="291"/>
      <c r="K3550" s="291"/>
      <c r="L3550" s="291"/>
      <c r="M3550" s="291"/>
      <c r="S3550" s="364"/>
      <c r="Z3550" s="609" t="s">
        <v>3873</v>
      </c>
      <c r="AA3550" s="609" t="s">
        <v>5674</v>
      </c>
    </row>
    <row r="3551" spans="1:29" ht="18.75" thickBot="1">
      <c r="A3551" s="2712"/>
      <c r="B3551" s="371"/>
      <c r="C3551" s="371"/>
      <c r="D3551" s="2714">
        <f t="shared" si="408"/>
        <v>1</v>
      </c>
      <c r="E3551" s="2719" t="s">
        <v>2751</v>
      </c>
      <c r="F3551" s="294"/>
      <c r="G3551" s="1527" t="s">
        <v>2752</v>
      </c>
      <c r="H3551" s="1525">
        <f>SUMPRODUCT($E3545:$E3550,H3545:H3550)</f>
        <v>1190488.93</v>
      </c>
      <c r="I3551" s="1526">
        <f>SUMPRODUCT($E3545:$E3550,I3545:I3550)</f>
        <v>2572903.23</v>
      </c>
      <c r="J3551" s="291"/>
      <c r="K3551" s="291"/>
      <c r="L3551" s="291"/>
      <c r="M3551" s="291"/>
      <c r="S3551" s="364"/>
      <c r="Z3551" s="609" t="s">
        <v>3873</v>
      </c>
      <c r="AA3551" s="609" t="s">
        <v>5674</v>
      </c>
    </row>
    <row r="3552" spans="1:29" ht="18.75" thickBot="1">
      <c r="A3552" s="2712"/>
      <c r="B3552" s="371"/>
      <c r="C3552" s="371" t="s">
        <v>2755</v>
      </c>
      <c r="D3552" s="371"/>
      <c r="F3552" s="294"/>
      <c r="G3552" s="301"/>
      <c r="H3552" s="315" t="s">
        <v>3002</v>
      </c>
      <c r="I3552" s="315" t="s">
        <v>3002</v>
      </c>
      <c r="J3552" s="291"/>
      <c r="K3552" s="291"/>
      <c r="L3552" s="291"/>
      <c r="M3552" s="291"/>
      <c r="S3552" s="364"/>
      <c r="Z3552" s="609" t="s">
        <v>3873</v>
      </c>
      <c r="AA3552" s="609" t="s">
        <v>5674</v>
      </c>
    </row>
    <row r="3553" spans="1:27" ht="18.75" thickTop="1">
      <c r="A3553" s="2712"/>
      <c r="B3553" s="371"/>
      <c r="C3553" s="371" t="s">
        <v>2565</v>
      </c>
      <c r="D3553" s="371"/>
      <c r="F3553" s="294"/>
      <c r="G3553" s="1559" t="s">
        <v>5365</v>
      </c>
      <c r="H3553" s="1548" t="str">
        <f>G3533</f>
        <v>(1)预收款项列示</v>
      </c>
      <c r="I3553" s="1550"/>
      <c r="J3553" s="1551" t="s">
        <v>5366</v>
      </c>
      <c r="K3553" s="291"/>
      <c r="L3553" s="291"/>
      <c r="M3553" s="291"/>
      <c r="S3553" s="364"/>
      <c r="Z3553" s="609" t="s">
        <v>3873</v>
      </c>
      <c r="AA3553" s="609" t="s">
        <v>5674</v>
      </c>
    </row>
    <row r="3554" spans="1:27" ht="18">
      <c r="A3554" s="2712"/>
      <c r="B3554" s="371"/>
      <c r="C3554" s="371" t="s">
        <v>2565</v>
      </c>
      <c r="D3554" s="371"/>
      <c r="F3554" s="294"/>
      <c r="G3554" s="316" t="str">
        <f>"注释A:"&amp; G3541</f>
        <v>注释A:合       计</v>
      </c>
      <c r="H3554" s="2250">
        <f ca="1">HYPERLINK("#'"&amp;$G$1&amp;"'!"&amp;ADDRESS(ROW(Notes!H3541),COLUMN(Notes!H3541),4),H3541)</f>
        <v>1190488.93</v>
      </c>
      <c r="I3554" s="2250">
        <f ca="1">HYPERLINK("#'"&amp;$G$1&amp;"'!"&amp;ADDRESS(ROW(Notes!I3541),COLUMN(Notes!I3541),4),I3541)</f>
        <v>2572903.23</v>
      </c>
      <c r="J3554" s="2630" t="str">
        <f>H3533</f>
        <v>2205f</v>
      </c>
      <c r="K3554" s="291"/>
      <c r="L3554" s="291"/>
      <c r="M3554" s="291"/>
      <c r="S3554" s="364"/>
      <c r="Z3554" s="609" t="s">
        <v>3873</v>
      </c>
      <c r="AA3554" s="609" t="s">
        <v>5674</v>
      </c>
    </row>
    <row r="3555" spans="1:27" ht="18">
      <c r="A3555" s="2712"/>
      <c r="B3555" s="371"/>
      <c r="C3555" s="371" t="s">
        <v>2565</v>
      </c>
      <c r="D3555" s="371"/>
      <c r="F3555" s="294"/>
      <c r="G3555" s="316" t="str">
        <f>"本注释B:"&amp; G3551</f>
        <v>本注释B:合       计</v>
      </c>
      <c r="H3555" s="456">
        <f>H3551</f>
        <v>1190488.93</v>
      </c>
      <c r="I3555" s="456">
        <f>I3551</f>
        <v>2572903.23</v>
      </c>
      <c r="J3555" s="2636" t="s">
        <v>1490</v>
      </c>
      <c r="K3555" s="291"/>
      <c r="L3555" s="291"/>
      <c r="M3555" s="291"/>
      <c r="S3555" s="364"/>
      <c r="Z3555" s="609" t="s">
        <v>3873</v>
      </c>
      <c r="AA3555" s="609" t="s">
        <v>5674</v>
      </c>
    </row>
    <row r="3556" spans="1:27" ht="18.75" thickBot="1">
      <c r="A3556" s="2712"/>
      <c r="B3556" s="371"/>
      <c r="C3556" s="371" t="s">
        <v>2565</v>
      </c>
      <c r="D3556" s="371"/>
      <c r="F3556" s="294"/>
      <c r="G3556" s="1560" t="s">
        <v>2757</v>
      </c>
      <c r="H3556" s="1529">
        <f ca="1">IF(AND(H3554="",H3555=""),"",ROUND(H3554-H3555,2))</f>
        <v>0</v>
      </c>
      <c r="I3556" s="1529">
        <f ca="1">IF(AND(I3554="",I3555=""),"",ROUND(I3554-I3555,2))</f>
        <v>0</v>
      </c>
      <c r="J3556" s="1553"/>
      <c r="K3556" s="291"/>
      <c r="L3556" s="291"/>
      <c r="M3556" s="291"/>
      <c r="S3556" s="364"/>
      <c r="Z3556" s="609" t="s">
        <v>3873</v>
      </c>
      <c r="AA3556" s="609" t="s">
        <v>5674</v>
      </c>
    </row>
    <row r="3557" spans="1:27" ht="18.75" thickTop="1">
      <c r="A3557" s="2712"/>
      <c r="B3557" s="371"/>
      <c r="C3557" s="371" t="s">
        <v>2565</v>
      </c>
      <c r="D3557" s="371"/>
      <c r="F3557" s="294"/>
      <c r="G3557" s="354"/>
      <c r="H3557" s="459" t="str">
        <f ca="1">IF(OR(H3556=0,H3556=""),"√","？")</f>
        <v>√</v>
      </c>
      <c r="I3557" s="459" t="str">
        <f ca="1">IF(OR(I3556=0,I3556=""),"√","？")</f>
        <v>√</v>
      </c>
      <c r="J3557" s="354"/>
      <c r="K3557" s="291"/>
      <c r="L3557" s="291"/>
      <c r="M3557" s="291"/>
      <c r="S3557" s="364"/>
      <c r="Z3557" s="609" t="s">
        <v>3873</v>
      </c>
      <c r="AA3557" s="609" t="s">
        <v>5674</v>
      </c>
    </row>
    <row r="3558" spans="1:27" ht="18">
      <c r="A3558" s="2712"/>
      <c r="B3558" s="371"/>
      <c r="C3558" s="371" t="s">
        <v>2565</v>
      </c>
      <c r="D3558" s="371"/>
      <c r="F3558" s="294"/>
      <c r="G3558" s="460" t="s">
        <v>2759</v>
      </c>
      <c r="H3558" s="461"/>
      <c r="I3558" s="461"/>
      <c r="J3558" s="354"/>
      <c r="K3558" s="345">
        <f ca="1">SUMIF($H$3557:$J$3557,"&lt;&gt;√",$H$3556:$J$3556)</f>
        <v>0</v>
      </c>
      <c r="L3558" s="475" t="str">
        <f ca="1">IF(OR(K3558=0,K3558=""),"√","？")</f>
        <v>√</v>
      </c>
      <c r="M3558" s="291"/>
      <c r="S3558" s="364"/>
      <c r="Z3558" s="609" t="s">
        <v>3873</v>
      </c>
      <c r="AA3558" s="609" t="s">
        <v>5674</v>
      </c>
    </row>
    <row r="3559" spans="1:27" ht="18">
      <c r="A3559" s="2712"/>
      <c r="B3559" s="371"/>
      <c r="C3559" s="371" t="s">
        <v>2565</v>
      </c>
      <c r="D3559" s="371"/>
      <c r="F3559" s="294"/>
      <c r="G3559" s="354"/>
      <c r="H3559" s="461"/>
      <c r="I3559" s="461"/>
      <c r="J3559" s="354"/>
      <c r="K3559" s="291"/>
      <c r="L3559" s="291"/>
      <c r="M3559" s="291"/>
      <c r="S3559" s="364"/>
      <c r="Z3559" s="609" t="s">
        <v>3873</v>
      </c>
      <c r="AA3559" s="609" t="s">
        <v>5674</v>
      </c>
    </row>
    <row r="3560" spans="1:27" ht="24">
      <c r="A3560" s="2712" t="s">
        <v>1463</v>
      </c>
      <c r="B3560" s="371">
        <v>3</v>
      </c>
      <c r="C3560" s="371"/>
      <c r="D3560" s="2714" t="str">
        <f>VLOOKUP($A3560,Sheet_NoteList,2,0)</f>
        <v>期末账龄超过1年的重要预收款项</v>
      </c>
      <c r="E3560" s="2714" t="s">
        <v>2742</v>
      </c>
      <c r="F3560" s="294"/>
      <c r="G3560" s="372" t="str">
        <f>"("&amp;B3560&amp;")"&amp;D3560</f>
        <v>(3)期末账龄超过1年的重要预收款项</v>
      </c>
      <c r="H3560" s="1515" t="str">
        <f>$A3560</f>
        <v>2205a</v>
      </c>
      <c r="I3560" s="343" t="s">
        <v>2743</v>
      </c>
      <c r="J3560" s="301" t="s">
        <v>2744</v>
      </c>
      <c r="K3560" s="2208">
        <f>H3568</f>
        <v>0</v>
      </c>
      <c r="L3560" s="345" t="str">
        <f>IF($I3560="适用",IF(ROUND(K3532-K3560,2)&gt;=0,"","#Logical!"),"#N/A")</f>
        <v/>
      </c>
      <c r="M3560" s="301"/>
      <c r="N3560" s="3083"/>
      <c r="O3560" s="315"/>
      <c r="P3560" s="301"/>
      <c r="Q3560" s="290" t="str">
        <f>IF($I3560="不适用","",IF(ROUND(SUM($H$3563:$I$3568),2)=0,"请输入",""))</f>
        <v>请输入</v>
      </c>
      <c r="S3560" s="364"/>
      <c r="Z3560" s="609" t="s">
        <v>3873</v>
      </c>
      <c r="AA3560" s="609" t="s">
        <v>5674</v>
      </c>
    </row>
    <row r="3561" spans="1:27" ht="0.75" customHeight="1" thickBot="1">
      <c r="A3561" s="2712"/>
      <c r="B3561" s="371"/>
      <c r="C3561" s="371"/>
      <c r="D3561" s="371"/>
      <c r="F3561" s="304"/>
      <c r="G3561" s="304" t="s">
        <v>3879</v>
      </c>
      <c r="H3561" s="304" t="s">
        <v>2747</v>
      </c>
      <c r="I3561" s="304" t="s">
        <v>3880</v>
      </c>
      <c r="K3561" s="291"/>
      <c r="L3561" s="291"/>
      <c r="M3561" s="291"/>
      <c r="N3561" s="291"/>
      <c r="S3561" s="364"/>
      <c r="Z3561" s="609" t="s">
        <v>3873</v>
      </c>
      <c r="AA3561" s="609" t="s">
        <v>5674</v>
      </c>
    </row>
    <row r="3562" spans="1:27" ht="24">
      <c r="A3562" s="2712"/>
      <c r="B3562" s="371"/>
      <c r="C3562" s="371"/>
      <c r="D3562" s="371"/>
      <c r="E3562" s="2714" t="s">
        <v>2749</v>
      </c>
      <c r="F3562" s="294"/>
      <c r="G3562" s="378" t="s">
        <v>47</v>
      </c>
      <c r="H3562" s="2471" t="str">
        <f>$V$2</f>
        <v>2019年12月31日</v>
      </c>
      <c r="I3562" s="1486" t="s">
        <v>5211</v>
      </c>
      <c r="J3562" s="355" t="s">
        <v>5302</v>
      </c>
      <c r="K3562" s="291"/>
      <c r="L3562" s="291"/>
      <c r="M3562" s="291"/>
      <c r="N3562" s="291"/>
      <c r="S3562" s="364"/>
      <c r="Z3562" s="609" t="s">
        <v>3873</v>
      </c>
      <c r="AA3562" s="609" t="s">
        <v>5674</v>
      </c>
    </row>
    <row r="3563" spans="1:27" ht="18">
      <c r="A3563" s="2712"/>
      <c r="B3563" s="371">
        <v>101</v>
      </c>
      <c r="C3563" s="371" t="s">
        <v>2791</v>
      </c>
      <c r="D3563" s="2714">
        <f t="shared" ref="D3563:D3568" si="409">IF(OR(G3563="*",G3563="",G3563=0),0,COUNTIF($G$3563:$G$3568,G3563))</f>
        <v>0</v>
      </c>
      <c r="E3563" s="2719">
        <v>1</v>
      </c>
      <c r="F3563" s="294"/>
      <c r="G3563" s="409" t="s">
        <v>2792</v>
      </c>
      <c r="H3563" s="383"/>
      <c r="I3563" s="492"/>
      <c r="K3563" s="291"/>
      <c r="L3563" s="291"/>
      <c r="M3563" s="291"/>
      <c r="N3563" s="291"/>
      <c r="S3563" s="364"/>
      <c r="Z3563" s="609" t="s">
        <v>3873</v>
      </c>
      <c r="AA3563" s="609" t="s">
        <v>5674</v>
      </c>
    </row>
    <row r="3564" spans="1:27" ht="18">
      <c r="A3564" s="2712"/>
      <c r="B3564" s="371">
        <v>102</v>
      </c>
      <c r="C3564" s="371" t="s">
        <v>2791</v>
      </c>
      <c r="D3564" s="2714">
        <f t="shared" si="409"/>
        <v>0</v>
      </c>
      <c r="E3564" s="2719">
        <v>1</v>
      </c>
      <c r="F3564" s="294"/>
      <c r="G3564" s="409" t="s">
        <v>2792</v>
      </c>
      <c r="H3564" s="383"/>
      <c r="I3564" s="492"/>
      <c r="K3564" s="291"/>
      <c r="L3564" s="291"/>
      <c r="M3564" s="291"/>
      <c r="N3564" s="291"/>
      <c r="S3564" s="364"/>
      <c r="Z3564" s="609" t="s">
        <v>3873</v>
      </c>
      <c r="AA3564" s="609" t="s">
        <v>5674</v>
      </c>
    </row>
    <row r="3565" spans="1:27" ht="18">
      <c r="A3565" s="2712"/>
      <c r="B3565" s="371">
        <v>103</v>
      </c>
      <c r="C3565" s="371" t="s">
        <v>2791</v>
      </c>
      <c r="D3565" s="2714">
        <f t="shared" si="409"/>
        <v>0</v>
      </c>
      <c r="E3565" s="2719">
        <v>1</v>
      </c>
      <c r="F3565" s="294"/>
      <c r="G3565" s="409" t="s">
        <v>2792</v>
      </c>
      <c r="H3565" s="383"/>
      <c r="I3565" s="492"/>
      <c r="K3565" s="291"/>
      <c r="L3565" s="291"/>
      <c r="M3565" s="291"/>
      <c r="N3565" s="291"/>
      <c r="S3565" s="364"/>
      <c r="Z3565" s="609" t="s">
        <v>3873</v>
      </c>
      <c r="AA3565" s="609" t="s">
        <v>5674</v>
      </c>
    </row>
    <row r="3566" spans="1:27" ht="18">
      <c r="A3566" s="2712"/>
      <c r="B3566" s="371">
        <v>104</v>
      </c>
      <c r="C3566" s="371" t="s">
        <v>2791</v>
      </c>
      <c r="D3566" s="2714">
        <f t="shared" si="409"/>
        <v>0</v>
      </c>
      <c r="E3566" s="2719">
        <v>1</v>
      </c>
      <c r="F3566" s="294"/>
      <c r="G3566" s="409" t="s">
        <v>2792</v>
      </c>
      <c r="H3566" s="383"/>
      <c r="I3566" s="492"/>
      <c r="K3566" s="291"/>
      <c r="L3566" s="291"/>
      <c r="M3566" s="291"/>
      <c r="N3566" s="291"/>
      <c r="S3566" s="364"/>
      <c r="Z3566" s="609" t="s">
        <v>3873</v>
      </c>
      <c r="AA3566" s="609" t="s">
        <v>5674</v>
      </c>
    </row>
    <row r="3567" spans="1:27" ht="18">
      <c r="A3567" s="2712"/>
      <c r="B3567" s="371">
        <v>105</v>
      </c>
      <c r="C3567" s="371" t="s">
        <v>2791</v>
      </c>
      <c r="D3567" s="2714">
        <f t="shared" si="409"/>
        <v>0</v>
      </c>
      <c r="E3567" s="2719">
        <v>1</v>
      </c>
      <c r="F3567" s="294"/>
      <c r="G3567" s="409" t="s">
        <v>2792</v>
      </c>
      <c r="H3567" s="383"/>
      <c r="I3567" s="492"/>
      <c r="K3567" s="291"/>
      <c r="L3567" s="291"/>
      <c r="M3567" s="291"/>
      <c r="N3567" s="291"/>
      <c r="S3567" s="364"/>
      <c r="Z3567" s="609" t="s">
        <v>3873</v>
      </c>
      <c r="AA3567" s="609" t="s">
        <v>5674</v>
      </c>
    </row>
    <row r="3568" spans="1:27" ht="18.75" thickBot="1">
      <c r="A3568" s="2712"/>
      <c r="B3568" s="371"/>
      <c r="C3568" s="371"/>
      <c r="D3568" s="2714">
        <f t="shared" si="409"/>
        <v>1</v>
      </c>
      <c r="E3568" s="2719" t="s">
        <v>2751</v>
      </c>
      <c r="F3568" s="294"/>
      <c r="G3568" s="403" t="s">
        <v>2752</v>
      </c>
      <c r="H3568" s="503">
        <f>SUMPRODUCT($E3562:$E3567,H3562:H3567)</f>
        <v>0</v>
      </c>
      <c r="I3568" s="513"/>
      <c r="K3568" s="291"/>
      <c r="L3568" s="291"/>
      <c r="M3568" s="291"/>
      <c r="N3568" s="291"/>
      <c r="S3568" s="364"/>
      <c r="Z3568" s="609" t="s">
        <v>3873</v>
      </c>
      <c r="AA3568" s="609" t="s">
        <v>5674</v>
      </c>
    </row>
    <row r="3569" spans="1:27" ht="18">
      <c r="A3569" s="2712"/>
      <c r="B3569" s="371"/>
      <c r="C3569" s="371" t="s">
        <v>2755</v>
      </c>
      <c r="D3569" s="371"/>
      <c r="F3569" s="294"/>
      <c r="G3569" s="301"/>
      <c r="H3569" s="349"/>
      <c r="I3569" s="350"/>
      <c r="J3569" s="350"/>
      <c r="K3569" s="291"/>
      <c r="L3569" s="291"/>
      <c r="M3569" s="291"/>
      <c r="N3569" s="291"/>
      <c r="S3569" s="364"/>
      <c r="Z3569" s="609" t="s">
        <v>3873</v>
      </c>
      <c r="AA3569" s="609" t="s">
        <v>5674</v>
      </c>
    </row>
    <row r="3570" spans="1:27" ht="24">
      <c r="A3570" s="2712" t="s">
        <v>1469</v>
      </c>
      <c r="B3570" s="371">
        <v>4</v>
      </c>
      <c r="C3570" s="371"/>
      <c r="D3570" s="2714" t="str">
        <f>VLOOKUP($A3570,Sheet_NoteList,2,0)</f>
        <v>建造合同形成的已结算未完工项目情况</v>
      </c>
      <c r="E3570" s="2714" t="s">
        <v>2742</v>
      </c>
      <c r="F3570" s="294"/>
      <c r="G3570" s="372" t="str">
        <f>"("&amp;B3570&amp;")"&amp;D3570</f>
        <v>(4)建造合同形成的已结算未完工项目情况</v>
      </c>
      <c r="H3570" s="1515" t="str">
        <f>$A3570</f>
        <v>2205h</v>
      </c>
      <c r="I3570" s="343" t="s">
        <v>2743</v>
      </c>
      <c r="J3570" s="301" t="s">
        <v>2744</v>
      </c>
      <c r="K3570" s="2208">
        <f>H3578</f>
        <v>0</v>
      </c>
      <c r="L3570" s="315"/>
      <c r="M3570" s="301"/>
      <c r="N3570" s="3083"/>
      <c r="O3570" s="315"/>
      <c r="P3570" s="301"/>
      <c r="Q3570" s="290" t="str">
        <f>IF($I3570="不适用","",IF(ROUND(SUM($H$3573:$I$3578),2)=0,"请输入",""))</f>
        <v>请输入</v>
      </c>
      <c r="S3570" s="364"/>
      <c r="Z3570" s="609" t="s">
        <v>3873</v>
      </c>
      <c r="AA3570" s="609" t="s">
        <v>5674</v>
      </c>
    </row>
    <row r="3571" spans="1:27" ht="0.75" customHeight="1" thickBot="1">
      <c r="A3571" s="2712"/>
      <c r="B3571" s="371"/>
      <c r="C3571" s="371"/>
      <c r="D3571" s="371"/>
      <c r="E3571" s="586"/>
      <c r="F3571" s="586"/>
      <c r="G3571" s="586" t="s">
        <v>3881</v>
      </c>
      <c r="H3571" s="371" t="s">
        <v>2747</v>
      </c>
      <c r="I3571" s="602"/>
      <c r="J3571" s="472"/>
      <c r="K3571" s="472"/>
      <c r="L3571" s="472"/>
      <c r="M3571" s="472"/>
      <c r="N3571" s="472"/>
      <c r="O3571" s="472"/>
      <c r="P3571" s="442"/>
      <c r="Q3571" s="442"/>
      <c r="R3571" s="443"/>
      <c r="S3571" s="364"/>
      <c r="Z3571" s="609" t="s">
        <v>3873</v>
      </c>
      <c r="AA3571" s="609" t="s">
        <v>5674</v>
      </c>
    </row>
    <row r="3572" spans="1:27" ht="18">
      <c r="A3572" s="2712"/>
      <c r="B3572" s="371"/>
      <c r="C3572" s="371"/>
      <c r="D3572" s="371"/>
      <c r="E3572" s="586" t="s">
        <v>2749</v>
      </c>
      <c r="F3572" s="363"/>
      <c r="G3572" s="2359" t="s">
        <v>47</v>
      </c>
      <c r="H3572" s="2477" t="str">
        <f>$V$2</f>
        <v>2019年12月31日</v>
      </c>
      <c r="I3572" s="355" t="s">
        <v>5302</v>
      </c>
      <c r="J3572" s="537"/>
      <c r="K3572" s="537"/>
      <c r="L3572" s="472"/>
      <c r="M3572" s="472"/>
      <c r="N3572" s="472"/>
      <c r="O3572" s="472"/>
      <c r="P3572" s="442"/>
      <c r="Q3572" s="442"/>
      <c r="R3572" s="443"/>
      <c r="S3572" s="364"/>
      <c r="Z3572" s="609" t="s">
        <v>3873</v>
      </c>
      <c r="AA3572" s="609" t="s">
        <v>5674</v>
      </c>
    </row>
    <row r="3573" spans="1:27" ht="18">
      <c r="A3573" s="2712"/>
      <c r="B3573" s="371">
        <v>101</v>
      </c>
      <c r="C3573" s="371"/>
      <c r="D3573" s="2714">
        <f t="shared" ref="D3573:D3578" si="410">IF(OR(G3573="*",G3573="",G3573=0),0,COUNTIF($G$3573:$G$3578,G3573))</f>
        <v>1</v>
      </c>
      <c r="E3573" s="2719">
        <v>1</v>
      </c>
      <c r="F3573" s="294"/>
      <c r="G3573" s="1472" t="s">
        <v>3258</v>
      </c>
      <c r="H3573" s="2294"/>
      <c r="I3573" s="538"/>
      <c r="J3573" s="537"/>
      <c r="K3573" s="537"/>
      <c r="L3573" s="472"/>
      <c r="M3573" s="472"/>
      <c r="N3573" s="472"/>
      <c r="O3573" s="472"/>
      <c r="P3573" s="442"/>
      <c r="Q3573" s="442"/>
      <c r="R3573" s="443"/>
      <c r="S3573" s="364"/>
      <c r="Z3573" s="609" t="s">
        <v>3873</v>
      </c>
      <c r="AA3573" s="609" t="s">
        <v>5674</v>
      </c>
    </row>
    <row r="3574" spans="1:27" ht="18">
      <c r="A3574" s="2712"/>
      <c r="B3574" s="371">
        <v>102</v>
      </c>
      <c r="C3574" s="371"/>
      <c r="D3574" s="2714">
        <f t="shared" si="410"/>
        <v>1</v>
      </c>
      <c r="E3574" s="2719">
        <v>1</v>
      </c>
      <c r="F3574" s="294"/>
      <c r="G3574" s="1472" t="s">
        <v>3259</v>
      </c>
      <c r="H3574" s="2294"/>
      <c r="I3574" s="437"/>
      <c r="J3574" s="472"/>
      <c r="K3574" s="472"/>
      <c r="L3574" s="472"/>
      <c r="M3574" s="472"/>
      <c r="N3574" s="472"/>
      <c r="O3574" s="472"/>
      <c r="P3574" s="442"/>
      <c r="Q3574" s="442"/>
      <c r="R3574" s="443"/>
      <c r="S3574" s="364"/>
      <c r="Z3574" s="609" t="s">
        <v>3873</v>
      </c>
      <c r="AA3574" s="609" t="s">
        <v>5674</v>
      </c>
    </row>
    <row r="3575" spans="1:27" ht="18">
      <c r="A3575" s="2712"/>
      <c r="B3575" s="371">
        <v>103</v>
      </c>
      <c r="C3575" s="371"/>
      <c r="D3575" s="2714">
        <f t="shared" si="410"/>
        <v>1</v>
      </c>
      <c r="E3575" s="2719">
        <v>-1</v>
      </c>
      <c r="F3575" s="294"/>
      <c r="G3575" s="1472" t="s">
        <v>3882</v>
      </c>
      <c r="H3575" s="2294"/>
      <c r="I3575" s="437"/>
      <c r="J3575" s="472"/>
      <c r="K3575" s="472"/>
      <c r="L3575" s="472"/>
      <c r="M3575" s="472"/>
      <c r="N3575" s="472"/>
      <c r="O3575" s="472"/>
      <c r="P3575" s="442"/>
      <c r="Q3575" s="442"/>
      <c r="R3575" s="443"/>
      <c r="S3575" s="364"/>
      <c r="Z3575" s="609" t="s">
        <v>3873</v>
      </c>
      <c r="AA3575" s="609" t="s">
        <v>5674</v>
      </c>
    </row>
    <row r="3576" spans="1:27" ht="18">
      <c r="A3576" s="2712"/>
      <c r="B3576" s="371">
        <v>104</v>
      </c>
      <c r="C3576" s="371"/>
      <c r="D3576" s="2714">
        <f t="shared" si="410"/>
        <v>1</v>
      </c>
      <c r="E3576" s="2719">
        <v>-1</v>
      </c>
      <c r="F3576" s="294"/>
      <c r="G3576" s="1472" t="s">
        <v>3883</v>
      </c>
      <c r="H3576" s="2294"/>
      <c r="I3576" s="437"/>
      <c r="J3576" s="472"/>
      <c r="K3576" s="472"/>
      <c r="L3576" s="472"/>
      <c r="M3576" s="472"/>
      <c r="N3576" s="472"/>
      <c r="O3576" s="472"/>
      <c r="P3576" s="442"/>
      <c r="Q3576" s="442"/>
      <c r="R3576" s="443"/>
      <c r="S3576" s="364"/>
      <c r="Z3576" s="609" t="s">
        <v>3873</v>
      </c>
      <c r="AA3576" s="609" t="s">
        <v>5674</v>
      </c>
    </row>
    <row r="3577" spans="1:27" ht="18">
      <c r="A3577" s="2712"/>
      <c r="B3577" s="371">
        <v>105</v>
      </c>
      <c r="C3577" s="371" t="s">
        <v>2791</v>
      </c>
      <c r="D3577" s="2714">
        <f t="shared" si="410"/>
        <v>0</v>
      </c>
      <c r="E3577" s="2719">
        <v>1</v>
      </c>
      <c r="F3577" s="294"/>
      <c r="G3577" s="2373" t="s">
        <v>2792</v>
      </c>
      <c r="H3577" s="2294"/>
      <c r="I3577" s="437"/>
      <c r="J3577" s="472"/>
      <c r="K3577" s="472"/>
      <c r="L3577" s="472"/>
      <c r="M3577" s="472"/>
      <c r="N3577" s="472"/>
      <c r="O3577" s="472"/>
      <c r="P3577" s="442"/>
      <c r="Q3577" s="442"/>
      <c r="R3577" s="443"/>
      <c r="S3577" s="364"/>
      <c r="Z3577" s="609" t="s">
        <v>3873</v>
      </c>
      <c r="AA3577" s="609" t="s">
        <v>5674</v>
      </c>
    </row>
    <row r="3578" spans="1:27" ht="24.75" thickBot="1">
      <c r="A3578" s="2712"/>
      <c r="B3578" s="371"/>
      <c r="C3578" s="371"/>
      <c r="D3578" s="2714">
        <f t="shared" si="410"/>
        <v>1</v>
      </c>
      <c r="E3578" s="2719" t="s">
        <v>3032</v>
      </c>
      <c r="F3578" s="294"/>
      <c r="G3578" s="2232" t="s">
        <v>3884</v>
      </c>
      <c r="H3578" s="2234">
        <f>SUMPRODUCT($E3572:$E3577,H3572:H3577)</f>
        <v>0</v>
      </c>
      <c r="I3578" s="437"/>
      <c r="J3578" s="472"/>
      <c r="K3578" s="472"/>
      <c r="L3578" s="472"/>
      <c r="M3578" s="472"/>
      <c r="N3578" s="472"/>
      <c r="O3578" s="472"/>
      <c r="P3578" s="442"/>
      <c r="Q3578" s="442"/>
      <c r="R3578" s="443"/>
      <c r="S3578" s="364"/>
      <c r="Z3578" s="609" t="s">
        <v>3873</v>
      </c>
      <c r="AA3578" s="609" t="s">
        <v>5674</v>
      </c>
    </row>
    <row r="3579" spans="1:27" ht="18">
      <c r="A3579" s="2712"/>
      <c r="B3579" s="371"/>
      <c r="C3579" s="371" t="s">
        <v>2755</v>
      </c>
      <c r="D3579" s="371"/>
      <c r="F3579" s="294"/>
      <c r="G3579" s="301"/>
      <c r="H3579" s="315"/>
      <c r="I3579" s="437"/>
      <c r="J3579" s="472"/>
      <c r="K3579" s="472"/>
      <c r="L3579" s="472"/>
      <c r="M3579" s="472"/>
      <c r="N3579" s="472"/>
      <c r="O3579" s="472"/>
      <c r="P3579" s="442"/>
      <c r="Q3579" s="442"/>
      <c r="R3579" s="443"/>
      <c r="S3579" s="364"/>
      <c r="Z3579" s="609" t="s">
        <v>3873</v>
      </c>
      <c r="AA3579" s="609" t="s">
        <v>5674</v>
      </c>
    </row>
    <row r="3580" spans="1:27" ht="24">
      <c r="A3580" s="2712" t="s">
        <v>1485</v>
      </c>
      <c r="B3580" s="371">
        <v>5</v>
      </c>
      <c r="C3580" s="371"/>
      <c r="D3580" s="2714" t="str">
        <f>VLOOKUP($A3580,Sheet_NoteList,2,0)</f>
        <v>预收款项中预售房产收款情况</v>
      </c>
      <c r="E3580" s="2714" t="s">
        <v>6529</v>
      </c>
      <c r="F3580" s="294"/>
      <c r="G3580" s="372" t="str">
        <f>"("&amp;B3580&amp;")"&amp;D3580</f>
        <v>(5)预收款项中预售房产收款情况</v>
      </c>
      <c r="H3580" s="1515" t="str">
        <f>$A3580</f>
        <v>2205e</v>
      </c>
      <c r="I3580" s="343" t="s">
        <v>5972</v>
      </c>
      <c r="J3580" s="301" t="s">
        <v>5971</v>
      </c>
      <c r="K3580" s="2208">
        <f>H3588</f>
        <v>0</v>
      </c>
      <c r="L3580" s="345" t="str">
        <f>IF($I3580="适用",IF(ROUND(K$3532-K3580,2)&gt;=0,"","#Logical!"),"#N/A")</f>
        <v/>
      </c>
      <c r="M3580" s="301" t="s">
        <v>5968</v>
      </c>
      <c r="N3580" s="2208">
        <f>I3588</f>
        <v>0</v>
      </c>
      <c r="O3580" s="345" t="str">
        <f>IF($I3580="适用",IF(ROUND(N$3532-N3580,2)&gt;=0,"","#Logical!"),"#N/A")</f>
        <v/>
      </c>
      <c r="P3580" s="301"/>
      <c r="Q3580" s="290" t="str">
        <f>IF($I3580="不适用","",IF(ROUND(SUM($H$3583:$K$3588),2)=0,"请输入",""))</f>
        <v>请输入</v>
      </c>
      <c r="S3580" s="364"/>
      <c r="Z3580" s="609" t="s">
        <v>3873</v>
      </c>
      <c r="AA3580" s="609" t="s">
        <v>5674</v>
      </c>
    </row>
    <row r="3581" spans="1:27" ht="0.75" customHeight="1" thickBot="1">
      <c r="A3581" s="2712"/>
      <c r="B3581" s="371"/>
      <c r="C3581" s="371"/>
      <c r="D3581" s="371"/>
      <c r="E3581" s="586"/>
      <c r="F3581" s="363"/>
      <c r="G3581" s="363" t="s">
        <v>3885</v>
      </c>
      <c r="H3581" s="294" t="s">
        <v>2747</v>
      </c>
      <c r="I3581" s="294" t="s">
        <v>2748</v>
      </c>
      <c r="J3581" s="294" t="s">
        <v>3886</v>
      </c>
      <c r="K3581" s="294" t="s">
        <v>3887</v>
      </c>
      <c r="L3581" s="291"/>
      <c r="M3581" s="291"/>
      <c r="N3581" s="291"/>
      <c r="O3581" s="291"/>
      <c r="S3581" s="364"/>
      <c r="Z3581" s="609" t="s">
        <v>3873</v>
      </c>
      <c r="AA3581" s="609" t="s">
        <v>5674</v>
      </c>
    </row>
    <row r="3582" spans="1:27" ht="18">
      <c r="A3582" s="2712"/>
      <c r="B3582" s="371"/>
      <c r="C3582" s="371"/>
      <c r="D3582" s="371"/>
      <c r="E3582" s="586" t="s">
        <v>2749</v>
      </c>
      <c r="F3582" s="363"/>
      <c r="G3582" s="2361" t="s">
        <v>1476</v>
      </c>
      <c r="H3582" s="2362" t="s">
        <v>2775</v>
      </c>
      <c r="I3582" s="2362" t="s">
        <v>2776</v>
      </c>
      <c r="J3582" s="2362" t="s">
        <v>3245</v>
      </c>
      <c r="K3582" s="2363" t="s">
        <v>3888</v>
      </c>
      <c r="L3582" s="355" t="s">
        <v>6174</v>
      </c>
      <c r="M3582" s="291"/>
      <c r="N3582" s="291"/>
      <c r="O3582" s="291"/>
      <c r="S3582" s="364"/>
      <c r="Z3582" s="609" t="s">
        <v>3873</v>
      </c>
      <c r="AA3582" s="609" t="s">
        <v>5674</v>
      </c>
    </row>
    <row r="3583" spans="1:27" ht="18">
      <c r="A3583" s="2712"/>
      <c r="B3583" s="371">
        <v>101</v>
      </c>
      <c r="C3583" s="371" t="s">
        <v>2791</v>
      </c>
      <c r="D3583" s="2714">
        <f t="shared" ref="D3583:D3588" si="411">IF(OR(G3583="*",G3583="",G3583=0),0,COUNTIF($G$3583:$G$3588,G3583))</f>
        <v>0</v>
      </c>
      <c r="E3583" s="2719">
        <v>1</v>
      </c>
      <c r="F3583" s="294"/>
      <c r="G3583" s="2373" t="s">
        <v>2792</v>
      </c>
      <c r="H3583" s="2273"/>
      <c r="I3583" s="2273"/>
      <c r="J3583" s="2296"/>
      <c r="K3583" s="2274"/>
      <c r="L3583" s="291"/>
      <c r="M3583" s="291"/>
      <c r="N3583" s="291"/>
      <c r="O3583" s="291"/>
      <c r="S3583" s="364"/>
      <c r="Z3583" s="609" t="s">
        <v>3873</v>
      </c>
      <c r="AA3583" s="609" t="s">
        <v>5674</v>
      </c>
    </row>
    <row r="3584" spans="1:27" ht="18">
      <c r="A3584" s="2712"/>
      <c r="B3584" s="371">
        <v>102</v>
      </c>
      <c r="C3584" s="371" t="s">
        <v>2791</v>
      </c>
      <c r="D3584" s="2714">
        <f t="shared" si="411"/>
        <v>0</v>
      </c>
      <c r="E3584" s="2719">
        <v>1</v>
      </c>
      <c r="F3584" s="294"/>
      <c r="G3584" s="2373" t="s">
        <v>2792</v>
      </c>
      <c r="H3584" s="2273"/>
      <c r="I3584" s="2273"/>
      <c r="J3584" s="2296"/>
      <c r="K3584" s="2274"/>
      <c r="L3584" s="291"/>
      <c r="M3584" s="291"/>
      <c r="N3584" s="291"/>
      <c r="O3584" s="291"/>
      <c r="S3584" s="364"/>
      <c r="Z3584" s="609" t="s">
        <v>3873</v>
      </c>
      <c r="AA3584" s="609" t="s">
        <v>5674</v>
      </c>
    </row>
    <row r="3585" spans="1:27" ht="18">
      <c r="A3585" s="2712"/>
      <c r="B3585" s="371">
        <v>103</v>
      </c>
      <c r="C3585" s="371" t="s">
        <v>2791</v>
      </c>
      <c r="D3585" s="2714">
        <f t="shared" si="411"/>
        <v>0</v>
      </c>
      <c r="E3585" s="2719">
        <v>1</v>
      </c>
      <c r="F3585" s="294"/>
      <c r="G3585" s="2373" t="s">
        <v>2792</v>
      </c>
      <c r="H3585" s="2273"/>
      <c r="I3585" s="2273"/>
      <c r="J3585" s="2296"/>
      <c r="K3585" s="2274"/>
      <c r="L3585" s="291"/>
      <c r="M3585" s="291"/>
      <c r="N3585" s="291"/>
      <c r="O3585" s="291"/>
      <c r="S3585" s="364"/>
      <c r="Z3585" s="609" t="s">
        <v>3873</v>
      </c>
      <c r="AA3585" s="609" t="s">
        <v>5674</v>
      </c>
    </row>
    <row r="3586" spans="1:27" ht="18">
      <c r="A3586" s="2712"/>
      <c r="B3586" s="371">
        <v>104</v>
      </c>
      <c r="C3586" s="371" t="s">
        <v>2791</v>
      </c>
      <c r="D3586" s="2714">
        <f t="shared" si="411"/>
        <v>0</v>
      </c>
      <c r="E3586" s="2719">
        <v>1</v>
      </c>
      <c r="F3586" s="294"/>
      <c r="G3586" s="2373" t="s">
        <v>2792</v>
      </c>
      <c r="H3586" s="2273"/>
      <c r="I3586" s="2273"/>
      <c r="J3586" s="2296"/>
      <c r="K3586" s="2274"/>
      <c r="L3586" s="291"/>
      <c r="M3586" s="291"/>
      <c r="N3586" s="291"/>
      <c r="O3586" s="291"/>
      <c r="S3586" s="364"/>
      <c r="Z3586" s="609" t="s">
        <v>3873</v>
      </c>
      <c r="AA3586" s="609" t="s">
        <v>5674</v>
      </c>
    </row>
    <row r="3587" spans="1:27" ht="18">
      <c r="A3587" s="2712"/>
      <c r="B3587" s="371">
        <v>105</v>
      </c>
      <c r="C3587" s="371" t="s">
        <v>2791</v>
      </c>
      <c r="D3587" s="2714">
        <f t="shared" si="411"/>
        <v>0</v>
      </c>
      <c r="E3587" s="2719">
        <v>1</v>
      </c>
      <c r="F3587" s="294"/>
      <c r="G3587" s="2373" t="s">
        <v>2792</v>
      </c>
      <c r="H3587" s="2273"/>
      <c r="I3587" s="2273"/>
      <c r="J3587" s="2296"/>
      <c r="K3587" s="2274"/>
      <c r="L3587" s="291"/>
      <c r="M3587" s="291"/>
      <c r="N3587" s="291"/>
      <c r="O3587" s="291"/>
      <c r="S3587" s="364"/>
      <c r="Z3587" s="609" t="s">
        <v>3873</v>
      </c>
      <c r="AA3587" s="609" t="s">
        <v>5674</v>
      </c>
    </row>
    <row r="3588" spans="1:27" ht="18.75" thickBot="1">
      <c r="A3588" s="2712"/>
      <c r="B3588" s="371"/>
      <c r="C3588" s="371"/>
      <c r="D3588" s="2714">
        <f t="shared" si="411"/>
        <v>1</v>
      </c>
      <c r="E3588" s="2719" t="s">
        <v>3032</v>
      </c>
      <c r="F3588" s="294"/>
      <c r="G3588" s="1527" t="s">
        <v>2752</v>
      </c>
      <c r="H3588" s="1525">
        <f>SUMPRODUCT($E3582:$E3587,H3582:H3587)</f>
        <v>0</v>
      </c>
      <c r="I3588" s="1525">
        <f>SUMPRODUCT($E3582:$E3587,I3582:I3587)</f>
        <v>0</v>
      </c>
      <c r="J3588" s="2314"/>
      <c r="K3588" s="2264"/>
      <c r="L3588" s="291"/>
      <c r="M3588" s="291"/>
      <c r="N3588" s="291"/>
      <c r="O3588" s="291"/>
      <c r="S3588" s="364"/>
      <c r="Z3588" s="609" t="s">
        <v>3873</v>
      </c>
      <c r="AA3588" s="609" t="s">
        <v>5674</v>
      </c>
    </row>
    <row r="3589" spans="1:27" ht="18">
      <c r="A3589" s="2712"/>
      <c r="B3589" s="371"/>
      <c r="C3589" s="371" t="s">
        <v>2755</v>
      </c>
      <c r="D3589" s="371"/>
      <c r="F3589" s="294"/>
      <c r="G3589" s="301"/>
      <c r="H3589" s="315"/>
      <c r="I3589" s="315"/>
      <c r="J3589" s="393"/>
      <c r="K3589" s="393"/>
      <c r="L3589" s="291"/>
      <c r="M3589" s="291"/>
      <c r="N3589" s="291"/>
      <c r="O3589" s="291"/>
      <c r="S3589" s="364"/>
      <c r="Z3589" s="609" t="s">
        <v>3873</v>
      </c>
      <c r="AA3589" s="609" t="s">
        <v>5674</v>
      </c>
    </row>
    <row r="3590" spans="1:27" ht="24">
      <c r="A3590" s="2712" t="s">
        <v>1474</v>
      </c>
      <c r="B3590" s="371">
        <v>6</v>
      </c>
      <c r="C3590" s="371"/>
      <c r="D3590" s="2714" t="str">
        <f>VLOOKUP($A3590,Sheet_NoteList,2,0)</f>
        <v>关联方应收应付款项——预收款项</v>
      </c>
      <c r="E3590" s="2714" t="s">
        <v>6529</v>
      </c>
      <c r="F3590" s="294"/>
      <c r="G3590" s="372" t="str">
        <f>"("&amp;B3590&amp;")"&amp;D3590</f>
        <v>(6)关联方应收应付款项——预收款项</v>
      </c>
      <c r="H3590" s="1515" t="str">
        <f>$A3590</f>
        <v>2205c</v>
      </c>
      <c r="I3590" s="343" t="s">
        <v>5610</v>
      </c>
      <c r="J3590" s="301"/>
      <c r="K3590" s="3083"/>
      <c r="L3590" s="315"/>
      <c r="M3590" s="301"/>
      <c r="N3590" s="3083"/>
      <c r="O3590" s="315"/>
      <c r="P3590" s="301"/>
      <c r="Q3590" s="290" t="str">
        <f>IF($I3590="不适用","",IF(ROUND(SUM($H$3593:$I$3598),2)=0,"请输入",""))</f>
        <v>请输入</v>
      </c>
      <c r="S3590" s="364"/>
      <c r="Z3590" s="609" t="s">
        <v>3873</v>
      </c>
      <c r="AA3590" s="609" t="s">
        <v>5674</v>
      </c>
    </row>
    <row r="3591" spans="1:27" ht="0.75" customHeight="1" thickBot="1">
      <c r="A3591" s="2712"/>
      <c r="B3591" s="371"/>
      <c r="C3591" s="371"/>
      <c r="D3591" s="371"/>
      <c r="F3591" s="304"/>
      <c r="G3591" s="304" t="s">
        <v>3889</v>
      </c>
      <c r="H3591" s="304" t="s">
        <v>2747</v>
      </c>
      <c r="I3591" s="304" t="s">
        <v>2748</v>
      </c>
      <c r="J3591" s="291"/>
      <c r="K3591" s="291"/>
      <c r="L3591" s="291"/>
      <c r="M3591" s="291"/>
      <c r="S3591" s="364"/>
      <c r="Z3591" s="609" t="s">
        <v>3873</v>
      </c>
      <c r="AA3591" s="609" t="s">
        <v>5674</v>
      </c>
    </row>
    <row r="3592" spans="1:27" ht="18">
      <c r="A3592" s="2712"/>
      <c r="B3592" s="371"/>
      <c r="C3592" s="371"/>
      <c r="D3592" s="371"/>
      <c r="E3592" s="2714" t="s">
        <v>2749</v>
      </c>
      <c r="F3592" s="294"/>
      <c r="G3592" s="1631" t="s">
        <v>1423</v>
      </c>
      <c r="H3592" s="1629" t="s">
        <v>2775</v>
      </c>
      <c r="I3592" s="1630" t="s">
        <v>2776</v>
      </c>
      <c r="J3592" s="343" t="s">
        <v>3089</v>
      </c>
      <c r="K3592" s="291"/>
      <c r="L3592" s="291"/>
      <c r="M3592" s="291"/>
      <c r="S3592" s="364"/>
      <c r="Z3592" s="609" t="s">
        <v>3873</v>
      </c>
      <c r="AA3592" s="609" t="s">
        <v>5674</v>
      </c>
    </row>
    <row r="3593" spans="1:27" ht="18">
      <c r="A3593" s="2712"/>
      <c r="B3593" s="371">
        <v>101</v>
      </c>
      <c r="C3593" s="371" t="s">
        <v>2791</v>
      </c>
      <c r="D3593" s="2714">
        <f t="shared" ref="D3593:D3598" si="412">IF(OR(G3593="*",G3593="",G3593=0),0,COUNTIF($G$3593:$G$3598,G3593))</f>
        <v>0</v>
      </c>
      <c r="E3593" s="2719">
        <v>1</v>
      </c>
      <c r="F3593" s="294"/>
      <c r="G3593" s="1632" t="s">
        <v>2792</v>
      </c>
      <c r="H3593" s="309"/>
      <c r="I3593" s="346"/>
      <c r="J3593" s="355" t="s">
        <v>5362</v>
      </c>
      <c r="K3593" s="1520" t="s">
        <v>5611</v>
      </c>
      <c r="L3593" s="291"/>
      <c r="M3593" s="291"/>
      <c r="S3593" s="364"/>
      <c r="Z3593" s="609" t="s">
        <v>3873</v>
      </c>
      <c r="AA3593" s="609" t="s">
        <v>5674</v>
      </c>
    </row>
    <row r="3594" spans="1:27" ht="18">
      <c r="A3594" s="2712"/>
      <c r="B3594" s="371">
        <v>102</v>
      </c>
      <c r="C3594" s="371" t="s">
        <v>2791</v>
      </c>
      <c r="D3594" s="2714">
        <f t="shared" si="412"/>
        <v>0</v>
      </c>
      <c r="E3594" s="2719">
        <v>1</v>
      </c>
      <c r="F3594" s="294"/>
      <c r="G3594" s="1632" t="s">
        <v>2792</v>
      </c>
      <c r="H3594" s="309"/>
      <c r="I3594" s="346"/>
      <c r="J3594" s="291"/>
      <c r="K3594" s="291"/>
      <c r="L3594" s="291"/>
      <c r="M3594" s="291"/>
      <c r="S3594" s="364"/>
      <c r="Z3594" s="609" t="s">
        <v>3873</v>
      </c>
      <c r="AA3594" s="609" t="s">
        <v>5674</v>
      </c>
    </row>
    <row r="3595" spans="1:27" ht="18">
      <c r="A3595" s="2712"/>
      <c r="B3595" s="371">
        <v>103</v>
      </c>
      <c r="C3595" s="371" t="s">
        <v>2791</v>
      </c>
      <c r="D3595" s="2714">
        <f t="shared" si="412"/>
        <v>0</v>
      </c>
      <c r="E3595" s="2719">
        <v>1</v>
      </c>
      <c r="F3595" s="294"/>
      <c r="G3595" s="1632" t="s">
        <v>2792</v>
      </c>
      <c r="H3595" s="309"/>
      <c r="I3595" s="346"/>
      <c r="J3595" s="291"/>
      <c r="K3595" s="291"/>
      <c r="L3595" s="291"/>
      <c r="M3595" s="291"/>
      <c r="S3595" s="364"/>
      <c r="Z3595" s="609" t="s">
        <v>3873</v>
      </c>
      <c r="AA3595" s="609" t="s">
        <v>5674</v>
      </c>
    </row>
    <row r="3596" spans="1:27" ht="18">
      <c r="A3596" s="2712"/>
      <c r="B3596" s="371">
        <v>104</v>
      </c>
      <c r="C3596" s="371" t="s">
        <v>2791</v>
      </c>
      <c r="D3596" s="2714">
        <f t="shared" si="412"/>
        <v>0</v>
      </c>
      <c r="E3596" s="2719">
        <v>1</v>
      </c>
      <c r="F3596" s="294"/>
      <c r="G3596" s="1632" t="s">
        <v>2792</v>
      </c>
      <c r="H3596" s="309"/>
      <c r="I3596" s="346"/>
      <c r="J3596" s="291"/>
      <c r="K3596" s="291"/>
      <c r="L3596" s="291"/>
      <c r="M3596" s="291"/>
      <c r="S3596" s="364"/>
      <c r="Z3596" s="609" t="s">
        <v>3873</v>
      </c>
      <c r="AA3596" s="609" t="s">
        <v>5674</v>
      </c>
    </row>
    <row r="3597" spans="1:27" ht="18">
      <c r="A3597" s="2712"/>
      <c r="B3597" s="371">
        <v>105</v>
      </c>
      <c r="C3597" s="371" t="s">
        <v>2791</v>
      </c>
      <c r="D3597" s="2714">
        <f t="shared" si="412"/>
        <v>0</v>
      </c>
      <c r="E3597" s="2719">
        <v>1</v>
      </c>
      <c r="F3597" s="294"/>
      <c r="G3597" s="1632" t="s">
        <v>2792</v>
      </c>
      <c r="H3597" s="309"/>
      <c r="I3597" s="346"/>
      <c r="J3597" s="291"/>
      <c r="K3597" s="291"/>
      <c r="L3597" s="291"/>
      <c r="M3597" s="291"/>
      <c r="S3597" s="364"/>
      <c r="Z3597" s="609" t="s">
        <v>3873</v>
      </c>
      <c r="AA3597" s="609" t="s">
        <v>5674</v>
      </c>
    </row>
    <row r="3598" spans="1:27" ht="18.75" thickBot="1">
      <c r="A3598" s="2712"/>
      <c r="B3598" s="371"/>
      <c r="C3598" s="371"/>
      <c r="D3598" s="2714">
        <f t="shared" si="412"/>
        <v>1</v>
      </c>
      <c r="E3598" s="2719" t="s">
        <v>3032</v>
      </c>
      <c r="F3598" s="294"/>
      <c r="G3598" s="1527" t="s">
        <v>2752</v>
      </c>
      <c r="H3598" s="1525">
        <f>SUMPRODUCT($E3592:$E3597,H3592:H3597)</f>
        <v>0</v>
      </c>
      <c r="I3598" s="1526">
        <f>SUMPRODUCT($E3592:$E3597,I3592:I3597)</f>
        <v>0</v>
      </c>
      <c r="J3598" s="291"/>
      <c r="K3598" s="291"/>
      <c r="L3598" s="291"/>
      <c r="M3598" s="291"/>
      <c r="S3598" s="364"/>
      <c r="Z3598" s="609" t="s">
        <v>3873</v>
      </c>
      <c r="AA3598" s="609" t="s">
        <v>5674</v>
      </c>
    </row>
    <row r="3599" spans="1:27" ht="18">
      <c r="A3599" s="2712"/>
      <c r="B3599" s="371"/>
      <c r="C3599" s="371" t="s">
        <v>2755</v>
      </c>
      <c r="D3599" s="371"/>
      <c r="F3599" s="294"/>
      <c r="G3599" s="301"/>
      <c r="H3599" s="315"/>
      <c r="I3599" s="315"/>
      <c r="J3599" s="291"/>
      <c r="K3599" s="291"/>
      <c r="L3599" s="291"/>
      <c r="M3599" s="291"/>
      <c r="S3599" s="364"/>
      <c r="Z3599" s="609" t="s">
        <v>3873</v>
      </c>
      <c r="AA3599" s="609" t="s">
        <v>5674</v>
      </c>
    </row>
    <row r="3600" spans="1:27" ht="18">
      <c r="A3600" s="2712" t="s">
        <v>1495</v>
      </c>
      <c r="B3600" s="371">
        <v>7</v>
      </c>
      <c r="C3600" s="371"/>
      <c r="D3600" s="2714" t="str">
        <f>VLOOKUP($A3600,Sheet_NoteList,2,0)</f>
        <v>预收款项补充资料</v>
      </c>
      <c r="E3600" s="2714" t="s">
        <v>6529</v>
      </c>
      <c r="F3600" s="294"/>
      <c r="G3600" s="597" t="str">
        <f>"("&amp;B3600&amp;")"&amp;D3600</f>
        <v>(7)预收款项补充资料</v>
      </c>
      <c r="H3600" s="1515" t="str">
        <f>$A3600</f>
        <v>2205x</v>
      </c>
      <c r="I3600" s="343" t="s">
        <v>5964</v>
      </c>
      <c r="J3600" s="301" t="s">
        <v>5969</v>
      </c>
      <c r="K3600" s="2208">
        <f>H3617</f>
        <v>0</v>
      </c>
      <c r="L3600" s="345"/>
      <c r="M3600" s="301"/>
      <c r="N3600" s="3083"/>
      <c r="O3600" s="315"/>
      <c r="P3600" s="301"/>
      <c r="S3600" s="364"/>
      <c r="Z3600" s="609" t="s">
        <v>3873</v>
      </c>
      <c r="AA3600" s="609" t="s">
        <v>5674</v>
      </c>
    </row>
    <row r="3601" spans="1:27" ht="0.75" customHeight="1" thickBot="1">
      <c r="A3601" s="2712"/>
      <c r="B3601" s="371"/>
      <c r="C3601" s="371"/>
      <c r="D3601" s="371"/>
      <c r="F3601" s="371"/>
      <c r="G3601" s="371" t="s">
        <v>3890</v>
      </c>
      <c r="H3601" s="371" t="s">
        <v>2747</v>
      </c>
      <c r="I3601" s="371" t="s">
        <v>3859</v>
      </c>
      <c r="K3601" s="291"/>
      <c r="L3601" s="291"/>
      <c r="M3601" s="291"/>
      <c r="N3601" s="291"/>
      <c r="S3601" s="364"/>
      <c r="Z3601" s="609" t="s">
        <v>3873</v>
      </c>
      <c r="AA3601" s="609" t="s">
        <v>5674</v>
      </c>
    </row>
    <row r="3602" spans="1:27" ht="18">
      <c r="A3602" s="2712"/>
      <c r="B3602" s="371"/>
      <c r="C3602" s="371"/>
      <c r="D3602" s="371"/>
      <c r="E3602" s="2714" t="s">
        <v>2749</v>
      </c>
      <c r="F3602" s="294"/>
      <c r="G3602" s="2384" t="s">
        <v>1465</v>
      </c>
      <c r="H3602" s="2396" t="s">
        <v>2775</v>
      </c>
      <c r="I3602" s="2386" t="s">
        <v>2508</v>
      </c>
      <c r="J3602" s="355" t="s">
        <v>6174</v>
      </c>
      <c r="K3602" s="291"/>
      <c r="L3602" s="291"/>
      <c r="M3602" s="291"/>
      <c r="N3602" s="291"/>
      <c r="S3602" s="364"/>
      <c r="Z3602" s="609" t="s">
        <v>3873</v>
      </c>
      <c r="AA3602" s="609" t="s">
        <v>5674</v>
      </c>
    </row>
    <row r="3603" spans="1:27" ht="24">
      <c r="A3603" s="2712"/>
      <c r="B3603" s="371">
        <v>101</v>
      </c>
      <c r="C3603" s="371"/>
      <c r="D3603" s="2714">
        <f t="shared" ref="D3603:D3617" si="413">IF(OR(G3603="*",G3603="",G3603=0),0,COUNTIF($G$3603:$G$3617,G3603))</f>
        <v>1</v>
      </c>
      <c r="E3603" s="2719" t="s">
        <v>41</v>
      </c>
      <c r="F3603" s="294"/>
      <c r="G3603" s="308" t="s">
        <v>3891</v>
      </c>
      <c r="H3603" s="309"/>
      <c r="I3603" s="388"/>
      <c r="J3603" s="579"/>
      <c r="K3603" s="291"/>
      <c r="L3603" s="291"/>
      <c r="M3603" s="291"/>
      <c r="N3603" s="291"/>
      <c r="S3603" s="364"/>
      <c r="Z3603" s="609" t="s">
        <v>3873</v>
      </c>
      <c r="AA3603" s="609" t="s">
        <v>5674</v>
      </c>
    </row>
    <row r="3604" spans="1:27" ht="18">
      <c r="A3604" s="2712"/>
      <c r="B3604" s="371">
        <v>101.001</v>
      </c>
      <c r="C3604" s="371" t="s">
        <v>2791</v>
      </c>
      <c r="D3604" s="2714">
        <f t="shared" si="413"/>
        <v>0</v>
      </c>
      <c r="E3604" s="2719" t="s">
        <v>3892</v>
      </c>
      <c r="F3604" s="294"/>
      <c r="G3604" s="319" t="s">
        <v>2792</v>
      </c>
      <c r="H3604" s="309"/>
      <c r="I3604" s="388"/>
      <c r="K3604" s="291"/>
      <c r="L3604" s="291"/>
      <c r="M3604" s="291"/>
      <c r="N3604" s="291"/>
      <c r="S3604" s="364"/>
      <c r="Z3604" s="609" t="s">
        <v>3873</v>
      </c>
      <c r="AA3604" s="609" t="s">
        <v>5674</v>
      </c>
    </row>
    <row r="3605" spans="1:27" ht="18">
      <c r="A3605" s="2712"/>
      <c r="B3605" s="371">
        <v>101.002</v>
      </c>
      <c r="C3605" s="371" t="s">
        <v>2791</v>
      </c>
      <c r="D3605" s="2714">
        <f t="shared" si="413"/>
        <v>0</v>
      </c>
      <c r="E3605" s="2719" t="s">
        <v>3892</v>
      </c>
      <c r="F3605" s="294"/>
      <c r="G3605" s="319" t="s">
        <v>2792</v>
      </c>
      <c r="H3605" s="309"/>
      <c r="I3605" s="388"/>
      <c r="K3605" s="291"/>
      <c r="L3605" s="291"/>
      <c r="M3605" s="291"/>
      <c r="N3605" s="291"/>
      <c r="S3605" s="364"/>
      <c r="Z3605" s="609" t="s">
        <v>3873</v>
      </c>
      <c r="AA3605" s="609" t="s">
        <v>5674</v>
      </c>
    </row>
    <row r="3606" spans="1:27" ht="18">
      <c r="A3606" s="2712"/>
      <c r="B3606" s="371">
        <v>101.003</v>
      </c>
      <c r="C3606" s="371" t="s">
        <v>2791</v>
      </c>
      <c r="D3606" s="2714">
        <f t="shared" si="413"/>
        <v>0</v>
      </c>
      <c r="E3606" s="2719" t="s">
        <v>3892</v>
      </c>
      <c r="F3606" s="294"/>
      <c r="G3606" s="319" t="s">
        <v>2792</v>
      </c>
      <c r="H3606" s="309"/>
      <c r="I3606" s="388"/>
      <c r="K3606" s="291"/>
      <c r="L3606" s="291"/>
      <c r="M3606" s="291"/>
      <c r="N3606" s="291"/>
      <c r="S3606" s="364"/>
      <c r="Z3606" s="609" t="s">
        <v>3873</v>
      </c>
      <c r="AA3606" s="609" t="s">
        <v>5674</v>
      </c>
    </row>
    <row r="3607" spans="1:27" ht="18">
      <c r="A3607" s="2712"/>
      <c r="B3607" s="371">
        <v>101.004</v>
      </c>
      <c r="C3607" s="371" t="s">
        <v>2791</v>
      </c>
      <c r="D3607" s="2714">
        <f t="shared" si="413"/>
        <v>0</v>
      </c>
      <c r="E3607" s="2719" t="s">
        <v>3892</v>
      </c>
      <c r="F3607" s="294"/>
      <c r="G3607" s="319" t="s">
        <v>2792</v>
      </c>
      <c r="H3607" s="309"/>
      <c r="I3607" s="388"/>
      <c r="K3607" s="291"/>
      <c r="L3607" s="291"/>
      <c r="M3607" s="291"/>
      <c r="N3607" s="291"/>
      <c r="S3607" s="364"/>
      <c r="Z3607" s="609" t="s">
        <v>3873</v>
      </c>
      <c r="AA3607" s="609" t="s">
        <v>5674</v>
      </c>
    </row>
    <row r="3608" spans="1:27" ht="18">
      <c r="A3608" s="2712"/>
      <c r="B3608" s="371">
        <v>101.005</v>
      </c>
      <c r="C3608" s="371" t="s">
        <v>2791</v>
      </c>
      <c r="D3608" s="2714">
        <f t="shared" si="413"/>
        <v>0</v>
      </c>
      <c r="E3608" s="2719" t="s">
        <v>3892</v>
      </c>
      <c r="F3608" s="294"/>
      <c r="G3608" s="319" t="s">
        <v>2792</v>
      </c>
      <c r="H3608" s="309"/>
      <c r="I3608" s="388"/>
      <c r="K3608" s="291"/>
      <c r="L3608" s="291"/>
      <c r="M3608" s="291"/>
      <c r="N3608" s="291"/>
      <c r="S3608" s="364"/>
      <c r="Z3608" s="609" t="s">
        <v>3873</v>
      </c>
      <c r="AA3608" s="609" t="s">
        <v>5674</v>
      </c>
    </row>
    <row r="3609" spans="1:27" ht="24">
      <c r="A3609" s="2712"/>
      <c r="B3609" s="371">
        <v>101.999</v>
      </c>
      <c r="C3609" s="371" t="s">
        <v>2793</v>
      </c>
      <c r="D3609" s="2714">
        <f t="shared" si="413"/>
        <v>1</v>
      </c>
      <c r="E3609" s="2719">
        <v>1</v>
      </c>
      <c r="F3609" s="294"/>
      <c r="G3609" s="603" t="s">
        <v>3892</v>
      </c>
      <c r="H3609" s="377">
        <f>SUMIF($E$3602:$E$3616,$G3609,H$3602:H$3616)</f>
        <v>0</v>
      </c>
      <c r="I3609" s="388"/>
      <c r="K3609" s="291"/>
      <c r="L3609" s="291"/>
      <c r="M3609" s="291"/>
      <c r="N3609" s="291"/>
      <c r="S3609" s="364"/>
      <c r="Z3609" s="609" t="s">
        <v>3873</v>
      </c>
      <c r="AA3609" s="609" t="s">
        <v>5674</v>
      </c>
    </row>
    <row r="3610" spans="1:27" ht="18">
      <c r="A3610" s="2712"/>
      <c r="B3610" s="371">
        <v>102</v>
      </c>
      <c r="C3610" s="371"/>
      <c r="D3610" s="2714">
        <f t="shared" si="413"/>
        <v>1</v>
      </c>
      <c r="E3610" s="2719" t="s">
        <v>41</v>
      </c>
      <c r="F3610" s="294"/>
      <c r="G3610" s="308" t="s">
        <v>3871</v>
      </c>
      <c r="H3610" s="309"/>
      <c r="I3610" s="388"/>
      <c r="K3610" s="291"/>
      <c r="L3610" s="291"/>
      <c r="M3610" s="291"/>
      <c r="N3610" s="291"/>
      <c r="S3610" s="364"/>
      <c r="Z3610" s="609" t="s">
        <v>3873</v>
      </c>
      <c r="AA3610" s="609" t="s">
        <v>5674</v>
      </c>
    </row>
    <row r="3611" spans="1:27" ht="18">
      <c r="A3611" s="2712"/>
      <c r="B3611" s="371">
        <v>102.001</v>
      </c>
      <c r="C3611" s="371" t="s">
        <v>2791</v>
      </c>
      <c r="D3611" s="2714">
        <f t="shared" si="413"/>
        <v>0</v>
      </c>
      <c r="E3611" s="2719" t="s">
        <v>3872</v>
      </c>
      <c r="F3611" s="294"/>
      <c r="G3611" s="319" t="s">
        <v>2792</v>
      </c>
      <c r="H3611" s="309"/>
      <c r="I3611" s="388"/>
      <c r="K3611" s="291"/>
      <c r="L3611" s="291"/>
      <c r="M3611" s="291"/>
      <c r="N3611" s="291"/>
      <c r="S3611" s="364"/>
      <c r="Z3611" s="609" t="s">
        <v>3873</v>
      </c>
      <c r="AA3611" s="609" t="s">
        <v>5674</v>
      </c>
    </row>
    <row r="3612" spans="1:27" ht="18">
      <c r="A3612" s="2712"/>
      <c r="B3612" s="371">
        <v>102.002</v>
      </c>
      <c r="C3612" s="371" t="s">
        <v>2791</v>
      </c>
      <c r="D3612" s="2714">
        <f t="shared" si="413"/>
        <v>0</v>
      </c>
      <c r="E3612" s="2719" t="s">
        <v>3872</v>
      </c>
      <c r="F3612" s="294"/>
      <c r="G3612" s="319" t="s">
        <v>2792</v>
      </c>
      <c r="H3612" s="309"/>
      <c r="I3612" s="388"/>
      <c r="K3612" s="291"/>
      <c r="L3612" s="291"/>
      <c r="M3612" s="291"/>
      <c r="N3612" s="291"/>
      <c r="S3612" s="364"/>
      <c r="Z3612" s="609" t="s">
        <v>3873</v>
      </c>
      <c r="AA3612" s="609" t="s">
        <v>5674</v>
      </c>
    </row>
    <row r="3613" spans="1:27" ht="18">
      <c r="A3613" s="2712"/>
      <c r="B3613" s="371">
        <v>102.003</v>
      </c>
      <c r="C3613" s="371" t="s">
        <v>2791</v>
      </c>
      <c r="D3613" s="2714">
        <f t="shared" si="413"/>
        <v>0</v>
      </c>
      <c r="E3613" s="2719" t="s">
        <v>3872</v>
      </c>
      <c r="F3613" s="294"/>
      <c r="G3613" s="319" t="s">
        <v>2792</v>
      </c>
      <c r="H3613" s="309"/>
      <c r="I3613" s="388"/>
      <c r="K3613" s="291"/>
      <c r="L3613" s="291"/>
      <c r="M3613" s="291"/>
      <c r="N3613" s="291"/>
      <c r="S3613" s="364"/>
      <c r="Z3613" s="609" t="s">
        <v>3873</v>
      </c>
      <c r="AA3613" s="609" t="s">
        <v>5674</v>
      </c>
    </row>
    <row r="3614" spans="1:27" ht="18">
      <c r="A3614" s="2712"/>
      <c r="B3614" s="371">
        <v>102.004</v>
      </c>
      <c r="C3614" s="371" t="s">
        <v>2791</v>
      </c>
      <c r="D3614" s="2714">
        <f t="shared" si="413"/>
        <v>0</v>
      </c>
      <c r="E3614" s="2719" t="s">
        <v>3872</v>
      </c>
      <c r="F3614" s="294"/>
      <c r="G3614" s="319" t="s">
        <v>2792</v>
      </c>
      <c r="H3614" s="309"/>
      <c r="I3614" s="388"/>
      <c r="K3614" s="291"/>
      <c r="L3614" s="291"/>
      <c r="M3614" s="291"/>
      <c r="N3614" s="291"/>
      <c r="S3614" s="364"/>
      <c r="Z3614" s="609" t="s">
        <v>3873</v>
      </c>
      <c r="AA3614" s="609" t="s">
        <v>5674</v>
      </c>
    </row>
    <row r="3615" spans="1:27" ht="18">
      <c r="A3615" s="2712"/>
      <c r="B3615" s="371">
        <v>102.005</v>
      </c>
      <c r="C3615" s="371" t="s">
        <v>2791</v>
      </c>
      <c r="D3615" s="2714">
        <f t="shared" si="413"/>
        <v>0</v>
      </c>
      <c r="E3615" s="2719" t="s">
        <v>3872</v>
      </c>
      <c r="F3615" s="294"/>
      <c r="G3615" s="319" t="s">
        <v>2792</v>
      </c>
      <c r="H3615" s="309"/>
      <c r="I3615" s="388"/>
      <c r="K3615" s="291"/>
      <c r="L3615" s="291"/>
      <c r="M3615" s="291"/>
      <c r="N3615" s="291"/>
      <c r="S3615" s="364"/>
      <c r="Z3615" s="609" t="s">
        <v>3873</v>
      </c>
      <c r="AA3615" s="609" t="s">
        <v>5674</v>
      </c>
    </row>
    <row r="3616" spans="1:27" ht="18">
      <c r="A3616" s="2712"/>
      <c r="B3616" s="371">
        <v>102.999</v>
      </c>
      <c r="C3616" s="371" t="s">
        <v>2793</v>
      </c>
      <c r="D3616" s="2714">
        <f t="shared" si="413"/>
        <v>1</v>
      </c>
      <c r="E3616" s="2719">
        <v>1</v>
      </c>
      <c r="F3616" s="294"/>
      <c r="G3616" s="549" t="s">
        <v>3872</v>
      </c>
      <c r="H3616" s="377">
        <f>SUMIF($E$3602:$E$3616,$G3616,H$3602:H$3616)</f>
        <v>0</v>
      </c>
      <c r="I3616" s="388"/>
      <c r="K3616" s="291"/>
      <c r="L3616" s="291"/>
      <c r="M3616" s="291"/>
      <c r="N3616" s="291"/>
      <c r="S3616" s="364"/>
      <c r="Z3616" s="609" t="s">
        <v>3873</v>
      </c>
      <c r="AA3616" s="609" t="s">
        <v>5674</v>
      </c>
    </row>
    <row r="3617" spans="1:29" ht="18.75" thickBot="1">
      <c r="A3617" s="2712"/>
      <c r="B3617" s="371"/>
      <c r="C3617" s="371"/>
      <c r="D3617" s="2714">
        <f t="shared" si="413"/>
        <v>1</v>
      </c>
      <c r="E3617" s="2719" t="s">
        <v>2751</v>
      </c>
      <c r="F3617" s="294"/>
      <c r="G3617" s="1527" t="s">
        <v>2752</v>
      </c>
      <c r="H3617" s="2389">
        <f>SUMPRODUCT($E3602:$E3616,H3602:H3616)</f>
        <v>0</v>
      </c>
      <c r="I3617" s="1610"/>
      <c r="K3617" s="291"/>
      <c r="L3617" s="291"/>
      <c r="M3617" s="291"/>
      <c r="N3617" s="291"/>
      <c r="S3617" s="364"/>
      <c r="Z3617" s="609" t="s">
        <v>3873</v>
      </c>
      <c r="AA3617" s="609" t="s">
        <v>5674</v>
      </c>
    </row>
    <row r="3618" spans="1:29" ht="18">
      <c r="A3618" s="2712"/>
      <c r="B3618" s="371"/>
      <c r="C3618" s="371" t="s">
        <v>2755</v>
      </c>
      <c r="D3618" s="371"/>
      <c r="F3618" s="294"/>
      <c r="G3618" s="301"/>
      <c r="H3618" s="315"/>
      <c r="I3618" s="393"/>
      <c r="J3618" s="350"/>
      <c r="K3618" s="291"/>
      <c r="L3618" s="291"/>
      <c r="M3618" s="291"/>
      <c r="N3618" s="291"/>
      <c r="S3618" s="364"/>
      <c r="Z3618" s="609" t="s">
        <v>3873</v>
      </c>
      <c r="AA3618" s="609" t="s">
        <v>5674</v>
      </c>
    </row>
    <row r="3619" spans="1:29" ht="18">
      <c r="A3619" s="2712">
        <v>2211</v>
      </c>
      <c r="B3619" s="371">
        <v>40</v>
      </c>
      <c r="C3619" s="2714" t="str">
        <f>VLOOKUP($A3619,Sheet_Items,2,0)</f>
        <v>应付职工薪酬</v>
      </c>
      <c r="D3619" s="371"/>
      <c r="E3619" s="2714" t="s">
        <v>2739</v>
      </c>
      <c r="F3619" s="294"/>
      <c r="G3619" s="305" t="str">
        <f>B3619&amp;" "&amp;C3619</f>
        <v>40 应付职工薪酬</v>
      </c>
      <c r="H3619" s="306"/>
      <c r="I3619" s="306"/>
      <c r="J3619" s="306" t="s">
        <v>2740</v>
      </c>
      <c r="K3619" s="341">
        <f>VLOOKUP($A3619,Sheet_Trialbal,6,0)</f>
        <v>6350911.7800000003</v>
      </c>
      <c r="L3619" s="342"/>
      <c r="M3619" s="306" t="s">
        <v>2741</v>
      </c>
      <c r="N3619" s="341">
        <f>VLOOKUP($A3619,Sheet_Trialbal,10,0)</f>
        <v>6936778.7800000003</v>
      </c>
      <c r="O3619" s="306"/>
      <c r="P3619" s="301"/>
      <c r="S3619" s="364"/>
      <c r="Z3619" s="609" t="s">
        <v>3893</v>
      </c>
      <c r="AA3619" s="609" t="s">
        <v>5676</v>
      </c>
    </row>
    <row r="3620" spans="1:29" ht="18">
      <c r="A3620" s="2712" t="s">
        <v>1500</v>
      </c>
      <c r="B3620" s="371">
        <v>1</v>
      </c>
      <c r="C3620" s="371"/>
      <c r="D3620" s="2714" t="str">
        <f>VLOOKUP($A3620,Sheet_NoteList,2,0)</f>
        <v>应付职工薪酬列示</v>
      </c>
      <c r="E3620" s="2714" t="s">
        <v>2742</v>
      </c>
      <c r="F3620" s="294"/>
      <c r="G3620" s="307" t="str">
        <f>"("&amp;B3620&amp;")"&amp;D3620</f>
        <v>(1)应付职工薪酬列示</v>
      </c>
      <c r="H3620" s="1515" t="str">
        <f>$A3620</f>
        <v>2211a</v>
      </c>
      <c r="I3620" s="343" t="s">
        <v>2743</v>
      </c>
      <c r="J3620" s="301" t="s">
        <v>2744</v>
      </c>
      <c r="K3620" s="2208">
        <f>K3628</f>
        <v>6350911.7800000003</v>
      </c>
      <c r="L3620" s="345" t="str">
        <f>IF($I3620="适用",IF(ROUND(K3619-K3620,2)=0,"F/S",ROUND(K3619-K3620,2)),"#N/A")</f>
        <v>F/S</v>
      </c>
      <c r="M3620" s="301" t="s">
        <v>2745</v>
      </c>
      <c r="N3620" s="2208">
        <f>H3628</f>
        <v>6936778.7800000003</v>
      </c>
      <c r="O3620" s="345" t="str">
        <f>IF($I3620="适用",IF(ROUND(N3619-N3620,2)=0,"F/S",ROUND(N3619-N3620,2)),"#N/A")</f>
        <v>F/S</v>
      </c>
      <c r="P3620" s="301"/>
      <c r="Q3620" s="290" t="str">
        <f>IF($I3620="不适用","",IF(ROUND(SUM($H$3623:$K$3628),2)=0,"请输入",""))</f>
        <v/>
      </c>
      <c r="S3620" s="364"/>
      <c r="Z3620" s="609" t="s">
        <v>3893</v>
      </c>
      <c r="AA3620" s="609" t="s">
        <v>5676</v>
      </c>
    </row>
    <row r="3621" spans="1:29" ht="0.75" customHeight="1" thickBot="1">
      <c r="A3621" s="2712"/>
      <c r="B3621" s="371"/>
      <c r="C3621" s="371"/>
      <c r="D3621" s="371"/>
      <c r="E3621" s="586"/>
      <c r="F3621" s="518"/>
      <c r="G3621" s="518" t="s">
        <v>3894</v>
      </c>
      <c r="H3621" s="304" t="s">
        <v>2904</v>
      </c>
      <c r="I3621" s="304" t="s">
        <v>3255</v>
      </c>
      <c r="J3621" s="304" t="s">
        <v>3256</v>
      </c>
      <c r="K3621" s="304" t="s">
        <v>3241</v>
      </c>
      <c r="L3621" s="291"/>
      <c r="M3621" s="291"/>
      <c r="N3621" s="291"/>
      <c r="O3621" s="291"/>
      <c r="S3621" s="364"/>
      <c r="Z3621" s="609" t="s">
        <v>3893</v>
      </c>
      <c r="AA3621" s="609" t="s">
        <v>5676</v>
      </c>
    </row>
    <row r="3622" spans="1:29" ht="18">
      <c r="A3622" s="2712"/>
      <c r="B3622" s="371"/>
      <c r="C3622" s="371"/>
      <c r="D3622" s="371"/>
      <c r="E3622" s="586" t="s">
        <v>2749</v>
      </c>
      <c r="F3622" s="363"/>
      <c r="G3622" s="2360" t="s">
        <v>47</v>
      </c>
      <c r="H3622" s="2473" t="str">
        <f>$V$3</f>
        <v>2018年12月31日</v>
      </c>
      <c r="I3622" s="2366" t="s">
        <v>3027</v>
      </c>
      <c r="J3622" s="2366" t="s">
        <v>3028</v>
      </c>
      <c r="K3622" s="2478" t="str">
        <f>$V$2</f>
        <v>2019年12月31日</v>
      </c>
      <c r="L3622" s="355" t="s">
        <v>5303</v>
      </c>
      <c r="M3622" s="291"/>
      <c r="N3622" s="291"/>
      <c r="O3622" s="291"/>
      <c r="S3622" s="364"/>
      <c r="Z3622" s="609" t="s">
        <v>3893</v>
      </c>
      <c r="AA3622" s="609" t="s">
        <v>5676</v>
      </c>
    </row>
    <row r="3623" spans="1:29" ht="18">
      <c r="A3623" s="2712"/>
      <c r="B3623" s="371">
        <v>101</v>
      </c>
      <c r="C3623" s="371"/>
      <c r="D3623" s="2714">
        <f t="shared" ref="D3623:D3628" si="414">IF(OR(G3623="*",G3623="",G3623=0),0,COUNTIF($G$3623:$G$3628,G3623))</f>
        <v>1</v>
      </c>
      <c r="E3623" s="2719">
        <v>1</v>
      </c>
      <c r="F3623" s="294"/>
      <c r="G3623" s="1472" t="s">
        <v>3895</v>
      </c>
      <c r="H3623" s="2273">
        <v>6936778.7800000003</v>
      </c>
      <c r="I3623" s="2273">
        <f>I3650</f>
        <v>24701490.100000001</v>
      </c>
      <c r="J3623" s="2273">
        <f>J3650</f>
        <v>25287357.100000001</v>
      </c>
      <c r="K3623" s="1475">
        <f>H3623+I3623-J3623</f>
        <v>6350911.7800000003</v>
      </c>
      <c r="L3623" s="1531" t="str">
        <f ca="1">HYPERLINK("#'"&amp;$G$1&amp;"'!"&amp;ADDRESS(ROW(Notes!H3653),COLUMN(Notes!H3653),4),"* 请勿删除此行！点击往勾稽单元格，F5+Enter返回")</f>
        <v>* 请勿删除此行！点击往勾稽单元格，F5+Enter返回</v>
      </c>
      <c r="M3623" s="291"/>
      <c r="N3623" s="291"/>
      <c r="O3623" s="291"/>
      <c r="S3623" s="364"/>
      <c r="Z3623" s="609" t="s">
        <v>3893</v>
      </c>
      <c r="AA3623" s="609" t="s">
        <v>5676</v>
      </c>
      <c r="AC3623" s="369" t="s">
        <v>6571</v>
      </c>
    </row>
    <row r="3624" spans="1:29" ht="18">
      <c r="A3624" s="2712"/>
      <c r="B3624" s="371">
        <v>102</v>
      </c>
      <c r="C3624" s="371"/>
      <c r="D3624" s="2714">
        <f t="shared" si="414"/>
        <v>1</v>
      </c>
      <c r="E3624" s="2719">
        <v>1</v>
      </c>
      <c r="F3624" s="294"/>
      <c r="G3624" s="1472" t="s">
        <v>3896</v>
      </c>
      <c r="H3624" s="2273"/>
      <c r="I3624" s="2273">
        <f>I3674</f>
        <v>2482185.7400000002</v>
      </c>
      <c r="J3624" s="2273">
        <f>J3674</f>
        <v>2482185.7400000002</v>
      </c>
      <c r="K3624" s="1475">
        <f>H3624+I3624-J3624</f>
        <v>0</v>
      </c>
      <c r="L3624" s="1531" t="str">
        <f ca="1">HYPERLINK("#'"&amp;$G$1&amp;"'!"&amp;ADDRESS(ROW(Notes!H3677),COLUMN(Notes!H3677),4),"* 请勿删除此行！点击往勾稽单元格，F5+Enter返回")</f>
        <v>* 请勿删除此行！点击往勾稽单元格，F5+Enter返回</v>
      </c>
      <c r="M3624" s="291"/>
      <c r="N3624" s="291"/>
      <c r="O3624" s="291"/>
      <c r="S3624" s="364"/>
      <c r="Z3624" s="609" t="s">
        <v>3893</v>
      </c>
      <c r="AA3624" s="609" t="s">
        <v>5676</v>
      </c>
      <c r="AC3624" s="369" t="s">
        <v>6571</v>
      </c>
    </row>
    <row r="3625" spans="1:29" ht="18">
      <c r="A3625" s="2712"/>
      <c r="B3625" s="371">
        <v>103</v>
      </c>
      <c r="C3625" s="371"/>
      <c r="D3625" s="2714">
        <f t="shared" si="414"/>
        <v>1</v>
      </c>
      <c r="E3625" s="2719">
        <v>1</v>
      </c>
      <c r="F3625" s="294"/>
      <c r="G3625" s="1472" t="s">
        <v>3897</v>
      </c>
      <c r="H3625" s="2273"/>
      <c r="I3625" s="2273"/>
      <c r="J3625" s="2273"/>
      <c r="K3625" s="1475">
        <f>H3625+I3625-J3625</f>
        <v>0</v>
      </c>
      <c r="L3625" s="291"/>
      <c r="M3625" s="291"/>
      <c r="N3625" s="291"/>
      <c r="O3625" s="291"/>
      <c r="S3625" s="364"/>
      <c r="Z3625" s="609" t="s">
        <v>3893</v>
      </c>
      <c r="AA3625" s="609" t="s">
        <v>5676</v>
      </c>
    </row>
    <row r="3626" spans="1:29" ht="18">
      <c r="A3626" s="2712"/>
      <c r="B3626" s="371">
        <v>104</v>
      </c>
      <c r="C3626" s="371"/>
      <c r="D3626" s="2714">
        <f t="shared" si="414"/>
        <v>1</v>
      </c>
      <c r="E3626" s="2719">
        <v>1</v>
      </c>
      <c r="F3626" s="294"/>
      <c r="G3626" s="1472" t="s">
        <v>3898</v>
      </c>
      <c r="H3626" s="2273"/>
      <c r="I3626" s="2273"/>
      <c r="J3626" s="2273"/>
      <c r="K3626" s="1475">
        <f>H3626+I3626-J3626</f>
        <v>0</v>
      </c>
      <c r="L3626" s="291"/>
      <c r="M3626" s="291"/>
      <c r="N3626" s="291"/>
      <c r="O3626" s="291"/>
      <c r="S3626" s="364"/>
      <c r="Z3626" s="609" t="s">
        <v>3893</v>
      </c>
      <c r="AA3626" s="609" t="s">
        <v>5676</v>
      </c>
    </row>
    <row r="3627" spans="1:29" ht="18">
      <c r="A3627" s="2712"/>
      <c r="B3627" s="371">
        <v>116</v>
      </c>
      <c r="C3627" s="371" t="s">
        <v>2791</v>
      </c>
      <c r="D3627" s="2714">
        <f t="shared" si="414"/>
        <v>0</v>
      </c>
      <c r="E3627" s="2719">
        <v>1</v>
      </c>
      <c r="F3627" s="294"/>
      <c r="G3627" s="2373" t="s">
        <v>2792</v>
      </c>
      <c r="H3627" s="2273"/>
      <c r="I3627" s="2273"/>
      <c r="J3627" s="2273"/>
      <c r="K3627" s="1475">
        <f>H3627+I3627-J3627</f>
        <v>0</v>
      </c>
      <c r="L3627" s="291"/>
      <c r="M3627" s="291"/>
      <c r="N3627" s="291"/>
      <c r="O3627" s="291"/>
      <c r="S3627" s="364"/>
      <c r="Z3627" s="609" t="s">
        <v>3893</v>
      </c>
      <c r="AA3627" s="609" t="s">
        <v>5676</v>
      </c>
    </row>
    <row r="3628" spans="1:29" ht="18.75" thickBot="1">
      <c r="A3628" s="2712"/>
      <c r="B3628" s="371"/>
      <c r="C3628" s="371"/>
      <c r="D3628" s="2714">
        <f t="shared" si="414"/>
        <v>1</v>
      </c>
      <c r="E3628" s="2719" t="s">
        <v>2751</v>
      </c>
      <c r="F3628" s="294"/>
      <c r="G3628" s="374" t="s">
        <v>2752</v>
      </c>
      <c r="H3628" s="1476">
        <f>SUMPRODUCT($E3622:$E3627,H3622:H3627)</f>
        <v>6936778.7800000003</v>
      </c>
      <c r="I3628" s="1476">
        <f>SUMPRODUCT($E3622:$E3627,I3622:I3627)</f>
        <v>27183675.84</v>
      </c>
      <c r="J3628" s="1476">
        <f>SUMPRODUCT($E3622:$E3627,J3622:J3627)</f>
        <v>27769542.84</v>
      </c>
      <c r="K3628" s="1477">
        <f>SUMPRODUCT($E3622:$E3627,K3622:K3627)</f>
        <v>6350911.7800000003</v>
      </c>
      <c r="L3628" s="291"/>
      <c r="M3628" s="291"/>
      <c r="N3628" s="291"/>
      <c r="O3628" s="291"/>
      <c r="S3628" s="364"/>
      <c r="Z3628" s="609" t="s">
        <v>3893</v>
      </c>
      <c r="AA3628" s="609" t="s">
        <v>5676</v>
      </c>
    </row>
    <row r="3629" spans="1:29" ht="18">
      <c r="A3629" s="2712"/>
      <c r="B3629" s="371"/>
      <c r="C3629" s="371" t="s">
        <v>2755</v>
      </c>
      <c r="D3629" s="371"/>
      <c r="F3629" s="294"/>
      <c r="G3629" s="557"/>
      <c r="H3629" s="315"/>
      <c r="I3629" s="315"/>
      <c r="J3629" s="315"/>
      <c r="K3629" s="315"/>
      <c r="L3629" s="291"/>
      <c r="M3629" s="291"/>
      <c r="N3629" s="291"/>
      <c r="O3629" s="291"/>
      <c r="S3629" s="364"/>
      <c r="Z3629" s="609" t="s">
        <v>3893</v>
      </c>
      <c r="AA3629" s="609" t="s">
        <v>5676</v>
      </c>
    </row>
    <row r="3630" spans="1:29" ht="18">
      <c r="A3630" s="2712" t="s">
        <v>1505</v>
      </c>
      <c r="B3630" s="371">
        <v>2</v>
      </c>
      <c r="C3630" s="371"/>
      <c r="D3630" s="2714" t="str">
        <f>VLOOKUP($A3630,Sheet_NoteList,2,0)</f>
        <v>短期薪酬列示</v>
      </c>
      <c r="E3630" s="2714" t="s">
        <v>2742</v>
      </c>
      <c r="F3630" s="294"/>
      <c r="G3630" s="307" t="str">
        <f>"("&amp;B3630&amp;")"&amp;D3630</f>
        <v>(2)短期薪酬列示</v>
      </c>
      <c r="H3630" s="1515" t="str">
        <f>$A3630</f>
        <v>2211b</v>
      </c>
      <c r="I3630" s="343" t="s">
        <v>2743</v>
      </c>
      <c r="J3630" s="301" t="s">
        <v>2744</v>
      </c>
      <c r="K3630" s="2208">
        <f>K3650</f>
        <v>6350911.7800000003</v>
      </c>
      <c r="L3630" s="345"/>
      <c r="M3630" s="301" t="s">
        <v>2745</v>
      </c>
      <c r="N3630" s="2208">
        <f>H3650</f>
        <v>6936778.7800000003</v>
      </c>
      <c r="O3630" s="345"/>
      <c r="P3630" s="301"/>
      <c r="Q3630" s="290" t="str">
        <f>IF($I3630="不适用","",IF(ROUND(SUM($H$3633:$K$3650),2)=0,"请输入",""))</f>
        <v/>
      </c>
      <c r="S3630" s="364"/>
      <c r="Z3630" s="609" t="s">
        <v>3893</v>
      </c>
      <c r="AA3630" s="609" t="s">
        <v>5676</v>
      </c>
    </row>
    <row r="3631" spans="1:29" ht="0.75" customHeight="1" thickBot="1">
      <c r="A3631" s="2712"/>
      <c r="B3631" s="371"/>
      <c r="C3631" s="371"/>
      <c r="D3631" s="371"/>
      <c r="E3631" s="586"/>
      <c r="F3631" s="518"/>
      <c r="G3631" s="518" t="s">
        <v>3899</v>
      </c>
      <c r="H3631" s="304" t="s">
        <v>2904</v>
      </c>
      <c r="I3631" s="304" t="s">
        <v>3255</v>
      </c>
      <c r="J3631" s="304" t="s">
        <v>3256</v>
      </c>
      <c r="K3631" s="304" t="s">
        <v>3241</v>
      </c>
      <c r="L3631" s="291"/>
      <c r="M3631" s="291"/>
      <c r="N3631" s="291"/>
      <c r="O3631" s="291"/>
      <c r="S3631" s="364"/>
      <c r="Z3631" s="609" t="s">
        <v>3893</v>
      </c>
      <c r="AA3631" s="609" t="s">
        <v>5676</v>
      </c>
    </row>
    <row r="3632" spans="1:29" ht="18">
      <c r="A3632" s="2712"/>
      <c r="B3632" s="371"/>
      <c r="C3632" s="371"/>
      <c r="D3632" s="371"/>
      <c r="E3632" s="586" t="s">
        <v>2749</v>
      </c>
      <c r="F3632" s="363"/>
      <c r="G3632" s="2360" t="s">
        <v>47</v>
      </c>
      <c r="H3632" s="2473" t="str">
        <f>$V$3</f>
        <v>2018年12月31日</v>
      </c>
      <c r="I3632" s="2366" t="s">
        <v>3027</v>
      </c>
      <c r="J3632" s="2366" t="s">
        <v>3028</v>
      </c>
      <c r="K3632" s="2478" t="str">
        <f>$V$2</f>
        <v>2019年12月31日</v>
      </c>
      <c r="L3632" s="355" t="s">
        <v>5303</v>
      </c>
      <c r="M3632" s="291"/>
      <c r="N3632" s="291"/>
      <c r="O3632" s="291"/>
      <c r="S3632" s="364"/>
      <c r="Z3632" s="609" t="s">
        <v>3893</v>
      </c>
      <c r="AA3632" s="609" t="s">
        <v>5676</v>
      </c>
    </row>
    <row r="3633" spans="1:27" ht="18">
      <c r="A3633" s="2712"/>
      <c r="B3633" s="371">
        <v>101</v>
      </c>
      <c r="C3633" s="371"/>
      <c r="D3633" s="2714">
        <f t="shared" ref="D3633:D3650" si="415">IF(OR(G3633="*",G3633="",G3633=0),0,COUNTIF($G$3633:$G$3650,G3633))</f>
        <v>1</v>
      </c>
      <c r="E3633" s="2719">
        <v>1</v>
      </c>
      <c r="F3633" s="340"/>
      <c r="G3633" s="1472" t="s">
        <v>3900</v>
      </c>
      <c r="H3633" s="2273">
        <v>6936778.7800000003</v>
      </c>
      <c r="I3633" s="2273">
        <f>18469430.98+AJE!P220+AJE!P229</f>
        <v>22226330.98</v>
      </c>
      <c r="J3633" s="2273">
        <v>22812197.98</v>
      </c>
      <c r="K3633" s="1475">
        <f>H3633+I3633-J3633</f>
        <v>6350911.7800000003</v>
      </c>
      <c r="L3633" s="291"/>
      <c r="M3633" s="291"/>
      <c r="N3633" s="291"/>
      <c r="O3633" s="291"/>
      <c r="S3633" s="364"/>
      <c r="Z3633" s="609" t="s">
        <v>3893</v>
      </c>
      <c r="AA3633" s="609" t="s">
        <v>5676</v>
      </c>
    </row>
    <row r="3634" spans="1:27" ht="18">
      <c r="A3634" s="2712"/>
      <c r="B3634" s="371">
        <v>102</v>
      </c>
      <c r="C3634" s="371"/>
      <c r="D3634" s="2714">
        <f t="shared" si="415"/>
        <v>1</v>
      </c>
      <c r="E3634" s="2719">
        <v>1</v>
      </c>
      <c r="F3634" s="340"/>
      <c r="G3634" s="1472" t="s">
        <v>3901</v>
      </c>
      <c r="H3634" s="2273"/>
      <c r="I3634" s="2273">
        <v>1031023.5</v>
      </c>
      <c r="J3634" s="2273">
        <v>1031023.5</v>
      </c>
      <c r="K3634" s="1475">
        <f t="shared" ref="K3634:K3649" si="416">H3634+I3634-J3634</f>
        <v>0</v>
      </c>
      <c r="L3634" s="291"/>
      <c r="M3634" s="291"/>
      <c r="N3634" s="291"/>
      <c r="O3634" s="291"/>
      <c r="S3634" s="364"/>
      <c r="Z3634" s="609" t="s">
        <v>3893</v>
      </c>
      <c r="AA3634" s="609" t="s">
        <v>5676</v>
      </c>
    </row>
    <row r="3635" spans="1:27" ht="18">
      <c r="A3635" s="2712"/>
      <c r="B3635" s="371">
        <v>103</v>
      </c>
      <c r="C3635" s="371"/>
      <c r="D3635" s="2714">
        <f t="shared" si="415"/>
        <v>1</v>
      </c>
      <c r="E3635" s="2719" t="s">
        <v>41</v>
      </c>
      <c r="F3635" s="340"/>
      <c r="G3635" s="1472" t="s">
        <v>3902</v>
      </c>
      <c r="H3635" s="2273"/>
      <c r="I3635" s="2273"/>
      <c r="J3635" s="2273"/>
      <c r="K3635" s="2294"/>
      <c r="L3635" s="291"/>
      <c r="M3635" s="291"/>
      <c r="N3635" s="291"/>
      <c r="O3635" s="291"/>
      <c r="S3635" s="364"/>
      <c r="Z3635" s="609" t="s">
        <v>3893</v>
      </c>
      <c r="AA3635" s="609" t="s">
        <v>5676</v>
      </c>
    </row>
    <row r="3636" spans="1:27" ht="18">
      <c r="A3636" s="2712"/>
      <c r="B3636" s="371">
        <v>103.001</v>
      </c>
      <c r="C3636" s="371"/>
      <c r="D3636" s="2714">
        <f t="shared" si="415"/>
        <v>1</v>
      </c>
      <c r="E3636" s="2719" t="s">
        <v>3903</v>
      </c>
      <c r="F3636" s="340"/>
      <c r="G3636" s="1472" t="s">
        <v>3905</v>
      </c>
      <c r="H3636" s="2273"/>
      <c r="I3636" s="2273">
        <v>915749.73</v>
      </c>
      <c r="J3636" s="2273">
        <v>915749.73</v>
      </c>
      <c r="K3636" s="1475">
        <f t="shared" si="416"/>
        <v>0</v>
      </c>
      <c r="L3636" s="291"/>
      <c r="M3636" s="291"/>
      <c r="N3636" s="291"/>
      <c r="O3636" s="291"/>
      <c r="S3636" s="364"/>
      <c r="Z3636" s="609" t="s">
        <v>3893</v>
      </c>
      <c r="AA3636" s="609" t="s">
        <v>5676</v>
      </c>
    </row>
    <row r="3637" spans="1:27" ht="18">
      <c r="A3637" s="2712"/>
      <c r="B3637" s="371">
        <v>103.002</v>
      </c>
      <c r="C3637" s="371"/>
      <c r="D3637" s="2714">
        <f t="shared" si="415"/>
        <v>1</v>
      </c>
      <c r="E3637" s="2719" t="s">
        <v>3903</v>
      </c>
      <c r="F3637" s="340"/>
      <c r="G3637" s="603" t="s">
        <v>3906</v>
      </c>
      <c r="H3637" s="2273"/>
      <c r="I3637" s="2273">
        <v>107696.79</v>
      </c>
      <c r="J3637" s="2273">
        <v>107696.79</v>
      </c>
      <c r="K3637" s="1475">
        <f t="shared" si="416"/>
        <v>0</v>
      </c>
      <c r="L3637" s="291"/>
      <c r="M3637" s="291"/>
      <c r="N3637" s="291"/>
      <c r="O3637" s="291"/>
      <c r="S3637" s="364"/>
      <c r="Z3637" s="609" t="s">
        <v>3893</v>
      </c>
      <c r="AA3637" s="609" t="s">
        <v>5676</v>
      </c>
    </row>
    <row r="3638" spans="1:27" ht="18">
      <c r="A3638" s="2712"/>
      <c r="B3638" s="371">
        <v>103.003</v>
      </c>
      <c r="C3638" s="371"/>
      <c r="D3638" s="2714">
        <f t="shared" si="415"/>
        <v>1</v>
      </c>
      <c r="E3638" s="2719" t="s">
        <v>3903</v>
      </c>
      <c r="F3638" s="340"/>
      <c r="G3638" s="603" t="s">
        <v>3907</v>
      </c>
      <c r="H3638" s="2273"/>
      <c r="I3638" s="2273">
        <v>71419.67</v>
      </c>
      <c r="J3638" s="2273">
        <v>71419.67</v>
      </c>
      <c r="K3638" s="1475">
        <f t="shared" si="416"/>
        <v>0</v>
      </c>
      <c r="L3638" s="291"/>
      <c r="M3638" s="291"/>
      <c r="N3638" s="291"/>
      <c r="O3638" s="291"/>
      <c r="S3638" s="364"/>
      <c r="Z3638" s="609" t="s">
        <v>3893</v>
      </c>
      <c r="AA3638" s="609" t="s">
        <v>5676</v>
      </c>
    </row>
    <row r="3639" spans="1:27" ht="18">
      <c r="A3639" s="2712"/>
      <c r="B3639" s="371">
        <v>103.004</v>
      </c>
      <c r="C3639" s="371" t="s">
        <v>2791</v>
      </c>
      <c r="D3639" s="2714">
        <f t="shared" si="415"/>
        <v>0</v>
      </c>
      <c r="E3639" s="2719" t="s">
        <v>3903</v>
      </c>
      <c r="F3639" s="340"/>
      <c r="G3639" s="578" t="s">
        <v>2792</v>
      </c>
      <c r="H3639" s="2273"/>
      <c r="I3639" s="2273"/>
      <c r="J3639" s="2273"/>
      <c r="K3639" s="1475">
        <f t="shared" si="416"/>
        <v>0</v>
      </c>
      <c r="L3639" s="291"/>
      <c r="M3639" s="291"/>
      <c r="N3639" s="291"/>
      <c r="O3639" s="291"/>
      <c r="S3639" s="364"/>
      <c r="Z3639" s="609" t="s">
        <v>3893</v>
      </c>
      <c r="AA3639" s="609" t="s">
        <v>5676</v>
      </c>
    </row>
    <row r="3640" spans="1:27" ht="18">
      <c r="A3640" s="2712"/>
      <c r="B3640" s="371">
        <v>103.005</v>
      </c>
      <c r="C3640" s="371" t="s">
        <v>2791</v>
      </c>
      <c r="D3640" s="2714">
        <f t="shared" si="415"/>
        <v>0</v>
      </c>
      <c r="E3640" s="2719" t="s">
        <v>3903</v>
      </c>
      <c r="F3640" s="340"/>
      <c r="G3640" s="578" t="s">
        <v>2792</v>
      </c>
      <c r="H3640" s="2273"/>
      <c r="I3640" s="2273"/>
      <c r="J3640" s="2273"/>
      <c r="K3640" s="1475">
        <f t="shared" si="416"/>
        <v>0</v>
      </c>
      <c r="L3640" s="291"/>
      <c r="M3640" s="291"/>
      <c r="N3640" s="291"/>
      <c r="O3640" s="291"/>
      <c r="S3640" s="364"/>
      <c r="Z3640" s="609" t="s">
        <v>3893</v>
      </c>
      <c r="AA3640" s="609" t="s">
        <v>5676</v>
      </c>
    </row>
    <row r="3641" spans="1:27" ht="18">
      <c r="A3641" s="2712"/>
      <c r="B3641" s="371">
        <v>103.006</v>
      </c>
      <c r="C3641" s="371" t="s">
        <v>2791</v>
      </c>
      <c r="D3641" s="2714">
        <f t="shared" si="415"/>
        <v>0</v>
      </c>
      <c r="E3641" s="2719" t="s">
        <v>3903</v>
      </c>
      <c r="F3641" s="340"/>
      <c r="G3641" s="578" t="s">
        <v>2792</v>
      </c>
      <c r="H3641" s="2273"/>
      <c r="I3641" s="2273"/>
      <c r="J3641" s="2273"/>
      <c r="K3641" s="1475">
        <f t="shared" si="416"/>
        <v>0</v>
      </c>
      <c r="L3641" s="291"/>
      <c r="M3641" s="291"/>
      <c r="N3641" s="291"/>
      <c r="O3641" s="291"/>
      <c r="S3641" s="364"/>
      <c r="Z3641" s="609" t="s">
        <v>3893</v>
      </c>
      <c r="AA3641" s="609" t="s">
        <v>5676</v>
      </c>
    </row>
    <row r="3642" spans="1:27" ht="18">
      <c r="A3642" s="2712"/>
      <c r="B3642" s="371">
        <v>103.999</v>
      </c>
      <c r="C3642" s="371" t="s">
        <v>2793</v>
      </c>
      <c r="D3642" s="2714">
        <f t="shared" si="415"/>
        <v>1</v>
      </c>
      <c r="E3642" s="2719">
        <v>1</v>
      </c>
      <c r="F3642" s="340"/>
      <c r="G3642" s="1472" t="s">
        <v>3903</v>
      </c>
      <c r="H3642" s="1474">
        <f>SUMIF($E$3632:$E$3649,$G3642,H$3632:H$3649)</f>
        <v>0</v>
      </c>
      <c r="I3642" s="1474">
        <f>SUMIF($E$3632:$E$3649,$G3642,I$3632:I$3649)</f>
        <v>1094866.19</v>
      </c>
      <c r="J3642" s="1474">
        <f>SUMIF($E$3632:$E$3649,$G3642,J$3632:J$3649)</f>
        <v>1094866.19</v>
      </c>
      <c r="K3642" s="1475">
        <f>SUMIF($E$3632:$E$3649,$G3642,K$3632:K$3649)</f>
        <v>0</v>
      </c>
      <c r="L3642" s="291"/>
      <c r="M3642" s="291"/>
      <c r="N3642" s="291"/>
      <c r="O3642" s="291"/>
      <c r="S3642" s="364"/>
      <c r="Z3642" s="609" t="s">
        <v>3893</v>
      </c>
      <c r="AA3642" s="609" t="s">
        <v>5676</v>
      </c>
    </row>
    <row r="3643" spans="1:27" ht="18">
      <c r="A3643" s="2712"/>
      <c r="B3643" s="371">
        <v>104</v>
      </c>
      <c r="C3643" s="371"/>
      <c r="D3643" s="2714">
        <f t="shared" si="415"/>
        <v>1</v>
      </c>
      <c r="E3643" s="2719">
        <v>1</v>
      </c>
      <c r="F3643" s="340"/>
      <c r="G3643" s="1472" t="s">
        <v>3908</v>
      </c>
      <c r="H3643" s="2273"/>
      <c r="I3643" s="2273">
        <v>349269.43</v>
      </c>
      <c r="J3643" s="2273">
        <v>349269.43</v>
      </c>
      <c r="K3643" s="1475">
        <f t="shared" si="416"/>
        <v>0</v>
      </c>
      <c r="L3643" s="291"/>
      <c r="M3643" s="291"/>
      <c r="N3643" s="291"/>
      <c r="O3643" s="291"/>
      <c r="S3643" s="364"/>
      <c r="Z3643" s="609" t="s">
        <v>3893</v>
      </c>
      <c r="AA3643" s="609" t="s">
        <v>5676</v>
      </c>
    </row>
    <row r="3644" spans="1:27" ht="18">
      <c r="A3644" s="2712"/>
      <c r="B3644" s="371">
        <v>105</v>
      </c>
      <c r="C3644" s="371"/>
      <c r="D3644" s="2714">
        <f t="shared" si="415"/>
        <v>1</v>
      </c>
      <c r="E3644" s="2719">
        <v>1</v>
      </c>
      <c r="F3644" s="340"/>
      <c r="G3644" s="1472" t="s">
        <v>3909</v>
      </c>
      <c r="H3644" s="2273"/>
      <c r="I3644" s="2273"/>
      <c r="J3644" s="2273"/>
      <c r="K3644" s="1475">
        <f t="shared" si="416"/>
        <v>0</v>
      </c>
      <c r="L3644" s="291"/>
      <c r="M3644" s="291"/>
      <c r="N3644" s="291"/>
      <c r="O3644" s="291"/>
      <c r="S3644" s="364"/>
      <c r="Z3644" s="609" t="s">
        <v>3893</v>
      </c>
      <c r="AA3644" s="609" t="s">
        <v>5676</v>
      </c>
    </row>
    <row r="3645" spans="1:27" ht="18">
      <c r="A3645" s="2712"/>
      <c r="B3645" s="371">
        <v>106</v>
      </c>
      <c r="C3645" s="371"/>
      <c r="D3645" s="2714">
        <f t="shared" si="415"/>
        <v>1</v>
      </c>
      <c r="E3645" s="2719">
        <v>1</v>
      </c>
      <c r="F3645" s="340"/>
      <c r="G3645" s="1472" t="s">
        <v>3910</v>
      </c>
      <c r="H3645" s="2273"/>
      <c r="I3645" s="2273"/>
      <c r="J3645" s="2273"/>
      <c r="K3645" s="1475">
        <f t="shared" si="416"/>
        <v>0</v>
      </c>
      <c r="L3645" s="291"/>
      <c r="M3645" s="291"/>
      <c r="N3645" s="291"/>
      <c r="O3645" s="291"/>
      <c r="S3645" s="364"/>
      <c r="Z3645" s="609" t="s">
        <v>3893</v>
      </c>
      <c r="AA3645" s="609" t="s">
        <v>5676</v>
      </c>
    </row>
    <row r="3646" spans="1:27" ht="18">
      <c r="A3646" s="2712"/>
      <c r="B3646" s="371">
        <v>107</v>
      </c>
      <c r="C3646" s="371"/>
      <c r="D3646" s="2714">
        <f t="shared" si="415"/>
        <v>1</v>
      </c>
      <c r="E3646" s="2719">
        <v>1</v>
      </c>
      <c r="F3646" s="340"/>
      <c r="G3646" s="1472" t="s">
        <v>3911</v>
      </c>
      <c r="H3646" s="2273"/>
      <c r="I3646" s="2273"/>
      <c r="J3646" s="2273"/>
      <c r="K3646" s="1475">
        <f t="shared" si="416"/>
        <v>0</v>
      </c>
      <c r="L3646" s="291"/>
      <c r="M3646" s="291"/>
      <c r="N3646" s="291"/>
      <c r="O3646" s="291"/>
      <c r="S3646" s="364"/>
      <c r="Z3646" s="609" t="s">
        <v>3893</v>
      </c>
      <c r="AA3646" s="609" t="s">
        <v>5676</v>
      </c>
    </row>
    <row r="3647" spans="1:27" ht="18">
      <c r="A3647" s="2712"/>
      <c r="B3647" s="371">
        <v>108</v>
      </c>
      <c r="C3647" s="371" t="s">
        <v>2791</v>
      </c>
      <c r="D3647" s="2714">
        <f t="shared" si="415"/>
        <v>0</v>
      </c>
      <c r="E3647" s="2719">
        <v>1</v>
      </c>
      <c r="F3647" s="340"/>
      <c r="G3647" s="2373" t="s">
        <v>2792</v>
      </c>
      <c r="H3647" s="2273"/>
      <c r="I3647" s="2273"/>
      <c r="J3647" s="2273"/>
      <c r="K3647" s="1475">
        <f t="shared" si="416"/>
        <v>0</v>
      </c>
      <c r="L3647" s="291"/>
      <c r="M3647" s="291"/>
      <c r="N3647" s="291"/>
      <c r="O3647" s="291"/>
      <c r="S3647" s="364"/>
      <c r="Z3647" s="609" t="s">
        <v>3893</v>
      </c>
      <c r="AA3647" s="609" t="s">
        <v>5676</v>
      </c>
    </row>
    <row r="3648" spans="1:27" ht="18">
      <c r="A3648" s="2712"/>
      <c r="B3648" s="371">
        <v>109</v>
      </c>
      <c r="C3648" s="371" t="s">
        <v>2791</v>
      </c>
      <c r="D3648" s="2714">
        <f t="shared" si="415"/>
        <v>0</v>
      </c>
      <c r="E3648" s="2719">
        <v>1</v>
      </c>
      <c r="F3648" s="340"/>
      <c r="G3648" s="2373" t="s">
        <v>2792</v>
      </c>
      <c r="H3648" s="2273"/>
      <c r="I3648" s="2273"/>
      <c r="J3648" s="2273"/>
      <c r="K3648" s="1475">
        <f t="shared" si="416"/>
        <v>0</v>
      </c>
      <c r="L3648" s="291"/>
      <c r="M3648" s="291"/>
      <c r="N3648" s="291"/>
      <c r="O3648" s="291"/>
      <c r="S3648" s="364"/>
      <c r="Z3648" s="609" t="s">
        <v>3893</v>
      </c>
      <c r="AA3648" s="609" t="s">
        <v>5676</v>
      </c>
    </row>
    <row r="3649" spans="1:27" ht="18">
      <c r="A3649" s="2712"/>
      <c r="B3649" s="371">
        <v>110</v>
      </c>
      <c r="C3649" s="371" t="s">
        <v>2791</v>
      </c>
      <c r="D3649" s="2714">
        <f t="shared" si="415"/>
        <v>0</v>
      </c>
      <c r="E3649" s="2719">
        <v>1</v>
      </c>
      <c r="F3649" s="340"/>
      <c r="G3649" s="2373" t="s">
        <v>2792</v>
      </c>
      <c r="H3649" s="2273"/>
      <c r="I3649" s="2273"/>
      <c r="J3649" s="2273"/>
      <c r="K3649" s="1475">
        <f t="shared" si="416"/>
        <v>0</v>
      </c>
      <c r="L3649" s="291"/>
      <c r="M3649" s="291"/>
      <c r="N3649" s="291"/>
      <c r="O3649" s="291"/>
      <c r="S3649" s="364"/>
      <c r="Z3649" s="609" t="s">
        <v>3893</v>
      </c>
      <c r="AA3649" s="609" t="s">
        <v>5676</v>
      </c>
    </row>
    <row r="3650" spans="1:27" ht="18.75" thickBot="1">
      <c r="A3650" s="2712"/>
      <c r="B3650" s="371"/>
      <c r="C3650" s="371"/>
      <c r="D3650" s="2714">
        <f t="shared" si="415"/>
        <v>1</v>
      </c>
      <c r="E3650" s="2719" t="s">
        <v>2751</v>
      </c>
      <c r="F3650" s="340"/>
      <c r="G3650" s="374" t="s">
        <v>2752</v>
      </c>
      <c r="H3650" s="1476">
        <f>SUMPRODUCT($E3632:$E3649,H3632:H3649)</f>
        <v>6936778.7800000003</v>
      </c>
      <c r="I3650" s="1476">
        <f>SUMPRODUCT($E3632:$E3649,I3632:I3649)</f>
        <v>24701490.100000001</v>
      </c>
      <c r="J3650" s="1476">
        <f>SUMPRODUCT($E3632:$E3649,J3632:J3649)</f>
        <v>25287357.100000001</v>
      </c>
      <c r="K3650" s="1477">
        <f>SUMPRODUCT($E3632:$E3649,K3632:K3649)</f>
        <v>6350911.7800000003</v>
      </c>
      <c r="L3650" s="291"/>
      <c r="M3650" s="291"/>
      <c r="N3650" s="291"/>
      <c r="O3650" s="291"/>
      <c r="S3650" s="364"/>
      <c r="Z3650" s="609" t="s">
        <v>3893</v>
      </c>
      <c r="AA3650" s="609" t="s">
        <v>5676</v>
      </c>
    </row>
    <row r="3651" spans="1:27" ht="18.75" thickBot="1">
      <c r="A3651" s="2712"/>
      <c r="B3651" s="371"/>
      <c r="C3651" s="371" t="s">
        <v>2755</v>
      </c>
      <c r="D3651" s="371"/>
      <c r="F3651" s="294"/>
      <c r="G3651" s="557"/>
      <c r="H3651" s="527" t="s">
        <v>3002</v>
      </c>
      <c r="I3651" s="527" t="s">
        <v>3002</v>
      </c>
      <c r="J3651" s="527" t="s">
        <v>3002</v>
      </c>
      <c r="K3651" s="527" t="s">
        <v>3002</v>
      </c>
      <c r="L3651" s="291"/>
      <c r="M3651" s="291"/>
      <c r="N3651" s="291"/>
      <c r="O3651" s="291"/>
      <c r="S3651" s="364"/>
      <c r="Z3651" s="609" t="s">
        <v>3893</v>
      </c>
      <c r="AA3651" s="609" t="s">
        <v>5676</v>
      </c>
    </row>
    <row r="3652" spans="1:27" ht="18.75" thickTop="1">
      <c r="A3652" s="2712"/>
      <c r="B3652" s="371"/>
      <c r="C3652" s="371" t="s">
        <v>2565</v>
      </c>
      <c r="D3652" s="371"/>
      <c r="F3652" s="294"/>
      <c r="G3652" s="1559" t="s">
        <v>5365</v>
      </c>
      <c r="H3652" s="1548" t="str">
        <f>G3620</f>
        <v>(1)应付职工薪酬列示</v>
      </c>
      <c r="I3652" s="1550"/>
      <c r="J3652" s="1550"/>
      <c r="K3652" s="1550"/>
      <c r="L3652" s="1551" t="s">
        <v>5366</v>
      </c>
      <c r="M3652" s="291"/>
      <c r="N3652" s="291"/>
      <c r="O3652" s="291"/>
      <c r="S3652" s="364"/>
      <c r="Z3652" s="609" t="s">
        <v>3893</v>
      </c>
      <c r="AA3652" s="609" t="s">
        <v>5676</v>
      </c>
    </row>
    <row r="3653" spans="1:27" ht="18">
      <c r="A3653" s="2712"/>
      <c r="B3653" s="371"/>
      <c r="C3653" s="371" t="s">
        <v>2565</v>
      </c>
      <c r="D3653" s="371"/>
      <c r="F3653" s="294"/>
      <c r="G3653" s="604" t="str">
        <f>"注释A:"&amp; G3623</f>
        <v>注释A:一、短期薪酬</v>
      </c>
      <c r="H3653" s="2250">
        <f ca="1">HYPERLINK("#'"&amp;$G$1&amp;"'!"&amp;ADDRESS(ROW(Notes!H3623),COLUMN(Notes!H3623),4),H3623)</f>
        <v>6936778.7800000003</v>
      </c>
      <c r="I3653" s="2250">
        <f ca="1">HYPERLINK("#'"&amp;$G$1&amp;"'!"&amp;ADDRESS(ROW(Notes!I3623),COLUMN(Notes!I3623),4),I3623)</f>
        <v>24701490.100000001</v>
      </c>
      <c r="J3653" s="2250">
        <f ca="1">HYPERLINK("#'"&amp;$G$1&amp;"'!"&amp;ADDRESS(ROW(Notes!J3623),COLUMN(Notes!J3623),4),J3623)</f>
        <v>25287357.100000001</v>
      </c>
      <c r="K3653" s="2250">
        <f ca="1">HYPERLINK("#'"&amp;$G$1&amp;"'!"&amp;ADDRESS(ROW(Notes!K3623),COLUMN(Notes!K3623),4),K3623)</f>
        <v>6350911.7800000003</v>
      </c>
      <c r="L3653" s="2630" t="str">
        <f>H3620</f>
        <v>2211a</v>
      </c>
      <c r="M3653" s="291"/>
      <c r="N3653" s="291"/>
      <c r="O3653" s="291"/>
      <c r="S3653" s="364"/>
      <c r="Z3653" s="609" t="s">
        <v>3893</v>
      </c>
      <c r="AA3653" s="609" t="s">
        <v>5676</v>
      </c>
    </row>
    <row r="3654" spans="1:27" ht="18">
      <c r="A3654" s="2712"/>
      <c r="B3654" s="371"/>
      <c r="C3654" s="371" t="s">
        <v>2565</v>
      </c>
      <c r="D3654" s="371"/>
      <c r="F3654" s="294"/>
      <c r="G3654" s="604" t="str">
        <f>"本注释B:"&amp; G3650</f>
        <v>本注释B:合       计</v>
      </c>
      <c r="H3654" s="456">
        <f>H3650</f>
        <v>6936778.7800000003</v>
      </c>
      <c r="I3654" s="456">
        <f>I3650</f>
        <v>24701490.100000001</v>
      </c>
      <c r="J3654" s="456">
        <f t="shared" ref="J3654:K3654" si="417">J3650</f>
        <v>25287357.100000001</v>
      </c>
      <c r="K3654" s="456">
        <f t="shared" si="417"/>
        <v>6350911.7800000003</v>
      </c>
      <c r="L3654" s="2636" t="s">
        <v>1505</v>
      </c>
      <c r="M3654" s="291"/>
      <c r="N3654" s="291"/>
      <c r="O3654" s="291"/>
      <c r="S3654" s="364"/>
      <c r="Z3654" s="609" t="s">
        <v>3893</v>
      </c>
      <c r="AA3654" s="609" t="s">
        <v>5676</v>
      </c>
    </row>
    <row r="3655" spans="1:27" ht="18.75" thickBot="1">
      <c r="A3655" s="2712"/>
      <c r="B3655" s="371"/>
      <c r="C3655" s="371" t="s">
        <v>2565</v>
      </c>
      <c r="D3655" s="371"/>
      <c r="F3655" s="294"/>
      <c r="G3655" s="1560" t="s">
        <v>2757</v>
      </c>
      <c r="H3655" s="1529">
        <f ca="1">IF(AND(H3653="",H3654=""),"",ROUND(H3653-H3654,2))</f>
        <v>0</v>
      </c>
      <c r="I3655" s="1529">
        <f ca="1">IF(AND(I3653="",I3654=""),"",ROUND(I3653-I3654,2))</f>
        <v>0</v>
      </c>
      <c r="J3655" s="1529">
        <f ca="1">IF(AND(J3653="",J3654=""),"",ROUND(J3653-J3654,2))</f>
        <v>0</v>
      </c>
      <c r="K3655" s="1529">
        <f ca="1">IF(AND(K3653="",K3654=""),"",ROUND(K3653-K3654,2))</f>
        <v>0</v>
      </c>
      <c r="L3655" s="1553"/>
      <c r="M3655" s="291"/>
      <c r="N3655" s="291"/>
      <c r="O3655" s="291"/>
      <c r="S3655" s="364"/>
      <c r="Z3655" s="609" t="s">
        <v>3893</v>
      </c>
      <c r="AA3655" s="609" t="s">
        <v>5676</v>
      </c>
    </row>
    <row r="3656" spans="1:27" ht="18.75" thickTop="1">
      <c r="A3656" s="2712"/>
      <c r="B3656" s="371"/>
      <c r="C3656" s="371" t="s">
        <v>2565</v>
      </c>
      <c r="D3656" s="371"/>
      <c r="F3656" s="294"/>
      <c r="G3656" s="2638"/>
      <c r="H3656" s="459" t="str">
        <f ca="1">IF(OR(H3655=0,H3655=""),"√","？")</f>
        <v>√</v>
      </c>
      <c r="I3656" s="459" t="str">
        <f ca="1">IF(OR(I3655=0,I3655=""),"√","？")</f>
        <v>√</v>
      </c>
      <c r="J3656" s="459" t="str">
        <f ca="1">IF(OR(J3655=0,J3655=""),"√","？")</f>
        <v>√</v>
      </c>
      <c r="K3656" s="459" t="str">
        <f ca="1">IF(OR(K3655=0,K3655=""),"√","？")</f>
        <v>√</v>
      </c>
      <c r="L3656" s="354"/>
      <c r="M3656" s="291"/>
      <c r="N3656" s="291"/>
      <c r="O3656" s="291"/>
      <c r="S3656" s="364"/>
      <c r="Z3656" s="609" t="s">
        <v>3893</v>
      </c>
      <c r="AA3656" s="609" t="s">
        <v>5676</v>
      </c>
    </row>
    <row r="3657" spans="1:27" ht="18">
      <c r="A3657" s="2712"/>
      <c r="B3657" s="371"/>
      <c r="C3657" s="371" t="s">
        <v>2565</v>
      </c>
      <c r="D3657" s="371"/>
      <c r="F3657" s="294"/>
      <c r="G3657" s="460" t="s">
        <v>2759</v>
      </c>
      <c r="H3657" s="461"/>
      <c r="I3657" s="461"/>
      <c r="J3657" s="461"/>
      <c r="K3657" s="605">
        <f ca="1">SUMIF($H$3656:$L$3656,"&lt;&gt;√",$H$3655:$L$3655)</f>
        <v>0</v>
      </c>
      <c r="L3657" s="353" t="str">
        <f ca="1">IF(OR(K3657=0,K3657=""),"√","？")</f>
        <v>√</v>
      </c>
      <c r="M3657" s="291"/>
      <c r="N3657" s="291"/>
      <c r="O3657" s="291"/>
      <c r="S3657" s="364"/>
      <c r="Z3657" s="609" t="s">
        <v>3893</v>
      </c>
      <c r="AA3657" s="609" t="s">
        <v>5676</v>
      </c>
    </row>
    <row r="3658" spans="1:27" ht="18">
      <c r="A3658" s="2712"/>
      <c r="B3658" s="371"/>
      <c r="C3658" s="371" t="s">
        <v>2565</v>
      </c>
      <c r="D3658" s="371"/>
      <c r="F3658" s="294"/>
      <c r="G3658" s="2638"/>
      <c r="H3658" s="461"/>
      <c r="I3658" s="461"/>
      <c r="J3658" s="461"/>
      <c r="K3658" s="461"/>
      <c r="L3658" s="354"/>
      <c r="M3658" s="291"/>
      <c r="N3658" s="291"/>
      <c r="O3658" s="291"/>
      <c r="S3658" s="364"/>
      <c r="Z3658" s="609" t="s">
        <v>3893</v>
      </c>
      <c r="AA3658" s="609" t="s">
        <v>5676</v>
      </c>
    </row>
    <row r="3659" spans="1:27" ht="18">
      <c r="A3659" s="2712" t="s">
        <v>1510</v>
      </c>
      <c r="B3659" s="371">
        <v>3</v>
      </c>
      <c r="C3659" s="371"/>
      <c r="D3659" s="2714" t="str">
        <f>VLOOKUP($A3659,Sheet_NoteList,2,0)</f>
        <v>设定提存计划列示</v>
      </c>
      <c r="E3659" s="2714" t="s">
        <v>2742</v>
      </c>
      <c r="F3659" s="294"/>
      <c r="G3659" s="307" t="str">
        <f>"("&amp;B3659&amp;")"&amp;D3659</f>
        <v>(3)设定提存计划列示</v>
      </c>
      <c r="H3659" s="1515" t="str">
        <f>$A3659</f>
        <v>2211c</v>
      </c>
      <c r="I3659" s="343" t="s">
        <v>2743</v>
      </c>
      <c r="J3659" s="301" t="s">
        <v>2744</v>
      </c>
      <c r="K3659" s="2208">
        <f>K3674</f>
        <v>0</v>
      </c>
      <c r="L3659" s="345"/>
      <c r="M3659" s="301" t="s">
        <v>2745</v>
      </c>
      <c r="N3659" s="2208">
        <f>H3674</f>
        <v>0</v>
      </c>
      <c r="O3659" s="345"/>
      <c r="P3659" s="301"/>
      <c r="Q3659" s="290" t="str">
        <f>IF($I3659="不适用","",IF(ROUND(SUM($H$3662:$K$3674),2)=0,"请输入",""))</f>
        <v/>
      </c>
      <c r="S3659" s="364"/>
      <c r="Z3659" s="609" t="s">
        <v>3893</v>
      </c>
      <c r="AA3659" s="609" t="s">
        <v>5676</v>
      </c>
    </row>
    <row r="3660" spans="1:27" ht="0.75" customHeight="1" thickBot="1">
      <c r="A3660" s="2712"/>
      <c r="B3660" s="371"/>
      <c r="C3660" s="371"/>
      <c r="D3660" s="371"/>
      <c r="E3660" s="586"/>
      <c r="F3660" s="586"/>
      <c r="G3660" s="586" t="s">
        <v>3912</v>
      </c>
      <c r="H3660" s="371" t="s">
        <v>2904</v>
      </c>
      <c r="I3660" s="371" t="s">
        <v>3255</v>
      </c>
      <c r="J3660" s="371" t="s">
        <v>3256</v>
      </c>
      <c r="K3660" s="371" t="s">
        <v>3241</v>
      </c>
      <c r="L3660" s="291"/>
      <c r="M3660" s="291"/>
      <c r="N3660" s="291"/>
      <c r="O3660" s="291"/>
      <c r="S3660" s="364"/>
      <c r="Z3660" s="609" t="s">
        <v>3893</v>
      </c>
      <c r="AA3660" s="609" t="s">
        <v>5676</v>
      </c>
    </row>
    <row r="3661" spans="1:27" ht="18">
      <c r="A3661" s="2712"/>
      <c r="B3661" s="371"/>
      <c r="C3661" s="371"/>
      <c r="D3661" s="371"/>
      <c r="E3661" s="586" t="s">
        <v>2749</v>
      </c>
      <c r="F3661" s="363"/>
      <c r="G3661" s="2565" t="s">
        <v>47</v>
      </c>
      <c r="H3661" s="2530" t="str">
        <f>$V$3</f>
        <v>2018年12月31日</v>
      </c>
      <c r="I3661" s="2562" t="s">
        <v>3027</v>
      </c>
      <c r="J3661" s="2562" t="s">
        <v>3028</v>
      </c>
      <c r="K3661" s="2591" t="str">
        <f>$V$2</f>
        <v>2019年12月31日</v>
      </c>
      <c r="L3661" s="355" t="s">
        <v>5303</v>
      </c>
      <c r="M3661" s="291"/>
      <c r="N3661" s="291"/>
      <c r="O3661" s="291"/>
      <c r="S3661" s="364"/>
      <c r="Z3661" s="609" t="s">
        <v>3893</v>
      </c>
      <c r="AA3661" s="609" t="s">
        <v>5676</v>
      </c>
    </row>
    <row r="3662" spans="1:27" ht="18">
      <c r="A3662" s="2712"/>
      <c r="B3662" s="371">
        <v>101</v>
      </c>
      <c r="C3662" s="371"/>
      <c r="D3662" s="2714">
        <f t="shared" ref="D3662:D3674" si="418">IF(OR(G3662="*",G3662="",G3662=0),0,COUNTIF($G$3662:$G$3674,G3662))</f>
        <v>1</v>
      </c>
      <c r="E3662" s="2719" t="s">
        <v>41</v>
      </c>
      <c r="F3662" s="294"/>
      <c r="G3662" s="1472" t="s">
        <v>3913</v>
      </c>
      <c r="H3662" s="2273"/>
      <c r="I3662" s="2273"/>
      <c r="J3662" s="2273"/>
      <c r="K3662" s="2294"/>
      <c r="L3662" s="291"/>
      <c r="M3662" s="291"/>
      <c r="N3662" s="291"/>
      <c r="O3662" s="291"/>
      <c r="S3662" s="364"/>
      <c r="Z3662" s="609" t="s">
        <v>3893</v>
      </c>
      <c r="AA3662" s="609" t="s">
        <v>5676</v>
      </c>
    </row>
    <row r="3663" spans="1:27" ht="18">
      <c r="A3663" s="2712"/>
      <c r="B3663" s="371">
        <v>101.001</v>
      </c>
      <c r="C3663" s="371"/>
      <c r="D3663" s="2714">
        <f t="shared" si="418"/>
        <v>1</v>
      </c>
      <c r="E3663" s="2719" t="s">
        <v>3914</v>
      </c>
      <c r="F3663" s="294"/>
      <c r="G3663" s="603" t="s">
        <v>3915</v>
      </c>
      <c r="H3663" s="2273"/>
      <c r="I3663" s="2273">
        <v>2382535.08</v>
      </c>
      <c r="J3663" s="2273">
        <v>2382535.08</v>
      </c>
      <c r="K3663" s="1475">
        <f>H3663+I3663-J3663</f>
        <v>0</v>
      </c>
      <c r="L3663" s="291"/>
      <c r="M3663" s="291"/>
      <c r="N3663" s="291"/>
      <c r="O3663" s="291"/>
      <c r="S3663" s="364"/>
      <c r="Z3663" s="609" t="s">
        <v>3893</v>
      </c>
      <c r="AA3663" s="609" t="s">
        <v>5676</v>
      </c>
    </row>
    <row r="3664" spans="1:27" ht="18">
      <c r="A3664" s="2712"/>
      <c r="B3664" s="371">
        <v>101.002</v>
      </c>
      <c r="C3664" s="371"/>
      <c r="D3664" s="2714">
        <f t="shared" si="418"/>
        <v>1</v>
      </c>
      <c r="E3664" s="2719" t="s">
        <v>3914</v>
      </c>
      <c r="F3664" s="294"/>
      <c r="G3664" s="603" t="s">
        <v>3916</v>
      </c>
      <c r="H3664" s="2273"/>
      <c r="I3664" s="2273">
        <v>99650.66</v>
      </c>
      <c r="J3664" s="2273">
        <v>99650.66</v>
      </c>
      <c r="K3664" s="1475">
        <f>H3664+I3664-J3664</f>
        <v>0</v>
      </c>
      <c r="L3664" s="291"/>
      <c r="M3664" s="291"/>
      <c r="N3664" s="291"/>
      <c r="O3664" s="291"/>
      <c r="S3664" s="364"/>
      <c r="Z3664" s="609" t="s">
        <v>3893</v>
      </c>
      <c r="AA3664" s="609" t="s">
        <v>5676</v>
      </c>
    </row>
    <row r="3665" spans="1:29" ht="18">
      <c r="A3665" s="2712"/>
      <c r="B3665" s="371">
        <v>101.003</v>
      </c>
      <c r="C3665" s="371"/>
      <c r="D3665" s="2714">
        <f t="shared" si="418"/>
        <v>1</v>
      </c>
      <c r="E3665" s="2719" t="s">
        <v>3914</v>
      </c>
      <c r="F3665" s="294"/>
      <c r="G3665" s="603" t="s">
        <v>3917</v>
      </c>
      <c r="H3665" s="2273"/>
      <c r="I3665" s="2273"/>
      <c r="J3665" s="2273"/>
      <c r="K3665" s="1475">
        <f>H3665+I3665-J3665</f>
        <v>0</v>
      </c>
      <c r="L3665" s="291"/>
      <c r="M3665" s="291"/>
      <c r="N3665" s="291"/>
      <c r="O3665" s="291"/>
      <c r="S3665" s="364"/>
      <c r="Z3665" s="609" t="s">
        <v>3893</v>
      </c>
      <c r="AA3665" s="609" t="s">
        <v>5676</v>
      </c>
    </row>
    <row r="3666" spans="1:29" ht="18">
      <c r="A3666" s="2712"/>
      <c r="B3666" s="371">
        <v>101.004</v>
      </c>
      <c r="C3666" s="371" t="s">
        <v>2791</v>
      </c>
      <c r="D3666" s="2714">
        <f t="shared" si="418"/>
        <v>0</v>
      </c>
      <c r="E3666" s="2719" t="s">
        <v>3914</v>
      </c>
      <c r="F3666" s="294"/>
      <c r="G3666" s="578" t="s">
        <v>2792</v>
      </c>
      <c r="H3666" s="2273"/>
      <c r="I3666" s="2273"/>
      <c r="J3666" s="2273"/>
      <c r="K3666" s="1475">
        <f>H3666+I3666-J3666</f>
        <v>0</v>
      </c>
      <c r="L3666" s="291"/>
      <c r="M3666" s="291"/>
      <c r="N3666" s="291"/>
      <c r="O3666" s="291"/>
      <c r="S3666" s="364"/>
      <c r="Z3666" s="609" t="s">
        <v>3893</v>
      </c>
      <c r="AA3666" s="609" t="s">
        <v>5676</v>
      </c>
    </row>
    <row r="3667" spans="1:29" ht="18">
      <c r="A3667" s="2712"/>
      <c r="B3667" s="371">
        <v>101.005</v>
      </c>
      <c r="C3667" s="371" t="s">
        <v>2791</v>
      </c>
      <c r="D3667" s="2714">
        <f t="shared" si="418"/>
        <v>0</v>
      </c>
      <c r="E3667" s="2719" t="s">
        <v>3914</v>
      </c>
      <c r="F3667" s="294"/>
      <c r="G3667" s="578" t="s">
        <v>2792</v>
      </c>
      <c r="H3667" s="2273"/>
      <c r="I3667" s="2273"/>
      <c r="J3667" s="2273"/>
      <c r="K3667" s="1475">
        <f>H3667+I3667-J3667</f>
        <v>0</v>
      </c>
      <c r="L3667" s="291"/>
      <c r="M3667" s="291"/>
      <c r="N3667" s="291"/>
      <c r="O3667" s="291"/>
      <c r="S3667" s="364"/>
      <c r="Z3667" s="609" t="s">
        <v>3893</v>
      </c>
      <c r="AA3667" s="609" t="s">
        <v>5676</v>
      </c>
    </row>
    <row r="3668" spans="1:29" ht="18">
      <c r="A3668" s="2712"/>
      <c r="B3668" s="371">
        <v>101.999</v>
      </c>
      <c r="C3668" s="371" t="s">
        <v>2793</v>
      </c>
      <c r="D3668" s="2714">
        <f t="shared" si="418"/>
        <v>1</v>
      </c>
      <c r="E3668" s="2719">
        <v>1</v>
      </c>
      <c r="F3668" s="294"/>
      <c r="G3668" s="1472" t="s">
        <v>3914</v>
      </c>
      <c r="H3668" s="1474">
        <f>SUMIF($E$3661:$E$3673,$G3668,H$3661:H$3673)</f>
        <v>0</v>
      </c>
      <c r="I3668" s="1474">
        <f>SUMIF($E$3661:$E$3673,$G3668,I$3661:I$3673)</f>
        <v>2482185.7400000002</v>
      </c>
      <c r="J3668" s="1474">
        <f>SUMIF($E$3661:$E$3673,$G3668,J$3661:J$3673)</f>
        <v>2482185.7400000002</v>
      </c>
      <c r="K3668" s="1475">
        <f>SUMIF($E$3661:$E$3673,$G3668,K$3661:K$3673)</f>
        <v>0</v>
      </c>
      <c r="L3668" s="1531" t="str">
        <f ca="1">HYPERLINK("#'"&amp;$G$1&amp;"'!"&amp;ADDRESS(ROW(Notes!H3678),COLUMN(Notes!H3678),4),"* 请勿删除此行！点击往勾稽单元格，F5+Enter返回")</f>
        <v>* 请勿删除此行！点击往勾稽单元格，F5+Enter返回</v>
      </c>
      <c r="M3668" s="291"/>
      <c r="N3668" s="291"/>
      <c r="O3668" s="291"/>
      <c r="S3668" s="364"/>
      <c r="Z3668" s="609" t="s">
        <v>3893</v>
      </c>
      <c r="AA3668" s="609" t="s">
        <v>5676</v>
      </c>
      <c r="AC3668" s="369" t="s">
        <v>6571</v>
      </c>
    </row>
    <row r="3669" spans="1:29" ht="18">
      <c r="A3669" s="2712"/>
      <c r="B3669" s="371">
        <v>102</v>
      </c>
      <c r="C3669" s="371" t="s">
        <v>2791</v>
      </c>
      <c r="D3669" s="2714">
        <f t="shared" si="418"/>
        <v>1</v>
      </c>
      <c r="E3669" s="2719">
        <v>1</v>
      </c>
      <c r="F3669" s="294"/>
      <c r="G3669" s="2566" t="s">
        <v>3918</v>
      </c>
      <c r="H3669" s="2273">
        <f>SUM(H3670:H3672)</f>
        <v>0</v>
      </c>
      <c r="I3669" s="2273">
        <f t="shared" ref="I3669:J3669" si="419">SUM(I3670:I3672)</f>
        <v>0</v>
      </c>
      <c r="J3669" s="2273">
        <f t="shared" si="419"/>
        <v>0</v>
      </c>
      <c r="K3669" s="2294">
        <f>SUM(K3670:K3672)</f>
        <v>0</v>
      </c>
      <c r="L3669" s="291"/>
      <c r="M3669" s="291"/>
      <c r="N3669" s="291"/>
      <c r="O3669" s="291"/>
      <c r="S3669" s="364"/>
      <c r="Z3669" s="609" t="s">
        <v>3893</v>
      </c>
      <c r="AA3669" s="609" t="s">
        <v>5676</v>
      </c>
    </row>
    <row r="3670" spans="1:29" ht="18">
      <c r="A3670" s="2712"/>
      <c r="B3670" s="371">
        <v>103</v>
      </c>
      <c r="C3670" s="371" t="s">
        <v>2791</v>
      </c>
      <c r="D3670" s="2714">
        <f t="shared" si="418"/>
        <v>1</v>
      </c>
      <c r="E3670" s="2719">
        <v>0</v>
      </c>
      <c r="F3670" s="294"/>
      <c r="G3670" s="578" t="s">
        <v>3919</v>
      </c>
      <c r="H3670" s="2273"/>
      <c r="I3670" s="2273"/>
      <c r="J3670" s="2273"/>
      <c r="K3670" s="1475">
        <f>H3670+I3670-J3670</f>
        <v>0</v>
      </c>
      <c r="L3670" s="355" t="s">
        <v>6071</v>
      </c>
      <c r="M3670" s="291"/>
      <c r="N3670" s="291"/>
      <c r="O3670" s="291"/>
      <c r="S3670" s="364"/>
      <c r="Z3670" s="609" t="s">
        <v>3893</v>
      </c>
      <c r="AA3670" s="609" t="s">
        <v>5676</v>
      </c>
    </row>
    <row r="3671" spans="1:29" ht="18">
      <c r="A3671" s="2712"/>
      <c r="B3671" s="371">
        <v>104</v>
      </c>
      <c r="C3671" s="371" t="s">
        <v>2791</v>
      </c>
      <c r="D3671" s="2714">
        <f t="shared" si="418"/>
        <v>1</v>
      </c>
      <c r="E3671" s="2719">
        <v>0</v>
      </c>
      <c r="F3671" s="294"/>
      <c r="G3671" s="578" t="s">
        <v>3920</v>
      </c>
      <c r="H3671" s="2273"/>
      <c r="I3671" s="2273"/>
      <c r="J3671" s="2273"/>
      <c r="K3671" s="1475">
        <f>H3671+I3671-J3671</f>
        <v>0</v>
      </c>
      <c r="L3671" s="291"/>
      <c r="M3671" s="291"/>
      <c r="N3671" s="291"/>
      <c r="O3671" s="291"/>
      <c r="S3671" s="364"/>
      <c r="Z3671" s="609" t="s">
        <v>3893</v>
      </c>
      <c r="AA3671" s="609" t="s">
        <v>5676</v>
      </c>
    </row>
    <row r="3672" spans="1:29" ht="18">
      <c r="A3672" s="2712"/>
      <c r="B3672" s="371">
        <v>105</v>
      </c>
      <c r="C3672" s="371" t="s">
        <v>6530</v>
      </c>
      <c r="D3672" s="2714">
        <f t="shared" si="418"/>
        <v>0</v>
      </c>
      <c r="E3672" s="2719">
        <v>0</v>
      </c>
      <c r="F3672" s="294"/>
      <c r="G3672" s="578" t="s">
        <v>2792</v>
      </c>
      <c r="H3672" s="2273"/>
      <c r="I3672" s="2273"/>
      <c r="J3672" s="2273"/>
      <c r="K3672" s="1475">
        <f>H3672+I3672-J3672</f>
        <v>0</v>
      </c>
      <c r="L3672" s="291"/>
      <c r="M3672" s="291"/>
      <c r="N3672" s="291"/>
      <c r="O3672" s="291"/>
      <c r="S3672" s="364"/>
      <c r="Z3672" s="609" t="s">
        <v>3893</v>
      </c>
      <c r="AA3672" s="609" t="s">
        <v>5676</v>
      </c>
    </row>
    <row r="3673" spans="1:29" ht="18">
      <c r="A3673" s="2712"/>
      <c r="B3673" s="371">
        <v>106</v>
      </c>
      <c r="C3673" s="371" t="s">
        <v>2791</v>
      </c>
      <c r="D3673" s="2714">
        <f t="shared" si="418"/>
        <v>0</v>
      </c>
      <c r="E3673" s="2719">
        <v>1</v>
      </c>
      <c r="F3673" s="294"/>
      <c r="G3673" s="2566" t="s">
        <v>2792</v>
      </c>
      <c r="H3673" s="2273"/>
      <c r="I3673" s="2273"/>
      <c r="J3673" s="2273"/>
      <c r="K3673" s="1475">
        <f>H3673+I3673-J3673</f>
        <v>0</v>
      </c>
      <c r="L3673" s="291"/>
      <c r="M3673" s="291"/>
      <c r="N3673" s="291"/>
      <c r="O3673" s="291"/>
      <c r="S3673" s="364"/>
      <c r="Z3673" s="609" t="s">
        <v>3893</v>
      </c>
      <c r="AA3673" s="609" t="s">
        <v>5676</v>
      </c>
    </row>
    <row r="3674" spans="1:29" ht="18.75" thickBot="1">
      <c r="A3674" s="2712"/>
      <c r="B3674" s="371"/>
      <c r="C3674" s="371"/>
      <c r="D3674" s="2714">
        <f t="shared" si="418"/>
        <v>1</v>
      </c>
      <c r="E3674" s="2719" t="s">
        <v>2751</v>
      </c>
      <c r="F3674" s="294"/>
      <c r="G3674" s="374" t="s">
        <v>2752</v>
      </c>
      <c r="H3674" s="1494">
        <f>SUMPRODUCT($E3661:$E3673,H3661:H3673)</f>
        <v>0</v>
      </c>
      <c r="I3674" s="1494">
        <f>SUMPRODUCT($E3661:$E3673,I3661:I3673)</f>
        <v>2482185.7400000002</v>
      </c>
      <c r="J3674" s="1494">
        <f>SUMPRODUCT($E3661:$E3673,J3661:J3673)</f>
        <v>2482185.7400000002</v>
      </c>
      <c r="K3674" s="2592">
        <f>SUMPRODUCT($E3661:$E3673,K3661:K3673)</f>
        <v>0</v>
      </c>
      <c r="L3674" s="291"/>
      <c r="M3674" s="291"/>
      <c r="N3674" s="291"/>
      <c r="O3674" s="291"/>
      <c r="S3674" s="364"/>
      <c r="Z3674" s="609" t="s">
        <v>3893</v>
      </c>
      <c r="AA3674" s="609" t="s">
        <v>5676</v>
      </c>
    </row>
    <row r="3675" spans="1:29" ht="18.75" thickBot="1">
      <c r="A3675" s="2712"/>
      <c r="B3675" s="371"/>
      <c r="C3675" s="371" t="s">
        <v>2755</v>
      </c>
      <c r="D3675" s="371"/>
      <c r="F3675" s="294"/>
      <c r="G3675" s="557"/>
      <c r="H3675" s="527" t="s">
        <v>3002</v>
      </c>
      <c r="I3675" s="527" t="s">
        <v>3002</v>
      </c>
      <c r="J3675" s="527" t="s">
        <v>3002</v>
      </c>
      <c r="K3675" s="527" t="s">
        <v>3002</v>
      </c>
      <c r="L3675" s="291"/>
      <c r="M3675" s="291"/>
      <c r="N3675" s="291"/>
      <c r="O3675" s="291"/>
      <c r="S3675" s="364"/>
      <c r="Z3675" s="609" t="s">
        <v>3893</v>
      </c>
      <c r="AA3675" s="609" t="s">
        <v>5676</v>
      </c>
    </row>
    <row r="3676" spans="1:29" ht="18.75" thickTop="1">
      <c r="A3676" s="2712"/>
      <c r="B3676" s="371"/>
      <c r="C3676" s="371" t="s">
        <v>2565</v>
      </c>
      <c r="D3676" s="371"/>
      <c r="F3676" s="294"/>
      <c r="G3676" s="1559" t="s">
        <v>5365</v>
      </c>
      <c r="H3676" s="1548" t="str">
        <f>G3620</f>
        <v>(1)应付职工薪酬列示</v>
      </c>
      <c r="I3676" s="1550"/>
      <c r="J3676" s="1550"/>
      <c r="K3676" s="1550"/>
      <c r="L3676" s="1551" t="s">
        <v>5366</v>
      </c>
      <c r="M3676" s="291"/>
      <c r="N3676" s="291"/>
      <c r="O3676" s="291"/>
      <c r="S3676" s="364"/>
      <c r="Z3676" s="609" t="s">
        <v>3893</v>
      </c>
      <c r="AA3676" s="609" t="s">
        <v>5676</v>
      </c>
    </row>
    <row r="3677" spans="1:29" ht="24">
      <c r="A3677" s="2712"/>
      <c r="B3677" s="371"/>
      <c r="C3677" s="371" t="s">
        <v>2565</v>
      </c>
      <c r="D3677" s="371"/>
      <c r="F3677" s="294"/>
      <c r="G3677" s="604" t="str">
        <f>"注释A:"&amp; G3624</f>
        <v>注释A:二、离职后福利-设定提存计划</v>
      </c>
      <c r="H3677" s="2250">
        <f ca="1">HYPERLINK("#'"&amp;$G$1&amp;"'!"&amp;ADDRESS(ROW(Notes!H3624),COLUMN(Notes!H3624),4),H3624)</f>
        <v>0</v>
      </c>
      <c r="I3677" s="2250">
        <f ca="1">HYPERLINK("#'"&amp;$G$1&amp;"'!"&amp;ADDRESS(ROW(Notes!I3624),COLUMN(Notes!I3624),4),I3624)</f>
        <v>2482185.7400000002</v>
      </c>
      <c r="J3677" s="2250">
        <f ca="1">HYPERLINK("#'"&amp;$G$1&amp;"'!"&amp;ADDRESS(ROW(Notes!J3624),COLUMN(Notes!J3624),4),J3624)</f>
        <v>2482185.7400000002</v>
      </c>
      <c r="K3677" s="2250">
        <f ca="1">HYPERLINK("#'"&amp;$G$1&amp;"'!"&amp;ADDRESS(ROW(Notes!K3624),COLUMN(Notes!K3624),4),K3624)</f>
        <v>0</v>
      </c>
      <c r="L3677" s="2630" t="str">
        <f>H3620</f>
        <v>2211a</v>
      </c>
      <c r="M3677" s="291"/>
      <c r="N3677" s="291"/>
      <c r="O3677" s="291"/>
      <c r="S3677" s="364"/>
      <c r="Z3677" s="609" t="s">
        <v>3893</v>
      </c>
      <c r="AA3677" s="609" t="s">
        <v>5676</v>
      </c>
    </row>
    <row r="3678" spans="1:29" ht="18">
      <c r="A3678" s="2712"/>
      <c r="B3678" s="371"/>
      <c r="C3678" s="371" t="s">
        <v>2565</v>
      </c>
      <c r="D3678" s="371"/>
      <c r="F3678" s="294"/>
      <c r="G3678" s="604" t="str">
        <f>"本注释B:"&amp; G3668</f>
        <v>本注释B:离职后福利小计</v>
      </c>
      <c r="H3678" s="2250">
        <f ca="1">HYPERLINK("#'"&amp;$G$1&amp;"'!"&amp;ADDRESS(ROW(Notes!H3668),COLUMN(Notes!H3668),4),H3668)</f>
        <v>0</v>
      </c>
      <c r="I3678" s="2250">
        <f ca="1">HYPERLINK("#'"&amp;$G$1&amp;"'!"&amp;ADDRESS(ROW(Notes!I3668),COLUMN(Notes!I3668),4),I3668)</f>
        <v>2482185.7400000002</v>
      </c>
      <c r="J3678" s="2250">
        <f ca="1">HYPERLINK("#'"&amp;$G$1&amp;"'!"&amp;ADDRESS(ROW(Notes!J3668),COLUMN(Notes!J3668),4),J3668)</f>
        <v>2482185.7400000002</v>
      </c>
      <c r="K3678" s="2250">
        <f ca="1">HYPERLINK("#'"&amp;$G$1&amp;"'!"&amp;ADDRESS(ROW(Notes!K3668),COLUMN(Notes!K3668),4),K3668)</f>
        <v>0</v>
      </c>
      <c r="L3678" s="2636" t="s">
        <v>1510</v>
      </c>
      <c r="M3678" s="291"/>
      <c r="N3678" s="291"/>
      <c r="O3678" s="291"/>
      <c r="S3678" s="364"/>
      <c r="Z3678" s="609" t="s">
        <v>3893</v>
      </c>
      <c r="AA3678" s="609" t="s">
        <v>5676</v>
      </c>
    </row>
    <row r="3679" spans="1:29" ht="18.75" thickBot="1">
      <c r="A3679" s="2712"/>
      <c r="B3679" s="371"/>
      <c r="C3679" s="371" t="s">
        <v>2565</v>
      </c>
      <c r="D3679" s="371"/>
      <c r="F3679" s="294"/>
      <c r="G3679" s="1560" t="s">
        <v>2757</v>
      </c>
      <c r="H3679" s="1529">
        <f ca="1">IF(AND(H3677="",H3678=""),"",ROUND(H3677-H3678,2))</f>
        <v>0</v>
      </c>
      <c r="I3679" s="1529">
        <f ca="1">IF(AND(I3677="",I3678=""),"",ROUND(I3677-I3678,2))</f>
        <v>0</v>
      </c>
      <c r="J3679" s="1529">
        <f ca="1">IF(AND(J3677="",J3678=""),"",ROUND(J3677-J3678,2))</f>
        <v>0</v>
      </c>
      <c r="K3679" s="1529">
        <f ca="1">IF(AND(K3677="",K3678=""),"",ROUND(K3677-K3678,2))</f>
        <v>0</v>
      </c>
      <c r="L3679" s="1553"/>
      <c r="M3679" s="291"/>
      <c r="N3679" s="291"/>
      <c r="O3679" s="291"/>
      <c r="S3679" s="364"/>
      <c r="Z3679" s="609" t="s">
        <v>3893</v>
      </c>
      <c r="AA3679" s="609" t="s">
        <v>5676</v>
      </c>
    </row>
    <row r="3680" spans="1:29" ht="18.75" thickTop="1">
      <c r="A3680" s="2712"/>
      <c r="B3680" s="371"/>
      <c r="C3680" s="371" t="s">
        <v>2565</v>
      </c>
      <c r="D3680" s="371"/>
      <c r="F3680" s="294"/>
      <c r="G3680" s="2638"/>
      <c r="H3680" s="459" t="str">
        <f ca="1">IF(OR(H3679=0,H3679=""),"√","？")</f>
        <v>√</v>
      </c>
      <c r="I3680" s="459" t="str">
        <f ca="1">IF(OR(I3679=0,I3679=""),"√","？")</f>
        <v>√</v>
      </c>
      <c r="J3680" s="459" t="str">
        <f ca="1">IF(OR(J3679=0,J3679=""),"√","？")</f>
        <v>√</v>
      </c>
      <c r="K3680" s="459" t="str">
        <f ca="1">IF(OR(K3679=0,K3679=""),"√","？")</f>
        <v>√</v>
      </c>
      <c r="L3680" s="354"/>
      <c r="M3680" s="291"/>
      <c r="N3680" s="291"/>
      <c r="O3680" s="291"/>
      <c r="S3680" s="364"/>
      <c r="Z3680" s="609" t="s">
        <v>3893</v>
      </c>
      <c r="AA3680" s="609" t="s">
        <v>5676</v>
      </c>
    </row>
    <row r="3681" spans="1:27" ht="18">
      <c r="A3681" s="2712"/>
      <c r="B3681" s="371"/>
      <c r="C3681" s="371" t="s">
        <v>2565</v>
      </c>
      <c r="D3681" s="371"/>
      <c r="F3681" s="294"/>
      <c r="G3681" s="460" t="s">
        <v>2759</v>
      </c>
      <c r="H3681" s="461"/>
      <c r="I3681" s="461"/>
      <c r="J3681" s="461"/>
      <c r="K3681" s="605">
        <f ca="1">SUMIF($H$3680:$L$3680,"&lt;&gt;√",$H$3679:$L$3679)</f>
        <v>0</v>
      </c>
      <c r="L3681" s="353" t="str">
        <f ca="1">IF(OR(K3681=0,K3681=""),"√","？")</f>
        <v>√</v>
      </c>
      <c r="M3681" s="291"/>
      <c r="N3681" s="291"/>
      <c r="O3681" s="291"/>
      <c r="S3681" s="364"/>
      <c r="Z3681" s="609" t="s">
        <v>3893</v>
      </c>
      <c r="AA3681" s="609" t="s">
        <v>5676</v>
      </c>
    </row>
    <row r="3682" spans="1:27" ht="18">
      <c r="A3682" s="2712"/>
      <c r="B3682" s="371"/>
      <c r="C3682" s="371" t="s">
        <v>2565</v>
      </c>
      <c r="D3682" s="371"/>
      <c r="F3682" s="294"/>
      <c r="G3682" s="2638"/>
      <c r="H3682" s="461"/>
      <c r="I3682" s="461"/>
      <c r="J3682" s="461"/>
      <c r="K3682" s="461"/>
      <c r="L3682" s="354"/>
      <c r="M3682" s="291"/>
      <c r="N3682" s="291"/>
      <c r="O3682" s="291"/>
      <c r="S3682" s="364"/>
      <c r="Z3682" s="609" t="s">
        <v>3893</v>
      </c>
      <c r="AA3682" s="609" t="s">
        <v>5676</v>
      </c>
    </row>
    <row r="3683" spans="1:27" ht="18">
      <c r="A3683" s="2712" t="s">
        <v>1515</v>
      </c>
      <c r="B3683" s="371">
        <v>4</v>
      </c>
      <c r="C3683" s="371"/>
      <c r="D3683" s="2714" t="str">
        <f>VLOOKUP($A3683,Sheet_NoteList,2,0)</f>
        <v>应付职工薪酬分类列示</v>
      </c>
      <c r="E3683" s="2714" t="s">
        <v>6531</v>
      </c>
      <c r="F3683" s="294"/>
      <c r="G3683" s="372" t="str">
        <f>"("&amp;B3683&amp;")"&amp;D3683</f>
        <v>(4)应付职工薪酬分类列示</v>
      </c>
      <c r="H3683" s="1515" t="str">
        <f>$A3683</f>
        <v>2211d</v>
      </c>
      <c r="I3683" s="343" t="s">
        <v>5975</v>
      </c>
      <c r="J3683" s="301" t="s">
        <v>5977</v>
      </c>
      <c r="K3683" s="2208">
        <f>K3713</f>
        <v>0</v>
      </c>
      <c r="L3683" s="345"/>
      <c r="M3683" s="301" t="s">
        <v>5974</v>
      </c>
      <c r="N3683" s="2208">
        <f>H3713</f>
        <v>0</v>
      </c>
      <c r="O3683" s="345"/>
      <c r="P3683" s="301"/>
      <c r="S3683" s="364"/>
      <c r="Z3683" s="609" t="s">
        <v>3893</v>
      </c>
      <c r="AA3683" s="609" t="s">
        <v>5676</v>
      </c>
    </row>
    <row r="3684" spans="1:27" ht="0.75" customHeight="1" thickBot="1">
      <c r="A3684" s="2712"/>
      <c r="B3684" s="371"/>
      <c r="C3684" s="371"/>
      <c r="D3684" s="371"/>
      <c r="E3684" s="586"/>
      <c r="F3684" s="586"/>
      <c r="G3684" s="586" t="s">
        <v>3921</v>
      </c>
      <c r="H3684" s="371" t="s">
        <v>2904</v>
      </c>
      <c r="I3684" s="371" t="s">
        <v>3255</v>
      </c>
      <c r="J3684" s="371" t="s">
        <v>3256</v>
      </c>
      <c r="K3684" s="371" t="s">
        <v>3241</v>
      </c>
      <c r="L3684" s="291"/>
      <c r="M3684" s="291"/>
      <c r="N3684" s="291"/>
      <c r="O3684" s="291"/>
      <c r="S3684" s="364"/>
      <c r="Z3684" s="609" t="s">
        <v>3893</v>
      </c>
      <c r="AA3684" s="609" t="s">
        <v>5676</v>
      </c>
    </row>
    <row r="3685" spans="1:27" ht="18">
      <c r="A3685" s="2712"/>
      <c r="B3685" s="371"/>
      <c r="C3685" s="371"/>
      <c r="D3685" s="371"/>
      <c r="E3685" s="586" t="s">
        <v>2749</v>
      </c>
      <c r="F3685" s="363"/>
      <c r="G3685" s="2361" t="s">
        <v>47</v>
      </c>
      <c r="H3685" s="2474" t="str">
        <f>$V$3</f>
        <v>2018年12月31日</v>
      </c>
      <c r="I3685" s="2362" t="s">
        <v>3027</v>
      </c>
      <c r="J3685" s="2362" t="s">
        <v>3028</v>
      </c>
      <c r="K3685" s="2475" t="str">
        <f>$V$2</f>
        <v>2019年12月31日</v>
      </c>
      <c r="L3685" s="355" t="s">
        <v>6174</v>
      </c>
      <c r="M3685" s="291"/>
      <c r="N3685" s="291"/>
      <c r="O3685" s="291"/>
      <c r="S3685" s="364"/>
      <c r="Z3685" s="609" t="s">
        <v>3893</v>
      </c>
      <c r="AA3685" s="609" t="s">
        <v>5676</v>
      </c>
    </row>
    <row r="3686" spans="1:27" ht="18">
      <c r="A3686" s="2712"/>
      <c r="B3686" s="371">
        <v>101</v>
      </c>
      <c r="C3686" s="371"/>
      <c r="D3686" s="2714">
        <f t="shared" ref="D3686:D3713" si="420">IF(OR(G3686="*",G3686="",G3686=0),0,COUNTIF($G$3686:$G$3713,G3686))</f>
        <v>1</v>
      </c>
      <c r="E3686" s="2719">
        <v>1</v>
      </c>
      <c r="F3686" s="294"/>
      <c r="G3686" s="1472" t="s">
        <v>3922</v>
      </c>
      <c r="H3686" s="2273"/>
      <c r="I3686" s="2273"/>
      <c r="J3686" s="2273"/>
      <c r="K3686" s="1475">
        <f>H3686+I3686-J3686</f>
        <v>0</v>
      </c>
      <c r="L3686" s="579"/>
      <c r="M3686" s="291"/>
      <c r="N3686" s="291"/>
      <c r="O3686" s="291"/>
      <c r="S3686" s="364"/>
      <c r="Z3686" s="609" t="s">
        <v>3893</v>
      </c>
      <c r="AA3686" s="609" t="s">
        <v>5676</v>
      </c>
    </row>
    <row r="3687" spans="1:27" ht="18">
      <c r="A3687" s="2712"/>
      <c r="B3687" s="371">
        <v>102</v>
      </c>
      <c r="C3687" s="371"/>
      <c r="D3687" s="2714">
        <f t="shared" si="420"/>
        <v>1</v>
      </c>
      <c r="E3687" s="2719">
        <v>1</v>
      </c>
      <c r="F3687" s="294"/>
      <c r="G3687" s="1472" t="s">
        <v>3923</v>
      </c>
      <c r="H3687" s="2273"/>
      <c r="I3687" s="2273"/>
      <c r="J3687" s="2273"/>
      <c r="K3687" s="1475">
        <f>H3687+I3687-J3687</f>
        <v>0</v>
      </c>
      <c r="L3687" s="291"/>
      <c r="M3687" s="291"/>
      <c r="N3687" s="291"/>
      <c r="O3687" s="291"/>
      <c r="S3687" s="364"/>
      <c r="Z3687" s="609" t="s">
        <v>3893</v>
      </c>
      <c r="AA3687" s="609" t="s">
        <v>5676</v>
      </c>
    </row>
    <row r="3688" spans="1:27" ht="18">
      <c r="A3688" s="2712"/>
      <c r="B3688" s="371">
        <v>103</v>
      </c>
      <c r="C3688" s="371"/>
      <c r="D3688" s="2714">
        <f t="shared" si="420"/>
        <v>1</v>
      </c>
      <c r="E3688" s="2719">
        <v>0</v>
      </c>
      <c r="F3688" s="294"/>
      <c r="G3688" s="1472" t="s">
        <v>3924</v>
      </c>
      <c r="H3688" s="2273"/>
      <c r="I3688" s="2273"/>
      <c r="J3688" s="2273"/>
      <c r="K3688" s="1475">
        <f>H3688+I3688-J3688</f>
        <v>0</v>
      </c>
      <c r="L3688" s="291"/>
      <c r="M3688" s="291"/>
      <c r="N3688" s="291"/>
      <c r="O3688" s="291"/>
      <c r="S3688" s="364"/>
      <c r="Z3688" s="609" t="s">
        <v>3893</v>
      </c>
      <c r="AA3688" s="609" t="s">
        <v>5676</v>
      </c>
    </row>
    <row r="3689" spans="1:27" ht="18">
      <c r="A3689" s="2712"/>
      <c r="B3689" s="371">
        <v>104</v>
      </c>
      <c r="C3689" s="371"/>
      <c r="D3689" s="2714">
        <f t="shared" si="420"/>
        <v>1</v>
      </c>
      <c r="E3689" s="2719" t="s">
        <v>41</v>
      </c>
      <c r="F3689" s="294"/>
      <c r="G3689" s="1472" t="s">
        <v>3904</v>
      </c>
      <c r="H3689" s="2273"/>
      <c r="I3689" s="2273"/>
      <c r="J3689" s="2273"/>
      <c r="K3689" s="2294"/>
      <c r="L3689" s="291"/>
      <c r="M3689" s="291"/>
      <c r="N3689" s="291"/>
      <c r="O3689" s="291"/>
      <c r="S3689" s="364"/>
      <c r="Z3689" s="609" t="s">
        <v>3893</v>
      </c>
      <c r="AA3689" s="609" t="s">
        <v>5676</v>
      </c>
    </row>
    <row r="3690" spans="1:27" ht="18">
      <c r="A3690" s="2712"/>
      <c r="B3690" s="371">
        <v>104.001</v>
      </c>
      <c r="C3690" s="371"/>
      <c r="D3690" s="2714">
        <f t="shared" si="420"/>
        <v>1</v>
      </c>
      <c r="E3690" s="2719" t="s">
        <v>3903</v>
      </c>
      <c r="F3690" s="294"/>
      <c r="G3690" s="1472" t="s">
        <v>3925</v>
      </c>
      <c r="H3690" s="2273"/>
      <c r="I3690" s="2273"/>
      <c r="J3690" s="2273"/>
      <c r="K3690" s="1475">
        <f>H3690+I3690-J3690</f>
        <v>0</v>
      </c>
      <c r="L3690" s="291"/>
      <c r="M3690" s="291"/>
      <c r="N3690" s="291"/>
      <c r="O3690" s="291"/>
      <c r="S3690" s="364"/>
      <c r="Z3690" s="609" t="s">
        <v>3893</v>
      </c>
      <c r="AA3690" s="609" t="s">
        <v>5676</v>
      </c>
    </row>
    <row r="3691" spans="1:27" ht="18">
      <c r="A3691" s="2712"/>
      <c r="B3691" s="371">
        <v>104.002</v>
      </c>
      <c r="C3691" s="371"/>
      <c r="D3691" s="2714">
        <f t="shared" si="420"/>
        <v>1</v>
      </c>
      <c r="E3691" s="2719" t="s">
        <v>3903</v>
      </c>
      <c r="F3691" s="294"/>
      <c r="G3691" s="1472" t="s">
        <v>3926</v>
      </c>
      <c r="H3691" s="2273"/>
      <c r="I3691" s="2273"/>
      <c r="J3691" s="2273"/>
      <c r="K3691" s="1475">
        <f>H3691+I3691-J3691</f>
        <v>0</v>
      </c>
      <c r="L3691" s="291"/>
      <c r="M3691" s="291"/>
      <c r="N3691" s="291"/>
      <c r="O3691" s="291"/>
      <c r="S3691" s="364"/>
      <c r="Z3691" s="609" t="s">
        <v>3893</v>
      </c>
      <c r="AA3691" s="609" t="s">
        <v>5676</v>
      </c>
    </row>
    <row r="3692" spans="1:27" ht="18">
      <c r="A3692" s="2712"/>
      <c r="B3692" s="371">
        <v>104.003</v>
      </c>
      <c r="C3692" s="371"/>
      <c r="D3692" s="2714">
        <f t="shared" si="420"/>
        <v>1</v>
      </c>
      <c r="E3692" s="2719" t="s">
        <v>3903</v>
      </c>
      <c r="F3692" s="294"/>
      <c r="G3692" s="1472" t="s">
        <v>3927</v>
      </c>
      <c r="H3692" s="2273"/>
      <c r="I3692" s="2273"/>
      <c r="J3692" s="2273"/>
      <c r="K3692" s="1475">
        <f t="shared" ref="K3692:K3710" si="421">H3692+I3692-J3692</f>
        <v>0</v>
      </c>
      <c r="L3692" s="291"/>
      <c r="M3692" s="291"/>
      <c r="N3692" s="291"/>
      <c r="O3692" s="291"/>
      <c r="S3692" s="364"/>
      <c r="Z3692" s="609" t="s">
        <v>3893</v>
      </c>
      <c r="AA3692" s="609" t="s">
        <v>5676</v>
      </c>
    </row>
    <row r="3693" spans="1:27" ht="24">
      <c r="A3693" s="2712"/>
      <c r="B3693" s="371">
        <v>104.004</v>
      </c>
      <c r="C3693" s="371"/>
      <c r="D3693" s="2714">
        <f t="shared" si="420"/>
        <v>1</v>
      </c>
      <c r="E3693" s="2719" t="s">
        <v>3903</v>
      </c>
      <c r="F3693" s="294"/>
      <c r="G3693" s="1472" t="s">
        <v>3928</v>
      </c>
      <c r="H3693" s="2273"/>
      <c r="I3693" s="2273"/>
      <c r="J3693" s="2273"/>
      <c r="K3693" s="1475">
        <f t="shared" si="421"/>
        <v>0</v>
      </c>
      <c r="L3693" s="291"/>
      <c r="M3693" s="291"/>
      <c r="N3693" s="291"/>
      <c r="O3693" s="291"/>
      <c r="S3693" s="364"/>
      <c r="Z3693" s="609" t="s">
        <v>3893</v>
      </c>
      <c r="AA3693" s="609" t="s">
        <v>5676</v>
      </c>
    </row>
    <row r="3694" spans="1:27" ht="18">
      <c r="A3694" s="2712"/>
      <c r="B3694" s="371">
        <v>104.005</v>
      </c>
      <c r="C3694" s="371"/>
      <c r="D3694" s="2714">
        <f t="shared" si="420"/>
        <v>1</v>
      </c>
      <c r="E3694" s="2719" t="s">
        <v>3903</v>
      </c>
      <c r="F3694" s="294"/>
      <c r="G3694" s="1472" t="s">
        <v>3929</v>
      </c>
      <c r="H3694" s="2273"/>
      <c r="I3694" s="2273"/>
      <c r="J3694" s="2273"/>
      <c r="K3694" s="1475">
        <f t="shared" si="421"/>
        <v>0</v>
      </c>
      <c r="L3694" s="291"/>
      <c r="M3694" s="291"/>
      <c r="N3694" s="291"/>
      <c r="O3694" s="291"/>
      <c r="S3694" s="364"/>
      <c r="Z3694" s="609" t="s">
        <v>3893</v>
      </c>
      <c r="AA3694" s="609" t="s">
        <v>5676</v>
      </c>
    </row>
    <row r="3695" spans="1:27" ht="18">
      <c r="A3695" s="2712"/>
      <c r="B3695" s="371">
        <v>104.006</v>
      </c>
      <c r="C3695" s="371"/>
      <c r="D3695" s="2714">
        <f t="shared" si="420"/>
        <v>1</v>
      </c>
      <c r="E3695" s="2719" t="s">
        <v>3903</v>
      </c>
      <c r="F3695" s="294"/>
      <c r="G3695" s="1472" t="s">
        <v>3930</v>
      </c>
      <c r="H3695" s="2273"/>
      <c r="I3695" s="2273"/>
      <c r="J3695" s="2273"/>
      <c r="K3695" s="1475">
        <f t="shared" si="421"/>
        <v>0</v>
      </c>
      <c r="L3695" s="291"/>
      <c r="M3695" s="291"/>
      <c r="N3695" s="291"/>
      <c r="O3695" s="291"/>
      <c r="S3695" s="364"/>
      <c r="Z3695" s="609" t="s">
        <v>3893</v>
      </c>
      <c r="AA3695" s="609" t="s">
        <v>5676</v>
      </c>
    </row>
    <row r="3696" spans="1:27" ht="18">
      <c r="A3696" s="2712"/>
      <c r="B3696" s="371">
        <v>104.00700000000001</v>
      </c>
      <c r="C3696" s="371"/>
      <c r="D3696" s="2714">
        <f t="shared" si="420"/>
        <v>1</v>
      </c>
      <c r="E3696" s="2719" t="s">
        <v>3903</v>
      </c>
      <c r="F3696" s="294"/>
      <c r="G3696" s="1472" t="s">
        <v>3931</v>
      </c>
      <c r="H3696" s="2273"/>
      <c r="I3696" s="2273"/>
      <c r="J3696" s="2273"/>
      <c r="K3696" s="1475">
        <f t="shared" si="421"/>
        <v>0</v>
      </c>
      <c r="L3696" s="291"/>
      <c r="M3696" s="291"/>
      <c r="N3696" s="291"/>
      <c r="O3696" s="291"/>
      <c r="S3696" s="364"/>
      <c r="Z3696" s="609" t="s">
        <v>3893</v>
      </c>
      <c r="AA3696" s="609" t="s">
        <v>5676</v>
      </c>
    </row>
    <row r="3697" spans="1:27" ht="18">
      <c r="A3697" s="2712"/>
      <c r="B3697" s="371">
        <v>104.008</v>
      </c>
      <c r="C3697" s="371" t="s">
        <v>2791</v>
      </c>
      <c r="D3697" s="2714">
        <f t="shared" si="420"/>
        <v>0</v>
      </c>
      <c r="E3697" s="2719" t="s">
        <v>3903</v>
      </c>
      <c r="F3697" s="294"/>
      <c r="G3697" s="2373" t="s">
        <v>2792</v>
      </c>
      <c r="H3697" s="2273"/>
      <c r="I3697" s="2273"/>
      <c r="J3697" s="2273"/>
      <c r="K3697" s="1475">
        <f t="shared" si="421"/>
        <v>0</v>
      </c>
      <c r="L3697" s="291"/>
      <c r="M3697" s="291"/>
      <c r="N3697" s="291"/>
      <c r="O3697" s="291"/>
      <c r="S3697" s="364"/>
      <c r="Z3697" s="609" t="s">
        <v>3893</v>
      </c>
      <c r="AA3697" s="609" t="s">
        <v>5676</v>
      </c>
    </row>
    <row r="3698" spans="1:27" ht="18">
      <c r="A3698" s="2712"/>
      <c r="B3698" s="371">
        <v>104.009</v>
      </c>
      <c r="C3698" s="371" t="s">
        <v>2791</v>
      </c>
      <c r="D3698" s="2714">
        <f t="shared" si="420"/>
        <v>0</v>
      </c>
      <c r="E3698" s="2719" t="s">
        <v>3903</v>
      </c>
      <c r="F3698" s="294"/>
      <c r="G3698" s="2373" t="s">
        <v>2792</v>
      </c>
      <c r="H3698" s="2273"/>
      <c r="I3698" s="2273"/>
      <c r="J3698" s="2273"/>
      <c r="K3698" s="1475">
        <f t="shared" si="421"/>
        <v>0</v>
      </c>
      <c r="L3698" s="291"/>
      <c r="M3698" s="291"/>
      <c r="N3698" s="291"/>
      <c r="O3698" s="291"/>
      <c r="S3698" s="364"/>
      <c r="Z3698" s="609" t="s">
        <v>3893</v>
      </c>
      <c r="AA3698" s="609" t="s">
        <v>5676</v>
      </c>
    </row>
    <row r="3699" spans="1:27" ht="18">
      <c r="A3699" s="2712"/>
      <c r="B3699" s="371">
        <v>104.999</v>
      </c>
      <c r="C3699" s="371" t="s">
        <v>2793</v>
      </c>
      <c r="D3699" s="2714">
        <f t="shared" si="420"/>
        <v>1</v>
      </c>
      <c r="E3699" s="2719">
        <v>1</v>
      </c>
      <c r="F3699" s="294"/>
      <c r="G3699" s="1472" t="s">
        <v>3903</v>
      </c>
      <c r="H3699" s="1474">
        <f>SUMIF($E$3685:$E$3712,$G3699,H$3685:H$3712)</f>
        <v>0</v>
      </c>
      <c r="I3699" s="1474">
        <f>SUMIF($E$3685:$E$3712,$G3699,I$3685:I$3712)</f>
        <v>0</v>
      </c>
      <c r="J3699" s="1474">
        <f>SUMIF($E$3685:$E$3712,$G3699,J$3685:J$3712)</f>
        <v>0</v>
      </c>
      <c r="K3699" s="1475">
        <f>SUMIF($E$3685:$E$3712,$G3699,K$3685:K$3712)</f>
        <v>0</v>
      </c>
      <c r="L3699" s="291"/>
      <c r="M3699" s="291"/>
      <c r="N3699" s="291"/>
      <c r="O3699" s="291"/>
      <c r="S3699" s="364"/>
      <c r="Z3699" s="609" t="s">
        <v>3893</v>
      </c>
      <c r="AA3699" s="609" t="s">
        <v>5676</v>
      </c>
    </row>
    <row r="3700" spans="1:27" ht="18">
      <c r="A3700" s="2712"/>
      <c r="B3700" s="371">
        <v>105</v>
      </c>
      <c r="C3700" s="371"/>
      <c r="D3700" s="2714">
        <f t="shared" si="420"/>
        <v>1</v>
      </c>
      <c r="E3700" s="2719">
        <v>1</v>
      </c>
      <c r="F3700" s="294"/>
      <c r="G3700" s="1472" t="s">
        <v>3932</v>
      </c>
      <c r="H3700" s="2273"/>
      <c r="I3700" s="2273"/>
      <c r="J3700" s="2273"/>
      <c r="K3700" s="1475">
        <f t="shared" si="421"/>
        <v>0</v>
      </c>
      <c r="L3700" s="291"/>
      <c r="M3700" s="291"/>
      <c r="N3700" s="291"/>
      <c r="O3700" s="291"/>
      <c r="S3700" s="364"/>
      <c r="Z3700" s="609" t="s">
        <v>3893</v>
      </c>
      <c r="AA3700" s="609" t="s">
        <v>5676</v>
      </c>
    </row>
    <row r="3701" spans="1:27" ht="18">
      <c r="A3701" s="2712"/>
      <c r="B3701" s="371">
        <v>106</v>
      </c>
      <c r="C3701" s="371"/>
      <c r="D3701" s="2714">
        <f t="shared" si="420"/>
        <v>1</v>
      </c>
      <c r="E3701" s="2719">
        <v>1</v>
      </c>
      <c r="F3701" s="294"/>
      <c r="G3701" s="1472" t="s">
        <v>3933</v>
      </c>
      <c r="H3701" s="2273"/>
      <c r="I3701" s="2273"/>
      <c r="J3701" s="2273"/>
      <c r="K3701" s="1475">
        <f t="shared" si="421"/>
        <v>0</v>
      </c>
      <c r="L3701" s="291"/>
      <c r="M3701" s="291"/>
      <c r="N3701" s="291"/>
      <c r="O3701" s="291"/>
      <c r="S3701" s="364"/>
      <c r="Z3701" s="609" t="s">
        <v>3893</v>
      </c>
      <c r="AA3701" s="609" t="s">
        <v>5676</v>
      </c>
    </row>
    <row r="3702" spans="1:27" ht="18">
      <c r="A3702" s="2712"/>
      <c r="B3702" s="371">
        <v>107</v>
      </c>
      <c r="C3702" s="371"/>
      <c r="D3702" s="2714">
        <f t="shared" si="420"/>
        <v>1</v>
      </c>
      <c r="E3702" s="2719" t="s">
        <v>41</v>
      </c>
      <c r="F3702" s="294"/>
      <c r="G3702" s="1472" t="s">
        <v>3934</v>
      </c>
      <c r="H3702" s="2273"/>
      <c r="I3702" s="2273"/>
      <c r="J3702" s="2273"/>
      <c r="K3702" s="1475">
        <f t="shared" si="421"/>
        <v>0</v>
      </c>
      <c r="L3702" s="291"/>
      <c r="M3702" s="291"/>
      <c r="N3702" s="291"/>
      <c r="O3702" s="291"/>
      <c r="S3702" s="364"/>
      <c r="Z3702" s="609" t="s">
        <v>3893</v>
      </c>
      <c r="AA3702" s="609" t="s">
        <v>5676</v>
      </c>
    </row>
    <row r="3703" spans="1:27" ht="24">
      <c r="A3703" s="2712"/>
      <c r="B3703" s="371">
        <v>107.001</v>
      </c>
      <c r="C3703" s="371"/>
      <c r="D3703" s="2714">
        <f t="shared" si="420"/>
        <v>1</v>
      </c>
      <c r="E3703" s="2719" t="s">
        <v>3935</v>
      </c>
      <c r="F3703" s="294"/>
      <c r="G3703" s="1472" t="s">
        <v>3936</v>
      </c>
      <c r="H3703" s="2273"/>
      <c r="I3703" s="2273"/>
      <c r="J3703" s="2273"/>
      <c r="K3703" s="1475">
        <f t="shared" si="421"/>
        <v>0</v>
      </c>
      <c r="L3703" s="291"/>
      <c r="M3703" s="291"/>
      <c r="N3703" s="291"/>
      <c r="O3703" s="291"/>
      <c r="S3703" s="364"/>
      <c r="Z3703" s="609" t="s">
        <v>3893</v>
      </c>
      <c r="AA3703" s="609" t="s">
        <v>5676</v>
      </c>
    </row>
    <row r="3704" spans="1:27" ht="18">
      <c r="A3704" s="2712"/>
      <c r="B3704" s="371">
        <v>107.002</v>
      </c>
      <c r="C3704" s="371"/>
      <c r="D3704" s="2714">
        <f t="shared" si="420"/>
        <v>1</v>
      </c>
      <c r="E3704" s="2719" t="s">
        <v>3935</v>
      </c>
      <c r="F3704" s="294"/>
      <c r="G3704" s="1472" t="s">
        <v>3937</v>
      </c>
      <c r="H3704" s="2273"/>
      <c r="I3704" s="2273"/>
      <c r="J3704" s="2273"/>
      <c r="K3704" s="1475">
        <f t="shared" si="421"/>
        <v>0</v>
      </c>
      <c r="L3704" s="291"/>
      <c r="M3704" s="291"/>
      <c r="N3704" s="291"/>
      <c r="O3704" s="291"/>
      <c r="S3704" s="364"/>
      <c r="Z3704" s="609" t="s">
        <v>3893</v>
      </c>
      <c r="AA3704" s="609" t="s">
        <v>5676</v>
      </c>
    </row>
    <row r="3705" spans="1:27" ht="18">
      <c r="A3705" s="2712"/>
      <c r="B3705" s="371">
        <v>107.003</v>
      </c>
      <c r="C3705" s="371" t="s">
        <v>2791</v>
      </c>
      <c r="D3705" s="2714">
        <f t="shared" si="420"/>
        <v>0</v>
      </c>
      <c r="E3705" s="2719" t="s">
        <v>3935</v>
      </c>
      <c r="F3705" s="294"/>
      <c r="G3705" s="2373" t="s">
        <v>2792</v>
      </c>
      <c r="H3705" s="2273"/>
      <c r="I3705" s="2273"/>
      <c r="J3705" s="2273"/>
      <c r="K3705" s="1475">
        <f t="shared" si="421"/>
        <v>0</v>
      </c>
      <c r="L3705" s="291"/>
      <c r="M3705" s="291"/>
      <c r="N3705" s="291"/>
      <c r="O3705" s="291"/>
      <c r="S3705" s="364"/>
      <c r="Z3705" s="609" t="s">
        <v>3893</v>
      </c>
      <c r="AA3705" s="609" t="s">
        <v>5676</v>
      </c>
    </row>
    <row r="3706" spans="1:27" ht="18">
      <c r="A3706" s="2712"/>
      <c r="B3706" s="371">
        <v>107.999</v>
      </c>
      <c r="C3706" s="371" t="s">
        <v>2793</v>
      </c>
      <c r="D3706" s="2714">
        <f t="shared" si="420"/>
        <v>1</v>
      </c>
      <c r="E3706" s="2719">
        <v>1</v>
      </c>
      <c r="F3706" s="294"/>
      <c r="G3706" s="1472" t="s">
        <v>3935</v>
      </c>
      <c r="H3706" s="1474">
        <f>SUMIF($E$3685:$E$3712,$G3706,H$3685:H$3712)</f>
        <v>0</v>
      </c>
      <c r="I3706" s="1474">
        <f>SUMIF($E$3685:$E$3712,$G3706,I$3685:I$3712)</f>
        <v>0</v>
      </c>
      <c r="J3706" s="1474">
        <f>SUMIF($E$3685:$E$3712,$G3706,J$3685:J$3712)</f>
        <v>0</v>
      </c>
      <c r="K3706" s="1475">
        <f>SUMIF($E$3685:$E$3712,$G3706,K$3685:K$3712)</f>
        <v>0</v>
      </c>
      <c r="L3706" s="291"/>
      <c r="M3706" s="291"/>
      <c r="N3706" s="291"/>
      <c r="O3706" s="291"/>
      <c r="S3706" s="364"/>
      <c r="Z3706" s="609" t="s">
        <v>3893</v>
      </c>
      <c r="AA3706" s="609" t="s">
        <v>5676</v>
      </c>
    </row>
    <row r="3707" spans="1:27" ht="18">
      <c r="A3707" s="2712"/>
      <c r="B3707" s="371">
        <v>108</v>
      </c>
      <c r="C3707" s="371"/>
      <c r="D3707" s="2714">
        <f t="shared" si="420"/>
        <v>1</v>
      </c>
      <c r="E3707" s="2719" t="s">
        <v>41</v>
      </c>
      <c r="F3707" s="294"/>
      <c r="G3707" s="1472" t="s">
        <v>932</v>
      </c>
      <c r="H3707" s="2273"/>
      <c r="I3707" s="2273"/>
      <c r="J3707" s="2273"/>
      <c r="K3707" s="1475">
        <f t="shared" si="421"/>
        <v>0</v>
      </c>
      <c r="L3707" s="291"/>
      <c r="M3707" s="291"/>
      <c r="N3707" s="291"/>
      <c r="O3707" s="291"/>
      <c r="S3707" s="364"/>
      <c r="Z3707" s="609" t="s">
        <v>3893</v>
      </c>
      <c r="AA3707" s="609" t="s">
        <v>5676</v>
      </c>
    </row>
    <row r="3708" spans="1:27" ht="18">
      <c r="A3708" s="2712"/>
      <c r="B3708" s="371">
        <v>108.001</v>
      </c>
      <c r="C3708" s="371"/>
      <c r="D3708" s="2714">
        <f t="shared" si="420"/>
        <v>1</v>
      </c>
      <c r="E3708" s="2719" t="s">
        <v>3938</v>
      </c>
      <c r="F3708" s="294"/>
      <c r="G3708" s="1472" t="s">
        <v>3939</v>
      </c>
      <c r="H3708" s="2273"/>
      <c r="I3708" s="2273"/>
      <c r="J3708" s="2273"/>
      <c r="K3708" s="1475">
        <f t="shared" si="421"/>
        <v>0</v>
      </c>
      <c r="L3708" s="291"/>
      <c r="M3708" s="291"/>
      <c r="N3708" s="291"/>
      <c r="O3708" s="291"/>
      <c r="S3708" s="364"/>
      <c r="Z3708" s="609" t="s">
        <v>3893</v>
      </c>
      <c r="AA3708" s="609" t="s">
        <v>5676</v>
      </c>
    </row>
    <row r="3709" spans="1:27" ht="18">
      <c r="A3709" s="2712"/>
      <c r="B3709" s="371">
        <v>108.002</v>
      </c>
      <c r="C3709" s="371" t="s">
        <v>2791</v>
      </c>
      <c r="D3709" s="2714">
        <f t="shared" si="420"/>
        <v>0</v>
      </c>
      <c r="E3709" s="2719" t="s">
        <v>3938</v>
      </c>
      <c r="F3709" s="294"/>
      <c r="G3709" s="2373" t="s">
        <v>2792</v>
      </c>
      <c r="H3709" s="2273"/>
      <c r="I3709" s="2273"/>
      <c r="J3709" s="2273"/>
      <c r="K3709" s="1475">
        <f t="shared" si="421"/>
        <v>0</v>
      </c>
      <c r="L3709" s="291"/>
      <c r="M3709" s="291"/>
      <c r="N3709" s="291"/>
      <c r="O3709" s="291"/>
      <c r="S3709" s="364"/>
      <c r="Z3709" s="609" t="s">
        <v>3893</v>
      </c>
      <c r="AA3709" s="609" t="s">
        <v>5676</v>
      </c>
    </row>
    <row r="3710" spans="1:27" ht="18">
      <c r="A3710" s="2712"/>
      <c r="B3710" s="371">
        <v>108.003</v>
      </c>
      <c r="C3710" s="371" t="s">
        <v>2791</v>
      </c>
      <c r="D3710" s="2714">
        <f t="shared" si="420"/>
        <v>0</v>
      </c>
      <c r="E3710" s="2719" t="s">
        <v>3938</v>
      </c>
      <c r="F3710" s="294"/>
      <c r="G3710" s="2373" t="s">
        <v>2792</v>
      </c>
      <c r="H3710" s="2273"/>
      <c r="I3710" s="2273"/>
      <c r="J3710" s="2273"/>
      <c r="K3710" s="1475">
        <f t="shared" si="421"/>
        <v>0</v>
      </c>
      <c r="L3710" s="291"/>
      <c r="M3710" s="291"/>
      <c r="N3710" s="291"/>
      <c r="O3710" s="291"/>
      <c r="S3710" s="364"/>
      <c r="Z3710" s="609" t="s">
        <v>3893</v>
      </c>
      <c r="AA3710" s="609" t="s">
        <v>5676</v>
      </c>
    </row>
    <row r="3711" spans="1:27" ht="18">
      <c r="A3711" s="2712"/>
      <c r="B3711" s="371">
        <v>108.999</v>
      </c>
      <c r="C3711" s="371" t="s">
        <v>2793</v>
      </c>
      <c r="D3711" s="2714">
        <f t="shared" si="420"/>
        <v>1</v>
      </c>
      <c r="E3711" s="2719">
        <v>1</v>
      </c>
      <c r="F3711" s="294"/>
      <c r="G3711" s="1472" t="s">
        <v>3938</v>
      </c>
      <c r="H3711" s="1474">
        <f>SUMIF($E$3685:$E$3712,$G3711,H$3685:H$3712)</f>
        <v>0</v>
      </c>
      <c r="I3711" s="1474">
        <f>SUMIF($E$3685:$E$3712,$G3711,I$3685:I$3712)</f>
        <v>0</v>
      </c>
      <c r="J3711" s="1474">
        <f>SUMIF($E$3685:$E$3712,$G3711,J$3685:J$3712)</f>
        <v>0</v>
      </c>
      <c r="K3711" s="1475">
        <f>SUMIF($E$3685:$E$3712,$G3711,K$3685:K$3712)</f>
        <v>0</v>
      </c>
      <c r="L3711" s="291"/>
      <c r="M3711" s="291"/>
      <c r="N3711" s="291"/>
      <c r="O3711" s="291"/>
      <c r="S3711" s="364"/>
      <c r="Z3711" s="609" t="s">
        <v>3893</v>
      </c>
      <c r="AA3711" s="609" t="s">
        <v>5676</v>
      </c>
    </row>
    <row r="3712" spans="1:27" ht="18">
      <c r="A3712" s="2712"/>
      <c r="B3712" s="371">
        <v>109</v>
      </c>
      <c r="C3712" s="371" t="s">
        <v>2791</v>
      </c>
      <c r="D3712" s="2714">
        <f t="shared" si="420"/>
        <v>0</v>
      </c>
      <c r="E3712" s="2719">
        <v>1</v>
      </c>
      <c r="F3712" s="294"/>
      <c r="G3712" s="2373" t="s">
        <v>2792</v>
      </c>
      <c r="H3712" s="2273"/>
      <c r="I3712" s="2273"/>
      <c r="J3712" s="2273"/>
      <c r="K3712" s="1475">
        <f>H3712+I3712-J3712</f>
        <v>0</v>
      </c>
      <c r="L3712" s="291"/>
      <c r="M3712" s="291"/>
      <c r="N3712" s="291"/>
      <c r="O3712" s="291"/>
      <c r="S3712" s="364"/>
      <c r="Z3712" s="609" t="s">
        <v>3893</v>
      </c>
      <c r="AA3712" s="609" t="s">
        <v>5676</v>
      </c>
    </row>
    <row r="3713" spans="1:27" ht="18.75" thickBot="1">
      <c r="A3713" s="2712"/>
      <c r="B3713" s="371"/>
      <c r="C3713" s="371"/>
      <c r="D3713" s="2714">
        <f t="shared" si="420"/>
        <v>1</v>
      </c>
      <c r="E3713" s="2719" t="s">
        <v>2751</v>
      </c>
      <c r="F3713" s="294"/>
      <c r="G3713" s="1527" t="s">
        <v>2752</v>
      </c>
      <c r="H3713" s="1525">
        <f>SUMPRODUCT($E3685:$E3712,H3685:H3712)</f>
        <v>0</v>
      </c>
      <c r="I3713" s="1525">
        <f>SUMPRODUCT($E3685:$E3712,I3685:I3712)</f>
        <v>0</v>
      </c>
      <c r="J3713" s="1525">
        <f>SUMPRODUCT($E3685:$E3712,J3685:J3712)</f>
        <v>0</v>
      </c>
      <c r="K3713" s="1526">
        <f>SUMPRODUCT($E3685:$E3712,K3685:K3712)</f>
        <v>0</v>
      </c>
      <c r="L3713" s="291"/>
      <c r="M3713" s="291"/>
      <c r="N3713" s="291"/>
      <c r="O3713" s="291"/>
      <c r="S3713" s="364"/>
      <c r="Z3713" s="609" t="s">
        <v>3893</v>
      </c>
      <c r="AA3713" s="609" t="s">
        <v>5676</v>
      </c>
    </row>
    <row r="3714" spans="1:27" ht="18">
      <c r="A3714" s="2712"/>
      <c r="B3714" s="371"/>
      <c r="C3714" s="371" t="s">
        <v>2755</v>
      </c>
      <c r="D3714" s="371"/>
      <c r="F3714" s="294"/>
      <c r="G3714" s="557"/>
      <c r="H3714" s="315"/>
      <c r="I3714" s="315"/>
      <c r="J3714" s="315"/>
      <c r="K3714" s="315"/>
      <c r="L3714" s="291"/>
      <c r="M3714" s="291"/>
      <c r="N3714" s="291"/>
      <c r="O3714" s="291"/>
      <c r="S3714" s="364"/>
      <c r="Z3714" s="609" t="s">
        <v>3893</v>
      </c>
      <c r="AA3714" s="609" t="s">
        <v>5676</v>
      </c>
    </row>
    <row r="3715" spans="1:27" ht="18">
      <c r="A3715" s="2712" t="s">
        <v>1520</v>
      </c>
      <c r="B3715" s="371">
        <v>5</v>
      </c>
      <c r="C3715" s="371"/>
      <c r="D3715" s="2714" t="str">
        <f>VLOOKUP($A3715,Sheet_NoteList,2,0)</f>
        <v>应付职工薪酬补充资料</v>
      </c>
      <c r="E3715" s="2714" t="s">
        <v>6529</v>
      </c>
      <c r="F3715" s="294"/>
      <c r="G3715" s="307" t="str">
        <f>"("&amp;B3715&amp;")"&amp;D3715</f>
        <v>(5)应付职工薪酬补充资料</v>
      </c>
      <c r="H3715" s="1515" t="str">
        <f>$A3715</f>
        <v>2211x</v>
      </c>
      <c r="I3715" s="343" t="s">
        <v>5975</v>
      </c>
      <c r="J3715" s="301" t="s">
        <v>5973</v>
      </c>
      <c r="K3715" s="2208">
        <f>K3736</f>
        <v>0</v>
      </c>
      <c r="L3715" s="345"/>
      <c r="M3715" s="301" t="s">
        <v>5976</v>
      </c>
      <c r="N3715" s="2208">
        <f>H3736</f>
        <v>50089.25</v>
      </c>
      <c r="O3715" s="345"/>
      <c r="P3715" s="301"/>
      <c r="S3715" s="364"/>
      <c r="Z3715" s="609" t="s">
        <v>3893</v>
      </c>
      <c r="AA3715" s="609" t="s">
        <v>5676</v>
      </c>
    </row>
    <row r="3716" spans="1:27" ht="0.75" customHeight="1" thickBot="1">
      <c r="A3716" s="2712"/>
      <c r="B3716" s="371"/>
      <c r="C3716" s="371"/>
      <c r="D3716" s="371"/>
      <c r="F3716" s="371"/>
      <c r="G3716" s="371" t="s">
        <v>3940</v>
      </c>
      <c r="H3716" s="371" t="s">
        <v>3620</v>
      </c>
      <c r="I3716" s="371" t="s">
        <v>2821</v>
      </c>
      <c r="J3716" s="291"/>
      <c r="K3716" s="291"/>
      <c r="L3716" s="291"/>
      <c r="M3716" s="291"/>
      <c r="N3716" s="291"/>
      <c r="O3716" s="291"/>
      <c r="S3716" s="364"/>
      <c r="Z3716" s="609" t="s">
        <v>3893</v>
      </c>
      <c r="AA3716" s="609" t="s">
        <v>5676</v>
      </c>
    </row>
    <row r="3717" spans="1:27" ht="18">
      <c r="A3717" s="2712"/>
      <c r="B3717" s="371"/>
      <c r="C3717" s="371"/>
      <c r="D3717" s="371"/>
      <c r="E3717" s="2714" t="s">
        <v>2749</v>
      </c>
      <c r="F3717" s="294"/>
      <c r="G3717" s="2384" t="s">
        <v>47</v>
      </c>
      <c r="H3717" s="2385" t="s">
        <v>2887</v>
      </c>
      <c r="I3717" s="2392" t="s">
        <v>2508</v>
      </c>
      <c r="J3717" s="355" t="s">
        <v>6174</v>
      </c>
      <c r="K3717" s="291"/>
      <c r="L3717" s="291"/>
      <c r="M3717" s="291"/>
      <c r="N3717" s="291"/>
      <c r="O3717" s="291"/>
      <c r="S3717" s="364"/>
      <c r="Z3717" s="609" t="s">
        <v>3893</v>
      </c>
      <c r="AA3717" s="609" t="s">
        <v>5676</v>
      </c>
    </row>
    <row r="3718" spans="1:27" ht="24">
      <c r="A3718" s="2712"/>
      <c r="B3718" s="371">
        <v>101</v>
      </c>
      <c r="C3718" s="371"/>
      <c r="D3718" s="2714">
        <f t="shared" ref="D3718:D3726" si="422">IF(OR(G3718="*",G3718="",G3718=0),0,COUNTIF($G$3718:$G$3726,G3718))</f>
        <v>1</v>
      </c>
      <c r="E3718" s="2719" t="s">
        <v>41</v>
      </c>
      <c r="F3718" s="294"/>
      <c r="G3718" s="308" t="s">
        <v>3941</v>
      </c>
      <c r="H3718" s="320"/>
      <c r="I3718" s="436"/>
      <c r="J3718" s="579"/>
      <c r="K3718" s="291"/>
      <c r="L3718" s="291"/>
      <c r="M3718" s="291"/>
      <c r="N3718" s="291"/>
      <c r="O3718" s="291"/>
      <c r="S3718" s="364"/>
      <c r="Z3718" s="609" t="s">
        <v>3893</v>
      </c>
      <c r="AA3718" s="609" t="s">
        <v>5676</v>
      </c>
    </row>
    <row r="3719" spans="1:27" ht="18">
      <c r="A3719" s="2712"/>
      <c r="B3719" s="371">
        <v>102</v>
      </c>
      <c r="C3719" s="371"/>
      <c r="D3719" s="2714">
        <f t="shared" si="422"/>
        <v>1</v>
      </c>
      <c r="E3719" s="2719">
        <v>-1</v>
      </c>
      <c r="F3719" s="294"/>
      <c r="G3719" s="308" t="s">
        <v>3942</v>
      </c>
      <c r="H3719" s="309"/>
      <c r="I3719" s="388"/>
      <c r="J3719" s="291"/>
      <c r="K3719" s="291"/>
      <c r="L3719" s="291"/>
      <c r="M3719" s="291"/>
      <c r="N3719" s="291"/>
      <c r="O3719" s="291"/>
      <c r="S3719" s="364"/>
      <c r="Z3719" s="609" t="s">
        <v>3893</v>
      </c>
      <c r="AA3719" s="609" t="s">
        <v>5676</v>
      </c>
    </row>
    <row r="3720" spans="1:27" ht="18">
      <c r="A3720" s="2712"/>
      <c r="B3720" s="371">
        <v>103</v>
      </c>
      <c r="C3720" s="371" t="s">
        <v>2791</v>
      </c>
      <c r="D3720" s="2714">
        <f t="shared" si="422"/>
        <v>1</v>
      </c>
      <c r="E3720" s="2719">
        <v>1</v>
      </c>
      <c r="F3720" s="294"/>
      <c r="G3720" s="578" t="s">
        <v>685</v>
      </c>
      <c r="H3720" s="309">
        <v>3945451.62</v>
      </c>
      <c r="I3720" s="388"/>
      <c r="J3720" s="291"/>
      <c r="K3720" s="291"/>
      <c r="L3720" s="291"/>
      <c r="M3720" s="291"/>
      <c r="N3720" s="291"/>
      <c r="O3720" s="291"/>
      <c r="S3720" s="364"/>
      <c r="Z3720" s="609" t="s">
        <v>3893</v>
      </c>
      <c r="AA3720" s="609" t="s">
        <v>5676</v>
      </c>
    </row>
    <row r="3721" spans="1:27" ht="18">
      <c r="A3721" s="2712"/>
      <c r="B3721" s="371">
        <v>104</v>
      </c>
      <c r="C3721" s="371" t="s">
        <v>2791</v>
      </c>
      <c r="D3721" s="2714">
        <f t="shared" si="422"/>
        <v>1</v>
      </c>
      <c r="E3721" s="2719">
        <v>1</v>
      </c>
      <c r="F3721" s="294"/>
      <c r="G3721" s="578" t="s">
        <v>680</v>
      </c>
      <c r="H3721" s="309">
        <v>1064914.17</v>
      </c>
      <c r="I3721" s="388"/>
      <c r="J3721" s="291"/>
      <c r="K3721" s="291"/>
      <c r="L3721" s="291"/>
      <c r="M3721" s="291"/>
      <c r="N3721" s="291"/>
      <c r="O3721" s="291"/>
      <c r="S3721" s="364"/>
      <c r="Z3721" s="609" t="s">
        <v>3893</v>
      </c>
      <c r="AA3721" s="609" t="s">
        <v>5676</v>
      </c>
    </row>
    <row r="3722" spans="1:27" ht="18">
      <c r="A3722" s="2712"/>
      <c r="B3722" s="371">
        <v>105</v>
      </c>
      <c r="C3722" s="371" t="s">
        <v>2791</v>
      </c>
      <c r="D3722" s="2714">
        <f t="shared" si="422"/>
        <v>1</v>
      </c>
      <c r="E3722" s="2719">
        <v>1</v>
      </c>
      <c r="F3722" s="294"/>
      <c r="G3722" s="578" t="s">
        <v>362</v>
      </c>
      <c r="H3722" s="309">
        <v>10372422.880000001</v>
      </c>
      <c r="I3722" s="388"/>
      <c r="J3722" s="291"/>
      <c r="K3722" s="291"/>
      <c r="L3722" s="291"/>
      <c r="M3722" s="291"/>
      <c r="N3722" s="291"/>
      <c r="O3722" s="291"/>
      <c r="S3722" s="364"/>
      <c r="Z3722" s="609" t="s">
        <v>3893</v>
      </c>
      <c r="AA3722" s="609" t="s">
        <v>5676</v>
      </c>
    </row>
    <row r="3723" spans="1:27" ht="18">
      <c r="A3723" s="2712"/>
      <c r="B3723" s="371">
        <v>106</v>
      </c>
      <c r="C3723" s="371" t="s">
        <v>2791</v>
      </c>
      <c r="D3723" s="2714">
        <f t="shared" si="422"/>
        <v>1</v>
      </c>
      <c r="E3723" s="2719">
        <v>1</v>
      </c>
      <c r="F3723" s="294"/>
      <c r="G3723" s="578" t="s">
        <v>369</v>
      </c>
      <c r="H3723" s="309">
        <v>8108987.1699999999</v>
      </c>
      <c r="I3723" s="388"/>
      <c r="J3723" s="291"/>
      <c r="K3723" s="291"/>
      <c r="L3723" s="291"/>
      <c r="M3723" s="291"/>
      <c r="N3723" s="291"/>
      <c r="O3723" s="291"/>
      <c r="S3723" s="364"/>
      <c r="Z3723" s="609" t="s">
        <v>3893</v>
      </c>
      <c r="AA3723" s="609" t="s">
        <v>5676</v>
      </c>
    </row>
    <row r="3724" spans="1:27" ht="18">
      <c r="A3724" s="2712"/>
      <c r="B3724" s="371">
        <v>107</v>
      </c>
      <c r="C3724" s="371" t="s">
        <v>2791</v>
      </c>
      <c r="D3724" s="2714">
        <f t="shared" si="422"/>
        <v>1</v>
      </c>
      <c r="E3724" s="2719">
        <v>1</v>
      </c>
      <c r="F3724" s="294"/>
      <c r="G3724" s="578" t="s">
        <v>344</v>
      </c>
      <c r="H3724" s="320"/>
      <c r="I3724" s="436"/>
      <c r="J3724" s="291"/>
      <c r="K3724" s="291"/>
      <c r="L3724" s="291"/>
      <c r="M3724" s="291"/>
      <c r="N3724" s="291"/>
      <c r="O3724" s="291"/>
      <c r="S3724" s="364"/>
      <c r="Z3724" s="609" t="s">
        <v>3893</v>
      </c>
      <c r="AA3724" s="609" t="s">
        <v>5676</v>
      </c>
    </row>
    <row r="3725" spans="1:27" ht="18">
      <c r="A3725" s="2712"/>
      <c r="B3725" s="371">
        <v>108</v>
      </c>
      <c r="C3725" s="371" t="s">
        <v>2791</v>
      </c>
      <c r="D3725" s="2714">
        <f t="shared" si="422"/>
        <v>0</v>
      </c>
      <c r="E3725" s="2719">
        <v>1</v>
      </c>
      <c r="F3725" s="294"/>
      <c r="G3725" s="578" t="s">
        <v>2792</v>
      </c>
      <c r="H3725" s="320"/>
      <c r="I3725" s="436"/>
      <c r="J3725" s="291"/>
      <c r="K3725" s="291"/>
      <c r="L3725" s="291"/>
      <c r="M3725" s="291"/>
      <c r="N3725" s="291"/>
      <c r="O3725" s="291"/>
      <c r="S3725" s="364"/>
      <c r="Z3725" s="609" t="s">
        <v>3893</v>
      </c>
      <c r="AA3725" s="609" t="s">
        <v>5676</v>
      </c>
    </row>
    <row r="3726" spans="1:27" ht="18.75" thickBot="1">
      <c r="A3726" s="2712"/>
      <c r="B3726" s="371"/>
      <c r="C3726" s="371"/>
      <c r="D3726" s="2714">
        <f t="shared" si="422"/>
        <v>1</v>
      </c>
      <c r="E3726" s="2719" t="s">
        <v>2751</v>
      </c>
      <c r="F3726" s="294"/>
      <c r="G3726" s="1527" t="s">
        <v>2752</v>
      </c>
      <c r="H3726" s="2389">
        <f>SUMPRODUCT($E3717:$E3725,H3717:H3725)</f>
        <v>23491775.84</v>
      </c>
      <c r="I3726" s="2390"/>
      <c r="J3726" s="291"/>
      <c r="K3726" s="291"/>
      <c r="L3726" s="291"/>
      <c r="M3726" s="291"/>
      <c r="N3726" s="291"/>
      <c r="O3726" s="291"/>
      <c r="S3726" s="364"/>
      <c r="Z3726" s="609" t="s">
        <v>3893</v>
      </c>
      <c r="AA3726" s="609" t="s">
        <v>5676</v>
      </c>
    </row>
    <row r="3727" spans="1:27" ht="18">
      <c r="A3727" s="2712"/>
      <c r="B3727" s="371"/>
      <c r="C3727" s="371" t="s">
        <v>2755</v>
      </c>
      <c r="D3727" s="371"/>
      <c r="F3727" s="294"/>
      <c r="G3727" s="557"/>
      <c r="H3727" s="315"/>
      <c r="I3727" s="393"/>
      <c r="J3727" s="291"/>
      <c r="K3727" s="291"/>
      <c r="L3727" s="291"/>
      <c r="M3727" s="291"/>
      <c r="N3727" s="291"/>
      <c r="O3727" s="291"/>
      <c r="S3727" s="364"/>
      <c r="Z3727" s="609" t="s">
        <v>3893</v>
      </c>
      <c r="AA3727" s="609" t="s">
        <v>5676</v>
      </c>
    </row>
    <row r="3728" spans="1:27" ht="18">
      <c r="A3728" s="2712">
        <v>2221</v>
      </c>
      <c r="B3728" s="371">
        <v>41</v>
      </c>
      <c r="C3728" s="2714" t="str">
        <f>VLOOKUP($A3728,Sheet_Items,2,0)</f>
        <v>应交税费</v>
      </c>
      <c r="D3728" s="371"/>
      <c r="E3728" s="2714" t="s">
        <v>2739</v>
      </c>
      <c r="F3728" s="294"/>
      <c r="G3728" s="305" t="str">
        <f>B3728&amp;" "&amp;C3728</f>
        <v>41 应交税费</v>
      </c>
      <c r="H3728" s="306"/>
      <c r="I3728" s="306"/>
      <c r="J3728" s="306" t="s">
        <v>2740</v>
      </c>
      <c r="K3728" s="341">
        <f>VLOOKUP($A3728,Sheet_Trialbal,6,0)</f>
        <v>4883645.8</v>
      </c>
      <c r="L3728" s="342"/>
      <c r="M3728" s="306" t="s">
        <v>2741</v>
      </c>
      <c r="N3728" s="341">
        <f>VLOOKUP($A3728,Sheet_Trialbal,10,0)</f>
        <v>7888725.9500000002</v>
      </c>
      <c r="O3728" s="306"/>
      <c r="P3728" s="301"/>
      <c r="S3728" s="364"/>
      <c r="Z3728" s="609" t="s">
        <v>3943</v>
      </c>
      <c r="AA3728" s="609" t="s">
        <v>5677</v>
      </c>
    </row>
    <row r="3729" spans="1:29" ht="18">
      <c r="A3729" s="2712" t="s">
        <v>1528</v>
      </c>
      <c r="B3729" s="371">
        <v>1</v>
      </c>
      <c r="C3729" s="371"/>
      <c r="D3729" s="2714" t="str">
        <f>VLOOKUP($A3729,Sheet_NoteList,2,0)</f>
        <v>应交税费本期增减变动</v>
      </c>
      <c r="E3729" s="2714" t="s">
        <v>6528</v>
      </c>
      <c r="F3729" s="294"/>
      <c r="G3729" s="307" t="str">
        <f>"("&amp;B3729&amp;")"&amp;D3729</f>
        <v>(1)应交税费本期增减变动</v>
      </c>
      <c r="H3729" s="1515" t="str">
        <f>$A3729</f>
        <v>2221a</v>
      </c>
      <c r="I3729" s="343" t="s">
        <v>5517</v>
      </c>
      <c r="J3729" s="301" t="s">
        <v>5515</v>
      </c>
      <c r="K3729" s="2208">
        <f>H3746</f>
        <v>4883645.8</v>
      </c>
      <c r="L3729" s="345" t="str">
        <f>IF($I3729="适用",IF(ROUND(K3728-K3729,2)=0,"F/S",ROUND(K3728-K3729,2)),"#N/A")</f>
        <v>F/S</v>
      </c>
      <c r="M3729" s="301" t="s">
        <v>5516</v>
      </c>
      <c r="N3729" s="2208">
        <f>I3746</f>
        <v>7888725.9500000002</v>
      </c>
      <c r="O3729" s="345" t="str">
        <f>IF($I3729="适用",IF(ROUND(N3728-N3729,2)=0,"F/S",ROUND(N3728-N3729,2)),"#N/A")</f>
        <v>F/S</v>
      </c>
      <c r="P3729" s="301"/>
      <c r="Q3729" s="290" t="str">
        <f>IF($I3729="不适用","",IF(ROUND(SUM($H$3732:$K$3746),2)=0,"请输入",""))</f>
        <v/>
      </c>
      <c r="S3729" s="364"/>
      <c r="Z3729" s="609" t="s">
        <v>3943</v>
      </c>
      <c r="AA3729" s="609" t="s">
        <v>5677</v>
      </c>
    </row>
    <row r="3730" spans="1:29" ht="0.75" customHeight="1" thickBot="1">
      <c r="A3730" s="2712"/>
      <c r="B3730" s="371"/>
      <c r="C3730" s="371"/>
      <c r="D3730" s="371"/>
      <c r="F3730" s="293"/>
      <c r="G3730" s="368" t="s">
        <v>3950</v>
      </c>
      <c r="H3730" s="368" t="s">
        <v>2747</v>
      </c>
      <c r="I3730" s="368" t="s">
        <v>2748</v>
      </c>
      <c r="J3730" s="368" t="s">
        <v>3250</v>
      </c>
      <c r="K3730" s="368" t="s">
        <v>3251</v>
      </c>
      <c r="L3730" s="472"/>
      <c r="M3730" s="472"/>
      <c r="N3730" s="442"/>
      <c r="O3730" s="442"/>
      <c r="P3730" s="442"/>
      <c r="Q3730" s="442"/>
      <c r="R3730" s="443"/>
      <c r="S3730" s="364"/>
      <c r="Z3730" s="609" t="s">
        <v>3943</v>
      </c>
      <c r="AA3730" s="609" t="s">
        <v>5677</v>
      </c>
    </row>
    <row r="3731" spans="1:29" ht="18">
      <c r="A3731" s="2712"/>
      <c r="B3731" s="371"/>
      <c r="C3731" s="371"/>
      <c r="D3731" s="371"/>
      <c r="E3731" s="2714" t="s">
        <v>2749</v>
      </c>
      <c r="F3731" s="294"/>
      <c r="G3731" s="514" t="s">
        <v>3951</v>
      </c>
      <c r="H3731" s="1452" t="str">
        <f>$V$2</f>
        <v>2019年12月31日</v>
      </c>
      <c r="I3731" s="1453" t="str">
        <f>$V$3</f>
        <v>2018年12月31日</v>
      </c>
      <c r="J3731" s="1604" t="s">
        <v>5536</v>
      </c>
      <c r="K3731" s="1603" t="s">
        <v>5537</v>
      </c>
      <c r="L3731" s="355" t="s">
        <v>5304</v>
      </c>
      <c r="M3731" s="472"/>
      <c r="N3731" s="442"/>
      <c r="O3731" s="442"/>
      <c r="P3731" s="442"/>
      <c r="Q3731" s="442"/>
      <c r="R3731" s="443"/>
      <c r="S3731" s="364"/>
      <c r="Z3731" s="609" t="s">
        <v>3943</v>
      </c>
      <c r="AA3731" s="609" t="s">
        <v>5677</v>
      </c>
    </row>
    <row r="3732" spans="1:29" ht="18">
      <c r="A3732" s="2712"/>
      <c r="B3732" s="371">
        <v>101</v>
      </c>
      <c r="C3732" s="371"/>
      <c r="D3732" s="2714">
        <f t="shared" ref="D3732:D3746" si="423">IF(OR(G3732="*",G3732="",G3732=0),0,COUNTIF($G$3732:$G$3746,G3732))</f>
        <v>1</v>
      </c>
      <c r="E3732" s="2719">
        <v>1</v>
      </c>
      <c r="F3732" s="294"/>
      <c r="G3732" s="380" t="s">
        <v>3944</v>
      </c>
      <c r="H3732" s="383">
        <f>1081928.87+AJE!P151+AJE!P146+AJE!P141+AJE!P136+AJE!P131+AJE!P165+AJE!P160+AJE!P155</f>
        <v>1713523.53</v>
      </c>
      <c r="I3732" s="383">
        <v>2532704.73</v>
      </c>
      <c r="J3732" s="383"/>
      <c r="K3732" s="401"/>
      <c r="L3732" s="473" t="s">
        <v>5538</v>
      </c>
      <c r="M3732" s="472"/>
      <c r="N3732" s="442"/>
      <c r="O3732" s="442"/>
      <c r="P3732" s="442"/>
      <c r="Q3732" s="442"/>
      <c r="R3732" s="443"/>
      <c r="S3732" s="364"/>
      <c r="Z3732" s="609" t="s">
        <v>3943</v>
      </c>
      <c r="AA3732" s="609" t="s">
        <v>5677</v>
      </c>
    </row>
    <row r="3733" spans="1:29" ht="18">
      <c r="A3733" s="2712"/>
      <c r="B3733" s="371">
        <v>102</v>
      </c>
      <c r="C3733" s="371"/>
      <c r="D3733" s="2714">
        <f t="shared" si="423"/>
        <v>1</v>
      </c>
      <c r="E3733" s="2719">
        <v>1</v>
      </c>
      <c r="F3733" s="294"/>
      <c r="G3733" s="380" t="s">
        <v>3945</v>
      </c>
      <c r="H3733" s="383"/>
      <c r="I3733" s="383"/>
      <c r="J3733" s="383"/>
      <c r="K3733" s="401"/>
      <c r="L3733" s="1587" t="str">
        <f ca="1">HYPERLINK("#'"&amp;$G$1&amp;"'!"&amp;ADDRESS(ROW(Notes!K4638),COLUMN(Notes!K4638),4),"* 请勿删除此行！点击往勾稽单元格，F5+Enter返回")</f>
        <v>* 请勿删除此行！点击往勾稽单元格，F5+Enter返回</v>
      </c>
      <c r="M3733" s="472"/>
      <c r="N3733" s="442"/>
      <c r="O3733" s="442"/>
      <c r="P3733" s="442"/>
      <c r="Q3733" s="442"/>
      <c r="R3733" s="443"/>
      <c r="S3733" s="364"/>
      <c r="Z3733" s="609" t="s">
        <v>3943</v>
      </c>
      <c r="AA3733" s="609" t="s">
        <v>5677</v>
      </c>
      <c r="AC3733" s="369" t="s">
        <v>2794</v>
      </c>
    </row>
    <row r="3734" spans="1:29" ht="18">
      <c r="A3734" s="2712"/>
      <c r="B3734" s="371">
        <v>103</v>
      </c>
      <c r="C3734" s="371"/>
      <c r="D3734" s="2714">
        <f t="shared" si="423"/>
        <v>1</v>
      </c>
      <c r="E3734" s="2719">
        <v>1</v>
      </c>
      <c r="F3734" s="294"/>
      <c r="G3734" s="380" t="s">
        <v>3946</v>
      </c>
      <c r="H3734" s="383">
        <f>1820392.85+AJE!P77</f>
        <v>2371526.91</v>
      </c>
      <c r="I3734" s="383">
        <v>3438392.4</v>
      </c>
      <c r="J3734" s="383"/>
      <c r="K3734" s="401"/>
      <c r="L3734" s="1587" t="str">
        <f ca="1">HYPERLINK("#'"&amp;$G$1&amp;"'!"&amp;ADDRESS(ROW(Notes!K4962),COLUMN(Notes!K4962),4),"* 请勿删除此行！点击往勾稽单元格，F5+Enter返回")</f>
        <v>* 请勿删除此行！点击往勾稽单元格，F5+Enter返回</v>
      </c>
      <c r="M3734" s="472"/>
      <c r="N3734" s="442"/>
      <c r="O3734" s="442"/>
      <c r="P3734" s="442"/>
      <c r="Q3734" s="442"/>
      <c r="R3734" s="443"/>
      <c r="S3734" s="364"/>
      <c r="Z3734" s="609" t="s">
        <v>3943</v>
      </c>
      <c r="AA3734" s="609" t="s">
        <v>5677</v>
      </c>
      <c r="AC3734" s="369" t="s">
        <v>2794</v>
      </c>
    </row>
    <row r="3735" spans="1:29" ht="18">
      <c r="A3735" s="2712"/>
      <c r="B3735" s="371">
        <v>104</v>
      </c>
      <c r="C3735" s="371"/>
      <c r="D3735" s="2714">
        <f t="shared" si="423"/>
        <v>1</v>
      </c>
      <c r="E3735" s="2719">
        <v>1</v>
      </c>
      <c r="F3735" s="294"/>
      <c r="G3735" s="380" t="s">
        <v>3947</v>
      </c>
      <c r="H3735" s="383">
        <v>9019.4699999999993</v>
      </c>
      <c r="I3735" s="383">
        <v>296617.09000000003</v>
      </c>
      <c r="J3735" s="383"/>
      <c r="K3735" s="401"/>
      <c r="L3735" s="472"/>
      <c r="M3735" s="472"/>
      <c r="N3735" s="442"/>
      <c r="O3735" s="442"/>
      <c r="P3735" s="442"/>
      <c r="Q3735" s="442"/>
      <c r="R3735" s="443"/>
      <c r="S3735" s="364"/>
      <c r="Z3735" s="609" t="s">
        <v>3943</v>
      </c>
      <c r="AA3735" s="609" t="s">
        <v>5677</v>
      </c>
    </row>
    <row r="3736" spans="1:29" ht="18">
      <c r="A3736" s="2712"/>
      <c r="B3736" s="371">
        <v>105</v>
      </c>
      <c r="C3736" s="371"/>
      <c r="D3736" s="2714">
        <f t="shared" si="423"/>
        <v>1</v>
      </c>
      <c r="E3736" s="2719">
        <v>1</v>
      </c>
      <c r="F3736" s="294"/>
      <c r="G3736" s="380" t="s">
        <v>3948</v>
      </c>
      <c r="H3736" s="383">
        <v>50089.25</v>
      </c>
      <c r="I3736" s="383">
        <v>108570.07</v>
      </c>
      <c r="J3736" s="383"/>
      <c r="K3736" s="401"/>
      <c r="L3736" s="1587"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5677</v>
      </c>
      <c r="AC3736" s="369" t="s">
        <v>2794</v>
      </c>
    </row>
    <row r="3737" spans="1:29" ht="18">
      <c r="A3737" s="2712"/>
      <c r="B3737" s="371">
        <v>106</v>
      </c>
      <c r="C3737" s="371"/>
      <c r="D3737" s="2714">
        <f t="shared" si="423"/>
        <v>1</v>
      </c>
      <c r="E3737" s="2719">
        <v>1</v>
      </c>
      <c r="F3737" s="294"/>
      <c r="G3737" s="380" t="s">
        <v>3949</v>
      </c>
      <c r="H3737" s="383">
        <v>30053.55</v>
      </c>
      <c r="I3737" s="383">
        <v>65144.04</v>
      </c>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5677</v>
      </c>
      <c r="AC3737" s="369" t="s">
        <v>2794</v>
      </c>
    </row>
    <row r="3738" spans="1:29" ht="18">
      <c r="A3738" s="2712"/>
      <c r="B3738" s="371">
        <v>107</v>
      </c>
      <c r="C3738" s="371"/>
      <c r="D3738" s="2714">
        <f t="shared" si="423"/>
        <v>1</v>
      </c>
      <c r="E3738" s="2719">
        <v>1</v>
      </c>
      <c r="F3738" s="294"/>
      <c r="G3738" s="380" t="s">
        <v>5642</v>
      </c>
      <c r="H3738" s="383">
        <v>20035.7</v>
      </c>
      <c r="I3738" s="383">
        <v>43428.03</v>
      </c>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5677</v>
      </c>
      <c r="AC3738" s="369" t="s">
        <v>2794</v>
      </c>
    </row>
    <row r="3739" spans="1:29" ht="18">
      <c r="A3739" s="2712"/>
      <c r="B3739" s="371">
        <v>108</v>
      </c>
      <c r="C3739" s="371"/>
      <c r="D3739" s="2714">
        <f t="shared" si="423"/>
        <v>1</v>
      </c>
      <c r="E3739" s="2719">
        <v>1</v>
      </c>
      <c r="F3739" s="294"/>
      <c r="G3739" s="380" t="s">
        <v>4251</v>
      </c>
      <c r="H3739" s="383">
        <v>95808.87</v>
      </c>
      <c r="I3739" s="383">
        <v>95808.87</v>
      </c>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5677</v>
      </c>
      <c r="AC3739" s="369" t="s">
        <v>2794</v>
      </c>
    </row>
    <row r="3740" spans="1:29" ht="18">
      <c r="A3740" s="2712"/>
      <c r="B3740" s="371">
        <v>109</v>
      </c>
      <c r="C3740" s="371"/>
      <c r="D3740" s="2714">
        <f t="shared" si="423"/>
        <v>1</v>
      </c>
      <c r="E3740" s="2719">
        <v>1</v>
      </c>
      <c r="F3740" s="294"/>
      <c r="G3740" s="380" t="s">
        <v>5645</v>
      </c>
      <c r="H3740" s="383">
        <v>5902</v>
      </c>
      <c r="I3740" s="383">
        <v>541838.19999999995</v>
      </c>
      <c r="J3740" s="383"/>
      <c r="K3740" s="401"/>
      <c r="L3740" s="1587" t="str">
        <f ca="1">HYPERLINK("#'"&amp;$G$1&amp;"'!"&amp;ADDRESS(ROW(Notes!K4643),COLUMN(Notes!K4643),4),"* 请勿删除此行！点击往勾稽单元格，F5+Enter返回")</f>
        <v>* 请勿删除此行！点击往勾稽单元格，F5+Enter返回</v>
      </c>
      <c r="M3740" s="472"/>
      <c r="N3740" s="442"/>
      <c r="O3740" s="442"/>
      <c r="P3740" s="442"/>
      <c r="Q3740" s="442"/>
      <c r="R3740" s="443"/>
      <c r="S3740" s="364"/>
      <c r="Z3740" s="609" t="s">
        <v>3943</v>
      </c>
      <c r="AA3740" s="609" t="s">
        <v>5677</v>
      </c>
      <c r="AC3740" s="369" t="s">
        <v>2794</v>
      </c>
    </row>
    <row r="3741" spans="1:29" ht="18">
      <c r="A3741" s="2712"/>
      <c r="B3741" s="371">
        <v>110</v>
      </c>
      <c r="C3741" s="371"/>
      <c r="D3741" s="2714">
        <f t="shared" si="423"/>
        <v>1</v>
      </c>
      <c r="E3741" s="2719">
        <v>1</v>
      </c>
      <c r="F3741" s="294"/>
      <c r="G3741" s="380" t="s">
        <v>5644</v>
      </c>
      <c r="H3741" s="383">
        <v>506382.14</v>
      </c>
      <c r="I3741" s="383">
        <v>670311.19999999995</v>
      </c>
      <c r="J3741" s="383"/>
      <c r="K3741" s="401"/>
      <c r="L3741" s="1587" t="str">
        <f ca="1">HYPERLINK("#'"&amp;$G$1&amp;"'!"&amp;ADDRESS(ROW(Notes!K4644),COLUMN(Notes!K4644),4),"* 请勿删除此行！点击往勾稽单元格，F5+Enter返回")</f>
        <v>* 请勿删除此行！点击往勾稽单元格，F5+Enter返回</v>
      </c>
      <c r="M3741" s="472"/>
      <c r="N3741" s="442"/>
      <c r="O3741" s="442"/>
      <c r="P3741" s="442"/>
      <c r="Q3741" s="442"/>
      <c r="R3741" s="443"/>
      <c r="S3741" s="364"/>
      <c r="Z3741" s="609" t="s">
        <v>3943</v>
      </c>
      <c r="AA3741" s="609" t="s">
        <v>5677</v>
      </c>
      <c r="AC3741" s="369" t="s">
        <v>2794</v>
      </c>
    </row>
    <row r="3742" spans="1:29" ht="18">
      <c r="A3742" s="2712"/>
      <c r="B3742" s="371">
        <v>111</v>
      </c>
      <c r="C3742" s="371"/>
      <c r="D3742" s="2714">
        <f t="shared" si="423"/>
        <v>1</v>
      </c>
      <c r="E3742" s="2719">
        <v>1</v>
      </c>
      <c r="F3742" s="294"/>
      <c r="G3742" s="380" t="s">
        <v>5643</v>
      </c>
      <c r="H3742" s="383"/>
      <c r="I3742" s="383"/>
      <c r="J3742" s="383"/>
      <c r="K3742" s="401"/>
      <c r="L3742" s="472"/>
      <c r="M3742" s="472"/>
      <c r="N3742" s="442"/>
      <c r="O3742" s="442"/>
      <c r="P3742" s="442"/>
      <c r="Q3742" s="442"/>
      <c r="R3742" s="443"/>
      <c r="S3742" s="364"/>
      <c r="Z3742" s="609" t="s">
        <v>3943</v>
      </c>
      <c r="AA3742" s="609" t="s">
        <v>5677</v>
      </c>
    </row>
    <row r="3743" spans="1:29" ht="18">
      <c r="A3743" s="2712"/>
      <c r="B3743" s="371">
        <v>112</v>
      </c>
      <c r="C3743" s="371" t="s">
        <v>2791</v>
      </c>
      <c r="D3743" s="2714">
        <f t="shared" si="423"/>
        <v>1</v>
      </c>
      <c r="E3743" s="2719">
        <v>1</v>
      </c>
      <c r="F3743" s="294"/>
      <c r="G3743" s="409" t="s">
        <v>7469</v>
      </c>
      <c r="H3743" s="383">
        <v>57937.5</v>
      </c>
      <c r="I3743" s="383">
        <v>55794.6</v>
      </c>
      <c r="J3743" s="383"/>
      <c r="K3743" s="401"/>
      <c r="L3743" s="472"/>
      <c r="M3743" s="472"/>
      <c r="N3743" s="442"/>
      <c r="O3743" s="442"/>
      <c r="P3743" s="442"/>
      <c r="Q3743" s="442"/>
      <c r="R3743" s="443"/>
      <c r="S3743" s="364"/>
      <c r="Z3743" s="609" t="s">
        <v>3943</v>
      </c>
      <c r="AA3743" s="609" t="s">
        <v>5677</v>
      </c>
    </row>
    <row r="3744" spans="1:29" ht="18">
      <c r="A3744" s="2712"/>
      <c r="B3744" s="371">
        <v>113</v>
      </c>
      <c r="C3744" s="371" t="s">
        <v>2791</v>
      </c>
      <c r="D3744" s="2714">
        <f t="shared" si="423"/>
        <v>0</v>
      </c>
      <c r="E3744" s="2719">
        <v>1</v>
      </c>
      <c r="F3744" s="294"/>
      <c r="G3744" s="409" t="s">
        <v>2792</v>
      </c>
      <c r="H3744" s="383"/>
      <c r="I3744" s="383"/>
      <c r="J3744" s="383"/>
      <c r="K3744" s="401"/>
      <c r="L3744" s="472"/>
      <c r="M3744" s="472"/>
      <c r="N3744" s="442"/>
      <c r="O3744" s="442"/>
      <c r="P3744" s="442"/>
      <c r="Q3744" s="442"/>
      <c r="R3744" s="443"/>
      <c r="S3744" s="364"/>
      <c r="Z3744" s="609" t="s">
        <v>3943</v>
      </c>
      <c r="AA3744" s="609" t="s">
        <v>5677</v>
      </c>
    </row>
    <row r="3745" spans="1:27" ht="18">
      <c r="A3745" s="2712"/>
      <c r="B3745" s="371">
        <v>114</v>
      </c>
      <c r="C3745" s="371" t="s">
        <v>2791</v>
      </c>
      <c r="D3745" s="2714">
        <f t="shared" si="423"/>
        <v>1</v>
      </c>
      <c r="E3745" s="2719">
        <v>1</v>
      </c>
      <c r="F3745" s="294"/>
      <c r="G3745" s="380" t="s">
        <v>3952</v>
      </c>
      <c r="H3745" s="383">
        <v>23366.880000000001</v>
      </c>
      <c r="I3745" s="383">
        <v>40116.720000000001</v>
      </c>
      <c r="J3745" s="383"/>
      <c r="K3745" s="401"/>
      <c r="L3745" s="472"/>
      <c r="M3745" s="472"/>
      <c r="N3745" s="442"/>
      <c r="O3745" s="442"/>
      <c r="P3745" s="442"/>
      <c r="Q3745" s="442"/>
      <c r="R3745" s="443"/>
      <c r="S3745" s="364"/>
      <c r="Z3745" s="609" t="s">
        <v>3943</v>
      </c>
      <c r="AA3745" s="609" t="s">
        <v>5677</v>
      </c>
    </row>
    <row r="3746" spans="1:27" ht="18.75" thickBot="1">
      <c r="A3746" s="2712"/>
      <c r="B3746" s="371"/>
      <c r="C3746" s="371"/>
      <c r="D3746" s="2714">
        <f t="shared" si="423"/>
        <v>1</v>
      </c>
      <c r="E3746" s="2719" t="s">
        <v>2751</v>
      </c>
      <c r="F3746" s="294"/>
      <c r="G3746" s="403" t="s">
        <v>2752</v>
      </c>
      <c r="H3746" s="1496">
        <f>SUMPRODUCT($E3731:$E3745,H3731:H3745)</f>
        <v>4883645.8</v>
      </c>
      <c r="I3746" s="1496">
        <f>SUMPRODUCT($E3731:$E3745,I3731:I3745)</f>
        <v>7888725.9500000002</v>
      </c>
      <c r="J3746" s="1496">
        <f>SUMPRODUCT($E3731:$E3745,J3731:J3745)</f>
        <v>0</v>
      </c>
      <c r="K3746" s="1497">
        <f>SUMPRODUCT($E3731:$E3745,K3731:K3745)</f>
        <v>0</v>
      </c>
      <c r="L3746" s="472"/>
      <c r="M3746" s="472"/>
      <c r="N3746" s="442"/>
      <c r="O3746" s="442"/>
      <c r="P3746" s="442"/>
      <c r="Q3746" s="442"/>
      <c r="R3746" s="443"/>
      <c r="S3746" s="364"/>
      <c r="Z3746" s="609" t="s">
        <v>3943</v>
      </c>
      <c r="AA3746" s="609" t="s">
        <v>5677</v>
      </c>
    </row>
    <row r="3747" spans="1:27" ht="18">
      <c r="A3747" s="2712"/>
      <c r="B3747" s="371"/>
      <c r="C3747" s="371" t="s">
        <v>2755</v>
      </c>
      <c r="D3747" s="371"/>
      <c r="F3747" s="294"/>
      <c r="G3747" s="301"/>
      <c r="H3747" s="315"/>
      <c r="I3747" s="315"/>
      <c r="J3747" s="425"/>
      <c r="K3747" s="425"/>
      <c r="L3747" s="472"/>
      <c r="M3747" s="472"/>
      <c r="N3747" s="442"/>
      <c r="O3747" s="442"/>
      <c r="P3747" s="442"/>
      <c r="Q3747" s="442"/>
      <c r="R3747" s="443"/>
      <c r="S3747" s="364"/>
      <c r="Z3747" s="609" t="s">
        <v>3943</v>
      </c>
      <c r="AA3747" s="609" t="s">
        <v>5677</v>
      </c>
    </row>
    <row r="3748" spans="1:27" ht="18">
      <c r="A3748" s="2712" t="s">
        <v>1533</v>
      </c>
      <c r="B3748" s="371">
        <v>2</v>
      </c>
      <c r="C3748" s="371"/>
      <c r="D3748" s="2714" t="str">
        <f>VLOOKUP($A3748,Sheet_NoteList,2,0)</f>
        <v>应交税费补充资料</v>
      </c>
      <c r="E3748" s="2714" t="s">
        <v>6529</v>
      </c>
      <c r="F3748" s="294"/>
      <c r="G3748" s="307" t="str">
        <f>"("&amp;B3748&amp;")"&amp;D3748</f>
        <v>(2)应交税费补充资料</v>
      </c>
      <c r="H3748" s="1515" t="str">
        <f>$A3748</f>
        <v>2221x</v>
      </c>
      <c r="I3748" s="343" t="s">
        <v>5963</v>
      </c>
      <c r="J3748" s="301" t="s">
        <v>5961</v>
      </c>
      <c r="K3748" s="2208">
        <f>K3759</f>
        <v>0</v>
      </c>
      <c r="L3748" s="345"/>
      <c r="M3748" s="301" t="s">
        <v>5962</v>
      </c>
      <c r="N3748" s="2208">
        <f>H3759</f>
        <v>0</v>
      </c>
      <c r="O3748" s="345"/>
      <c r="P3748" s="301"/>
      <c r="S3748" s="364"/>
      <c r="Z3748" s="609" t="s">
        <v>3943</v>
      </c>
      <c r="AA3748" s="609" t="s">
        <v>5677</v>
      </c>
    </row>
    <row r="3749" spans="1:27" ht="0.75" customHeight="1" thickBot="1">
      <c r="A3749" s="2712"/>
      <c r="B3749" s="371"/>
      <c r="C3749" s="371"/>
      <c r="D3749" s="371"/>
      <c r="F3749" s="371"/>
      <c r="G3749" s="371" t="s">
        <v>3953</v>
      </c>
      <c r="H3749" s="371" t="s">
        <v>2904</v>
      </c>
      <c r="I3749" s="371" t="s">
        <v>3255</v>
      </c>
      <c r="J3749" s="371" t="s">
        <v>3256</v>
      </c>
      <c r="K3749" s="371" t="s">
        <v>3241</v>
      </c>
      <c r="M3749" s="291"/>
      <c r="S3749" s="364"/>
      <c r="Z3749" s="609" t="s">
        <v>3943</v>
      </c>
      <c r="AA3749" s="609" t="s">
        <v>5677</v>
      </c>
    </row>
    <row r="3750" spans="1:27" ht="18">
      <c r="A3750" s="2712"/>
      <c r="B3750" s="371"/>
      <c r="C3750" s="371"/>
      <c r="D3750" s="371"/>
      <c r="E3750" s="2714" t="s">
        <v>2749</v>
      </c>
      <c r="F3750" s="294"/>
      <c r="G3750" s="2391" t="s">
        <v>3951</v>
      </c>
      <c r="H3750" s="2396" t="s">
        <v>2776</v>
      </c>
      <c r="I3750" s="2385" t="s">
        <v>3712</v>
      </c>
      <c r="J3750" s="2385" t="s">
        <v>3713</v>
      </c>
      <c r="K3750" s="2386" t="s">
        <v>2775</v>
      </c>
      <c r="L3750" s="355" t="s">
        <v>6174</v>
      </c>
      <c r="M3750" s="291"/>
      <c r="S3750" s="364"/>
      <c r="Z3750" s="609" t="s">
        <v>3943</v>
      </c>
      <c r="AA3750" s="609" t="s">
        <v>5677</v>
      </c>
    </row>
    <row r="3751" spans="1:27" ht="18">
      <c r="A3751" s="2712"/>
      <c r="B3751" s="371">
        <v>101</v>
      </c>
      <c r="C3751" s="371"/>
      <c r="D3751" s="2714">
        <f t="shared" ref="D3751:D3759" si="424">IF(OR(G3751="*",G3751="",G3751=0),0,COUNTIF($G$3751:$G$3759,G3751))</f>
        <v>1</v>
      </c>
      <c r="E3751" s="2719" t="s">
        <v>41</v>
      </c>
      <c r="F3751" s="294"/>
      <c r="G3751" s="308" t="s">
        <v>3954</v>
      </c>
      <c r="H3751" s="309"/>
      <c r="I3751" s="309"/>
      <c r="J3751" s="309"/>
      <c r="K3751" s="346"/>
      <c r="L3751" s="579"/>
      <c r="M3751" s="291"/>
      <c r="S3751" s="364"/>
      <c r="Z3751" s="609" t="s">
        <v>3943</v>
      </c>
      <c r="AA3751" s="609" t="s">
        <v>5677</v>
      </c>
    </row>
    <row r="3752" spans="1:27" ht="18">
      <c r="A3752" s="2712"/>
      <c r="B3752" s="371">
        <v>102</v>
      </c>
      <c r="C3752" s="371" t="s">
        <v>2791</v>
      </c>
      <c r="D3752" s="2714">
        <f t="shared" si="424"/>
        <v>1</v>
      </c>
      <c r="E3752" s="2719">
        <v>1</v>
      </c>
      <c r="F3752" s="294"/>
      <c r="G3752" s="578" t="s">
        <v>3955</v>
      </c>
      <c r="H3752" s="309"/>
      <c r="I3752" s="309"/>
      <c r="J3752" s="309"/>
      <c r="K3752" s="346"/>
      <c r="M3752" s="291"/>
      <c r="S3752" s="364"/>
      <c r="Z3752" s="609" t="s">
        <v>3943</v>
      </c>
      <c r="AA3752" s="609" t="s">
        <v>5677</v>
      </c>
    </row>
    <row r="3753" spans="1:27" ht="18">
      <c r="A3753" s="2712"/>
      <c r="B3753" s="371">
        <v>103</v>
      </c>
      <c r="C3753" s="371" t="s">
        <v>2791</v>
      </c>
      <c r="D3753" s="2714">
        <f t="shared" si="424"/>
        <v>1</v>
      </c>
      <c r="E3753" s="2719">
        <v>1</v>
      </c>
      <c r="F3753" s="294"/>
      <c r="G3753" s="578" t="s">
        <v>3956</v>
      </c>
      <c r="H3753" s="309"/>
      <c r="I3753" s="309"/>
      <c r="J3753" s="309"/>
      <c r="K3753" s="346"/>
      <c r="M3753" s="291"/>
      <c r="S3753" s="364"/>
      <c r="Z3753" s="609" t="s">
        <v>3943</v>
      </c>
      <c r="AA3753" s="609" t="s">
        <v>5677</v>
      </c>
    </row>
    <row r="3754" spans="1:27" ht="18">
      <c r="A3754" s="2712"/>
      <c r="B3754" s="371">
        <v>104</v>
      </c>
      <c r="C3754" s="371" t="s">
        <v>2791</v>
      </c>
      <c r="D3754" s="2714">
        <f t="shared" si="424"/>
        <v>1</v>
      </c>
      <c r="E3754" s="2719">
        <v>1</v>
      </c>
      <c r="F3754" s="294"/>
      <c r="G3754" s="578" t="s">
        <v>3957</v>
      </c>
      <c r="H3754" s="309"/>
      <c r="I3754" s="309"/>
      <c r="J3754" s="309"/>
      <c r="K3754" s="346"/>
      <c r="M3754" s="291"/>
      <c r="S3754" s="364"/>
      <c r="Z3754" s="609" t="s">
        <v>3943</v>
      </c>
      <c r="AA3754" s="609" t="s">
        <v>5677</v>
      </c>
    </row>
    <row r="3755" spans="1:27" ht="18">
      <c r="A3755" s="2712"/>
      <c r="B3755" s="371">
        <v>105</v>
      </c>
      <c r="C3755" s="371" t="s">
        <v>2791</v>
      </c>
      <c r="D3755" s="2714">
        <f t="shared" si="424"/>
        <v>1</v>
      </c>
      <c r="E3755" s="2719">
        <v>1</v>
      </c>
      <c r="F3755" s="294"/>
      <c r="G3755" s="578" t="s">
        <v>3958</v>
      </c>
      <c r="H3755" s="309"/>
      <c r="I3755" s="309"/>
      <c r="J3755" s="309"/>
      <c r="K3755" s="346"/>
      <c r="M3755" s="291"/>
      <c r="S3755" s="364"/>
      <c r="Z3755" s="609" t="s">
        <v>3943</v>
      </c>
      <c r="AA3755" s="609" t="s">
        <v>5677</v>
      </c>
    </row>
    <row r="3756" spans="1:27" ht="18">
      <c r="A3756" s="2712"/>
      <c r="B3756" s="371">
        <v>106</v>
      </c>
      <c r="C3756" s="371" t="s">
        <v>2791</v>
      </c>
      <c r="D3756" s="2714">
        <f t="shared" si="424"/>
        <v>0</v>
      </c>
      <c r="E3756" s="2719">
        <v>1</v>
      </c>
      <c r="F3756" s="294"/>
      <c r="G3756" s="319" t="s">
        <v>2792</v>
      </c>
      <c r="H3756" s="309"/>
      <c r="I3756" s="309"/>
      <c r="J3756" s="309"/>
      <c r="K3756" s="346"/>
      <c r="M3756" s="291"/>
      <c r="S3756" s="364"/>
      <c r="Z3756" s="609" t="s">
        <v>3943</v>
      </c>
      <c r="AA3756" s="609" t="s">
        <v>5677</v>
      </c>
    </row>
    <row r="3757" spans="1:27" ht="18">
      <c r="A3757" s="2712"/>
      <c r="B3757" s="371">
        <v>107</v>
      </c>
      <c r="C3757" s="371" t="s">
        <v>2791</v>
      </c>
      <c r="D3757" s="2714">
        <f t="shared" si="424"/>
        <v>0</v>
      </c>
      <c r="E3757" s="2719">
        <v>1</v>
      </c>
      <c r="F3757" s="294"/>
      <c r="G3757" s="319" t="s">
        <v>2792</v>
      </c>
      <c r="H3757" s="309"/>
      <c r="I3757" s="309"/>
      <c r="J3757" s="309"/>
      <c r="K3757" s="346"/>
      <c r="M3757" s="291"/>
      <c r="S3757" s="364"/>
      <c r="Z3757" s="609" t="s">
        <v>3943</v>
      </c>
      <c r="AA3757" s="609" t="s">
        <v>5677</v>
      </c>
    </row>
    <row r="3758" spans="1:27" ht="18">
      <c r="A3758" s="2712"/>
      <c r="B3758" s="371">
        <v>108</v>
      </c>
      <c r="C3758" s="371" t="s">
        <v>2791</v>
      </c>
      <c r="D3758" s="2714">
        <f t="shared" si="424"/>
        <v>0</v>
      </c>
      <c r="E3758" s="2719">
        <v>1</v>
      </c>
      <c r="F3758" s="294"/>
      <c r="G3758" s="319" t="s">
        <v>2792</v>
      </c>
      <c r="H3758" s="309"/>
      <c r="I3758" s="309"/>
      <c r="J3758" s="309"/>
      <c r="K3758" s="346"/>
      <c r="M3758" s="291"/>
      <c r="S3758" s="364"/>
      <c r="Z3758" s="609" t="s">
        <v>3943</v>
      </c>
      <c r="AA3758" s="609" t="s">
        <v>5677</v>
      </c>
    </row>
    <row r="3759" spans="1:27" ht="18.75" thickBot="1">
      <c r="A3759" s="2712"/>
      <c r="B3759" s="371"/>
      <c r="C3759" s="371"/>
      <c r="D3759" s="2714">
        <f t="shared" si="424"/>
        <v>1</v>
      </c>
      <c r="E3759" s="2719" t="s">
        <v>2751</v>
      </c>
      <c r="F3759" s="294"/>
      <c r="G3759" s="1527" t="s">
        <v>2752</v>
      </c>
      <c r="H3759" s="2389">
        <f>SUMPRODUCT($E3750:$E3758,H3750:H3758)</f>
        <v>0</v>
      </c>
      <c r="I3759" s="2389">
        <f>SUMPRODUCT($E3750:$E3758,I3750:I3758)</f>
        <v>0</v>
      </c>
      <c r="J3759" s="2389">
        <f>SUMPRODUCT($E3750:$E3758,J3750:J3758)</f>
        <v>0</v>
      </c>
      <c r="K3759" s="2397">
        <f>SUMPRODUCT($E3750:$E3758,K3750:K3758)</f>
        <v>0</v>
      </c>
      <c r="M3759" s="291"/>
      <c r="S3759" s="364"/>
      <c r="Z3759" s="609" t="s">
        <v>3943</v>
      </c>
      <c r="AA3759" s="609" t="s">
        <v>5677</v>
      </c>
    </row>
    <row r="3760" spans="1:27" ht="18">
      <c r="A3760" s="2712"/>
      <c r="B3760" s="371"/>
      <c r="C3760" s="371" t="s">
        <v>2755</v>
      </c>
      <c r="D3760" s="371"/>
      <c r="F3760" s="294"/>
      <c r="G3760" s="301"/>
      <c r="H3760" s="315"/>
      <c r="I3760" s="315"/>
      <c r="J3760" s="315"/>
      <c r="K3760" s="315"/>
      <c r="L3760" s="291"/>
      <c r="M3760" s="291"/>
      <c r="S3760" s="364"/>
      <c r="Z3760" s="609" t="s">
        <v>3943</v>
      </c>
      <c r="AA3760" s="609" t="s">
        <v>5677</v>
      </c>
    </row>
    <row r="3761" spans="1:27" ht="24">
      <c r="A3761" s="2713">
        <v>2246</v>
      </c>
      <c r="B3761" s="371">
        <v>42</v>
      </c>
      <c r="C3761" s="2714" t="str">
        <f>VLOOKUP($A3761,Sheet_Items,2,0)</f>
        <v>其他应付款（报表项目）</v>
      </c>
      <c r="D3761" s="371"/>
      <c r="E3761" s="2714" t="s">
        <v>2739</v>
      </c>
      <c r="F3761" s="371"/>
      <c r="G3761" s="305" t="str">
        <f>B3761&amp;" "&amp;C3761</f>
        <v>42 其他应付款（报表项目）</v>
      </c>
      <c r="H3761" s="306"/>
      <c r="I3761" s="306"/>
      <c r="J3761" s="306" t="s">
        <v>2740</v>
      </c>
      <c r="K3761" s="341">
        <f>VLOOKUP($A3761,Sheet_Trialbal,6,0)</f>
        <v>11058441.74</v>
      </c>
      <c r="L3761" s="342"/>
      <c r="M3761" s="306" t="s">
        <v>2741</v>
      </c>
      <c r="N3761" s="341">
        <f>VLOOKUP($A3761,Sheet_Trialbal,10,0)</f>
        <v>61340818.75</v>
      </c>
      <c r="O3761" s="342"/>
      <c r="P3761" s="301"/>
      <c r="S3761" s="364"/>
      <c r="Z3761" s="609" t="s">
        <v>3959</v>
      </c>
      <c r="AA3761" s="609" t="s">
        <v>19</v>
      </c>
    </row>
    <row r="3762" spans="1:27" ht="18">
      <c r="A3762" s="2712" t="s">
        <v>1594</v>
      </c>
      <c r="B3762" s="371">
        <v>1</v>
      </c>
      <c r="C3762" s="371"/>
      <c r="D3762" s="2714" t="str">
        <f>VLOOKUP($A3762,Sheet_NoteList,2,0)</f>
        <v>其他应付款分类列示</v>
      </c>
      <c r="E3762" s="2714" t="s">
        <v>2742</v>
      </c>
      <c r="F3762" s="371"/>
      <c r="G3762" s="372" t="str">
        <f>"("&amp;B3762&amp;")"&amp;D3762</f>
        <v>(1)其他应付款分类列示</v>
      </c>
      <c r="H3762" s="1515" t="str">
        <f>$A3762</f>
        <v>2246a</v>
      </c>
      <c r="I3762" s="343" t="s">
        <v>2743</v>
      </c>
      <c r="J3762" s="301" t="s">
        <v>2744</v>
      </c>
      <c r="K3762" s="2208">
        <f>H3769</f>
        <v>11058441.74</v>
      </c>
      <c r="L3762" s="349"/>
      <c r="M3762" s="301" t="s">
        <v>2745</v>
      </c>
      <c r="N3762" s="2208">
        <f>I3769</f>
        <v>61340818.75</v>
      </c>
      <c r="O3762" s="349"/>
      <c r="P3762" s="301"/>
      <c r="S3762" s="364"/>
      <c r="Z3762" s="609" t="s">
        <v>3959</v>
      </c>
      <c r="AA3762" s="609" t="s">
        <v>19</v>
      </c>
    </row>
    <row r="3763" spans="1:27" ht="0.75" customHeight="1" thickBot="1">
      <c r="A3763" s="2712"/>
      <c r="B3763" s="371"/>
      <c r="C3763" s="371"/>
      <c r="D3763" s="2714"/>
      <c r="F3763" s="371"/>
      <c r="G3763" s="405" t="s">
        <v>3960</v>
      </c>
      <c r="H3763" s="371" t="s">
        <v>2747</v>
      </c>
      <c r="I3763" s="371" t="s">
        <v>2748</v>
      </c>
      <c r="J3763" s="301"/>
      <c r="K3763" s="391"/>
      <c r="L3763" s="349"/>
      <c r="M3763" s="301"/>
      <c r="N3763" s="391"/>
      <c r="O3763" s="349"/>
      <c r="P3763" s="301"/>
      <c r="S3763" s="364"/>
      <c r="Z3763" s="609" t="s">
        <v>3959</v>
      </c>
      <c r="AA3763" s="609" t="s">
        <v>19</v>
      </c>
    </row>
    <row r="3764" spans="1:27" ht="18.75" thickTop="1">
      <c r="A3764" s="2712"/>
      <c r="B3764" s="371"/>
      <c r="C3764" s="371"/>
      <c r="D3764" s="2714"/>
      <c r="E3764" s="2714" t="s">
        <v>2749</v>
      </c>
      <c r="F3764" s="371"/>
      <c r="G3764" s="373" t="s">
        <v>47</v>
      </c>
      <c r="H3764" s="1452" t="str">
        <f>$V$2</f>
        <v>2019年12月31日</v>
      </c>
      <c r="I3764" s="1453" t="str">
        <f>$V$3</f>
        <v>2018年12月31日</v>
      </c>
      <c r="J3764" s="355" t="s">
        <v>5305</v>
      </c>
      <c r="K3764" s="1582" t="str">
        <f>""&amp;"&gt;本期:"&amp;""</f>
        <v>&gt;本期:</v>
      </c>
      <c r="L3764" s="1582" t="str">
        <f>""&amp;"&gt;上期:"&amp;""</f>
        <v>&gt;上期:</v>
      </c>
      <c r="M3764" s="2656" t="str">
        <f>""&amp;"NoteID"&amp;""</f>
        <v>NoteID</v>
      </c>
      <c r="N3764" s="391"/>
      <c r="O3764" s="349"/>
      <c r="P3764" s="301"/>
      <c r="S3764" s="364"/>
      <c r="Z3764" s="609" t="s">
        <v>3959</v>
      </c>
      <c r="AA3764" s="609" t="s">
        <v>19</v>
      </c>
    </row>
    <row r="3765" spans="1:27" ht="18">
      <c r="A3765" s="2712"/>
      <c r="B3765" s="371">
        <v>101</v>
      </c>
      <c r="C3765" s="371"/>
      <c r="D3765" s="2714">
        <f t="shared" ref="D3765:D3769" si="425">IF(OR(G3765="*",G3765="",G3765=0),0,COUNTIF($G$3765:$G$3769,G3765))</f>
        <v>1</v>
      </c>
      <c r="E3765" s="2719">
        <v>1</v>
      </c>
      <c r="F3765" s="371"/>
      <c r="G3765" s="308" t="s">
        <v>499</v>
      </c>
      <c r="H3765" s="309"/>
      <c r="I3765" s="394"/>
      <c r="J3765" s="301"/>
      <c r="K3765" s="2250">
        <f ca="1">HYPERLINK("#'"&amp;$G$1&amp;"'!"&amp;ADDRESS(ROW(Notes!H3790),COLUMN(Notes!H3790),4),H3790-H3765)</f>
        <v>0</v>
      </c>
      <c r="L3765" s="2250">
        <f ca="1">HYPERLINK("#'"&amp;$G$1&amp;"'!"&amp;ADDRESS(ROW(Notes!I3790),COLUMN(Notes!I3790),4),I3790-I3765)</f>
        <v>0</v>
      </c>
      <c r="M3765" s="2663" t="str">
        <f>H3772</f>
        <v>2231a</v>
      </c>
      <c r="N3765" s="391"/>
      <c r="O3765" s="349"/>
      <c r="P3765" s="301"/>
      <c r="S3765" s="364"/>
      <c r="Z3765" s="609" t="s">
        <v>3959</v>
      </c>
      <c r="AA3765" s="609" t="s">
        <v>19</v>
      </c>
    </row>
    <row r="3766" spans="1:27" ht="18">
      <c r="A3766" s="2712"/>
      <c r="B3766" s="371">
        <v>102</v>
      </c>
      <c r="C3766" s="371"/>
      <c r="D3766" s="2714">
        <f t="shared" si="425"/>
        <v>1</v>
      </c>
      <c r="E3766" s="2719">
        <v>1</v>
      </c>
      <c r="F3766" s="371"/>
      <c r="G3766" s="308" t="s">
        <v>507</v>
      </c>
      <c r="H3766" s="309"/>
      <c r="I3766" s="394"/>
      <c r="J3766" s="301"/>
      <c r="K3766" s="2250">
        <f ca="1">HYPERLINK("#'"&amp;$G$1&amp;"'!"&amp;ADDRESS(ROW(Notes!H3818),COLUMN(Notes!H3818),4),H3818-H3766)</f>
        <v>0</v>
      </c>
      <c r="L3766" s="2250">
        <f ca="1">HYPERLINK("#'"&amp;$G$1&amp;"'!"&amp;ADDRESS(ROW(Notes!I3818),COLUMN(Notes!I3818),4),I3818-I3766)</f>
        <v>0</v>
      </c>
      <c r="M3766" s="2663" t="str">
        <f>H3803</f>
        <v>2232a</v>
      </c>
      <c r="N3766" s="391"/>
      <c r="O3766" s="349"/>
      <c r="P3766" s="301"/>
      <c r="S3766" s="364"/>
      <c r="Z3766" s="609" t="s">
        <v>3959</v>
      </c>
      <c r="AA3766" s="609" t="s">
        <v>19</v>
      </c>
    </row>
    <row r="3767" spans="1:27" ht="18">
      <c r="A3767" s="2712"/>
      <c r="B3767" s="371">
        <v>103</v>
      </c>
      <c r="C3767" s="371"/>
      <c r="D3767" s="2714">
        <f t="shared" si="425"/>
        <v>1</v>
      </c>
      <c r="E3767" s="2719">
        <v>1</v>
      </c>
      <c r="F3767" s="371"/>
      <c r="G3767" s="308" t="s">
        <v>513</v>
      </c>
      <c r="H3767" s="309">
        <v>11058441.74</v>
      </c>
      <c r="I3767" s="394">
        <v>61340818.75</v>
      </c>
      <c r="J3767" s="301"/>
      <c r="K3767" s="2250">
        <f ca="1">HYPERLINK("#'"&amp;$G$1&amp;"'!"&amp;ADDRESS(ROW(Notes!H3839),COLUMN(Notes!H3839),4),H3839-H3767)</f>
        <v>0</v>
      </c>
      <c r="L3767" s="2250">
        <f ca="1">HYPERLINK("#'"&amp;$G$1&amp;"'!"&amp;ADDRESS(ROW(Notes!I3839),COLUMN(Notes!I3839),4),I3839-I3767)</f>
        <v>0</v>
      </c>
      <c r="M3767" s="2663" t="str">
        <f>H3831</f>
        <v>2241e</v>
      </c>
      <c r="N3767" s="391"/>
      <c r="O3767" s="349"/>
      <c r="P3767" s="301"/>
      <c r="S3767" s="364"/>
      <c r="Z3767" s="609" t="s">
        <v>3959</v>
      </c>
      <c r="AA3767" s="609" t="s">
        <v>19</v>
      </c>
    </row>
    <row r="3768" spans="1:27" ht="18">
      <c r="A3768" s="2712"/>
      <c r="B3768" s="371">
        <v>104</v>
      </c>
      <c r="C3768" s="371" t="s">
        <v>2791</v>
      </c>
      <c r="D3768" s="2714">
        <f t="shared" si="425"/>
        <v>0</v>
      </c>
      <c r="E3768" s="2719">
        <v>1</v>
      </c>
      <c r="F3768" s="371"/>
      <c r="G3768" s="2566" t="s">
        <v>2792</v>
      </c>
      <c r="H3768" s="309"/>
      <c r="I3768" s="394"/>
      <c r="J3768" s="301"/>
      <c r="K3768" s="456"/>
      <c r="L3768" s="456"/>
      <c r="M3768" s="2664"/>
      <c r="N3768" s="391"/>
      <c r="O3768" s="349"/>
      <c r="P3768" s="301"/>
      <c r="S3768" s="364"/>
      <c r="Z3768" s="609" t="s">
        <v>3959</v>
      </c>
      <c r="AA3768" s="609" t="s">
        <v>19</v>
      </c>
    </row>
    <row r="3769" spans="1:27" ht="18.75" thickBot="1">
      <c r="A3769" s="2712"/>
      <c r="B3769" s="371"/>
      <c r="C3769" s="371"/>
      <c r="D3769" s="2714">
        <f t="shared" si="425"/>
        <v>1</v>
      </c>
      <c r="E3769" s="2719" t="s">
        <v>2751</v>
      </c>
      <c r="F3769" s="371"/>
      <c r="G3769" s="374" t="s">
        <v>2752</v>
      </c>
      <c r="H3769" s="1476">
        <f>SUMPRODUCT($E3764:$E3768,H3764:H3768)</f>
        <v>11058441.74</v>
      </c>
      <c r="I3769" s="1477">
        <f>SUMPRODUCT($E3764:$E3768,I3764:I3768)</f>
        <v>61340818.75</v>
      </c>
      <c r="J3769" s="301"/>
      <c r="K3769" s="1529">
        <f t="shared" ref="K3769:L3769" ca="1" si="426">SUM(K3765:K3768)</f>
        <v>0</v>
      </c>
      <c r="L3769" s="1529">
        <f t="shared" ca="1" si="426"/>
        <v>0</v>
      </c>
      <c r="M3769" s="2665"/>
      <c r="N3769" s="391"/>
      <c r="O3769" s="349"/>
      <c r="P3769" s="301"/>
      <c r="S3769" s="364"/>
      <c r="Z3769" s="609" t="s">
        <v>3959</v>
      </c>
      <c r="AA3769" s="609" t="s">
        <v>19</v>
      </c>
    </row>
    <row r="3770" spans="1:27" ht="18">
      <c r="A3770" s="2712"/>
      <c r="B3770" s="371"/>
      <c r="C3770" s="371" t="s">
        <v>2755</v>
      </c>
      <c r="D3770" s="2714"/>
      <c r="F3770" s="371"/>
      <c r="G3770" s="376"/>
      <c r="H3770" s="315"/>
      <c r="I3770" s="396"/>
      <c r="J3770" s="301"/>
      <c r="K3770" s="1537" t="s">
        <v>5493</v>
      </c>
      <c r="L3770" s="317"/>
      <c r="M3770" s="354"/>
      <c r="N3770" s="391"/>
      <c r="O3770" s="349"/>
      <c r="P3770" s="301"/>
      <c r="S3770" s="364"/>
      <c r="Z3770" s="609" t="s">
        <v>3959</v>
      </c>
      <c r="AA3770" s="609" t="s">
        <v>19</v>
      </c>
    </row>
    <row r="3771" spans="1:27" ht="18">
      <c r="A3771" s="2712">
        <v>2231</v>
      </c>
      <c r="B3771" s="371">
        <v>42.1</v>
      </c>
      <c r="C3771" s="2714" t="str">
        <f>VLOOKUP($A3771,Sheet_Items,2,0)</f>
        <v>应付利息</v>
      </c>
      <c r="D3771" s="371"/>
      <c r="E3771" s="2714" t="s">
        <v>2739</v>
      </c>
      <c r="F3771" s="294"/>
      <c r="G3771" s="305" t="str">
        <f>B3771&amp;" "&amp;C3771</f>
        <v>42.1 应付利息</v>
      </c>
      <c r="H3771" s="306"/>
      <c r="I3771" s="306"/>
      <c r="J3771" s="306" t="s">
        <v>2740</v>
      </c>
      <c r="K3771" s="341">
        <f>VLOOKUP($A3771,Sheet_Trialbal,6,0)</f>
        <v>0</v>
      </c>
      <c r="L3771" s="342"/>
      <c r="M3771" s="306" t="s">
        <v>2741</v>
      </c>
      <c r="N3771" s="341">
        <f>VLOOKUP($A3771,Sheet_Trialbal,10,0)</f>
        <v>0</v>
      </c>
      <c r="O3771" s="306"/>
      <c r="P3771" s="301"/>
      <c r="S3771" s="364"/>
      <c r="Z3771" s="609" t="s">
        <v>3961</v>
      </c>
      <c r="AA3771" s="609" t="s">
        <v>5678</v>
      </c>
    </row>
    <row r="3772" spans="1:27" ht="18">
      <c r="A3772" s="2712" t="s">
        <v>1538</v>
      </c>
      <c r="B3772" s="371">
        <v>1</v>
      </c>
      <c r="C3772" s="371"/>
      <c r="D3772" s="2714" t="str">
        <f>VLOOKUP($A3772,Sheet_NoteList,2,0)</f>
        <v>应付利息明细项目</v>
      </c>
      <c r="E3772" s="2714" t="s">
        <v>2742</v>
      </c>
      <c r="F3772" s="294"/>
      <c r="G3772" s="307" t="str">
        <f>"("&amp;B3772&amp;")"&amp;D3772</f>
        <v>(1)应付利息明细项目</v>
      </c>
      <c r="H3772" s="1515" t="str">
        <f>$A3772</f>
        <v>2231a</v>
      </c>
      <c r="I3772" s="343" t="s">
        <v>2743</v>
      </c>
      <c r="J3772" s="301" t="s">
        <v>2744</v>
      </c>
      <c r="K3772" s="2208">
        <f>H3790</f>
        <v>0</v>
      </c>
      <c r="L3772" s="345" t="str">
        <f>IF($I3772="适用",IF(ROUND(K3771-K3772,2)=0,"F/S",ROUND(K3771-K3772,2)),"#N/A")</f>
        <v>F/S</v>
      </c>
      <c r="M3772" s="301" t="s">
        <v>2745</v>
      </c>
      <c r="N3772" s="2208">
        <f>I3790</f>
        <v>0</v>
      </c>
      <c r="O3772" s="345" t="str">
        <f>IF($I3772="适用",IF(ROUND(N3771-N3772,2)=0,"F/S",ROUND(N3771-N3772,2)),"#N/A")</f>
        <v>F/S</v>
      </c>
      <c r="P3772" s="301"/>
      <c r="Q3772" s="290" t="str">
        <f>IF($I3772="不适用","",IF(ROUND(SUM($H$3775:$I$3790),2)=0,"请输入",""))</f>
        <v>请输入</v>
      </c>
      <c r="S3772" s="364"/>
      <c r="Z3772" s="609" t="s">
        <v>3961</v>
      </c>
      <c r="AA3772" s="609" t="s">
        <v>5678</v>
      </c>
    </row>
    <row r="3773" spans="1:27" ht="0.75" customHeight="1" thickBot="1">
      <c r="A3773" s="2712"/>
      <c r="B3773" s="371"/>
      <c r="C3773" s="371"/>
      <c r="D3773" s="371"/>
      <c r="F3773" s="371"/>
      <c r="G3773" s="371" t="s">
        <v>3962</v>
      </c>
      <c r="H3773" s="371" t="s">
        <v>2747</v>
      </c>
      <c r="I3773" s="371" t="s">
        <v>2748</v>
      </c>
      <c r="J3773" s="291"/>
      <c r="K3773" s="291"/>
      <c r="L3773" s="291"/>
      <c r="M3773" s="291"/>
      <c r="S3773" s="364"/>
      <c r="Z3773" s="609" t="s">
        <v>3961</v>
      </c>
      <c r="AA3773" s="609" t="s">
        <v>5678</v>
      </c>
    </row>
    <row r="3774" spans="1:27" ht="18">
      <c r="A3774" s="2712"/>
      <c r="B3774" s="371"/>
      <c r="C3774" s="371"/>
      <c r="D3774" s="371"/>
      <c r="E3774" s="2714" t="s">
        <v>2749</v>
      </c>
      <c r="F3774" s="294"/>
      <c r="G3774" s="1488" t="s">
        <v>47</v>
      </c>
      <c r="H3774" s="1452" t="str">
        <f>$V$2</f>
        <v>2019年12月31日</v>
      </c>
      <c r="I3774" s="1453" t="str">
        <f>$V$3</f>
        <v>2018年12月31日</v>
      </c>
      <c r="J3774" s="355" t="s">
        <v>5305</v>
      </c>
      <c r="K3774" s="291"/>
      <c r="L3774" s="291"/>
      <c r="M3774" s="291"/>
      <c r="S3774" s="364"/>
      <c r="Z3774" s="609" t="s">
        <v>3961</v>
      </c>
      <c r="AA3774" s="609" t="s">
        <v>5678</v>
      </c>
    </row>
    <row r="3775" spans="1:27" ht="24">
      <c r="A3775" s="2712"/>
      <c r="B3775" s="371">
        <v>101</v>
      </c>
      <c r="C3775" s="371"/>
      <c r="D3775" s="2714">
        <f t="shared" ref="D3775:D3790" si="427">IF(OR(G3775="*",G3775="",G3775=0),0,COUNTIF($G$3775:$G$3790,G3775))</f>
        <v>1</v>
      </c>
      <c r="E3775" s="2719">
        <v>1</v>
      </c>
      <c r="F3775" s="294"/>
      <c r="G3775" s="308" t="s">
        <v>3963</v>
      </c>
      <c r="H3775" s="309"/>
      <c r="I3775" s="346"/>
      <c r="J3775" s="291"/>
      <c r="K3775" s="291"/>
      <c r="L3775" s="291"/>
      <c r="M3775" s="291"/>
      <c r="S3775" s="364"/>
      <c r="Z3775" s="609" t="s">
        <v>3961</v>
      </c>
      <c r="AA3775" s="609" t="s">
        <v>5678</v>
      </c>
    </row>
    <row r="3776" spans="1:27" ht="18">
      <c r="A3776" s="2712"/>
      <c r="B3776" s="371">
        <v>102</v>
      </c>
      <c r="C3776" s="371"/>
      <c r="D3776" s="2714">
        <f t="shared" si="427"/>
        <v>1</v>
      </c>
      <c r="E3776" s="2719">
        <v>1</v>
      </c>
      <c r="F3776" s="294"/>
      <c r="G3776" s="308" t="s">
        <v>3964</v>
      </c>
      <c r="H3776" s="309"/>
      <c r="I3776" s="346"/>
      <c r="J3776" s="291"/>
      <c r="K3776" s="291"/>
      <c r="L3776" s="291"/>
      <c r="M3776" s="291"/>
      <c r="S3776" s="364"/>
      <c r="Z3776" s="609" t="s">
        <v>3961</v>
      </c>
      <c r="AA3776" s="609" t="s">
        <v>5678</v>
      </c>
    </row>
    <row r="3777" spans="1:29" ht="18">
      <c r="A3777" s="2712"/>
      <c r="B3777" s="371">
        <v>103</v>
      </c>
      <c r="C3777" s="371"/>
      <c r="D3777" s="2714">
        <f t="shared" si="427"/>
        <v>1</v>
      </c>
      <c r="E3777" s="2719">
        <v>1</v>
      </c>
      <c r="F3777" s="294"/>
      <c r="G3777" s="308" t="s">
        <v>3965</v>
      </c>
      <c r="H3777" s="309"/>
      <c r="I3777" s="346"/>
      <c r="J3777" s="291"/>
      <c r="K3777" s="291"/>
      <c r="L3777" s="291"/>
      <c r="M3777" s="291"/>
      <c r="S3777" s="364"/>
      <c r="Z3777" s="609" t="s">
        <v>3961</v>
      </c>
      <c r="AA3777" s="609" t="s">
        <v>5678</v>
      </c>
    </row>
    <row r="3778" spans="1:29" ht="18">
      <c r="A3778" s="2712"/>
      <c r="B3778" s="371">
        <v>104</v>
      </c>
      <c r="C3778" s="371"/>
      <c r="D3778" s="2714">
        <f t="shared" si="427"/>
        <v>1</v>
      </c>
      <c r="E3778" s="2719" t="s">
        <v>6532</v>
      </c>
      <c r="F3778" s="294"/>
      <c r="G3778" s="308" t="s">
        <v>5217</v>
      </c>
      <c r="H3778" s="309"/>
      <c r="I3778" s="346"/>
      <c r="J3778" s="291"/>
      <c r="K3778" s="291"/>
      <c r="L3778" s="291"/>
      <c r="M3778" s="291"/>
      <c r="S3778" s="364"/>
      <c r="Z3778" s="609" t="s">
        <v>3961</v>
      </c>
      <c r="AA3778" s="609" t="s">
        <v>5678</v>
      </c>
    </row>
    <row r="3779" spans="1:29" ht="18">
      <c r="A3779" s="2712"/>
      <c r="B3779" s="371">
        <v>104.001</v>
      </c>
      <c r="C3779" s="371" t="s">
        <v>2791</v>
      </c>
      <c r="D3779" s="2714">
        <f t="shared" si="427"/>
        <v>1</v>
      </c>
      <c r="E3779" s="2719" t="s">
        <v>5218</v>
      </c>
      <c r="F3779" s="294"/>
      <c r="G3779" s="1487" t="s">
        <v>5223</v>
      </c>
      <c r="H3779" s="309"/>
      <c r="I3779" s="346"/>
      <c r="J3779" s="355" t="s">
        <v>6071</v>
      </c>
      <c r="K3779" s="291"/>
      <c r="L3779" s="291"/>
      <c r="M3779" s="291"/>
      <c r="S3779" s="364"/>
      <c r="Z3779" s="609" t="s">
        <v>3961</v>
      </c>
      <c r="AA3779" s="609" t="s">
        <v>5678</v>
      </c>
    </row>
    <row r="3780" spans="1:29" ht="18">
      <c r="A3780" s="2712"/>
      <c r="B3780" s="371">
        <v>104.002</v>
      </c>
      <c r="C3780" s="371" t="s">
        <v>2791</v>
      </c>
      <c r="D3780" s="2714">
        <f t="shared" si="427"/>
        <v>0</v>
      </c>
      <c r="E3780" s="2719" t="s">
        <v>5218</v>
      </c>
      <c r="F3780" s="294"/>
      <c r="G3780" s="1487" t="s">
        <v>5233</v>
      </c>
      <c r="H3780" s="309"/>
      <c r="I3780" s="346"/>
      <c r="J3780" s="291"/>
      <c r="K3780" s="291"/>
      <c r="L3780" s="291"/>
      <c r="M3780" s="291"/>
      <c r="S3780" s="364"/>
      <c r="Z3780" s="609" t="s">
        <v>3961</v>
      </c>
      <c r="AA3780" s="609" t="s">
        <v>5678</v>
      </c>
    </row>
    <row r="3781" spans="1:29" ht="18">
      <c r="A3781" s="2712"/>
      <c r="B3781" s="371">
        <v>104.003</v>
      </c>
      <c r="C3781" s="371" t="s">
        <v>2791</v>
      </c>
      <c r="D3781" s="2714">
        <f t="shared" si="427"/>
        <v>0</v>
      </c>
      <c r="E3781" s="2719" t="s">
        <v>5218</v>
      </c>
      <c r="F3781" s="294"/>
      <c r="G3781" s="1487" t="s">
        <v>2792</v>
      </c>
      <c r="H3781" s="309"/>
      <c r="I3781" s="346"/>
      <c r="J3781" s="291"/>
      <c r="K3781" s="291"/>
      <c r="L3781" s="291"/>
      <c r="M3781" s="291"/>
      <c r="S3781" s="364"/>
      <c r="Z3781" s="609" t="s">
        <v>3961</v>
      </c>
      <c r="AA3781" s="609" t="s">
        <v>5678</v>
      </c>
    </row>
    <row r="3782" spans="1:29" ht="24">
      <c r="A3782" s="2712"/>
      <c r="B3782" s="371">
        <v>104.999</v>
      </c>
      <c r="C3782" s="371" t="s">
        <v>2793</v>
      </c>
      <c r="D3782" s="2714">
        <f t="shared" si="427"/>
        <v>1</v>
      </c>
      <c r="E3782" s="2719">
        <v>1</v>
      </c>
      <c r="F3782" s="294"/>
      <c r="G3782" s="308" t="s">
        <v>5219</v>
      </c>
      <c r="H3782" s="1474">
        <f>SUMIF($E$3774:$E$3789,$G3782,H$3774:H$3789)</f>
        <v>0</v>
      </c>
      <c r="I3782" s="1475">
        <f>SUMIF($E$3774:$E$3789,$G3782,I$3774:I$3789)</f>
        <v>0</v>
      </c>
      <c r="J3782" s="291"/>
      <c r="K3782" s="291"/>
      <c r="L3782" s="291"/>
      <c r="M3782" s="291"/>
      <c r="S3782" s="364"/>
      <c r="Z3782" s="609" t="s">
        <v>3961</v>
      </c>
      <c r="AA3782" s="609" t="s">
        <v>5678</v>
      </c>
    </row>
    <row r="3783" spans="1:29" ht="18">
      <c r="A3783" s="2712"/>
      <c r="B3783" s="371">
        <v>105</v>
      </c>
      <c r="C3783" s="371"/>
      <c r="D3783" s="2714">
        <f t="shared" si="427"/>
        <v>1</v>
      </c>
      <c r="E3783" s="2719" t="s">
        <v>41</v>
      </c>
      <c r="F3783" s="294"/>
      <c r="G3783" s="308" t="s">
        <v>5220</v>
      </c>
      <c r="H3783" s="309"/>
      <c r="I3783" s="346"/>
      <c r="J3783" s="291"/>
      <c r="K3783" s="291"/>
      <c r="L3783" s="291"/>
      <c r="M3783" s="291"/>
      <c r="S3783" s="364"/>
      <c r="Z3783" s="609" t="s">
        <v>3961</v>
      </c>
      <c r="AA3783" s="609" t="s">
        <v>5678</v>
      </c>
    </row>
    <row r="3784" spans="1:29" ht="18">
      <c r="A3784" s="2712"/>
      <c r="B3784" s="371">
        <v>105.001</v>
      </c>
      <c r="C3784" s="371" t="s">
        <v>2791</v>
      </c>
      <c r="D3784" s="2714">
        <f t="shared" si="427"/>
        <v>1</v>
      </c>
      <c r="E3784" s="2719" t="s">
        <v>5221</v>
      </c>
      <c r="F3784" s="294"/>
      <c r="G3784" s="1487" t="s">
        <v>5234</v>
      </c>
      <c r="H3784" s="309"/>
      <c r="I3784" s="346"/>
      <c r="J3784" s="355" t="s">
        <v>6071</v>
      </c>
      <c r="K3784" s="291"/>
      <c r="L3784" s="291"/>
      <c r="M3784" s="291"/>
      <c r="S3784" s="364"/>
      <c r="Z3784" s="609" t="s">
        <v>3961</v>
      </c>
      <c r="AA3784" s="609" t="s">
        <v>5678</v>
      </c>
    </row>
    <row r="3785" spans="1:29" ht="18">
      <c r="A3785" s="2712"/>
      <c r="B3785" s="371">
        <v>105.002</v>
      </c>
      <c r="C3785" s="371" t="s">
        <v>2791</v>
      </c>
      <c r="D3785" s="2714">
        <f t="shared" si="427"/>
        <v>0</v>
      </c>
      <c r="E3785" s="2719" t="s">
        <v>5221</v>
      </c>
      <c r="F3785" s="294"/>
      <c r="G3785" s="1487" t="s">
        <v>5224</v>
      </c>
      <c r="H3785" s="309"/>
      <c r="I3785" s="346"/>
      <c r="J3785" s="291"/>
      <c r="K3785" s="291"/>
      <c r="L3785" s="291"/>
      <c r="M3785" s="291"/>
      <c r="S3785" s="364"/>
      <c r="Z3785" s="609" t="s">
        <v>3961</v>
      </c>
      <c r="AA3785" s="609" t="s">
        <v>5678</v>
      </c>
    </row>
    <row r="3786" spans="1:29" ht="18">
      <c r="A3786" s="2712"/>
      <c r="B3786" s="371">
        <v>105.003</v>
      </c>
      <c r="C3786" s="371" t="s">
        <v>6530</v>
      </c>
      <c r="D3786" s="2714">
        <f t="shared" si="427"/>
        <v>0</v>
      </c>
      <c r="E3786" s="2719" t="s">
        <v>5221</v>
      </c>
      <c r="F3786" s="294"/>
      <c r="G3786" s="1487" t="s">
        <v>2792</v>
      </c>
      <c r="H3786" s="309"/>
      <c r="I3786" s="346"/>
      <c r="J3786" s="291"/>
      <c r="K3786" s="291"/>
      <c r="L3786" s="291"/>
      <c r="M3786" s="291"/>
      <c r="S3786" s="364"/>
      <c r="Z3786" s="609" t="s">
        <v>3961</v>
      </c>
      <c r="AA3786" s="609" t="s">
        <v>5678</v>
      </c>
    </row>
    <row r="3787" spans="1:29" ht="24">
      <c r="A3787" s="2712"/>
      <c r="B3787" s="371">
        <v>105.999</v>
      </c>
      <c r="C3787" s="371" t="s">
        <v>6560</v>
      </c>
      <c r="D3787" s="2714">
        <f t="shared" si="427"/>
        <v>1</v>
      </c>
      <c r="E3787" s="2719">
        <v>1</v>
      </c>
      <c r="F3787" s="294"/>
      <c r="G3787" s="308" t="s">
        <v>5222</v>
      </c>
      <c r="H3787" s="1474">
        <f>SUMIF($E$3774:$E$3789,$G3787,H$3774:H$3789)</f>
        <v>0</v>
      </c>
      <c r="I3787" s="1475">
        <f>SUMIF($E$3774:$E$3789,$G3787,I$3774:I$3789)</f>
        <v>0</v>
      </c>
      <c r="J3787" s="291"/>
      <c r="K3787" s="291"/>
      <c r="L3787" s="291"/>
      <c r="M3787" s="291"/>
      <c r="S3787" s="364"/>
      <c r="Z3787" s="609" t="s">
        <v>3961</v>
      </c>
      <c r="AA3787" s="609" t="s">
        <v>5678</v>
      </c>
    </row>
    <row r="3788" spans="1:29" ht="18">
      <c r="A3788" s="2712"/>
      <c r="B3788" s="371">
        <v>106</v>
      </c>
      <c r="C3788" s="371" t="s">
        <v>2791</v>
      </c>
      <c r="D3788" s="2714">
        <f t="shared" si="427"/>
        <v>0</v>
      </c>
      <c r="E3788" s="2719">
        <v>1</v>
      </c>
      <c r="F3788" s="294"/>
      <c r="G3788" s="1487" t="s">
        <v>2792</v>
      </c>
      <c r="H3788" s="309"/>
      <c r="I3788" s="346"/>
      <c r="J3788" s="291"/>
      <c r="K3788" s="291"/>
      <c r="L3788" s="291"/>
      <c r="M3788" s="291"/>
      <c r="S3788" s="364"/>
      <c r="Z3788" s="609" t="s">
        <v>3961</v>
      </c>
      <c r="AA3788" s="609" t="s">
        <v>5678</v>
      </c>
    </row>
    <row r="3789" spans="1:29" ht="18">
      <c r="A3789" s="2712"/>
      <c r="B3789" s="371">
        <v>107</v>
      </c>
      <c r="C3789" s="371" t="s">
        <v>2791</v>
      </c>
      <c r="D3789" s="2714">
        <f t="shared" si="427"/>
        <v>0</v>
      </c>
      <c r="E3789" s="2719">
        <v>1</v>
      </c>
      <c r="F3789" s="294"/>
      <c r="G3789" s="1487" t="s">
        <v>2792</v>
      </c>
      <c r="H3789" s="309"/>
      <c r="I3789" s="346"/>
      <c r="J3789" s="291"/>
      <c r="K3789" s="291"/>
      <c r="L3789" s="291"/>
      <c r="M3789" s="291"/>
      <c r="S3789" s="364"/>
      <c r="Z3789" s="609" t="s">
        <v>3961</v>
      </c>
      <c r="AA3789" s="609" t="s">
        <v>5678</v>
      </c>
    </row>
    <row r="3790" spans="1:29" ht="18.75" thickBot="1">
      <c r="A3790" s="2712"/>
      <c r="B3790" s="371"/>
      <c r="C3790" s="371"/>
      <c r="D3790" s="2714">
        <f t="shared" si="427"/>
        <v>1</v>
      </c>
      <c r="E3790" s="2719" t="s">
        <v>2751</v>
      </c>
      <c r="F3790" s="294"/>
      <c r="G3790" s="374" t="s">
        <v>2752</v>
      </c>
      <c r="H3790" s="1476">
        <f>SUMPRODUCT($E3774:$E3789,H3774:H3789)</f>
        <v>0</v>
      </c>
      <c r="I3790" s="1477">
        <f>SUMPRODUCT($E3774:$E3789,I3774:I3789)</f>
        <v>0</v>
      </c>
      <c r="J3790" s="1531" t="str">
        <f ca="1">HYPERLINK("#'"&amp;$G$1&amp;"'!"&amp;ADDRESS(ROW(Notes!K3765),COLUMN(Notes!K3765),4),"* 请勿删除此行！点击往勾稽单元格，F5+Enter返回")</f>
        <v>* 请勿删除此行！点击往勾稽单元格，F5+Enter返回</v>
      </c>
      <c r="K3790" s="291"/>
      <c r="L3790" s="291"/>
      <c r="M3790" s="291"/>
      <c r="S3790" s="364"/>
      <c r="Z3790" s="609" t="s">
        <v>3961</v>
      </c>
      <c r="AA3790" s="609" t="s">
        <v>5678</v>
      </c>
      <c r="AC3790" s="369" t="s">
        <v>6571</v>
      </c>
    </row>
    <row r="3791" spans="1:29" ht="18">
      <c r="A3791" s="2712"/>
      <c r="B3791" s="371"/>
      <c r="C3791" s="371" t="s">
        <v>2755</v>
      </c>
      <c r="D3791" s="371"/>
      <c r="F3791" s="294"/>
      <c r="G3791" s="301"/>
      <c r="H3791" s="315"/>
      <c r="I3791" s="315"/>
      <c r="J3791" s="291"/>
      <c r="K3791" s="291"/>
      <c r="L3791" s="291"/>
      <c r="M3791" s="291"/>
      <c r="S3791" s="364"/>
      <c r="Z3791" s="609" t="s">
        <v>3961</v>
      </c>
      <c r="AA3791" s="609" t="s">
        <v>5678</v>
      </c>
    </row>
    <row r="3792" spans="1:29" ht="24">
      <c r="A3792" s="2712" t="s">
        <v>1543</v>
      </c>
      <c r="B3792" s="371">
        <v>2</v>
      </c>
      <c r="C3792" s="371"/>
      <c r="D3792" s="2714" t="str">
        <f>VLOOKUP($A3792,Sheet_NoteList,2,0)</f>
        <v>期末重要的已逾期未支付的利息情况</v>
      </c>
      <c r="E3792" s="2714" t="s">
        <v>2742</v>
      </c>
      <c r="F3792" s="294"/>
      <c r="G3792" s="372" t="str">
        <f>"("&amp;B3792&amp;")"&amp;D3792</f>
        <v>(2)期末重要的已逾期未支付的利息情况</v>
      </c>
      <c r="H3792" s="1515" t="str">
        <f>$A3792</f>
        <v>2231b</v>
      </c>
      <c r="I3792" s="343" t="s">
        <v>2743</v>
      </c>
      <c r="J3792" s="301"/>
      <c r="K3792" s="391"/>
      <c r="L3792" s="345"/>
      <c r="M3792" s="301"/>
      <c r="N3792" s="391"/>
      <c r="O3792" s="345"/>
      <c r="P3792" s="301"/>
      <c r="Q3792" s="290" t="str">
        <f>IF($I3792="不适用","",IF(ROUND(SUM($H$3795:$I$3800),2)=0,"请输入",""))</f>
        <v>请输入</v>
      </c>
      <c r="S3792" s="364"/>
      <c r="Z3792" s="609" t="s">
        <v>3961</v>
      </c>
      <c r="AA3792" s="609" t="s">
        <v>5678</v>
      </c>
    </row>
    <row r="3793" spans="1:27" ht="0.75" customHeight="1" thickBot="1">
      <c r="A3793" s="2712"/>
      <c r="B3793" s="371"/>
      <c r="C3793" s="371"/>
      <c r="D3793" s="371"/>
      <c r="E3793" s="586"/>
      <c r="F3793" s="518"/>
      <c r="G3793" s="518" t="s">
        <v>3966</v>
      </c>
      <c r="H3793" s="304" t="s">
        <v>2747</v>
      </c>
      <c r="I3793" s="304" t="s">
        <v>3967</v>
      </c>
      <c r="J3793" s="291"/>
      <c r="K3793" s="291"/>
      <c r="L3793" s="291"/>
      <c r="M3793" s="291"/>
      <c r="S3793" s="364"/>
      <c r="Z3793" s="609" t="s">
        <v>3961</v>
      </c>
      <c r="AA3793" s="609" t="s">
        <v>5678</v>
      </c>
    </row>
    <row r="3794" spans="1:27" ht="24">
      <c r="A3794" s="2712"/>
      <c r="B3794" s="371"/>
      <c r="C3794" s="371"/>
      <c r="D3794" s="371"/>
      <c r="E3794" s="586" t="s">
        <v>2749</v>
      </c>
      <c r="F3794" s="363"/>
      <c r="G3794" s="2360" t="s">
        <v>1545</v>
      </c>
      <c r="H3794" s="2366" t="s">
        <v>3968</v>
      </c>
      <c r="I3794" s="2371" t="s">
        <v>3130</v>
      </c>
      <c r="J3794" s="355" t="s">
        <v>5305</v>
      </c>
      <c r="K3794" s="291"/>
      <c r="L3794" s="291"/>
      <c r="M3794" s="291"/>
      <c r="S3794" s="364"/>
      <c r="Z3794" s="609" t="s">
        <v>3961</v>
      </c>
      <c r="AA3794" s="609" t="s">
        <v>5678</v>
      </c>
    </row>
    <row r="3795" spans="1:27" ht="18">
      <c r="A3795" s="2712"/>
      <c r="B3795" s="371">
        <v>101</v>
      </c>
      <c r="C3795" s="371" t="s">
        <v>2791</v>
      </c>
      <c r="D3795" s="2714">
        <f t="shared" ref="D3795:D3800" si="428">IF(OR(G3795="*",G3795="",G3795=0),0,COUNTIF($G$3795:$G$3800,G3795))</f>
        <v>0</v>
      </c>
      <c r="E3795" s="2719">
        <v>1</v>
      </c>
      <c r="F3795" s="294"/>
      <c r="G3795" s="2373" t="s">
        <v>2792</v>
      </c>
      <c r="H3795" s="2273"/>
      <c r="I3795" s="2274"/>
      <c r="J3795" s="291"/>
      <c r="K3795" s="291"/>
      <c r="L3795" s="291"/>
      <c r="M3795" s="291"/>
      <c r="S3795" s="364"/>
      <c r="Z3795" s="609" t="s">
        <v>3961</v>
      </c>
      <c r="AA3795" s="609" t="s">
        <v>5678</v>
      </c>
    </row>
    <row r="3796" spans="1:27" ht="18">
      <c r="A3796" s="2712"/>
      <c r="B3796" s="371">
        <v>102</v>
      </c>
      <c r="C3796" s="371" t="s">
        <v>2791</v>
      </c>
      <c r="D3796" s="2714">
        <f t="shared" si="428"/>
        <v>0</v>
      </c>
      <c r="E3796" s="2719">
        <v>1</v>
      </c>
      <c r="F3796" s="294"/>
      <c r="G3796" s="2373" t="s">
        <v>2792</v>
      </c>
      <c r="H3796" s="2273"/>
      <c r="I3796" s="2274"/>
      <c r="J3796" s="291"/>
      <c r="K3796" s="291"/>
      <c r="L3796" s="291"/>
      <c r="M3796" s="291"/>
      <c r="S3796" s="364"/>
      <c r="Z3796" s="609" t="s">
        <v>3961</v>
      </c>
      <c r="AA3796" s="609" t="s">
        <v>5678</v>
      </c>
    </row>
    <row r="3797" spans="1:27" ht="18">
      <c r="A3797" s="2712"/>
      <c r="B3797" s="371">
        <v>103</v>
      </c>
      <c r="C3797" s="371" t="s">
        <v>2791</v>
      </c>
      <c r="D3797" s="2714">
        <f t="shared" si="428"/>
        <v>0</v>
      </c>
      <c r="E3797" s="2719">
        <v>1</v>
      </c>
      <c r="F3797" s="294"/>
      <c r="G3797" s="2373" t="s">
        <v>2792</v>
      </c>
      <c r="H3797" s="2273"/>
      <c r="I3797" s="2274"/>
      <c r="J3797" s="291"/>
      <c r="K3797" s="291"/>
      <c r="L3797" s="291"/>
      <c r="M3797" s="291"/>
      <c r="S3797" s="364"/>
      <c r="Z3797" s="609" t="s">
        <v>3961</v>
      </c>
      <c r="AA3797" s="609" t="s">
        <v>5678</v>
      </c>
    </row>
    <row r="3798" spans="1:27" ht="18">
      <c r="A3798" s="2712"/>
      <c r="B3798" s="371">
        <v>104</v>
      </c>
      <c r="C3798" s="371" t="s">
        <v>2791</v>
      </c>
      <c r="D3798" s="2714">
        <f t="shared" si="428"/>
        <v>0</v>
      </c>
      <c r="E3798" s="2719">
        <v>1</v>
      </c>
      <c r="F3798" s="294"/>
      <c r="G3798" s="2373" t="s">
        <v>2792</v>
      </c>
      <c r="H3798" s="2273"/>
      <c r="I3798" s="2274"/>
      <c r="J3798" s="291"/>
      <c r="K3798" s="291"/>
      <c r="L3798" s="291"/>
      <c r="M3798" s="291"/>
      <c r="S3798" s="364"/>
      <c r="Z3798" s="609" t="s">
        <v>3961</v>
      </c>
      <c r="AA3798" s="609" t="s">
        <v>5678</v>
      </c>
    </row>
    <row r="3799" spans="1:27" ht="18">
      <c r="A3799" s="2712"/>
      <c r="B3799" s="371">
        <v>105</v>
      </c>
      <c r="C3799" s="371" t="s">
        <v>2791</v>
      </c>
      <c r="D3799" s="2714">
        <f t="shared" si="428"/>
        <v>0</v>
      </c>
      <c r="E3799" s="2719">
        <v>1</v>
      </c>
      <c r="F3799" s="294"/>
      <c r="G3799" s="2373" t="s">
        <v>2792</v>
      </c>
      <c r="H3799" s="2273"/>
      <c r="I3799" s="2274"/>
      <c r="J3799" s="291"/>
      <c r="K3799" s="291"/>
      <c r="L3799" s="291"/>
      <c r="M3799" s="291"/>
      <c r="S3799" s="364"/>
      <c r="Z3799" s="609" t="s">
        <v>3961</v>
      </c>
      <c r="AA3799" s="609" t="s">
        <v>5678</v>
      </c>
    </row>
    <row r="3800" spans="1:27" ht="18.75" thickBot="1">
      <c r="A3800" s="2712"/>
      <c r="B3800" s="371"/>
      <c r="C3800" s="371"/>
      <c r="D3800" s="2714">
        <f t="shared" si="428"/>
        <v>1</v>
      </c>
      <c r="E3800" s="2719" t="s">
        <v>2751</v>
      </c>
      <c r="F3800" s="294"/>
      <c r="G3800" s="374" t="s">
        <v>2752</v>
      </c>
      <c r="H3800" s="1476">
        <f>SUMPRODUCT($E3794:$E3799,H3794:H3799)</f>
        <v>0</v>
      </c>
      <c r="I3800" s="2258"/>
      <c r="J3800" s="291"/>
      <c r="K3800" s="291"/>
      <c r="L3800" s="291"/>
      <c r="M3800" s="291"/>
      <c r="S3800" s="364"/>
      <c r="Z3800" s="609" t="s">
        <v>3961</v>
      </c>
      <c r="AA3800" s="609" t="s">
        <v>5678</v>
      </c>
    </row>
    <row r="3801" spans="1:27" ht="18">
      <c r="A3801" s="2712"/>
      <c r="B3801" s="371"/>
      <c r="C3801" s="371" t="s">
        <v>2755</v>
      </c>
      <c r="D3801" s="371"/>
      <c r="F3801" s="294"/>
      <c r="G3801" s="301"/>
      <c r="H3801" s="315"/>
      <c r="I3801" s="393"/>
      <c r="J3801" s="291"/>
      <c r="K3801" s="291"/>
      <c r="L3801" s="291"/>
      <c r="M3801" s="291"/>
      <c r="S3801" s="364"/>
      <c r="Z3801" s="609" t="s">
        <v>3961</v>
      </c>
      <c r="AA3801" s="609" t="s">
        <v>5678</v>
      </c>
    </row>
    <row r="3802" spans="1:27" ht="18">
      <c r="A3802" s="2712">
        <v>2232</v>
      </c>
      <c r="B3802" s="371">
        <v>42.2</v>
      </c>
      <c r="C3802" s="2714" t="str">
        <f>VLOOKUP($A3802,Sheet_Items,2,0)</f>
        <v>应付股利</v>
      </c>
      <c r="D3802" s="371"/>
      <c r="E3802" s="2714" t="s">
        <v>2739</v>
      </c>
      <c r="F3802" s="294"/>
      <c r="G3802" s="305" t="str">
        <f>B3802&amp;" "&amp;C3802</f>
        <v>42.2 应付股利</v>
      </c>
      <c r="H3802" s="306"/>
      <c r="I3802" s="306"/>
      <c r="J3802" s="306" t="s">
        <v>2740</v>
      </c>
      <c r="K3802" s="341">
        <f>VLOOKUP($A3802,Sheet_Trialbal,6,0)</f>
        <v>0</v>
      </c>
      <c r="L3802" s="342"/>
      <c r="M3802" s="306" t="s">
        <v>2741</v>
      </c>
      <c r="N3802" s="341">
        <f>VLOOKUP($A3802,Sheet_Trialbal,10,0)</f>
        <v>0</v>
      </c>
      <c r="O3802" s="306"/>
      <c r="P3802" s="301"/>
      <c r="S3802" s="364"/>
      <c r="Z3802" s="609" t="s">
        <v>3969</v>
      </c>
      <c r="AA3802" s="609" t="s">
        <v>5679</v>
      </c>
    </row>
    <row r="3803" spans="1:27" ht="18">
      <c r="A3803" s="2712" t="s">
        <v>1549</v>
      </c>
      <c r="B3803" s="371">
        <v>1</v>
      </c>
      <c r="C3803" s="371"/>
      <c r="D3803" s="2714" t="str">
        <f>VLOOKUP($A3803,Sheet_NoteList,2,0)</f>
        <v>应付股利明细项目</v>
      </c>
      <c r="E3803" s="2714" t="s">
        <v>2742</v>
      </c>
      <c r="F3803" s="294"/>
      <c r="G3803" s="307" t="str">
        <f>"("&amp;B3803&amp;")"&amp;D3803</f>
        <v>(1)应付股利明细项目</v>
      </c>
      <c r="H3803" s="1515" t="str">
        <f>$A3803</f>
        <v>2232a</v>
      </c>
      <c r="I3803" s="343" t="s">
        <v>2743</v>
      </c>
      <c r="J3803" s="301" t="s">
        <v>2744</v>
      </c>
      <c r="K3803" s="2208">
        <f>H3818</f>
        <v>0</v>
      </c>
      <c r="L3803" s="345" t="str">
        <f>IF($I3803="适用",IF(ROUND(K3802-K3803,2)=0,"F/S",ROUND(K3802-K3803,2)),"#N/A")</f>
        <v>F/S</v>
      </c>
      <c r="M3803" s="301" t="s">
        <v>2745</v>
      </c>
      <c r="N3803" s="2208">
        <f>I3818</f>
        <v>0</v>
      </c>
      <c r="O3803" s="345" t="str">
        <f>IF($I3803="适用",IF(ROUND(N3802-N3803,2)=0,"F/S",ROUND(N3802-N3803,2)),"#N/A")</f>
        <v>F/S</v>
      </c>
      <c r="P3803" s="301"/>
      <c r="Q3803" s="290" t="str">
        <f>IF($I3803="不适用","",IF(ROUND(SUM($H$3806:$I$3818),2)=0,"请输入",""))</f>
        <v>请输入</v>
      </c>
      <c r="S3803" s="364"/>
      <c r="Z3803" s="609" t="s">
        <v>3969</v>
      </c>
      <c r="AA3803" s="609" t="s">
        <v>5679</v>
      </c>
    </row>
    <row r="3804" spans="1:27" ht="0.75" customHeight="1" thickBot="1">
      <c r="A3804" s="2712"/>
      <c r="B3804" s="371"/>
      <c r="C3804" s="371"/>
      <c r="D3804" s="371"/>
      <c r="F3804" s="304"/>
      <c r="G3804" s="304" t="s">
        <v>3970</v>
      </c>
      <c r="H3804" s="304" t="s">
        <v>2747</v>
      </c>
      <c r="I3804" s="304" t="s">
        <v>2748</v>
      </c>
      <c r="J3804" s="291"/>
      <c r="K3804" s="291"/>
      <c r="L3804" s="291"/>
      <c r="M3804" s="291"/>
      <c r="N3804" s="291"/>
      <c r="S3804" s="364"/>
      <c r="Z3804" s="609" t="s">
        <v>3969</v>
      </c>
      <c r="AA3804" s="609" t="s">
        <v>5679</v>
      </c>
    </row>
    <row r="3805" spans="1:27" ht="18">
      <c r="A3805" s="2712"/>
      <c r="B3805" s="371"/>
      <c r="C3805" s="371"/>
      <c r="D3805" s="371"/>
      <c r="E3805" s="2714" t="s">
        <v>2749</v>
      </c>
      <c r="F3805" s="294"/>
      <c r="G3805" s="1514" t="s">
        <v>5356</v>
      </c>
      <c r="H3805" s="1452" t="str">
        <f>$V$2</f>
        <v>2019年12月31日</v>
      </c>
      <c r="I3805" s="1453" t="str">
        <f>$V$3</f>
        <v>2018年12月31日</v>
      </c>
      <c r="J3805" s="355" t="s">
        <v>5305</v>
      </c>
      <c r="K3805" s="291"/>
      <c r="L3805" s="291"/>
      <c r="M3805" s="291"/>
      <c r="N3805" s="291"/>
      <c r="S3805" s="364"/>
      <c r="Z3805" s="609" t="s">
        <v>3969</v>
      </c>
      <c r="AA3805" s="609" t="s">
        <v>5679</v>
      </c>
    </row>
    <row r="3806" spans="1:27" ht="18">
      <c r="A3806" s="2712"/>
      <c r="B3806" s="371">
        <v>101</v>
      </c>
      <c r="C3806" s="371"/>
      <c r="D3806" s="2714">
        <f t="shared" ref="D3806:D3818" si="429">IF(OR(G3806="*",G3806="",G3806=0),0,COUNTIF($G$3806:$G$3818,G3806))</f>
        <v>1</v>
      </c>
      <c r="E3806" s="2719">
        <v>1</v>
      </c>
      <c r="F3806" s="294"/>
      <c r="G3806" s="308" t="s">
        <v>3971</v>
      </c>
      <c r="H3806" s="309"/>
      <c r="I3806" s="346"/>
      <c r="J3806" s="291"/>
      <c r="K3806" s="291"/>
      <c r="L3806" s="291"/>
      <c r="M3806" s="291"/>
      <c r="N3806" s="291"/>
      <c r="S3806" s="364"/>
      <c r="Z3806" s="609" t="s">
        <v>3969</v>
      </c>
      <c r="AA3806" s="609" t="s">
        <v>5679</v>
      </c>
    </row>
    <row r="3807" spans="1:27" ht="18">
      <c r="A3807" s="2712"/>
      <c r="B3807" s="371">
        <v>102</v>
      </c>
      <c r="C3807" s="371"/>
      <c r="D3807" s="2714">
        <f t="shared" si="429"/>
        <v>1</v>
      </c>
      <c r="E3807" s="2719" t="s">
        <v>41</v>
      </c>
      <c r="F3807" s="294"/>
      <c r="G3807" s="308" t="s">
        <v>5225</v>
      </c>
      <c r="H3807" s="309"/>
      <c r="I3807" s="346"/>
      <c r="J3807" s="291"/>
      <c r="K3807" s="291"/>
      <c r="L3807" s="291"/>
      <c r="M3807" s="291"/>
      <c r="N3807" s="291"/>
      <c r="S3807" s="364"/>
      <c r="Z3807" s="609" t="s">
        <v>3969</v>
      </c>
      <c r="AA3807" s="609" t="s">
        <v>5679</v>
      </c>
    </row>
    <row r="3808" spans="1:27" ht="18">
      <c r="A3808" s="2712"/>
      <c r="B3808" s="371">
        <v>102.001</v>
      </c>
      <c r="C3808" s="371" t="s">
        <v>2791</v>
      </c>
      <c r="D3808" s="2714">
        <f t="shared" si="429"/>
        <v>1</v>
      </c>
      <c r="E3808" s="2719" t="s">
        <v>5227</v>
      </c>
      <c r="F3808" s="294"/>
      <c r="G3808" s="1487" t="s">
        <v>5226</v>
      </c>
      <c r="H3808" s="309"/>
      <c r="I3808" s="346"/>
      <c r="J3808" s="291"/>
      <c r="K3808" s="291"/>
      <c r="L3808" s="291"/>
      <c r="M3808" s="291"/>
      <c r="N3808" s="291"/>
      <c r="S3808" s="364"/>
      <c r="Z3808" s="609" t="s">
        <v>3969</v>
      </c>
      <c r="AA3808" s="609" t="s">
        <v>5679</v>
      </c>
    </row>
    <row r="3809" spans="1:29" ht="18">
      <c r="A3809" s="2712"/>
      <c r="B3809" s="371">
        <v>102.002</v>
      </c>
      <c r="C3809" s="371" t="s">
        <v>2791</v>
      </c>
      <c r="D3809" s="2714">
        <f t="shared" si="429"/>
        <v>0</v>
      </c>
      <c r="E3809" s="2719" t="s">
        <v>5227</v>
      </c>
      <c r="F3809" s="294"/>
      <c r="G3809" s="1487" t="s">
        <v>5224</v>
      </c>
      <c r="H3809" s="309"/>
      <c r="I3809" s="346"/>
      <c r="J3809" s="291"/>
      <c r="K3809" s="291"/>
      <c r="L3809" s="291"/>
      <c r="M3809" s="291"/>
      <c r="N3809" s="291"/>
      <c r="S3809" s="364"/>
      <c r="Z3809" s="609" t="s">
        <v>3969</v>
      </c>
      <c r="AA3809" s="609" t="s">
        <v>5679</v>
      </c>
    </row>
    <row r="3810" spans="1:29" ht="18">
      <c r="A3810" s="2712"/>
      <c r="B3810" s="371">
        <v>102.003</v>
      </c>
      <c r="C3810" s="371" t="s">
        <v>2791</v>
      </c>
      <c r="D3810" s="2714">
        <f t="shared" si="429"/>
        <v>0</v>
      </c>
      <c r="E3810" s="2719" t="s">
        <v>5227</v>
      </c>
      <c r="F3810" s="294"/>
      <c r="G3810" s="1487" t="s">
        <v>2792</v>
      </c>
      <c r="H3810" s="309"/>
      <c r="I3810" s="346"/>
      <c r="J3810" s="291"/>
      <c r="K3810" s="291"/>
      <c r="L3810" s="291"/>
      <c r="M3810" s="291"/>
      <c r="N3810" s="291"/>
      <c r="S3810" s="364"/>
      <c r="Z3810" s="609" t="s">
        <v>3969</v>
      </c>
      <c r="AA3810" s="609" t="s">
        <v>5679</v>
      </c>
    </row>
    <row r="3811" spans="1:29" ht="24">
      <c r="A3811" s="2712"/>
      <c r="B3811" s="371">
        <v>102.999</v>
      </c>
      <c r="C3811" s="371" t="s">
        <v>2793</v>
      </c>
      <c r="D3811" s="2714">
        <f t="shared" si="429"/>
        <v>1</v>
      </c>
      <c r="E3811" s="2719">
        <v>1</v>
      </c>
      <c r="F3811" s="294"/>
      <c r="G3811" s="308" t="s">
        <v>5228</v>
      </c>
      <c r="H3811" s="1474">
        <f>SUMIF($E$3805:$E$3817,$G3811,H$3805:H$3817)</f>
        <v>0</v>
      </c>
      <c r="I3811" s="1475">
        <f>SUMIF($E$3805:$E$3817,$G3811,I$3805:I$3817)</f>
        <v>0</v>
      </c>
      <c r="J3811" s="291"/>
      <c r="K3811" s="291"/>
      <c r="L3811" s="291"/>
      <c r="M3811" s="291"/>
      <c r="N3811" s="291"/>
      <c r="S3811" s="364"/>
      <c r="Z3811" s="609" t="s">
        <v>3969</v>
      </c>
      <c r="AA3811" s="609" t="s">
        <v>5679</v>
      </c>
    </row>
    <row r="3812" spans="1:29" ht="18">
      <c r="A3812" s="2712"/>
      <c r="B3812" s="371">
        <v>103</v>
      </c>
      <c r="C3812" s="371"/>
      <c r="D3812" s="2714">
        <f t="shared" si="429"/>
        <v>1</v>
      </c>
      <c r="E3812" s="2719" t="s">
        <v>41</v>
      </c>
      <c r="F3812" s="294"/>
      <c r="G3812" s="308" t="s">
        <v>5229</v>
      </c>
      <c r="H3812" s="309"/>
      <c r="I3812" s="346"/>
      <c r="J3812" s="291"/>
      <c r="K3812" s="291"/>
      <c r="L3812" s="291"/>
      <c r="M3812" s="291"/>
      <c r="N3812" s="291"/>
      <c r="S3812" s="364"/>
      <c r="Z3812" s="609" t="s">
        <v>3969</v>
      </c>
      <c r="AA3812" s="609" t="s">
        <v>5679</v>
      </c>
    </row>
    <row r="3813" spans="1:29" ht="18">
      <c r="A3813" s="2712"/>
      <c r="B3813" s="371">
        <v>103.001</v>
      </c>
      <c r="C3813" s="371" t="s">
        <v>2791</v>
      </c>
      <c r="D3813" s="2714">
        <f t="shared" si="429"/>
        <v>1</v>
      </c>
      <c r="E3813" s="2719" t="s">
        <v>5231</v>
      </c>
      <c r="F3813" s="294"/>
      <c r="G3813" s="1487" t="s">
        <v>5230</v>
      </c>
      <c r="H3813" s="309"/>
      <c r="I3813" s="346"/>
      <c r="J3813" s="291"/>
      <c r="K3813" s="291"/>
      <c r="L3813" s="291"/>
      <c r="M3813" s="291"/>
      <c r="N3813" s="291"/>
      <c r="S3813" s="364"/>
      <c r="Z3813" s="609" t="s">
        <v>3969</v>
      </c>
      <c r="AA3813" s="609" t="s">
        <v>5679</v>
      </c>
    </row>
    <row r="3814" spans="1:29" ht="18">
      <c r="A3814" s="2712"/>
      <c r="B3814" s="371">
        <v>103.002</v>
      </c>
      <c r="C3814" s="371" t="s">
        <v>2791</v>
      </c>
      <c r="D3814" s="2714">
        <f t="shared" si="429"/>
        <v>0</v>
      </c>
      <c r="E3814" s="2719" t="s">
        <v>5231</v>
      </c>
      <c r="F3814" s="294"/>
      <c r="G3814" s="1487" t="s">
        <v>5224</v>
      </c>
      <c r="H3814" s="309"/>
      <c r="I3814" s="346"/>
      <c r="J3814" s="291"/>
      <c r="K3814" s="291"/>
      <c r="L3814" s="291"/>
      <c r="M3814" s="291"/>
      <c r="N3814" s="291"/>
      <c r="S3814" s="364"/>
      <c r="Z3814" s="609" t="s">
        <v>3969</v>
      </c>
      <c r="AA3814" s="609" t="s">
        <v>5679</v>
      </c>
    </row>
    <row r="3815" spans="1:29" ht="18">
      <c r="A3815" s="2712"/>
      <c r="B3815" s="371">
        <v>103.003</v>
      </c>
      <c r="C3815" s="371" t="s">
        <v>6530</v>
      </c>
      <c r="D3815" s="2714">
        <f t="shared" si="429"/>
        <v>0</v>
      </c>
      <c r="E3815" s="2719" t="s">
        <v>5231</v>
      </c>
      <c r="F3815" s="294"/>
      <c r="G3815" s="1487" t="s">
        <v>2792</v>
      </c>
      <c r="H3815" s="309"/>
      <c r="I3815" s="346"/>
      <c r="J3815" s="291"/>
      <c r="K3815" s="291"/>
      <c r="L3815" s="291"/>
      <c r="M3815" s="291"/>
      <c r="N3815" s="291"/>
      <c r="S3815" s="364"/>
      <c r="Z3815" s="609" t="s">
        <v>3969</v>
      </c>
      <c r="AA3815" s="609" t="s">
        <v>5679</v>
      </c>
    </row>
    <row r="3816" spans="1:29" ht="24">
      <c r="A3816" s="2712"/>
      <c r="B3816" s="371">
        <v>103.999</v>
      </c>
      <c r="C3816" s="371" t="s">
        <v>2793</v>
      </c>
      <c r="D3816" s="2714">
        <f t="shared" si="429"/>
        <v>1</v>
      </c>
      <c r="E3816" s="2719">
        <v>1</v>
      </c>
      <c r="F3816" s="294"/>
      <c r="G3816" s="308" t="s">
        <v>5232</v>
      </c>
      <c r="H3816" s="1474">
        <f>SUMIF($E$3805:$E$3817,$G3816,H$3805:H$3817)</f>
        <v>0</v>
      </c>
      <c r="I3816" s="1475">
        <f>SUMIF($E$3805:$E$3817,$G3816,I$3805:I$3817)</f>
        <v>0</v>
      </c>
      <c r="J3816" s="291"/>
      <c r="K3816" s="291"/>
      <c r="L3816" s="291"/>
      <c r="M3816" s="291"/>
      <c r="N3816" s="291"/>
      <c r="S3816" s="364"/>
      <c r="Z3816" s="609" t="s">
        <v>3969</v>
      </c>
      <c r="AA3816" s="609" t="s">
        <v>5679</v>
      </c>
    </row>
    <row r="3817" spans="1:29" ht="18">
      <c r="A3817" s="2712"/>
      <c r="B3817" s="371">
        <v>104</v>
      </c>
      <c r="C3817" s="371" t="s">
        <v>2791</v>
      </c>
      <c r="D3817" s="2714">
        <f t="shared" si="429"/>
        <v>0</v>
      </c>
      <c r="E3817" s="2719">
        <v>1</v>
      </c>
      <c r="F3817" s="294"/>
      <c r="G3817" s="1487" t="s">
        <v>2792</v>
      </c>
      <c r="H3817" s="309"/>
      <c r="I3817" s="346"/>
      <c r="J3817" s="291"/>
      <c r="K3817" s="291"/>
      <c r="L3817" s="291"/>
      <c r="M3817" s="291"/>
      <c r="N3817" s="291"/>
      <c r="S3817" s="364"/>
      <c r="Z3817" s="609" t="s">
        <v>3969</v>
      </c>
      <c r="AA3817" s="609" t="s">
        <v>5679</v>
      </c>
    </row>
    <row r="3818" spans="1:29" ht="18.75" thickBot="1">
      <c r="A3818" s="2712"/>
      <c r="B3818" s="371"/>
      <c r="C3818" s="371"/>
      <c r="D3818" s="2714">
        <f t="shared" si="429"/>
        <v>1</v>
      </c>
      <c r="E3818" s="2719" t="s">
        <v>2751</v>
      </c>
      <c r="F3818" s="294"/>
      <c r="G3818" s="374" t="s">
        <v>5355</v>
      </c>
      <c r="H3818" s="1476">
        <f>SUMPRODUCT($E3805:$E3817,H3805:H3817)</f>
        <v>0</v>
      </c>
      <c r="I3818" s="1477">
        <f>SUMPRODUCT($E3805:$E3817,I3805:I3817)</f>
        <v>0</v>
      </c>
      <c r="J3818" s="1531" t="str">
        <f ca="1">HYPERLINK("#'"&amp;$G$1&amp;"'!"&amp;ADDRESS(ROW(Notes!K3766),COLUMN(Notes!K3766),4),"* 请勿删除此行！点击往勾稽单元格，F5+Enter返回")</f>
        <v>* 请勿删除此行！点击往勾稽单元格，F5+Enter返回</v>
      </c>
      <c r="K3818" s="291"/>
      <c r="L3818" s="291"/>
      <c r="M3818" s="291"/>
      <c r="N3818" s="291"/>
      <c r="S3818" s="364"/>
      <c r="Z3818" s="609" t="s">
        <v>3969</v>
      </c>
      <c r="AA3818" s="609" t="s">
        <v>5679</v>
      </c>
      <c r="AC3818" s="369" t="s">
        <v>6571</v>
      </c>
    </row>
    <row r="3819" spans="1:29" ht="18">
      <c r="A3819" s="2712"/>
      <c r="B3819" s="371"/>
      <c r="C3819" s="371" t="s">
        <v>2755</v>
      </c>
      <c r="D3819" s="371"/>
      <c r="F3819" s="294"/>
      <c r="G3819" s="301"/>
      <c r="H3819" s="315"/>
      <c r="I3819" s="315"/>
      <c r="J3819" s="350"/>
      <c r="K3819" s="291"/>
      <c r="L3819" s="291"/>
      <c r="M3819" s="291"/>
      <c r="N3819" s="291"/>
      <c r="S3819" s="364"/>
      <c r="Z3819" s="609" t="s">
        <v>3969</v>
      </c>
      <c r="AA3819" s="609" t="s">
        <v>5679</v>
      </c>
    </row>
    <row r="3820" spans="1:29" ht="24">
      <c r="A3820" s="2712" t="s">
        <v>1554</v>
      </c>
      <c r="B3820" s="371">
        <v>2</v>
      </c>
      <c r="C3820" s="371"/>
      <c r="D3820" s="2714" t="str">
        <f>VLOOKUP($A3820,Sheet_NoteList,2,0)</f>
        <v>期末重要的超过1年未支付的应付股利</v>
      </c>
      <c r="E3820" s="2714" t="s">
        <v>2742</v>
      </c>
      <c r="F3820" s="294"/>
      <c r="G3820" s="372" t="str">
        <f>"("&amp;B3820&amp;")"&amp;D3820</f>
        <v>(2)期末重要的超过1年未支付的应付股利</v>
      </c>
      <c r="H3820" s="1515" t="str">
        <f>$A3820</f>
        <v>2232b</v>
      </c>
      <c r="I3820" s="343" t="s">
        <v>2743</v>
      </c>
      <c r="J3820" s="301" t="s">
        <v>2744</v>
      </c>
      <c r="K3820" s="2208">
        <f>H3828</f>
        <v>0</v>
      </c>
      <c r="L3820" s="345"/>
      <c r="M3820" s="301"/>
      <c r="N3820" s="391"/>
      <c r="O3820" s="345"/>
      <c r="P3820" s="301"/>
      <c r="Q3820" s="290" t="str">
        <f>IF($I3820="不适用","",IF(ROUND(SUM($H$3823:$I$3828),2)=0,"请输入",""))</f>
        <v>请输入</v>
      </c>
      <c r="S3820" s="364"/>
      <c r="Z3820" s="609" t="s">
        <v>3969</v>
      </c>
      <c r="AA3820" s="609" t="s">
        <v>5679</v>
      </c>
    </row>
    <row r="3821" spans="1:29" ht="0.75" customHeight="1" thickBot="1">
      <c r="A3821" s="2712"/>
      <c r="B3821" s="371"/>
      <c r="C3821" s="371"/>
      <c r="D3821" s="371"/>
      <c r="F3821" s="304"/>
      <c r="G3821" s="304" t="s">
        <v>3972</v>
      </c>
      <c r="H3821" s="304" t="s">
        <v>2747</v>
      </c>
      <c r="I3821" s="304" t="s">
        <v>3973</v>
      </c>
      <c r="K3821" s="291"/>
      <c r="L3821" s="291"/>
      <c r="M3821" s="291"/>
      <c r="N3821" s="291"/>
      <c r="S3821" s="364"/>
      <c r="Z3821" s="609" t="s">
        <v>3969</v>
      </c>
      <c r="AA3821" s="609" t="s">
        <v>5679</v>
      </c>
    </row>
    <row r="3822" spans="1:29" ht="24">
      <c r="A3822" s="2712"/>
      <c r="B3822" s="371"/>
      <c r="C3822" s="371"/>
      <c r="D3822" s="371"/>
      <c r="E3822" s="2714" t="s">
        <v>2749</v>
      </c>
      <c r="F3822" s="294"/>
      <c r="G3822" s="378" t="s">
        <v>1465</v>
      </c>
      <c r="H3822" s="504" t="str">
        <f>$W$2&amp;"余额"</f>
        <v>2019年12月31日余额</v>
      </c>
      <c r="I3822" s="399" t="s">
        <v>3974</v>
      </c>
      <c r="J3822" s="355" t="s">
        <v>5305</v>
      </c>
      <c r="K3822" s="291"/>
      <c r="L3822" s="291"/>
      <c r="M3822" s="291"/>
      <c r="N3822" s="291"/>
      <c r="S3822" s="364"/>
      <c r="Z3822" s="609" t="s">
        <v>3969</v>
      </c>
      <c r="AA3822" s="609" t="s">
        <v>5679</v>
      </c>
    </row>
    <row r="3823" spans="1:29" ht="18">
      <c r="A3823" s="2712"/>
      <c r="B3823" s="371">
        <v>101</v>
      </c>
      <c r="C3823" s="371" t="s">
        <v>2791</v>
      </c>
      <c r="D3823" s="2714">
        <f t="shared" ref="D3823:D3828" si="430">IF(OR(G3823="*",G3823="",G3823=0),0,COUNTIF($G$3823:$G$3828,G3823))</f>
        <v>0</v>
      </c>
      <c r="E3823" s="2719">
        <v>1</v>
      </c>
      <c r="F3823" s="294"/>
      <c r="G3823" s="409" t="s">
        <v>2792</v>
      </c>
      <c r="H3823" s="383"/>
      <c r="I3823" s="492"/>
      <c r="K3823" s="291"/>
      <c r="L3823" s="291"/>
      <c r="M3823" s="291"/>
      <c r="N3823" s="291"/>
      <c r="S3823" s="364"/>
      <c r="Z3823" s="609" t="s">
        <v>3969</v>
      </c>
      <c r="AA3823" s="609" t="s">
        <v>5679</v>
      </c>
    </row>
    <row r="3824" spans="1:29" ht="18">
      <c r="A3824" s="2712"/>
      <c r="B3824" s="371">
        <v>102</v>
      </c>
      <c r="C3824" s="371" t="s">
        <v>2791</v>
      </c>
      <c r="D3824" s="2714">
        <f t="shared" si="430"/>
        <v>0</v>
      </c>
      <c r="E3824" s="2719">
        <v>1</v>
      </c>
      <c r="F3824" s="294"/>
      <c r="G3824" s="409" t="s">
        <v>2792</v>
      </c>
      <c r="H3824" s="383"/>
      <c r="I3824" s="492"/>
      <c r="K3824" s="291"/>
      <c r="L3824" s="291"/>
      <c r="M3824" s="291"/>
      <c r="N3824" s="291"/>
      <c r="S3824" s="364"/>
      <c r="Z3824" s="609" t="s">
        <v>3969</v>
      </c>
      <c r="AA3824" s="609" t="s">
        <v>5679</v>
      </c>
    </row>
    <row r="3825" spans="1:29" ht="18">
      <c r="A3825" s="2712"/>
      <c r="B3825" s="371">
        <v>103</v>
      </c>
      <c r="C3825" s="371" t="s">
        <v>2791</v>
      </c>
      <c r="D3825" s="2714">
        <f t="shared" si="430"/>
        <v>0</v>
      </c>
      <c r="E3825" s="2719">
        <v>1</v>
      </c>
      <c r="F3825" s="294"/>
      <c r="G3825" s="409" t="s">
        <v>2792</v>
      </c>
      <c r="H3825" s="383"/>
      <c r="I3825" s="492"/>
      <c r="K3825" s="291"/>
      <c r="L3825" s="291"/>
      <c r="M3825" s="291"/>
      <c r="N3825" s="291"/>
      <c r="S3825" s="364"/>
      <c r="Z3825" s="609" t="s">
        <v>3969</v>
      </c>
      <c r="AA3825" s="609" t="s">
        <v>5679</v>
      </c>
    </row>
    <row r="3826" spans="1:29" ht="18">
      <c r="A3826" s="2712"/>
      <c r="B3826" s="371">
        <v>104</v>
      </c>
      <c r="C3826" s="371" t="s">
        <v>2791</v>
      </c>
      <c r="D3826" s="2714">
        <f t="shared" si="430"/>
        <v>0</v>
      </c>
      <c r="E3826" s="2719">
        <v>1</v>
      </c>
      <c r="F3826" s="294"/>
      <c r="G3826" s="409" t="s">
        <v>2792</v>
      </c>
      <c r="H3826" s="383"/>
      <c r="I3826" s="492"/>
      <c r="K3826" s="291"/>
      <c r="L3826" s="291"/>
      <c r="M3826" s="291"/>
      <c r="N3826" s="291"/>
      <c r="S3826" s="364"/>
      <c r="Z3826" s="609" t="s">
        <v>3969</v>
      </c>
      <c r="AA3826" s="609" t="s">
        <v>5679</v>
      </c>
    </row>
    <row r="3827" spans="1:29" ht="18">
      <c r="A3827" s="2712"/>
      <c r="B3827" s="371">
        <v>105</v>
      </c>
      <c r="C3827" s="371" t="s">
        <v>2791</v>
      </c>
      <c r="D3827" s="2714">
        <f t="shared" si="430"/>
        <v>0</v>
      </c>
      <c r="E3827" s="2719">
        <v>1</v>
      </c>
      <c r="F3827" s="294"/>
      <c r="G3827" s="409" t="s">
        <v>2792</v>
      </c>
      <c r="H3827" s="383"/>
      <c r="I3827" s="492"/>
      <c r="K3827" s="291"/>
      <c r="L3827" s="291"/>
      <c r="M3827" s="291"/>
      <c r="N3827" s="291"/>
      <c r="S3827" s="364"/>
      <c r="Z3827" s="609" t="s">
        <v>3969</v>
      </c>
      <c r="AA3827" s="609" t="s">
        <v>5679</v>
      </c>
    </row>
    <row r="3828" spans="1:29" ht="18.75" thickBot="1">
      <c r="A3828" s="2712"/>
      <c r="B3828" s="371"/>
      <c r="C3828" s="371"/>
      <c r="D3828" s="2714">
        <f t="shared" si="430"/>
        <v>1</v>
      </c>
      <c r="E3828" s="2719" t="s">
        <v>2751</v>
      </c>
      <c r="F3828" s="294"/>
      <c r="G3828" s="403" t="s">
        <v>2752</v>
      </c>
      <c r="H3828" s="503">
        <f>SUMPRODUCT($E3822:$E3827,H3822:H3827)</f>
        <v>0</v>
      </c>
      <c r="I3828" s="513"/>
      <c r="K3828" s="291"/>
      <c r="L3828" s="291"/>
      <c r="M3828" s="291"/>
      <c r="N3828" s="291"/>
      <c r="S3828" s="364"/>
      <c r="Z3828" s="609" t="s">
        <v>3969</v>
      </c>
      <c r="AA3828" s="609" t="s">
        <v>5679</v>
      </c>
    </row>
    <row r="3829" spans="1:29" ht="18">
      <c r="A3829" s="2712"/>
      <c r="B3829" s="371"/>
      <c r="C3829" s="371" t="s">
        <v>2755</v>
      </c>
      <c r="D3829" s="371"/>
      <c r="F3829" s="294"/>
      <c r="G3829" s="301"/>
      <c r="H3829" s="349"/>
      <c r="I3829" s="350"/>
      <c r="J3829" s="350"/>
      <c r="K3829" s="291"/>
      <c r="L3829" s="291"/>
      <c r="M3829" s="291"/>
      <c r="N3829" s="291"/>
      <c r="S3829" s="364"/>
      <c r="Z3829" s="609" t="s">
        <v>3969</v>
      </c>
      <c r="AA3829" s="609" t="s">
        <v>5679</v>
      </c>
    </row>
    <row r="3830" spans="1:29" ht="18">
      <c r="A3830" s="2712">
        <v>2241</v>
      </c>
      <c r="B3830" s="371">
        <v>42.3</v>
      </c>
      <c r="C3830" s="2714" t="str">
        <f>VLOOKUP($A3830,Sheet_Items,2,0)</f>
        <v>其他应付款</v>
      </c>
      <c r="D3830" s="371"/>
      <c r="E3830" s="2714" t="s">
        <v>2739</v>
      </c>
      <c r="F3830" s="294"/>
      <c r="G3830" s="305" t="str">
        <f>B3830&amp;" "&amp;C3830</f>
        <v>42.3 其他应付款</v>
      </c>
      <c r="H3830" s="306"/>
      <c r="I3830" s="306"/>
      <c r="J3830" s="306" t="s">
        <v>2740</v>
      </c>
      <c r="K3830" s="341">
        <f>VLOOKUP($A3830,Sheet_Trialbal,6,0)</f>
        <v>11058441.74</v>
      </c>
      <c r="L3830" s="342"/>
      <c r="M3830" s="306" t="s">
        <v>2741</v>
      </c>
      <c r="N3830" s="341">
        <f>VLOOKUP($A3830,Sheet_Trialbal,10,0)</f>
        <v>61340818.75</v>
      </c>
      <c r="O3830" s="306"/>
      <c r="P3830" s="301"/>
      <c r="S3830" s="364"/>
      <c r="Z3830" s="609" t="s">
        <v>3975</v>
      </c>
      <c r="AA3830" s="609" t="s">
        <v>5680</v>
      </c>
    </row>
    <row r="3831" spans="1:29" ht="24">
      <c r="A3831" s="2712" t="s">
        <v>1559</v>
      </c>
      <c r="B3831" s="371">
        <v>1</v>
      </c>
      <c r="C3831" s="371"/>
      <c r="D3831" s="2714" t="str">
        <f>VLOOKUP($A3831,Sheet_NoteList,2,0)</f>
        <v>按款项性质列示其他应付款</v>
      </c>
      <c r="E3831" s="2714" t="s">
        <v>2742</v>
      </c>
      <c r="F3831" s="294"/>
      <c r="G3831" s="372" t="str">
        <f>"("&amp;B3831&amp;")"&amp;D3831</f>
        <v>(1)按款项性质列示其他应付款</v>
      </c>
      <c r="H3831" s="1515" t="str">
        <f>$A3831</f>
        <v>2241e</v>
      </c>
      <c r="I3831" s="343" t="s">
        <v>2743</v>
      </c>
      <c r="J3831" s="301" t="s">
        <v>2744</v>
      </c>
      <c r="K3831" s="2208">
        <f>H3839</f>
        <v>11058441.74</v>
      </c>
      <c r="L3831" s="345" t="str">
        <f>IF($I3831="适用",IF(ROUND(K$3830-K3831,2)=0,"F/S",ROUND(K$3830-K3831,2)),"#N/A")</f>
        <v>F/S</v>
      </c>
      <c r="M3831" s="301" t="s">
        <v>2745</v>
      </c>
      <c r="N3831" s="2208">
        <f>I3839</f>
        <v>61340818.75</v>
      </c>
      <c r="O3831" s="345" t="str">
        <f>IF($I3831="适用",IF(ROUND(N$3830-N3831,2)=0,"F/S",ROUND(N$3830-N3831,2)),"#N/A")</f>
        <v>F/S</v>
      </c>
      <c r="P3831" s="301"/>
      <c r="Q3831" s="290" t="str">
        <f>IF($I3831="不适用","",IF(ROUND(SUM($H$3834:$I$3839),2)=0,"请输入",""))</f>
        <v/>
      </c>
      <c r="S3831" s="364"/>
      <c r="Z3831" s="609" t="s">
        <v>3975</v>
      </c>
      <c r="AA3831" s="609" t="s">
        <v>5680</v>
      </c>
    </row>
    <row r="3832" spans="1:29" ht="0.75" customHeight="1" thickBot="1">
      <c r="A3832" s="2712"/>
      <c r="B3832" s="371"/>
      <c r="C3832" s="371"/>
      <c r="D3832" s="371"/>
      <c r="E3832" s="586"/>
      <c r="F3832" s="586"/>
      <c r="G3832" s="586" t="s">
        <v>3976</v>
      </c>
      <c r="H3832" s="371" t="s">
        <v>2747</v>
      </c>
      <c r="I3832" s="371" t="s">
        <v>2748</v>
      </c>
      <c r="J3832" s="291"/>
      <c r="K3832" s="291"/>
      <c r="L3832" s="291"/>
      <c r="M3832" s="291"/>
      <c r="S3832" s="364"/>
      <c r="Z3832" s="609" t="s">
        <v>3975</v>
      </c>
      <c r="AA3832" s="609" t="s">
        <v>5680</v>
      </c>
    </row>
    <row r="3833" spans="1:29" ht="18">
      <c r="A3833" s="2712"/>
      <c r="B3833" s="371"/>
      <c r="C3833" s="371"/>
      <c r="D3833" s="371"/>
      <c r="E3833" s="586" t="s">
        <v>2749</v>
      </c>
      <c r="F3833" s="363"/>
      <c r="G3833" s="2360" t="s">
        <v>47</v>
      </c>
      <c r="H3833" s="2223" t="str">
        <f>$V$2</f>
        <v>2019年12月31日</v>
      </c>
      <c r="I3833" s="2224" t="str">
        <f>$V$3</f>
        <v>2018年12月31日</v>
      </c>
      <c r="J3833" s="355" t="s">
        <v>5305</v>
      </c>
      <c r="K3833" s="291"/>
      <c r="L3833" s="291"/>
      <c r="M3833" s="291"/>
      <c r="S3833" s="364"/>
      <c r="Z3833" s="609" t="s">
        <v>3975</v>
      </c>
      <c r="AA3833" s="609" t="s">
        <v>5680</v>
      </c>
    </row>
    <row r="3834" spans="1:29" ht="18">
      <c r="A3834" s="2712"/>
      <c r="B3834" s="371">
        <v>101</v>
      </c>
      <c r="C3834" s="371" t="s">
        <v>2791</v>
      </c>
      <c r="D3834" s="2714">
        <f t="shared" ref="D3834:D3839" si="431">IF(OR(G3834="*",G3834="",G3834=0),0,COUNTIF($G$3834:$G$3839,G3834))</f>
        <v>1</v>
      </c>
      <c r="E3834" s="2719">
        <v>1</v>
      </c>
      <c r="F3834" s="294"/>
      <c r="G3834" s="2373" t="s">
        <v>7475</v>
      </c>
      <c r="H3834" s="2273">
        <v>10926403.630000001</v>
      </c>
      <c r="I3834" s="2294">
        <v>60019343.439999998</v>
      </c>
      <c r="J3834" s="291"/>
      <c r="K3834" s="291"/>
      <c r="L3834" s="291"/>
      <c r="M3834" s="291"/>
      <c r="S3834" s="364"/>
      <c r="Z3834" s="609" t="s">
        <v>3975</v>
      </c>
      <c r="AA3834" s="609" t="s">
        <v>5680</v>
      </c>
    </row>
    <row r="3835" spans="1:29" ht="18">
      <c r="A3835" s="2712"/>
      <c r="B3835" s="371">
        <v>102</v>
      </c>
      <c r="C3835" s="371" t="s">
        <v>2791</v>
      </c>
      <c r="D3835" s="2714">
        <f t="shared" si="431"/>
        <v>1</v>
      </c>
      <c r="E3835" s="2719">
        <v>1</v>
      </c>
      <c r="F3835" s="294"/>
      <c r="G3835" s="2373" t="s">
        <v>7476</v>
      </c>
      <c r="H3835" s="2273">
        <v>132038.10999999999</v>
      </c>
      <c r="I3835" s="2294">
        <v>68784.94</v>
      </c>
      <c r="J3835" s="291"/>
      <c r="K3835" s="291"/>
      <c r="L3835" s="291"/>
      <c r="M3835" s="291"/>
      <c r="S3835" s="364"/>
      <c r="Z3835" s="609" t="s">
        <v>3975</v>
      </c>
      <c r="AA3835" s="609" t="s">
        <v>5680</v>
      </c>
    </row>
    <row r="3836" spans="1:29" ht="18">
      <c r="A3836" s="2712"/>
      <c r="B3836" s="371">
        <v>103</v>
      </c>
      <c r="C3836" s="371" t="s">
        <v>2791</v>
      </c>
      <c r="D3836" s="2714">
        <f t="shared" si="431"/>
        <v>1</v>
      </c>
      <c r="E3836" s="2719">
        <v>1</v>
      </c>
      <c r="F3836" s="294"/>
      <c r="G3836" s="2373" t="s">
        <v>932</v>
      </c>
      <c r="H3836" s="2273"/>
      <c r="I3836" s="2294">
        <v>1252690.3700000001</v>
      </c>
      <c r="J3836" s="291"/>
      <c r="K3836" s="291"/>
      <c r="L3836" s="291"/>
      <c r="M3836" s="291"/>
      <c r="S3836" s="364"/>
      <c r="Z3836" s="609" t="s">
        <v>3975</v>
      </c>
      <c r="AA3836" s="609" t="s">
        <v>5680</v>
      </c>
    </row>
    <row r="3837" spans="1:29" ht="18">
      <c r="A3837" s="2712"/>
      <c r="B3837" s="371">
        <v>104</v>
      </c>
      <c r="C3837" s="371" t="s">
        <v>2791</v>
      </c>
      <c r="D3837" s="2714">
        <f t="shared" si="431"/>
        <v>0</v>
      </c>
      <c r="E3837" s="2719">
        <v>1</v>
      </c>
      <c r="F3837" s="294"/>
      <c r="G3837" s="2373" t="s">
        <v>2792</v>
      </c>
      <c r="H3837" s="2273"/>
      <c r="I3837" s="2294"/>
      <c r="J3837" s="291"/>
      <c r="K3837" s="291"/>
      <c r="L3837" s="291"/>
      <c r="M3837" s="291"/>
      <c r="S3837" s="364"/>
      <c r="Z3837" s="609" t="s">
        <v>3975</v>
      </c>
      <c r="AA3837" s="609" t="s">
        <v>5680</v>
      </c>
    </row>
    <row r="3838" spans="1:29" ht="18">
      <c r="A3838" s="2712"/>
      <c r="B3838" s="371">
        <v>105</v>
      </c>
      <c r="C3838" s="371" t="s">
        <v>2791</v>
      </c>
      <c r="D3838" s="2714">
        <f t="shared" si="431"/>
        <v>0</v>
      </c>
      <c r="E3838" s="2719">
        <v>1</v>
      </c>
      <c r="F3838" s="294"/>
      <c r="G3838" s="2373" t="s">
        <v>2792</v>
      </c>
      <c r="H3838" s="2273"/>
      <c r="I3838" s="2294"/>
      <c r="J3838" s="291"/>
      <c r="K3838" s="291"/>
      <c r="L3838" s="291"/>
      <c r="M3838" s="291"/>
      <c r="S3838" s="364"/>
      <c r="Z3838" s="609" t="s">
        <v>3975</v>
      </c>
      <c r="AA3838" s="609" t="s">
        <v>5680</v>
      </c>
    </row>
    <row r="3839" spans="1:29" ht="18.75" thickBot="1">
      <c r="A3839" s="2712"/>
      <c r="B3839" s="371"/>
      <c r="C3839" s="371"/>
      <c r="D3839" s="2714">
        <f t="shared" si="431"/>
        <v>1</v>
      </c>
      <c r="E3839" s="2719" t="s">
        <v>2751</v>
      </c>
      <c r="F3839" s="294"/>
      <c r="G3839" s="374" t="s">
        <v>2752</v>
      </c>
      <c r="H3839" s="1476">
        <f>SUMPRODUCT($E3833:$E3838,H3833:H3838)</f>
        <v>11058441.74</v>
      </c>
      <c r="I3839" s="1477">
        <f>SUMPRODUCT($E3833:$E3838,I3833:I3838)</f>
        <v>61340818.75</v>
      </c>
      <c r="J3839" s="1531" t="str">
        <f ca="1">HYPERLINK("#'"&amp;$G$1&amp;"'!"&amp;ADDRESS(ROW(Notes!K3767),COLUMN(Notes!K3767),4),"* 请勿删除此行！点击往勾稽单元格，F5+Enter返回")</f>
        <v>* 请勿删除此行！点击往勾稽单元格，F5+Enter返回</v>
      </c>
      <c r="K3839" s="291"/>
      <c r="L3839" s="291"/>
      <c r="M3839" s="291"/>
      <c r="S3839" s="364"/>
      <c r="Z3839" s="609" t="s">
        <v>3975</v>
      </c>
      <c r="AA3839" s="609" t="s">
        <v>5680</v>
      </c>
      <c r="AC3839" s="369" t="s">
        <v>6571</v>
      </c>
    </row>
    <row r="3840" spans="1:29" ht="18">
      <c r="A3840" s="2712"/>
      <c r="B3840" s="371"/>
      <c r="C3840" s="371" t="s">
        <v>2755</v>
      </c>
      <c r="D3840" s="371"/>
      <c r="F3840" s="294"/>
      <c r="G3840" s="301"/>
      <c r="H3840" s="315"/>
      <c r="I3840" s="315"/>
      <c r="J3840" s="291"/>
      <c r="K3840" s="291"/>
      <c r="L3840" s="291"/>
      <c r="M3840" s="291"/>
      <c r="S3840" s="364"/>
      <c r="Z3840" s="609" t="s">
        <v>3975</v>
      </c>
      <c r="AA3840" s="609" t="s">
        <v>5680</v>
      </c>
    </row>
    <row r="3841" spans="1:27" ht="18">
      <c r="A3841" s="2712" t="s">
        <v>1569</v>
      </c>
      <c r="B3841" s="371">
        <v>2</v>
      </c>
      <c r="C3841" s="371"/>
      <c r="D3841" s="2714" t="str">
        <f>VLOOKUP($A3841,Sheet_NoteList,2,0)</f>
        <v>其他应付款按账龄列示</v>
      </c>
      <c r="E3841" s="2714" t="s">
        <v>6529</v>
      </c>
      <c r="F3841" s="294"/>
      <c r="G3841" s="372" t="str">
        <f>"("&amp;B3841&amp;")"&amp;D3841</f>
        <v>(2)其他应付款按账龄列示</v>
      </c>
      <c r="H3841" s="1515" t="str">
        <f>$A3841</f>
        <v>2241f</v>
      </c>
      <c r="I3841" s="343" t="s">
        <v>5567</v>
      </c>
      <c r="J3841" s="301" t="s">
        <v>5565</v>
      </c>
      <c r="K3841" s="2208">
        <f>H3849</f>
        <v>0</v>
      </c>
      <c r="L3841" s="345">
        <f>IF($I3841="适用",IF(ROUND(K$3830-K3841,2)=0,"F/S",ROUND(K$3830-K3841,2)),"#N/A")</f>
        <v>11058441.74</v>
      </c>
      <c r="M3841" s="301" t="s">
        <v>5566</v>
      </c>
      <c r="N3841" s="2208">
        <f>I3849</f>
        <v>0</v>
      </c>
      <c r="O3841" s="345">
        <f>IF($I3841="适用",IF(ROUND(N$3830-N3841,2)=0,"F/S",ROUND(N$3830-N3841,2)),"#N/A")</f>
        <v>61340818.75</v>
      </c>
      <c r="P3841" s="301"/>
      <c r="S3841" s="364"/>
      <c r="Z3841" s="609" t="s">
        <v>3975</v>
      </c>
      <c r="AA3841" s="609" t="s">
        <v>5680</v>
      </c>
    </row>
    <row r="3842" spans="1:27" ht="0.75" customHeight="1" thickBot="1">
      <c r="A3842" s="2712"/>
      <c r="B3842" s="371"/>
      <c r="C3842" s="371"/>
      <c r="D3842" s="371"/>
      <c r="F3842" s="371"/>
      <c r="G3842" s="371" t="s">
        <v>3977</v>
      </c>
      <c r="H3842" s="371" t="s">
        <v>2747</v>
      </c>
      <c r="I3842" s="371" t="s">
        <v>2748</v>
      </c>
      <c r="J3842" s="291"/>
      <c r="K3842" s="291"/>
      <c r="L3842" s="291"/>
      <c r="M3842" s="291"/>
      <c r="S3842" s="364"/>
      <c r="Z3842" s="609" t="s">
        <v>3975</v>
      </c>
      <c r="AA3842" s="609" t="s">
        <v>5680</v>
      </c>
    </row>
    <row r="3843" spans="1:27" ht="18">
      <c r="A3843" s="2712"/>
      <c r="B3843" s="371"/>
      <c r="C3843" s="371"/>
      <c r="D3843" s="371"/>
      <c r="E3843" s="2714" t="s">
        <v>2749</v>
      </c>
      <c r="F3843" s="294"/>
      <c r="G3843" s="1613" t="s">
        <v>1439</v>
      </c>
      <c r="H3843" s="1611" t="s">
        <v>2775</v>
      </c>
      <c r="I3843" s="1612" t="s">
        <v>2776</v>
      </c>
      <c r="J3843" s="355" t="s">
        <v>6174</v>
      </c>
      <c r="K3843" s="291"/>
      <c r="L3843" s="291"/>
      <c r="M3843" s="291"/>
      <c r="S3843" s="364"/>
      <c r="Z3843" s="609" t="s">
        <v>3975</v>
      </c>
      <c r="AA3843" s="609" t="s">
        <v>5680</v>
      </c>
    </row>
    <row r="3844" spans="1:27" ht="18">
      <c r="A3844" s="2712"/>
      <c r="B3844" s="371">
        <v>101</v>
      </c>
      <c r="C3844" s="371" t="s">
        <v>2791</v>
      </c>
      <c r="D3844" s="2714">
        <f t="shared" ref="D3844:D3849" si="432">IF(OR(G3844="*",G3844="",G3844=0),0,COUNTIF($G$3844:$G$3849,G3844))</f>
        <v>1</v>
      </c>
      <c r="E3844" s="2719">
        <v>1</v>
      </c>
      <c r="F3844" s="294"/>
      <c r="G3844" s="1614" t="s">
        <v>3855</v>
      </c>
      <c r="H3844" s="309"/>
      <c r="I3844" s="346"/>
      <c r="J3844" s="579"/>
      <c r="K3844" s="291"/>
      <c r="L3844" s="291"/>
      <c r="M3844" s="291"/>
      <c r="S3844" s="364"/>
      <c r="Z3844" s="609" t="s">
        <v>3975</v>
      </c>
      <c r="AA3844" s="609" t="s">
        <v>5680</v>
      </c>
    </row>
    <row r="3845" spans="1:27" ht="18">
      <c r="A3845" s="2712"/>
      <c r="B3845" s="371">
        <v>102</v>
      </c>
      <c r="C3845" s="371" t="s">
        <v>2791</v>
      </c>
      <c r="D3845" s="2714">
        <f t="shared" si="432"/>
        <v>1</v>
      </c>
      <c r="E3845" s="2719">
        <v>1</v>
      </c>
      <c r="F3845" s="294"/>
      <c r="G3845" s="1614" t="s">
        <v>3856</v>
      </c>
      <c r="H3845" s="309"/>
      <c r="I3845" s="346"/>
      <c r="J3845" s="291"/>
      <c r="K3845" s="291"/>
      <c r="L3845" s="291"/>
      <c r="M3845" s="291"/>
      <c r="S3845" s="364"/>
      <c r="Z3845" s="609" t="s">
        <v>3975</v>
      </c>
      <c r="AA3845" s="609" t="s">
        <v>5680</v>
      </c>
    </row>
    <row r="3846" spans="1:27" ht="18">
      <c r="A3846" s="2712"/>
      <c r="B3846" s="371">
        <v>103</v>
      </c>
      <c r="C3846" s="371" t="s">
        <v>2791</v>
      </c>
      <c r="D3846" s="2714">
        <f t="shared" si="432"/>
        <v>1</v>
      </c>
      <c r="E3846" s="2719">
        <v>1</v>
      </c>
      <c r="F3846" s="294"/>
      <c r="G3846" s="1614" t="s">
        <v>3857</v>
      </c>
      <c r="H3846" s="309"/>
      <c r="I3846" s="346"/>
      <c r="J3846" s="291"/>
      <c r="K3846" s="291"/>
      <c r="L3846" s="291"/>
      <c r="M3846" s="291"/>
      <c r="S3846" s="364"/>
      <c r="Z3846" s="609" t="s">
        <v>3975</v>
      </c>
      <c r="AA3846" s="609" t="s">
        <v>5680</v>
      </c>
    </row>
    <row r="3847" spans="1:27" ht="18">
      <c r="A3847" s="2712"/>
      <c r="B3847" s="371">
        <v>104</v>
      </c>
      <c r="C3847" s="371" t="s">
        <v>2791</v>
      </c>
      <c r="D3847" s="2714">
        <f t="shared" si="432"/>
        <v>1</v>
      </c>
      <c r="E3847" s="2719">
        <v>1</v>
      </c>
      <c r="F3847" s="294"/>
      <c r="G3847" s="1614" t="s">
        <v>3108</v>
      </c>
      <c r="H3847" s="309"/>
      <c r="I3847" s="346"/>
      <c r="J3847" s="291"/>
      <c r="K3847" s="291"/>
      <c r="L3847" s="291"/>
      <c r="M3847" s="291"/>
      <c r="S3847" s="364"/>
      <c r="Z3847" s="609" t="s">
        <v>3975</v>
      </c>
      <c r="AA3847" s="609" t="s">
        <v>5680</v>
      </c>
    </row>
    <row r="3848" spans="1:27" ht="18">
      <c r="A3848" s="2712"/>
      <c r="B3848" s="371">
        <v>105</v>
      </c>
      <c r="C3848" s="371" t="s">
        <v>2791</v>
      </c>
      <c r="D3848" s="2714">
        <f t="shared" si="432"/>
        <v>0</v>
      </c>
      <c r="E3848" s="2719">
        <v>1</v>
      </c>
      <c r="F3848" s="294"/>
      <c r="G3848" s="1614" t="s">
        <v>2792</v>
      </c>
      <c r="H3848" s="309"/>
      <c r="I3848" s="346"/>
      <c r="J3848" s="291"/>
      <c r="K3848" s="291"/>
      <c r="L3848" s="291"/>
      <c r="M3848" s="291"/>
      <c r="S3848" s="364"/>
      <c r="Z3848" s="609" t="s">
        <v>3975</v>
      </c>
      <c r="AA3848" s="609" t="s">
        <v>5680</v>
      </c>
    </row>
    <row r="3849" spans="1:27" ht="18.75" thickBot="1">
      <c r="A3849" s="2712"/>
      <c r="B3849" s="371"/>
      <c r="C3849" s="371"/>
      <c r="D3849" s="2714">
        <f t="shared" si="432"/>
        <v>1</v>
      </c>
      <c r="E3849" s="2719" t="s">
        <v>2751</v>
      </c>
      <c r="F3849" s="294"/>
      <c r="G3849" s="1527" t="s">
        <v>2752</v>
      </c>
      <c r="H3849" s="1525">
        <f>SUMPRODUCT($E3843:$E3848,H3843:H3848)</f>
        <v>0</v>
      </c>
      <c r="I3849" s="1526">
        <f>SUMPRODUCT($E3843:$E3848,I3843:I3848)</f>
        <v>0</v>
      </c>
      <c r="J3849" s="291"/>
      <c r="K3849" s="291"/>
      <c r="L3849" s="291"/>
      <c r="M3849" s="291"/>
      <c r="S3849" s="364"/>
      <c r="Z3849" s="609" t="s">
        <v>3975</v>
      </c>
      <c r="AA3849" s="609" t="s">
        <v>5680</v>
      </c>
    </row>
    <row r="3850" spans="1:27" ht="18.75" thickBot="1">
      <c r="A3850" s="2712"/>
      <c r="B3850" s="371"/>
      <c r="C3850" s="371" t="s">
        <v>2755</v>
      </c>
      <c r="D3850" s="371"/>
      <c r="F3850" s="294"/>
      <c r="G3850" s="301"/>
      <c r="H3850" s="527" t="s">
        <v>3002</v>
      </c>
      <c r="I3850" s="527" t="s">
        <v>3002</v>
      </c>
      <c r="J3850" s="291"/>
      <c r="K3850" s="291"/>
      <c r="L3850" s="291"/>
      <c r="M3850" s="291"/>
      <c r="S3850" s="364"/>
      <c r="Z3850" s="609" t="s">
        <v>3975</v>
      </c>
      <c r="AA3850" s="609" t="s">
        <v>5680</v>
      </c>
    </row>
    <row r="3851" spans="1:27" ht="18.75" thickTop="1">
      <c r="A3851" s="2712"/>
      <c r="B3851" s="371"/>
      <c r="C3851" s="371" t="s">
        <v>2565</v>
      </c>
      <c r="D3851" s="371"/>
      <c r="F3851" s="294"/>
      <c r="G3851" s="1559" t="s">
        <v>5365</v>
      </c>
      <c r="H3851" s="1548" t="str">
        <f>G3831</f>
        <v>(1)按款项性质列示其他应付款</v>
      </c>
      <c r="I3851" s="1550"/>
      <c r="J3851" s="1551" t="s">
        <v>5366</v>
      </c>
      <c r="K3851" s="291"/>
      <c r="L3851" s="291"/>
      <c r="M3851" s="291"/>
      <c r="S3851" s="364"/>
      <c r="Z3851" s="609" t="s">
        <v>3975</v>
      </c>
      <c r="AA3851" s="609" t="s">
        <v>5680</v>
      </c>
    </row>
    <row r="3852" spans="1:27" ht="18">
      <c r="A3852" s="2712"/>
      <c r="B3852" s="371"/>
      <c r="C3852" s="371" t="s">
        <v>2565</v>
      </c>
      <c r="D3852" s="371"/>
      <c r="F3852" s="294"/>
      <c r="G3852" s="316" t="str">
        <f>"注释A:"&amp; G3839</f>
        <v>注释A:合       计</v>
      </c>
      <c r="H3852" s="2250">
        <f ca="1">HYPERLINK("#'"&amp;$G$1&amp;"'!"&amp;ADDRESS(ROW(Notes!H3839),COLUMN(Notes!H3839),4),H3839)</f>
        <v>11058441.74</v>
      </c>
      <c r="I3852" s="2250">
        <f ca="1">HYPERLINK("#'"&amp;$G$1&amp;"'!"&amp;ADDRESS(ROW(Notes!I3839),COLUMN(Notes!I3839),4),I3839)</f>
        <v>61340818.75</v>
      </c>
      <c r="J3852" s="2630" t="str">
        <f>H3831</f>
        <v>2241e</v>
      </c>
      <c r="K3852" s="291"/>
      <c r="L3852" s="291"/>
      <c r="M3852" s="291"/>
      <c r="S3852" s="364"/>
      <c r="Z3852" s="609" t="s">
        <v>3975</v>
      </c>
      <c r="AA3852" s="609" t="s">
        <v>5680</v>
      </c>
    </row>
    <row r="3853" spans="1:27" ht="18">
      <c r="A3853" s="2712"/>
      <c r="B3853" s="371"/>
      <c r="C3853" s="371" t="s">
        <v>2565</v>
      </c>
      <c r="D3853" s="371"/>
      <c r="F3853" s="294"/>
      <c r="G3853" s="316" t="str">
        <f>"本注释B:"&amp; G3849</f>
        <v>本注释B:合       计</v>
      </c>
      <c r="H3853" s="456">
        <f>H3839</f>
        <v>11058441.74</v>
      </c>
      <c r="I3853" s="456">
        <f>I3839</f>
        <v>61340818.75</v>
      </c>
      <c r="J3853" s="2636" t="s">
        <v>1569</v>
      </c>
      <c r="K3853" s="291"/>
      <c r="L3853" s="291"/>
      <c r="M3853" s="291"/>
      <c r="S3853" s="364"/>
      <c r="Z3853" s="609" t="s">
        <v>3975</v>
      </c>
      <c r="AA3853" s="609" t="s">
        <v>5680</v>
      </c>
    </row>
    <row r="3854" spans="1:27" ht="18.75" thickBot="1">
      <c r="A3854" s="2712"/>
      <c r="B3854" s="371"/>
      <c r="C3854" s="371" t="s">
        <v>2565</v>
      </c>
      <c r="D3854" s="371"/>
      <c r="F3854" s="294"/>
      <c r="G3854" s="1560" t="s">
        <v>2757</v>
      </c>
      <c r="H3854" s="1529">
        <f ca="1">IF(AND(H3852="",H3853=""),"",ROUND(H3852-H3853,2))</f>
        <v>0</v>
      </c>
      <c r="I3854" s="1529">
        <f ca="1">IF(AND(I3852="",I3853=""),"",ROUND(I3852-I3853,2))</f>
        <v>0</v>
      </c>
      <c r="J3854" s="1553"/>
      <c r="K3854" s="291"/>
      <c r="L3854" s="291"/>
      <c r="M3854" s="291"/>
      <c r="S3854" s="364"/>
      <c r="Z3854" s="609" t="s">
        <v>3975</v>
      </c>
      <c r="AA3854" s="609" t="s">
        <v>5680</v>
      </c>
    </row>
    <row r="3855" spans="1:27" ht="18.75" thickTop="1">
      <c r="A3855" s="2712"/>
      <c r="B3855" s="371"/>
      <c r="C3855" s="371" t="s">
        <v>2565</v>
      </c>
      <c r="D3855" s="371"/>
      <c r="F3855" s="294"/>
      <c r="G3855" s="354"/>
      <c r="H3855" s="459" t="str">
        <f ca="1">IF(OR(H3854=0,H3854=""),"√","？")</f>
        <v>√</v>
      </c>
      <c r="I3855" s="459" t="str">
        <f ca="1">IF(OR(I3854=0,I3854=""),"√","？")</f>
        <v>√</v>
      </c>
      <c r="J3855" s="354"/>
      <c r="K3855" s="291"/>
      <c r="L3855" s="291"/>
      <c r="M3855" s="291"/>
      <c r="S3855" s="364"/>
      <c r="Z3855" s="609" t="s">
        <v>3975</v>
      </c>
      <c r="AA3855" s="609" t="s">
        <v>5680</v>
      </c>
    </row>
    <row r="3856" spans="1:27" ht="18">
      <c r="A3856" s="2712"/>
      <c r="B3856" s="371"/>
      <c r="C3856" s="371" t="s">
        <v>2565</v>
      </c>
      <c r="D3856" s="371"/>
      <c r="F3856" s="294"/>
      <c r="G3856" s="460" t="s">
        <v>2759</v>
      </c>
      <c r="H3856" s="461"/>
      <c r="I3856" s="461"/>
      <c r="J3856" s="354"/>
      <c r="K3856" s="345">
        <f ca="1">SUMIF($H$3855:$J$3855,"&lt;&gt;√",$H$3854:$J$3854)</f>
        <v>0</v>
      </c>
      <c r="L3856" s="475" t="str">
        <f ca="1">IF(OR(K3856=0,K3856=""),"√","？")</f>
        <v>√</v>
      </c>
      <c r="M3856" s="291"/>
      <c r="S3856" s="364"/>
      <c r="Z3856" s="609" t="s">
        <v>3975</v>
      </c>
      <c r="AA3856" s="609" t="s">
        <v>5680</v>
      </c>
    </row>
    <row r="3857" spans="1:27" ht="18">
      <c r="A3857" s="2712"/>
      <c r="B3857" s="371"/>
      <c r="C3857" s="371" t="s">
        <v>2565</v>
      </c>
      <c r="D3857" s="371"/>
      <c r="F3857" s="294"/>
      <c r="G3857" s="354"/>
      <c r="H3857" s="461"/>
      <c r="I3857" s="461"/>
      <c r="J3857" s="354"/>
      <c r="K3857" s="291"/>
      <c r="L3857" s="291"/>
      <c r="M3857" s="291"/>
      <c r="S3857" s="364"/>
      <c r="Z3857" s="609" t="s">
        <v>3975</v>
      </c>
      <c r="AA3857" s="609" t="s">
        <v>5680</v>
      </c>
    </row>
    <row r="3858" spans="1:27" ht="24">
      <c r="A3858" s="2712" t="s">
        <v>1564</v>
      </c>
      <c r="B3858" s="371">
        <v>3</v>
      </c>
      <c r="C3858" s="371"/>
      <c r="D3858" s="2714" t="str">
        <f>VLOOKUP($A3858,Sheet_NoteList,2,0)</f>
        <v>期末账龄超过1年的重要其他应付款</v>
      </c>
      <c r="E3858" s="2714" t="s">
        <v>2742</v>
      </c>
      <c r="F3858" s="294"/>
      <c r="G3858" s="372" t="str">
        <f>"("&amp;B3858&amp;")"&amp;D3858</f>
        <v>(3)期末账龄超过1年的重要其他应付款</v>
      </c>
      <c r="H3858" s="1515" t="str">
        <f>$A3858</f>
        <v>2241c</v>
      </c>
      <c r="I3858" s="343" t="s">
        <v>2743</v>
      </c>
      <c r="J3858" s="301" t="s">
        <v>2744</v>
      </c>
      <c r="K3858" s="2208">
        <f>H3866</f>
        <v>0</v>
      </c>
      <c r="L3858" s="345" t="str">
        <f>IF($I3858="适用",IF(ROUND(K$3830-K3858,2)&gt;=0,"","#Logical!"),"#N/A")</f>
        <v/>
      </c>
      <c r="M3858" s="301"/>
      <c r="N3858" s="3083"/>
      <c r="O3858" s="315"/>
      <c r="P3858" s="301"/>
      <c r="Q3858" s="290" t="str">
        <f>IF($I3858="不适用","",IF(ROUND(SUM($H$3861:$I$3866),2)=0,"请输入",""))</f>
        <v>请输入</v>
      </c>
      <c r="S3858" s="364"/>
      <c r="Z3858" s="609" t="s">
        <v>3975</v>
      </c>
      <c r="AA3858" s="609" t="s">
        <v>5680</v>
      </c>
    </row>
    <row r="3859" spans="1:27" ht="0.75" customHeight="1" thickBot="1">
      <c r="A3859" s="2712"/>
      <c r="B3859" s="371"/>
      <c r="C3859" s="371"/>
      <c r="D3859" s="371"/>
      <c r="E3859" s="586"/>
      <c r="F3859" s="586"/>
      <c r="G3859" s="586" t="s">
        <v>3978</v>
      </c>
      <c r="H3859" s="371" t="s">
        <v>2849</v>
      </c>
      <c r="I3859" s="371" t="s">
        <v>3880</v>
      </c>
      <c r="J3859" s="387"/>
      <c r="K3859" s="291"/>
      <c r="L3859" s="291"/>
      <c r="M3859" s="291"/>
      <c r="N3859" s="291"/>
      <c r="S3859" s="364"/>
      <c r="Z3859" s="609" t="s">
        <v>3975</v>
      </c>
      <c r="AA3859" s="609" t="s">
        <v>5680</v>
      </c>
    </row>
    <row r="3860" spans="1:27" ht="24">
      <c r="A3860" s="2712"/>
      <c r="B3860" s="371"/>
      <c r="C3860" s="371"/>
      <c r="D3860" s="371"/>
      <c r="E3860" s="586" t="s">
        <v>2749</v>
      </c>
      <c r="F3860" s="363"/>
      <c r="G3860" s="2360" t="s">
        <v>47</v>
      </c>
      <c r="H3860" s="2223" t="str">
        <f>$W$2&amp;"余额"</f>
        <v>2019年12月31日余额</v>
      </c>
      <c r="I3860" s="2371" t="s">
        <v>5249</v>
      </c>
      <c r="J3860" s="355" t="s">
        <v>5305</v>
      </c>
      <c r="K3860" s="291"/>
      <c r="L3860" s="291"/>
      <c r="M3860" s="291"/>
      <c r="N3860" s="291"/>
      <c r="S3860" s="364"/>
      <c r="Z3860" s="609" t="s">
        <v>3975</v>
      </c>
      <c r="AA3860" s="609" t="s">
        <v>5680</v>
      </c>
    </row>
    <row r="3861" spans="1:27" ht="18">
      <c r="A3861" s="2712"/>
      <c r="B3861" s="371">
        <v>101</v>
      </c>
      <c r="C3861" s="371" t="s">
        <v>2791</v>
      </c>
      <c r="D3861" s="2714">
        <f t="shared" ref="D3861:D3866" si="433">IF(OR(G3861="*",G3861="",G3861=0),0,COUNTIF($G$3861:$G$3866,G3861))</f>
        <v>0</v>
      </c>
      <c r="E3861" s="2719">
        <v>1</v>
      </c>
      <c r="F3861" s="294"/>
      <c r="G3861" s="2373" t="s">
        <v>2792</v>
      </c>
      <c r="H3861" s="2273"/>
      <c r="I3861" s="2274"/>
      <c r="J3861" s="291"/>
      <c r="K3861" s="291"/>
      <c r="L3861" s="291"/>
      <c r="M3861" s="291"/>
      <c r="N3861" s="291"/>
      <c r="S3861" s="364"/>
      <c r="Z3861" s="609" t="s">
        <v>3975</v>
      </c>
      <c r="AA3861" s="609" t="s">
        <v>5680</v>
      </c>
    </row>
    <row r="3862" spans="1:27" ht="18">
      <c r="A3862" s="2712"/>
      <c r="B3862" s="371">
        <v>102</v>
      </c>
      <c r="C3862" s="371" t="s">
        <v>2791</v>
      </c>
      <c r="D3862" s="2714">
        <f t="shared" si="433"/>
        <v>0</v>
      </c>
      <c r="E3862" s="2719">
        <v>1</v>
      </c>
      <c r="F3862" s="294"/>
      <c r="G3862" s="2373" t="s">
        <v>2792</v>
      </c>
      <c r="H3862" s="2273"/>
      <c r="I3862" s="2274"/>
      <c r="J3862" s="291"/>
      <c r="K3862" s="291"/>
      <c r="L3862" s="291"/>
      <c r="M3862" s="291"/>
      <c r="N3862" s="291"/>
      <c r="S3862" s="364"/>
      <c r="Z3862" s="609" t="s">
        <v>3975</v>
      </c>
      <c r="AA3862" s="609" t="s">
        <v>5680</v>
      </c>
    </row>
    <row r="3863" spans="1:27" ht="18">
      <c r="A3863" s="2712"/>
      <c r="B3863" s="371">
        <v>103</v>
      </c>
      <c r="C3863" s="371" t="s">
        <v>2791</v>
      </c>
      <c r="D3863" s="2714">
        <f t="shared" si="433"/>
        <v>0</v>
      </c>
      <c r="E3863" s="2719">
        <v>1</v>
      </c>
      <c r="F3863" s="294"/>
      <c r="G3863" s="2373" t="s">
        <v>2792</v>
      </c>
      <c r="H3863" s="2273"/>
      <c r="I3863" s="2274"/>
      <c r="J3863" s="291"/>
      <c r="K3863" s="291"/>
      <c r="L3863" s="291"/>
      <c r="M3863" s="291"/>
      <c r="N3863" s="291"/>
      <c r="S3863" s="364"/>
      <c r="Z3863" s="609" t="s">
        <v>3975</v>
      </c>
      <c r="AA3863" s="609" t="s">
        <v>5680</v>
      </c>
    </row>
    <row r="3864" spans="1:27" ht="18">
      <c r="A3864" s="2712"/>
      <c r="B3864" s="371">
        <v>104</v>
      </c>
      <c r="C3864" s="371" t="s">
        <v>2791</v>
      </c>
      <c r="D3864" s="2714">
        <f t="shared" si="433"/>
        <v>0</v>
      </c>
      <c r="E3864" s="2719">
        <v>1</v>
      </c>
      <c r="F3864" s="294"/>
      <c r="G3864" s="2373" t="s">
        <v>2792</v>
      </c>
      <c r="H3864" s="2273"/>
      <c r="I3864" s="2274"/>
      <c r="J3864" s="291"/>
      <c r="K3864" s="291"/>
      <c r="L3864" s="291"/>
      <c r="M3864" s="291"/>
      <c r="N3864" s="291"/>
      <c r="S3864" s="364"/>
      <c r="Z3864" s="609" t="s">
        <v>3975</v>
      </c>
      <c r="AA3864" s="609" t="s">
        <v>5680</v>
      </c>
    </row>
    <row r="3865" spans="1:27" ht="18">
      <c r="A3865" s="2712"/>
      <c r="B3865" s="371">
        <v>105</v>
      </c>
      <c r="C3865" s="371" t="s">
        <v>2791</v>
      </c>
      <c r="D3865" s="2714">
        <f t="shared" si="433"/>
        <v>0</v>
      </c>
      <c r="E3865" s="2719">
        <v>1</v>
      </c>
      <c r="F3865" s="294"/>
      <c r="G3865" s="2373" t="s">
        <v>2792</v>
      </c>
      <c r="H3865" s="2273"/>
      <c r="I3865" s="2274"/>
      <c r="J3865" s="291"/>
      <c r="K3865" s="291"/>
      <c r="L3865" s="291"/>
      <c r="M3865" s="291"/>
      <c r="N3865" s="291"/>
      <c r="S3865" s="364"/>
      <c r="Z3865" s="609" t="s">
        <v>3975</v>
      </c>
      <c r="AA3865" s="609" t="s">
        <v>5680</v>
      </c>
    </row>
    <row r="3866" spans="1:27" ht="18.75" thickBot="1">
      <c r="A3866" s="2712"/>
      <c r="B3866" s="371"/>
      <c r="C3866" s="371"/>
      <c r="D3866" s="2714">
        <f t="shared" si="433"/>
        <v>1</v>
      </c>
      <c r="E3866" s="2719" t="s">
        <v>2751</v>
      </c>
      <c r="F3866" s="294"/>
      <c r="G3866" s="374" t="s">
        <v>2752</v>
      </c>
      <c r="H3866" s="1476">
        <f>SUMPRODUCT($E3860:$E3865,H3860:H3865)</f>
        <v>0</v>
      </c>
      <c r="I3866" s="2258"/>
      <c r="J3866" s="291"/>
      <c r="K3866" s="291"/>
      <c r="L3866" s="291"/>
      <c r="M3866" s="291"/>
      <c r="N3866" s="291"/>
      <c r="S3866" s="364"/>
      <c r="Z3866" s="609" t="s">
        <v>3975</v>
      </c>
      <c r="AA3866" s="609" t="s">
        <v>5680</v>
      </c>
    </row>
    <row r="3867" spans="1:27" ht="18">
      <c r="A3867" s="2712"/>
      <c r="B3867" s="371"/>
      <c r="C3867" s="371" t="s">
        <v>2755</v>
      </c>
      <c r="D3867" s="371"/>
      <c r="F3867" s="294"/>
      <c r="G3867" s="301"/>
      <c r="H3867" s="315"/>
      <c r="I3867" s="393"/>
      <c r="J3867" s="350"/>
      <c r="K3867" s="291"/>
      <c r="L3867" s="291"/>
      <c r="M3867" s="291"/>
      <c r="N3867" s="291"/>
      <c r="S3867" s="364"/>
      <c r="Z3867" s="609" t="s">
        <v>3975</v>
      </c>
      <c r="AA3867" s="609" t="s">
        <v>5680</v>
      </c>
    </row>
    <row r="3868" spans="1:27" ht="24">
      <c r="A3868" s="2712" t="s">
        <v>1579</v>
      </c>
      <c r="B3868" s="371">
        <v>4</v>
      </c>
      <c r="C3868" s="371"/>
      <c r="D3868" s="2714" t="str">
        <f>VLOOKUP($A3868,Sheet_NoteList,2,0)</f>
        <v>单项金额较大的其他应付款</v>
      </c>
      <c r="E3868" s="2714" t="s">
        <v>6529</v>
      </c>
      <c r="F3868" s="294"/>
      <c r="G3868" s="372" t="str">
        <f>"("&amp;B3868&amp;")"&amp;D3868</f>
        <v>(4)单项金额较大的其他应付款</v>
      </c>
      <c r="H3868" s="1515" t="str">
        <f>$A3868</f>
        <v>2241b</v>
      </c>
      <c r="I3868" s="343" t="s">
        <v>5972</v>
      </c>
      <c r="J3868" s="301" t="s">
        <v>5971</v>
      </c>
      <c r="K3868" s="2208">
        <f>H3876</f>
        <v>0</v>
      </c>
      <c r="L3868" s="345" t="str">
        <f>IF($I3868="适用",IF(ROUND(K$3830-K3868,2)&gt;=0,"","#Logical!"),"#N/A")</f>
        <v/>
      </c>
      <c r="M3868" s="301"/>
      <c r="N3868" s="3083"/>
      <c r="O3868" s="315"/>
      <c r="P3868" s="301"/>
      <c r="S3868" s="364"/>
      <c r="Z3868" s="609" t="s">
        <v>3975</v>
      </c>
      <c r="AA3868" s="609" t="s">
        <v>5680</v>
      </c>
    </row>
    <row r="3869" spans="1:27" ht="0.75" customHeight="1" thickBot="1">
      <c r="A3869" s="2712"/>
      <c r="B3869" s="371"/>
      <c r="C3869" s="371"/>
      <c r="D3869" s="371"/>
      <c r="E3869" s="586"/>
      <c r="F3869" s="586"/>
      <c r="G3869" s="586" t="s">
        <v>3979</v>
      </c>
      <c r="H3869" s="371" t="s">
        <v>2849</v>
      </c>
      <c r="I3869" s="371" t="s">
        <v>3110</v>
      </c>
      <c r="J3869" s="371" t="s">
        <v>3864</v>
      </c>
      <c r="K3869" s="291"/>
      <c r="L3869" s="291"/>
      <c r="M3869" s="291"/>
      <c r="N3869" s="291"/>
      <c r="S3869" s="364"/>
      <c r="Z3869" s="609" t="s">
        <v>3975</v>
      </c>
      <c r="AA3869" s="609" t="s">
        <v>5680</v>
      </c>
    </row>
    <row r="3870" spans="1:27" ht="18">
      <c r="A3870" s="2712"/>
      <c r="B3870" s="371"/>
      <c r="C3870" s="371"/>
      <c r="D3870" s="371"/>
      <c r="E3870" s="586" t="s">
        <v>2749</v>
      </c>
      <c r="F3870" s="363"/>
      <c r="G3870" s="2361" t="s">
        <v>3865</v>
      </c>
      <c r="H3870" s="2362" t="s">
        <v>3866</v>
      </c>
      <c r="I3870" s="2362" t="s">
        <v>2961</v>
      </c>
      <c r="J3870" s="2363" t="s">
        <v>3867</v>
      </c>
      <c r="K3870" s="355" t="s">
        <v>6139</v>
      </c>
      <c r="L3870" s="291"/>
      <c r="M3870" s="291"/>
      <c r="N3870" s="291"/>
      <c r="S3870" s="364"/>
      <c r="Z3870" s="609" t="s">
        <v>3975</v>
      </c>
      <c r="AA3870" s="609" t="s">
        <v>5680</v>
      </c>
    </row>
    <row r="3871" spans="1:27" ht="18">
      <c r="A3871" s="2712"/>
      <c r="B3871" s="371">
        <v>101</v>
      </c>
      <c r="C3871" s="371" t="s">
        <v>2791</v>
      </c>
      <c r="D3871" s="2714">
        <f t="shared" ref="D3871:D3876" si="434">IF(OR(G3871="*",G3871="",G3871=0),0,COUNTIF($G$3871:$G$3876,G3871))</f>
        <v>0</v>
      </c>
      <c r="E3871" s="2719">
        <v>1</v>
      </c>
      <c r="F3871" s="294"/>
      <c r="G3871" s="2373" t="s">
        <v>2792</v>
      </c>
      <c r="H3871" s="2273"/>
      <c r="I3871" s="2296"/>
      <c r="J3871" s="2274"/>
      <c r="K3871" s="579"/>
      <c r="L3871" s="291"/>
      <c r="M3871" s="291"/>
      <c r="N3871" s="291"/>
      <c r="S3871" s="364"/>
      <c r="Z3871" s="609" t="s">
        <v>3975</v>
      </c>
      <c r="AA3871" s="609" t="s">
        <v>5680</v>
      </c>
    </row>
    <row r="3872" spans="1:27" ht="18">
      <c r="A3872" s="2712"/>
      <c r="B3872" s="371">
        <v>102</v>
      </c>
      <c r="C3872" s="371" t="s">
        <v>2791</v>
      </c>
      <c r="D3872" s="2714">
        <f t="shared" si="434"/>
        <v>0</v>
      </c>
      <c r="E3872" s="2719">
        <v>1</v>
      </c>
      <c r="F3872" s="294"/>
      <c r="G3872" s="2373" t="s">
        <v>2792</v>
      </c>
      <c r="H3872" s="2273"/>
      <c r="I3872" s="2296"/>
      <c r="J3872" s="2274"/>
      <c r="K3872" s="291"/>
      <c r="L3872" s="291"/>
      <c r="M3872" s="291"/>
      <c r="N3872" s="291"/>
      <c r="S3872" s="364"/>
      <c r="Z3872" s="609" t="s">
        <v>3975</v>
      </c>
      <c r="AA3872" s="609" t="s">
        <v>5680</v>
      </c>
    </row>
    <row r="3873" spans="1:27" ht="18">
      <c r="A3873" s="2712"/>
      <c r="B3873" s="371">
        <v>103</v>
      </c>
      <c r="C3873" s="371" t="s">
        <v>2791</v>
      </c>
      <c r="D3873" s="2714">
        <f t="shared" si="434"/>
        <v>0</v>
      </c>
      <c r="E3873" s="2719">
        <v>1</v>
      </c>
      <c r="F3873" s="294"/>
      <c r="G3873" s="2373" t="s">
        <v>2792</v>
      </c>
      <c r="H3873" s="2273"/>
      <c r="I3873" s="2296"/>
      <c r="J3873" s="2274"/>
      <c r="K3873" s="291"/>
      <c r="L3873" s="291"/>
      <c r="M3873" s="291"/>
      <c r="N3873" s="291"/>
      <c r="S3873" s="364"/>
      <c r="Z3873" s="609" t="s">
        <v>3975</v>
      </c>
      <c r="AA3873" s="609" t="s">
        <v>5680</v>
      </c>
    </row>
    <row r="3874" spans="1:27" ht="18">
      <c r="A3874" s="2712"/>
      <c r="B3874" s="371">
        <v>104</v>
      </c>
      <c r="C3874" s="371" t="s">
        <v>2791</v>
      </c>
      <c r="D3874" s="2714">
        <f t="shared" si="434"/>
        <v>0</v>
      </c>
      <c r="E3874" s="2719">
        <v>1</v>
      </c>
      <c r="F3874" s="294"/>
      <c r="G3874" s="2373" t="s">
        <v>2792</v>
      </c>
      <c r="H3874" s="2273"/>
      <c r="I3874" s="2296"/>
      <c r="J3874" s="2274"/>
      <c r="K3874" s="291"/>
      <c r="L3874" s="291"/>
      <c r="M3874" s="291"/>
      <c r="N3874" s="291"/>
      <c r="S3874" s="364"/>
      <c r="Z3874" s="609" t="s">
        <v>3975</v>
      </c>
      <c r="AA3874" s="609" t="s">
        <v>5680</v>
      </c>
    </row>
    <row r="3875" spans="1:27" ht="18">
      <c r="A3875" s="2712"/>
      <c r="B3875" s="371">
        <v>105</v>
      </c>
      <c r="C3875" s="371" t="s">
        <v>2791</v>
      </c>
      <c r="D3875" s="2714">
        <f t="shared" si="434"/>
        <v>0</v>
      </c>
      <c r="E3875" s="2719">
        <v>1</v>
      </c>
      <c r="F3875" s="294"/>
      <c r="G3875" s="2373" t="s">
        <v>2792</v>
      </c>
      <c r="H3875" s="2273"/>
      <c r="I3875" s="2296"/>
      <c r="J3875" s="2274"/>
      <c r="K3875" s="291"/>
      <c r="L3875" s="291"/>
      <c r="M3875" s="291"/>
      <c r="N3875" s="291"/>
      <c r="S3875" s="364"/>
      <c r="Z3875" s="609" t="s">
        <v>3975</v>
      </c>
      <c r="AA3875" s="609" t="s">
        <v>5680</v>
      </c>
    </row>
    <row r="3876" spans="1:27" ht="18.75" thickBot="1">
      <c r="A3876" s="2712"/>
      <c r="B3876" s="371"/>
      <c r="C3876" s="371"/>
      <c r="D3876" s="2714">
        <f t="shared" si="434"/>
        <v>1</v>
      </c>
      <c r="E3876" s="2719" t="s">
        <v>2751</v>
      </c>
      <c r="F3876" s="294"/>
      <c r="G3876" s="1527" t="s">
        <v>2752</v>
      </c>
      <c r="H3876" s="1525">
        <f>SUMPRODUCT($E3870:$E3875,H3870:H3875)</f>
        <v>0</v>
      </c>
      <c r="I3876" s="2314"/>
      <c r="J3876" s="2264"/>
      <c r="K3876" s="291"/>
      <c r="L3876" s="291"/>
      <c r="M3876" s="291"/>
      <c r="N3876" s="291"/>
      <c r="S3876" s="364"/>
      <c r="Z3876" s="609" t="s">
        <v>3975</v>
      </c>
      <c r="AA3876" s="609" t="s">
        <v>5680</v>
      </c>
    </row>
    <row r="3877" spans="1:27" ht="18">
      <c r="A3877" s="2712"/>
      <c r="B3877" s="371"/>
      <c r="C3877" s="371" t="s">
        <v>2755</v>
      </c>
      <c r="D3877" s="371"/>
      <c r="F3877" s="294"/>
      <c r="G3877" s="301"/>
      <c r="H3877" s="315"/>
      <c r="I3877" s="393"/>
      <c r="J3877" s="393"/>
      <c r="K3877" s="291"/>
      <c r="L3877" s="291"/>
      <c r="M3877" s="291"/>
      <c r="N3877" s="291"/>
      <c r="S3877" s="364"/>
      <c r="Z3877" s="609" t="s">
        <v>3975</v>
      </c>
      <c r="AA3877" s="609" t="s">
        <v>5680</v>
      </c>
    </row>
    <row r="3878" spans="1:27" ht="18">
      <c r="A3878" s="2712" t="s">
        <v>1584</v>
      </c>
      <c r="B3878" s="371">
        <v>5</v>
      </c>
      <c r="C3878" s="371"/>
      <c r="D3878" s="2714" t="str">
        <f>VLOOKUP($A3878,Sheet_NoteList,2,0)</f>
        <v>外币其他应付款</v>
      </c>
      <c r="E3878" s="2714" t="s">
        <v>6529</v>
      </c>
      <c r="F3878" s="294"/>
      <c r="G3878" s="307" t="str">
        <f>"("&amp;B3878&amp;")"&amp;D3878</f>
        <v>(5)外币其他应付款</v>
      </c>
      <c r="H3878" s="1515" t="str">
        <f>$A3878</f>
        <v>2241g</v>
      </c>
      <c r="I3878" s="343" t="s">
        <v>5576</v>
      </c>
      <c r="J3878" s="301" t="s">
        <v>5577</v>
      </c>
      <c r="K3878" s="2208">
        <f>J3886</f>
        <v>0</v>
      </c>
      <c r="L3878" s="345"/>
      <c r="M3878" s="301"/>
      <c r="N3878" s="391"/>
      <c r="O3878" s="345"/>
      <c r="P3878" s="301"/>
      <c r="Q3878" s="290" t="str">
        <f>IF($I3878="不适用","",IF(ROUND(SUM($H$3881:$J$3886),2)=0,"请输入",""))</f>
        <v>请输入</v>
      </c>
      <c r="S3878" s="364"/>
      <c r="Z3878" s="609" t="s">
        <v>3975</v>
      </c>
      <c r="AA3878" s="609" t="s">
        <v>5680</v>
      </c>
    </row>
    <row r="3879" spans="1:27" ht="0.75" customHeight="1" thickBot="1">
      <c r="A3879" s="2712"/>
      <c r="B3879" s="371"/>
      <c r="C3879" s="371"/>
      <c r="D3879" s="371"/>
      <c r="F3879" s="304"/>
      <c r="G3879" s="304" t="s">
        <v>3980</v>
      </c>
      <c r="H3879" s="304" t="s">
        <v>3073</v>
      </c>
      <c r="I3879" s="304" t="s">
        <v>3074</v>
      </c>
      <c r="J3879" s="304" t="s">
        <v>3075</v>
      </c>
      <c r="K3879" s="387"/>
      <c r="S3879" s="364"/>
      <c r="Z3879" s="609" t="s">
        <v>3975</v>
      </c>
      <c r="AA3879" s="609" t="s">
        <v>5680</v>
      </c>
    </row>
    <row r="3880" spans="1:27" ht="24">
      <c r="A3880" s="2712"/>
      <c r="B3880" s="371"/>
      <c r="C3880" s="371"/>
      <c r="D3880" s="371"/>
      <c r="E3880" s="2714" t="s">
        <v>2749</v>
      </c>
      <c r="F3880" s="294"/>
      <c r="G3880" s="1628" t="s">
        <v>1371</v>
      </c>
      <c r="H3880" s="1620" t="s">
        <v>3076</v>
      </c>
      <c r="I3880" s="1620" t="s">
        <v>3077</v>
      </c>
      <c r="J3880" s="1621" t="s">
        <v>3078</v>
      </c>
      <c r="K3880" s="355" t="s">
        <v>5602</v>
      </c>
      <c r="L3880" s="291"/>
      <c r="S3880" s="364"/>
      <c r="Z3880" s="609" t="s">
        <v>3975</v>
      </c>
      <c r="AA3880" s="609" t="s">
        <v>5680</v>
      </c>
    </row>
    <row r="3881" spans="1:27" ht="18">
      <c r="A3881" s="2712"/>
      <c r="B3881" s="371">
        <v>101</v>
      </c>
      <c r="C3881" s="371" t="s">
        <v>2791</v>
      </c>
      <c r="D3881" s="2714">
        <f t="shared" ref="D3881:D3886" si="435">IF(OR(G3881="*",G3881="",G3881=0),0,COUNTIF($G$3881:$G$3886,G3881))</f>
        <v>1</v>
      </c>
      <c r="E3881" s="2719">
        <v>1</v>
      </c>
      <c r="F3881" s="294"/>
      <c r="G3881" s="1623" t="s">
        <v>3079</v>
      </c>
      <c r="H3881" s="309"/>
      <c r="I3881" s="360"/>
      <c r="J3881" s="346"/>
      <c r="K3881" s="355" t="s">
        <v>5362</v>
      </c>
      <c r="L3881" s="1520" t="s">
        <v>5363</v>
      </c>
      <c r="S3881" s="364"/>
      <c r="Z3881" s="609" t="s">
        <v>3975</v>
      </c>
      <c r="AA3881" s="609" t="s">
        <v>5680</v>
      </c>
    </row>
    <row r="3882" spans="1:27" ht="18">
      <c r="A3882" s="2712"/>
      <c r="B3882" s="371">
        <v>102</v>
      </c>
      <c r="C3882" s="371" t="s">
        <v>2791</v>
      </c>
      <c r="D3882" s="2714">
        <f t="shared" si="435"/>
        <v>1</v>
      </c>
      <c r="E3882" s="2719">
        <v>1</v>
      </c>
      <c r="F3882" s="294"/>
      <c r="G3882" s="1623" t="s">
        <v>3080</v>
      </c>
      <c r="H3882" s="309"/>
      <c r="I3882" s="360"/>
      <c r="J3882" s="346"/>
      <c r="S3882" s="364"/>
      <c r="Z3882" s="609" t="s">
        <v>3975</v>
      </c>
      <c r="AA3882" s="609" t="s">
        <v>5680</v>
      </c>
    </row>
    <row r="3883" spans="1:27" ht="18">
      <c r="A3883" s="2712"/>
      <c r="B3883" s="371">
        <v>103</v>
      </c>
      <c r="C3883" s="371" t="s">
        <v>2791</v>
      </c>
      <c r="D3883" s="2714">
        <f t="shared" si="435"/>
        <v>1</v>
      </c>
      <c r="E3883" s="2719">
        <v>1</v>
      </c>
      <c r="F3883" s="294"/>
      <c r="G3883" s="1623" t="s">
        <v>3081</v>
      </c>
      <c r="H3883" s="309"/>
      <c r="I3883" s="360"/>
      <c r="J3883" s="346"/>
      <c r="S3883" s="364"/>
      <c r="Z3883" s="609" t="s">
        <v>3975</v>
      </c>
      <c r="AA3883" s="609" t="s">
        <v>5680</v>
      </c>
    </row>
    <row r="3884" spans="1:27" ht="18">
      <c r="A3884" s="2712"/>
      <c r="B3884" s="371">
        <v>104</v>
      </c>
      <c r="C3884" s="371" t="s">
        <v>2791</v>
      </c>
      <c r="D3884" s="2714">
        <f t="shared" si="435"/>
        <v>0</v>
      </c>
      <c r="E3884" s="2719">
        <v>1</v>
      </c>
      <c r="F3884" s="294"/>
      <c r="G3884" s="1623" t="s">
        <v>2792</v>
      </c>
      <c r="H3884" s="309"/>
      <c r="I3884" s="360"/>
      <c r="J3884" s="346"/>
      <c r="S3884" s="364"/>
      <c r="Z3884" s="609" t="s">
        <v>3975</v>
      </c>
      <c r="AA3884" s="609" t="s">
        <v>5680</v>
      </c>
    </row>
    <row r="3885" spans="1:27" ht="18">
      <c r="A3885" s="2712"/>
      <c r="B3885" s="371">
        <v>105</v>
      </c>
      <c r="C3885" s="371" t="s">
        <v>2791</v>
      </c>
      <c r="D3885" s="2714">
        <f t="shared" si="435"/>
        <v>0</v>
      </c>
      <c r="E3885" s="2719">
        <v>1</v>
      </c>
      <c r="F3885" s="294"/>
      <c r="G3885" s="1623" t="s">
        <v>2792</v>
      </c>
      <c r="H3885" s="309"/>
      <c r="I3885" s="360"/>
      <c r="J3885" s="346"/>
      <c r="S3885" s="364"/>
      <c r="Z3885" s="609" t="s">
        <v>3975</v>
      </c>
      <c r="AA3885" s="609" t="s">
        <v>5680</v>
      </c>
    </row>
    <row r="3886" spans="1:27" ht="18.75" thickBot="1">
      <c r="A3886" s="2712"/>
      <c r="B3886" s="371"/>
      <c r="C3886" s="371"/>
      <c r="D3886" s="2714">
        <f t="shared" si="435"/>
        <v>1</v>
      </c>
      <c r="E3886" s="2719" t="s">
        <v>3032</v>
      </c>
      <c r="F3886" s="294"/>
      <c r="G3886" s="1527" t="s">
        <v>2752</v>
      </c>
      <c r="H3886" s="1523"/>
      <c r="I3886" s="1524"/>
      <c r="J3886" s="1526">
        <f>SUMPRODUCT($E3880:$E3885,J3880:J3885)</f>
        <v>0</v>
      </c>
      <c r="S3886" s="364"/>
      <c r="Z3886" s="609" t="s">
        <v>3975</v>
      </c>
      <c r="AA3886" s="609" t="s">
        <v>5680</v>
      </c>
    </row>
    <row r="3887" spans="1:27" ht="18">
      <c r="A3887" s="2712"/>
      <c r="B3887" s="371"/>
      <c r="C3887" s="371" t="s">
        <v>2755</v>
      </c>
      <c r="D3887" s="371"/>
      <c r="F3887" s="294"/>
      <c r="G3887" s="301"/>
      <c r="H3887" s="315"/>
      <c r="I3887" s="393"/>
      <c r="J3887" s="315"/>
      <c r="S3887" s="364"/>
      <c r="Z3887" s="609" t="s">
        <v>3975</v>
      </c>
      <c r="AA3887" s="609" t="s">
        <v>5680</v>
      </c>
    </row>
    <row r="3888" spans="1:27" ht="24">
      <c r="A3888" s="2712" t="s">
        <v>1574</v>
      </c>
      <c r="B3888" s="371">
        <v>6</v>
      </c>
      <c r="C3888" s="371"/>
      <c r="D3888" s="2714" t="str">
        <f>VLOOKUP($A3888,Sheet_NoteList,2,0)</f>
        <v>关联方应收应付款项——其他应付款</v>
      </c>
      <c r="E3888" s="2714" t="s">
        <v>6529</v>
      </c>
      <c r="F3888" s="294"/>
      <c r="G3888" s="372" t="str">
        <f>"("&amp;B3888&amp;")"&amp;D3888</f>
        <v>(6)关联方应收应付款项——其他应付款</v>
      </c>
      <c r="H3888" s="1515" t="str">
        <f>$A3888</f>
        <v>2241a</v>
      </c>
      <c r="I3888" s="343" t="s">
        <v>5612</v>
      </c>
      <c r="J3888" s="301"/>
      <c r="K3888" s="3083"/>
      <c r="L3888" s="315"/>
      <c r="M3888" s="301"/>
      <c r="N3888" s="3083"/>
      <c r="O3888" s="315"/>
      <c r="P3888" s="301"/>
      <c r="Q3888" s="290" t="str">
        <f>IF($I3888="不适用","",IF(ROUND(SUM($H$3891:$I$3896),2)=0,"请输入",""))</f>
        <v>请输入</v>
      </c>
      <c r="S3888" s="364"/>
      <c r="Z3888" s="609" t="s">
        <v>3975</v>
      </c>
      <c r="AA3888" s="609" t="s">
        <v>5680</v>
      </c>
    </row>
    <row r="3889" spans="1:27" ht="0.75" customHeight="1" thickBot="1">
      <c r="A3889" s="2712"/>
      <c r="B3889" s="371"/>
      <c r="C3889" s="371"/>
      <c r="D3889" s="371"/>
      <c r="F3889" s="304"/>
      <c r="G3889" s="304" t="s">
        <v>3981</v>
      </c>
      <c r="H3889" s="304" t="s">
        <v>2747</v>
      </c>
      <c r="I3889" s="304" t="s">
        <v>2748</v>
      </c>
      <c r="J3889" s="291"/>
      <c r="K3889" s="291"/>
      <c r="L3889" s="291"/>
      <c r="M3889" s="291"/>
      <c r="S3889" s="364"/>
      <c r="Z3889" s="609" t="s">
        <v>3975</v>
      </c>
      <c r="AA3889" s="609" t="s">
        <v>5680</v>
      </c>
    </row>
    <row r="3890" spans="1:27" ht="18">
      <c r="A3890" s="2712"/>
      <c r="B3890" s="371"/>
      <c r="C3890" s="371"/>
      <c r="D3890" s="371"/>
      <c r="E3890" s="2714" t="s">
        <v>2749</v>
      </c>
      <c r="F3890" s="294"/>
      <c r="G3890" s="1631" t="s">
        <v>1423</v>
      </c>
      <c r="H3890" s="1629" t="s">
        <v>2775</v>
      </c>
      <c r="I3890" s="1630" t="s">
        <v>2776</v>
      </c>
      <c r="J3890" s="343" t="s">
        <v>3089</v>
      </c>
      <c r="K3890" s="291"/>
      <c r="L3890" s="291"/>
      <c r="M3890" s="291"/>
      <c r="S3890" s="364"/>
      <c r="Z3890" s="609" t="s">
        <v>3975</v>
      </c>
      <c r="AA3890" s="609" t="s">
        <v>5680</v>
      </c>
    </row>
    <row r="3891" spans="1:27" ht="18">
      <c r="A3891" s="2712"/>
      <c r="B3891" s="371">
        <v>101</v>
      </c>
      <c r="C3891" s="371" t="s">
        <v>2791</v>
      </c>
      <c r="D3891" s="2714">
        <f t="shared" ref="D3891:D3896" si="436">IF(OR(G3891="*",G3891="",G3891=0),0,COUNTIF($G$3891:$G$3896,G3891))</f>
        <v>0</v>
      </c>
      <c r="E3891" s="2719">
        <v>1</v>
      </c>
      <c r="F3891" s="294"/>
      <c r="G3891" s="1632" t="s">
        <v>2792</v>
      </c>
      <c r="H3891" s="309"/>
      <c r="I3891" s="346"/>
      <c r="J3891" s="355" t="s">
        <v>5362</v>
      </c>
      <c r="K3891" s="1520" t="s">
        <v>5611</v>
      </c>
      <c r="L3891" s="291"/>
      <c r="M3891" s="291"/>
      <c r="S3891" s="364"/>
      <c r="Z3891" s="609" t="s">
        <v>3975</v>
      </c>
      <c r="AA3891" s="609" t="s">
        <v>5680</v>
      </c>
    </row>
    <row r="3892" spans="1:27" ht="18">
      <c r="A3892" s="2712"/>
      <c r="B3892" s="371">
        <v>102</v>
      </c>
      <c r="C3892" s="371" t="s">
        <v>2791</v>
      </c>
      <c r="D3892" s="2714">
        <f t="shared" si="436"/>
        <v>0</v>
      </c>
      <c r="E3892" s="2719">
        <v>1</v>
      </c>
      <c r="F3892" s="294"/>
      <c r="G3892" s="1632" t="s">
        <v>2792</v>
      </c>
      <c r="H3892" s="309"/>
      <c r="I3892" s="346"/>
      <c r="J3892" s="291"/>
      <c r="K3892" s="291"/>
      <c r="L3892" s="291"/>
      <c r="M3892" s="291"/>
      <c r="S3892" s="364"/>
      <c r="Z3892" s="609" t="s">
        <v>3975</v>
      </c>
      <c r="AA3892" s="609" t="s">
        <v>5680</v>
      </c>
    </row>
    <row r="3893" spans="1:27" ht="18">
      <c r="A3893" s="2712"/>
      <c r="B3893" s="371">
        <v>103</v>
      </c>
      <c r="C3893" s="371" t="s">
        <v>2791</v>
      </c>
      <c r="D3893" s="2714">
        <f t="shared" si="436"/>
        <v>0</v>
      </c>
      <c r="E3893" s="2719">
        <v>1</v>
      </c>
      <c r="F3893" s="294"/>
      <c r="G3893" s="1632" t="s">
        <v>2792</v>
      </c>
      <c r="H3893" s="309"/>
      <c r="I3893" s="346"/>
      <c r="J3893" s="291"/>
      <c r="K3893" s="291"/>
      <c r="L3893" s="291"/>
      <c r="M3893" s="291"/>
      <c r="S3893" s="364"/>
      <c r="Z3893" s="609" t="s">
        <v>3975</v>
      </c>
      <c r="AA3893" s="609" t="s">
        <v>5680</v>
      </c>
    </row>
    <row r="3894" spans="1:27" ht="18">
      <c r="A3894" s="2712"/>
      <c r="B3894" s="371">
        <v>104</v>
      </c>
      <c r="C3894" s="371" t="s">
        <v>2791</v>
      </c>
      <c r="D3894" s="2714">
        <f t="shared" si="436"/>
        <v>0</v>
      </c>
      <c r="E3894" s="2719">
        <v>1</v>
      </c>
      <c r="F3894" s="294"/>
      <c r="G3894" s="1632" t="s">
        <v>2792</v>
      </c>
      <c r="H3894" s="309"/>
      <c r="I3894" s="346"/>
      <c r="J3894" s="291"/>
      <c r="K3894" s="291"/>
      <c r="L3894" s="291"/>
      <c r="M3894" s="291"/>
      <c r="S3894" s="364"/>
      <c r="Z3894" s="609" t="s">
        <v>3975</v>
      </c>
      <c r="AA3894" s="609" t="s">
        <v>5680</v>
      </c>
    </row>
    <row r="3895" spans="1:27" ht="18">
      <c r="A3895" s="2712"/>
      <c r="B3895" s="371">
        <v>105</v>
      </c>
      <c r="C3895" s="371" t="s">
        <v>2791</v>
      </c>
      <c r="D3895" s="2714">
        <f t="shared" si="436"/>
        <v>0</v>
      </c>
      <c r="E3895" s="2719">
        <v>1</v>
      </c>
      <c r="F3895" s="294"/>
      <c r="G3895" s="1632" t="s">
        <v>2792</v>
      </c>
      <c r="H3895" s="309"/>
      <c r="I3895" s="346"/>
      <c r="J3895" s="291"/>
      <c r="K3895" s="291"/>
      <c r="L3895" s="291"/>
      <c r="M3895" s="291"/>
      <c r="S3895" s="364"/>
      <c r="Z3895" s="609" t="s">
        <v>3975</v>
      </c>
      <c r="AA3895" s="609" t="s">
        <v>5680</v>
      </c>
    </row>
    <row r="3896" spans="1:27" ht="18.75" thickBot="1">
      <c r="A3896" s="2712"/>
      <c r="B3896" s="371"/>
      <c r="C3896" s="371"/>
      <c r="D3896" s="2714">
        <f t="shared" si="436"/>
        <v>1</v>
      </c>
      <c r="E3896" s="2719" t="s">
        <v>2751</v>
      </c>
      <c r="F3896" s="294"/>
      <c r="G3896" s="1527" t="s">
        <v>2752</v>
      </c>
      <c r="H3896" s="1525">
        <f>SUMPRODUCT($E3890:$E3895,H3890:H3895)</f>
        <v>0</v>
      </c>
      <c r="I3896" s="1526">
        <f>SUMPRODUCT($E3890:$E3895,I3890:I3895)</f>
        <v>0</v>
      </c>
      <c r="J3896" s="291"/>
      <c r="K3896" s="291"/>
      <c r="L3896" s="291"/>
      <c r="M3896" s="291"/>
      <c r="S3896" s="364"/>
      <c r="Z3896" s="609" t="s">
        <v>3975</v>
      </c>
      <c r="AA3896" s="609" t="s">
        <v>5680</v>
      </c>
    </row>
    <row r="3897" spans="1:27" ht="18">
      <c r="A3897" s="2712"/>
      <c r="B3897" s="371"/>
      <c r="C3897" s="371" t="s">
        <v>2755</v>
      </c>
      <c r="D3897" s="371"/>
      <c r="F3897" s="294"/>
      <c r="G3897" s="301"/>
      <c r="H3897" s="315"/>
      <c r="I3897" s="315"/>
      <c r="J3897" s="291"/>
      <c r="K3897" s="291"/>
      <c r="L3897" s="291"/>
      <c r="M3897" s="291"/>
      <c r="S3897" s="364"/>
      <c r="Z3897" s="609" t="s">
        <v>3975</v>
      </c>
      <c r="AA3897" s="609" t="s">
        <v>5680</v>
      </c>
    </row>
    <row r="3898" spans="1:27" ht="18">
      <c r="A3898" s="2712" t="s">
        <v>1589</v>
      </c>
      <c r="B3898" s="371">
        <v>7</v>
      </c>
      <c r="C3898" s="371"/>
      <c r="D3898" s="2714" t="str">
        <f>VLOOKUP($A3898,Sheet_NoteList,2,0)</f>
        <v>其他应付款补充资料</v>
      </c>
      <c r="E3898" s="2714" t="s">
        <v>6529</v>
      </c>
      <c r="F3898" s="294"/>
      <c r="G3898" s="597" t="str">
        <f>"("&amp;B3898&amp;")"&amp;D3898</f>
        <v>(7)其他应付款补充资料</v>
      </c>
      <c r="H3898" s="1515" t="str">
        <f>$A3898</f>
        <v>2241x</v>
      </c>
      <c r="I3898" s="343" t="s">
        <v>5963</v>
      </c>
      <c r="J3898" s="301" t="s">
        <v>5961</v>
      </c>
      <c r="K3898" s="2208">
        <f>H3915</f>
        <v>0</v>
      </c>
      <c r="L3898" s="345"/>
      <c r="M3898" s="301"/>
      <c r="N3898" s="3083"/>
      <c r="O3898" s="315"/>
      <c r="P3898" s="301"/>
      <c r="S3898" s="364"/>
      <c r="Z3898" s="609" t="s">
        <v>3975</v>
      </c>
      <c r="AA3898" s="609" t="s">
        <v>5680</v>
      </c>
    </row>
    <row r="3899" spans="1:27" ht="0.75" customHeight="1" thickBot="1">
      <c r="A3899" s="2712"/>
      <c r="B3899" s="371"/>
      <c r="C3899" s="371"/>
      <c r="D3899" s="371"/>
      <c r="F3899" s="371"/>
      <c r="G3899" s="371" t="s">
        <v>3982</v>
      </c>
      <c r="H3899" s="371" t="s">
        <v>2747</v>
      </c>
      <c r="I3899" s="371" t="s">
        <v>3859</v>
      </c>
      <c r="K3899" s="291"/>
      <c r="L3899" s="291"/>
      <c r="M3899" s="291"/>
      <c r="N3899" s="291"/>
      <c r="S3899" s="364"/>
      <c r="Z3899" s="609" t="s">
        <v>3975</v>
      </c>
      <c r="AA3899" s="609" t="s">
        <v>5680</v>
      </c>
    </row>
    <row r="3900" spans="1:27" ht="18">
      <c r="A3900" s="2712"/>
      <c r="B3900" s="371"/>
      <c r="C3900" s="371"/>
      <c r="D3900" s="371"/>
      <c r="E3900" s="2714" t="s">
        <v>2749</v>
      </c>
      <c r="F3900" s="294"/>
      <c r="G3900" s="2384" t="s">
        <v>1465</v>
      </c>
      <c r="H3900" s="2396" t="s">
        <v>2775</v>
      </c>
      <c r="I3900" s="2386" t="s">
        <v>2508</v>
      </c>
      <c r="J3900" s="355" t="s">
        <v>6139</v>
      </c>
      <c r="K3900" s="291"/>
      <c r="L3900" s="291"/>
      <c r="M3900" s="291"/>
      <c r="N3900" s="291"/>
      <c r="S3900" s="364"/>
      <c r="Z3900" s="609" t="s">
        <v>3975</v>
      </c>
      <c r="AA3900" s="609" t="s">
        <v>5680</v>
      </c>
    </row>
    <row r="3901" spans="1:27" ht="24">
      <c r="A3901" s="2712"/>
      <c r="B3901" s="371">
        <v>101</v>
      </c>
      <c r="C3901" s="371"/>
      <c r="D3901" s="2714">
        <f t="shared" ref="D3901:D3915" si="437">IF(OR(G3901="*",G3901="",G3901=0),0,COUNTIF($G$3901:$G$3915,G3901))</f>
        <v>1</v>
      </c>
      <c r="E3901" s="2719" t="s">
        <v>41</v>
      </c>
      <c r="F3901" s="294"/>
      <c r="G3901" s="308" t="s">
        <v>3983</v>
      </c>
      <c r="H3901" s="309"/>
      <c r="I3901" s="388"/>
      <c r="J3901" s="579"/>
      <c r="K3901" s="291"/>
      <c r="L3901" s="291"/>
      <c r="M3901" s="291"/>
      <c r="N3901" s="291"/>
      <c r="S3901" s="364"/>
      <c r="Z3901" s="609" t="s">
        <v>3975</v>
      </c>
      <c r="AA3901" s="609" t="s">
        <v>5680</v>
      </c>
    </row>
    <row r="3902" spans="1:27" ht="18">
      <c r="A3902" s="2712"/>
      <c r="B3902" s="371">
        <v>101.001</v>
      </c>
      <c r="C3902" s="371" t="s">
        <v>2791</v>
      </c>
      <c r="D3902" s="2714">
        <f t="shared" si="437"/>
        <v>0</v>
      </c>
      <c r="E3902" s="2719" t="s">
        <v>3984</v>
      </c>
      <c r="F3902" s="294"/>
      <c r="G3902" s="319" t="s">
        <v>2792</v>
      </c>
      <c r="H3902" s="309"/>
      <c r="I3902" s="388"/>
      <c r="K3902" s="291"/>
      <c r="L3902" s="291"/>
      <c r="M3902" s="291"/>
      <c r="N3902" s="291"/>
      <c r="S3902" s="364"/>
      <c r="Z3902" s="609" t="s">
        <v>3975</v>
      </c>
      <c r="AA3902" s="609" t="s">
        <v>5680</v>
      </c>
    </row>
    <row r="3903" spans="1:27" ht="18">
      <c r="A3903" s="2712"/>
      <c r="B3903" s="371">
        <v>101.002</v>
      </c>
      <c r="C3903" s="371" t="s">
        <v>2791</v>
      </c>
      <c r="D3903" s="2714">
        <f t="shared" si="437"/>
        <v>0</v>
      </c>
      <c r="E3903" s="2719" t="s">
        <v>3984</v>
      </c>
      <c r="F3903" s="294"/>
      <c r="G3903" s="319" t="s">
        <v>2792</v>
      </c>
      <c r="H3903" s="309"/>
      <c r="I3903" s="388"/>
      <c r="K3903" s="291"/>
      <c r="L3903" s="291"/>
      <c r="M3903" s="291"/>
      <c r="N3903" s="291"/>
      <c r="S3903" s="364"/>
      <c r="Z3903" s="609" t="s">
        <v>3975</v>
      </c>
      <c r="AA3903" s="609" t="s">
        <v>5680</v>
      </c>
    </row>
    <row r="3904" spans="1:27" ht="18">
      <c r="A3904" s="2712"/>
      <c r="B3904" s="371">
        <v>101.003</v>
      </c>
      <c r="C3904" s="371" t="s">
        <v>2791</v>
      </c>
      <c r="D3904" s="2714">
        <f t="shared" si="437"/>
        <v>0</v>
      </c>
      <c r="E3904" s="2719" t="s">
        <v>3984</v>
      </c>
      <c r="F3904" s="294"/>
      <c r="G3904" s="319" t="s">
        <v>2792</v>
      </c>
      <c r="H3904" s="309"/>
      <c r="I3904" s="388"/>
      <c r="K3904" s="291"/>
      <c r="L3904" s="291"/>
      <c r="M3904" s="291"/>
      <c r="N3904" s="291"/>
      <c r="S3904" s="364"/>
      <c r="Z3904" s="609" t="s">
        <v>3975</v>
      </c>
      <c r="AA3904" s="609" t="s">
        <v>5680</v>
      </c>
    </row>
    <row r="3905" spans="1:27" ht="18">
      <c r="A3905" s="2712"/>
      <c r="B3905" s="371">
        <v>101.004</v>
      </c>
      <c r="C3905" s="371" t="s">
        <v>2791</v>
      </c>
      <c r="D3905" s="2714">
        <f t="shared" si="437"/>
        <v>0</v>
      </c>
      <c r="E3905" s="2719" t="s">
        <v>3984</v>
      </c>
      <c r="F3905" s="294"/>
      <c r="G3905" s="319" t="s">
        <v>2792</v>
      </c>
      <c r="H3905" s="309"/>
      <c r="I3905" s="388"/>
      <c r="K3905" s="291"/>
      <c r="L3905" s="291"/>
      <c r="M3905" s="291"/>
      <c r="N3905" s="291"/>
      <c r="S3905" s="364"/>
      <c r="Z3905" s="609" t="s">
        <v>3975</v>
      </c>
      <c r="AA3905" s="609" t="s">
        <v>5680</v>
      </c>
    </row>
    <row r="3906" spans="1:27" ht="18">
      <c r="A3906" s="2712"/>
      <c r="B3906" s="371">
        <v>101.005</v>
      </c>
      <c r="C3906" s="371" t="s">
        <v>2791</v>
      </c>
      <c r="D3906" s="2714">
        <f t="shared" si="437"/>
        <v>0</v>
      </c>
      <c r="E3906" s="2719" t="s">
        <v>3984</v>
      </c>
      <c r="F3906" s="294"/>
      <c r="G3906" s="319" t="s">
        <v>2792</v>
      </c>
      <c r="H3906" s="309"/>
      <c r="I3906" s="388"/>
      <c r="K3906" s="291"/>
      <c r="L3906" s="291"/>
      <c r="M3906" s="291"/>
      <c r="N3906" s="291"/>
      <c r="S3906" s="364"/>
      <c r="Z3906" s="609" t="s">
        <v>3975</v>
      </c>
      <c r="AA3906" s="609" t="s">
        <v>5680</v>
      </c>
    </row>
    <row r="3907" spans="1:27" ht="24">
      <c r="A3907" s="2712"/>
      <c r="B3907" s="371">
        <v>101.999</v>
      </c>
      <c r="C3907" s="371" t="s">
        <v>2793</v>
      </c>
      <c r="D3907" s="2714">
        <f t="shared" si="437"/>
        <v>1</v>
      </c>
      <c r="E3907" s="2719">
        <v>1</v>
      </c>
      <c r="F3907" s="294"/>
      <c r="G3907" s="603" t="s">
        <v>3984</v>
      </c>
      <c r="H3907" s="377">
        <f>SUMIF($E$3900:$E$3914,$G3907,H$3900:H$3914)</f>
        <v>0</v>
      </c>
      <c r="I3907" s="388"/>
      <c r="K3907" s="291"/>
      <c r="L3907" s="291"/>
      <c r="M3907" s="291"/>
      <c r="N3907" s="291"/>
      <c r="S3907" s="364"/>
      <c r="Z3907" s="609" t="s">
        <v>3975</v>
      </c>
      <c r="AA3907" s="609" t="s">
        <v>5680</v>
      </c>
    </row>
    <row r="3908" spans="1:27" ht="18">
      <c r="A3908" s="2712"/>
      <c r="B3908" s="371">
        <v>102</v>
      </c>
      <c r="C3908" s="371"/>
      <c r="D3908" s="2714">
        <f t="shared" si="437"/>
        <v>1</v>
      </c>
      <c r="E3908" s="2719" t="s">
        <v>41</v>
      </c>
      <c r="F3908" s="294"/>
      <c r="G3908" s="308" t="s">
        <v>3871</v>
      </c>
      <c r="H3908" s="309"/>
      <c r="I3908" s="388"/>
      <c r="K3908" s="291"/>
      <c r="L3908" s="291"/>
      <c r="M3908" s="291"/>
      <c r="N3908" s="291"/>
      <c r="S3908" s="364"/>
      <c r="Z3908" s="609" t="s">
        <v>3975</v>
      </c>
      <c r="AA3908" s="609" t="s">
        <v>5680</v>
      </c>
    </row>
    <row r="3909" spans="1:27" ht="18">
      <c r="A3909" s="2712"/>
      <c r="B3909" s="371">
        <v>102.001</v>
      </c>
      <c r="C3909" s="371" t="s">
        <v>2791</v>
      </c>
      <c r="D3909" s="2714">
        <f t="shared" si="437"/>
        <v>0</v>
      </c>
      <c r="E3909" s="2719" t="s">
        <v>3872</v>
      </c>
      <c r="F3909" s="294"/>
      <c r="G3909" s="319" t="s">
        <v>2792</v>
      </c>
      <c r="H3909" s="309"/>
      <c r="I3909" s="388"/>
      <c r="K3909" s="291"/>
      <c r="L3909" s="291"/>
      <c r="M3909" s="291"/>
      <c r="N3909" s="291"/>
      <c r="S3909" s="364"/>
      <c r="Z3909" s="609" t="s">
        <v>3975</v>
      </c>
      <c r="AA3909" s="609" t="s">
        <v>5680</v>
      </c>
    </row>
    <row r="3910" spans="1:27" ht="18">
      <c r="A3910" s="2712"/>
      <c r="B3910" s="371">
        <v>102.002</v>
      </c>
      <c r="C3910" s="371" t="s">
        <v>2791</v>
      </c>
      <c r="D3910" s="2714">
        <f t="shared" si="437"/>
        <v>0</v>
      </c>
      <c r="E3910" s="2719" t="s">
        <v>3872</v>
      </c>
      <c r="F3910" s="294"/>
      <c r="G3910" s="319" t="s">
        <v>2792</v>
      </c>
      <c r="H3910" s="309"/>
      <c r="I3910" s="388"/>
      <c r="K3910" s="291"/>
      <c r="L3910" s="291"/>
      <c r="M3910" s="291"/>
      <c r="N3910" s="291"/>
      <c r="S3910" s="364"/>
      <c r="Z3910" s="609" t="s">
        <v>3975</v>
      </c>
      <c r="AA3910" s="609" t="s">
        <v>5680</v>
      </c>
    </row>
    <row r="3911" spans="1:27" ht="18">
      <c r="A3911" s="2712"/>
      <c r="B3911" s="371">
        <v>102.003</v>
      </c>
      <c r="C3911" s="371" t="s">
        <v>2791</v>
      </c>
      <c r="D3911" s="2714">
        <f t="shared" si="437"/>
        <v>0</v>
      </c>
      <c r="E3911" s="2719" t="s">
        <v>3872</v>
      </c>
      <c r="F3911" s="294"/>
      <c r="G3911" s="319" t="s">
        <v>2792</v>
      </c>
      <c r="H3911" s="309"/>
      <c r="I3911" s="388"/>
      <c r="K3911" s="291"/>
      <c r="L3911" s="291"/>
      <c r="M3911" s="291"/>
      <c r="N3911" s="291"/>
      <c r="S3911" s="364"/>
      <c r="Z3911" s="609" t="s">
        <v>3975</v>
      </c>
      <c r="AA3911" s="609" t="s">
        <v>5680</v>
      </c>
    </row>
    <row r="3912" spans="1:27" ht="18">
      <c r="A3912" s="2712"/>
      <c r="B3912" s="371">
        <v>102.004</v>
      </c>
      <c r="C3912" s="371" t="s">
        <v>2791</v>
      </c>
      <c r="D3912" s="2714">
        <f t="shared" si="437"/>
        <v>0</v>
      </c>
      <c r="E3912" s="2719" t="s">
        <v>3872</v>
      </c>
      <c r="F3912" s="294"/>
      <c r="G3912" s="319" t="s">
        <v>2792</v>
      </c>
      <c r="H3912" s="309"/>
      <c r="I3912" s="388"/>
      <c r="K3912" s="291"/>
      <c r="L3912" s="291"/>
      <c r="M3912" s="291"/>
      <c r="N3912" s="291"/>
      <c r="S3912" s="364"/>
      <c r="Z3912" s="609" t="s">
        <v>3975</v>
      </c>
      <c r="AA3912" s="609" t="s">
        <v>5680</v>
      </c>
    </row>
    <row r="3913" spans="1:27" ht="18">
      <c r="A3913" s="2712"/>
      <c r="B3913" s="371">
        <v>102.005</v>
      </c>
      <c r="C3913" s="371" t="s">
        <v>2791</v>
      </c>
      <c r="D3913" s="2714">
        <f t="shared" si="437"/>
        <v>0</v>
      </c>
      <c r="E3913" s="2719" t="s">
        <v>3872</v>
      </c>
      <c r="F3913" s="294"/>
      <c r="G3913" s="319" t="s">
        <v>2792</v>
      </c>
      <c r="H3913" s="309"/>
      <c r="I3913" s="388"/>
      <c r="K3913" s="291"/>
      <c r="L3913" s="291"/>
      <c r="M3913" s="291"/>
      <c r="N3913" s="291"/>
      <c r="S3913" s="364"/>
      <c r="Z3913" s="609" t="s">
        <v>3975</v>
      </c>
      <c r="AA3913" s="609" t="s">
        <v>5680</v>
      </c>
    </row>
    <row r="3914" spans="1:27" ht="18">
      <c r="A3914" s="2712"/>
      <c r="B3914" s="371">
        <v>102.999</v>
      </c>
      <c r="C3914" s="371" t="s">
        <v>2793</v>
      </c>
      <c r="D3914" s="2714">
        <f t="shared" si="437"/>
        <v>1</v>
      </c>
      <c r="E3914" s="2719">
        <v>1</v>
      </c>
      <c r="F3914" s="294"/>
      <c r="G3914" s="549" t="s">
        <v>3872</v>
      </c>
      <c r="H3914" s="377">
        <f>SUMIF($E$3900:$E$3914,$G3914,H$3900:H$3914)</f>
        <v>0</v>
      </c>
      <c r="I3914" s="388"/>
      <c r="K3914" s="291"/>
      <c r="L3914" s="291"/>
      <c r="M3914" s="291"/>
      <c r="N3914" s="291"/>
      <c r="S3914" s="364"/>
      <c r="Z3914" s="609" t="s">
        <v>3975</v>
      </c>
      <c r="AA3914" s="609" t="s">
        <v>5680</v>
      </c>
    </row>
    <row r="3915" spans="1:27" ht="18.75" thickBot="1">
      <c r="A3915" s="2712"/>
      <c r="B3915" s="371"/>
      <c r="C3915" s="371"/>
      <c r="D3915" s="2714">
        <f t="shared" si="437"/>
        <v>1</v>
      </c>
      <c r="E3915" s="2719" t="s">
        <v>2751</v>
      </c>
      <c r="F3915" s="294"/>
      <c r="G3915" s="1527" t="s">
        <v>2752</v>
      </c>
      <c r="H3915" s="2389">
        <f>SUMPRODUCT($E3900:$E3914,H3900:H3914)</f>
        <v>0</v>
      </c>
      <c r="I3915" s="1610"/>
      <c r="K3915" s="291"/>
      <c r="L3915" s="291"/>
      <c r="M3915" s="291"/>
      <c r="N3915" s="291"/>
      <c r="S3915" s="364"/>
      <c r="Z3915" s="609" t="s">
        <v>3975</v>
      </c>
      <c r="AA3915" s="609" t="s">
        <v>5680</v>
      </c>
    </row>
    <row r="3916" spans="1:27" ht="18">
      <c r="A3916" s="2712"/>
      <c r="B3916" s="371"/>
      <c r="C3916" s="371" t="s">
        <v>2755</v>
      </c>
      <c r="D3916" s="371"/>
      <c r="F3916" s="294"/>
      <c r="G3916" s="301"/>
      <c r="H3916" s="315"/>
      <c r="I3916" s="393"/>
      <c r="J3916" s="350"/>
      <c r="K3916" s="291"/>
      <c r="L3916" s="291"/>
      <c r="M3916" s="291"/>
      <c r="N3916" s="291"/>
      <c r="S3916" s="364"/>
      <c r="Z3916" s="609" t="s">
        <v>3975</v>
      </c>
      <c r="AA3916" s="609" t="s">
        <v>5680</v>
      </c>
    </row>
    <row r="3917" spans="1:27" ht="18">
      <c r="A3917" s="2712">
        <v>2315</v>
      </c>
      <c r="B3917" s="371">
        <v>43</v>
      </c>
      <c r="C3917" s="2714" t="str">
        <f>VLOOKUP($A3917,Sheet_Items,2,0)</f>
        <v>持有待售负债</v>
      </c>
      <c r="D3917" s="371"/>
      <c r="F3917" s="294"/>
      <c r="G3917" s="1459" t="str">
        <f>B3917&amp;" "&amp;C3917</f>
        <v>43 持有待售负债</v>
      </c>
      <c r="H3917" s="290"/>
      <c r="I3917" s="290"/>
      <c r="J3917" s="540" t="s">
        <v>2740</v>
      </c>
      <c r="K3917" s="341">
        <f>VLOOKUP($A3917,Sheet_Trialbal,6,0)</f>
        <v>0</v>
      </c>
      <c r="L3917" s="541"/>
      <c r="M3917" s="540" t="s">
        <v>2741</v>
      </c>
      <c r="N3917" s="341">
        <f>VLOOKUP($A3917,Sheet_Trialbal,10,0)</f>
        <v>0</v>
      </c>
      <c r="O3917" s="540"/>
      <c r="S3917" s="364"/>
      <c r="Z3917" s="609" t="s">
        <v>3985</v>
      </c>
      <c r="AA3917" s="609" t="s">
        <v>5681</v>
      </c>
    </row>
    <row r="3918" spans="1:27" ht="18">
      <c r="A3918" s="2712" t="s">
        <v>1599</v>
      </c>
      <c r="B3918" s="371">
        <v>1</v>
      </c>
      <c r="C3918" s="371"/>
      <c r="D3918" s="2714" t="str">
        <f>VLOOKUP($A3918,Sheet_NoteList,2,0)</f>
        <v>持有待售负债明细</v>
      </c>
      <c r="E3918" s="2714" t="s">
        <v>2742</v>
      </c>
      <c r="F3918" s="294"/>
      <c r="G3918" s="307" t="str">
        <f>"("&amp;B3918&amp;")"&amp;D3918</f>
        <v>(1)持有待售负债明细</v>
      </c>
      <c r="H3918" s="1515" t="str">
        <f>$A3918</f>
        <v>2315a</v>
      </c>
      <c r="I3918" s="343" t="s">
        <v>2743</v>
      </c>
      <c r="J3918" s="301" t="s">
        <v>2744</v>
      </c>
      <c r="K3918" s="2208">
        <f>H3926</f>
        <v>0</v>
      </c>
      <c r="L3918" s="345" t="str">
        <f>IF($I3918="适用",IF(K3918="请设置公式",0,IF(ROUND(K$3917-K3918,2)=0,"F/S",ROUND(K$3917-K3918,2))),"#N/A")</f>
        <v>F/S</v>
      </c>
      <c r="M3918" s="301" t="s">
        <v>2745</v>
      </c>
      <c r="N3918" s="2208">
        <f>I3926</f>
        <v>0</v>
      </c>
      <c r="O3918" s="345" t="str">
        <f>IF($I3918="适用",IF(N3918="请设置公式",0,IF(ROUND(N$3917-N3918,2)=0,"F/S",ROUND(N$3917-N3918,2))),"#N/A")</f>
        <v>F/S</v>
      </c>
      <c r="P3918" s="301"/>
      <c r="Q3918" s="290" t="str">
        <f>IF($I3918="不适用","",IF(ROUND(SUM($H$3921:$I$3926),2)=0,"请输入",""))</f>
        <v>请输入</v>
      </c>
      <c r="S3918" s="364"/>
      <c r="Z3918" s="609" t="s">
        <v>3985</v>
      </c>
      <c r="AA3918" s="609" t="s">
        <v>5681</v>
      </c>
    </row>
    <row r="3919" spans="1:27" ht="0.75" customHeight="1" thickBot="1">
      <c r="A3919" s="2712"/>
      <c r="B3919" s="371"/>
      <c r="C3919" s="371"/>
      <c r="D3919" s="371"/>
      <c r="F3919" s="304"/>
      <c r="G3919" s="304" t="s">
        <v>3986</v>
      </c>
      <c r="H3919" s="304" t="s">
        <v>2747</v>
      </c>
      <c r="I3919" s="304" t="s">
        <v>2748</v>
      </c>
      <c r="J3919" s="291"/>
      <c r="K3919" s="291"/>
      <c r="L3919" s="291"/>
      <c r="M3919" s="291"/>
      <c r="S3919" s="364"/>
      <c r="Z3919" s="609" t="s">
        <v>3985</v>
      </c>
      <c r="AA3919" s="609" t="s">
        <v>5681</v>
      </c>
    </row>
    <row r="3920" spans="1:27" ht="18">
      <c r="A3920" s="2712"/>
      <c r="B3920" s="371"/>
      <c r="C3920" s="371"/>
      <c r="D3920" s="371"/>
      <c r="E3920" s="2714" t="s">
        <v>2749</v>
      </c>
      <c r="F3920" s="294"/>
      <c r="G3920" s="410" t="s">
        <v>47</v>
      </c>
      <c r="H3920" s="1452" t="str">
        <f>$V$2</f>
        <v>2019年12月31日</v>
      </c>
      <c r="I3920" s="1453" t="str">
        <f>$V$3</f>
        <v>2018年12月31日</v>
      </c>
      <c r="J3920" s="355" t="s">
        <v>5306</v>
      </c>
      <c r="K3920" s="291"/>
      <c r="L3920" s="291"/>
      <c r="M3920" s="291"/>
      <c r="S3920" s="364"/>
      <c r="Z3920" s="609" t="s">
        <v>3985</v>
      </c>
      <c r="AA3920" s="609" t="s">
        <v>5681</v>
      </c>
    </row>
    <row r="3921" spans="1:29" ht="18">
      <c r="A3921" s="2712"/>
      <c r="B3921" s="371">
        <v>101</v>
      </c>
      <c r="C3921" s="371" t="s">
        <v>2791</v>
      </c>
      <c r="D3921" s="2714">
        <f t="shared" ref="D3921:D3926" si="438">IF(OR(G3921="*",G3921="",G3921=0),0,COUNTIF($G$3921:$G$3926,G3921))</f>
        <v>0</v>
      </c>
      <c r="E3921" s="2719">
        <v>1</v>
      </c>
      <c r="F3921" s="294"/>
      <c r="G3921" s="319" t="s">
        <v>2792</v>
      </c>
      <c r="H3921" s="309"/>
      <c r="I3921" s="346"/>
      <c r="J3921" s="291"/>
      <c r="K3921" s="291"/>
      <c r="L3921" s="291"/>
      <c r="M3921" s="291"/>
      <c r="S3921" s="364"/>
      <c r="Z3921" s="609" t="s">
        <v>3985</v>
      </c>
      <c r="AA3921" s="609" t="s">
        <v>5681</v>
      </c>
    </row>
    <row r="3922" spans="1:29" ht="18">
      <c r="A3922" s="2712"/>
      <c r="B3922" s="371">
        <v>103</v>
      </c>
      <c r="C3922" s="371" t="s">
        <v>2791</v>
      </c>
      <c r="D3922" s="2714">
        <f t="shared" si="438"/>
        <v>0</v>
      </c>
      <c r="E3922" s="2719">
        <v>1</v>
      </c>
      <c r="F3922" s="294"/>
      <c r="G3922" s="319" t="s">
        <v>2792</v>
      </c>
      <c r="H3922" s="309"/>
      <c r="I3922" s="346"/>
      <c r="J3922" s="291"/>
      <c r="K3922" s="291"/>
      <c r="L3922" s="291"/>
      <c r="M3922" s="291"/>
      <c r="S3922" s="364"/>
      <c r="Z3922" s="609" t="s">
        <v>3985</v>
      </c>
      <c r="AA3922" s="609" t="s">
        <v>5681</v>
      </c>
    </row>
    <row r="3923" spans="1:29" ht="18">
      <c r="A3923" s="2712"/>
      <c r="B3923" s="371">
        <v>104</v>
      </c>
      <c r="C3923" s="371" t="s">
        <v>2791</v>
      </c>
      <c r="D3923" s="2714">
        <f t="shared" si="438"/>
        <v>0</v>
      </c>
      <c r="E3923" s="2719">
        <v>1</v>
      </c>
      <c r="F3923" s="294"/>
      <c r="G3923" s="319" t="s">
        <v>2792</v>
      </c>
      <c r="H3923" s="309"/>
      <c r="I3923" s="346"/>
      <c r="J3923" s="291"/>
      <c r="K3923" s="291"/>
      <c r="L3923" s="291"/>
      <c r="M3923" s="291"/>
      <c r="S3923" s="364"/>
      <c r="Z3923" s="609" t="s">
        <v>3985</v>
      </c>
      <c r="AA3923" s="609" t="s">
        <v>5681</v>
      </c>
    </row>
    <row r="3924" spans="1:29" ht="18">
      <c r="A3924" s="2712"/>
      <c r="B3924" s="371">
        <v>104</v>
      </c>
      <c r="C3924" s="371" t="s">
        <v>2791</v>
      </c>
      <c r="D3924" s="2714">
        <f t="shared" si="438"/>
        <v>0</v>
      </c>
      <c r="E3924" s="2719">
        <v>1</v>
      </c>
      <c r="F3924" s="294"/>
      <c r="G3924" s="319" t="s">
        <v>2792</v>
      </c>
      <c r="H3924" s="309"/>
      <c r="I3924" s="346"/>
      <c r="J3924" s="291"/>
      <c r="K3924" s="291"/>
      <c r="L3924" s="291"/>
      <c r="M3924" s="291"/>
      <c r="S3924" s="364"/>
      <c r="Z3924" s="609" t="s">
        <v>3985</v>
      </c>
      <c r="AA3924" s="609" t="s">
        <v>5681</v>
      </c>
    </row>
    <row r="3925" spans="1:29" ht="18">
      <c r="A3925" s="2712"/>
      <c r="B3925" s="371">
        <v>105</v>
      </c>
      <c r="C3925" s="371" t="s">
        <v>2791</v>
      </c>
      <c r="D3925" s="2714">
        <f t="shared" si="438"/>
        <v>0</v>
      </c>
      <c r="E3925" s="2719">
        <v>1</v>
      </c>
      <c r="F3925" s="294"/>
      <c r="G3925" s="319" t="s">
        <v>2792</v>
      </c>
      <c r="H3925" s="309"/>
      <c r="I3925" s="346"/>
      <c r="J3925" s="291"/>
      <c r="K3925" s="291"/>
      <c r="L3925" s="291"/>
      <c r="M3925" s="291"/>
      <c r="S3925" s="364"/>
      <c r="Z3925" s="609" t="s">
        <v>3985</v>
      </c>
      <c r="AA3925" s="609" t="s">
        <v>5681</v>
      </c>
    </row>
    <row r="3926" spans="1:29" ht="18.75" thickBot="1">
      <c r="A3926" s="2712"/>
      <c r="B3926" s="371"/>
      <c r="C3926" s="371"/>
      <c r="D3926" s="2714">
        <f t="shared" si="438"/>
        <v>1</v>
      </c>
      <c r="E3926" s="2719" t="s">
        <v>2751</v>
      </c>
      <c r="F3926" s="294"/>
      <c r="G3926" s="374" t="s">
        <v>2752</v>
      </c>
      <c r="H3926" s="596">
        <f>SUMPRODUCT($E3920:$E3925,H3920:H3925)</f>
        <v>0</v>
      </c>
      <c r="I3926" s="599">
        <f>SUMPRODUCT($E3920:$E3925,I3920:I3925)</f>
        <v>0</v>
      </c>
      <c r="J3926" s="291"/>
      <c r="K3926" s="291"/>
      <c r="L3926" s="291"/>
      <c r="M3926" s="291"/>
      <c r="S3926" s="364"/>
      <c r="Z3926" s="609" t="s">
        <v>3985</v>
      </c>
      <c r="AA3926" s="609" t="s">
        <v>5681</v>
      </c>
    </row>
    <row r="3927" spans="1:29" ht="18">
      <c r="A3927" s="2712"/>
      <c r="B3927" s="371"/>
      <c r="C3927" s="371" t="s">
        <v>2755</v>
      </c>
      <c r="D3927" s="371"/>
      <c r="F3927" s="294"/>
      <c r="G3927" s="301"/>
      <c r="H3927" s="315"/>
      <c r="I3927" s="315"/>
      <c r="J3927" s="291"/>
      <c r="K3927" s="291"/>
      <c r="L3927" s="291"/>
      <c r="M3927" s="291"/>
      <c r="S3927" s="364"/>
      <c r="Z3927" s="609" t="s">
        <v>3985</v>
      </c>
      <c r="AA3927" s="609" t="s">
        <v>5681</v>
      </c>
    </row>
    <row r="3928" spans="1:29" ht="18">
      <c r="A3928" s="2712">
        <v>2395</v>
      </c>
      <c r="B3928" s="371">
        <v>44</v>
      </c>
      <c r="C3928" s="2714" t="str">
        <f>VLOOKUP($A3928,Sheet_Items,2,0)</f>
        <v>一年内到期的非流动负债</v>
      </c>
      <c r="D3928" s="371"/>
      <c r="E3928" s="2714" t="s">
        <v>2739</v>
      </c>
      <c r="F3928" s="294"/>
      <c r="G3928" s="535" t="str">
        <f>B3928&amp;" "&amp;C3928</f>
        <v>44 一年内到期的非流动负债</v>
      </c>
      <c r="H3928" s="306"/>
      <c r="I3928" s="306"/>
      <c r="J3928" s="306" t="s">
        <v>2740</v>
      </c>
      <c r="K3928" s="341">
        <f>VLOOKUP($A3928,Sheet_Trialbal,6,0)</f>
        <v>0</v>
      </c>
      <c r="L3928" s="342"/>
      <c r="M3928" s="306" t="s">
        <v>2741</v>
      </c>
      <c r="N3928" s="341">
        <f>VLOOKUP($A3928,Sheet_Trialbal,10,0)</f>
        <v>0</v>
      </c>
      <c r="O3928" s="306"/>
      <c r="P3928" s="301"/>
      <c r="S3928" s="364"/>
      <c r="Z3928" s="609" t="s">
        <v>3987</v>
      </c>
      <c r="AA3928" s="609" t="s">
        <v>5682</v>
      </c>
    </row>
    <row r="3929" spans="1:29" ht="24">
      <c r="A3929" s="2712" t="s">
        <v>1603</v>
      </c>
      <c r="B3929" s="371">
        <v>1</v>
      </c>
      <c r="C3929" s="371"/>
      <c r="D3929" s="2714" t="str">
        <f>VLOOKUP($A3929,Sheet_NoteList,2,0)</f>
        <v>一年内到期的非流动负债明细项目</v>
      </c>
      <c r="E3929" s="2714" t="s">
        <v>2742</v>
      </c>
      <c r="F3929" s="294"/>
      <c r="G3929" s="372" t="str">
        <f>"("&amp;B3929&amp;")"&amp;D3929</f>
        <v>(1)一年内到期的非流动负债明细项目</v>
      </c>
      <c r="H3929" s="1515" t="str">
        <f>$A3929</f>
        <v>2395a</v>
      </c>
      <c r="I3929" s="343" t="s">
        <v>2743</v>
      </c>
      <c r="J3929" s="301" t="s">
        <v>2744</v>
      </c>
      <c r="K3929" s="2208">
        <f>H3937</f>
        <v>0</v>
      </c>
      <c r="L3929" s="345" t="str">
        <f>IF($I3929="适用",IF(ROUND(K3928-K3929,2)=0,"F/S",ROUND(K3928-K3929,2)),"#N/A")</f>
        <v>F/S</v>
      </c>
      <c r="M3929" s="301" t="s">
        <v>2745</v>
      </c>
      <c r="N3929" s="2208">
        <f>I3937</f>
        <v>0</v>
      </c>
      <c r="O3929" s="345" t="str">
        <f>IF($I3929="适用",IF(ROUND(N3928-N3929,2)=0,"F/S",ROUND(N3928-N3929,2)),"#N/A")</f>
        <v>F/S</v>
      </c>
      <c r="P3929" s="301"/>
      <c r="Q3929" s="290" t="str">
        <f>IF($I3929="不适用","",IF(ROUND(SUM($H$3932:$I$3937),2)=0,"请输入",""))</f>
        <v>请输入</v>
      </c>
      <c r="S3929" s="364"/>
      <c r="Z3929" s="609" t="s">
        <v>3987</v>
      </c>
      <c r="AA3929" s="609" t="s">
        <v>5682</v>
      </c>
    </row>
    <row r="3930" spans="1:29" ht="0.75" customHeight="1" thickBot="1">
      <c r="A3930" s="2712"/>
      <c r="B3930" s="371"/>
      <c r="C3930" s="371"/>
      <c r="D3930" s="371"/>
      <c r="E3930" s="586"/>
      <c r="F3930" s="363"/>
      <c r="G3930" s="363" t="s">
        <v>3988</v>
      </c>
      <c r="H3930" s="294" t="s">
        <v>2747</v>
      </c>
      <c r="I3930" s="294" t="s">
        <v>2748</v>
      </c>
      <c r="J3930" s="291"/>
      <c r="K3930" s="291"/>
      <c r="L3930" s="291"/>
      <c r="M3930" s="291"/>
      <c r="S3930" s="364"/>
      <c r="Z3930" s="609" t="s">
        <v>3987</v>
      </c>
      <c r="AA3930" s="609" t="s">
        <v>5682</v>
      </c>
    </row>
    <row r="3931" spans="1:29" ht="18.75" thickTop="1">
      <c r="A3931" s="2712"/>
      <c r="B3931" s="371"/>
      <c r="C3931" s="371"/>
      <c r="D3931" s="371"/>
      <c r="E3931" s="586" t="s">
        <v>2749</v>
      </c>
      <c r="F3931" s="363"/>
      <c r="G3931" s="2360" t="s">
        <v>47</v>
      </c>
      <c r="H3931" s="2223" t="str">
        <f>$V$2</f>
        <v>2019年12月31日</v>
      </c>
      <c r="I3931" s="2224" t="str">
        <f>$V$3</f>
        <v>2018年12月31日</v>
      </c>
      <c r="J3931" s="355" t="s">
        <v>5307</v>
      </c>
      <c r="K3931" s="1582" t="str">
        <f>""&amp;"&gt;本期:"&amp;""</f>
        <v>&gt;本期:</v>
      </c>
      <c r="L3931" s="1582" t="str">
        <f>""&amp;"&gt;上期:"&amp;""</f>
        <v>&gt;上期:</v>
      </c>
      <c r="M3931" s="2656" t="str">
        <f>""&amp;"NoteID"&amp;""</f>
        <v>NoteID</v>
      </c>
      <c r="S3931" s="364"/>
      <c r="Z3931" s="609" t="s">
        <v>3987</v>
      </c>
      <c r="AA3931" s="609" t="s">
        <v>5682</v>
      </c>
    </row>
    <row r="3932" spans="1:29" ht="18">
      <c r="A3932" s="2712"/>
      <c r="B3932" s="371">
        <v>101</v>
      </c>
      <c r="C3932" s="371"/>
      <c r="D3932" s="2714">
        <f t="shared" ref="D3932:D3937" si="439">IF(OR(G3932="*",G3932="",G3932=0),0,COUNTIF($G$3932:$G$3937,G3932))</f>
        <v>1</v>
      </c>
      <c r="E3932" s="2719">
        <v>1</v>
      </c>
      <c r="F3932" s="294"/>
      <c r="G3932" s="1472" t="s">
        <v>6355</v>
      </c>
      <c r="H3932" s="2273"/>
      <c r="I3932" s="2294"/>
      <c r="J3932" s="357"/>
      <c r="K3932" s="2250">
        <f ca="1">HYPERLINK("#'"&amp;$G$1&amp;"'!"&amp;ADDRESS(ROW(Notes!H4009),COLUMN(Notes!H4009),4),H4009-H3932)</f>
        <v>0</v>
      </c>
      <c r="L3932" s="2250">
        <f ca="1">HYPERLINK("#'"&amp;$G$1&amp;"'!"&amp;ADDRESS(ROW(Notes!I4009),COLUMN(Notes!I4009),4),I4009-I3932)</f>
        <v>0</v>
      </c>
      <c r="M3932" s="2663" t="str">
        <f>H3999</f>
        <v>2501a</v>
      </c>
      <c r="S3932" s="364"/>
      <c r="Z3932" s="609" t="s">
        <v>3987</v>
      </c>
      <c r="AA3932" s="609" t="s">
        <v>5682</v>
      </c>
      <c r="AC3932" s="369" t="s">
        <v>2794</v>
      </c>
    </row>
    <row r="3933" spans="1:29" ht="18">
      <c r="A3933" s="2712"/>
      <c r="B3933" s="371">
        <v>102</v>
      </c>
      <c r="C3933" s="371"/>
      <c r="D3933" s="2714">
        <f t="shared" si="439"/>
        <v>1</v>
      </c>
      <c r="E3933" s="2719">
        <v>1</v>
      </c>
      <c r="F3933" s="294"/>
      <c r="G3933" s="1472" t="s">
        <v>6356</v>
      </c>
      <c r="H3933" s="2273"/>
      <c r="I3933" s="2294"/>
      <c r="J3933" s="357"/>
      <c r="K3933" s="2250">
        <f ca="1">HYPERLINK("#'"&amp;$G$1&amp;"'!"&amp;ADDRESS(ROW(Notes!H4060),COLUMN(Notes!H4060),4),H4060-H3933)</f>
        <v>0</v>
      </c>
      <c r="L3933" s="2250">
        <f ca="1">HYPERLINK("#'"&amp;$G$1&amp;"'!"&amp;ADDRESS(ROW(Notes!I4060),COLUMN(Notes!I4060),4),I4060-I3933)</f>
        <v>0</v>
      </c>
      <c r="M3933" s="2663" t="str">
        <f>H4053</f>
        <v>2502b</v>
      </c>
      <c r="S3933" s="364"/>
      <c r="Z3933" s="609" t="s">
        <v>3987</v>
      </c>
      <c r="AA3933" s="609" t="s">
        <v>5682</v>
      </c>
      <c r="AC3933" s="369" t="s">
        <v>2794</v>
      </c>
    </row>
    <row r="3934" spans="1:29" ht="18">
      <c r="A3934" s="2712"/>
      <c r="B3934" s="371">
        <v>103</v>
      </c>
      <c r="C3934" s="371"/>
      <c r="D3934" s="2714">
        <f t="shared" si="439"/>
        <v>1</v>
      </c>
      <c r="E3934" s="2719">
        <v>1</v>
      </c>
      <c r="F3934" s="294"/>
      <c r="G3934" s="1472" t="s">
        <v>6357</v>
      </c>
      <c r="H3934" s="2273"/>
      <c r="I3934" s="2294"/>
      <c r="J3934" s="357"/>
      <c r="K3934" s="2250">
        <f ca="1">HYPERLINK("#'"&amp;$G$1&amp;"'!"&amp;ADDRESS(ROW(Notes!H4116),COLUMN(Notes!H4116),4),H4116-H3934)</f>
        <v>0</v>
      </c>
      <c r="L3934" s="2250">
        <f ca="1">HYPERLINK("#'"&amp;$G$1&amp;"'!"&amp;ADDRESS(ROW(Notes!I4116),COLUMN(Notes!I4116),4),I4116-I3934)</f>
        <v>0</v>
      </c>
      <c r="M3934" s="2663" t="str">
        <f>H4109</f>
        <v>2706a</v>
      </c>
      <c r="S3934" s="364"/>
      <c r="Z3934" s="609" t="s">
        <v>3987</v>
      </c>
      <c r="AA3934" s="609" t="s">
        <v>5682</v>
      </c>
      <c r="AC3934" s="369" t="s">
        <v>2794</v>
      </c>
    </row>
    <row r="3935" spans="1:29" ht="18">
      <c r="A3935" s="2712"/>
      <c r="B3935" s="371">
        <v>104</v>
      </c>
      <c r="C3935" s="371" t="s">
        <v>2791</v>
      </c>
      <c r="D3935" s="2714">
        <f t="shared" si="439"/>
        <v>0</v>
      </c>
      <c r="E3935" s="2719">
        <v>1</v>
      </c>
      <c r="F3935" s="294"/>
      <c r="G3935" s="2373" t="s">
        <v>2792</v>
      </c>
      <c r="H3935" s="2273"/>
      <c r="I3935" s="2294"/>
      <c r="J3935" s="291"/>
      <c r="K3935" s="456"/>
      <c r="L3935" s="456"/>
      <c r="M3935" s="2664"/>
      <c r="S3935" s="364"/>
      <c r="Z3935" s="609" t="s">
        <v>3987</v>
      </c>
      <c r="AA3935" s="609" t="s">
        <v>5682</v>
      </c>
    </row>
    <row r="3936" spans="1:29" ht="18">
      <c r="A3936" s="2712"/>
      <c r="B3936" s="371">
        <v>106</v>
      </c>
      <c r="C3936" s="371" t="s">
        <v>2791</v>
      </c>
      <c r="D3936" s="2714">
        <f t="shared" si="439"/>
        <v>0</v>
      </c>
      <c r="E3936" s="2719">
        <v>1</v>
      </c>
      <c r="F3936" s="294"/>
      <c r="G3936" s="2373" t="s">
        <v>2792</v>
      </c>
      <c r="H3936" s="2273"/>
      <c r="I3936" s="2294"/>
      <c r="J3936" s="291"/>
      <c r="K3936" s="456"/>
      <c r="L3936" s="456"/>
      <c r="M3936" s="2664"/>
      <c r="S3936" s="364"/>
      <c r="Z3936" s="609" t="s">
        <v>3987</v>
      </c>
      <c r="AA3936" s="609" t="s">
        <v>5682</v>
      </c>
    </row>
    <row r="3937" spans="1:27" ht="18.75" thickBot="1">
      <c r="A3937" s="2712"/>
      <c r="B3937" s="371"/>
      <c r="C3937" s="371"/>
      <c r="D3937" s="2714">
        <f t="shared" si="439"/>
        <v>1</v>
      </c>
      <c r="E3937" s="2719" t="s">
        <v>2751</v>
      </c>
      <c r="F3937" s="294"/>
      <c r="G3937" s="374" t="s">
        <v>2752</v>
      </c>
      <c r="H3937" s="1476">
        <f>SUMPRODUCT($E3931:$E3936,H3931:H3936)</f>
        <v>0</v>
      </c>
      <c r="I3937" s="1477">
        <f>SUMPRODUCT($E3931:$E3936,I3931:I3936)</f>
        <v>0</v>
      </c>
      <c r="J3937" s="291"/>
      <c r="K3937" s="1529">
        <f t="shared" ref="K3937:L3937" ca="1" si="440">SUM(K3932:K3936)</f>
        <v>0</v>
      </c>
      <c r="L3937" s="1529">
        <f t="shared" ca="1" si="440"/>
        <v>0</v>
      </c>
      <c r="M3937" s="2665"/>
      <c r="S3937" s="364"/>
      <c r="Z3937" s="609" t="s">
        <v>3987</v>
      </c>
      <c r="AA3937" s="609" t="s">
        <v>5682</v>
      </c>
    </row>
    <row r="3938" spans="1:27" ht="18">
      <c r="A3938" s="2712"/>
      <c r="B3938" s="371"/>
      <c r="C3938" s="371" t="s">
        <v>2755</v>
      </c>
      <c r="D3938" s="371"/>
      <c r="F3938" s="294"/>
      <c r="G3938" s="301"/>
      <c r="H3938" s="315"/>
      <c r="I3938" s="315"/>
      <c r="J3938" s="291"/>
      <c r="K3938" s="1537" t="s">
        <v>5503</v>
      </c>
      <c r="L3938" s="354"/>
      <c r="M3938" s="354"/>
      <c r="S3938" s="364"/>
      <c r="Z3938" s="609" t="s">
        <v>3987</v>
      </c>
      <c r="AA3938" s="609" t="s">
        <v>5682</v>
      </c>
    </row>
    <row r="3939" spans="1:27" ht="18">
      <c r="A3939" s="2712" t="s">
        <v>1608</v>
      </c>
      <c r="B3939" s="371">
        <v>2</v>
      </c>
      <c r="C3939" s="371"/>
      <c r="D3939" s="2714" t="str">
        <f>VLOOKUP($A3939,Sheet_NoteList,2,0)</f>
        <v>一年内到期的长期借款</v>
      </c>
      <c r="E3939" s="2714" t="s">
        <v>6529</v>
      </c>
      <c r="F3939" s="294"/>
      <c r="G3939" s="307" t="str">
        <f>"("&amp;B3939&amp;")"&amp;D3939</f>
        <v>(2)一年内到期的长期借款</v>
      </c>
      <c r="H3939" s="1515" t="str">
        <f>$A3939</f>
        <v>2395b</v>
      </c>
      <c r="I3939" s="343" t="s">
        <v>5963</v>
      </c>
      <c r="J3939" s="301" t="s">
        <v>5961</v>
      </c>
      <c r="K3939" s="2208">
        <f>H3947</f>
        <v>0</v>
      </c>
      <c r="L3939" s="345" t="str">
        <f>IF($I3939="适用",IF(ROUND(K$3928-K3939,2)&gt;=0,"","#Logical!"),"#N/A")</f>
        <v/>
      </c>
      <c r="M3939" s="301" t="s">
        <v>5968</v>
      </c>
      <c r="N3939" s="2208">
        <f>I3947</f>
        <v>0</v>
      </c>
      <c r="O3939" s="345" t="str">
        <f>IF($I3939="适用",IF(ROUND(N$3928-N3939,2)&gt;=0,"","#Logical!"),"#N/A")</f>
        <v/>
      </c>
      <c r="P3939" s="301"/>
      <c r="Q3939" s="290" t="str">
        <f>IF($I3939="不适用","",IF(ROUND(SUM($H$3942:$I$3947),2)=0,"请输入",""))</f>
        <v>请输入</v>
      </c>
      <c r="S3939" s="364"/>
      <c r="Z3939" s="609" t="s">
        <v>3987</v>
      </c>
      <c r="AA3939" s="609" t="s">
        <v>5682</v>
      </c>
    </row>
    <row r="3940" spans="1:27" ht="0.75" customHeight="1" thickBot="1">
      <c r="A3940" s="2712"/>
      <c r="B3940" s="371"/>
      <c r="C3940" s="371"/>
      <c r="D3940" s="371"/>
      <c r="E3940" s="586"/>
      <c r="F3940" s="518"/>
      <c r="G3940" s="518" t="s">
        <v>3989</v>
      </c>
      <c r="H3940" s="304" t="s">
        <v>2747</v>
      </c>
      <c r="I3940" s="304" t="s">
        <v>2748</v>
      </c>
      <c r="J3940" s="291"/>
      <c r="K3940" s="291"/>
      <c r="L3940" s="291"/>
      <c r="M3940" s="291"/>
      <c r="S3940" s="364"/>
      <c r="Z3940" s="609" t="s">
        <v>3987</v>
      </c>
      <c r="AA3940" s="609" t="s">
        <v>5682</v>
      </c>
    </row>
    <row r="3941" spans="1:27" ht="18">
      <c r="A3941" s="2712"/>
      <c r="B3941" s="371"/>
      <c r="C3941" s="371"/>
      <c r="D3941" s="371"/>
      <c r="E3941" s="586" t="s">
        <v>2749</v>
      </c>
      <c r="F3941" s="363"/>
      <c r="G3941" s="2361" t="s">
        <v>47</v>
      </c>
      <c r="H3941" s="2362" t="s">
        <v>2775</v>
      </c>
      <c r="I3941" s="2363" t="s">
        <v>2776</v>
      </c>
      <c r="J3941" s="355" t="s">
        <v>6139</v>
      </c>
      <c r="K3941" s="291"/>
      <c r="L3941" s="291"/>
      <c r="M3941" s="291"/>
      <c r="S3941" s="364"/>
      <c r="Z3941" s="609" t="s">
        <v>3987</v>
      </c>
      <c r="AA3941" s="609" t="s">
        <v>5682</v>
      </c>
    </row>
    <row r="3942" spans="1:27" ht="18">
      <c r="A3942" s="2712"/>
      <c r="B3942" s="371">
        <v>101</v>
      </c>
      <c r="C3942" s="371"/>
      <c r="D3942" s="2714">
        <f t="shared" ref="D3942:D3947" si="441">IF(OR(G3942="*",G3942="",G3942=0),0,COUNTIF($G$3942:$G$3947,G3942))</f>
        <v>1</v>
      </c>
      <c r="E3942" s="2719">
        <v>1</v>
      </c>
      <c r="F3942" s="294"/>
      <c r="G3942" s="1472" t="s">
        <v>3808</v>
      </c>
      <c r="H3942" s="2273"/>
      <c r="I3942" s="2294"/>
      <c r="J3942" s="291"/>
      <c r="K3942" s="291"/>
      <c r="L3942" s="291"/>
      <c r="M3942" s="291"/>
      <c r="S3942" s="364"/>
      <c r="Z3942" s="609" t="s">
        <v>3987</v>
      </c>
      <c r="AA3942" s="609" t="s">
        <v>5682</v>
      </c>
    </row>
    <row r="3943" spans="1:27" ht="18">
      <c r="A3943" s="2712"/>
      <c r="B3943" s="371">
        <v>102</v>
      </c>
      <c r="C3943" s="371"/>
      <c r="D3943" s="2714">
        <f t="shared" si="441"/>
        <v>1</v>
      </c>
      <c r="E3943" s="2719">
        <v>1</v>
      </c>
      <c r="F3943" s="294"/>
      <c r="G3943" s="1472" t="s">
        <v>3809</v>
      </c>
      <c r="H3943" s="2273"/>
      <c r="I3943" s="2294"/>
      <c r="J3943" s="291"/>
      <c r="K3943" s="291"/>
      <c r="L3943" s="291"/>
      <c r="M3943" s="291"/>
      <c r="S3943" s="364"/>
      <c r="Z3943" s="609" t="s">
        <v>3987</v>
      </c>
      <c r="AA3943" s="609" t="s">
        <v>5682</v>
      </c>
    </row>
    <row r="3944" spans="1:27" ht="18">
      <c r="A3944" s="2712"/>
      <c r="B3944" s="371">
        <v>103</v>
      </c>
      <c r="C3944" s="371"/>
      <c r="D3944" s="2714">
        <f t="shared" si="441"/>
        <v>1</v>
      </c>
      <c r="E3944" s="2719">
        <v>1</v>
      </c>
      <c r="F3944" s="294"/>
      <c r="G3944" s="1472" t="s">
        <v>3810</v>
      </c>
      <c r="H3944" s="2273"/>
      <c r="I3944" s="2294"/>
      <c r="J3944" s="291"/>
      <c r="K3944" s="291"/>
      <c r="L3944" s="291"/>
      <c r="M3944" s="291"/>
      <c r="S3944" s="364"/>
      <c r="Z3944" s="609" t="s">
        <v>3987</v>
      </c>
      <c r="AA3944" s="609" t="s">
        <v>5682</v>
      </c>
    </row>
    <row r="3945" spans="1:27" ht="18">
      <c r="A3945" s="2712"/>
      <c r="B3945" s="371">
        <v>104</v>
      </c>
      <c r="C3945" s="371"/>
      <c r="D3945" s="2714">
        <f t="shared" si="441"/>
        <v>1</v>
      </c>
      <c r="E3945" s="2719">
        <v>1</v>
      </c>
      <c r="F3945" s="294"/>
      <c r="G3945" s="1472" t="s">
        <v>3811</v>
      </c>
      <c r="H3945" s="2273"/>
      <c r="I3945" s="2294"/>
      <c r="J3945" s="291"/>
      <c r="K3945" s="291"/>
      <c r="L3945" s="291"/>
      <c r="M3945" s="291"/>
      <c r="S3945" s="364"/>
      <c r="Z3945" s="609" t="s">
        <v>3987</v>
      </c>
      <c r="AA3945" s="609" t="s">
        <v>5682</v>
      </c>
    </row>
    <row r="3946" spans="1:27" ht="18">
      <c r="A3946" s="2712"/>
      <c r="B3946" s="371">
        <v>105</v>
      </c>
      <c r="C3946" s="371" t="s">
        <v>2791</v>
      </c>
      <c r="D3946" s="2714">
        <f t="shared" si="441"/>
        <v>0</v>
      </c>
      <c r="E3946" s="2719">
        <v>1</v>
      </c>
      <c r="F3946" s="294"/>
      <c r="G3946" s="2373" t="s">
        <v>2792</v>
      </c>
      <c r="H3946" s="2273"/>
      <c r="I3946" s="2294"/>
      <c r="J3946" s="291"/>
      <c r="K3946" s="291"/>
      <c r="L3946" s="291"/>
      <c r="M3946" s="291"/>
      <c r="S3946" s="364"/>
      <c r="Z3946" s="609" t="s">
        <v>3987</v>
      </c>
      <c r="AA3946" s="609" t="s">
        <v>5682</v>
      </c>
    </row>
    <row r="3947" spans="1:27" ht="18.75" thickBot="1">
      <c r="A3947" s="2712"/>
      <c r="B3947" s="371"/>
      <c r="C3947" s="371"/>
      <c r="D3947" s="2714">
        <f t="shared" si="441"/>
        <v>1</v>
      </c>
      <c r="E3947" s="2719" t="s">
        <v>2751</v>
      </c>
      <c r="F3947" s="294"/>
      <c r="G3947" s="1527" t="s">
        <v>2752</v>
      </c>
      <c r="H3947" s="1525">
        <f>SUMPRODUCT($E3941:$E3946,H3941:H3946)</f>
        <v>0</v>
      </c>
      <c r="I3947" s="1526">
        <f>SUMPRODUCT($E3941:$E3946,I3941:I3946)</f>
        <v>0</v>
      </c>
      <c r="J3947" s="291"/>
      <c r="K3947" s="291"/>
      <c r="L3947" s="291"/>
      <c r="M3947" s="291"/>
      <c r="S3947" s="364"/>
      <c r="Z3947" s="609" t="s">
        <v>3987</v>
      </c>
      <c r="AA3947" s="609" t="s">
        <v>5682</v>
      </c>
    </row>
    <row r="3948" spans="1:27" ht="18">
      <c r="A3948" s="2712"/>
      <c r="B3948" s="371"/>
      <c r="C3948" s="371" t="s">
        <v>2755</v>
      </c>
      <c r="D3948" s="371"/>
      <c r="F3948" s="294"/>
      <c r="G3948" s="557"/>
      <c r="H3948" s="315"/>
      <c r="I3948" s="315"/>
      <c r="J3948" s="291"/>
      <c r="K3948" s="291"/>
      <c r="L3948" s="291"/>
      <c r="M3948" s="291"/>
      <c r="S3948" s="364"/>
      <c r="Z3948" s="609" t="s">
        <v>3987</v>
      </c>
      <c r="AA3948" s="609" t="s">
        <v>5682</v>
      </c>
    </row>
    <row r="3949" spans="1:27" ht="18">
      <c r="A3949" s="2712" t="s">
        <v>1612</v>
      </c>
      <c r="B3949" s="371">
        <v>3</v>
      </c>
      <c r="C3949" s="371"/>
      <c r="D3949" s="2714" t="str">
        <f>VLOOKUP($A3949,Sheet_NoteList,2,0)</f>
        <v>一年内到期的应付债券</v>
      </c>
      <c r="E3949" s="2714" t="s">
        <v>6529</v>
      </c>
      <c r="F3949" s="294"/>
      <c r="G3949" s="307" t="str">
        <f>"("&amp;B3949&amp;")"&amp;D3949</f>
        <v>(3)一年内到期的应付债券</v>
      </c>
      <c r="H3949" s="1515" t="str">
        <f>$A3949</f>
        <v>2395e</v>
      </c>
      <c r="I3949" s="343" t="s">
        <v>5963</v>
      </c>
      <c r="J3949" s="301" t="s">
        <v>5961</v>
      </c>
      <c r="K3949" s="2208">
        <f>Q3957</f>
        <v>0</v>
      </c>
      <c r="L3949" s="345" t="str">
        <f>IF($I3949="适用",IF(ROUND(K$3928-K3949,2)&gt;=0,"","#Logical!"),"#N/A")</f>
        <v/>
      </c>
      <c r="M3949" s="301" t="s">
        <v>5962</v>
      </c>
      <c r="N3949" s="2208">
        <f>L3957</f>
        <v>0</v>
      </c>
      <c r="O3949" s="345" t="str">
        <f>IF($I3949="适用",IF(ROUND(N$3928-N3949,2)&gt;=0,"","#Logical!"),"#N/A")</f>
        <v/>
      </c>
      <c r="P3949" s="301"/>
      <c r="Q3949" s="290" t="str">
        <f>IF($I3949="不适用","",IF(ROUND(SUM($H$3952:$Q$3957),2)=0,"请输入",""))</f>
        <v>请输入</v>
      </c>
      <c r="R3949" s="367"/>
      <c r="S3949" s="364"/>
      <c r="Z3949" s="609" t="s">
        <v>3987</v>
      </c>
      <c r="AA3949" s="609" t="s">
        <v>5682</v>
      </c>
    </row>
    <row r="3950" spans="1:27" ht="0.75" customHeight="1" thickBot="1">
      <c r="A3950" s="2712"/>
      <c r="B3950" s="371"/>
      <c r="C3950" s="371"/>
      <c r="D3950" s="371"/>
      <c r="E3950" s="586"/>
      <c r="F3950" s="518"/>
      <c r="G3950" s="518" t="s">
        <v>3990</v>
      </c>
      <c r="H3950" s="304" t="s">
        <v>3431</v>
      </c>
      <c r="I3950" s="304" t="s">
        <v>3991</v>
      </c>
      <c r="J3950" s="304" t="s">
        <v>3992</v>
      </c>
      <c r="K3950" s="304" t="s">
        <v>3993</v>
      </c>
      <c r="L3950" s="304" t="s">
        <v>3242</v>
      </c>
      <c r="M3950" s="304" t="s">
        <v>3994</v>
      </c>
      <c r="N3950" s="304" t="s">
        <v>3995</v>
      </c>
      <c r="O3950" s="304" t="s">
        <v>3996</v>
      </c>
      <c r="P3950" s="304" t="s">
        <v>3997</v>
      </c>
      <c r="Q3950" s="366" t="s">
        <v>3499</v>
      </c>
      <c r="R3950" s="367"/>
      <c r="S3950" s="364"/>
      <c r="T3950" s="291"/>
      <c r="Z3950" s="609" t="s">
        <v>3987</v>
      </c>
      <c r="AA3950" s="609" t="s">
        <v>5682</v>
      </c>
    </row>
    <row r="3951" spans="1:27" ht="18">
      <c r="A3951" s="2712"/>
      <c r="B3951" s="371"/>
      <c r="C3951" s="371"/>
      <c r="D3951" s="371"/>
      <c r="E3951" s="586" t="s">
        <v>2749</v>
      </c>
      <c r="F3951" s="363"/>
      <c r="G3951" s="2361" t="s">
        <v>1613</v>
      </c>
      <c r="H3951" s="2362" t="s">
        <v>3319</v>
      </c>
      <c r="I3951" s="2362" t="s">
        <v>3998</v>
      </c>
      <c r="J3951" s="2362" t="s">
        <v>3999</v>
      </c>
      <c r="K3951" s="2362" t="s">
        <v>4000</v>
      </c>
      <c r="L3951" s="2362" t="s">
        <v>3524</v>
      </c>
      <c r="M3951" s="2362" t="s">
        <v>4001</v>
      </c>
      <c r="N3951" s="2362" t="s">
        <v>4002</v>
      </c>
      <c r="O3951" s="2362" t="s">
        <v>4003</v>
      </c>
      <c r="P3951" s="2362" t="s">
        <v>4004</v>
      </c>
      <c r="Q3951" s="2363" t="s">
        <v>2560</v>
      </c>
      <c r="R3951" s="355" t="s">
        <v>6139</v>
      </c>
      <c r="S3951" s="364"/>
      <c r="T3951" s="291"/>
      <c r="Z3951" s="609" t="s">
        <v>3987</v>
      </c>
      <c r="AA3951" s="609" t="s">
        <v>5682</v>
      </c>
    </row>
    <row r="3952" spans="1:27" ht="18">
      <c r="A3952" s="2712"/>
      <c r="B3952" s="371">
        <v>101</v>
      </c>
      <c r="C3952" s="371" t="s">
        <v>2791</v>
      </c>
      <c r="D3952" s="2714">
        <f t="shared" ref="D3952:D3957" si="442">IF(OR(G3952="*",G3952="",G3952=0),0,COUNTIF($G$3952:$G$3957,G3952))</f>
        <v>0</v>
      </c>
      <c r="E3952" s="2719">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3987</v>
      </c>
      <c r="AA3952" s="609" t="s">
        <v>5682</v>
      </c>
    </row>
    <row r="3953" spans="1:27" ht="18">
      <c r="A3953" s="2712"/>
      <c r="B3953" s="371">
        <v>102</v>
      </c>
      <c r="C3953" s="371" t="s">
        <v>2791</v>
      </c>
      <c r="D3953" s="2714">
        <f t="shared" si="442"/>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5682</v>
      </c>
    </row>
    <row r="3954" spans="1:27" ht="18">
      <c r="A3954" s="2712"/>
      <c r="B3954" s="371">
        <v>103</v>
      </c>
      <c r="C3954" s="371" t="s">
        <v>2791</v>
      </c>
      <c r="D3954" s="2714">
        <f t="shared" si="442"/>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5682</v>
      </c>
    </row>
    <row r="3955" spans="1:27" ht="18">
      <c r="A3955" s="2712"/>
      <c r="B3955" s="371">
        <v>104</v>
      </c>
      <c r="C3955" s="371" t="s">
        <v>2791</v>
      </c>
      <c r="D3955" s="2714">
        <f t="shared" si="442"/>
        <v>0</v>
      </c>
      <c r="E3955" s="2719">
        <v>1</v>
      </c>
      <c r="F3955" s="294"/>
      <c r="G3955" s="2373" t="s">
        <v>2792</v>
      </c>
      <c r="H3955" s="2273"/>
      <c r="I3955" s="2296"/>
      <c r="J3955" s="2296"/>
      <c r="K3955" s="2273"/>
      <c r="L3955" s="2273"/>
      <c r="M3955" s="2273"/>
      <c r="N3955" s="2273"/>
      <c r="O3955" s="2273"/>
      <c r="P3955" s="2273"/>
      <c r="Q3955" s="1475">
        <f>SUM(L3955:N3955,O3955,-P3955)</f>
        <v>0</v>
      </c>
      <c r="R3955" s="367"/>
      <c r="S3955" s="364"/>
      <c r="T3955" s="291"/>
      <c r="Z3955" s="609" t="s">
        <v>3987</v>
      </c>
      <c r="AA3955" s="609" t="s">
        <v>5682</v>
      </c>
    </row>
    <row r="3956" spans="1:27" ht="18">
      <c r="A3956" s="2712"/>
      <c r="B3956" s="371">
        <v>105</v>
      </c>
      <c r="C3956" s="371" t="s">
        <v>2791</v>
      </c>
      <c r="D3956" s="2714">
        <f t="shared" si="442"/>
        <v>0</v>
      </c>
      <c r="E3956" s="2719">
        <v>1</v>
      </c>
      <c r="F3956" s="294"/>
      <c r="G3956" s="2373" t="s">
        <v>2792</v>
      </c>
      <c r="H3956" s="2273"/>
      <c r="I3956" s="2296"/>
      <c r="J3956" s="2296"/>
      <c r="K3956" s="2273"/>
      <c r="L3956" s="2273"/>
      <c r="M3956" s="2273"/>
      <c r="N3956" s="2273"/>
      <c r="O3956" s="2273"/>
      <c r="P3956" s="2273"/>
      <c r="Q3956" s="1475">
        <f>SUM(L3956:N3956,O3956,-P3956)</f>
        <v>0</v>
      </c>
      <c r="R3956" s="367"/>
      <c r="S3956" s="364"/>
      <c r="T3956" s="291"/>
      <c r="Z3956" s="609" t="s">
        <v>3987</v>
      </c>
      <c r="AA3956" s="609" t="s">
        <v>5682</v>
      </c>
    </row>
    <row r="3957" spans="1:27" ht="18.75" thickBot="1">
      <c r="A3957" s="2712"/>
      <c r="B3957" s="371"/>
      <c r="C3957" s="371"/>
      <c r="D3957" s="2714">
        <f t="shared" si="442"/>
        <v>1</v>
      </c>
      <c r="E3957" s="2719" t="s">
        <v>2751</v>
      </c>
      <c r="F3957" s="294"/>
      <c r="G3957" s="1527" t="s">
        <v>2752</v>
      </c>
      <c r="H3957" s="1525">
        <f>SUMPRODUCT($E3951:$E3956,H3951:H3956)</f>
        <v>0</v>
      </c>
      <c r="I3957" s="2314"/>
      <c r="J3957" s="2314"/>
      <c r="K3957" s="1525">
        <f t="shared" ref="K3957:Q3957" si="443">SUMPRODUCT($E3951:$E3956,K3951:K3956)</f>
        <v>0</v>
      </c>
      <c r="L3957" s="1525">
        <f t="shared" si="443"/>
        <v>0</v>
      </c>
      <c r="M3957" s="1525">
        <f t="shared" si="443"/>
        <v>0</v>
      </c>
      <c r="N3957" s="1525">
        <f t="shared" si="443"/>
        <v>0</v>
      </c>
      <c r="O3957" s="1525">
        <f t="shared" si="443"/>
        <v>0</v>
      </c>
      <c r="P3957" s="1525">
        <f t="shared" si="443"/>
        <v>0</v>
      </c>
      <c r="Q3957" s="1526">
        <f t="shared" si="443"/>
        <v>0</v>
      </c>
      <c r="R3957" s="367"/>
      <c r="S3957" s="364"/>
      <c r="T3957" s="291"/>
      <c r="Z3957" s="609" t="s">
        <v>3987</v>
      </c>
      <c r="AA3957" s="609" t="s">
        <v>5682</v>
      </c>
    </row>
    <row r="3958" spans="1:27" ht="18">
      <c r="A3958" s="2712"/>
      <c r="B3958" s="371"/>
      <c r="C3958" s="371" t="s">
        <v>2755</v>
      </c>
      <c r="D3958" s="371"/>
      <c r="F3958" s="294"/>
      <c r="G3958" s="301"/>
      <c r="H3958" s="315"/>
      <c r="I3958" s="393"/>
      <c r="J3958" s="393"/>
      <c r="K3958" s="315"/>
      <c r="L3958" s="315" t="s">
        <v>3002</v>
      </c>
      <c r="M3958" s="315"/>
      <c r="N3958" s="315"/>
      <c r="O3958" s="315"/>
      <c r="P3958" s="315"/>
      <c r="Q3958" s="566" t="s">
        <v>3002</v>
      </c>
      <c r="R3958" s="367"/>
      <c r="S3958" s="364"/>
      <c r="T3958" s="291"/>
      <c r="Z3958" s="609" t="s">
        <v>3987</v>
      </c>
      <c r="AA3958" s="609" t="s">
        <v>5682</v>
      </c>
    </row>
    <row r="3959" spans="1:27" ht="24">
      <c r="A3959" s="2712" t="s">
        <v>1617</v>
      </c>
      <c r="B3959" s="371">
        <v>4</v>
      </c>
      <c r="C3959" s="371"/>
      <c r="D3959" s="2714" t="str">
        <f>VLOOKUP($A3959,Sheet_NoteList,2,0)</f>
        <v>一年内到期的长期应付款项</v>
      </c>
      <c r="E3959" s="2714" t="s">
        <v>6529</v>
      </c>
      <c r="F3959" s="294"/>
      <c r="G3959" s="372" t="str">
        <f>"("&amp;B3959&amp;")"&amp;D3959</f>
        <v>(4)一年内到期的长期应付款项</v>
      </c>
      <c r="H3959" s="1515" t="str">
        <f>$A3959</f>
        <v>2395f</v>
      </c>
      <c r="I3959" s="343" t="s">
        <v>5964</v>
      </c>
      <c r="J3959" s="301" t="s">
        <v>5969</v>
      </c>
      <c r="K3959" s="2208">
        <f>H3967</f>
        <v>0</v>
      </c>
      <c r="L3959" s="345" t="str">
        <f>IF($I3959="适用",IF(ROUND(K$3928-K3959,2)&gt;=0,"","#Logical!"),"#N/A")</f>
        <v/>
      </c>
      <c r="M3959" s="301" t="s">
        <v>5965</v>
      </c>
      <c r="N3959" s="2208">
        <f>I3967</f>
        <v>0</v>
      </c>
      <c r="O3959" s="345" t="str">
        <f>IF($I3959="适用",IF(ROUND(N$3928-N3959,2)&gt;=0,"","#Logical!"),"#N/A")</f>
        <v/>
      </c>
      <c r="P3959" s="301"/>
      <c r="Q3959" s="290" t="str">
        <f>IF($I3959="不适用","",IF(ROUND(SUM($H$3962:$I$3967),2)=0,"请输入",""))</f>
        <v>请输入</v>
      </c>
      <c r="S3959" s="364"/>
      <c r="Z3959" s="609" t="s">
        <v>3987</v>
      </c>
      <c r="AA3959" s="609" t="s">
        <v>5682</v>
      </c>
    </row>
    <row r="3960" spans="1:27" ht="0.75" customHeight="1" thickBot="1">
      <c r="A3960" s="2712"/>
      <c r="B3960" s="371"/>
      <c r="C3960" s="371"/>
      <c r="D3960" s="371"/>
      <c r="E3960" s="586"/>
      <c r="F3960" s="518"/>
      <c r="G3960" s="518" t="s">
        <v>4005</v>
      </c>
      <c r="H3960" s="304" t="s">
        <v>2747</v>
      </c>
      <c r="I3960" s="304" t="s">
        <v>2748</v>
      </c>
      <c r="J3960" s="387"/>
      <c r="K3960" s="387"/>
      <c r="L3960" s="387"/>
      <c r="M3960" s="387"/>
      <c r="N3960" s="291"/>
      <c r="O3960" s="291"/>
      <c r="P3960" s="291"/>
      <c r="Q3960" s="367"/>
      <c r="R3960" s="367"/>
      <c r="S3960" s="364"/>
      <c r="Z3960" s="609" t="s">
        <v>3987</v>
      </c>
      <c r="AA3960" s="609" t="s">
        <v>5682</v>
      </c>
    </row>
    <row r="3961" spans="1:27" ht="18">
      <c r="A3961" s="2712"/>
      <c r="B3961" s="371"/>
      <c r="C3961" s="371"/>
      <c r="D3961" s="371"/>
      <c r="E3961" s="586" t="s">
        <v>2749</v>
      </c>
      <c r="F3961" s="363"/>
      <c r="G3961" s="2361" t="s">
        <v>47</v>
      </c>
      <c r="H3961" s="2362" t="s">
        <v>2775</v>
      </c>
      <c r="I3961" s="2363" t="s">
        <v>2776</v>
      </c>
      <c r="J3961" s="355" t="s">
        <v>6139</v>
      </c>
      <c r="K3961" s="291"/>
      <c r="L3961" s="291"/>
      <c r="M3961" s="291"/>
      <c r="N3961" s="291"/>
      <c r="O3961" s="291"/>
      <c r="P3961" s="291"/>
      <c r="Q3961" s="367"/>
      <c r="R3961" s="367"/>
      <c r="S3961" s="364"/>
      <c r="Z3961" s="609" t="s">
        <v>3987</v>
      </c>
      <c r="AA3961" s="609" t="s">
        <v>5682</v>
      </c>
    </row>
    <row r="3962" spans="1:27" ht="18">
      <c r="A3962" s="2712"/>
      <c r="B3962" s="371">
        <v>101</v>
      </c>
      <c r="C3962" s="371"/>
      <c r="D3962" s="2714">
        <f t="shared" ref="D3962:D3967" si="444">IF(OR(G3962="*",G3962="",G3962=0),0,COUNTIF($G$3962:$G$3967,G3962))</f>
        <v>1</v>
      </c>
      <c r="E3962" s="2719">
        <v>1</v>
      </c>
      <c r="F3962" s="294"/>
      <c r="G3962" s="1472" t="s">
        <v>4006</v>
      </c>
      <c r="H3962" s="2273"/>
      <c r="I3962" s="2294"/>
      <c r="J3962" s="291"/>
      <c r="K3962" s="291"/>
      <c r="L3962" s="291"/>
      <c r="M3962" s="291"/>
      <c r="N3962" s="291"/>
      <c r="O3962" s="291"/>
      <c r="P3962" s="291"/>
      <c r="Q3962" s="367"/>
      <c r="R3962" s="367"/>
      <c r="S3962" s="364"/>
      <c r="Z3962" s="609" t="s">
        <v>3987</v>
      </c>
      <c r="AA3962" s="609" t="s">
        <v>5682</v>
      </c>
    </row>
    <row r="3963" spans="1:27" ht="18">
      <c r="A3963" s="2712"/>
      <c r="B3963" s="371">
        <v>102</v>
      </c>
      <c r="C3963" s="371" t="s">
        <v>2791</v>
      </c>
      <c r="D3963" s="2714">
        <f t="shared" si="444"/>
        <v>0</v>
      </c>
      <c r="E3963" s="2719">
        <v>1</v>
      </c>
      <c r="F3963" s="294"/>
      <c r="G3963" s="2373" t="s">
        <v>2792</v>
      </c>
      <c r="H3963" s="2273"/>
      <c r="I3963" s="2294"/>
      <c r="J3963" s="291"/>
      <c r="K3963" s="291"/>
      <c r="L3963" s="291"/>
      <c r="M3963" s="291"/>
      <c r="N3963" s="291"/>
      <c r="O3963" s="291"/>
      <c r="P3963" s="291"/>
      <c r="Q3963" s="367"/>
      <c r="R3963" s="367"/>
      <c r="S3963" s="364"/>
      <c r="Z3963" s="609" t="s">
        <v>3987</v>
      </c>
      <c r="AA3963" s="609" t="s">
        <v>5682</v>
      </c>
    </row>
    <row r="3964" spans="1:27" ht="18">
      <c r="A3964" s="2712"/>
      <c r="B3964" s="371">
        <v>103</v>
      </c>
      <c r="C3964" s="371" t="s">
        <v>2791</v>
      </c>
      <c r="D3964" s="2714">
        <f t="shared" si="444"/>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5682</v>
      </c>
    </row>
    <row r="3965" spans="1:27" ht="18">
      <c r="A3965" s="2712"/>
      <c r="B3965" s="371">
        <v>104</v>
      </c>
      <c r="C3965" s="371" t="s">
        <v>2791</v>
      </c>
      <c r="D3965" s="2714">
        <f t="shared" si="444"/>
        <v>0</v>
      </c>
      <c r="E3965" s="2719">
        <v>1</v>
      </c>
      <c r="F3965" s="294"/>
      <c r="G3965" s="2373" t="s">
        <v>2792</v>
      </c>
      <c r="H3965" s="2273"/>
      <c r="I3965" s="2294"/>
      <c r="J3965" s="291"/>
      <c r="K3965" s="291"/>
      <c r="L3965" s="291"/>
      <c r="M3965" s="291"/>
      <c r="N3965" s="291"/>
      <c r="O3965" s="291"/>
      <c r="P3965" s="291"/>
      <c r="Q3965" s="367"/>
      <c r="R3965" s="367"/>
      <c r="S3965" s="364"/>
      <c r="Z3965" s="609" t="s">
        <v>3987</v>
      </c>
      <c r="AA3965" s="609" t="s">
        <v>5682</v>
      </c>
    </row>
    <row r="3966" spans="1:27" ht="18">
      <c r="A3966" s="2712"/>
      <c r="B3966" s="371">
        <v>105</v>
      </c>
      <c r="C3966" s="371" t="s">
        <v>2791</v>
      </c>
      <c r="D3966" s="2714">
        <f t="shared" si="444"/>
        <v>0</v>
      </c>
      <c r="E3966" s="2719">
        <v>1</v>
      </c>
      <c r="F3966" s="294"/>
      <c r="G3966" s="2373" t="s">
        <v>2792</v>
      </c>
      <c r="H3966" s="2273"/>
      <c r="I3966" s="2294"/>
      <c r="J3966" s="291"/>
      <c r="K3966" s="291"/>
      <c r="L3966" s="291"/>
      <c r="M3966" s="291"/>
      <c r="N3966" s="291"/>
      <c r="O3966" s="291"/>
      <c r="P3966" s="291"/>
      <c r="Q3966" s="367"/>
      <c r="R3966" s="367"/>
      <c r="S3966" s="364"/>
      <c r="Z3966" s="609" t="s">
        <v>3987</v>
      </c>
      <c r="AA3966" s="609" t="s">
        <v>5682</v>
      </c>
    </row>
    <row r="3967" spans="1:27" ht="18.75" thickBot="1">
      <c r="A3967" s="2712"/>
      <c r="B3967" s="371"/>
      <c r="C3967" s="371"/>
      <c r="D3967" s="2714">
        <f t="shared" si="444"/>
        <v>1</v>
      </c>
      <c r="E3967" s="2719" t="s">
        <v>2751</v>
      </c>
      <c r="F3967" s="294"/>
      <c r="G3967" s="1527" t="s">
        <v>2752</v>
      </c>
      <c r="H3967" s="1525">
        <f>SUMPRODUCT($E3961:$E3966,H3961:H3966)</f>
        <v>0</v>
      </c>
      <c r="I3967" s="1526">
        <f>SUMPRODUCT($E3961:$E3966,I3961:I3966)</f>
        <v>0</v>
      </c>
      <c r="J3967" s="291"/>
      <c r="K3967" s="291"/>
      <c r="L3967" s="291"/>
      <c r="M3967" s="291"/>
      <c r="N3967" s="291"/>
      <c r="O3967" s="291"/>
      <c r="P3967" s="291"/>
      <c r="Q3967" s="367"/>
      <c r="R3967" s="367"/>
      <c r="S3967" s="364"/>
      <c r="Z3967" s="609" t="s">
        <v>3987</v>
      </c>
      <c r="AA3967" s="609" t="s">
        <v>5682</v>
      </c>
    </row>
    <row r="3968" spans="1:27" ht="18">
      <c r="A3968" s="2712"/>
      <c r="B3968" s="371"/>
      <c r="C3968" s="371" t="s">
        <v>2755</v>
      </c>
      <c r="D3968" s="371"/>
      <c r="F3968" s="294"/>
      <c r="G3968" s="301"/>
      <c r="H3968" s="315" t="s">
        <v>3002</v>
      </c>
      <c r="I3968" s="315" t="s">
        <v>3002</v>
      </c>
      <c r="J3968" s="350"/>
      <c r="K3968" s="349"/>
      <c r="L3968" s="349"/>
      <c r="M3968" s="350"/>
      <c r="N3968" s="291"/>
      <c r="O3968" s="291"/>
      <c r="P3968" s="291"/>
      <c r="Q3968" s="367"/>
      <c r="R3968" s="367"/>
      <c r="S3968" s="364"/>
      <c r="Z3968" s="609" t="s">
        <v>3987</v>
      </c>
      <c r="AA3968" s="609" t="s">
        <v>5682</v>
      </c>
    </row>
    <row r="3969" spans="1:29" ht="18">
      <c r="A3969" s="2712">
        <v>2396</v>
      </c>
      <c r="B3969" s="371">
        <v>45</v>
      </c>
      <c r="C3969" s="2714" t="str">
        <f>VLOOKUP($A3969,Sheet_Items,2,0)</f>
        <v>其他流动负债</v>
      </c>
      <c r="D3969" s="371"/>
      <c r="E3969" s="2714" t="s">
        <v>2739</v>
      </c>
      <c r="F3969" s="294"/>
      <c r="G3969" s="535" t="str">
        <f>B3969&amp;" "&amp;C3969</f>
        <v>45 其他流动负债</v>
      </c>
      <c r="H3969" s="306"/>
      <c r="I3969" s="306"/>
      <c r="J3969" s="306" t="s">
        <v>2740</v>
      </c>
      <c r="K3969" s="341">
        <f>VLOOKUP($A3969,Sheet_Trialbal,6,0)</f>
        <v>0</v>
      </c>
      <c r="L3969" s="342"/>
      <c r="M3969" s="306" t="s">
        <v>2741</v>
      </c>
      <c r="N3969" s="341">
        <f>VLOOKUP($A3969,Sheet_Trialbal,10,0)</f>
        <v>0</v>
      </c>
      <c r="O3969" s="306"/>
      <c r="P3969" s="301"/>
      <c r="S3969" s="364"/>
      <c r="Z3969" s="609" t="s">
        <v>4007</v>
      </c>
      <c r="AA3969" s="609" t="s">
        <v>5683</v>
      </c>
    </row>
    <row r="3970" spans="1:29" ht="18">
      <c r="A3970" s="2712" t="s">
        <v>1621</v>
      </c>
      <c r="B3970" s="371">
        <v>1</v>
      </c>
      <c r="C3970" s="371"/>
      <c r="D3970" s="2714" t="str">
        <f>VLOOKUP($A3970,Sheet_NoteList,2,0)</f>
        <v>其他流动负债明细项目</v>
      </c>
      <c r="E3970" s="2714" t="s">
        <v>2742</v>
      </c>
      <c r="F3970" s="294"/>
      <c r="G3970" s="307" t="str">
        <f>"("&amp;B3970&amp;")"&amp;D3970</f>
        <v>(1)其他流动负债明细项目</v>
      </c>
      <c r="H3970" s="1515" t="str">
        <f>$A3970</f>
        <v>2396a</v>
      </c>
      <c r="I3970" s="343" t="s">
        <v>2743</v>
      </c>
      <c r="J3970" s="301" t="s">
        <v>2744</v>
      </c>
      <c r="K3970" s="2208">
        <f>H3979</f>
        <v>0</v>
      </c>
      <c r="L3970" s="345" t="str">
        <f>IF($I3970="适用",IF(ROUND(K3969-K3970,2)=0,"F/S",ROUND(K3969-K3970,2)),"#N/A")</f>
        <v>F/S</v>
      </c>
      <c r="M3970" s="301" t="s">
        <v>2745</v>
      </c>
      <c r="N3970" s="2208">
        <f>I3979</f>
        <v>0</v>
      </c>
      <c r="O3970" s="345" t="str">
        <f>IF($I3970="适用",IF(ROUND(N3969-N3970,2)=0,"F/S",ROUND(N3969-N3970,2)),"#N/A")</f>
        <v>F/S</v>
      </c>
      <c r="P3970" s="301"/>
      <c r="Q3970" s="290" t="str">
        <f>IF($I3970="不适用","",IF(ROUND(SUM($H$3973:$I$3979),2)=0,"请输入",""))</f>
        <v>请输入</v>
      </c>
      <c r="S3970" s="364"/>
      <c r="Z3970" s="609" t="s">
        <v>4007</v>
      </c>
      <c r="AA3970" s="609" t="s">
        <v>5683</v>
      </c>
    </row>
    <row r="3971" spans="1:29" ht="0.75" customHeight="1" thickBot="1">
      <c r="A3971" s="2712"/>
      <c r="B3971" s="371"/>
      <c r="C3971" s="371"/>
      <c r="D3971" s="371"/>
      <c r="F3971" s="294"/>
      <c r="G3971" s="294" t="s">
        <v>4008</v>
      </c>
      <c r="H3971" s="294" t="s">
        <v>2747</v>
      </c>
      <c r="I3971" s="294" t="s">
        <v>2748</v>
      </c>
      <c r="J3971" s="291"/>
      <c r="K3971" s="291"/>
      <c r="L3971" s="291"/>
      <c r="M3971" s="291"/>
      <c r="S3971" s="364"/>
      <c r="Z3971" s="609" t="s">
        <v>4007</v>
      </c>
      <c r="AA3971" s="609" t="s">
        <v>5683</v>
      </c>
    </row>
    <row r="3972" spans="1:29" ht="18">
      <c r="A3972" s="2712"/>
      <c r="B3972" s="371"/>
      <c r="C3972" s="371"/>
      <c r="D3972" s="371"/>
      <c r="E3972" s="2714" t="s">
        <v>2749</v>
      </c>
      <c r="F3972" s="294"/>
      <c r="G3972" s="410" t="s">
        <v>47</v>
      </c>
      <c r="H3972" s="1452" t="str">
        <f>$V$2</f>
        <v>2019年12月31日</v>
      </c>
      <c r="I3972" s="1453" t="str">
        <f>$V$3</f>
        <v>2018年12月31日</v>
      </c>
      <c r="J3972" s="355" t="s">
        <v>5308</v>
      </c>
      <c r="K3972" s="291"/>
      <c r="L3972" s="291"/>
      <c r="M3972" s="291"/>
      <c r="S3972" s="364"/>
      <c r="Z3972" s="609" t="s">
        <v>4007</v>
      </c>
      <c r="AA3972" s="609" t="s">
        <v>5683</v>
      </c>
    </row>
    <row r="3973" spans="1:29" ht="18">
      <c r="A3973" s="2712"/>
      <c r="B3973" s="371">
        <v>101</v>
      </c>
      <c r="C3973" s="371"/>
      <c r="D3973" s="2714">
        <f t="shared" ref="D3973:D3979" si="445">IF(OR(G3973="*",G3973="",G3973=0),0,COUNTIF($G$3973:$G$3979,G3973))</f>
        <v>1</v>
      </c>
      <c r="E3973" s="2719">
        <v>1</v>
      </c>
      <c r="F3973" s="294"/>
      <c r="G3973" s="308" t="s">
        <v>1627</v>
      </c>
      <c r="H3973" s="309"/>
      <c r="I3973" s="346"/>
      <c r="J3973" s="1531" t="str">
        <f ca="1">HYPERLINK("#'"&amp;$G$1&amp;"'!"&amp;ADDRESS(ROW(Notes!L3992),COLUMN(Notes!L3992),4),"* 请勿删除此行！点击往勾稽单元格，F5+Enter返回")</f>
        <v>* 请勿删除此行！点击往勾稽单元格，F5+Enter返回</v>
      </c>
      <c r="K3973" s="291"/>
      <c r="L3973" s="291"/>
      <c r="M3973" s="291"/>
      <c r="S3973" s="364"/>
      <c r="Z3973" s="609" t="s">
        <v>4007</v>
      </c>
      <c r="AA3973" s="609" t="s">
        <v>5683</v>
      </c>
      <c r="AC3973" s="369" t="s">
        <v>6571</v>
      </c>
    </row>
    <row r="3974" spans="1:29" ht="24">
      <c r="A3974" s="2712"/>
      <c r="B3974" s="371">
        <v>102</v>
      </c>
      <c r="C3974" s="371"/>
      <c r="D3974" s="2714">
        <f t="shared" si="445"/>
        <v>1</v>
      </c>
      <c r="E3974" s="2719">
        <v>1</v>
      </c>
      <c r="F3974" s="294"/>
      <c r="G3974" s="308" t="s">
        <v>5250</v>
      </c>
      <c r="H3974" s="309"/>
      <c r="I3974" s="346"/>
      <c r="J3974" s="357"/>
      <c r="K3974" s="291"/>
      <c r="L3974" s="291"/>
      <c r="M3974" s="291"/>
      <c r="S3974" s="364"/>
      <c r="Z3974" s="609" t="s">
        <v>4007</v>
      </c>
      <c r="AA3974" s="609" t="s">
        <v>5683</v>
      </c>
    </row>
    <row r="3975" spans="1:29" ht="18">
      <c r="A3975" s="2712"/>
      <c r="B3975" s="371">
        <v>103</v>
      </c>
      <c r="C3975" s="371" t="s">
        <v>2791</v>
      </c>
      <c r="D3975" s="2714">
        <f t="shared" si="445"/>
        <v>0</v>
      </c>
      <c r="E3975" s="2719">
        <v>1</v>
      </c>
      <c r="F3975" s="294"/>
      <c r="G3975" s="319" t="s">
        <v>2792</v>
      </c>
      <c r="H3975" s="309"/>
      <c r="I3975" s="346"/>
      <c r="J3975" s="357"/>
      <c r="K3975" s="291"/>
      <c r="L3975" s="291"/>
      <c r="M3975" s="291"/>
      <c r="S3975" s="364"/>
      <c r="Z3975" s="609" t="s">
        <v>4007</v>
      </c>
      <c r="AA3975" s="609" t="s">
        <v>5683</v>
      </c>
    </row>
    <row r="3976" spans="1:29" ht="18">
      <c r="A3976" s="2712"/>
      <c r="B3976" s="371">
        <v>105</v>
      </c>
      <c r="C3976" s="371" t="s">
        <v>2791</v>
      </c>
      <c r="D3976" s="2714">
        <f t="shared" si="445"/>
        <v>0</v>
      </c>
      <c r="E3976" s="2719">
        <v>1</v>
      </c>
      <c r="F3976" s="294"/>
      <c r="G3976" s="319" t="s">
        <v>2792</v>
      </c>
      <c r="H3976" s="309"/>
      <c r="I3976" s="346"/>
      <c r="J3976" s="291"/>
      <c r="K3976" s="291"/>
      <c r="L3976" s="291"/>
      <c r="M3976" s="291"/>
      <c r="S3976" s="364"/>
      <c r="Z3976" s="609" t="s">
        <v>4007</v>
      </c>
      <c r="AA3976" s="609" t="s">
        <v>5683</v>
      </c>
    </row>
    <row r="3977" spans="1:29" ht="18">
      <c r="A3977" s="2712"/>
      <c r="B3977" s="371">
        <v>106</v>
      </c>
      <c r="C3977" s="371" t="s">
        <v>2791</v>
      </c>
      <c r="D3977" s="2714">
        <f t="shared" si="445"/>
        <v>0</v>
      </c>
      <c r="E3977" s="2719">
        <v>1</v>
      </c>
      <c r="F3977" s="294"/>
      <c r="G3977" s="319" t="s">
        <v>2792</v>
      </c>
      <c r="H3977" s="309"/>
      <c r="I3977" s="346"/>
      <c r="J3977" s="291"/>
      <c r="K3977" s="291"/>
      <c r="L3977" s="291"/>
      <c r="M3977" s="291"/>
      <c r="S3977" s="364"/>
      <c r="Z3977" s="609" t="s">
        <v>4007</v>
      </c>
      <c r="AA3977" s="609" t="s">
        <v>5683</v>
      </c>
    </row>
    <row r="3978" spans="1:29" ht="18">
      <c r="A3978" s="2712"/>
      <c r="B3978" s="371">
        <v>107</v>
      </c>
      <c r="C3978" s="371" t="s">
        <v>2791</v>
      </c>
      <c r="D3978" s="2714">
        <f t="shared" si="445"/>
        <v>0</v>
      </c>
      <c r="E3978" s="2719">
        <v>1</v>
      </c>
      <c r="F3978" s="294"/>
      <c r="G3978" s="319" t="s">
        <v>2792</v>
      </c>
      <c r="H3978" s="309"/>
      <c r="I3978" s="346"/>
      <c r="J3978" s="291"/>
      <c r="K3978" s="291"/>
      <c r="L3978" s="291"/>
      <c r="M3978" s="291"/>
      <c r="S3978" s="364"/>
      <c r="Z3978" s="609" t="s">
        <v>4007</v>
      </c>
      <c r="AA3978" s="609" t="s">
        <v>5683</v>
      </c>
    </row>
    <row r="3979" spans="1:29" ht="18.75" thickBot="1">
      <c r="A3979" s="2712"/>
      <c r="B3979" s="371"/>
      <c r="C3979" s="371"/>
      <c r="D3979" s="2714">
        <f t="shared" si="445"/>
        <v>1</v>
      </c>
      <c r="E3979" s="2719" t="s">
        <v>2751</v>
      </c>
      <c r="F3979" s="294"/>
      <c r="G3979" s="374" t="s">
        <v>2752</v>
      </c>
      <c r="H3979" s="375">
        <f>SUMPRODUCT($E3972:$E3978,H3972:H3978)</f>
        <v>0</v>
      </c>
      <c r="I3979" s="395">
        <f>SUMPRODUCT($E3972:$E3978,I3972:I3978)</f>
        <v>0</v>
      </c>
      <c r="J3979" s="291"/>
      <c r="K3979" s="291"/>
      <c r="L3979" s="291"/>
      <c r="M3979" s="291"/>
      <c r="S3979" s="364"/>
      <c r="Z3979" s="609" t="s">
        <v>4007</v>
      </c>
      <c r="AA3979" s="609" t="s">
        <v>5683</v>
      </c>
    </row>
    <row r="3980" spans="1:29" ht="18">
      <c r="A3980" s="2712"/>
      <c r="B3980" s="371"/>
      <c r="C3980" s="371" t="s">
        <v>2755</v>
      </c>
      <c r="D3980" s="371"/>
      <c r="F3980" s="294"/>
      <c r="G3980" s="301"/>
      <c r="H3980" s="315"/>
      <c r="I3980" s="315"/>
      <c r="J3980" s="291"/>
      <c r="K3980" s="291"/>
      <c r="L3980" s="291"/>
      <c r="M3980" s="291"/>
      <c r="S3980" s="364"/>
      <c r="Z3980" s="609" t="s">
        <v>4007</v>
      </c>
      <c r="AA3980" s="609" t="s">
        <v>5683</v>
      </c>
    </row>
    <row r="3981" spans="1:29" ht="24">
      <c r="A3981" s="2712" t="s">
        <v>1626</v>
      </c>
      <c r="B3981" s="371">
        <v>2</v>
      </c>
      <c r="C3981" s="371"/>
      <c r="D3981" s="2714" t="str">
        <f>VLOOKUP($A3981,Sheet_NoteList,2,0)</f>
        <v>短期应付债券的增减变动</v>
      </c>
      <c r="E3981" s="2714" t="s">
        <v>2742</v>
      </c>
      <c r="F3981" s="294"/>
      <c r="G3981" s="372" t="str">
        <f>"("&amp;B3981&amp;")"&amp;D3981</f>
        <v>(2)短期应付债券的增减变动</v>
      </c>
      <c r="H3981" s="1515" t="str">
        <f>$A3981</f>
        <v>2396c</v>
      </c>
      <c r="I3981" s="343" t="s">
        <v>2743</v>
      </c>
      <c r="J3981" s="301" t="s">
        <v>2744</v>
      </c>
      <c r="K3981" s="2208">
        <f>Q3989</f>
        <v>0</v>
      </c>
      <c r="L3981" s="345"/>
      <c r="M3981" s="301" t="s">
        <v>2745</v>
      </c>
      <c r="N3981" s="2208">
        <f>L3989</f>
        <v>0</v>
      </c>
      <c r="O3981" s="315"/>
      <c r="P3981" s="301"/>
      <c r="Q3981" s="290" t="str">
        <f>IF($I3981="不适用","",IF(ROUND(SUM($H$3984:$Q$3989),2)=0,"请输入",""))</f>
        <v>请输入</v>
      </c>
      <c r="R3981" s="367"/>
      <c r="S3981" s="364"/>
      <c r="Z3981" s="609" t="s">
        <v>4007</v>
      </c>
      <c r="AA3981" s="609" t="s">
        <v>5683</v>
      </c>
    </row>
    <row r="3982" spans="1:29" ht="0.75" customHeight="1" thickBot="1">
      <c r="A3982" s="2712"/>
      <c r="B3982" s="371"/>
      <c r="C3982" s="371"/>
      <c r="D3982" s="371"/>
      <c r="F3982" s="304"/>
      <c r="G3982" s="304" t="s">
        <v>4009</v>
      </c>
      <c r="H3982" s="304" t="s">
        <v>3431</v>
      </c>
      <c r="I3982" s="304" t="s">
        <v>3991</v>
      </c>
      <c r="J3982" s="304" t="s">
        <v>3992</v>
      </c>
      <c r="K3982" s="304" t="s">
        <v>3993</v>
      </c>
      <c r="L3982" s="304" t="s">
        <v>3242</v>
      </c>
      <c r="M3982" s="304" t="s">
        <v>3994</v>
      </c>
      <c r="N3982" s="304" t="s">
        <v>3995</v>
      </c>
      <c r="O3982" s="304" t="s">
        <v>3996</v>
      </c>
      <c r="P3982" s="304" t="s">
        <v>3997</v>
      </c>
      <c r="Q3982" s="366" t="s">
        <v>3499</v>
      </c>
      <c r="R3982" s="367"/>
      <c r="S3982" s="364"/>
      <c r="T3982" s="291"/>
      <c r="Z3982" s="609" t="s">
        <v>4007</v>
      </c>
      <c r="AA3982" s="609" t="s">
        <v>5683</v>
      </c>
    </row>
    <row r="3983" spans="1:29" ht="24">
      <c r="A3983" s="2712"/>
      <c r="B3983" s="371"/>
      <c r="C3983" s="371"/>
      <c r="D3983" s="371"/>
      <c r="E3983" s="2714" t="s">
        <v>2749</v>
      </c>
      <c r="F3983" s="294"/>
      <c r="G3983" s="378" t="s">
        <v>1613</v>
      </c>
      <c r="H3983" s="398" t="s">
        <v>3319</v>
      </c>
      <c r="I3983" s="398" t="s">
        <v>3998</v>
      </c>
      <c r="J3983" s="398" t="s">
        <v>3999</v>
      </c>
      <c r="K3983" s="398" t="s">
        <v>4000</v>
      </c>
      <c r="L3983" s="504" t="str">
        <f>$W$3&amp;"余额"</f>
        <v>2018年12月31日余额</v>
      </c>
      <c r="M3983" s="398" t="s">
        <v>4001</v>
      </c>
      <c r="N3983" s="398" t="s">
        <v>4002</v>
      </c>
      <c r="O3983" s="379" t="s">
        <v>4003</v>
      </c>
      <c r="P3983" s="398" t="s">
        <v>4004</v>
      </c>
      <c r="Q3983" s="606" t="str">
        <f>$W$2&amp;"余额"</f>
        <v>2019年12月31日余额</v>
      </c>
      <c r="R3983" s="355" t="s">
        <v>5308</v>
      </c>
      <c r="S3983" s="364"/>
      <c r="T3983" s="291"/>
      <c r="Z3983" s="609" t="s">
        <v>4007</v>
      </c>
      <c r="AA3983" s="609" t="s">
        <v>5683</v>
      </c>
    </row>
    <row r="3984" spans="1:29" ht="18">
      <c r="A3984" s="2712"/>
      <c r="B3984" s="371">
        <v>101</v>
      </c>
      <c r="C3984" s="371" t="s">
        <v>2791</v>
      </c>
      <c r="D3984" s="2714">
        <f t="shared" ref="D3984:D3989" si="446">IF(OR(G3984="*",G3984="",G3984=0),0,COUNTIF($G$3984:$G$3989,G3984))</f>
        <v>0</v>
      </c>
      <c r="E3984" s="2719">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5683</v>
      </c>
    </row>
    <row r="3985" spans="1:27" ht="18">
      <c r="A3985" s="2712"/>
      <c r="B3985" s="371">
        <v>102</v>
      </c>
      <c r="C3985" s="371" t="s">
        <v>2791</v>
      </c>
      <c r="D3985" s="2714">
        <f t="shared" si="446"/>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5683</v>
      </c>
    </row>
    <row r="3986" spans="1:27" ht="18">
      <c r="A3986" s="2712"/>
      <c r="B3986" s="371">
        <v>103</v>
      </c>
      <c r="C3986" s="371" t="s">
        <v>2791</v>
      </c>
      <c r="D3986" s="2714">
        <f t="shared" si="446"/>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5683</v>
      </c>
    </row>
    <row r="3987" spans="1:27" ht="18">
      <c r="A3987" s="2712"/>
      <c r="B3987" s="371">
        <v>104</v>
      </c>
      <c r="C3987" s="371" t="s">
        <v>2791</v>
      </c>
      <c r="D3987" s="2714">
        <f t="shared" si="446"/>
        <v>0</v>
      </c>
      <c r="E3987" s="2719">
        <v>1</v>
      </c>
      <c r="F3987" s="294"/>
      <c r="G3987" s="409" t="s">
        <v>2792</v>
      </c>
      <c r="H3987" s="383"/>
      <c r="I3987" s="469"/>
      <c r="J3987" s="469"/>
      <c r="K3987" s="383"/>
      <c r="L3987" s="383"/>
      <c r="M3987" s="383"/>
      <c r="N3987" s="383"/>
      <c r="O3987" s="381"/>
      <c r="P3987" s="383"/>
      <c r="Q3987" s="401">
        <f>SUM(L3987:N3987,O3987,-P3987)</f>
        <v>0</v>
      </c>
      <c r="R3987" s="367"/>
      <c r="S3987" s="364"/>
      <c r="T3987" s="291"/>
      <c r="Z3987" s="609" t="s">
        <v>4007</v>
      </c>
      <c r="AA3987" s="609" t="s">
        <v>5683</v>
      </c>
    </row>
    <row r="3988" spans="1:27" ht="18">
      <c r="A3988" s="2712"/>
      <c r="B3988" s="371">
        <v>105</v>
      </c>
      <c r="C3988" s="371" t="s">
        <v>2791</v>
      </c>
      <c r="D3988" s="2714">
        <f t="shared" si="446"/>
        <v>0</v>
      </c>
      <c r="E3988" s="2719">
        <v>1</v>
      </c>
      <c r="F3988" s="294"/>
      <c r="G3988" s="409" t="s">
        <v>2792</v>
      </c>
      <c r="H3988" s="383"/>
      <c r="I3988" s="469"/>
      <c r="J3988" s="469"/>
      <c r="K3988" s="383"/>
      <c r="L3988" s="383"/>
      <c r="M3988" s="383"/>
      <c r="N3988" s="383"/>
      <c r="O3988" s="381"/>
      <c r="P3988" s="383"/>
      <c r="Q3988" s="401">
        <f>SUM(L3988:N3988,O3988,-P3988)</f>
        <v>0</v>
      </c>
      <c r="R3988" s="367"/>
      <c r="S3988" s="364"/>
      <c r="T3988" s="291"/>
      <c r="Z3988" s="609" t="s">
        <v>4007</v>
      </c>
      <c r="AA3988" s="609" t="s">
        <v>5683</v>
      </c>
    </row>
    <row r="3989" spans="1:27" ht="18.75" thickBot="1">
      <c r="A3989" s="2712"/>
      <c r="B3989" s="371"/>
      <c r="C3989" s="371"/>
      <c r="D3989" s="2714">
        <f t="shared" si="446"/>
        <v>1</v>
      </c>
      <c r="E3989" s="2719" t="s">
        <v>2751</v>
      </c>
      <c r="F3989" s="294"/>
      <c r="G3989" s="403" t="s">
        <v>2752</v>
      </c>
      <c r="H3989" s="503">
        <f>SUMPRODUCT($E3983:$E3988,H3983:H3988)</f>
        <v>0</v>
      </c>
      <c r="I3989" s="512"/>
      <c r="J3989" s="512"/>
      <c r="K3989" s="503">
        <f t="shared" ref="K3989:Q3989" si="447">SUMPRODUCT($E3983:$E3988,K3983:K3988)</f>
        <v>0</v>
      </c>
      <c r="L3989" s="503">
        <f t="shared" si="447"/>
        <v>0</v>
      </c>
      <c r="M3989" s="503">
        <f t="shared" si="447"/>
        <v>0</v>
      </c>
      <c r="N3989" s="503">
        <f t="shared" si="447"/>
        <v>0</v>
      </c>
      <c r="O3989" s="503">
        <f t="shared" si="447"/>
        <v>0</v>
      </c>
      <c r="P3989" s="503">
        <f t="shared" si="447"/>
        <v>0</v>
      </c>
      <c r="Q3989" s="515">
        <f t="shared" si="447"/>
        <v>0</v>
      </c>
      <c r="R3989" s="367"/>
      <c r="S3989" s="364"/>
      <c r="T3989" s="291"/>
      <c r="Z3989" s="609" t="s">
        <v>4007</v>
      </c>
      <c r="AA3989" s="609" t="s">
        <v>5683</v>
      </c>
    </row>
    <row r="3990" spans="1:27" ht="18.75" thickBot="1">
      <c r="A3990" s="2712"/>
      <c r="B3990" s="371"/>
      <c r="C3990" s="371" t="s">
        <v>2755</v>
      </c>
      <c r="D3990" s="371"/>
      <c r="F3990" s="294"/>
      <c r="G3990" s="301"/>
      <c r="H3990" s="315"/>
      <c r="I3990" s="393"/>
      <c r="J3990" s="393"/>
      <c r="K3990" s="315"/>
      <c r="L3990" s="527" t="s">
        <v>3002</v>
      </c>
      <c r="M3990" s="315"/>
      <c r="N3990" s="315"/>
      <c r="O3990" s="315"/>
      <c r="P3990" s="315"/>
      <c r="Q3990" s="528" t="s">
        <v>3002</v>
      </c>
      <c r="R3990" s="367"/>
      <c r="S3990" s="364"/>
      <c r="T3990" s="291"/>
      <c r="Z3990" s="609" t="s">
        <v>4007</v>
      </c>
      <c r="AA3990" s="609" t="s">
        <v>5683</v>
      </c>
    </row>
    <row r="3991" spans="1:27" ht="18.75" thickTop="1">
      <c r="A3991" s="2712"/>
      <c r="B3991" s="371"/>
      <c r="C3991" s="371" t="s">
        <v>2565</v>
      </c>
      <c r="D3991" s="371"/>
      <c r="F3991" s="294"/>
      <c r="G3991" s="454" t="s">
        <v>2756</v>
      </c>
      <c r="H3991" s="455" t="str">
        <f>G3970</f>
        <v>(1)其他流动负债明细项目</v>
      </c>
      <c r="I3991" s="474"/>
      <c r="J3991" s="474"/>
      <c r="K3991" s="474"/>
      <c r="L3991" s="487"/>
      <c r="M3991" s="474"/>
      <c r="N3991" s="474"/>
      <c r="O3991" s="474"/>
      <c r="P3991" s="474"/>
      <c r="Q3991" s="487"/>
      <c r="R3991" s="367"/>
      <c r="S3991" s="364"/>
      <c r="T3991" s="291"/>
      <c r="Z3991" s="609" t="s">
        <v>4007</v>
      </c>
      <c r="AA3991" s="609" t="s">
        <v>5683</v>
      </c>
    </row>
    <row r="3992" spans="1:27" ht="18">
      <c r="A3992" s="2712"/>
      <c r="B3992" s="371"/>
      <c r="C3992" s="371" t="s">
        <v>2565</v>
      </c>
      <c r="D3992" s="371"/>
      <c r="F3992" s="294"/>
      <c r="G3992" s="316" t="str">
        <f>G3973</f>
        <v>短期应付债券</v>
      </c>
      <c r="H3992" s="351"/>
      <c r="I3992" s="351"/>
      <c r="J3992" s="351"/>
      <c r="K3992" s="351"/>
      <c r="L3992" s="2250">
        <f ca="1">HYPERLINK("#'"&amp;$G$1&amp;"'!"&amp;ADDRESS(ROW(Notes!I3973),COLUMN(Notes!I3973),4),I3973)</f>
        <v>0</v>
      </c>
      <c r="M3992" s="351"/>
      <c r="N3992" s="351"/>
      <c r="O3992" s="351"/>
      <c r="P3992" s="351"/>
      <c r="Q3992" s="2667">
        <f ca="1">HYPERLINK("#'"&amp;$G$1&amp;"'!"&amp;ADDRESS(ROW(Notes!H3973),COLUMN(Notes!H3973),4),H3973)</f>
        <v>0</v>
      </c>
      <c r="R3992" s="2666" t="str">
        <f>H3970</f>
        <v>2396a</v>
      </c>
      <c r="S3992" s="364"/>
      <c r="T3992" s="291"/>
      <c r="Z3992" s="609" t="s">
        <v>4007</v>
      </c>
      <c r="AA3992" s="609" t="s">
        <v>5683</v>
      </c>
    </row>
    <row r="3993" spans="1:27" ht="18">
      <c r="A3993" s="2712"/>
      <c r="B3993" s="371"/>
      <c r="C3993" s="371" t="s">
        <v>2565</v>
      </c>
      <c r="D3993" s="371"/>
      <c r="F3993" s="294"/>
      <c r="G3993" s="316" t="s">
        <v>3003</v>
      </c>
      <c r="H3993" s="351"/>
      <c r="I3993" s="351"/>
      <c r="J3993" s="351"/>
      <c r="K3993" s="351"/>
      <c r="L3993" s="456">
        <f>L3989</f>
        <v>0</v>
      </c>
      <c r="M3993" s="351"/>
      <c r="N3993" s="351"/>
      <c r="O3993" s="351"/>
      <c r="P3993" s="351"/>
      <c r="Q3993" s="495">
        <f>Q3989</f>
        <v>0</v>
      </c>
      <c r="R3993" s="367"/>
      <c r="S3993" s="364"/>
      <c r="T3993" s="291"/>
      <c r="Z3993" s="609" t="s">
        <v>4007</v>
      </c>
      <c r="AA3993" s="609" t="s">
        <v>5683</v>
      </c>
    </row>
    <row r="3994" spans="1:27" ht="18.75" thickBot="1">
      <c r="A3994" s="2712"/>
      <c r="B3994" s="371"/>
      <c r="C3994" s="371" t="s">
        <v>2565</v>
      </c>
      <c r="D3994" s="371"/>
      <c r="F3994" s="294"/>
      <c r="G3994" s="457" t="s">
        <v>2757</v>
      </c>
      <c r="H3994" s="356"/>
      <c r="I3994" s="356"/>
      <c r="J3994" s="356"/>
      <c r="K3994" s="356"/>
      <c r="L3994" s="458">
        <f ca="1">IF(AND(L3992="",L3993=""),"",ROUND(L3992-L3993,2))</f>
        <v>0</v>
      </c>
      <c r="M3994" s="356"/>
      <c r="N3994" s="356"/>
      <c r="O3994" s="356"/>
      <c r="P3994" s="356"/>
      <c r="Q3994" s="458">
        <f ca="1">IF(AND(Q3992="",Q3993=""),"",ROUND(Q3992-Q3993,2))</f>
        <v>0</v>
      </c>
      <c r="R3994" s="367"/>
      <c r="S3994" s="364"/>
      <c r="T3994" s="291"/>
      <c r="Z3994" s="609" t="s">
        <v>4007</v>
      </c>
      <c r="AA3994" s="609" t="s">
        <v>5683</v>
      </c>
    </row>
    <row r="3995" spans="1:27" ht="18.75" thickTop="1">
      <c r="A3995" s="2712"/>
      <c r="B3995" s="371"/>
      <c r="C3995" s="371" t="s">
        <v>2565</v>
      </c>
      <c r="D3995" s="371"/>
      <c r="F3995" s="294"/>
      <c r="G3995" s="354"/>
      <c r="H3995" s="317"/>
      <c r="I3995" s="317"/>
      <c r="J3995" s="317"/>
      <c r="K3995" s="317"/>
      <c r="L3995" s="459" t="str">
        <f ca="1">IF(OR(L3994=0,L3994=""),"√","？")</f>
        <v>√</v>
      </c>
      <c r="M3995" s="317"/>
      <c r="N3995" s="317"/>
      <c r="O3995" s="317"/>
      <c r="P3995" s="317"/>
      <c r="Q3995" s="496" t="str">
        <f ca="1">IF(OR(Q3994=0,Q3994=""),"√","？")</f>
        <v>√</v>
      </c>
      <c r="R3995" s="367"/>
      <c r="S3995" s="364"/>
      <c r="T3995" s="291"/>
      <c r="Z3995" s="609" t="s">
        <v>4007</v>
      </c>
      <c r="AA3995" s="609" t="s">
        <v>5683</v>
      </c>
    </row>
    <row r="3996" spans="1:27" ht="18">
      <c r="A3996" s="2712"/>
      <c r="B3996" s="371"/>
      <c r="C3996" s="371" t="s">
        <v>2565</v>
      </c>
      <c r="D3996" s="371"/>
      <c r="F3996" s="294"/>
      <c r="G3996" s="460" t="s">
        <v>2759</v>
      </c>
      <c r="H3996" s="317"/>
      <c r="I3996" s="317"/>
      <c r="J3996" s="317"/>
      <c r="K3996" s="352">
        <f ca="1">SUMIF($H$3995:$Q$3995,"&lt;&gt;√",$H$3994:$Q$3994)</f>
        <v>0</v>
      </c>
      <c r="L3996" s="353" t="str">
        <f ca="1">IF(OR(K3996=0,K3996=""),"√","？")</f>
        <v>√</v>
      </c>
      <c r="M3996" s="317"/>
      <c r="N3996" s="317"/>
      <c r="O3996" s="317"/>
      <c r="P3996" s="317"/>
      <c r="Q3996" s="497"/>
      <c r="R3996" s="367"/>
      <c r="S3996" s="364"/>
      <c r="T3996" s="291"/>
      <c r="Z3996" s="609" t="s">
        <v>4007</v>
      </c>
      <c r="AA3996" s="609" t="s">
        <v>5683</v>
      </c>
    </row>
    <row r="3997" spans="1:27" ht="18">
      <c r="A3997" s="2712"/>
      <c r="B3997" s="371"/>
      <c r="C3997" s="371" t="s">
        <v>2565</v>
      </c>
      <c r="D3997" s="371"/>
      <c r="F3997" s="294"/>
      <c r="G3997" s="354"/>
      <c r="H3997" s="317"/>
      <c r="I3997" s="317"/>
      <c r="J3997" s="317"/>
      <c r="K3997" s="317"/>
      <c r="L3997" s="461"/>
      <c r="M3997" s="317"/>
      <c r="N3997" s="317"/>
      <c r="O3997" s="317"/>
      <c r="P3997" s="317"/>
      <c r="Q3997" s="497"/>
      <c r="R3997" s="367"/>
      <c r="S3997" s="364"/>
      <c r="T3997" s="291"/>
      <c r="Z3997" s="609" t="s">
        <v>4007</v>
      </c>
      <c r="AA3997" s="609" t="s">
        <v>5683</v>
      </c>
    </row>
    <row r="3998" spans="1:27" ht="18">
      <c r="A3998" s="2712">
        <v>2501</v>
      </c>
      <c r="B3998" s="371">
        <v>46</v>
      </c>
      <c r="C3998" s="2714" t="str">
        <f>VLOOKUP($A3998,Sheet_Items,2,0)</f>
        <v>长期借款</v>
      </c>
      <c r="D3998" s="371"/>
      <c r="E3998" s="2714" t="s">
        <v>2739</v>
      </c>
      <c r="F3998" s="294"/>
      <c r="G3998" s="535" t="str">
        <f>B3998&amp;" "&amp;C3998</f>
        <v>46 长期借款</v>
      </c>
      <c r="H3998" s="306"/>
      <c r="I3998" s="306"/>
      <c r="J3998" s="306" t="s">
        <v>2740</v>
      </c>
      <c r="K3998" s="341">
        <f>VLOOKUP($A3998,Sheet_Trialbal,6,0)</f>
        <v>0</v>
      </c>
      <c r="L3998" s="342"/>
      <c r="M3998" s="306" t="s">
        <v>2741</v>
      </c>
      <c r="N3998" s="341">
        <f>VLOOKUP($A3998,Sheet_Trialbal,10,0)</f>
        <v>0</v>
      </c>
      <c r="O3998" s="306"/>
      <c r="P3998" s="301"/>
      <c r="S3998" s="364"/>
      <c r="Z3998" s="609" t="s">
        <v>4014</v>
      </c>
      <c r="AA3998" s="609" t="s">
        <v>5684</v>
      </c>
    </row>
    <row r="3999" spans="1:27" ht="18">
      <c r="A3999" s="2712" t="s">
        <v>1637</v>
      </c>
      <c r="B3999" s="371">
        <v>1</v>
      </c>
      <c r="C3999" s="371"/>
      <c r="D3999" s="2714" t="str">
        <f>VLOOKUP($A3999,Sheet_NoteList,2,0)</f>
        <v>长期借款分类</v>
      </c>
      <c r="E3999" s="2714" t="s">
        <v>2742</v>
      </c>
      <c r="F3999" s="294"/>
      <c r="G3999" s="307" t="str">
        <f>"("&amp;B3999&amp;")"&amp;D3999</f>
        <v>(1)长期借款分类</v>
      </c>
      <c r="H3999" s="1515" t="str">
        <f>$A3999</f>
        <v>2501a</v>
      </c>
      <c r="I3999" s="343" t="s">
        <v>2743</v>
      </c>
      <c r="J3999" s="301" t="s">
        <v>2744</v>
      </c>
      <c r="K3999" s="2208">
        <f>H4010</f>
        <v>0</v>
      </c>
      <c r="L3999" s="345" t="str">
        <f>IF($I3999="适用",IF(ROUND(K3998-K3999,2)=0,"F/S",ROUND(K3998-K3999,2)),"#N/A")</f>
        <v>F/S</v>
      </c>
      <c r="M3999" s="301" t="s">
        <v>2745</v>
      </c>
      <c r="N3999" s="2208">
        <f>I4010</f>
        <v>0</v>
      </c>
      <c r="O3999" s="345" t="str">
        <f>IF($I3999="适用",IF(ROUND(N3998-N3999,2)=0,"F/S",ROUND(N3998-N3999,2)),"#N/A")</f>
        <v>F/S</v>
      </c>
      <c r="P3999" s="301"/>
      <c r="Q3999" s="290" t="str">
        <f ca="1">IF($I3999="不适用","",IF(ROUND(SUM($H$4002:$K$4010),2)=0,"请输入",""))</f>
        <v>请输入</v>
      </c>
      <c r="S3999" s="364"/>
      <c r="Z3999" s="609" t="s">
        <v>4014</v>
      </c>
      <c r="AA3999" s="609" t="s">
        <v>5684</v>
      </c>
    </row>
    <row r="4000" spans="1:27" ht="0.75" customHeight="1" thickBot="1">
      <c r="A4000" s="2712"/>
      <c r="B4000" s="371"/>
      <c r="C4000" s="371"/>
      <c r="D4000" s="371"/>
      <c r="E4000" s="586"/>
      <c r="F4000" s="586"/>
      <c r="G4000" s="586" t="s">
        <v>4015</v>
      </c>
      <c r="H4000" s="371" t="s">
        <v>2747</v>
      </c>
      <c r="I4000" s="371" t="s">
        <v>6287</v>
      </c>
      <c r="J4000" s="371" t="s">
        <v>6288</v>
      </c>
      <c r="K4000" s="476"/>
      <c r="L4000" s="472"/>
      <c r="M4000" s="472"/>
      <c r="N4000" s="442"/>
      <c r="O4000" s="442"/>
      <c r="P4000" s="442"/>
      <c r="Q4000" s="442"/>
      <c r="R4000" s="443"/>
      <c r="S4000" s="364"/>
      <c r="Z4000" s="609" t="s">
        <v>4014</v>
      </c>
      <c r="AA4000" s="609" t="s">
        <v>5684</v>
      </c>
    </row>
    <row r="4001" spans="1:29" ht="18">
      <c r="A4001" s="2712"/>
      <c r="B4001" s="371"/>
      <c r="C4001" s="371"/>
      <c r="D4001" s="371"/>
      <c r="E4001" s="586" t="s">
        <v>2749</v>
      </c>
      <c r="F4001" s="363"/>
      <c r="G4001" s="2406" t="s">
        <v>1359</v>
      </c>
      <c r="H4001" s="2223" t="str">
        <f>$V$2</f>
        <v>2019年12月31日</v>
      </c>
      <c r="I4001" s="2223" t="str">
        <f>$V$3</f>
        <v>2018年12月31日</v>
      </c>
      <c r="J4001" s="2558" t="s">
        <v>6140</v>
      </c>
      <c r="K4001" s="355" t="s">
        <v>5309</v>
      </c>
      <c r="L4001" s="472"/>
      <c r="M4001" s="472"/>
      <c r="N4001" s="442"/>
      <c r="O4001" s="442"/>
      <c r="P4001" s="442"/>
      <c r="Q4001" s="442"/>
      <c r="R4001" s="443"/>
      <c r="S4001" s="364"/>
      <c r="Z4001" s="609" t="s">
        <v>4014</v>
      </c>
      <c r="AA4001" s="609" t="s">
        <v>5684</v>
      </c>
    </row>
    <row r="4002" spans="1:29" ht="18">
      <c r="A4002" s="2712"/>
      <c r="B4002" s="371">
        <v>101</v>
      </c>
      <c r="C4002" s="371"/>
      <c r="D4002" s="2714">
        <f t="shared" ref="D4002:D4010" si="448">IF(OR(G4002="*",G4002="",G4002=0),0,COUNTIF($G$4002:$G$4010,G4002))</f>
        <v>1</v>
      </c>
      <c r="E4002" s="2719" t="s">
        <v>41</v>
      </c>
      <c r="F4002" s="294"/>
      <c r="G4002" s="1472" t="s">
        <v>4016</v>
      </c>
      <c r="H4002" s="2273"/>
      <c r="I4002" s="2273"/>
      <c r="J4002" s="2274"/>
      <c r="K4002" s="437"/>
      <c r="L4002" s="525"/>
      <c r="M4002" s="472"/>
      <c r="N4002" s="442"/>
      <c r="O4002" s="442"/>
      <c r="P4002" s="442"/>
      <c r="Q4002" s="442"/>
      <c r="R4002" s="443"/>
      <c r="S4002" s="364"/>
      <c r="Z4002" s="609" t="s">
        <v>4014</v>
      </c>
      <c r="AA4002" s="609" t="s">
        <v>5684</v>
      </c>
      <c r="AC4002" s="369" t="s">
        <v>2794</v>
      </c>
    </row>
    <row r="4003" spans="1:29" ht="18">
      <c r="A4003" s="2712"/>
      <c r="B4003" s="371">
        <v>101.001</v>
      </c>
      <c r="C4003" s="371"/>
      <c r="D4003" s="2714">
        <f t="shared" si="448"/>
        <v>1</v>
      </c>
      <c r="E4003" s="2719" t="s">
        <v>4017</v>
      </c>
      <c r="F4003" s="294"/>
      <c r="G4003" s="603" t="s">
        <v>3808</v>
      </c>
      <c r="H4003" s="2273"/>
      <c r="I4003" s="2273"/>
      <c r="J4003" s="2274"/>
      <c r="K4003" s="437"/>
      <c r="L4003" s="525"/>
      <c r="M4003" s="472"/>
      <c r="N4003" s="442"/>
      <c r="O4003" s="442"/>
      <c r="P4003" s="442"/>
      <c r="Q4003" s="442"/>
      <c r="R4003" s="443"/>
      <c r="S4003" s="364"/>
      <c r="Z4003" s="609" t="s">
        <v>4014</v>
      </c>
      <c r="AA4003" s="609" t="s">
        <v>5684</v>
      </c>
      <c r="AC4003" s="369" t="s">
        <v>2794</v>
      </c>
    </row>
    <row r="4004" spans="1:29" ht="18">
      <c r="A4004" s="2712"/>
      <c r="B4004" s="371">
        <v>101.002</v>
      </c>
      <c r="C4004" s="371"/>
      <c r="D4004" s="2714">
        <f t="shared" si="448"/>
        <v>1</v>
      </c>
      <c r="E4004" s="2719" t="s">
        <v>4017</v>
      </c>
      <c r="F4004" s="294"/>
      <c r="G4004" s="603" t="s">
        <v>3809</v>
      </c>
      <c r="H4004" s="2273"/>
      <c r="I4004" s="2273"/>
      <c r="J4004" s="2274"/>
      <c r="K4004" s="437"/>
      <c r="L4004" s="525"/>
      <c r="M4004" s="472"/>
      <c r="N4004" s="442"/>
      <c r="O4004" s="442"/>
      <c r="P4004" s="442"/>
      <c r="Q4004" s="442"/>
      <c r="R4004" s="443"/>
      <c r="S4004" s="364"/>
      <c r="Z4004" s="609" t="s">
        <v>4014</v>
      </c>
      <c r="AA4004" s="609" t="s">
        <v>5684</v>
      </c>
      <c r="AC4004" s="369" t="s">
        <v>2794</v>
      </c>
    </row>
    <row r="4005" spans="1:29" ht="18">
      <c r="A4005" s="2712"/>
      <c r="B4005" s="371">
        <v>101.003</v>
      </c>
      <c r="C4005" s="371"/>
      <c r="D4005" s="2714">
        <f t="shared" si="448"/>
        <v>1</v>
      </c>
      <c r="E4005" s="2719" t="s">
        <v>4017</v>
      </c>
      <c r="F4005" s="294"/>
      <c r="G4005" s="603" t="s">
        <v>3810</v>
      </c>
      <c r="H4005" s="2273"/>
      <c r="I4005" s="2273"/>
      <c r="J4005" s="2274"/>
      <c r="K4005" s="437"/>
      <c r="L4005" s="525"/>
      <c r="M4005" s="472"/>
      <c r="N4005" s="442"/>
      <c r="O4005" s="442"/>
      <c r="P4005" s="442"/>
      <c r="Q4005" s="442"/>
      <c r="R4005" s="443"/>
      <c r="S4005" s="364"/>
      <c r="Z4005" s="609" t="s">
        <v>4014</v>
      </c>
      <c r="AA4005" s="609" t="s">
        <v>5684</v>
      </c>
      <c r="AC4005" s="369" t="s">
        <v>2794</v>
      </c>
    </row>
    <row r="4006" spans="1:29" ht="18">
      <c r="A4006" s="2712"/>
      <c r="B4006" s="371">
        <v>101.004</v>
      </c>
      <c r="C4006" s="371"/>
      <c r="D4006" s="2714">
        <f t="shared" si="448"/>
        <v>1</v>
      </c>
      <c r="E4006" s="2719" t="s">
        <v>4017</v>
      </c>
      <c r="F4006" s="294"/>
      <c r="G4006" s="603" t="s">
        <v>3811</v>
      </c>
      <c r="H4006" s="2273"/>
      <c r="I4006" s="2273"/>
      <c r="J4006" s="2274"/>
      <c r="K4006" s="437"/>
      <c r="L4006" s="472"/>
      <c r="M4006" s="472"/>
      <c r="N4006" s="442"/>
      <c r="O4006" s="442"/>
      <c r="P4006" s="442"/>
      <c r="Q4006" s="442"/>
      <c r="R4006" s="443"/>
      <c r="S4006" s="364"/>
      <c r="Z4006" s="609" t="s">
        <v>4014</v>
      </c>
      <c r="AA4006" s="609" t="s">
        <v>5684</v>
      </c>
    </row>
    <row r="4007" spans="1:29" ht="18">
      <c r="A4007" s="2712"/>
      <c r="B4007" s="371">
        <v>101.005</v>
      </c>
      <c r="C4007" s="371" t="s">
        <v>2791</v>
      </c>
      <c r="D4007" s="2714">
        <f t="shared" si="448"/>
        <v>0</v>
      </c>
      <c r="E4007" s="2719" t="s">
        <v>4017</v>
      </c>
      <c r="F4007" s="294"/>
      <c r="G4007" s="578" t="s">
        <v>2792</v>
      </c>
      <c r="H4007" s="2273"/>
      <c r="I4007" s="2273"/>
      <c r="J4007" s="2274"/>
      <c r="K4007" s="437"/>
      <c r="L4007" s="472"/>
      <c r="M4007" s="472"/>
      <c r="N4007" s="442"/>
      <c r="O4007" s="442"/>
      <c r="P4007" s="442"/>
      <c r="Q4007" s="442"/>
      <c r="R4007" s="443"/>
      <c r="S4007" s="364"/>
      <c r="Z4007" s="609" t="s">
        <v>4014</v>
      </c>
      <c r="AA4007" s="609" t="s">
        <v>5684</v>
      </c>
    </row>
    <row r="4008" spans="1:29" ht="18">
      <c r="A4008" s="2712"/>
      <c r="B4008" s="371">
        <v>101.999</v>
      </c>
      <c r="C4008" s="371" t="s">
        <v>2793</v>
      </c>
      <c r="D4008" s="2714">
        <f t="shared" si="448"/>
        <v>1</v>
      </c>
      <c r="E4008" s="2719">
        <v>1</v>
      </c>
      <c r="F4008" s="294"/>
      <c r="G4008" s="1472" t="s">
        <v>4017</v>
      </c>
      <c r="H4008" s="1474">
        <f>SUMIF($E$4001:$E$4009,$G4008,H$4001:H$4009)</f>
        <v>0</v>
      </c>
      <c r="I4008" s="1474">
        <f>SUMIF($E$4001:$E$4009,$G4008,I$4001:I$4009)</f>
        <v>0</v>
      </c>
      <c r="J4008" s="2274"/>
      <c r="K4008" s="437"/>
      <c r="L4008" s="472"/>
      <c r="M4008" s="472"/>
      <c r="N4008" s="442"/>
      <c r="O4008" s="442"/>
      <c r="P4008" s="442"/>
      <c r="Q4008" s="442"/>
      <c r="R4008" s="443"/>
      <c r="S4008" s="364"/>
      <c r="Z4008" s="609" t="s">
        <v>4014</v>
      </c>
      <c r="AA4008" s="609" t="s">
        <v>5684</v>
      </c>
    </row>
    <row r="4009" spans="1:29" ht="18">
      <c r="A4009" s="2712"/>
      <c r="B4009" s="371">
        <v>102</v>
      </c>
      <c r="C4009" s="371" t="s">
        <v>2791</v>
      </c>
      <c r="D4009" s="2714">
        <f t="shared" si="448"/>
        <v>1</v>
      </c>
      <c r="E4009" s="2719">
        <v>-1</v>
      </c>
      <c r="F4009" s="294"/>
      <c r="G4009" s="2566" t="s">
        <v>4018</v>
      </c>
      <c r="H4009" s="2273"/>
      <c r="I4009" s="2273"/>
      <c r="J4009" s="2274"/>
      <c r="K4009" s="1587" t="str">
        <f ca="1">HYPERLINK("#'"&amp;$G$1&amp;"'!"&amp;ADDRESS(ROW(Notes!K3932),COLUMN(Notes!K3932),4),"* 请勿删除此行！点击往勾稽单元格，F5+Enter返回")</f>
        <v>* 请勿删除此行！点击往勾稽单元格，F5+Enter返回</v>
      </c>
      <c r="L4009" s="472"/>
      <c r="M4009" s="472"/>
      <c r="N4009" s="442"/>
      <c r="O4009" s="442"/>
      <c r="P4009" s="442"/>
      <c r="Q4009" s="442"/>
      <c r="R4009" s="443"/>
      <c r="S4009" s="364"/>
      <c r="Z4009" s="609" t="s">
        <v>4014</v>
      </c>
      <c r="AA4009" s="609" t="s">
        <v>5684</v>
      </c>
      <c r="AC4009" s="369" t="s">
        <v>6571</v>
      </c>
    </row>
    <row r="4010" spans="1:29" ht="18.75" thickBot="1">
      <c r="A4010" s="2712"/>
      <c r="B4010" s="371"/>
      <c r="C4010" s="371"/>
      <c r="D4010" s="2714">
        <f t="shared" si="448"/>
        <v>1</v>
      </c>
      <c r="E4010" s="2719" t="s">
        <v>2751</v>
      </c>
      <c r="F4010" s="294"/>
      <c r="G4010" s="374" t="s">
        <v>2752</v>
      </c>
      <c r="H4010" s="1476">
        <f>SUMPRODUCT($E4001:$E4009,H4001:H4009)</f>
        <v>0</v>
      </c>
      <c r="I4010" s="1476">
        <f>SUMPRODUCT($E4001:$E4009,I4001:I4009)</f>
        <v>0</v>
      </c>
      <c r="J4010" s="2258"/>
      <c r="K4010" s="437"/>
      <c r="L4010" s="472"/>
      <c r="M4010" s="472"/>
      <c r="N4010" s="442"/>
      <c r="O4010" s="442"/>
      <c r="P4010" s="442"/>
      <c r="Q4010" s="442"/>
      <c r="R4010" s="443"/>
      <c r="S4010" s="364"/>
      <c r="Z4010" s="609" t="s">
        <v>4014</v>
      </c>
      <c r="AA4010" s="609" t="s">
        <v>5684</v>
      </c>
    </row>
    <row r="4011" spans="1:29" ht="18">
      <c r="A4011" s="2712"/>
      <c r="B4011" s="371"/>
      <c r="C4011" s="371" t="s">
        <v>2755</v>
      </c>
      <c r="D4011" s="371"/>
      <c r="F4011" s="294"/>
      <c r="G4011" s="301"/>
      <c r="H4011" s="315"/>
      <c r="I4011" s="315"/>
      <c r="J4011" s="393"/>
      <c r="K4011" s="427"/>
      <c r="L4011" s="472"/>
      <c r="M4011" s="472"/>
      <c r="N4011" s="442"/>
      <c r="O4011" s="442"/>
      <c r="P4011" s="442"/>
      <c r="Q4011" s="442"/>
      <c r="R4011" s="443"/>
      <c r="S4011" s="364"/>
      <c r="Z4011" s="609" t="s">
        <v>4014</v>
      </c>
      <c r="AA4011" s="609" t="s">
        <v>5684</v>
      </c>
    </row>
    <row r="4012" spans="1:29" ht="24">
      <c r="A4012" s="2712" t="s">
        <v>1642</v>
      </c>
      <c r="B4012" s="371">
        <v>1.1000000000000001</v>
      </c>
      <c r="C4012" s="371"/>
      <c r="D4012" s="2714" t="str">
        <f>VLOOKUP($A4012,Sheet_NoteList,2,0)</f>
        <v>长期借款中的质押借款明细列示</v>
      </c>
      <c r="E4012" s="2714" t="s">
        <v>6529</v>
      </c>
      <c r="F4012" s="294"/>
      <c r="G4012" s="483" t="str">
        <f>"("&amp;B4012&amp;")"&amp;D4012</f>
        <v>(1.1)长期借款中的质押借款明细列示</v>
      </c>
      <c r="H4012" s="1515" t="str">
        <f>$A4012</f>
        <v>2501d</v>
      </c>
      <c r="I4012" s="343" t="s">
        <v>5963</v>
      </c>
      <c r="J4012" s="301" t="s">
        <v>5961</v>
      </c>
      <c r="K4012" s="2208">
        <f>H4020</f>
        <v>0</v>
      </c>
      <c r="L4012" s="345"/>
      <c r="M4012" s="301"/>
      <c r="N4012" s="391"/>
      <c r="O4012" s="345"/>
      <c r="P4012" s="301"/>
      <c r="S4012" s="364"/>
      <c r="Z4012" s="609" t="s">
        <v>4014</v>
      </c>
      <c r="AA4012" s="609" t="s">
        <v>5684</v>
      </c>
    </row>
    <row r="4013" spans="1:29" ht="0.75" customHeight="1" thickBot="1">
      <c r="A4013" s="2712"/>
      <c r="B4013" s="371"/>
      <c r="C4013" s="371"/>
      <c r="D4013" s="371"/>
      <c r="E4013" s="586"/>
      <c r="F4013" s="586"/>
      <c r="G4013" s="586" t="s">
        <v>4020</v>
      </c>
      <c r="H4013" s="371" t="s">
        <v>2747</v>
      </c>
      <c r="I4013" s="371" t="s">
        <v>3813</v>
      </c>
      <c r="J4013" s="371" t="s">
        <v>3814</v>
      </c>
      <c r="K4013" s="371" t="s">
        <v>4021</v>
      </c>
      <c r="L4013" s="543" t="s">
        <v>3145</v>
      </c>
      <c r="M4013" s="290"/>
      <c r="N4013" s="290"/>
      <c r="O4013" s="290"/>
      <c r="P4013" s="290"/>
      <c r="S4013" s="364"/>
      <c r="Z4013" s="609" t="s">
        <v>4014</v>
      </c>
      <c r="AA4013" s="609" t="s">
        <v>5684</v>
      </c>
    </row>
    <row r="4014" spans="1:29" ht="24">
      <c r="A4014" s="2712"/>
      <c r="B4014" s="371"/>
      <c r="C4014" s="371"/>
      <c r="D4014" s="371"/>
      <c r="E4014" s="586" t="s">
        <v>2749</v>
      </c>
      <c r="F4014" s="363"/>
      <c r="G4014" s="2407" t="s">
        <v>1365</v>
      </c>
      <c r="H4014" s="2402" t="s">
        <v>3815</v>
      </c>
      <c r="I4014" s="2402" t="s">
        <v>3816</v>
      </c>
      <c r="J4014" s="2402" t="s">
        <v>3817</v>
      </c>
      <c r="K4014" s="2402" t="s">
        <v>4022</v>
      </c>
      <c r="L4014" s="2401" t="s">
        <v>2508</v>
      </c>
      <c r="M4014" s="355" t="s">
        <v>6139</v>
      </c>
      <c r="N4014" s="290"/>
      <c r="O4014" s="290"/>
      <c r="P4014" s="290"/>
      <c r="S4014" s="364"/>
      <c r="Z4014" s="609" t="s">
        <v>4014</v>
      </c>
      <c r="AA4014" s="609" t="s">
        <v>5684</v>
      </c>
    </row>
    <row r="4015" spans="1:29" ht="18">
      <c r="A4015" s="2712"/>
      <c r="B4015" s="371">
        <v>101</v>
      </c>
      <c r="C4015" s="371" t="s">
        <v>2791</v>
      </c>
      <c r="D4015" s="2714">
        <f t="shared" ref="D4015:D4020" si="449">IF(OR(G4015="*",G4015="",G4015=0),0,COUNTIF($G$4015:$G$4020,G4015))</f>
        <v>0</v>
      </c>
      <c r="E4015" s="2719">
        <v>1</v>
      </c>
      <c r="F4015" s="294"/>
      <c r="G4015" s="2404" t="s">
        <v>2792</v>
      </c>
      <c r="H4015" s="2273"/>
      <c r="I4015" s="2296"/>
      <c r="J4015" s="2296"/>
      <c r="K4015" s="2273"/>
      <c r="L4015" s="2274"/>
      <c r="M4015" s="579"/>
      <c r="N4015" s="290"/>
      <c r="O4015" s="290"/>
      <c r="P4015" s="290"/>
      <c r="S4015" s="364"/>
      <c r="Z4015" s="609" t="s">
        <v>4014</v>
      </c>
      <c r="AA4015" s="609" t="s">
        <v>5684</v>
      </c>
    </row>
    <row r="4016" spans="1:29" ht="18">
      <c r="A4016" s="2712"/>
      <c r="B4016" s="371">
        <v>102</v>
      </c>
      <c r="C4016" s="371" t="s">
        <v>2791</v>
      </c>
      <c r="D4016" s="2714">
        <f t="shared" si="449"/>
        <v>0</v>
      </c>
      <c r="E4016" s="2719">
        <v>1</v>
      </c>
      <c r="F4016" s="294"/>
      <c r="G4016" s="2404" t="s">
        <v>2792</v>
      </c>
      <c r="H4016" s="2273"/>
      <c r="I4016" s="2296"/>
      <c r="J4016" s="2296"/>
      <c r="K4016" s="2273"/>
      <c r="L4016" s="2274"/>
      <c r="M4016" s="290"/>
      <c r="N4016" s="290"/>
      <c r="O4016" s="290"/>
      <c r="P4016" s="290"/>
      <c r="S4016" s="364"/>
      <c r="Z4016" s="609" t="s">
        <v>4014</v>
      </c>
      <c r="AA4016" s="609" t="s">
        <v>5684</v>
      </c>
    </row>
    <row r="4017" spans="1:27" ht="18">
      <c r="A4017" s="2712"/>
      <c r="B4017" s="371">
        <v>103</v>
      </c>
      <c r="C4017" s="371" t="s">
        <v>2791</v>
      </c>
      <c r="D4017" s="2714">
        <f t="shared" si="449"/>
        <v>0</v>
      </c>
      <c r="E4017" s="2719">
        <v>1</v>
      </c>
      <c r="F4017" s="294"/>
      <c r="G4017" s="2404" t="s">
        <v>2792</v>
      </c>
      <c r="H4017" s="2273"/>
      <c r="I4017" s="2296"/>
      <c r="J4017" s="2296"/>
      <c r="K4017" s="2273"/>
      <c r="L4017" s="2274"/>
      <c r="M4017" s="290"/>
      <c r="N4017" s="290"/>
      <c r="O4017" s="290"/>
      <c r="P4017" s="290"/>
      <c r="S4017" s="364"/>
      <c r="Z4017" s="609" t="s">
        <v>4014</v>
      </c>
      <c r="AA4017" s="609" t="s">
        <v>5684</v>
      </c>
    </row>
    <row r="4018" spans="1:27" ht="18">
      <c r="A4018" s="2712"/>
      <c r="B4018" s="371">
        <v>104</v>
      </c>
      <c r="C4018" s="371" t="s">
        <v>2791</v>
      </c>
      <c r="D4018" s="2714">
        <f t="shared" si="449"/>
        <v>0</v>
      </c>
      <c r="E4018" s="2719">
        <v>1</v>
      </c>
      <c r="F4018" s="294"/>
      <c r="G4018" s="2404" t="s">
        <v>2792</v>
      </c>
      <c r="H4018" s="2273"/>
      <c r="I4018" s="2296"/>
      <c r="J4018" s="2296"/>
      <c r="K4018" s="2273"/>
      <c r="L4018" s="2274"/>
      <c r="M4018" s="290"/>
      <c r="N4018" s="290"/>
      <c r="O4018" s="290"/>
      <c r="P4018" s="290"/>
      <c r="S4018" s="364"/>
      <c r="Z4018" s="609" t="s">
        <v>4014</v>
      </c>
      <c r="AA4018" s="609" t="s">
        <v>5684</v>
      </c>
    </row>
    <row r="4019" spans="1:27" ht="18">
      <c r="A4019" s="2712"/>
      <c r="B4019" s="371">
        <v>105</v>
      </c>
      <c r="C4019" s="371" t="s">
        <v>2791</v>
      </c>
      <c r="D4019" s="2714">
        <f t="shared" si="449"/>
        <v>0</v>
      </c>
      <c r="E4019" s="2719">
        <v>1</v>
      </c>
      <c r="F4019" s="294"/>
      <c r="G4019" s="2404" t="s">
        <v>2792</v>
      </c>
      <c r="H4019" s="2273"/>
      <c r="I4019" s="2296"/>
      <c r="J4019" s="2296"/>
      <c r="K4019" s="2273"/>
      <c r="L4019" s="2274"/>
      <c r="M4019" s="290"/>
      <c r="N4019" s="290"/>
      <c r="O4019" s="290"/>
      <c r="P4019" s="290"/>
      <c r="S4019" s="364"/>
      <c r="Z4019" s="609" t="s">
        <v>4014</v>
      </c>
      <c r="AA4019" s="609" t="s">
        <v>5684</v>
      </c>
    </row>
    <row r="4020" spans="1:27" ht="18.75" thickBot="1">
      <c r="A4020" s="2712"/>
      <c r="B4020" s="371"/>
      <c r="C4020" s="371"/>
      <c r="D4020" s="2714">
        <f t="shared" si="449"/>
        <v>1</v>
      </c>
      <c r="E4020" s="2719" t="s">
        <v>2751</v>
      </c>
      <c r="F4020" s="294"/>
      <c r="G4020" s="1527" t="s">
        <v>2752</v>
      </c>
      <c r="H4020" s="1525">
        <f>SUMPRODUCT($E4014:$E4019,H4014:H4019)</f>
        <v>0</v>
      </c>
      <c r="I4020" s="2314"/>
      <c r="J4020" s="2314"/>
      <c r="K4020" s="1525">
        <f>SUMPRODUCT($E4014:$E4019,K4014:K4019)</f>
        <v>0</v>
      </c>
      <c r="L4020" s="2264"/>
      <c r="M4020" s="290"/>
      <c r="N4020" s="290"/>
      <c r="O4020" s="290"/>
      <c r="P4020" s="290"/>
      <c r="S4020" s="364"/>
      <c r="Z4020" s="609" t="s">
        <v>4014</v>
      </c>
      <c r="AA4020" s="609" t="s">
        <v>5684</v>
      </c>
    </row>
    <row r="4021" spans="1:27" ht="18">
      <c r="A4021" s="2712"/>
      <c r="B4021" s="371"/>
      <c r="C4021" s="371" t="s">
        <v>2755</v>
      </c>
      <c r="D4021" s="371"/>
      <c r="F4021" s="294"/>
      <c r="G4021" s="301"/>
      <c r="H4021" s="315" t="s">
        <v>3002</v>
      </c>
      <c r="I4021" s="393"/>
      <c r="J4021" s="393"/>
      <c r="K4021" s="566"/>
      <c r="L4021" s="545"/>
      <c r="M4021" s="290"/>
      <c r="N4021" s="290"/>
      <c r="O4021" s="290"/>
      <c r="P4021" s="290"/>
      <c r="S4021" s="364"/>
      <c r="Z4021" s="609" t="s">
        <v>4014</v>
      </c>
      <c r="AA4021" s="609" t="s">
        <v>5684</v>
      </c>
    </row>
    <row r="4022" spans="1:27" ht="24">
      <c r="A4022" s="2712" t="s">
        <v>1647</v>
      </c>
      <c r="B4022" s="371">
        <v>1.2</v>
      </c>
      <c r="C4022" s="371"/>
      <c r="D4022" s="2714" t="str">
        <f>VLOOKUP($A4022,Sheet_NoteList,2,0)</f>
        <v>长期借款中的抵押借款明细列示</v>
      </c>
      <c r="E4022" s="2714" t="s">
        <v>6529</v>
      </c>
      <c r="F4022" s="294"/>
      <c r="G4022" s="483" t="str">
        <f>"("&amp;B4022&amp;")"&amp;D4022</f>
        <v>(1.2)长期借款中的抵押借款明细列示</v>
      </c>
      <c r="H4022" s="1515" t="str">
        <f>$A4022</f>
        <v>2501e</v>
      </c>
      <c r="I4022" s="343" t="s">
        <v>5964</v>
      </c>
      <c r="J4022" s="301" t="s">
        <v>5969</v>
      </c>
      <c r="K4022" s="2208">
        <f>H4030</f>
        <v>0</v>
      </c>
      <c r="L4022" s="345"/>
      <c r="M4022" s="301"/>
      <c r="N4022" s="391"/>
      <c r="O4022" s="345"/>
      <c r="P4022" s="301"/>
      <c r="S4022" s="364"/>
      <c r="Z4022" s="609" t="s">
        <v>4014</v>
      </c>
      <c r="AA4022" s="609" t="s">
        <v>5684</v>
      </c>
    </row>
    <row r="4023" spans="1:27" ht="0.75" customHeight="1" thickBot="1">
      <c r="A4023" s="2712"/>
      <c r="B4023" s="371"/>
      <c r="C4023" s="371"/>
      <c r="D4023" s="371"/>
      <c r="E4023" s="586"/>
      <c r="F4023" s="586"/>
      <c r="G4023" s="586" t="s">
        <v>4023</v>
      </c>
      <c r="H4023" s="371" t="s">
        <v>2747</v>
      </c>
      <c r="I4023" s="371" t="s">
        <v>3813</v>
      </c>
      <c r="J4023" s="371" t="s">
        <v>3814</v>
      </c>
      <c r="K4023" s="371" t="s">
        <v>4021</v>
      </c>
      <c r="L4023" s="543" t="s">
        <v>3145</v>
      </c>
      <c r="M4023" s="290"/>
      <c r="N4023" s="290"/>
      <c r="O4023" s="290"/>
      <c r="P4023" s="290"/>
      <c r="S4023" s="364"/>
      <c r="Z4023" s="609" t="s">
        <v>4014</v>
      </c>
      <c r="AA4023" s="609" t="s">
        <v>5684</v>
      </c>
    </row>
    <row r="4024" spans="1:27" ht="24">
      <c r="A4024" s="2712"/>
      <c r="B4024" s="371"/>
      <c r="C4024" s="371"/>
      <c r="D4024" s="371"/>
      <c r="E4024" s="586" t="s">
        <v>2749</v>
      </c>
      <c r="F4024" s="363"/>
      <c r="G4024" s="2407" t="s">
        <v>1365</v>
      </c>
      <c r="H4024" s="2402" t="s">
        <v>3815</v>
      </c>
      <c r="I4024" s="2402" t="s">
        <v>3819</v>
      </c>
      <c r="J4024" s="2402" t="s">
        <v>3820</v>
      </c>
      <c r="K4024" s="2402" t="s">
        <v>4022</v>
      </c>
      <c r="L4024" s="2401" t="s">
        <v>2508</v>
      </c>
      <c r="M4024" s="355" t="s">
        <v>6139</v>
      </c>
      <c r="N4024" s="290"/>
      <c r="O4024" s="290"/>
      <c r="P4024" s="290"/>
      <c r="S4024" s="364"/>
      <c r="Z4024" s="609" t="s">
        <v>4014</v>
      </c>
      <c r="AA4024" s="609" t="s">
        <v>5684</v>
      </c>
    </row>
    <row r="4025" spans="1:27" ht="18">
      <c r="A4025" s="2712"/>
      <c r="B4025" s="371">
        <v>101</v>
      </c>
      <c r="C4025" s="371" t="s">
        <v>2791</v>
      </c>
      <c r="D4025" s="2714">
        <f t="shared" ref="D4025:D4030" si="450">IF(OR(G4025="*",G4025="",G4025=0),0,COUNTIF($G$4025:$G$4030,G4025))</f>
        <v>0</v>
      </c>
      <c r="E4025" s="2719">
        <v>1</v>
      </c>
      <c r="F4025" s="294"/>
      <c r="G4025" s="2404" t="s">
        <v>2792</v>
      </c>
      <c r="H4025" s="2273"/>
      <c r="I4025" s="2296"/>
      <c r="J4025" s="2296"/>
      <c r="K4025" s="2273"/>
      <c r="L4025" s="2274"/>
      <c r="M4025" s="579"/>
      <c r="N4025" s="290"/>
      <c r="O4025" s="290"/>
      <c r="P4025" s="290"/>
      <c r="S4025" s="364"/>
      <c r="Z4025" s="609" t="s">
        <v>4014</v>
      </c>
      <c r="AA4025" s="609" t="s">
        <v>5684</v>
      </c>
    </row>
    <row r="4026" spans="1:27" ht="18">
      <c r="A4026" s="2712"/>
      <c r="B4026" s="371">
        <v>102</v>
      </c>
      <c r="C4026" s="371" t="s">
        <v>2791</v>
      </c>
      <c r="D4026" s="2714">
        <f t="shared" si="450"/>
        <v>0</v>
      </c>
      <c r="E4026" s="2719">
        <v>1</v>
      </c>
      <c r="F4026" s="294"/>
      <c r="G4026" s="2404" t="s">
        <v>2792</v>
      </c>
      <c r="H4026" s="2273"/>
      <c r="I4026" s="2296"/>
      <c r="J4026" s="2296"/>
      <c r="K4026" s="2273"/>
      <c r="L4026" s="2274"/>
      <c r="M4026" s="290"/>
      <c r="N4026" s="290"/>
      <c r="O4026" s="290"/>
      <c r="P4026" s="290"/>
      <c r="S4026" s="364"/>
      <c r="Z4026" s="609" t="s">
        <v>4014</v>
      </c>
      <c r="AA4026" s="609" t="s">
        <v>5684</v>
      </c>
    </row>
    <row r="4027" spans="1:27" ht="18">
      <c r="A4027" s="2712"/>
      <c r="B4027" s="371">
        <v>103</v>
      </c>
      <c r="C4027" s="371" t="s">
        <v>2791</v>
      </c>
      <c r="D4027" s="2714">
        <f t="shared" si="450"/>
        <v>0</v>
      </c>
      <c r="E4027" s="2719">
        <v>1</v>
      </c>
      <c r="F4027" s="294"/>
      <c r="G4027" s="2404" t="s">
        <v>2792</v>
      </c>
      <c r="H4027" s="2273"/>
      <c r="I4027" s="2296"/>
      <c r="J4027" s="2296"/>
      <c r="K4027" s="2273"/>
      <c r="L4027" s="2274"/>
      <c r="M4027" s="290"/>
      <c r="N4027" s="290"/>
      <c r="O4027" s="290"/>
      <c r="P4027" s="290"/>
      <c r="S4027" s="364"/>
      <c r="Z4027" s="609" t="s">
        <v>4014</v>
      </c>
      <c r="AA4027" s="609" t="s">
        <v>5684</v>
      </c>
    </row>
    <row r="4028" spans="1:27" ht="18">
      <c r="A4028" s="2712"/>
      <c r="B4028" s="371">
        <v>104</v>
      </c>
      <c r="C4028" s="371" t="s">
        <v>2791</v>
      </c>
      <c r="D4028" s="2714">
        <f t="shared" si="450"/>
        <v>0</v>
      </c>
      <c r="E4028" s="2719">
        <v>1</v>
      </c>
      <c r="F4028" s="294"/>
      <c r="G4028" s="2404" t="s">
        <v>2792</v>
      </c>
      <c r="H4028" s="2273"/>
      <c r="I4028" s="2296"/>
      <c r="J4028" s="2296"/>
      <c r="K4028" s="2273"/>
      <c r="L4028" s="2274"/>
      <c r="M4028" s="290"/>
      <c r="N4028" s="290"/>
      <c r="O4028" s="290"/>
      <c r="P4028" s="290"/>
      <c r="S4028" s="364"/>
      <c r="Z4028" s="609" t="s">
        <v>4014</v>
      </c>
      <c r="AA4028" s="609" t="s">
        <v>5684</v>
      </c>
    </row>
    <row r="4029" spans="1:27" ht="18">
      <c r="A4029" s="2712"/>
      <c r="B4029" s="371">
        <v>105</v>
      </c>
      <c r="C4029" s="371" t="s">
        <v>2791</v>
      </c>
      <c r="D4029" s="2714">
        <f t="shared" si="450"/>
        <v>0</v>
      </c>
      <c r="E4029" s="2719">
        <v>1</v>
      </c>
      <c r="F4029" s="294"/>
      <c r="G4029" s="2404" t="s">
        <v>2792</v>
      </c>
      <c r="H4029" s="2273"/>
      <c r="I4029" s="2296"/>
      <c r="J4029" s="2296"/>
      <c r="K4029" s="2273"/>
      <c r="L4029" s="2274"/>
      <c r="M4029" s="290"/>
      <c r="N4029" s="290"/>
      <c r="O4029" s="290"/>
      <c r="P4029" s="290"/>
      <c r="S4029" s="364"/>
      <c r="Z4029" s="609" t="s">
        <v>4014</v>
      </c>
      <c r="AA4029" s="609" t="s">
        <v>5684</v>
      </c>
    </row>
    <row r="4030" spans="1:27" ht="18.75" thickBot="1">
      <c r="A4030" s="2712"/>
      <c r="B4030" s="371"/>
      <c r="C4030" s="371"/>
      <c r="D4030" s="2714">
        <f t="shared" si="450"/>
        <v>1</v>
      </c>
      <c r="E4030" s="2719" t="s">
        <v>2751</v>
      </c>
      <c r="F4030" s="294"/>
      <c r="G4030" s="1527" t="s">
        <v>2752</v>
      </c>
      <c r="H4030" s="1525">
        <f>SUMPRODUCT($E4024:$E4029,H4024:H4029)</f>
        <v>0</v>
      </c>
      <c r="I4030" s="2314"/>
      <c r="J4030" s="2314"/>
      <c r="K4030" s="1525">
        <f>SUMPRODUCT($E4024:$E4029,K4024:K4029)</f>
        <v>0</v>
      </c>
      <c r="L4030" s="2264"/>
      <c r="M4030" s="290"/>
      <c r="N4030" s="290"/>
      <c r="O4030" s="290"/>
      <c r="P4030" s="290"/>
      <c r="S4030" s="364"/>
      <c r="Z4030" s="609" t="s">
        <v>4014</v>
      </c>
      <c r="AA4030" s="609" t="s">
        <v>5684</v>
      </c>
    </row>
    <row r="4031" spans="1:27" ht="18">
      <c r="A4031" s="2712"/>
      <c r="B4031" s="371"/>
      <c r="C4031" s="371" t="s">
        <v>2755</v>
      </c>
      <c r="D4031" s="371"/>
      <c r="F4031" s="294"/>
      <c r="G4031" s="301"/>
      <c r="H4031" s="315" t="s">
        <v>3002</v>
      </c>
      <c r="I4031" s="393"/>
      <c r="J4031" s="393"/>
      <c r="K4031" s="566"/>
      <c r="L4031" s="545"/>
      <c r="M4031" s="290"/>
      <c r="N4031" s="290"/>
      <c r="O4031" s="290"/>
      <c r="P4031" s="290"/>
      <c r="S4031" s="364"/>
      <c r="Z4031" s="609" t="s">
        <v>4014</v>
      </c>
      <c r="AA4031" s="609" t="s">
        <v>5684</v>
      </c>
    </row>
    <row r="4032" spans="1:27" ht="24">
      <c r="A4032" s="2712" t="s">
        <v>1652</v>
      </c>
      <c r="B4032" s="371">
        <v>1.3</v>
      </c>
      <c r="C4032" s="371"/>
      <c r="D4032" s="2714" t="str">
        <f>VLOOKUP($A4032,Sheet_NoteList,2,0)</f>
        <v>长期借款中的保证借款明细列示</v>
      </c>
      <c r="E4032" s="2714" t="s">
        <v>6529</v>
      </c>
      <c r="F4032" s="294"/>
      <c r="G4032" s="483" t="str">
        <f>"("&amp;B4032&amp;")"&amp;D4032</f>
        <v>(1.3)长期借款中的保证借款明细列示</v>
      </c>
      <c r="H4032" s="1515" t="str">
        <f>$A4032</f>
        <v>2501f</v>
      </c>
      <c r="I4032" s="343" t="s">
        <v>5964</v>
      </c>
      <c r="J4032" s="301" t="s">
        <v>5969</v>
      </c>
      <c r="K4032" s="2208">
        <f>H4040</f>
        <v>0</v>
      </c>
      <c r="L4032" s="345"/>
      <c r="M4032" s="301"/>
      <c r="N4032" s="391"/>
      <c r="O4032" s="345"/>
      <c r="P4032" s="301"/>
      <c r="S4032" s="364"/>
      <c r="Z4032" s="609" t="s">
        <v>4014</v>
      </c>
      <c r="AA4032" s="609" t="s">
        <v>5684</v>
      </c>
    </row>
    <row r="4033" spans="1:27" ht="0.75" customHeight="1" thickBot="1">
      <c r="A4033" s="2712"/>
      <c r="B4033" s="371"/>
      <c r="C4033" s="371"/>
      <c r="D4033" s="371"/>
      <c r="E4033" s="586"/>
      <c r="F4033" s="586"/>
      <c r="G4033" s="586" t="s">
        <v>4024</v>
      </c>
      <c r="H4033" s="371" t="s">
        <v>2747</v>
      </c>
      <c r="I4033" s="371" t="s">
        <v>3822</v>
      </c>
      <c r="J4033" s="371" t="s">
        <v>3814</v>
      </c>
      <c r="K4033" s="371" t="s">
        <v>4021</v>
      </c>
      <c r="L4033" s="290"/>
      <c r="M4033" s="290"/>
      <c r="N4033" s="290"/>
      <c r="O4033" s="290"/>
      <c r="P4033" s="290"/>
      <c r="S4033" s="364"/>
      <c r="Z4033" s="609" t="s">
        <v>4014</v>
      </c>
      <c r="AA4033" s="609" t="s">
        <v>5684</v>
      </c>
    </row>
    <row r="4034" spans="1:27" ht="24">
      <c r="A4034" s="2712"/>
      <c r="B4034" s="371"/>
      <c r="C4034" s="371"/>
      <c r="D4034" s="371"/>
      <c r="E4034" s="586" t="s">
        <v>2749</v>
      </c>
      <c r="F4034" s="363"/>
      <c r="G4034" s="2407" t="s">
        <v>1365</v>
      </c>
      <c r="H4034" s="2402" t="s">
        <v>3815</v>
      </c>
      <c r="I4034" s="2402" t="s">
        <v>3823</v>
      </c>
      <c r="J4034" s="2402" t="s">
        <v>3824</v>
      </c>
      <c r="K4034" s="2401" t="s">
        <v>4022</v>
      </c>
      <c r="L4034" s="355" t="s">
        <v>6139</v>
      </c>
      <c r="M4034" s="290"/>
      <c r="N4034" s="290"/>
      <c r="O4034" s="290"/>
      <c r="P4034" s="290"/>
      <c r="S4034" s="364"/>
      <c r="Z4034" s="609" t="s">
        <v>4014</v>
      </c>
      <c r="AA4034" s="609" t="s">
        <v>5684</v>
      </c>
    </row>
    <row r="4035" spans="1:27" ht="18">
      <c r="A4035" s="2712"/>
      <c r="B4035" s="371">
        <v>101</v>
      </c>
      <c r="C4035" s="371" t="s">
        <v>2791</v>
      </c>
      <c r="D4035" s="2714">
        <f t="shared" ref="D4035:D4040" si="451">IF(OR(G4035="*",G4035="",G4035=0),0,COUNTIF($G$4035:$G$4040,G4035))</f>
        <v>0</v>
      </c>
      <c r="E4035" s="2719">
        <v>1</v>
      </c>
      <c r="F4035" s="294"/>
      <c r="G4035" s="2404" t="s">
        <v>2792</v>
      </c>
      <c r="H4035" s="2273"/>
      <c r="I4035" s="2296"/>
      <c r="J4035" s="2296"/>
      <c r="K4035" s="2294"/>
      <c r="L4035" s="579"/>
      <c r="M4035" s="290"/>
      <c r="N4035" s="290"/>
      <c r="O4035" s="290"/>
      <c r="P4035" s="290"/>
      <c r="S4035" s="364"/>
      <c r="Z4035" s="609" t="s">
        <v>4014</v>
      </c>
      <c r="AA4035" s="609" t="s">
        <v>5684</v>
      </c>
    </row>
    <row r="4036" spans="1:27" ht="18">
      <c r="A4036" s="2712"/>
      <c r="B4036" s="371">
        <v>102</v>
      </c>
      <c r="C4036" s="371" t="s">
        <v>2791</v>
      </c>
      <c r="D4036" s="2714">
        <f t="shared" si="451"/>
        <v>0</v>
      </c>
      <c r="E4036" s="2719">
        <v>1</v>
      </c>
      <c r="F4036" s="294"/>
      <c r="G4036" s="2404" t="s">
        <v>2792</v>
      </c>
      <c r="H4036" s="2273"/>
      <c r="I4036" s="2296"/>
      <c r="J4036" s="2296"/>
      <c r="K4036" s="2294"/>
      <c r="L4036" s="290"/>
      <c r="M4036" s="290"/>
      <c r="N4036" s="290"/>
      <c r="O4036" s="290"/>
      <c r="P4036" s="290"/>
      <c r="S4036" s="364"/>
      <c r="Z4036" s="609" t="s">
        <v>4014</v>
      </c>
      <c r="AA4036" s="609" t="s">
        <v>5684</v>
      </c>
    </row>
    <row r="4037" spans="1:27" ht="18">
      <c r="A4037" s="2712"/>
      <c r="B4037" s="371">
        <v>103</v>
      </c>
      <c r="C4037" s="371" t="s">
        <v>2791</v>
      </c>
      <c r="D4037" s="2714">
        <f t="shared" si="451"/>
        <v>0</v>
      </c>
      <c r="E4037" s="2719">
        <v>1</v>
      </c>
      <c r="F4037" s="294"/>
      <c r="G4037" s="2404" t="s">
        <v>2792</v>
      </c>
      <c r="H4037" s="2273"/>
      <c r="I4037" s="2296"/>
      <c r="J4037" s="2296"/>
      <c r="K4037" s="2294"/>
      <c r="L4037" s="290"/>
      <c r="M4037" s="290"/>
      <c r="N4037" s="290"/>
      <c r="O4037" s="290"/>
      <c r="P4037" s="290"/>
      <c r="S4037" s="364"/>
      <c r="Z4037" s="609" t="s">
        <v>4014</v>
      </c>
      <c r="AA4037" s="609" t="s">
        <v>5684</v>
      </c>
    </row>
    <row r="4038" spans="1:27" ht="18">
      <c r="A4038" s="2712"/>
      <c r="B4038" s="371">
        <v>104</v>
      </c>
      <c r="C4038" s="371" t="s">
        <v>2791</v>
      </c>
      <c r="D4038" s="2714">
        <f t="shared" si="451"/>
        <v>0</v>
      </c>
      <c r="E4038" s="2719">
        <v>1</v>
      </c>
      <c r="F4038" s="294"/>
      <c r="G4038" s="2404" t="s">
        <v>2792</v>
      </c>
      <c r="H4038" s="2273"/>
      <c r="I4038" s="2296"/>
      <c r="J4038" s="2296"/>
      <c r="K4038" s="2294"/>
      <c r="L4038" s="290"/>
      <c r="M4038" s="290"/>
      <c r="N4038" s="290"/>
      <c r="O4038" s="290"/>
      <c r="P4038" s="290"/>
      <c r="S4038" s="364"/>
      <c r="Z4038" s="609" t="s">
        <v>4014</v>
      </c>
      <c r="AA4038" s="609" t="s">
        <v>5684</v>
      </c>
    </row>
    <row r="4039" spans="1:27" ht="18">
      <c r="A4039" s="2712"/>
      <c r="B4039" s="371">
        <v>105</v>
      </c>
      <c r="C4039" s="371" t="s">
        <v>2791</v>
      </c>
      <c r="D4039" s="2714">
        <f t="shared" si="451"/>
        <v>0</v>
      </c>
      <c r="E4039" s="2719">
        <v>1</v>
      </c>
      <c r="F4039" s="294"/>
      <c r="G4039" s="2404" t="s">
        <v>2792</v>
      </c>
      <c r="H4039" s="2273"/>
      <c r="I4039" s="2296"/>
      <c r="J4039" s="2296"/>
      <c r="K4039" s="2294"/>
      <c r="L4039" s="290"/>
      <c r="M4039" s="290"/>
      <c r="N4039" s="290"/>
      <c r="O4039" s="290"/>
      <c r="P4039" s="290"/>
      <c r="S4039" s="364"/>
      <c r="Z4039" s="609" t="s">
        <v>4014</v>
      </c>
      <c r="AA4039" s="609" t="s">
        <v>5684</v>
      </c>
    </row>
    <row r="4040" spans="1:27" ht="18.75" thickBot="1">
      <c r="A4040" s="2712"/>
      <c r="B4040" s="371"/>
      <c r="C4040" s="371"/>
      <c r="D4040" s="2714">
        <f t="shared" si="451"/>
        <v>1</v>
      </c>
      <c r="E4040" s="2719" t="s">
        <v>2751</v>
      </c>
      <c r="F4040" s="294"/>
      <c r="G4040" s="1527" t="s">
        <v>2752</v>
      </c>
      <c r="H4040" s="1525">
        <f>SUMPRODUCT($E4034:$E4039,H4034:H4039)</f>
        <v>0</v>
      </c>
      <c r="I4040" s="2314"/>
      <c r="J4040" s="2314"/>
      <c r="K4040" s="1526">
        <f>SUMPRODUCT($E4034:$E4039,K4034:K4039)</f>
        <v>0</v>
      </c>
      <c r="L4040" s="290"/>
      <c r="M4040" s="290"/>
      <c r="N4040" s="290"/>
      <c r="O4040" s="290"/>
      <c r="P4040" s="290"/>
      <c r="S4040" s="364"/>
      <c r="Z4040" s="609" t="s">
        <v>4014</v>
      </c>
      <c r="AA4040" s="609" t="s">
        <v>5684</v>
      </c>
    </row>
    <row r="4041" spans="1:27" ht="18">
      <c r="A4041" s="2712"/>
      <c r="B4041" s="371"/>
      <c r="C4041" s="371" t="s">
        <v>2755</v>
      </c>
      <c r="D4041" s="371"/>
      <c r="F4041" s="294"/>
      <c r="G4041" s="301"/>
      <c r="H4041" s="315" t="s">
        <v>3002</v>
      </c>
      <c r="I4041" s="393"/>
      <c r="J4041" s="393"/>
      <c r="K4041" s="566"/>
      <c r="L4041" s="290"/>
      <c r="M4041" s="290"/>
      <c r="N4041" s="290"/>
      <c r="O4041" s="290"/>
      <c r="P4041" s="290"/>
      <c r="S4041" s="364"/>
      <c r="Z4041" s="609" t="s">
        <v>4014</v>
      </c>
      <c r="AA4041" s="609" t="s">
        <v>5684</v>
      </c>
    </row>
    <row r="4042" spans="1:27" ht="18">
      <c r="A4042" s="2712" t="s">
        <v>1657</v>
      </c>
      <c r="B4042" s="371">
        <v>2</v>
      </c>
      <c r="C4042" s="371"/>
      <c r="D4042" s="2714" t="str">
        <f>VLOOKUP($A4042,Sheet_NoteList,2,0)</f>
        <v>外币长期借款</v>
      </c>
      <c r="E4042" s="2714" t="s">
        <v>6529</v>
      </c>
      <c r="F4042" s="294"/>
      <c r="G4042" s="372" t="str">
        <f>"("&amp;B4042&amp;")"&amp;D4042</f>
        <v>(2)外币长期借款</v>
      </c>
      <c r="H4042" s="1515" t="str">
        <f>$A4042</f>
        <v>2501c</v>
      </c>
      <c r="I4042" s="343" t="s">
        <v>5580</v>
      </c>
      <c r="J4042" s="301" t="s">
        <v>5578</v>
      </c>
      <c r="K4042" s="2208">
        <f>J4050</f>
        <v>0</v>
      </c>
      <c r="L4042" s="345"/>
      <c r="M4042" s="301" t="s">
        <v>5579</v>
      </c>
      <c r="N4042" s="2208">
        <f>L4050</f>
        <v>0</v>
      </c>
      <c r="O4042" s="345"/>
      <c r="P4042" s="301"/>
      <c r="Q4042" s="290" t="str">
        <f>IF($I4042="不适用","",IF(ROUND(SUM($H$4045:$J$4050),2)=0,"请输入",""))</f>
        <v>请输入</v>
      </c>
      <c r="S4042" s="364"/>
      <c r="Z4042" s="609" t="s">
        <v>4014</v>
      </c>
      <c r="AA4042" s="609" t="s">
        <v>5684</v>
      </c>
    </row>
    <row r="4043" spans="1:27" ht="0.75" customHeight="1" thickBot="1">
      <c r="A4043" s="2712"/>
      <c r="B4043" s="371"/>
      <c r="C4043" s="371"/>
      <c r="D4043" s="371"/>
      <c r="F4043" s="304"/>
      <c r="G4043" s="304" t="s">
        <v>4019</v>
      </c>
      <c r="H4043" s="304" t="s">
        <v>3073</v>
      </c>
      <c r="I4043" s="304" t="s">
        <v>3074</v>
      </c>
      <c r="J4043" s="304" t="s">
        <v>3075</v>
      </c>
      <c r="N4043" s="291"/>
      <c r="O4043" s="291"/>
      <c r="P4043" s="291"/>
      <c r="Q4043" s="367"/>
      <c r="R4043" s="367"/>
      <c r="S4043" s="364"/>
      <c r="Z4043" s="609" t="s">
        <v>4014</v>
      </c>
      <c r="AA4043" s="609" t="s">
        <v>5684</v>
      </c>
    </row>
    <row r="4044" spans="1:27" ht="24">
      <c r="A4044" s="2712"/>
      <c r="B4044" s="371"/>
      <c r="C4044" s="371"/>
      <c r="D4044" s="371"/>
      <c r="E4044" s="2714" t="s">
        <v>2749</v>
      </c>
      <c r="F4044" s="294"/>
      <c r="G4044" s="1627" t="s">
        <v>1371</v>
      </c>
      <c r="H4044" s="1625" t="s">
        <v>3076</v>
      </c>
      <c r="I4044" s="1625" t="s">
        <v>3077</v>
      </c>
      <c r="J4044" s="1626" t="s">
        <v>3078</v>
      </c>
      <c r="K4044" s="355" t="s">
        <v>5602</v>
      </c>
      <c r="L4044" s="291"/>
      <c r="N4044" s="291"/>
      <c r="O4044" s="291"/>
      <c r="P4044" s="291"/>
      <c r="Q4044" s="367"/>
      <c r="R4044" s="367"/>
      <c r="S4044" s="364"/>
      <c r="Z4044" s="609" t="s">
        <v>4014</v>
      </c>
      <c r="AA4044" s="609" t="s">
        <v>5684</v>
      </c>
    </row>
    <row r="4045" spans="1:27" ht="18">
      <c r="A4045" s="2712"/>
      <c r="B4045" s="371">
        <v>101</v>
      </c>
      <c r="C4045" s="371" t="s">
        <v>2791</v>
      </c>
      <c r="D4045" s="2714">
        <f t="shared" ref="D4045:D4050" si="452">IF(OR(G4045="*",G4045="",G4045=0),0,COUNTIF($G$4045:$G$4050,G4045))</f>
        <v>1</v>
      </c>
      <c r="E4045" s="2719">
        <v>1</v>
      </c>
      <c r="F4045" s="294"/>
      <c r="G4045" s="1624" t="s">
        <v>3079</v>
      </c>
      <c r="H4045" s="309"/>
      <c r="I4045" s="360"/>
      <c r="J4045" s="346"/>
      <c r="K4045" s="355" t="s">
        <v>5362</v>
      </c>
      <c r="L4045" s="1520" t="s">
        <v>5363</v>
      </c>
      <c r="M4045" s="291"/>
      <c r="N4045" s="291"/>
      <c r="O4045" s="291"/>
      <c r="P4045" s="291"/>
      <c r="S4045" s="364"/>
      <c r="Z4045" s="609" t="s">
        <v>4014</v>
      </c>
      <c r="AA4045" s="609" t="s">
        <v>5684</v>
      </c>
    </row>
    <row r="4046" spans="1:27" ht="18">
      <c r="A4046" s="2712"/>
      <c r="B4046" s="371">
        <v>102</v>
      </c>
      <c r="C4046" s="371" t="s">
        <v>2791</v>
      </c>
      <c r="D4046" s="2714">
        <f t="shared" si="452"/>
        <v>1</v>
      </c>
      <c r="E4046" s="2719">
        <v>1</v>
      </c>
      <c r="F4046" s="294"/>
      <c r="G4046" s="1624" t="s">
        <v>3080</v>
      </c>
      <c r="H4046" s="309"/>
      <c r="I4046" s="360"/>
      <c r="J4046" s="346"/>
      <c r="K4046" s="291"/>
      <c r="L4046" s="291"/>
      <c r="M4046" s="291"/>
      <c r="N4046" s="291"/>
      <c r="O4046" s="291"/>
      <c r="P4046" s="291"/>
      <c r="S4046" s="364"/>
      <c r="Z4046" s="609" t="s">
        <v>4014</v>
      </c>
      <c r="AA4046" s="609" t="s">
        <v>5684</v>
      </c>
    </row>
    <row r="4047" spans="1:27" ht="18">
      <c r="A4047" s="2712"/>
      <c r="B4047" s="371">
        <v>103</v>
      </c>
      <c r="C4047" s="371" t="s">
        <v>2791</v>
      </c>
      <c r="D4047" s="2714">
        <f t="shared" si="452"/>
        <v>1</v>
      </c>
      <c r="E4047" s="2719">
        <v>1</v>
      </c>
      <c r="F4047" s="294"/>
      <c r="G4047" s="1624" t="s">
        <v>3081</v>
      </c>
      <c r="H4047" s="309"/>
      <c r="I4047" s="360"/>
      <c r="J4047" s="346"/>
      <c r="K4047" s="291"/>
      <c r="L4047" s="291"/>
      <c r="M4047" s="291"/>
      <c r="N4047" s="291"/>
      <c r="O4047" s="291"/>
      <c r="P4047" s="291"/>
      <c r="S4047" s="364"/>
      <c r="Z4047" s="609" t="s">
        <v>4014</v>
      </c>
      <c r="AA4047" s="609" t="s">
        <v>5684</v>
      </c>
    </row>
    <row r="4048" spans="1:27" ht="18">
      <c r="A4048" s="2712"/>
      <c r="B4048" s="371">
        <v>104</v>
      </c>
      <c r="C4048" s="371" t="s">
        <v>2791</v>
      </c>
      <c r="D4048" s="2714">
        <f t="shared" si="452"/>
        <v>0</v>
      </c>
      <c r="E4048" s="2719">
        <v>1</v>
      </c>
      <c r="F4048" s="294"/>
      <c r="G4048" s="1624" t="s">
        <v>2792</v>
      </c>
      <c r="H4048" s="309"/>
      <c r="I4048" s="360"/>
      <c r="J4048" s="346"/>
      <c r="K4048" s="291"/>
      <c r="L4048" s="291"/>
      <c r="M4048" s="291"/>
      <c r="N4048" s="291"/>
      <c r="O4048" s="291"/>
      <c r="P4048" s="291"/>
      <c r="S4048" s="364"/>
      <c r="Z4048" s="609" t="s">
        <v>4014</v>
      </c>
      <c r="AA4048" s="609" t="s">
        <v>5684</v>
      </c>
    </row>
    <row r="4049" spans="1:29" ht="18">
      <c r="A4049" s="2712"/>
      <c r="B4049" s="371">
        <v>105</v>
      </c>
      <c r="C4049" s="371" t="s">
        <v>2791</v>
      </c>
      <c r="D4049" s="2714">
        <f t="shared" si="452"/>
        <v>0</v>
      </c>
      <c r="E4049" s="2719">
        <v>1</v>
      </c>
      <c r="F4049" s="294"/>
      <c r="G4049" s="1624" t="s">
        <v>2792</v>
      </c>
      <c r="H4049" s="309"/>
      <c r="I4049" s="360"/>
      <c r="J4049" s="346"/>
      <c r="K4049" s="291"/>
      <c r="L4049" s="291"/>
      <c r="M4049" s="291"/>
      <c r="N4049" s="291"/>
      <c r="O4049" s="291"/>
      <c r="P4049" s="291"/>
      <c r="S4049" s="364"/>
      <c r="Z4049" s="609" t="s">
        <v>4014</v>
      </c>
      <c r="AA4049" s="609" t="s">
        <v>5684</v>
      </c>
    </row>
    <row r="4050" spans="1:29" ht="18.75" thickBot="1">
      <c r="A4050" s="2712"/>
      <c r="B4050" s="371"/>
      <c r="C4050" s="371"/>
      <c r="D4050" s="2714">
        <f t="shared" si="452"/>
        <v>1</v>
      </c>
      <c r="E4050" s="2719" t="s">
        <v>2751</v>
      </c>
      <c r="F4050" s="294"/>
      <c r="G4050" s="1527" t="s">
        <v>2752</v>
      </c>
      <c r="H4050" s="1523"/>
      <c r="I4050" s="1568"/>
      <c r="J4050" s="1526">
        <f>SUMPRODUCT($E4044:$E4049,J4044:J4049)</f>
        <v>0</v>
      </c>
      <c r="K4050" s="291"/>
      <c r="L4050" s="291"/>
      <c r="M4050" s="291"/>
      <c r="N4050" s="291"/>
      <c r="O4050" s="291"/>
      <c r="P4050" s="291"/>
      <c r="S4050" s="364"/>
      <c r="Z4050" s="609" t="s">
        <v>4014</v>
      </c>
      <c r="AA4050" s="609" t="s">
        <v>5684</v>
      </c>
    </row>
    <row r="4051" spans="1:29" ht="18">
      <c r="A4051" s="2712"/>
      <c r="B4051" s="371"/>
      <c r="C4051" s="371" t="s">
        <v>2755</v>
      </c>
      <c r="D4051" s="371"/>
      <c r="F4051" s="294"/>
      <c r="G4051" s="301"/>
      <c r="H4051" s="315"/>
      <c r="I4051" s="393"/>
      <c r="J4051" s="315"/>
      <c r="K4051" s="291"/>
      <c r="L4051" s="291"/>
      <c r="M4051" s="291"/>
      <c r="N4051" s="291"/>
      <c r="O4051" s="291"/>
      <c r="P4051" s="291"/>
      <c r="S4051" s="364"/>
      <c r="Z4051" s="609" t="s">
        <v>4014</v>
      </c>
      <c r="AA4051" s="609" t="s">
        <v>5684</v>
      </c>
    </row>
    <row r="4052" spans="1:29" ht="18">
      <c r="A4052" s="2712">
        <v>2502</v>
      </c>
      <c r="B4052" s="371">
        <v>47</v>
      </c>
      <c r="C4052" s="2714" t="str">
        <f>VLOOKUP($A4052,Sheet_Items,2,0)</f>
        <v>应付债券</v>
      </c>
      <c r="D4052" s="371"/>
      <c r="E4052" s="2714" t="s">
        <v>2739</v>
      </c>
      <c r="F4052" s="294"/>
      <c r="G4052" s="535" t="str">
        <f>B4052&amp;" "&amp;C4052</f>
        <v>47 应付债券</v>
      </c>
      <c r="H4052" s="306"/>
      <c r="I4052" s="306"/>
      <c r="J4052" s="306" t="s">
        <v>2740</v>
      </c>
      <c r="K4052" s="341">
        <f>VLOOKUP($A4052,Sheet_Trialbal,6,0)</f>
        <v>0</v>
      </c>
      <c r="L4052" s="342"/>
      <c r="M4052" s="306" t="s">
        <v>2741</v>
      </c>
      <c r="N4052" s="341">
        <f>VLOOKUP($A4052,Sheet_Trialbal,10,0)</f>
        <v>0</v>
      </c>
      <c r="O4052" s="306"/>
      <c r="P4052" s="301"/>
      <c r="S4052" s="364"/>
      <c r="Z4052" s="609" t="s">
        <v>4025</v>
      </c>
      <c r="AA4052" s="609" t="s">
        <v>5685</v>
      </c>
    </row>
    <row r="4053" spans="1:29" ht="18">
      <c r="A4053" s="2712" t="s">
        <v>1662</v>
      </c>
      <c r="B4053" s="371">
        <v>1</v>
      </c>
      <c r="C4053" s="371"/>
      <c r="D4053" s="2714" t="str">
        <f>VLOOKUP($A4053,Sheet_NoteList,2,0)</f>
        <v>应付债券明细项目</v>
      </c>
      <c r="E4053" s="2714" t="s">
        <v>2742</v>
      </c>
      <c r="F4053" s="294"/>
      <c r="G4053" s="307" t="str">
        <f>"("&amp;B4053&amp;")"&amp;D4053</f>
        <v>(1)应付债券明细项目</v>
      </c>
      <c r="H4053" s="1515" t="str">
        <f>$A4053</f>
        <v>2502b</v>
      </c>
      <c r="I4053" s="343" t="s">
        <v>2743</v>
      </c>
      <c r="J4053" s="301" t="s">
        <v>2744</v>
      </c>
      <c r="K4053" s="2208">
        <f>H4061</f>
        <v>0</v>
      </c>
      <c r="L4053" s="345" t="str">
        <f>IF($I4053="适用",IF(ROUND(K4052-K4053,2)=0,"F/S",ROUND(K4052-K4053,2)),"#N/A")</f>
        <v>F/S</v>
      </c>
      <c r="M4053" s="301" t="s">
        <v>2745</v>
      </c>
      <c r="N4053" s="2208">
        <f>I4061</f>
        <v>0</v>
      </c>
      <c r="O4053" s="345" t="str">
        <f>IF($I4053="适用",IF(ROUND(N4052-N4053,2)=0,"F/S",ROUND(N4052-N4053,2)),"#N/A")</f>
        <v>F/S</v>
      </c>
      <c r="P4053" s="301"/>
      <c r="Q4053" s="290" t="str">
        <f>IF($I4053="不适用","",IF(ROUND(SUM($H$4056:$I$4061),2)=0,"请输入",""))</f>
        <v>请输入</v>
      </c>
      <c r="S4053" s="364"/>
      <c r="Z4053" s="609" t="s">
        <v>4025</v>
      </c>
      <c r="AA4053" s="609" t="s">
        <v>5685</v>
      </c>
    </row>
    <row r="4054" spans="1:29" ht="0.75" customHeight="1" thickBot="1">
      <c r="A4054" s="2712"/>
      <c r="B4054" s="371"/>
      <c r="C4054" s="371"/>
      <c r="D4054" s="371"/>
      <c r="F4054" s="304"/>
      <c r="G4054" s="304" t="s">
        <v>4026</v>
      </c>
      <c r="H4054" s="304" t="s">
        <v>2747</v>
      </c>
      <c r="I4054" s="304" t="s">
        <v>2748</v>
      </c>
      <c r="J4054" s="387"/>
      <c r="K4054" s="387"/>
      <c r="L4054" s="387"/>
      <c r="M4054" s="387"/>
      <c r="N4054" s="291"/>
      <c r="O4054" s="291"/>
      <c r="P4054" s="291"/>
      <c r="Q4054" s="367"/>
      <c r="R4054" s="367"/>
      <c r="S4054" s="364"/>
      <c r="Z4054" s="609" t="s">
        <v>4025</v>
      </c>
      <c r="AA4054" s="609" t="s">
        <v>5685</v>
      </c>
    </row>
    <row r="4055" spans="1:29" ht="18">
      <c r="A4055" s="2712"/>
      <c r="B4055" s="371"/>
      <c r="C4055" s="371"/>
      <c r="D4055" s="371"/>
      <c r="E4055" s="2714" t="s">
        <v>2749</v>
      </c>
      <c r="F4055" s="294"/>
      <c r="G4055" s="410" t="s">
        <v>47</v>
      </c>
      <c r="H4055" s="1452" t="str">
        <f>$V$2</f>
        <v>2019年12月31日</v>
      </c>
      <c r="I4055" s="1453" t="str">
        <f>$V$3</f>
        <v>2018年12月31日</v>
      </c>
      <c r="J4055" s="355" t="s">
        <v>5310</v>
      </c>
      <c r="K4055" s="291"/>
      <c r="L4055" s="291"/>
      <c r="M4055" s="291"/>
      <c r="N4055" s="291"/>
      <c r="O4055" s="291"/>
      <c r="P4055" s="291"/>
      <c r="Q4055" s="367"/>
      <c r="R4055" s="367"/>
      <c r="S4055" s="364"/>
      <c r="Z4055" s="609" t="s">
        <v>4025</v>
      </c>
      <c r="AA4055" s="609" t="s">
        <v>5685</v>
      </c>
    </row>
    <row r="4056" spans="1:29" ht="18">
      <c r="A4056" s="2712"/>
      <c r="B4056" s="371">
        <v>101</v>
      </c>
      <c r="C4056" s="371" t="s">
        <v>2791</v>
      </c>
      <c r="D4056" s="2714">
        <f t="shared" ref="D4056:D4061" si="453">IF(OR(G4056="*",G4056="",G4056=0),0,COUNTIF($G$4056:$G$4061,G4056))</f>
        <v>0</v>
      </c>
      <c r="E4056" s="2719" t="s">
        <v>2939</v>
      </c>
      <c r="F4056" s="294"/>
      <c r="G4056" s="319" t="s">
        <v>2792</v>
      </c>
      <c r="H4056" s="309"/>
      <c r="I4056" s="346"/>
      <c r="J4056" s="291"/>
      <c r="K4056" s="291"/>
      <c r="L4056" s="291"/>
      <c r="M4056" s="291"/>
      <c r="N4056" s="291"/>
      <c r="O4056" s="291"/>
      <c r="P4056" s="291"/>
      <c r="Q4056" s="367"/>
      <c r="R4056" s="367"/>
      <c r="S4056" s="364"/>
      <c r="Z4056" s="609" t="s">
        <v>4025</v>
      </c>
      <c r="AA4056" s="609" t="s">
        <v>5685</v>
      </c>
    </row>
    <row r="4057" spans="1:29" ht="18">
      <c r="A4057" s="2712"/>
      <c r="B4057" s="371">
        <v>101.001</v>
      </c>
      <c r="C4057" s="371" t="s">
        <v>2791</v>
      </c>
      <c r="D4057" s="2714">
        <f t="shared" si="453"/>
        <v>0</v>
      </c>
      <c r="E4057" s="2719" t="s">
        <v>2939</v>
      </c>
      <c r="F4057" s="294"/>
      <c r="G4057" s="319" t="s">
        <v>2792</v>
      </c>
      <c r="H4057" s="309"/>
      <c r="I4057" s="346"/>
      <c r="J4057" s="291"/>
      <c r="K4057" s="291"/>
      <c r="L4057" s="291"/>
      <c r="M4057" s="291"/>
      <c r="N4057" s="291"/>
      <c r="O4057" s="291"/>
      <c r="P4057" s="291"/>
      <c r="Q4057" s="367"/>
      <c r="R4057" s="367"/>
      <c r="S4057" s="364"/>
      <c r="Z4057" s="609" t="s">
        <v>4025</v>
      </c>
      <c r="AA4057" s="609" t="s">
        <v>5685</v>
      </c>
    </row>
    <row r="4058" spans="1:29" ht="18">
      <c r="A4058" s="2712"/>
      <c r="B4058" s="371">
        <v>101.002</v>
      </c>
      <c r="C4058" s="371" t="s">
        <v>2791</v>
      </c>
      <c r="D4058" s="2714">
        <f t="shared" si="453"/>
        <v>0</v>
      </c>
      <c r="E4058" s="2719" t="s">
        <v>2939</v>
      </c>
      <c r="F4058" s="294"/>
      <c r="G4058" s="319" t="s">
        <v>2792</v>
      </c>
      <c r="H4058" s="309"/>
      <c r="I4058" s="346"/>
      <c r="J4058" s="291"/>
      <c r="K4058" s="291"/>
      <c r="L4058" s="291"/>
      <c r="M4058" s="291"/>
      <c r="N4058" s="291"/>
      <c r="O4058" s="291"/>
      <c r="P4058" s="291"/>
      <c r="Q4058" s="367"/>
      <c r="R4058" s="367"/>
      <c r="S4058" s="364"/>
      <c r="Z4058" s="609" t="s">
        <v>4025</v>
      </c>
      <c r="AA4058" s="609" t="s">
        <v>5685</v>
      </c>
    </row>
    <row r="4059" spans="1:29" ht="18">
      <c r="A4059" s="2712"/>
      <c r="B4059" s="371">
        <v>102</v>
      </c>
      <c r="C4059" s="371" t="s">
        <v>2793</v>
      </c>
      <c r="D4059" s="2714">
        <f t="shared" si="453"/>
        <v>1</v>
      </c>
      <c r="E4059" s="2719">
        <v>1</v>
      </c>
      <c r="F4059" s="294"/>
      <c r="G4059" s="308" t="s">
        <v>2939</v>
      </c>
      <c r="H4059" s="1474">
        <f>SUMIF($E$4055:$E$4060,$G4059,H$4055:H$4060)</f>
        <v>0</v>
      </c>
      <c r="I4059" s="1475">
        <f>SUMIF($E$4055:$E$4060,$G4059,I$4055:I$4060)</f>
        <v>0</v>
      </c>
      <c r="J4059" s="291"/>
      <c r="K4059" s="291"/>
      <c r="L4059" s="291"/>
      <c r="M4059" s="291"/>
      <c r="N4059" s="291"/>
      <c r="O4059" s="291"/>
      <c r="P4059" s="291"/>
      <c r="Q4059" s="367"/>
      <c r="R4059" s="367"/>
      <c r="S4059" s="364"/>
      <c r="Z4059" s="609" t="s">
        <v>4025</v>
      </c>
      <c r="AA4059" s="609" t="s">
        <v>5685</v>
      </c>
    </row>
    <row r="4060" spans="1:29" ht="18">
      <c r="A4060" s="2712"/>
      <c r="B4060" s="371">
        <v>103</v>
      </c>
      <c r="C4060" s="371" t="s">
        <v>2791</v>
      </c>
      <c r="D4060" s="2714">
        <f t="shared" si="453"/>
        <v>1</v>
      </c>
      <c r="E4060" s="2719">
        <v>-1</v>
      </c>
      <c r="F4060" s="294"/>
      <c r="G4060" s="2566" t="s">
        <v>4027</v>
      </c>
      <c r="H4060" s="309"/>
      <c r="I4060" s="346"/>
      <c r="J4060" s="1531" t="str">
        <f ca="1">HYPERLINK("#'"&amp;$G$1&amp;"'!"&amp;ADDRESS(ROW(Notes!K3933),COLUMN(Notes!K3933),4),"* 请勿删除此行！点击往勾稽单元格，F5+Enter返回")</f>
        <v>* 请勿删除此行！点击往勾稽单元格，F5+Enter返回</v>
      </c>
      <c r="K4060" s="291"/>
      <c r="L4060" s="291"/>
      <c r="M4060" s="291"/>
      <c r="N4060" s="291"/>
      <c r="O4060" s="291"/>
      <c r="P4060" s="291"/>
      <c r="Q4060" s="367"/>
      <c r="R4060" s="367"/>
      <c r="S4060" s="364"/>
      <c r="Z4060" s="609" t="s">
        <v>4025</v>
      </c>
      <c r="AA4060" s="609" t="s">
        <v>5685</v>
      </c>
      <c r="AC4060" s="369" t="s">
        <v>6571</v>
      </c>
    </row>
    <row r="4061" spans="1:29" ht="18.75" thickBot="1">
      <c r="A4061" s="2712"/>
      <c r="B4061" s="371"/>
      <c r="C4061" s="371"/>
      <c r="D4061" s="2714">
        <f t="shared" si="453"/>
        <v>1</v>
      </c>
      <c r="E4061" s="2719" t="s">
        <v>2751</v>
      </c>
      <c r="F4061" s="294"/>
      <c r="G4061" s="374" t="s">
        <v>2752</v>
      </c>
      <c r="H4061" s="1476">
        <f>SUMPRODUCT($E4055:$E4060,H4055:H4060)</f>
        <v>0</v>
      </c>
      <c r="I4061" s="1477">
        <f>SUMPRODUCT($E4055:$E4060,I4055:I4060)</f>
        <v>0</v>
      </c>
      <c r="J4061" s="357"/>
      <c r="K4061" s="291"/>
      <c r="L4061" s="291"/>
      <c r="M4061" s="291"/>
      <c r="N4061" s="291"/>
      <c r="O4061" s="291"/>
      <c r="P4061" s="291"/>
      <c r="Q4061" s="367"/>
      <c r="R4061" s="367"/>
      <c r="S4061" s="364"/>
      <c r="Z4061" s="609" t="s">
        <v>4025</v>
      </c>
      <c r="AA4061" s="609" t="s">
        <v>5685</v>
      </c>
      <c r="AC4061" s="369" t="s">
        <v>2794</v>
      </c>
    </row>
    <row r="4062" spans="1:29" ht="18">
      <c r="A4062" s="2712"/>
      <c r="B4062" s="371"/>
      <c r="C4062" s="371" t="s">
        <v>2755</v>
      </c>
      <c r="D4062" s="371"/>
      <c r="F4062" s="294"/>
      <c r="G4062" s="301"/>
      <c r="H4062" s="315"/>
      <c r="I4062" s="315"/>
      <c r="J4062" s="350"/>
      <c r="K4062" s="349"/>
      <c r="L4062" s="349"/>
      <c r="M4062" s="350"/>
      <c r="N4062" s="291"/>
      <c r="O4062" s="291"/>
      <c r="P4062" s="291"/>
      <c r="Q4062" s="367"/>
      <c r="R4062" s="367"/>
      <c r="S4062" s="364"/>
      <c r="Z4062" s="609" t="s">
        <v>4025</v>
      </c>
      <c r="AA4062" s="609" t="s">
        <v>5685</v>
      </c>
    </row>
    <row r="4063" spans="1:29" ht="48">
      <c r="A4063" s="2712" t="s">
        <v>1667</v>
      </c>
      <c r="B4063" s="371">
        <v>2</v>
      </c>
      <c r="C4063" s="371"/>
      <c r="D4063" s="2714" t="str">
        <f>VLOOKUP($A4063,Sheet_NoteList,2,0)</f>
        <v>应付债券的增减变动（不包括划分为金融负债的优先股、永续债等其他金融工具）</v>
      </c>
      <c r="E4063" s="2714" t="s">
        <v>2742</v>
      </c>
      <c r="F4063" s="294"/>
      <c r="G4063" s="372" t="str">
        <f>"("&amp;B4063&amp;")"&amp;D4063</f>
        <v>(2)应付债券的增减变动（不包括划分为金融负债的优先股、永续债等其他金融工具）</v>
      </c>
      <c r="H4063" s="1515" t="str">
        <f>$A4063</f>
        <v>2502a</v>
      </c>
      <c r="I4063" s="343" t="s">
        <v>2743</v>
      </c>
      <c r="J4063" s="301" t="s">
        <v>2744</v>
      </c>
      <c r="K4063" s="2208">
        <f>Q4074</f>
        <v>0</v>
      </c>
      <c r="L4063" s="345"/>
      <c r="M4063" s="301" t="s">
        <v>2745</v>
      </c>
      <c r="N4063" s="2208">
        <f>L4074</f>
        <v>0</v>
      </c>
      <c r="O4063" s="345"/>
      <c r="P4063" s="301"/>
      <c r="Q4063" s="290" t="str">
        <f>IF($I4063="不适用","",IF(ROUND(SUM($H$4066:$Q$4074),2)=0,"请输入",""))</f>
        <v>请输入</v>
      </c>
      <c r="R4063" s="367"/>
      <c r="S4063" s="364"/>
      <c r="Z4063" s="609" t="s">
        <v>4025</v>
      </c>
      <c r="AA4063" s="609" t="s">
        <v>5685</v>
      </c>
    </row>
    <row r="4064" spans="1:29" ht="0.75" customHeight="1" thickBot="1">
      <c r="A4064" s="2712"/>
      <c r="B4064" s="371"/>
      <c r="C4064" s="371"/>
      <c r="D4064" s="371"/>
      <c r="F4064" s="304"/>
      <c r="G4064" s="304" t="s">
        <v>4028</v>
      </c>
      <c r="H4064" s="304" t="s">
        <v>3431</v>
      </c>
      <c r="I4064" s="304" t="s">
        <v>3991</v>
      </c>
      <c r="J4064" s="304" t="s">
        <v>3992</v>
      </c>
      <c r="K4064" s="304" t="s">
        <v>3993</v>
      </c>
      <c r="L4064" s="304" t="s">
        <v>3242</v>
      </c>
      <c r="M4064" s="304" t="s">
        <v>3994</v>
      </c>
      <c r="N4064" s="304" t="s">
        <v>3995</v>
      </c>
      <c r="O4064" s="304" t="s">
        <v>3996</v>
      </c>
      <c r="P4064" s="304" t="s">
        <v>3997</v>
      </c>
      <c r="Q4064" s="366" t="s">
        <v>3499</v>
      </c>
      <c r="R4064" s="367"/>
      <c r="S4064" s="364"/>
      <c r="T4064" s="291"/>
      <c r="Z4064" s="609" t="s">
        <v>4025</v>
      </c>
      <c r="AA4064" s="609" t="s">
        <v>5685</v>
      </c>
    </row>
    <row r="4065" spans="1:27" ht="18">
      <c r="A4065" s="2712"/>
      <c r="B4065" s="371"/>
      <c r="C4065" s="371"/>
      <c r="D4065" s="371"/>
      <c r="E4065" s="2714" t="s">
        <v>2749</v>
      </c>
      <c r="F4065" s="294"/>
      <c r="G4065" s="378" t="s">
        <v>1613</v>
      </c>
      <c r="H4065" s="398" t="s">
        <v>3319</v>
      </c>
      <c r="I4065" s="398" t="s">
        <v>3998</v>
      </c>
      <c r="J4065" s="398" t="s">
        <v>3999</v>
      </c>
      <c r="K4065" s="398" t="s">
        <v>4000</v>
      </c>
      <c r="L4065" s="2471" t="str">
        <f>$V$3</f>
        <v>2018年12月31日</v>
      </c>
      <c r="M4065" s="398" t="s">
        <v>4001</v>
      </c>
      <c r="N4065" s="398" t="s">
        <v>4002</v>
      </c>
      <c r="O4065" s="379" t="s">
        <v>4003</v>
      </c>
      <c r="P4065" s="398" t="s">
        <v>4004</v>
      </c>
      <c r="Q4065" s="1454" t="str">
        <f>$V$2</f>
        <v>2019年12月31日</v>
      </c>
      <c r="R4065" s="355" t="s">
        <v>5310</v>
      </c>
      <c r="S4065" s="364"/>
      <c r="T4065" s="291"/>
      <c r="Z4065" s="609" t="s">
        <v>4025</v>
      </c>
      <c r="AA4065" s="609" t="s">
        <v>5685</v>
      </c>
    </row>
    <row r="4066" spans="1:27" ht="18">
      <c r="A4066" s="2712"/>
      <c r="B4066" s="371">
        <v>101</v>
      </c>
      <c r="C4066" s="371"/>
      <c r="D4066" s="2714">
        <f t="shared" ref="D4066:D4074" si="454">IF(OR(G4066="*",G4066="",G4066=0),0,COUNTIF($G$4066:$G$4074,G4066))</f>
        <v>1</v>
      </c>
      <c r="E4066" s="2719" t="s">
        <v>41</v>
      </c>
      <c r="F4066" s="294"/>
      <c r="G4066" s="380" t="s">
        <v>4029</v>
      </c>
      <c r="H4066" s="383"/>
      <c r="I4066" s="469"/>
      <c r="J4066" s="469"/>
      <c r="K4066" s="383"/>
      <c r="L4066" s="383"/>
      <c r="M4066" s="383"/>
      <c r="N4066" s="383"/>
      <c r="O4066" s="381"/>
      <c r="P4066" s="383"/>
      <c r="Q4066" s="401"/>
      <c r="R4066" s="367"/>
      <c r="S4066" s="364"/>
      <c r="T4066" s="291"/>
      <c r="Z4066" s="609" t="s">
        <v>4025</v>
      </c>
      <c r="AA4066" s="609" t="s">
        <v>5685</v>
      </c>
    </row>
    <row r="4067" spans="1:27" ht="18">
      <c r="A4067" s="2712"/>
      <c r="B4067" s="371">
        <v>101.001</v>
      </c>
      <c r="C4067" s="371" t="s">
        <v>2791</v>
      </c>
      <c r="D4067" s="2714">
        <f t="shared" si="454"/>
        <v>0</v>
      </c>
      <c r="E4067" s="2719" t="s">
        <v>4017</v>
      </c>
      <c r="F4067" s="294"/>
      <c r="G4067" s="409" t="s">
        <v>2792</v>
      </c>
      <c r="H4067" s="383"/>
      <c r="I4067" s="469"/>
      <c r="J4067" s="469"/>
      <c r="K4067" s="383"/>
      <c r="L4067" s="383"/>
      <c r="M4067" s="383"/>
      <c r="N4067" s="383"/>
      <c r="O4067" s="381"/>
      <c r="P4067" s="383"/>
      <c r="Q4067" s="401">
        <f t="shared" ref="Q4067:Q4071" si="455">SUM(L4067:N4067,O4067,-P4067)</f>
        <v>0</v>
      </c>
      <c r="R4067" s="367"/>
      <c r="S4067" s="364"/>
      <c r="T4067" s="291"/>
      <c r="Z4067" s="609" t="s">
        <v>4025</v>
      </c>
      <c r="AA4067" s="609" t="s">
        <v>5685</v>
      </c>
    </row>
    <row r="4068" spans="1:27" ht="18">
      <c r="A4068" s="2712"/>
      <c r="B4068" s="371">
        <v>101.002</v>
      </c>
      <c r="C4068" s="371" t="s">
        <v>2791</v>
      </c>
      <c r="D4068" s="2714">
        <f t="shared" si="454"/>
        <v>0</v>
      </c>
      <c r="E4068" s="2719" t="s">
        <v>4017</v>
      </c>
      <c r="F4068" s="294"/>
      <c r="G4068" s="409" t="s">
        <v>2792</v>
      </c>
      <c r="H4068" s="383"/>
      <c r="I4068" s="469"/>
      <c r="J4068" s="469"/>
      <c r="K4068" s="383"/>
      <c r="L4068" s="383"/>
      <c r="M4068" s="383"/>
      <c r="N4068" s="383"/>
      <c r="O4068" s="381"/>
      <c r="P4068" s="383"/>
      <c r="Q4068" s="401">
        <f t="shared" si="455"/>
        <v>0</v>
      </c>
      <c r="R4068" s="367"/>
      <c r="S4068" s="364"/>
      <c r="T4068" s="291"/>
      <c r="Z4068" s="609" t="s">
        <v>4025</v>
      </c>
      <c r="AA4068" s="609" t="s">
        <v>5685</v>
      </c>
    </row>
    <row r="4069" spans="1:27" ht="18">
      <c r="A4069" s="2712"/>
      <c r="B4069" s="371">
        <v>101.003</v>
      </c>
      <c r="C4069" s="371" t="s">
        <v>2791</v>
      </c>
      <c r="D4069" s="2714">
        <f t="shared" si="454"/>
        <v>0</v>
      </c>
      <c r="E4069" s="2719" t="s">
        <v>4017</v>
      </c>
      <c r="F4069" s="294"/>
      <c r="G4069" s="409" t="s">
        <v>2792</v>
      </c>
      <c r="H4069" s="383"/>
      <c r="I4069" s="469"/>
      <c r="J4069" s="469"/>
      <c r="K4069" s="383"/>
      <c r="L4069" s="383"/>
      <c r="M4069" s="383"/>
      <c r="N4069" s="383"/>
      <c r="O4069" s="381"/>
      <c r="P4069" s="383"/>
      <c r="Q4069" s="401">
        <f t="shared" si="455"/>
        <v>0</v>
      </c>
      <c r="R4069" s="367"/>
      <c r="S4069" s="364"/>
      <c r="T4069" s="291"/>
      <c r="Z4069" s="609" t="s">
        <v>4025</v>
      </c>
      <c r="AA4069" s="609" t="s">
        <v>5685</v>
      </c>
    </row>
    <row r="4070" spans="1:27" ht="18">
      <c r="A4070" s="2712"/>
      <c r="B4070" s="371">
        <v>101.004</v>
      </c>
      <c r="C4070" s="371" t="s">
        <v>2791</v>
      </c>
      <c r="D4070" s="2714">
        <f t="shared" si="454"/>
        <v>0</v>
      </c>
      <c r="E4070" s="2719" t="s">
        <v>4017</v>
      </c>
      <c r="F4070" s="294"/>
      <c r="G4070" s="409" t="s">
        <v>2792</v>
      </c>
      <c r="H4070" s="383"/>
      <c r="I4070" s="469"/>
      <c r="J4070" s="469"/>
      <c r="K4070" s="383"/>
      <c r="L4070" s="383"/>
      <c r="M4070" s="383"/>
      <c r="N4070" s="383"/>
      <c r="O4070" s="381"/>
      <c r="P4070" s="383"/>
      <c r="Q4070" s="401">
        <f t="shared" si="455"/>
        <v>0</v>
      </c>
      <c r="R4070" s="367"/>
      <c r="S4070" s="364"/>
      <c r="T4070" s="291"/>
      <c r="Z4070" s="609" t="s">
        <v>4025</v>
      </c>
      <c r="AA4070" s="609" t="s">
        <v>5685</v>
      </c>
    </row>
    <row r="4071" spans="1:27" ht="18">
      <c r="A4071" s="2712"/>
      <c r="B4071" s="371">
        <v>101.005</v>
      </c>
      <c r="C4071" s="371" t="s">
        <v>2791</v>
      </c>
      <c r="D4071" s="2714">
        <f t="shared" si="454"/>
        <v>0</v>
      </c>
      <c r="E4071" s="2719" t="s">
        <v>4017</v>
      </c>
      <c r="F4071" s="294"/>
      <c r="G4071" s="409" t="s">
        <v>2792</v>
      </c>
      <c r="H4071" s="383"/>
      <c r="I4071" s="469"/>
      <c r="J4071" s="469"/>
      <c r="K4071" s="383"/>
      <c r="L4071" s="383"/>
      <c r="M4071" s="383"/>
      <c r="N4071" s="383"/>
      <c r="O4071" s="381"/>
      <c r="P4071" s="383"/>
      <c r="Q4071" s="401">
        <f t="shared" si="455"/>
        <v>0</v>
      </c>
      <c r="R4071" s="367"/>
      <c r="S4071" s="364"/>
      <c r="T4071" s="291"/>
      <c r="Z4071" s="609" t="s">
        <v>4025</v>
      </c>
      <c r="AA4071" s="609" t="s">
        <v>5685</v>
      </c>
    </row>
    <row r="4072" spans="1:27" ht="18">
      <c r="A4072" s="2712"/>
      <c r="B4072" s="371">
        <v>101.999</v>
      </c>
      <c r="C4072" s="371" t="s">
        <v>2793</v>
      </c>
      <c r="D4072" s="2714">
        <f t="shared" si="454"/>
        <v>1</v>
      </c>
      <c r="E4072" s="2719">
        <v>1</v>
      </c>
      <c r="F4072" s="294"/>
      <c r="G4072" s="385" t="s">
        <v>4017</v>
      </c>
      <c r="H4072" s="386">
        <f>SUMIF($E$4065:$E$4073,$G4072,H$4065:H$4073)</f>
        <v>0</v>
      </c>
      <c r="I4072" s="469"/>
      <c r="J4072" s="469"/>
      <c r="K4072" s="386">
        <f t="shared" ref="K4072:Q4072" si="456">SUMIF($E$4065:$E$4073,$G4072,K$4065:K$4073)</f>
        <v>0</v>
      </c>
      <c r="L4072" s="386">
        <f t="shared" si="456"/>
        <v>0</v>
      </c>
      <c r="M4072" s="386">
        <f t="shared" si="456"/>
        <v>0</v>
      </c>
      <c r="N4072" s="386">
        <f t="shared" si="456"/>
        <v>0</v>
      </c>
      <c r="O4072" s="386">
        <f t="shared" si="456"/>
        <v>0</v>
      </c>
      <c r="P4072" s="386">
        <f t="shared" si="456"/>
        <v>0</v>
      </c>
      <c r="Q4072" s="402">
        <f t="shared" si="456"/>
        <v>0</v>
      </c>
      <c r="R4072" s="367"/>
      <c r="S4072" s="364"/>
      <c r="T4072" s="291"/>
      <c r="Z4072" s="609" t="s">
        <v>4025</v>
      </c>
      <c r="AA4072" s="609" t="s">
        <v>5685</v>
      </c>
    </row>
    <row r="4073" spans="1:27" ht="18">
      <c r="A4073" s="2712"/>
      <c r="B4073" s="371">
        <v>102</v>
      </c>
      <c r="C4073" s="371" t="s">
        <v>2791</v>
      </c>
      <c r="D4073" s="2714">
        <f t="shared" si="454"/>
        <v>1</v>
      </c>
      <c r="E4073" s="2719">
        <v>-1</v>
      </c>
      <c r="F4073" s="294"/>
      <c r="G4073" s="409" t="s">
        <v>4027</v>
      </c>
      <c r="H4073" s="383"/>
      <c r="I4073" s="469"/>
      <c r="J4073" s="469"/>
      <c r="K4073" s="383"/>
      <c r="L4073" s="383"/>
      <c r="M4073" s="383"/>
      <c r="N4073" s="383"/>
      <c r="O4073" s="381"/>
      <c r="P4073" s="383"/>
      <c r="Q4073" s="401">
        <f>SUM(L4073:N4073,O4073,-P4073)</f>
        <v>0</v>
      </c>
      <c r="R4073" s="367"/>
      <c r="S4073" s="364"/>
      <c r="T4073" s="291"/>
      <c r="Z4073" s="609" t="s">
        <v>4025</v>
      </c>
      <c r="AA4073" s="609" t="s">
        <v>5685</v>
      </c>
    </row>
    <row r="4074" spans="1:27" ht="18.75" thickBot="1">
      <c r="A4074" s="2712"/>
      <c r="B4074" s="371"/>
      <c r="C4074" s="371"/>
      <c r="D4074" s="2714">
        <f t="shared" si="454"/>
        <v>1</v>
      </c>
      <c r="E4074" s="2719" t="s">
        <v>2751</v>
      </c>
      <c r="F4074" s="294"/>
      <c r="G4074" s="403" t="s">
        <v>2752</v>
      </c>
      <c r="H4074" s="404">
        <f>SUMPRODUCT($E4065:$E4073,H4065:H4073)</f>
        <v>0</v>
      </c>
      <c r="I4074" s="512"/>
      <c r="J4074" s="512"/>
      <c r="K4074" s="404">
        <f t="shared" ref="K4074:Q4074" si="457">SUMPRODUCT($E4065:$E4073,K4065:K4073)</f>
        <v>0</v>
      </c>
      <c r="L4074" s="404">
        <f t="shared" si="457"/>
        <v>0</v>
      </c>
      <c r="M4074" s="404">
        <f t="shared" si="457"/>
        <v>0</v>
      </c>
      <c r="N4074" s="404">
        <f t="shared" si="457"/>
        <v>0</v>
      </c>
      <c r="O4074" s="404">
        <f t="shared" si="457"/>
        <v>0</v>
      </c>
      <c r="P4074" s="404">
        <f t="shared" si="457"/>
        <v>0</v>
      </c>
      <c r="Q4074" s="413">
        <f t="shared" si="457"/>
        <v>0</v>
      </c>
      <c r="R4074" s="367"/>
      <c r="S4074" s="364"/>
      <c r="T4074" s="291"/>
      <c r="Z4074" s="609" t="s">
        <v>4025</v>
      </c>
      <c r="AA4074" s="609" t="s">
        <v>5685</v>
      </c>
    </row>
    <row r="4075" spans="1:27" ht="18">
      <c r="A4075" s="2712"/>
      <c r="B4075" s="371"/>
      <c r="C4075" s="371" t="s">
        <v>2755</v>
      </c>
      <c r="D4075" s="371"/>
      <c r="F4075" s="294"/>
      <c r="G4075" s="301"/>
      <c r="H4075" s="315"/>
      <c r="I4075" s="393"/>
      <c r="J4075" s="393"/>
      <c r="K4075" s="315"/>
      <c r="L4075" s="527" t="s">
        <v>3002</v>
      </c>
      <c r="M4075" s="315"/>
      <c r="N4075" s="315"/>
      <c r="O4075" s="315"/>
      <c r="P4075" s="315"/>
      <c r="Q4075" s="528" t="s">
        <v>3002</v>
      </c>
      <c r="R4075" s="367"/>
      <c r="S4075" s="364"/>
      <c r="T4075" s="291"/>
      <c r="Z4075" s="609" t="s">
        <v>4025</v>
      </c>
      <c r="AA4075" s="609" t="s">
        <v>5685</v>
      </c>
    </row>
    <row r="4076" spans="1:27" ht="48">
      <c r="A4076" s="2712" t="s">
        <v>1671</v>
      </c>
      <c r="B4076" s="371">
        <v>3</v>
      </c>
      <c r="C4076" s="371"/>
      <c r="D4076" s="2714" t="str">
        <f>VLOOKUP($A4076,Sheet_NoteList,2,0)</f>
        <v>划分为金融负债的其他金融工具说明（期末发行在外的优先股、永续债等其他金融工具的基本情况表）</v>
      </c>
      <c r="E4076" s="2714" t="s">
        <v>2742</v>
      </c>
      <c r="F4076" s="294"/>
      <c r="G4076" s="372" t="str">
        <f>"("&amp;B4076&amp;")"&amp;D4076</f>
        <v>(3)划分为金融负债的其他金融工具说明（期末发行在外的优先股、永续债等其他金融工具的基本情况表）</v>
      </c>
      <c r="H4076" s="1515" t="str">
        <f>$A4076</f>
        <v>2502d</v>
      </c>
      <c r="I4076" s="343" t="s">
        <v>2743</v>
      </c>
      <c r="J4076" s="301" t="s">
        <v>2744</v>
      </c>
      <c r="K4076" s="2208">
        <f>N4084</f>
        <v>0</v>
      </c>
      <c r="L4076" s="345"/>
      <c r="M4076" s="301"/>
      <c r="N4076" s="391"/>
      <c r="O4076" s="345"/>
      <c r="P4076" s="301"/>
      <c r="Q4076" s="290" t="str">
        <f>IF($I4076="不适用","",IF(ROUND(SUM($H$4079:$O$4084),2)=0,"请输入",""))</f>
        <v>请输入</v>
      </c>
      <c r="S4076" s="364"/>
      <c r="Z4076" s="609" t="s">
        <v>4025</v>
      </c>
      <c r="AA4076" s="609" t="s">
        <v>5685</v>
      </c>
    </row>
    <row r="4077" spans="1:27" ht="0.75" customHeight="1" thickBot="1">
      <c r="A4077" s="2712"/>
      <c r="B4077" s="371"/>
      <c r="C4077" s="371"/>
      <c r="D4077" s="371"/>
      <c r="E4077" s="586"/>
      <c r="F4077" s="586"/>
      <c r="G4077" s="586" t="s">
        <v>4030</v>
      </c>
      <c r="H4077" s="371" t="s">
        <v>4031</v>
      </c>
      <c r="I4077" s="371" t="s">
        <v>4032</v>
      </c>
      <c r="J4077" s="371" t="s">
        <v>4033</v>
      </c>
      <c r="K4077" s="371" t="s">
        <v>4034</v>
      </c>
      <c r="L4077" s="371" t="s">
        <v>4035</v>
      </c>
      <c r="M4077" s="371" t="s">
        <v>4036</v>
      </c>
      <c r="N4077" s="371" t="s">
        <v>4037</v>
      </c>
      <c r="O4077" s="371" t="s">
        <v>4038</v>
      </c>
      <c r="P4077" s="371" t="s">
        <v>4039</v>
      </c>
      <c r="S4077" s="364"/>
      <c r="Z4077" s="609" t="s">
        <v>4025</v>
      </c>
      <c r="AA4077" s="609" t="s">
        <v>5685</v>
      </c>
    </row>
    <row r="4078" spans="1:27" ht="24">
      <c r="A4078" s="2712"/>
      <c r="B4078" s="371"/>
      <c r="C4078" s="371"/>
      <c r="D4078" s="371"/>
      <c r="E4078" s="586" t="s">
        <v>2749</v>
      </c>
      <c r="F4078" s="363"/>
      <c r="G4078" s="2398" t="s">
        <v>1673</v>
      </c>
      <c r="H4078" s="2399" t="s">
        <v>4040</v>
      </c>
      <c r="I4078" s="2399" t="s">
        <v>4041</v>
      </c>
      <c r="J4078" s="2399" t="s">
        <v>4042</v>
      </c>
      <c r="K4078" s="2399" t="s">
        <v>4043</v>
      </c>
      <c r="L4078" s="2399" t="s">
        <v>2887</v>
      </c>
      <c r="M4078" s="2399" t="s">
        <v>4044</v>
      </c>
      <c r="N4078" s="2399" t="s">
        <v>4045</v>
      </c>
      <c r="O4078" s="2405" t="s">
        <v>4046</v>
      </c>
      <c r="P4078" s="355" t="s">
        <v>5310</v>
      </c>
      <c r="R4078" s="364"/>
      <c r="S4078" s="288"/>
      <c r="Z4078" s="609" t="s">
        <v>4025</v>
      </c>
      <c r="AA4078" s="609" t="s">
        <v>5685</v>
      </c>
    </row>
    <row r="4079" spans="1:27" ht="18">
      <c r="A4079" s="2712"/>
      <c r="B4079" s="371">
        <v>101</v>
      </c>
      <c r="C4079" s="371" t="s">
        <v>2791</v>
      </c>
      <c r="D4079" s="2714">
        <f t="shared" ref="D4079:D4084" si="458">IF(OR(G4079="*",G4079="",G4079=0),0,COUNTIF($G$4079:$G$4084,G4079))</f>
        <v>0</v>
      </c>
      <c r="E4079" s="2719">
        <v>1</v>
      </c>
      <c r="F4079" s="294"/>
      <c r="G4079" s="2404" t="s">
        <v>2792</v>
      </c>
      <c r="H4079" s="2296"/>
      <c r="I4079" s="2296"/>
      <c r="J4079" s="2296"/>
      <c r="K4079" s="2273"/>
      <c r="L4079" s="2593">
        <f>J4079*K4079</f>
        <v>0</v>
      </c>
      <c r="M4079" s="2273"/>
      <c r="N4079" s="2296"/>
      <c r="O4079" s="2274"/>
      <c r="P4079" s="290"/>
      <c r="S4079" s="364"/>
      <c r="Z4079" s="609" t="s">
        <v>4025</v>
      </c>
      <c r="AA4079" s="609" t="s">
        <v>5685</v>
      </c>
    </row>
    <row r="4080" spans="1:27" ht="18">
      <c r="A4080" s="2712"/>
      <c r="B4080" s="371">
        <v>102</v>
      </c>
      <c r="C4080" s="371" t="s">
        <v>2791</v>
      </c>
      <c r="D4080" s="2714">
        <f t="shared" si="458"/>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5685</v>
      </c>
    </row>
    <row r="4081" spans="1:27" ht="18">
      <c r="A4081" s="2712"/>
      <c r="B4081" s="371">
        <v>103</v>
      </c>
      <c r="C4081" s="371" t="s">
        <v>2791</v>
      </c>
      <c r="D4081" s="2714">
        <f t="shared" si="458"/>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5685</v>
      </c>
    </row>
    <row r="4082" spans="1:27" ht="18">
      <c r="A4082" s="2712"/>
      <c r="B4082" s="371">
        <v>104</v>
      </c>
      <c r="C4082" s="371" t="s">
        <v>2791</v>
      </c>
      <c r="D4082" s="2714">
        <f t="shared" si="458"/>
        <v>0</v>
      </c>
      <c r="E4082" s="2719">
        <v>1</v>
      </c>
      <c r="F4082" s="294"/>
      <c r="G4082" s="2404" t="s">
        <v>2792</v>
      </c>
      <c r="H4082" s="2296"/>
      <c r="I4082" s="2296"/>
      <c r="J4082" s="2296"/>
      <c r="K4082" s="2273"/>
      <c r="L4082" s="2593">
        <f>J4082*K4082</f>
        <v>0</v>
      </c>
      <c r="M4082" s="2273"/>
      <c r="N4082" s="2296"/>
      <c r="O4082" s="2274"/>
      <c r="P4082" s="290"/>
      <c r="S4082" s="364"/>
      <c r="Z4082" s="609" t="s">
        <v>4025</v>
      </c>
      <c r="AA4082" s="609" t="s">
        <v>5685</v>
      </c>
    </row>
    <row r="4083" spans="1:27" ht="18">
      <c r="A4083" s="2712"/>
      <c r="B4083" s="371">
        <v>105</v>
      </c>
      <c r="C4083" s="371" t="s">
        <v>2791</v>
      </c>
      <c r="D4083" s="2714">
        <f t="shared" si="458"/>
        <v>0</v>
      </c>
      <c r="E4083" s="2719">
        <v>1</v>
      </c>
      <c r="F4083" s="294"/>
      <c r="G4083" s="2404" t="s">
        <v>2792</v>
      </c>
      <c r="H4083" s="2296"/>
      <c r="I4083" s="2296"/>
      <c r="J4083" s="2296"/>
      <c r="K4083" s="2273"/>
      <c r="L4083" s="2593">
        <f>J4083*K4083</f>
        <v>0</v>
      </c>
      <c r="M4083" s="2273"/>
      <c r="N4083" s="2296"/>
      <c r="O4083" s="2274"/>
      <c r="P4083" s="290"/>
      <c r="S4083" s="364"/>
      <c r="Z4083" s="609" t="s">
        <v>4025</v>
      </c>
      <c r="AA4083" s="609" t="s">
        <v>5685</v>
      </c>
    </row>
    <row r="4084" spans="1:27" ht="18.75" thickBot="1">
      <c r="A4084" s="2712"/>
      <c r="B4084" s="371"/>
      <c r="C4084" s="371"/>
      <c r="D4084" s="2714">
        <f t="shared" si="458"/>
        <v>1</v>
      </c>
      <c r="E4084" s="2719" t="s">
        <v>2751</v>
      </c>
      <c r="F4084" s="294"/>
      <c r="G4084" s="2232" t="s">
        <v>2752</v>
      </c>
      <c r="H4084" s="2239"/>
      <c r="I4084" s="2239"/>
      <c r="J4084" s="2239"/>
      <c r="K4084" s="2306"/>
      <c r="L4084" s="2594">
        <f>SUMPRODUCT($E4078:$E4083,L4078:L4083)</f>
        <v>0</v>
      </c>
      <c r="M4084" s="2306"/>
      <c r="N4084" s="2239"/>
      <c r="O4084" s="2242"/>
      <c r="P4084" s="290"/>
      <c r="S4084" s="364"/>
      <c r="Z4084" s="609" t="s">
        <v>4025</v>
      </c>
      <c r="AA4084" s="609" t="s">
        <v>5685</v>
      </c>
    </row>
    <row r="4085" spans="1:27" ht="18">
      <c r="A4085" s="2712"/>
      <c r="B4085" s="371"/>
      <c r="C4085" s="371" t="s">
        <v>2755</v>
      </c>
      <c r="D4085" s="371"/>
      <c r="F4085" s="294"/>
      <c r="G4085" s="301"/>
      <c r="H4085" s="393"/>
      <c r="I4085" s="393"/>
      <c r="J4085" s="393"/>
      <c r="K4085" s="315"/>
      <c r="L4085" s="393"/>
      <c r="M4085" s="315"/>
      <c r="N4085" s="393"/>
      <c r="O4085" s="393"/>
      <c r="P4085" s="393"/>
      <c r="S4085" s="364"/>
      <c r="Z4085" s="609" t="s">
        <v>4025</v>
      </c>
      <c r="AA4085" s="609" t="s">
        <v>5685</v>
      </c>
    </row>
    <row r="4086" spans="1:27" ht="48">
      <c r="A4086" s="2712" t="s">
        <v>1677</v>
      </c>
      <c r="B4086" s="371">
        <v>4</v>
      </c>
      <c r="C4086" s="371"/>
      <c r="D4086" s="2714" t="str">
        <f>VLOOKUP($A4086,Sheet_NoteList,2,0)</f>
        <v>划分为金融负债的其他金融工具说明（期末发行在外的优先股、永续债等其他金融工具变动情况表）</v>
      </c>
      <c r="E4086" s="2714" t="s">
        <v>2742</v>
      </c>
      <c r="F4086" s="294"/>
      <c r="G4086" s="372" t="str">
        <f>"("&amp;B4086&amp;")"&amp;D4086</f>
        <v>(4)划分为金融负债的其他金融工具说明（期末发行在外的优先股、永续债等其他金融工具变动情况表）</v>
      </c>
      <c r="H4086" s="1515" t="str">
        <f>$A4086</f>
        <v>2502c</v>
      </c>
      <c r="I4086" s="343" t="s">
        <v>2743</v>
      </c>
      <c r="J4086" s="301" t="s">
        <v>2744</v>
      </c>
      <c r="K4086" s="2208">
        <f>O4096</f>
        <v>0</v>
      </c>
      <c r="L4086" s="345"/>
      <c r="M4086" s="301" t="s">
        <v>2745</v>
      </c>
      <c r="N4086" s="2208">
        <f>I4096</f>
        <v>0</v>
      </c>
      <c r="O4086" s="345"/>
      <c r="P4086" s="301"/>
      <c r="Q4086" s="290" t="str">
        <f>IF($I4086="不适用","",IF(ROUND(SUM($H$4091:$O$4096),2)=0,"请输入",""))</f>
        <v>请输入</v>
      </c>
      <c r="S4086" s="364"/>
      <c r="Z4086" s="609" t="s">
        <v>4025</v>
      </c>
      <c r="AA4086" s="609" t="s">
        <v>5685</v>
      </c>
    </row>
    <row r="4087" spans="1:27" ht="0.75" customHeight="1">
      <c r="A4087" s="2712"/>
      <c r="B4087" s="371"/>
      <c r="C4087" s="371"/>
      <c r="D4087" s="371"/>
      <c r="F4087" s="371"/>
      <c r="G4087" s="371" t="s">
        <v>4047</v>
      </c>
      <c r="H4087" s="371" t="s">
        <v>4048</v>
      </c>
      <c r="I4087" s="371" t="s">
        <v>4049</v>
      </c>
      <c r="J4087" s="371" t="s">
        <v>4050</v>
      </c>
      <c r="K4087" s="371" t="s">
        <v>4051</v>
      </c>
      <c r="L4087" s="371" t="s">
        <v>4052</v>
      </c>
      <c r="M4087" s="371" t="s">
        <v>4053</v>
      </c>
      <c r="N4087" s="371" t="s">
        <v>4054</v>
      </c>
      <c r="O4087" s="371" t="s">
        <v>4055</v>
      </c>
      <c r="S4087" s="364"/>
      <c r="Z4087" s="609" t="s">
        <v>4025</v>
      </c>
      <c r="AA4087" s="609" t="s">
        <v>5685</v>
      </c>
    </row>
    <row r="4088" spans="1:27" ht="0.75" customHeight="1" thickBot="1">
      <c r="A4088" s="2712"/>
      <c r="B4088" s="371"/>
      <c r="C4088" s="371"/>
      <c r="D4088" s="371"/>
      <c r="F4088" s="371"/>
      <c r="G4088" s="371"/>
      <c r="H4088" s="371" t="s">
        <v>4056</v>
      </c>
      <c r="I4088" s="371" t="s">
        <v>3215</v>
      </c>
      <c r="J4088" s="371" t="s">
        <v>4057</v>
      </c>
      <c r="K4088" s="371" t="s">
        <v>4058</v>
      </c>
      <c r="L4088" s="371" t="s">
        <v>4059</v>
      </c>
      <c r="M4088" s="371" t="s">
        <v>4060</v>
      </c>
      <c r="N4088" s="371" t="s">
        <v>4061</v>
      </c>
      <c r="O4088" s="371" t="s">
        <v>2857</v>
      </c>
      <c r="S4088" s="364"/>
      <c r="Z4088" s="609" t="s">
        <v>4025</v>
      </c>
      <c r="AA4088" s="609" t="s">
        <v>5685</v>
      </c>
    </row>
    <row r="4089" spans="1:27" ht="16.5" customHeight="1">
      <c r="A4089" s="2712"/>
      <c r="B4089" s="371"/>
      <c r="C4089" s="371"/>
      <c r="D4089" s="371"/>
      <c r="E4089" s="2714" t="s">
        <v>2749</v>
      </c>
      <c r="F4089" s="294"/>
      <c r="G4089" s="3550" t="s">
        <v>1673</v>
      </c>
      <c r="H4089" s="3556" t="str">
        <f>$V$3</f>
        <v>2018年12月31日</v>
      </c>
      <c r="I4089" s="3557"/>
      <c r="J4089" s="3535" t="s">
        <v>3027</v>
      </c>
      <c r="K4089" s="3535"/>
      <c r="L4089" s="3535" t="s">
        <v>3028</v>
      </c>
      <c r="M4089" s="3535"/>
      <c r="N4089" s="3556" t="str">
        <f>$V$2</f>
        <v>2019年12月31日</v>
      </c>
      <c r="O4089" s="3590"/>
      <c r="P4089" s="355" t="s">
        <v>5310</v>
      </c>
      <c r="S4089" s="364"/>
      <c r="Z4089" s="609" t="s">
        <v>4025</v>
      </c>
      <c r="AA4089" s="609" t="s">
        <v>5685</v>
      </c>
    </row>
    <row r="4090" spans="1:27" ht="18">
      <c r="A4090" s="2712"/>
      <c r="B4090" s="371"/>
      <c r="C4090" s="371"/>
      <c r="D4090" s="371"/>
      <c r="E4090" s="2714" t="s">
        <v>2749</v>
      </c>
      <c r="F4090" s="294"/>
      <c r="G4090" s="3551"/>
      <c r="H4090" s="502" t="s">
        <v>4043</v>
      </c>
      <c r="I4090" s="502" t="s">
        <v>2863</v>
      </c>
      <c r="J4090" s="502" t="s">
        <v>4043</v>
      </c>
      <c r="K4090" s="502" t="s">
        <v>2863</v>
      </c>
      <c r="L4090" s="502" t="s">
        <v>4043</v>
      </c>
      <c r="M4090" s="502" t="s">
        <v>2863</v>
      </c>
      <c r="N4090" s="502" t="s">
        <v>4043</v>
      </c>
      <c r="O4090" s="508" t="s">
        <v>2863</v>
      </c>
      <c r="S4090" s="364"/>
      <c r="Z4090" s="609" t="s">
        <v>4025</v>
      </c>
      <c r="AA4090" s="609" t="s">
        <v>5685</v>
      </c>
    </row>
    <row r="4091" spans="1:27" ht="18">
      <c r="A4091" s="2712"/>
      <c r="B4091" s="371">
        <v>101</v>
      </c>
      <c r="C4091" s="371" t="s">
        <v>2791</v>
      </c>
      <c r="D4091" s="2714">
        <f t="shared" ref="D4091:D4096" si="459">IF(OR(G4091="*",G4091="",G4091=0),0,COUNTIF($G$4091:$G$4096,G4091))</f>
        <v>0</v>
      </c>
      <c r="E4091" s="2719">
        <v>1</v>
      </c>
      <c r="F4091" s="294"/>
      <c r="G4091" s="319" t="s">
        <v>2792</v>
      </c>
      <c r="H4091" s="309"/>
      <c r="I4091" s="309"/>
      <c r="J4091" s="309"/>
      <c r="K4091" s="309"/>
      <c r="L4091" s="320"/>
      <c r="M4091" s="309"/>
      <c r="N4091" s="309">
        <f t="shared" ref="N4091:O4095" si="460">SUM(H4091,J4091,-L4091)</f>
        <v>0</v>
      </c>
      <c r="O4091" s="346">
        <f t="shared" si="460"/>
        <v>0</v>
      </c>
      <c r="S4091" s="364"/>
      <c r="Z4091" s="609" t="s">
        <v>4025</v>
      </c>
      <c r="AA4091" s="609" t="s">
        <v>5685</v>
      </c>
    </row>
    <row r="4092" spans="1:27" ht="18">
      <c r="A4092" s="2712"/>
      <c r="B4092" s="371">
        <v>102</v>
      </c>
      <c r="C4092" s="371" t="s">
        <v>2791</v>
      </c>
      <c r="D4092" s="2714">
        <f t="shared" si="459"/>
        <v>0</v>
      </c>
      <c r="E4092" s="2719">
        <v>1</v>
      </c>
      <c r="F4092" s="294"/>
      <c r="G4092" s="319" t="s">
        <v>2792</v>
      </c>
      <c r="H4092" s="309"/>
      <c r="I4092" s="309"/>
      <c r="J4092" s="309"/>
      <c r="K4092" s="309"/>
      <c r="L4092" s="320"/>
      <c r="M4092" s="309"/>
      <c r="N4092" s="309">
        <f t="shared" si="460"/>
        <v>0</v>
      </c>
      <c r="O4092" s="346">
        <f t="shared" si="460"/>
        <v>0</v>
      </c>
      <c r="S4092" s="364"/>
      <c r="Z4092" s="609" t="s">
        <v>4025</v>
      </c>
      <c r="AA4092" s="609" t="s">
        <v>5685</v>
      </c>
    </row>
    <row r="4093" spans="1:27" ht="18">
      <c r="A4093" s="2712"/>
      <c r="B4093" s="371">
        <v>103</v>
      </c>
      <c r="C4093" s="371" t="s">
        <v>2791</v>
      </c>
      <c r="D4093" s="2714">
        <f t="shared" si="459"/>
        <v>0</v>
      </c>
      <c r="E4093" s="2719">
        <v>1</v>
      </c>
      <c r="F4093" s="294"/>
      <c r="G4093" s="319" t="s">
        <v>2792</v>
      </c>
      <c r="H4093" s="309"/>
      <c r="I4093" s="309"/>
      <c r="J4093" s="309"/>
      <c r="K4093" s="309"/>
      <c r="L4093" s="320"/>
      <c r="M4093" s="309"/>
      <c r="N4093" s="309">
        <f>SUM(H4093,J4093,-L4093)</f>
        <v>0</v>
      </c>
      <c r="O4093" s="346">
        <f>SUM(I4093,K4093,-M4093)</f>
        <v>0</v>
      </c>
      <c r="S4093" s="364"/>
      <c r="Z4093" s="609" t="s">
        <v>4025</v>
      </c>
      <c r="AA4093" s="609" t="s">
        <v>5685</v>
      </c>
    </row>
    <row r="4094" spans="1:27" ht="18">
      <c r="A4094" s="2712"/>
      <c r="B4094" s="371">
        <v>104</v>
      </c>
      <c r="C4094" s="371" t="s">
        <v>2791</v>
      </c>
      <c r="D4094" s="2714">
        <f t="shared" si="459"/>
        <v>0</v>
      </c>
      <c r="E4094" s="2719">
        <v>1</v>
      </c>
      <c r="F4094" s="294"/>
      <c r="G4094" s="319" t="s">
        <v>2792</v>
      </c>
      <c r="H4094" s="309"/>
      <c r="I4094" s="309"/>
      <c r="J4094" s="309"/>
      <c r="K4094" s="309"/>
      <c r="L4094" s="320"/>
      <c r="M4094" s="309"/>
      <c r="N4094" s="309">
        <f>SUM(H4094,J4094,-L4094)</f>
        <v>0</v>
      </c>
      <c r="O4094" s="346">
        <f>SUM(I4094,K4094,-M4094)</f>
        <v>0</v>
      </c>
      <c r="S4094" s="364"/>
      <c r="Z4094" s="609" t="s">
        <v>4025</v>
      </c>
      <c r="AA4094" s="609" t="s">
        <v>5685</v>
      </c>
    </row>
    <row r="4095" spans="1:27" ht="18">
      <c r="A4095" s="2712"/>
      <c r="B4095" s="371">
        <v>105</v>
      </c>
      <c r="C4095" s="371" t="s">
        <v>2791</v>
      </c>
      <c r="D4095" s="2714">
        <f t="shared" si="459"/>
        <v>0</v>
      </c>
      <c r="E4095" s="2719">
        <v>1</v>
      </c>
      <c r="F4095" s="294"/>
      <c r="G4095" s="319" t="s">
        <v>2792</v>
      </c>
      <c r="H4095" s="309"/>
      <c r="I4095" s="309"/>
      <c r="J4095" s="309"/>
      <c r="K4095" s="309"/>
      <c r="L4095" s="320"/>
      <c r="M4095" s="309"/>
      <c r="N4095" s="309">
        <f t="shared" si="460"/>
        <v>0</v>
      </c>
      <c r="O4095" s="346">
        <f t="shared" si="460"/>
        <v>0</v>
      </c>
      <c r="S4095" s="364"/>
      <c r="Z4095" s="609" t="s">
        <v>4025</v>
      </c>
      <c r="AA4095" s="609" t="s">
        <v>5685</v>
      </c>
    </row>
    <row r="4096" spans="1:27" ht="18.75" thickBot="1">
      <c r="A4096" s="2712"/>
      <c r="B4096" s="371"/>
      <c r="C4096" s="371"/>
      <c r="D4096" s="2714">
        <f t="shared" si="459"/>
        <v>1</v>
      </c>
      <c r="E4096" s="2719" t="s">
        <v>2751</v>
      </c>
      <c r="F4096" s="294"/>
      <c r="G4096" s="374" t="s">
        <v>2752</v>
      </c>
      <c r="H4096" s="607"/>
      <c r="I4096" s="607">
        <f t="shared" ref="I4096:O4096" si="461">SUMPRODUCT($E4090:$E4095,I4090:I4095)</f>
        <v>0</v>
      </c>
      <c r="J4096" s="607"/>
      <c r="K4096" s="607">
        <f t="shared" si="461"/>
        <v>0</v>
      </c>
      <c r="L4096" s="607"/>
      <c r="M4096" s="607">
        <f t="shared" si="461"/>
        <v>0</v>
      </c>
      <c r="N4096" s="607"/>
      <c r="O4096" s="608">
        <f t="shared" si="461"/>
        <v>0</v>
      </c>
      <c r="S4096" s="364"/>
      <c r="Z4096" s="609" t="s">
        <v>4025</v>
      </c>
      <c r="AA4096" s="609" t="s">
        <v>5685</v>
      </c>
    </row>
    <row r="4097" spans="1:29" ht="18">
      <c r="A4097" s="2712"/>
      <c r="B4097" s="371"/>
      <c r="C4097" s="371" t="s">
        <v>2755</v>
      </c>
      <c r="D4097" s="371"/>
      <c r="F4097" s="294"/>
      <c r="G4097" s="301"/>
      <c r="H4097" s="349"/>
      <c r="I4097" s="349"/>
      <c r="J4097" s="349"/>
      <c r="K4097" s="349"/>
      <c r="L4097" s="349"/>
      <c r="M4097" s="349"/>
      <c r="N4097" s="349"/>
      <c r="O4097" s="349"/>
      <c r="S4097" s="364"/>
      <c r="Z4097" s="609" t="s">
        <v>4025</v>
      </c>
      <c r="AA4097" s="609" t="s">
        <v>5685</v>
      </c>
    </row>
    <row r="4098" spans="1:29" ht="18">
      <c r="A4098" s="2712" t="s">
        <v>5587</v>
      </c>
      <c r="B4098" s="371">
        <v>5</v>
      </c>
      <c r="C4098" s="371"/>
      <c r="D4098" s="2714" t="str">
        <f>VLOOKUP($A4098,Sheet_NoteList,2,0)</f>
        <v>外币应付债券</v>
      </c>
      <c r="E4098" s="2714" t="s">
        <v>6529</v>
      </c>
      <c r="F4098" s="293"/>
      <c r="G4098" s="372" t="str">
        <f>"("&amp;B4098&amp;")"&amp;D4098</f>
        <v>(5)外币应付债券</v>
      </c>
      <c r="H4098" s="1515" t="str">
        <f>$A4098</f>
        <v>2502e</v>
      </c>
      <c r="I4098" s="343" t="s">
        <v>5594</v>
      </c>
      <c r="J4098" s="301" t="s">
        <v>5595</v>
      </c>
      <c r="K4098" s="2208">
        <f>H4106</f>
        <v>0</v>
      </c>
      <c r="L4098" s="349" t="str">
        <f>IF($I4098="适用",IF(ROUND(K$4052-K4098,2)=0,"F/S",ROUND(K$4052-K4098,2)),"#N/A")</f>
        <v>F/S</v>
      </c>
      <c r="M4098" s="301" t="s">
        <v>5596</v>
      </c>
      <c r="N4098" s="2208">
        <f>I4106</f>
        <v>0</v>
      </c>
      <c r="O4098" s="349" t="str">
        <f>IF($I4098="适用",IF(ROUND(N$4052-N4098,2)=0,"F/S",ROUND(N$4052-N4098,2)),"#N/A")</f>
        <v>F/S</v>
      </c>
      <c r="P4098" s="301"/>
      <c r="S4098" s="364"/>
      <c r="Z4098" s="609" t="s">
        <v>4025</v>
      </c>
      <c r="AA4098" s="609" t="s">
        <v>5685</v>
      </c>
    </row>
    <row r="4099" spans="1:29" ht="0.75" customHeight="1" thickBot="1">
      <c r="A4099" s="2712"/>
      <c r="B4099" s="371"/>
      <c r="C4099" s="371"/>
      <c r="D4099" s="2714"/>
      <c r="F4099" s="371"/>
      <c r="G4099" s="405" t="s">
        <v>5597</v>
      </c>
      <c r="H4099" s="371" t="s">
        <v>3073</v>
      </c>
      <c r="I4099" s="371" t="s">
        <v>3074</v>
      </c>
      <c r="J4099" s="371" t="s">
        <v>3075</v>
      </c>
      <c r="K4099" s="387"/>
      <c r="L4099" s="349"/>
      <c r="M4099" s="301"/>
      <c r="N4099" s="391"/>
      <c r="O4099" s="349"/>
      <c r="P4099" s="301"/>
      <c r="S4099" s="364"/>
      <c r="Z4099" s="609" t="s">
        <v>4025</v>
      </c>
      <c r="AA4099" s="609" t="s">
        <v>5685</v>
      </c>
    </row>
    <row r="4100" spans="1:29" ht="24">
      <c r="A4100" s="2712"/>
      <c r="B4100" s="371"/>
      <c r="C4100" s="371"/>
      <c r="D4100" s="2714"/>
      <c r="E4100" s="2714" t="s">
        <v>2749</v>
      </c>
      <c r="F4100" s="293"/>
      <c r="G4100" s="1633" t="s">
        <v>47</v>
      </c>
      <c r="H4100" s="1629" t="s">
        <v>3076</v>
      </c>
      <c r="I4100" s="1629" t="s">
        <v>3077</v>
      </c>
      <c r="J4100" s="1630" t="s">
        <v>3078</v>
      </c>
      <c r="K4100" s="355" t="s">
        <v>5602</v>
      </c>
      <c r="L4100" s="349"/>
      <c r="M4100" s="301"/>
      <c r="N4100" s="391"/>
      <c r="O4100" s="349"/>
      <c r="P4100" s="301"/>
      <c r="S4100" s="364"/>
      <c r="Z4100" s="609" t="s">
        <v>4025</v>
      </c>
      <c r="AA4100" s="609" t="s">
        <v>5685</v>
      </c>
    </row>
    <row r="4101" spans="1:29" ht="18">
      <c r="A4101" s="2712"/>
      <c r="B4101" s="371">
        <v>101</v>
      </c>
      <c r="C4101" s="371" t="s">
        <v>2791</v>
      </c>
      <c r="D4101" s="2714">
        <f t="shared" ref="D4101:D4106" si="462">IF(OR(G4101="*",G4101="",G4101=0),0,COUNTIF($G$4101:$G$4106,G4101))</f>
        <v>1</v>
      </c>
      <c r="E4101" s="2719">
        <v>1</v>
      </c>
      <c r="F4101" s="293"/>
      <c r="G4101" s="1632" t="s">
        <v>3079</v>
      </c>
      <c r="H4101" s="309"/>
      <c r="I4101" s="360"/>
      <c r="J4101" s="346"/>
      <c r="K4101" s="355" t="s">
        <v>5362</v>
      </c>
      <c r="L4101" s="1520" t="s">
        <v>5363</v>
      </c>
      <c r="M4101" s="301"/>
      <c r="N4101" s="391"/>
      <c r="O4101" s="349"/>
      <c r="P4101" s="301"/>
      <c r="S4101" s="364"/>
      <c r="Z4101" s="609" t="s">
        <v>4025</v>
      </c>
      <c r="AA4101" s="609" t="s">
        <v>5685</v>
      </c>
    </row>
    <row r="4102" spans="1:29" ht="18">
      <c r="A4102" s="2712"/>
      <c r="B4102" s="371">
        <v>102</v>
      </c>
      <c r="C4102" s="371" t="s">
        <v>2791</v>
      </c>
      <c r="D4102" s="2714">
        <f t="shared" si="462"/>
        <v>1</v>
      </c>
      <c r="E4102" s="2719">
        <v>1</v>
      </c>
      <c r="F4102" s="293"/>
      <c r="G4102" s="1632" t="s">
        <v>3080</v>
      </c>
      <c r="H4102" s="1575"/>
      <c r="I4102" s="430"/>
      <c r="J4102" s="346"/>
      <c r="K4102" s="391"/>
      <c r="L4102" s="349"/>
      <c r="M4102" s="301"/>
      <c r="N4102" s="391"/>
      <c r="O4102" s="349"/>
      <c r="P4102" s="301"/>
      <c r="S4102" s="364"/>
      <c r="Z4102" s="609" t="s">
        <v>4025</v>
      </c>
      <c r="AA4102" s="609" t="s">
        <v>5685</v>
      </c>
    </row>
    <row r="4103" spans="1:29" ht="18">
      <c r="A4103" s="2712"/>
      <c r="B4103" s="371">
        <v>103</v>
      </c>
      <c r="C4103" s="371" t="s">
        <v>2791</v>
      </c>
      <c r="D4103" s="2714">
        <f t="shared" si="462"/>
        <v>1</v>
      </c>
      <c r="E4103" s="2719">
        <v>1</v>
      </c>
      <c r="F4103" s="293"/>
      <c r="G4103" s="1632" t="s">
        <v>3081</v>
      </c>
      <c r="H4103" s="1575"/>
      <c r="I4103" s="430"/>
      <c r="J4103" s="346"/>
      <c r="K4103" s="391"/>
      <c r="L4103" s="349"/>
      <c r="M4103" s="301"/>
      <c r="N4103" s="391"/>
      <c r="O4103" s="349"/>
      <c r="P4103" s="301"/>
      <c r="S4103" s="364"/>
      <c r="Z4103" s="609" t="s">
        <v>4025</v>
      </c>
      <c r="AA4103" s="609" t="s">
        <v>5685</v>
      </c>
    </row>
    <row r="4104" spans="1:29" ht="18">
      <c r="A4104" s="2712"/>
      <c r="B4104" s="371">
        <v>104</v>
      </c>
      <c r="C4104" s="371" t="s">
        <v>2791</v>
      </c>
      <c r="D4104" s="2714">
        <f t="shared" si="462"/>
        <v>0</v>
      </c>
      <c r="E4104" s="2719">
        <v>1</v>
      </c>
      <c r="F4104" s="293"/>
      <c r="G4104" s="1632" t="s">
        <v>2792</v>
      </c>
      <c r="H4104" s="1575"/>
      <c r="I4104" s="430"/>
      <c r="J4104" s="346"/>
      <c r="K4104" s="391"/>
      <c r="L4104" s="349"/>
      <c r="M4104" s="301"/>
      <c r="N4104" s="391"/>
      <c r="O4104" s="349"/>
      <c r="P4104" s="301"/>
      <c r="S4104" s="364"/>
      <c r="Z4104" s="609" t="s">
        <v>4025</v>
      </c>
      <c r="AA4104" s="609" t="s">
        <v>5685</v>
      </c>
    </row>
    <row r="4105" spans="1:29" ht="18">
      <c r="A4105" s="2712"/>
      <c r="B4105" s="371">
        <v>105</v>
      </c>
      <c r="C4105" s="371" t="s">
        <v>2791</v>
      </c>
      <c r="D4105" s="2714">
        <f t="shared" si="462"/>
        <v>0</v>
      </c>
      <c r="E4105" s="2719">
        <v>1</v>
      </c>
      <c r="F4105" s="293"/>
      <c r="G4105" s="1632" t="s">
        <v>2792</v>
      </c>
      <c r="H4105" s="1575"/>
      <c r="I4105" s="430"/>
      <c r="J4105" s="346"/>
      <c r="K4105" s="391"/>
      <c r="L4105" s="349"/>
      <c r="M4105" s="301"/>
      <c r="N4105" s="391"/>
      <c r="O4105" s="349"/>
      <c r="P4105" s="301"/>
      <c r="S4105" s="364"/>
      <c r="Z4105" s="609" t="s">
        <v>4025</v>
      </c>
      <c r="AA4105" s="609" t="s">
        <v>5685</v>
      </c>
    </row>
    <row r="4106" spans="1:29" ht="18.75" thickBot="1">
      <c r="A4106" s="2712"/>
      <c r="B4106" s="371"/>
      <c r="C4106" s="371"/>
      <c r="D4106" s="2714">
        <f t="shared" si="462"/>
        <v>1</v>
      </c>
      <c r="E4106" s="2719" t="s">
        <v>2751</v>
      </c>
      <c r="F4106" s="293"/>
      <c r="G4106" s="1527" t="s">
        <v>2752</v>
      </c>
      <c r="H4106" s="1525"/>
      <c r="I4106" s="1635"/>
      <c r="J4106" s="1526">
        <f>SUMPRODUCT($E4100:$E4105,J4100:J4105)</f>
        <v>0</v>
      </c>
      <c r="K4106" s="391"/>
      <c r="L4106" s="349"/>
      <c r="M4106" s="301"/>
      <c r="N4106" s="391"/>
      <c r="O4106" s="349"/>
      <c r="P4106" s="301"/>
      <c r="S4106" s="364"/>
      <c r="Z4106" s="609" t="s">
        <v>4025</v>
      </c>
      <c r="AA4106" s="609" t="s">
        <v>5685</v>
      </c>
    </row>
    <row r="4107" spans="1:29" ht="18">
      <c r="A4107" s="2712"/>
      <c r="B4107" s="371"/>
      <c r="C4107" s="371" t="s">
        <v>2755</v>
      </c>
      <c r="D4107" s="2714"/>
      <c r="F4107" s="293"/>
      <c r="G4107" s="376"/>
      <c r="H4107" s="1574"/>
      <c r="I4107" s="432"/>
      <c r="J4107" s="315"/>
      <c r="K4107" s="391"/>
      <c r="L4107" s="349"/>
      <c r="M4107" s="301"/>
      <c r="N4107" s="391"/>
      <c r="O4107" s="349"/>
      <c r="P4107" s="301"/>
      <c r="S4107" s="364"/>
      <c r="Z4107" s="609" t="s">
        <v>4025</v>
      </c>
      <c r="AA4107" s="609" t="s">
        <v>5685</v>
      </c>
    </row>
    <row r="4108" spans="1:29" ht="24">
      <c r="A4108" s="2713">
        <v>2706</v>
      </c>
      <c r="B4108" s="371">
        <v>48</v>
      </c>
      <c r="C4108" s="2714" t="str">
        <f>VLOOKUP($A4108,Sheet_Items,2,0)</f>
        <v>长期应付款（报表项目）</v>
      </c>
      <c r="D4108" s="371"/>
      <c r="E4108" s="2714" t="s">
        <v>2739</v>
      </c>
      <c r="F4108" s="371"/>
      <c r="G4108" s="305" t="str">
        <f>B4108&amp;" "&amp;C4108</f>
        <v>48 长期应付款（报表项目）</v>
      </c>
      <c r="H4108" s="306"/>
      <c r="I4108" s="306"/>
      <c r="J4108" s="306" t="s">
        <v>2740</v>
      </c>
      <c r="K4108" s="341">
        <f>VLOOKUP($A4108,Sheet_Trialbal,6,0)</f>
        <v>0</v>
      </c>
      <c r="L4108" s="342"/>
      <c r="M4108" s="306" t="s">
        <v>2741</v>
      </c>
      <c r="N4108" s="341">
        <f>VLOOKUP($A4108,Sheet_Trialbal,10,0)</f>
        <v>0</v>
      </c>
      <c r="O4108" s="342"/>
      <c r="P4108" s="301"/>
      <c r="S4108" s="364"/>
      <c r="Z4108" s="609" t="s">
        <v>4062</v>
      </c>
      <c r="AA4108" s="609" t="s">
        <v>19</v>
      </c>
    </row>
    <row r="4109" spans="1:29" ht="18">
      <c r="A4109" s="2712" t="s">
        <v>1682</v>
      </c>
      <c r="B4109" s="371">
        <v>1</v>
      </c>
      <c r="C4109" s="371"/>
      <c r="D4109" s="2714" t="str">
        <f>VLOOKUP($A4109,Sheet_NoteList,2,0)</f>
        <v>长期应付款分类列示</v>
      </c>
      <c r="E4109" s="2714" t="s">
        <v>2742</v>
      </c>
      <c r="F4109" s="371"/>
      <c r="G4109" s="372" t="str">
        <f>"("&amp;B4109&amp;")"&amp;D4109</f>
        <v>(1)长期应付款分类列示</v>
      </c>
      <c r="H4109" s="1515" t="str">
        <f>$A4109</f>
        <v>2706a</v>
      </c>
      <c r="I4109" s="343" t="s">
        <v>2743</v>
      </c>
      <c r="J4109" s="301" t="s">
        <v>2744</v>
      </c>
      <c r="K4109" s="2208">
        <f>H4117</f>
        <v>0</v>
      </c>
      <c r="L4109" s="349"/>
      <c r="M4109" s="301" t="s">
        <v>2745</v>
      </c>
      <c r="N4109" s="2208">
        <f>I4117</f>
        <v>0</v>
      </c>
      <c r="O4109" s="349"/>
      <c r="P4109" s="301"/>
      <c r="S4109" s="364"/>
      <c r="Z4109" s="609" t="s">
        <v>4062</v>
      </c>
      <c r="AA4109" s="609" t="s">
        <v>19</v>
      </c>
    </row>
    <row r="4110" spans="1:29" ht="0.75" customHeight="1" thickBot="1">
      <c r="A4110" s="2712"/>
      <c r="B4110" s="371"/>
      <c r="C4110" s="371"/>
      <c r="D4110" s="2714"/>
      <c r="F4110" s="371"/>
      <c r="G4110" s="405" t="s">
        <v>4063</v>
      </c>
      <c r="H4110" s="371" t="s">
        <v>2747</v>
      </c>
      <c r="I4110" s="371" t="s">
        <v>2748</v>
      </c>
      <c r="J4110" s="301"/>
      <c r="K4110" s="391"/>
      <c r="L4110" s="349"/>
      <c r="M4110" s="301"/>
      <c r="N4110" s="391"/>
      <c r="O4110" s="349"/>
      <c r="P4110" s="301"/>
      <c r="S4110" s="364"/>
      <c r="Z4110" s="609" t="s">
        <v>4062</v>
      </c>
      <c r="AA4110" s="609" t="s">
        <v>19</v>
      </c>
    </row>
    <row r="4111" spans="1:29" ht="18">
      <c r="A4111" s="2712"/>
      <c r="B4111" s="371"/>
      <c r="C4111" s="371"/>
      <c r="D4111" s="2714"/>
      <c r="E4111" s="2714" t="s">
        <v>2749</v>
      </c>
      <c r="F4111" s="371"/>
      <c r="G4111" s="373" t="s">
        <v>47</v>
      </c>
      <c r="H4111" s="1452" t="str">
        <f>$V$2</f>
        <v>2019年12月31日</v>
      </c>
      <c r="I4111" s="1453" t="str">
        <f>$V$3</f>
        <v>2018年12月31日</v>
      </c>
      <c r="J4111" s="355" t="s">
        <v>5311</v>
      </c>
      <c r="K4111" s="391"/>
      <c r="L4111" s="391"/>
      <c r="M4111" s="391"/>
      <c r="N4111" s="391"/>
      <c r="O4111" s="349"/>
      <c r="P4111" s="301"/>
      <c r="S4111" s="364"/>
      <c r="Z4111" s="609" t="s">
        <v>4062</v>
      </c>
      <c r="AA4111" s="609" t="s">
        <v>19</v>
      </c>
    </row>
    <row r="4112" spans="1:29" ht="18">
      <c r="A4112" s="2712"/>
      <c r="B4112" s="371">
        <v>101</v>
      </c>
      <c r="C4112" s="371"/>
      <c r="D4112" s="2714">
        <f t="shared" ref="D4112:D4117" si="463">IF(OR(G4112="*",G4112="",G4112=0),0,COUNTIF($G$4112:$G$4117,G4112))</f>
        <v>1</v>
      </c>
      <c r="E4112" s="2719" t="s">
        <v>2939</v>
      </c>
      <c r="F4112" s="371"/>
      <c r="G4112" s="308" t="s">
        <v>554</v>
      </c>
      <c r="H4112" s="309"/>
      <c r="I4112" s="394"/>
      <c r="J4112" s="1593" t="str">
        <f ca="1">HYPERLINK("#'"&amp;$G$1&amp;"'!"&amp;ADDRESS(ROW(Notes!H4132),COLUMN(Notes!H4132),4),"* 请勿删除此行！点击往勾稽单元格，F5+Enter返回")</f>
        <v>* 请勿删除此行！点击往勾稽单元格，F5+Enter返回</v>
      </c>
      <c r="K4112" s="391"/>
      <c r="L4112" s="391"/>
      <c r="M4112" s="391"/>
      <c r="N4112" s="391"/>
      <c r="O4112" s="349"/>
      <c r="P4112" s="301"/>
      <c r="S4112" s="364"/>
      <c r="Z4112" s="609" t="s">
        <v>4062</v>
      </c>
      <c r="AA4112" s="609" t="s">
        <v>19</v>
      </c>
      <c r="AC4112" s="369" t="s">
        <v>6571</v>
      </c>
    </row>
    <row r="4113" spans="1:29" ht="18">
      <c r="A4113" s="2712"/>
      <c r="B4113" s="371">
        <v>101.001</v>
      </c>
      <c r="C4113" s="371"/>
      <c r="D4113" s="2714">
        <f t="shared" si="463"/>
        <v>1</v>
      </c>
      <c r="E4113" s="2719" t="s">
        <v>2939</v>
      </c>
      <c r="F4113" s="371"/>
      <c r="G4113" s="308" t="s">
        <v>562</v>
      </c>
      <c r="H4113" s="309"/>
      <c r="I4113" s="394"/>
      <c r="J4113" s="301"/>
      <c r="K4113" s="391"/>
      <c r="L4113" s="391"/>
      <c r="M4113" s="391"/>
      <c r="N4113" s="391"/>
      <c r="O4113" s="349"/>
      <c r="P4113" s="301"/>
      <c r="S4113" s="364"/>
      <c r="Z4113" s="609" t="s">
        <v>4062</v>
      </c>
      <c r="AA4113" s="609" t="s">
        <v>19</v>
      </c>
    </row>
    <row r="4114" spans="1:29" ht="18">
      <c r="A4114" s="2712"/>
      <c r="B4114" s="371">
        <v>101.002</v>
      </c>
      <c r="C4114" s="371" t="s">
        <v>2791</v>
      </c>
      <c r="D4114" s="2714">
        <f t="shared" si="463"/>
        <v>0</v>
      </c>
      <c r="E4114" s="2719" t="s">
        <v>2939</v>
      </c>
      <c r="F4114" s="371"/>
      <c r="G4114" s="2404" t="s">
        <v>2792</v>
      </c>
      <c r="H4114" s="309"/>
      <c r="I4114" s="394"/>
      <c r="J4114" s="301"/>
      <c r="K4114" s="391"/>
      <c r="L4114" s="391"/>
      <c r="M4114" s="391"/>
      <c r="N4114" s="391"/>
      <c r="O4114" s="349"/>
      <c r="P4114" s="301"/>
      <c r="S4114" s="364"/>
      <c r="Z4114" s="609" t="s">
        <v>4062</v>
      </c>
      <c r="AA4114" s="609" t="s">
        <v>19</v>
      </c>
    </row>
    <row r="4115" spans="1:29" ht="18">
      <c r="A4115" s="2712"/>
      <c r="B4115" s="371">
        <v>102</v>
      </c>
      <c r="C4115" s="371" t="s">
        <v>2793</v>
      </c>
      <c r="D4115" s="2714">
        <f t="shared" si="463"/>
        <v>1</v>
      </c>
      <c r="E4115" s="2719">
        <v>1</v>
      </c>
      <c r="F4115" s="371"/>
      <c r="G4115" s="308" t="s">
        <v>2939</v>
      </c>
      <c r="H4115" s="1474">
        <f>SUMIF($E$4111:$E$4116,$G4115,H$4111:H$4116)</f>
        <v>0</v>
      </c>
      <c r="I4115" s="1493">
        <f>SUMIF($E$4111:$E$4116,$G4115,I$4111:I$4116)</f>
        <v>0</v>
      </c>
      <c r="J4115" s="301"/>
      <c r="K4115" s="391"/>
      <c r="L4115" s="391"/>
      <c r="M4115" s="391"/>
      <c r="N4115" s="391"/>
      <c r="O4115" s="349"/>
      <c r="P4115" s="301"/>
      <c r="S4115" s="364"/>
      <c r="Z4115" s="609" t="s">
        <v>4062</v>
      </c>
      <c r="AA4115" s="609" t="s">
        <v>19</v>
      </c>
    </row>
    <row r="4116" spans="1:29" ht="24">
      <c r="A4116" s="2712"/>
      <c r="B4116" s="371">
        <v>103</v>
      </c>
      <c r="C4116" s="371" t="s">
        <v>2791</v>
      </c>
      <c r="D4116" s="2714">
        <f t="shared" si="463"/>
        <v>1</v>
      </c>
      <c r="E4116" s="2719">
        <v>-1</v>
      </c>
      <c r="F4116" s="371"/>
      <c r="G4116" s="2566" t="s">
        <v>6141</v>
      </c>
      <c r="H4116" s="610"/>
      <c r="I4116" s="611"/>
      <c r="J4116" s="1593" t="str">
        <f ca="1">HYPERLINK("#'"&amp;$G$1&amp;"'!"&amp;ADDRESS(ROW(Notes!K3934),COLUMN(Notes!K3934),4),"* 请勿删除此行！点击往勾稽单元格，F5+Enter返回")</f>
        <v>* 请勿删除此行！点击往勾稽单元格，F5+Enter返回</v>
      </c>
      <c r="K4116" s="391"/>
      <c r="L4116" s="391"/>
      <c r="M4116" s="391"/>
      <c r="N4116" s="391"/>
      <c r="O4116" s="349"/>
      <c r="P4116" s="301"/>
      <c r="S4116" s="364"/>
      <c r="Z4116" s="609" t="s">
        <v>4062</v>
      </c>
      <c r="AA4116" s="609" t="s">
        <v>19</v>
      </c>
      <c r="AC4116" s="369" t="s">
        <v>6571</v>
      </c>
    </row>
    <row r="4117" spans="1:29" ht="18.75" thickBot="1">
      <c r="A4117" s="2712"/>
      <c r="B4117" s="371"/>
      <c r="C4117" s="371"/>
      <c r="D4117" s="2714">
        <f t="shared" si="463"/>
        <v>1</v>
      </c>
      <c r="E4117" s="2719" t="s">
        <v>2751</v>
      </c>
      <c r="F4117" s="371"/>
      <c r="G4117" s="374" t="s">
        <v>3351</v>
      </c>
      <c r="H4117" s="1494">
        <f>SUMPRODUCT($E4111:$E4116,H4111:H4116)</f>
        <v>0</v>
      </c>
      <c r="I4117" s="1477">
        <f>SUMPRODUCT($E4111:$E4116,I4111:I4116)</f>
        <v>0</v>
      </c>
      <c r="J4117" s="301"/>
      <c r="K4117" s="391"/>
      <c r="L4117" s="391"/>
      <c r="M4117" s="391"/>
      <c r="N4117" s="391"/>
      <c r="O4117" s="349"/>
      <c r="P4117" s="301"/>
      <c r="S4117" s="364"/>
      <c r="Z4117" s="609" t="s">
        <v>4062</v>
      </c>
      <c r="AA4117" s="609" t="s">
        <v>19</v>
      </c>
    </row>
    <row r="4118" spans="1:29" ht="18">
      <c r="A4118" s="2712"/>
      <c r="B4118" s="371"/>
      <c r="C4118" s="371" t="s">
        <v>2755</v>
      </c>
      <c r="D4118" s="2714"/>
      <c r="F4118" s="371"/>
      <c r="G4118" s="376"/>
      <c r="H4118" s="315"/>
      <c r="I4118" s="396"/>
      <c r="J4118" s="301"/>
      <c r="K4118" s="391"/>
      <c r="L4118" s="391"/>
      <c r="M4118" s="391"/>
      <c r="N4118" s="391"/>
      <c r="O4118" s="349"/>
      <c r="P4118" s="301"/>
      <c r="S4118" s="364"/>
      <c r="Z4118" s="609" t="s">
        <v>4062</v>
      </c>
      <c r="AA4118" s="609" t="s">
        <v>19</v>
      </c>
    </row>
    <row r="4119" spans="1:29" ht="18">
      <c r="A4119" s="2712">
        <v>2701</v>
      </c>
      <c r="B4119" s="371">
        <v>48.1</v>
      </c>
      <c r="C4119" s="2714" t="str">
        <f>VLOOKUP($A4119,Sheet_Items,2,0)</f>
        <v>长期应付款</v>
      </c>
      <c r="D4119" s="371"/>
      <c r="E4119" s="2714" t="s">
        <v>2739</v>
      </c>
      <c r="F4119" s="294"/>
      <c r="G4119" s="535" t="str">
        <f>B4119&amp;" "&amp;C4119</f>
        <v>48.1 长期应付款</v>
      </c>
      <c r="H4119" s="306"/>
      <c r="I4119" s="306"/>
      <c r="J4119" s="306" t="s">
        <v>2740</v>
      </c>
      <c r="K4119" s="341">
        <f>VLOOKUP($A4119,Sheet_Trialbal,6,0)</f>
        <v>0</v>
      </c>
      <c r="L4119" s="342"/>
      <c r="M4119" s="306" t="s">
        <v>2741</v>
      </c>
      <c r="N4119" s="341">
        <f>VLOOKUP($A4119,Sheet_Trialbal,10,0)</f>
        <v>0</v>
      </c>
      <c r="O4119" s="306"/>
      <c r="P4119" s="301"/>
      <c r="S4119" s="364"/>
      <c r="Z4119" s="609" t="s">
        <v>4064</v>
      </c>
      <c r="AA4119" s="609" t="s">
        <v>5687</v>
      </c>
    </row>
    <row r="4120" spans="1:29" ht="24">
      <c r="A4120" s="2712" t="s">
        <v>1687</v>
      </c>
      <c r="B4120" s="371">
        <v>1</v>
      </c>
      <c r="C4120" s="371"/>
      <c r="D4120" s="2714" t="str">
        <f>VLOOKUP($A4120,Sheet_NoteList,2,0)</f>
        <v>按款项性质列示长期应付款</v>
      </c>
      <c r="E4120" s="2714" t="s">
        <v>2742</v>
      </c>
      <c r="F4120" s="294"/>
      <c r="G4120" s="372" t="str">
        <f>"("&amp;B4120&amp;")"&amp;D4120</f>
        <v>(1)按款项性质列示长期应付款</v>
      </c>
      <c r="H4120" s="1515" t="str">
        <f>$A4120</f>
        <v>2701c</v>
      </c>
      <c r="I4120" s="343" t="s">
        <v>2743</v>
      </c>
      <c r="J4120" s="301" t="s">
        <v>2744</v>
      </c>
      <c r="K4120" s="2208">
        <f>H4129</f>
        <v>0</v>
      </c>
      <c r="L4120" s="345" t="str">
        <f>IF($I4120="适用",IF(ROUND(K4119-K4120,2)=0,"F/S",ROUND(K4119-K4120,2)),"#N/A")</f>
        <v>F/S</v>
      </c>
      <c r="M4120" s="301" t="s">
        <v>2745</v>
      </c>
      <c r="N4120" s="2208">
        <f>I4129</f>
        <v>0</v>
      </c>
      <c r="O4120" s="345" t="str">
        <f>IF($I4120="适用",IF(ROUND(N4119-N4120,2)=0,"F/S",ROUND(N4119-N4120,2)),"#N/A")</f>
        <v>F/S</v>
      </c>
      <c r="P4120" s="301"/>
      <c r="Q4120" s="290" t="str">
        <f>IF($I4120="不适用","",IF(ROUND(SUM($H$4123:$I$4129),2)=0,"请输入",""))</f>
        <v>请输入</v>
      </c>
      <c r="S4120" s="364"/>
      <c r="Z4120" s="609" t="s">
        <v>4064</v>
      </c>
      <c r="AA4120" s="609" t="s">
        <v>5687</v>
      </c>
    </row>
    <row r="4121" spans="1:29" ht="0.75" customHeight="1" thickBot="1">
      <c r="A4121" s="2712"/>
      <c r="B4121" s="371"/>
      <c r="C4121" s="371"/>
      <c r="D4121" s="371"/>
      <c r="E4121" s="586"/>
      <c r="F4121" s="518"/>
      <c r="G4121" s="518" t="s">
        <v>4065</v>
      </c>
      <c r="H4121" s="304" t="s">
        <v>2747</v>
      </c>
      <c r="I4121" s="304" t="s">
        <v>2748</v>
      </c>
      <c r="N4121" s="291"/>
      <c r="O4121" s="291"/>
      <c r="P4121" s="291"/>
      <c r="Q4121" s="367"/>
      <c r="R4121" s="367"/>
      <c r="S4121" s="364"/>
      <c r="Z4121" s="609" t="s">
        <v>4064</v>
      </c>
      <c r="AA4121" s="609" t="s">
        <v>5687</v>
      </c>
    </row>
    <row r="4122" spans="1:29" ht="18">
      <c r="A4122" s="2712"/>
      <c r="B4122" s="371"/>
      <c r="C4122" s="371"/>
      <c r="D4122" s="371"/>
      <c r="E4122" s="586" t="s">
        <v>2749</v>
      </c>
      <c r="F4122" s="363"/>
      <c r="G4122" s="2406" t="s">
        <v>47</v>
      </c>
      <c r="H4122" s="2223" t="str">
        <f>$V$2</f>
        <v>2019年12月31日</v>
      </c>
      <c r="I4122" s="2224" t="str">
        <f>$V$3</f>
        <v>2018年12月31日</v>
      </c>
      <c r="J4122" s="355" t="s">
        <v>5311</v>
      </c>
      <c r="N4122" s="291"/>
      <c r="O4122" s="291"/>
      <c r="P4122" s="291"/>
      <c r="Q4122" s="367"/>
      <c r="R4122" s="367"/>
      <c r="S4122" s="364"/>
      <c r="Z4122" s="609" t="s">
        <v>4064</v>
      </c>
      <c r="AA4122" s="609" t="s">
        <v>5687</v>
      </c>
    </row>
    <row r="4123" spans="1:29" ht="18">
      <c r="A4123" s="2712"/>
      <c r="B4123" s="371">
        <v>101</v>
      </c>
      <c r="C4123" s="371"/>
      <c r="D4123" s="2714">
        <f t="shared" ref="D4123:D4129" si="464">IF(OR(G4123="*",G4123="",G4123=0),0,COUNTIF($G$4123:$G$4129,G4123))</f>
        <v>1</v>
      </c>
      <c r="E4123" s="2719" t="s">
        <v>4017</v>
      </c>
      <c r="F4123" s="294"/>
      <c r="G4123" s="1472" t="s">
        <v>4006</v>
      </c>
      <c r="H4123" s="2273"/>
      <c r="I4123" s="2294"/>
      <c r="N4123" s="291"/>
      <c r="O4123" s="291"/>
      <c r="P4123" s="291"/>
      <c r="Q4123" s="367"/>
      <c r="R4123" s="367"/>
      <c r="S4123" s="364"/>
      <c r="Z4123" s="609" t="s">
        <v>4064</v>
      </c>
      <c r="AA4123" s="609" t="s">
        <v>5687</v>
      </c>
    </row>
    <row r="4124" spans="1:29" ht="18">
      <c r="A4124" s="2712"/>
      <c r="B4124" s="371">
        <v>101.001</v>
      </c>
      <c r="C4124" s="371" t="s">
        <v>2791</v>
      </c>
      <c r="D4124" s="2714">
        <f t="shared" si="464"/>
        <v>0</v>
      </c>
      <c r="E4124" s="2719" t="s">
        <v>4017</v>
      </c>
      <c r="F4124" s="294"/>
      <c r="G4124" s="2404" t="s">
        <v>2792</v>
      </c>
      <c r="H4124" s="2273"/>
      <c r="I4124" s="2294"/>
      <c r="N4124" s="291"/>
      <c r="O4124" s="291"/>
      <c r="P4124" s="291"/>
      <c r="Q4124" s="367"/>
      <c r="R4124" s="367"/>
      <c r="S4124" s="364"/>
      <c r="Z4124" s="609" t="s">
        <v>4064</v>
      </c>
      <c r="AA4124" s="609" t="s">
        <v>5687</v>
      </c>
    </row>
    <row r="4125" spans="1:29" ht="18">
      <c r="A4125" s="2712"/>
      <c r="B4125" s="371">
        <v>101.002</v>
      </c>
      <c r="C4125" s="371" t="s">
        <v>2791</v>
      </c>
      <c r="D4125" s="2714">
        <f t="shared" si="464"/>
        <v>0</v>
      </c>
      <c r="E4125" s="2719" t="s">
        <v>4017</v>
      </c>
      <c r="F4125" s="294"/>
      <c r="G4125" s="2404" t="s">
        <v>2792</v>
      </c>
      <c r="H4125" s="2273"/>
      <c r="I4125" s="2294"/>
      <c r="N4125" s="291"/>
      <c r="O4125" s="291"/>
      <c r="P4125" s="291"/>
      <c r="Q4125" s="367"/>
      <c r="R4125" s="367"/>
      <c r="S4125" s="364"/>
      <c r="Z4125" s="609" t="s">
        <v>4064</v>
      </c>
      <c r="AA4125" s="609" t="s">
        <v>5687</v>
      </c>
    </row>
    <row r="4126" spans="1:29" ht="18">
      <c r="A4126" s="2712"/>
      <c r="B4126" s="371">
        <v>101.003</v>
      </c>
      <c r="C4126" s="371" t="s">
        <v>2791</v>
      </c>
      <c r="D4126" s="2714">
        <f t="shared" si="464"/>
        <v>0</v>
      </c>
      <c r="E4126" s="2719" t="s">
        <v>4017</v>
      </c>
      <c r="F4126" s="294"/>
      <c r="G4126" s="2404" t="s">
        <v>2792</v>
      </c>
      <c r="H4126" s="2273"/>
      <c r="I4126" s="2294"/>
      <c r="N4126" s="291"/>
      <c r="O4126" s="291"/>
      <c r="P4126" s="291"/>
      <c r="Q4126" s="367"/>
      <c r="R4126" s="367"/>
      <c r="S4126" s="364"/>
      <c r="Z4126" s="609" t="s">
        <v>4064</v>
      </c>
      <c r="AA4126" s="609" t="s">
        <v>5687</v>
      </c>
    </row>
    <row r="4127" spans="1:29" ht="18">
      <c r="A4127" s="2712"/>
      <c r="B4127" s="371">
        <v>102</v>
      </c>
      <c r="C4127" s="371" t="s">
        <v>2793</v>
      </c>
      <c r="D4127" s="2714">
        <f t="shared" si="464"/>
        <v>1</v>
      </c>
      <c r="E4127" s="2719">
        <v>1</v>
      </c>
      <c r="F4127" s="294"/>
      <c r="G4127" s="1472" t="s">
        <v>4017</v>
      </c>
      <c r="H4127" s="1474">
        <f>SUMIF($E$4122:$E$4128,$G4127,H$4122:H$4128)</f>
        <v>0</v>
      </c>
      <c r="I4127" s="1475">
        <f>SUMIF($E$4122:$E$4128,$G4127,I$4122:I$4128)</f>
        <v>0</v>
      </c>
      <c r="J4127" s="1532" t="str">
        <f ca="1">HYPERLINK("#'"&amp;$G$1&amp;"'!"&amp;ADDRESS(ROW(Notes!H4133),COLUMN(Notes!H4133),4),"* 请勿删除此行！点击往勾稽单元格，F5+Enter返回")</f>
        <v>* 请勿删除此行！点击往勾稽单元格，F5+Enter返回</v>
      </c>
      <c r="N4127" s="291"/>
      <c r="O4127" s="291"/>
      <c r="P4127" s="291"/>
      <c r="Q4127" s="367"/>
      <c r="R4127" s="367"/>
      <c r="S4127" s="364"/>
      <c r="Z4127" s="609" t="s">
        <v>4064</v>
      </c>
      <c r="AA4127" s="609" t="s">
        <v>5687</v>
      </c>
      <c r="AC4127" s="369" t="s">
        <v>6571</v>
      </c>
    </row>
    <row r="4128" spans="1:29" ht="18">
      <c r="A4128" s="2712"/>
      <c r="B4128" s="371">
        <v>103</v>
      </c>
      <c r="C4128" s="371" t="s">
        <v>2791</v>
      </c>
      <c r="D4128" s="2714">
        <f t="shared" si="464"/>
        <v>1</v>
      </c>
      <c r="E4128" s="2719">
        <v>-1</v>
      </c>
      <c r="F4128" s="294"/>
      <c r="G4128" s="2566" t="s">
        <v>4066</v>
      </c>
      <c r="H4128" s="2273"/>
      <c r="I4128" s="2294"/>
      <c r="N4128" s="291"/>
      <c r="O4128" s="291"/>
      <c r="P4128" s="291"/>
      <c r="Q4128" s="367"/>
      <c r="R4128" s="367"/>
      <c r="S4128" s="364"/>
      <c r="Z4128" s="609" t="s">
        <v>4064</v>
      </c>
      <c r="AA4128" s="609" t="s">
        <v>5687</v>
      </c>
    </row>
    <row r="4129" spans="1:27" ht="18.75" thickBot="1">
      <c r="A4129" s="2712"/>
      <c r="B4129" s="371"/>
      <c r="C4129" s="371"/>
      <c r="D4129" s="2714">
        <f t="shared" si="464"/>
        <v>1</v>
      </c>
      <c r="E4129" s="2719" t="s">
        <v>2751</v>
      </c>
      <c r="F4129" s="294"/>
      <c r="G4129" s="374" t="s">
        <v>2752</v>
      </c>
      <c r="H4129" s="1476">
        <f>SUMPRODUCT($E4122:$E4128,H4122:H4128)</f>
        <v>0</v>
      </c>
      <c r="I4129" s="1477">
        <f>SUMPRODUCT($E4122:$E4128,I4122:I4128)</f>
        <v>0</v>
      </c>
      <c r="N4129" s="291"/>
      <c r="O4129" s="291"/>
      <c r="P4129" s="291"/>
      <c r="Q4129" s="367"/>
      <c r="R4129" s="367"/>
      <c r="S4129" s="364"/>
      <c r="Z4129" s="609" t="s">
        <v>4064</v>
      </c>
      <c r="AA4129" s="609" t="s">
        <v>5687</v>
      </c>
    </row>
    <row r="4130" spans="1:27" ht="18.75" thickBot="1">
      <c r="A4130" s="2712"/>
      <c r="B4130" s="371"/>
      <c r="C4130" s="371" t="s">
        <v>2755</v>
      </c>
      <c r="D4130" s="371"/>
      <c r="F4130" s="294"/>
      <c r="G4130" s="301"/>
      <c r="H4130" s="527" t="s">
        <v>3002</v>
      </c>
      <c r="I4130" s="527" t="s">
        <v>3002</v>
      </c>
      <c r="J4130" s="349"/>
      <c r="K4130" s="349"/>
      <c r="L4130" s="315"/>
      <c r="M4130" s="393"/>
      <c r="N4130" s="291"/>
      <c r="O4130" s="291"/>
      <c r="P4130" s="291"/>
      <c r="Q4130" s="367"/>
      <c r="R4130" s="367"/>
      <c r="S4130" s="364"/>
      <c r="Z4130" s="609" t="s">
        <v>4064</v>
      </c>
      <c r="AA4130" s="609" t="s">
        <v>5687</v>
      </c>
    </row>
    <row r="4131" spans="1:27" ht="18.75" thickTop="1">
      <c r="A4131" s="2712"/>
      <c r="B4131" s="371"/>
      <c r="C4131" s="371" t="s">
        <v>2565</v>
      </c>
      <c r="D4131" s="371"/>
      <c r="F4131" s="294"/>
      <c r="G4131" s="1559" t="s">
        <v>5365</v>
      </c>
      <c r="H4131" s="1548" t="str">
        <f>G4109</f>
        <v>(1)长期应付款分类列示</v>
      </c>
      <c r="I4131" s="1550"/>
      <c r="J4131" s="1551" t="s">
        <v>5366</v>
      </c>
      <c r="K4131" s="349"/>
      <c r="L4131" s="315"/>
      <c r="M4131" s="393"/>
      <c r="N4131" s="291"/>
      <c r="O4131" s="291"/>
      <c r="P4131" s="291"/>
      <c r="Q4131" s="367"/>
      <c r="R4131" s="367"/>
      <c r="S4131" s="364"/>
      <c r="Z4131" s="609" t="s">
        <v>4064</v>
      </c>
      <c r="AA4131" s="609" t="s">
        <v>5687</v>
      </c>
    </row>
    <row r="4132" spans="1:27" ht="18">
      <c r="A4132" s="2712"/>
      <c r="B4132" s="371"/>
      <c r="C4132" s="371" t="s">
        <v>2565</v>
      </c>
      <c r="D4132" s="371"/>
      <c r="F4132" s="294"/>
      <c r="G4132" s="316" t="str">
        <f>"注释A:"&amp; G4112</f>
        <v>注释A:长期应付款</v>
      </c>
      <c r="H4132" s="2250">
        <f ca="1">HYPERLINK("#'"&amp;$G$1&amp;"'!"&amp;ADDRESS(ROW(Notes!H4112),COLUMN(Notes!H4112),4),H4112)</f>
        <v>0</v>
      </c>
      <c r="I4132" s="2250">
        <f ca="1">HYPERLINK("#'"&amp;$G$1&amp;"'!"&amp;ADDRESS(ROW(Notes!I4112),COLUMN(Notes!I4112),4),I4112)</f>
        <v>0</v>
      </c>
      <c r="J4132" s="2630" t="str">
        <f>H4109</f>
        <v>2706a</v>
      </c>
      <c r="K4132" s="349"/>
      <c r="L4132" s="315"/>
      <c r="M4132" s="393"/>
      <c r="N4132" s="291"/>
      <c r="O4132" s="291"/>
      <c r="P4132" s="291"/>
      <c r="Q4132" s="367"/>
      <c r="R4132" s="367"/>
      <c r="S4132" s="364"/>
      <c r="Z4132" s="609" t="s">
        <v>4064</v>
      </c>
      <c r="AA4132" s="609" t="s">
        <v>5687</v>
      </c>
    </row>
    <row r="4133" spans="1:27" ht="18">
      <c r="A4133" s="2712"/>
      <c r="B4133" s="371"/>
      <c r="C4133" s="371" t="s">
        <v>2565</v>
      </c>
      <c r="D4133" s="371"/>
      <c r="F4133" s="294"/>
      <c r="G4133" s="316" t="str">
        <f>"本注释B:"&amp; G4127</f>
        <v>本注释B:小    计</v>
      </c>
      <c r="H4133" s="2250">
        <f ca="1">HYPERLINK("#'"&amp;$G$1&amp;"'!"&amp;ADDRESS(ROW(Notes!H4127),COLUMN(Notes!H4127),4),H4127)</f>
        <v>0</v>
      </c>
      <c r="I4133" s="2250">
        <f ca="1">HYPERLINK("#'"&amp;$G$1&amp;"'!"&amp;ADDRESS(ROW(Notes!I4127),COLUMN(Notes!I4127),4),I4127)</f>
        <v>0</v>
      </c>
      <c r="J4133" s="2636" t="s">
        <v>1687</v>
      </c>
      <c r="K4133" s="349"/>
      <c r="L4133" s="315"/>
      <c r="M4133" s="393"/>
      <c r="N4133" s="291"/>
      <c r="O4133" s="291"/>
      <c r="P4133" s="291"/>
      <c r="Q4133" s="367"/>
      <c r="R4133" s="367"/>
      <c r="S4133" s="364"/>
      <c r="Z4133" s="609" t="s">
        <v>4064</v>
      </c>
      <c r="AA4133" s="609" t="s">
        <v>5687</v>
      </c>
    </row>
    <row r="4134" spans="1:27" ht="18.75" thickBot="1">
      <c r="A4134" s="2712"/>
      <c r="B4134" s="371"/>
      <c r="C4134" s="371" t="s">
        <v>2565</v>
      </c>
      <c r="D4134" s="371"/>
      <c r="F4134" s="294"/>
      <c r="G4134" s="1560" t="s">
        <v>2757</v>
      </c>
      <c r="H4134" s="1529">
        <f ca="1">IF(AND(H4132="",H4133=""),"",ROUND(H4132-H4133,2))</f>
        <v>0</v>
      </c>
      <c r="I4134" s="1529">
        <f ca="1">IF(AND(I4132="",I4133=""),"",ROUND(I4132-I4133,2))</f>
        <v>0</v>
      </c>
      <c r="J4134" s="1553"/>
      <c r="K4134" s="349"/>
      <c r="L4134" s="315"/>
      <c r="M4134" s="393"/>
      <c r="N4134" s="291"/>
      <c r="O4134" s="291"/>
      <c r="P4134" s="291"/>
      <c r="Q4134" s="367"/>
      <c r="R4134" s="367"/>
      <c r="S4134" s="364"/>
      <c r="Z4134" s="609" t="s">
        <v>4064</v>
      </c>
      <c r="AA4134" s="609" t="s">
        <v>5687</v>
      </c>
    </row>
    <row r="4135" spans="1:27" ht="18.75" thickTop="1">
      <c r="A4135" s="2712"/>
      <c r="B4135" s="371"/>
      <c r="C4135" s="371" t="s">
        <v>2565</v>
      </c>
      <c r="D4135" s="371"/>
      <c r="F4135" s="294"/>
      <c r="G4135" s="354"/>
      <c r="H4135" s="459" t="str">
        <f ca="1">IF(OR(H4134=0,H4134=""),"√","？")</f>
        <v>√</v>
      </c>
      <c r="I4135" s="459" t="str">
        <f ca="1">IF(OR(I4134=0,I4134=""),"√","？")</f>
        <v>√</v>
      </c>
      <c r="J4135" s="317"/>
      <c r="K4135" s="349"/>
      <c r="L4135" s="315"/>
      <c r="M4135" s="393"/>
      <c r="N4135" s="291"/>
      <c r="O4135" s="291"/>
      <c r="P4135" s="291"/>
      <c r="Q4135" s="367"/>
      <c r="R4135" s="367"/>
      <c r="S4135" s="364"/>
      <c r="Z4135" s="609" t="s">
        <v>4064</v>
      </c>
      <c r="AA4135" s="609" t="s">
        <v>5687</v>
      </c>
    </row>
    <row r="4136" spans="1:27" ht="18">
      <c r="A4136" s="2712"/>
      <c r="B4136" s="371"/>
      <c r="C4136" s="371" t="s">
        <v>2565</v>
      </c>
      <c r="D4136" s="371"/>
      <c r="F4136" s="294"/>
      <c r="G4136" s="460" t="s">
        <v>2759</v>
      </c>
      <c r="H4136" s="461"/>
      <c r="I4136" s="461"/>
      <c r="J4136" s="317"/>
      <c r="K4136" s="345">
        <f ca="1">SUMIF($H$4135:$J$4135,"&lt;&gt;√",$H$4134:$J$4134)</f>
        <v>0</v>
      </c>
      <c r="L4136" s="2668" t="str">
        <f ca="1">IF(OR(K4136=0,K4136=""),"√","？")</f>
        <v>√</v>
      </c>
      <c r="M4136" s="393"/>
      <c r="N4136" s="291"/>
      <c r="O4136" s="291"/>
      <c r="P4136" s="291"/>
      <c r="Q4136" s="367"/>
      <c r="R4136" s="367"/>
      <c r="S4136" s="364"/>
      <c r="Z4136" s="609" t="s">
        <v>4064</v>
      </c>
      <c r="AA4136" s="609" t="s">
        <v>5687</v>
      </c>
    </row>
    <row r="4137" spans="1:27" ht="18">
      <c r="A4137" s="2712"/>
      <c r="B4137" s="371"/>
      <c r="C4137" s="371" t="s">
        <v>2565</v>
      </c>
      <c r="D4137" s="371"/>
      <c r="F4137" s="294"/>
      <c r="G4137" s="354"/>
      <c r="H4137" s="461"/>
      <c r="I4137" s="461"/>
      <c r="J4137" s="317"/>
      <c r="K4137" s="349"/>
      <c r="L4137" s="315"/>
      <c r="M4137" s="393"/>
      <c r="N4137" s="291"/>
      <c r="O4137" s="291"/>
      <c r="P4137" s="291"/>
      <c r="Q4137" s="367"/>
      <c r="R4137" s="367"/>
      <c r="S4137" s="364"/>
      <c r="Z4137" s="609" t="s">
        <v>4064</v>
      </c>
      <c r="AA4137" s="609" t="s">
        <v>5687</v>
      </c>
    </row>
    <row r="4138" spans="1:27" ht="18">
      <c r="A4138" s="2712" t="s">
        <v>1692</v>
      </c>
      <c r="B4138" s="371">
        <v>2</v>
      </c>
      <c r="C4138" s="371"/>
      <c r="D4138" s="2714" t="str">
        <f>VLOOKUP($A4138,Sheet_NoteList,2,0)</f>
        <v>外币长期应付款</v>
      </c>
      <c r="E4138" s="2714" t="s">
        <v>6531</v>
      </c>
      <c r="F4138" s="294"/>
      <c r="G4138" s="307" t="str">
        <f>"("&amp;B4138&amp;")"&amp;D4138</f>
        <v>(2)外币长期应付款</v>
      </c>
      <c r="H4138" s="1515" t="str">
        <f>$A4138</f>
        <v>2701d</v>
      </c>
      <c r="I4138" s="343" t="s">
        <v>5582</v>
      </c>
      <c r="J4138" s="301" t="s">
        <v>5581</v>
      </c>
      <c r="K4138" s="2208">
        <f>J4146</f>
        <v>0</v>
      </c>
      <c r="L4138" s="345"/>
      <c r="M4138" s="301"/>
      <c r="N4138" s="391"/>
      <c r="O4138" s="345" t="str">
        <f>IF($I4138="适用",IF(ROUND(N$3444-N4138,2)&gt;=0,"","#Logical!"),"#N/A")</f>
        <v/>
      </c>
      <c r="P4138" s="301"/>
      <c r="Q4138" s="290" t="str">
        <f>IF($I4138="不适用","",IF(ROUND(SUM($H$4141:$J$4146),2)=0,"请输入",""))</f>
        <v>请输入</v>
      </c>
      <c r="S4138" s="364"/>
      <c r="Z4138" s="609" t="s">
        <v>4064</v>
      </c>
      <c r="AA4138" s="609" t="s">
        <v>5687</v>
      </c>
    </row>
    <row r="4139" spans="1:27" ht="0.75" customHeight="1" thickBot="1">
      <c r="A4139" s="2712"/>
      <c r="B4139" s="371"/>
      <c r="C4139" s="371"/>
      <c r="D4139" s="371"/>
      <c r="F4139" s="304"/>
      <c r="G4139" s="304" t="s">
        <v>4067</v>
      </c>
      <c r="H4139" s="304" t="s">
        <v>3073</v>
      </c>
      <c r="I4139" s="304" t="s">
        <v>3074</v>
      </c>
      <c r="J4139" s="304" t="s">
        <v>3075</v>
      </c>
      <c r="K4139" s="387"/>
      <c r="L4139" s="291"/>
      <c r="M4139" s="291"/>
      <c r="N4139" s="291"/>
      <c r="O4139" s="291"/>
      <c r="P4139" s="291"/>
      <c r="Q4139" s="367"/>
      <c r="R4139" s="367"/>
      <c r="S4139" s="364"/>
      <c r="Z4139" s="609" t="s">
        <v>4064</v>
      </c>
      <c r="AA4139" s="609" t="s">
        <v>5687</v>
      </c>
    </row>
    <row r="4140" spans="1:27" ht="24">
      <c r="A4140" s="2712"/>
      <c r="B4140" s="371"/>
      <c r="C4140" s="371"/>
      <c r="D4140" s="371"/>
      <c r="E4140" s="2714" t="s">
        <v>2749</v>
      </c>
      <c r="F4140" s="294"/>
      <c r="G4140" s="1627" t="s">
        <v>1371</v>
      </c>
      <c r="H4140" s="1625" t="s">
        <v>3076</v>
      </c>
      <c r="I4140" s="1625" t="s">
        <v>3077</v>
      </c>
      <c r="J4140" s="1626" t="s">
        <v>3078</v>
      </c>
      <c r="K4140" s="355" t="s">
        <v>5602</v>
      </c>
      <c r="L4140" s="291"/>
      <c r="M4140" s="291"/>
      <c r="N4140" s="291"/>
      <c r="O4140" s="291"/>
      <c r="P4140" s="291"/>
      <c r="Q4140" s="367"/>
      <c r="R4140" s="367"/>
      <c r="S4140" s="364"/>
      <c r="Z4140" s="609" t="s">
        <v>4064</v>
      </c>
      <c r="AA4140" s="609" t="s">
        <v>5687</v>
      </c>
    </row>
    <row r="4141" spans="1:27" ht="18">
      <c r="A4141" s="2712"/>
      <c r="B4141" s="371">
        <v>101</v>
      </c>
      <c r="C4141" s="371" t="s">
        <v>2791</v>
      </c>
      <c r="D4141" s="2714">
        <f t="shared" ref="D4141:D4146" si="465">IF(OR(G4141="*",G4141="",G4141=0),0,COUNTIF($G$4141:$G$4146,G4141))</f>
        <v>1</v>
      </c>
      <c r="E4141" s="2719">
        <v>1</v>
      </c>
      <c r="F4141" s="294"/>
      <c r="G4141" s="1624" t="s">
        <v>3079</v>
      </c>
      <c r="H4141" s="309"/>
      <c r="I4141" s="360"/>
      <c r="J4141" s="346"/>
      <c r="K4141" s="355" t="s">
        <v>5362</v>
      </c>
      <c r="L4141" s="1520" t="s">
        <v>5363</v>
      </c>
      <c r="M4141" s="291"/>
      <c r="N4141" s="291"/>
      <c r="O4141" s="291"/>
      <c r="P4141" s="291"/>
      <c r="Q4141" s="367"/>
      <c r="R4141" s="367"/>
      <c r="S4141" s="364"/>
      <c r="Z4141" s="609" t="s">
        <v>4064</v>
      </c>
      <c r="AA4141" s="609" t="s">
        <v>5687</v>
      </c>
    </row>
    <row r="4142" spans="1:27" ht="18">
      <c r="A4142" s="2712"/>
      <c r="B4142" s="371">
        <v>102</v>
      </c>
      <c r="C4142" s="371" t="s">
        <v>2791</v>
      </c>
      <c r="D4142" s="2714">
        <f t="shared" si="465"/>
        <v>1</v>
      </c>
      <c r="E4142" s="2719">
        <v>1</v>
      </c>
      <c r="F4142" s="294"/>
      <c r="G4142" s="1624" t="s">
        <v>3080</v>
      </c>
      <c r="H4142" s="309"/>
      <c r="I4142" s="360"/>
      <c r="J4142" s="346"/>
      <c r="K4142" s="291"/>
      <c r="L4142" s="291"/>
      <c r="M4142" s="291"/>
      <c r="N4142" s="291"/>
      <c r="O4142" s="291"/>
      <c r="P4142" s="291"/>
      <c r="Q4142" s="367"/>
      <c r="R4142" s="367"/>
      <c r="S4142" s="364"/>
      <c r="Z4142" s="609" t="s">
        <v>4064</v>
      </c>
      <c r="AA4142" s="609" t="s">
        <v>5687</v>
      </c>
    </row>
    <row r="4143" spans="1:27" ht="18">
      <c r="A4143" s="2712"/>
      <c r="B4143" s="371">
        <v>103</v>
      </c>
      <c r="C4143" s="371" t="s">
        <v>2791</v>
      </c>
      <c r="D4143" s="2714">
        <f t="shared" si="465"/>
        <v>1</v>
      </c>
      <c r="E4143" s="2719">
        <v>1</v>
      </c>
      <c r="F4143" s="294"/>
      <c r="G4143" s="1624" t="s">
        <v>3081</v>
      </c>
      <c r="H4143" s="309"/>
      <c r="I4143" s="360"/>
      <c r="J4143" s="346"/>
      <c r="K4143" s="291"/>
      <c r="L4143" s="291"/>
      <c r="M4143" s="291"/>
      <c r="N4143" s="291"/>
      <c r="O4143" s="291"/>
      <c r="P4143" s="291"/>
      <c r="Q4143" s="367"/>
      <c r="R4143" s="367"/>
      <c r="S4143" s="364"/>
      <c r="Z4143" s="609" t="s">
        <v>4064</v>
      </c>
      <c r="AA4143" s="609" t="s">
        <v>5687</v>
      </c>
    </row>
    <row r="4144" spans="1:27" ht="18">
      <c r="A4144" s="2712"/>
      <c r="B4144" s="371">
        <v>104</v>
      </c>
      <c r="C4144" s="371" t="s">
        <v>2791</v>
      </c>
      <c r="D4144" s="2714">
        <f t="shared" si="465"/>
        <v>0</v>
      </c>
      <c r="E4144" s="2719">
        <v>1</v>
      </c>
      <c r="F4144" s="294"/>
      <c r="G4144" s="1624" t="s">
        <v>2792</v>
      </c>
      <c r="H4144" s="309"/>
      <c r="I4144" s="360"/>
      <c r="J4144" s="346"/>
      <c r="K4144" s="291"/>
      <c r="L4144" s="291"/>
      <c r="M4144" s="291"/>
      <c r="N4144" s="291"/>
      <c r="O4144" s="291"/>
      <c r="P4144" s="291"/>
      <c r="Q4144" s="367"/>
      <c r="R4144" s="367"/>
      <c r="S4144" s="364"/>
      <c r="Z4144" s="609" t="s">
        <v>4064</v>
      </c>
      <c r="AA4144" s="609" t="s">
        <v>5687</v>
      </c>
    </row>
    <row r="4145" spans="1:27" ht="18">
      <c r="A4145" s="2712"/>
      <c r="B4145" s="371">
        <v>105</v>
      </c>
      <c r="C4145" s="371" t="s">
        <v>2791</v>
      </c>
      <c r="D4145" s="2714">
        <f t="shared" si="465"/>
        <v>0</v>
      </c>
      <c r="E4145" s="2719">
        <v>1</v>
      </c>
      <c r="F4145" s="294"/>
      <c r="G4145" s="1624" t="s">
        <v>2792</v>
      </c>
      <c r="H4145" s="309"/>
      <c r="I4145" s="360"/>
      <c r="J4145" s="346"/>
      <c r="K4145" s="291"/>
      <c r="L4145" s="291"/>
      <c r="M4145" s="291"/>
      <c r="N4145" s="291"/>
      <c r="O4145" s="291"/>
      <c r="P4145" s="291"/>
      <c r="Q4145" s="367"/>
      <c r="R4145" s="367"/>
      <c r="S4145" s="364"/>
      <c r="Z4145" s="609" t="s">
        <v>4064</v>
      </c>
      <c r="AA4145" s="609" t="s">
        <v>5687</v>
      </c>
    </row>
    <row r="4146" spans="1:27" ht="18.75" thickBot="1">
      <c r="A4146" s="2712"/>
      <c r="B4146" s="371"/>
      <c r="C4146" s="371"/>
      <c r="D4146" s="2714">
        <f t="shared" si="465"/>
        <v>1</v>
      </c>
      <c r="E4146" s="2719" t="s">
        <v>3032</v>
      </c>
      <c r="F4146" s="294"/>
      <c r="G4146" s="1527" t="s">
        <v>2752</v>
      </c>
      <c r="H4146" s="1523"/>
      <c r="I4146" s="1524"/>
      <c r="J4146" s="1526">
        <f>SUMPRODUCT($E4140:$E4145,J4140:J4145)</f>
        <v>0</v>
      </c>
      <c r="K4146" s="291"/>
      <c r="L4146" s="291"/>
      <c r="M4146" s="291"/>
      <c r="N4146" s="291"/>
      <c r="O4146" s="291"/>
      <c r="P4146" s="291"/>
      <c r="Q4146" s="367"/>
      <c r="R4146" s="367"/>
      <c r="S4146" s="364"/>
      <c r="Z4146" s="609" t="s">
        <v>4064</v>
      </c>
      <c r="AA4146" s="609" t="s">
        <v>5687</v>
      </c>
    </row>
    <row r="4147" spans="1:27" ht="18">
      <c r="A4147" s="2712"/>
      <c r="B4147" s="371"/>
      <c r="C4147" s="371" t="s">
        <v>2755</v>
      </c>
      <c r="D4147" s="371"/>
      <c r="F4147" s="294"/>
      <c r="G4147" s="301"/>
      <c r="H4147" s="315"/>
      <c r="I4147" s="393"/>
      <c r="J4147" s="315"/>
      <c r="K4147" s="291"/>
      <c r="L4147" s="291"/>
      <c r="M4147" s="291"/>
      <c r="N4147" s="291"/>
      <c r="O4147" s="291"/>
      <c r="P4147" s="291"/>
      <c r="Q4147" s="367"/>
      <c r="R4147" s="367"/>
      <c r="S4147" s="364"/>
      <c r="Z4147" s="609" t="s">
        <v>4064</v>
      </c>
      <c r="AA4147" s="609" t="s">
        <v>5687</v>
      </c>
    </row>
    <row r="4148" spans="1:27" ht="18">
      <c r="A4148" s="2712">
        <v>2711</v>
      </c>
      <c r="B4148" s="371">
        <v>48.2</v>
      </c>
      <c r="C4148" s="2714" t="str">
        <f>VLOOKUP($A4148,Sheet_Items,2,0)</f>
        <v>专项应付款</v>
      </c>
      <c r="D4148" s="371"/>
      <c r="E4148" s="2714" t="s">
        <v>2739</v>
      </c>
      <c r="F4148" s="294"/>
      <c r="G4148" s="535" t="str">
        <f>B4148&amp;" "&amp;C4148</f>
        <v>48.2 专项应付款</v>
      </c>
      <c r="H4148" s="306"/>
      <c r="I4148" s="306"/>
      <c r="J4148" s="306" t="s">
        <v>2740</v>
      </c>
      <c r="K4148" s="341">
        <f>VLOOKUP($A4148,Sheet_Trialbal,6,0)</f>
        <v>0</v>
      </c>
      <c r="L4148" s="342"/>
      <c r="M4148" s="306" t="s">
        <v>2741</v>
      </c>
      <c r="N4148" s="341">
        <f>VLOOKUP($A4148,Sheet_Trialbal,10,0)</f>
        <v>0</v>
      </c>
      <c r="O4148" s="306"/>
      <c r="P4148" s="301"/>
      <c r="S4148" s="364"/>
      <c r="Z4148" s="609" t="s">
        <v>4068</v>
      </c>
      <c r="AA4148" s="609" t="s">
        <v>5688</v>
      </c>
    </row>
    <row r="4149" spans="1:27" ht="18">
      <c r="A4149" s="2712" t="s">
        <v>1697</v>
      </c>
      <c r="B4149" s="371">
        <v>1</v>
      </c>
      <c r="C4149" s="371"/>
      <c r="D4149" s="2714" t="str">
        <f>VLOOKUP($A4149,Sheet_NoteList,2,0)</f>
        <v>专项应付款明细项目</v>
      </c>
      <c r="E4149" s="2714" t="s">
        <v>2742</v>
      </c>
      <c r="F4149" s="294"/>
      <c r="G4149" s="307" t="str">
        <f>"("&amp;B4149&amp;")"&amp;D4149</f>
        <v>(1)专项应付款明细项目</v>
      </c>
      <c r="H4149" s="1515" t="str">
        <f>$A4149</f>
        <v>2711a</v>
      </c>
      <c r="I4149" s="343" t="s">
        <v>2743</v>
      </c>
      <c r="J4149" s="301" t="s">
        <v>2744</v>
      </c>
      <c r="K4149" s="2208">
        <f>K4157</f>
        <v>0</v>
      </c>
      <c r="L4149" s="345" t="str">
        <f>IF($I4149="适用",IF(ROUND(K4148-K4149,2)=0,"F/S",ROUND(K4148-K4149,2)),"#N/A")</f>
        <v>F/S</v>
      </c>
      <c r="M4149" s="301" t="s">
        <v>2745</v>
      </c>
      <c r="N4149" s="2208">
        <f>H4157</f>
        <v>0</v>
      </c>
      <c r="O4149" s="345" t="str">
        <f>IF($I4149="适用",IF(ROUND(N4148-N4149,2)=0,"F/S",ROUND(N4148-N4149,2)),"#N/A")</f>
        <v>F/S</v>
      </c>
      <c r="P4149" s="301"/>
      <c r="Q4149" s="290" t="str">
        <f>IF($I4149="不适用","",IF(ROUND(SUM($H$4152:$L$4157),2)=0,"请输入",""))</f>
        <v>请输入</v>
      </c>
      <c r="S4149" s="364"/>
      <c r="Z4149" s="609" t="s">
        <v>4068</v>
      </c>
      <c r="AA4149" s="609" t="s">
        <v>5688</v>
      </c>
    </row>
    <row r="4150" spans="1:27" ht="0.75" customHeight="1" thickBot="1">
      <c r="A4150" s="2712"/>
      <c r="B4150" s="371"/>
      <c r="C4150" s="371"/>
      <c r="D4150" s="371"/>
      <c r="E4150" s="586"/>
      <c r="F4150" s="518"/>
      <c r="G4150" s="518" t="s">
        <v>4069</v>
      </c>
      <c r="H4150" s="304" t="s">
        <v>2904</v>
      </c>
      <c r="I4150" s="304" t="s">
        <v>3255</v>
      </c>
      <c r="J4150" s="304" t="s">
        <v>3256</v>
      </c>
      <c r="K4150" s="304" t="s">
        <v>3241</v>
      </c>
      <c r="L4150" s="304" t="s">
        <v>4070</v>
      </c>
      <c r="M4150" s="291"/>
      <c r="N4150" s="291"/>
      <c r="O4150" s="291"/>
      <c r="P4150" s="291"/>
      <c r="S4150" s="364"/>
      <c r="Z4150" s="609" t="s">
        <v>4068</v>
      </c>
      <c r="AA4150" s="609" t="s">
        <v>5688</v>
      </c>
    </row>
    <row r="4151" spans="1:27" ht="18">
      <c r="A4151" s="2712"/>
      <c r="B4151" s="371"/>
      <c r="C4151" s="371"/>
      <c r="D4151" s="371"/>
      <c r="E4151" s="586" t="s">
        <v>2749</v>
      </c>
      <c r="F4151" s="363"/>
      <c r="G4151" s="2406" t="s">
        <v>47</v>
      </c>
      <c r="H4151" s="2473" t="str">
        <f>$V$3</f>
        <v>2018年12月31日</v>
      </c>
      <c r="I4151" s="2403" t="s">
        <v>3027</v>
      </c>
      <c r="J4151" s="2403" t="s">
        <v>3028</v>
      </c>
      <c r="K4151" s="2473" t="str">
        <f>$V$2</f>
        <v>2019年12月31日</v>
      </c>
      <c r="L4151" s="2400" t="s">
        <v>4071</v>
      </c>
      <c r="M4151" s="355" t="s">
        <v>5311</v>
      </c>
      <c r="N4151" s="291"/>
      <c r="O4151" s="291"/>
      <c r="P4151" s="291"/>
      <c r="S4151" s="364"/>
      <c r="Z4151" s="609" t="s">
        <v>4068</v>
      </c>
      <c r="AA4151" s="609" t="s">
        <v>5688</v>
      </c>
    </row>
    <row r="4152" spans="1:27" ht="18">
      <c r="A4152" s="2712"/>
      <c r="B4152" s="371">
        <v>101</v>
      </c>
      <c r="C4152" s="371" t="s">
        <v>2791</v>
      </c>
      <c r="D4152" s="2714">
        <f t="shared" ref="D4152:D4157" si="466">IF(OR(G4152="*",G4152="",G4152=0),0,COUNTIF($G$4152:$G$4157,G4152))</f>
        <v>0</v>
      </c>
      <c r="E4152" s="2719">
        <v>1</v>
      </c>
      <c r="F4152" s="294"/>
      <c r="G4152" s="2404" t="s">
        <v>2792</v>
      </c>
      <c r="H4152" s="2273"/>
      <c r="I4152" s="2273"/>
      <c r="J4152" s="2273"/>
      <c r="K4152" s="1474">
        <f>H4152+I4152-J4152</f>
        <v>0</v>
      </c>
      <c r="L4152" s="2274"/>
      <c r="M4152" s="291"/>
      <c r="N4152" s="291"/>
      <c r="O4152" s="291"/>
      <c r="P4152" s="291"/>
      <c r="S4152" s="364"/>
      <c r="Z4152" s="609" t="s">
        <v>4068</v>
      </c>
      <c r="AA4152" s="609" t="s">
        <v>5688</v>
      </c>
    </row>
    <row r="4153" spans="1:27" ht="18">
      <c r="A4153" s="2712"/>
      <c r="B4153" s="371">
        <v>102</v>
      </c>
      <c r="C4153" s="371" t="s">
        <v>2791</v>
      </c>
      <c r="D4153" s="2714">
        <f t="shared" si="466"/>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5688</v>
      </c>
    </row>
    <row r="4154" spans="1:27" ht="18">
      <c r="A4154" s="2712"/>
      <c r="B4154" s="371">
        <v>103</v>
      </c>
      <c r="C4154" s="371" t="s">
        <v>2791</v>
      </c>
      <c r="D4154" s="2714">
        <f t="shared" si="466"/>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5688</v>
      </c>
    </row>
    <row r="4155" spans="1:27" ht="18">
      <c r="A4155" s="2712"/>
      <c r="B4155" s="371">
        <v>104</v>
      </c>
      <c r="C4155" s="371" t="s">
        <v>2791</v>
      </c>
      <c r="D4155" s="2714">
        <f t="shared" si="466"/>
        <v>0</v>
      </c>
      <c r="E4155" s="2719">
        <v>1</v>
      </c>
      <c r="F4155" s="294"/>
      <c r="G4155" s="2404" t="s">
        <v>2792</v>
      </c>
      <c r="H4155" s="2273"/>
      <c r="I4155" s="2273"/>
      <c r="J4155" s="2273"/>
      <c r="K4155" s="1474">
        <f>H4155+I4155-J4155</f>
        <v>0</v>
      </c>
      <c r="L4155" s="2274"/>
      <c r="M4155" s="291"/>
      <c r="N4155" s="291"/>
      <c r="O4155" s="291"/>
      <c r="P4155" s="291"/>
      <c r="S4155" s="364"/>
      <c r="Z4155" s="609" t="s">
        <v>4068</v>
      </c>
      <c r="AA4155" s="609" t="s">
        <v>5688</v>
      </c>
    </row>
    <row r="4156" spans="1:27" ht="18">
      <c r="A4156" s="2712"/>
      <c r="B4156" s="371">
        <v>105</v>
      </c>
      <c r="C4156" s="371" t="s">
        <v>2791</v>
      </c>
      <c r="D4156" s="2714">
        <f t="shared" si="466"/>
        <v>0</v>
      </c>
      <c r="E4156" s="2719">
        <v>1</v>
      </c>
      <c r="F4156" s="294"/>
      <c r="G4156" s="2404" t="s">
        <v>2792</v>
      </c>
      <c r="H4156" s="2273"/>
      <c r="I4156" s="2273"/>
      <c r="J4156" s="2273"/>
      <c r="K4156" s="1474">
        <f>H4156+I4156-J4156</f>
        <v>0</v>
      </c>
      <c r="L4156" s="2274"/>
      <c r="M4156" s="291"/>
      <c r="N4156" s="291"/>
      <c r="O4156" s="291"/>
      <c r="P4156" s="291"/>
      <c r="S4156" s="364"/>
      <c r="Z4156" s="609" t="s">
        <v>4068</v>
      </c>
      <c r="AA4156" s="609" t="s">
        <v>5688</v>
      </c>
    </row>
    <row r="4157" spans="1:27" ht="18.75" thickBot="1">
      <c r="A4157" s="2712"/>
      <c r="B4157" s="371"/>
      <c r="C4157" s="371"/>
      <c r="D4157" s="2714">
        <f t="shared" si="466"/>
        <v>1</v>
      </c>
      <c r="E4157" s="2719" t="s">
        <v>2751</v>
      </c>
      <c r="F4157" s="294"/>
      <c r="G4157" s="374" t="s">
        <v>2752</v>
      </c>
      <c r="H4157" s="1476">
        <f>SUMPRODUCT($E4151:$E4156,H4151:H4156)</f>
        <v>0</v>
      </c>
      <c r="I4157" s="1476">
        <f>SUMPRODUCT($E4151:$E4156,I4151:I4156)</f>
        <v>0</v>
      </c>
      <c r="J4157" s="1476">
        <f>SUMPRODUCT($E4151:$E4156,J4151:J4156)</f>
        <v>0</v>
      </c>
      <c r="K4157" s="1476">
        <f>SUMPRODUCT($E4151:$E4156,K4151:K4156)</f>
        <v>0</v>
      </c>
      <c r="L4157" s="2258"/>
      <c r="M4157" s="291"/>
      <c r="N4157" s="291"/>
      <c r="O4157" s="291"/>
      <c r="P4157" s="291"/>
      <c r="S4157" s="364"/>
      <c r="Z4157" s="609" t="s">
        <v>4068</v>
      </c>
      <c r="AA4157" s="609" t="s">
        <v>5688</v>
      </c>
    </row>
    <row r="4158" spans="1:27" ht="18">
      <c r="A4158" s="2712"/>
      <c r="B4158" s="371"/>
      <c r="C4158" s="371" t="s">
        <v>2755</v>
      </c>
      <c r="D4158" s="371"/>
      <c r="F4158" s="294"/>
      <c r="G4158" s="301"/>
      <c r="H4158" s="315"/>
      <c r="I4158" s="315"/>
      <c r="J4158" s="315"/>
      <c r="K4158" s="315"/>
      <c r="L4158" s="393"/>
      <c r="M4158" s="291"/>
      <c r="N4158" s="291"/>
      <c r="O4158" s="291"/>
      <c r="P4158" s="291"/>
      <c r="S4158" s="364"/>
      <c r="Z4158" s="609" t="s">
        <v>4068</v>
      </c>
      <c r="AA4158" s="609" t="s">
        <v>5688</v>
      </c>
    </row>
    <row r="4159" spans="1:27" ht="18">
      <c r="A4159" s="2712" t="s">
        <v>1702</v>
      </c>
      <c r="B4159" s="371">
        <v>2</v>
      </c>
      <c r="C4159" s="371"/>
      <c r="D4159" s="2714" t="str">
        <f>VLOOKUP($A4159,Sheet_NoteList,2,0)</f>
        <v>外币专项应付款</v>
      </c>
      <c r="E4159" s="2714" t="s">
        <v>6529</v>
      </c>
      <c r="F4159" s="294"/>
      <c r="G4159" s="307" t="str">
        <f>"("&amp;B4159&amp;")"&amp;D4159</f>
        <v>(2)外币专项应付款</v>
      </c>
      <c r="H4159" s="1515" t="str">
        <f>$A4159</f>
        <v>2711b</v>
      </c>
      <c r="I4159" s="343" t="s">
        <v>5582</v>
      </c>
      <c r="J4159" s="301" t="s">
        <v>5581</v>
      </c>
      <c r="K4159" s="2208">
        <f>J4167</f>
        <v>0</v>
      </c>
      <c r="L4159" s="345"/>
      <c r="M4159" s="301"/>
      <c r="N4159" s="391"/>
      <c r="O4159" s="345" t="str">
        <f>IF($I4159="适用",IF(ROUND(N$3444-N4159,2)&gt;=0,"","#Logical!"),"#N/A")</f>
        <v/>
      </c>
      <c r="P4159" s="301"/>
      <c r="Q4159" s="290" t="str">
        <f>IF($I4159="不适用","",IF(ROUND(SUM($H$4162:$J$4167),2)=0,"请输入",""))</f>
        <v>请输入</v>
      </c>
      <c r="S4159" s="364"/>
      <c r="Z4159" s="609" t="s">
        <v>4068</v>
      </c>
      <c r="AA4159" s="609" t="s">
        <v>5688</v>
      </c>
    </row>
    <row r="4160" spans="1:27" ht="0.75" customHeight="1" thickBot="1">
      <c r="A4160" s="2712"/>
      <c r="B4160" s="371"/>
      <c r="C4160" s="371"/>
      <c r="D4160" s="371"/>
      <c r="F4160" s="304"/>
      <c r="G4160" s="304" t="s">
        <v>4072</v>
      </c>
      <c r="H4160" s="304" t="s">
        <v>3073</v>
      </c>
      <c r="I4160" s="304" t="s">
        <v>3074</v>
      </c>
      <c r="J4160" s="304" t="s">
        <v>3075</v>
      </c>
      <c r="K4160" s="387"/>
      <c r="L4160" s="291"/>
      <c r="M4160" s="291"/>
      <c r="N4160" s="291"/>
      <c r="O4160" s="291"/>
      <c r="P4160" s="291"/>
      <c r="Q4160" s="367"/>
      <c r="R4160" s="367"/>
      <c r="S4160" s="364"/>
      <c r="Z4160" s="609" t="s">
        <v>4068</v>
      </c>
      <c r="AA4160" s="609" t="s">
        <v>5688</v>
      </c>
    </row>
    <row r="4161" spans="1:27" ht="24">
      <c r="A4161" s="2712"/>
      <c r="B4161" s="371"/>
      <c r="C4161" s="371"/>
      <c r="D4161" s="371"/>
      <c r="E4161" s="2714" t="s">
        <v>2749</v>
      </c>
      <c r="F4161" s="294"/>
      <c r="G4161" s="1627" t="s">
        <v>1371</v>
      </c>
      <c r="H4161" s="1625" t="s">
        <v>3076</v>
      </c>
      <c r="I4161" s="1625" t="s">
        <v>3077</v>
      </c>
      <c r="J4161" s="1626" t="s">
        <v>3078</v>
      </c>
      <c r="K4161" s="355" t="s">
        <v>5602</v>
      </c>
      <c r="L4161" s="291"/>
      <c r="M4161" s="291"/>
      <c r="N4161" s="291"/>
      <c r="O4161" s="291"/>
      <c r="P4161" s="291"/>
      <c r="Q4161" s="367"/>
      <c r="R4161" s="367"/>
      <c r="S4161" s="364"/>
      <c r="Z4161" s="609" t="s">
        <v>4068</v>
      </c>
      <c r="AA4161" s="609" t="s">
        <v>5688</v>
      </c>
    </row>
    <row r="4162" spans="1:27" ht="18">
      <c r="A4162" s="2712"/>
      <c r="B4162" s="371">
        <v>101</v>
      </c>
      <c r="C4162" s="371" t="s">
        <v>2791</v>
      </c>
      <c r="D4162" s="2714">
        <f t="shared" ref="D4162:D4167" si="467">IF(OR(G4162="*",G4162="",G4162=0),0,COUNTIF($G$4162:$G$4167,G4162))</f>
        <v>1</v>
      </c>
      <c r="E4162" s="2719">
        <v>1</v>
      </c>
      <c r="F4162" s="294"/>
      <c r="G4162" s="1624" t="s">
        <v>3079</v>
      </c>
      <c r="H4162" s="309"/>
      <c r="I4162" s="360"/>
      <c r="J4162" s="346"/>
      <c r="K4162" s="355" t="s">
        <v>5362</v>
      </c>
      <c r="L4162" s="1520" t="s">
        <v>5363</v>
      </c>
      <c r="M4162" s="291"/>
      <c r="N4162" s="291"/>
      <c r="O4162" s="291"/>
      <c r="P4162" s="291"/>
      <c r="Q4162" s="367"/>
      <c r="R4162" s="367"/>
      <c r="S4162" s="364"/>
      <c r="Z4162" s="609" t="s">
        <v>4068</v>
      </c>
      <c r="AA4162" s="609" t="s">
        <v>5688</v>
      </c>
    </row>
    <row r="4163" spans="1:27" ht="18">
      <c r="A4163" s="2712"/>
      <c r="B4163" s="371">
        <v>102</v>
      </c>
      <c r="C4163" s="371" t="s">
        <v>2791</v>
      </c>
      <c r="D4163" s="2714">
        <f t="shared" si="467"/>
        <v>1</v>
      </c>
      <c r="E4163" s="2719">
        <v>1</v>
      </c>
      <c r="F4163" s="294"/>
      <c r="G4163" s="1624" t="s">
        <v>3080</v>
      </c>
      <c r="H4163" s="309"/>
      <c r="I4163" s="360"/>
      <c r="J4163" s="346"/>
      <c r="K4163" s="291"/>
      <c r="L4163" s="291"/>
      <c r="M4163" s="291"/>
      <c r="N4163" s="291"/>
      <c r="O4163" s="291"/>
      <c r="P4163" s="291"/>
      <c r="Q4163" s="367"/>
      <c r="R4163" s="367"/>
      <c r="S4163" s="364"/>
      <c r="Z4163" s="609" t="s">
        <v>4068</v>
      </c>
      <c r="AA4163" s="609" t="s">
        <v>5688</v>
      </c>
    </row>
    <row r="4164" spans="1:27" ht="18">
      <c r="A4164" s="2712"/>
      <c r="B4164" s="371">
        <v>103</v>
      </c>
      <c r="C4164" s="371" t="s">
        <v>2791</v>
      </c>
      <c r="D4164" s="2714">
        <f t="shared" si="467"/>
        <v>1</v>
      </c>
      <c r="E4164" s="2719">
        <v>1</v>
      </c>
      <c r="F4164" s="294"/>
      <c r="G4164" s="1624" t="s">
        <v>3081</v>
      </c>
      <c r="H4164" s="309"/>
      <c r="I4164" s="360"/>
      <c r="J4164" s="346"/>
      <c r="K4164" s="291"/>
      <c r="L4164" s="291"/>
      <c r="M4164" s="291"/>
      <c r="N4164" s="291"/>
      <c r="O4164" s="291"/>
      <c r="P4164" s="291"/>
      <c r="Q4164" s="367"/>
      <c r="R4164" s="367"/>
      <c r="S4164" s="364"/>
      <c r="Z4164" s="609" t="s">
        <v>4068</v>
      </c>
      <c r="AA4164" s="609" t="s">
        <v>5688</v>
      </c>
    </row>
    <row r="4165" spans="1:27" ht="18">
      <c r="A4165" s="2712"/>
      <c r="B4165" s="371">
        <v>104</v>
      </c>
      <c r="C4165" s="371" t="s">
        <v>2791</v>
      </c>
      <c r="D4165" s="2714">
        <f t="shared" si="467"/>
        <v>0</v>
      </c>
      <c r="E4165" s="2719">
        <v>1</v>
      </c>
      <c r="F4165" s="294"/>
      <c r="G4165" s="1624" t="s">
        <v>2792</v>
      </c>
      <c r="H4165" s="309"/>
      <c r="I4165" s="360"/>
      <c r="J4165" s="346"/>
      <c r="K4165" s="291"/>
      <c r="L4165" s="291"/>
      <c r="M4165" s="291"/>
      <c r="N4165" s="291"/>
      <c r="O4165" s="291"/>
      <c r="P4165" s="291"/>
      <c r="Q4165" s="367"/>
      <c r="R4165" s="367"/>
      <c r="S4165" s="364"/>
      <c r="Z4165" s="609" t="s">
        <v>4068</v>
      </c>
      <c r="AA4165" s="609" t="s">
        <v>5688</v>
      </c>
    </row>
    <row r="4166" spans="1:27" ht="18">
      <c r="A4166" s="2712"/>
      <c r="B4166" s="371">
        <v>105</v>
      </c>
      <c r="C4166" s="371" t="s">
        <v>2791</v>
      </c>
      <c r="D4166" s="2714">
        <f t="shared" si="467"/>
        <v>0</v>
      </c>
      <c r="E4166" s="2719">
        <v>1</v>
      </c>
      <c r="F4166" s="294"/>
      <c r="G4166" s="1624" t="s">
        <v>2792</v>
      </c>
      <c r="H4166" s="309"/>
      <c r="I4166" s="360"/>
      <c r="J4166" s="346"/>
      <c r="K4166" s="291"/>
      <c r="L4166" s="291"/>
      <c r="M4166" s="291"/>
      <c r="N4166" s="291"/>
      <c r="O4166" s="291"/>
      <c r="P4166" s="291"/>
      <c r="Q4166" s="367"/>
      <c r="R4166" s="367"/>
      <c r="S4166" s="364"/>
      <c r="Z4166" s="609" t="s">
        <v>4068</v>
      </c>
      <c r="AA4166" s="609" t="s">
        <v>5688</v>
      </c>
    </row>
    <row r="4167" spans="1:27" ht="18.75" thickBot="1">
      <c r="A4167" s="2712"/>
      <c r="B4167" s="371"/>
      <c r="C4167" s="371"/>
      <c r="D4167" s="2714">
        <f t="shared" si="467"/>
        <v>1</v>
      </c>
      <c r="E4167" s="2719" t="s">
        <v>3032</v>
      </c>
      <c r="F4167" s="294"/>
      <c r="G4167" s="1527" t="s">
        <v>2752</v>
      </c>
      <c r="H4167" s="1523"/>
      <c r="I4167" s="1524"/>
      <c r="J4167" s="1526">
        <f>SUMPRODUCT($E4161:$E4166,J4161:J4166)</f>
        <v>0</v>
      </c>
      <c r="K4167" s="291"/>
      <c r="L4167" s="291"/>
      <c r="M4167" s="291"/>
      <c r="N4167" s="291"/>
      <c r="O4167" s="291"/>
      <c r="P4167" s="291"/>
      <c r="Q4167" s="367"/>
      <c r="R4167" s="367"/>
      <c r="S4167" s="364"/>
      <c r="Z4167" s="609" t="s">
        <v>4068</v>
      </c>
      <c r="AA4167" s="609" t="s">
        <v>5688</v>
      </c>
    </row>
    <row r="4168" spans="1:27" ht="18">
      <c r="A4168" s="2712"/>
      <c r="B4168" s="371"/>
      <c r="C4168" s="371" t="s">
        <v>2755</v>
      </c>
      <c r="D4168" s="371"/>
      <c r="F4168" s="294"/>
      <c r="G4168" s="301"/>
      <c r="H4168" s="315"/>
      <c r="I4168" s="393"/>
      <c r="J4168" s="315"/>
      <c r="K4168" s="291"/>
      <c r="L4168" s="291"/>
      <c r="M4168" s="291"/>
      <c r="N4168" s="291"/>
      <c r="O4168" s="291"/>
      <c r="P4168" s="291"/>
      <c r="Q4168" s="367"/>
      <c r="R4168" s="367"/>
      <c r="S4168" s="364"/>
      <c r="Z4168" s="609" t="s">
        <v>4068</v>
      </c>
      <c r="AA4168" s="609" t="s">
        <v>5688</v>
      </c>
    </row>
    <row r="4169" spans="1:27" ht="18">
      <c r="A4169" s="2712">
        <v>2715</v>
      </c>
      <c r="B4169" s="371">
        <v>49</v>
      </c>
      <c r="C4169" s="2714" t="str">
        <f>VLOOKUP($A4169,Sheet_Items,2,0)</f>
        <v>长期应付职工薪酬</v>
      </c>
      <c r="D4169" s="371"/>
      <c r="E4169" s="2714" t="s">
        <v>2739</v>
      </c>
      <c r="F4169" s="294"/>
      <c r="G4169" s="535" t="str">
        <f>B4169&amp;" "&amp;C4169</f>
        <v>49 长期应付职工薪酬</v>
      </c>
      <c r="H4169" s="306"/>
      <c r="I4169" s="306"/>
      <c r="J4169" s="306" t="s">
        <v>2740</v>
      </c>
      <c r="K4169" s="341">
        <f>VLOOKUP($A4169,Sheet_Trialbal,6,0)</f>
        <v>0</v>
      </c>
      <c r="L4169" s="342"/>
      <c r="M4169" s="306" t="s">
        <v>2741</v>
      </c>
      <c r="N4169" s="341">
        <f>VLOOKUP($A4169,Sheet_Trialbal,10,0)</f>
        <v>0</v>
      </c>
      <c r="O4169" s="306"/>
      <c r="P4169" s="301"/>
      <c r="S4169" s="364"/>
      <c r="Z4169" s="609" t="s">
        <v>4073</v>
      </c>
      <c r="AA4169" s="609" t="s">
        <v>5689</v>
      </c>
    </row>
    <row r="4170" spans="1:27" ht="18">
      <c r="A4170" s="2712" t="s">
        <v>1707</v>
      </c>
      <c r="B4170" s="371">
        <v>1</v>
      </c>
      <c r="C4170" s="371"/>
      <c r="D4170" s="2714" t="str">
        <f>VLOOKUP($A4170,Sheet_NoteList,2,0)</f>
        <v>长期应付职工薪酬明细</v>
      </c>
      <c r="E4170" s="2714" t="s">
        <v>2742</v>
      </c>
      <c r="F4170" s="294"/>
      <c r="G4170" s="307" t="str">
        <f>"("&amp;B4170&amp;")"&amp;D4170</f>
        <v>(1)长期应付职工薪酬明细</v>
      </c>
      <c r="H4170" s="1515" t="str">
        <f>$A4170</f>
        <v>2715a</v>
      </c>
      <c r="I4170" s="343" t="s">
        <v>2743</v>
      </c>
      <c r="J4170" s="301" t="s">
        <v>2744</v>
      </c>
      <c r="K4170" s="2208">
        <f>H4178</f>
        <v>0</v>
      </c>
      <c r="L4170" s="345" t="str">
        <f>IF($I4170="适用",IF(ROUND(K4169-K4170,2)=0,"F/S",ROUND(K4169-K4170,2)),"#N/A")</f>
        <v>F/S</v>
      </c>
      <c r="M4170" s="301" t="s">
        <v>2745</v>
      </c>
      <c r="N4170" s="2208">
        <f>I4178</f>
        <v>0</v>
      </c>
      <c r="O4170" s="345" t="str">
        <f>IF($I4170="适用",IF(ROUND(N4169-N4170,2)=0,"F/S",ROUND(N4169-N4170,2)),"#N/A")</f>
        <v>F/S</v>
      </c>
      <c r="P4170" s="301"/>
      <c r="Q4170" s="290" t="str">
        <f>IF($I4170="不适用","",IF(ROUND(SUM($H$4173:$I$4178),2)=0,"请输入",""))</f>
        <v>请输入</v>
      </c>
      <c r="S4170" s="364"/>
      <c r="Z4170" s="609" t="s">
        <v>4073</v>
      </c>
      <c r="AA4170" s="609" t="s">
        <v>5689</v>
      </c>
    </row>
    <row r="4171" spans="1:27" ht="0.75" customHeight="1" thickBot="1">
      <c r="A4171" s="2712"/>
      <c r="B4171" s="371"/>
      <c r="C4171" s="371"/>
      <c r="D4171" s="371"/>
      <c r="E4171" s="586"/>
      <c r="F4171" s="518"/>
      <c r="G4171" s="518" t="s">
        <v>4074</v>
      </c>
      <c r="H4171" s="304" t="s">
        <v>2747</v>
      </c>
      <c r="I4171" s="304" t="s">
        <v>2748</v>
      </c>
      <c r="N4171" s="291"/>
      <c r="O4171" s="291"/>
      <c r="P4171" s="291"/>
      <c r="Q4171" s="367"/>
      <c r="R4171" s="367"/>
      <c r="S4171" s="364"/>
      <c r="Z4171" s="609" t="s">
        <v>4073</v>
      </c>
      <c r="AA4171" s="609" t="s">
        <v>5689</v>
      </c>
    </row>
    <row r="4172" spans="1:27" ht="18">
      <c r="A4172" s="2712"/>
      <c r="B4172" s="371"/>
      <c r="C4172" s="371"/>
      <c r="D4172" s="371"/>
      <c r="E4172" s="586" t="s">
        <v>2749</v>
      </c>
      <c r="F4172" s="363"/>
      <c r="G4172" s="2409" t="s">
        <v>47</v>
      </c>
      <c r="H4172" s="2223" t="str">
        <f>$V$2</f>
        <v>2019年12月31日</v>
      </c>
      <c r="I4172" s="2224" t="str">
        <f>$V$3</f>
        <v>2018年12月31日</v>
      </c>
      <c r="J4172" s="355" t="s">
        <v>5312</v>
      </c>
      <c r="N4172" s="291"/>
      <c r="O4172" s="291"/>
      <c r="P4172" s="291"/>
      <c r="Q4172" s="367"/>
      <c r="R4172" s="367"/>
      <c r="S4172" s="364"/>
      <c r="Z4172" s="609" t="s">
        <v>4073</v>
      </c>
      <c r="AA4172" s="609" t="s">
        <v>5689</v>
      </c>
    </row>
    <row r="4173" spans="1:27" ht="24">
      <c r="A4173" s="2712"/>
      <c r="B4173" s="371">
        <v>101</v>
      </c>
      <c r="C4173" s="371"/>
      <c r="D4173" s="2714">
        <f t="shared" ref="D4173:D4178" si="468">IF(OR(G4173="*",G4173="",G4173=0),0,COUNTIF($G$4173:$G$4178,G4173))</f>
        <v>1</v>
      </c>
      <c r="E4173" s="2719">
        <v>1</v>
      </c>
      <c r="F4173" s="294"/>
      <c r="G4173" s="1472" t="s">
        <v>4075</v>
      </c>
      <c r="H4173" s="2273"/>
      <c r="I4173" s="2294"/>
      <c r="N4173" s="291"/>
      <c r="O4173" s="291"/>
      <c r="P4173" s="291"/>
      <c r="Q4173" s="367"/>
      <c r="R4173" s="367"/>
      <c r="S4173" s="364"/>
      <c r="Z4173" s="609" t="s">
        <v>4073</v>
      </c>
      <c r="AA4173" s="609" t="s">
        <v>5689</v>
      </c>
    </row>
    <row r="4174" spans="1:27" ht="18">
      <c r="A4174" s="2712"/>
      <c r="B4174" s="371">
        <v>102</v>
      </c>
      <c r="C4174" s="371"/>
      <c r="D4174" s="2714">
        <f t="shared" si="468"/>
        <v>1</v>
      </c>
      <c r="E4174" s="2719">
        <v>1</v>
      </c>
      <c r="F4174" s="294"/>
      <c r="G4174" s="1472" t="s">
        <v>4076</v>
      </c>
      <c r="H4174" s="2273"/>
      <c r="I4174" s="2294"/>
      <c r="N4174" s="291"/>
      <c r="O4174" s="291"/>
      <c r="P4174" s="291"/>
      <c r="Q4174" s="367"/>
      <c r="R4174" s="367"/>
      <c r="S4174" s="364"/>
      <c r="Z4174" s="609" t="s">
        <v>4073</v>
      </c>
      <c r="AA4174" s="609" t="s">
        <v>5689</v>
      </c>
    </row>
    <row r="4175" spans="1:27" ht="18">
      <c r="A4175" s="2712"/>
      <c r="B4175" s="371">
        <v>103</v>
      </c>
      <c r="C4175" s="371"/>
      <c r="D4175" s="2714">
        <f t="shared" si="468"/>
        <v>1</v>
      </c>
      <c r="E4175" s="2719">
        <v>1</v>
      </c>
      <c r="F4175" s="294"/>
      <c r="G4175" s="1472" t="s">
        <v>4077</v>
      </c>
      <c r="H4175" s="2273"/>
      <c r="I4175" s="2294"/>
      <c r="N4175" s="291"/>
      <c r="O4175" s="291"/>
      <c r="P4175" s="291"/>
      <c r="Q4175" s="367"/>
      <c r="R4175" s="367"/>
      <c r="S4175" s="364"/>
      <c r="Z4175" s="609" t="s">
        <v>4073</v>
      </c>
      <c r="AA4175" s="609" t="s">
        <v>5689</v>
      </c>
    </row>
    <row r="4176" spans="1:27" ht="18">
      <c r="A4176" s="2712"/>
      <c r="B4176" s="371">
        <v>104</v>
      </c>
      <c r="C4176" s="371" t="s">
        <v>2791</v>
      </c>
      <c r="D4176" s="2714">
        <f t="shared" si="468"/>
        <v>0</v>
      </c>
      <c r="E4176" s="2719">
        <v>1</v>
      </c>
      <c r="F4176" s="294"/>
      <c r="G4176" s="2416" t="s">
        <v>2792</v>
      </c>
      <c r="H4176" s="2273"/>
      <c r="I4176" s="2294"/>
      <c r="N4176" s="291"/>
      <c r="O4176" s="291"/>
      <c r="P4176" s="291"/>
      <c r="Q4176" s="367"/>
      <c r="R4176" s="367"/>
      <c r="S4176" s="364"/>
      <c r="Z4176" s="609" t="s">
        <v>4073</v>
      </c>
      <c r="AA4176" s="609" t="s">
        <v>5689</v>
      </c>
    </row>
    <row r="4177" spans="1:27" ht="18">
      <c r="A4177" s="2712"/>
      <c r="B4177" s="371">
        <v>105</v>
      </c>
      <c r="C4177" s="371" t="s">
        <v>2791</v>
      </c>
      <c r="D4177" s="2714">
        <f t="shared" si="468"/>
        <v>0</v>
      </c>
      <c r="E4177" s="2719">
        <v>1</v>
      </c>
      <c r="F4177" s="294"/>
      <c r="G4177" s="2416" t="s">
        <v>2792</v>
      </c>
      <c r="H4177" s="2273"/>
      <c r="I4177" s="2294"/>
      <c r="N4177" s="291"/>
      <c r="O4177" s="291"/>
      <c r="P4177" s="291"/>
      <c r="Q4177" s="367"/>
      <c r="R4177" s="367"/>
      <c r="S4177" s="364"/>
      <c r="Z4177" s="609" t="s">
        <v>4073</v>
      </c>
      <c r="AA4177" s="609" t="s">
        <v>5689</v>
      </c>
    </row>
    <row r="4178" spans="1:27" ht="18.75" thickBot="1">
      <c r="A4178" s="2712"/>
      <c r="B4178" s="371"/>
      <c r="C4178" s="371"/>
      <c r="D4178" s="2714">
        <f t="shared" si="468"/>
        <v>1</v>
      </c>
      <c r="E4178" s="2719" t="s">
        <v>2751</v>
      </c>
      <c r="F4178" s="294"/>
      <c r="G4178" s="374" t="s">
        <v>2752</v>
      </c>
      <c r="H4178" s="1476">
        <f>SUMPRODUCT($E4172:$E4177,H4172:H4177)</f>
        <v>0</v>
      </c>
      <c r="I4178" s="1477">
        <f>SUMPRODUCT($E4172:$E4177,I4172:I4177)</f>
        <v>0</v>
      </c>
      <c r="N4178" s="291"/>
      <c r="O4178" s="291"/>
      <c r="P4178" s="291"/>
      <c r="Q4178" s="367"/>
      <c r="R4178" s="367"/>
      <c r="S4178" s="364"/>
      <c r="Z4178" s="609" t="s">
        <v>4073</v>
      </c>
      <c r="AA4178" s="609" t="s">
        <v>5689</v>
      </c>
    </row>
    <row r="4179" spans="1:27" ht="18">
      <c r="A4179" s="2712"/>
      <c r="B4179" s="371"/>
      <c r="C4179" s="371" t="s">
        <v>2755</v>
      </c>
      <c r="D4179" s="371"/>
      <c r="F4179" s="294"/>
      <c r="G4179" s="301"/>
      <c r="H4179" s="315"/>
      <c r="I4179" s="315"/>
      <c r="J4179" s="349"/>
      <c r="K4179" s="349"/>
      <c r="L4179" s="315"/>
      <c r="M4179" s="393"/>
      <c r="N4179" s="291"/>
      <c r="O4179" s="291"/>
      <c r="P4179" s="291"/>
      <c r="Q4179" s="367"/>
      <c r="R4179" s="367"/>
      <c r="S4179" s="364"/>
      <c r="Z4179" s="609" t="s">
        <v>4073</v>
      </c>
      <c r="AA4179" s="609" t="s">
        <v>5689</v>
      </c>
    </row>
    <row r="4180" spans="1:27" ht="36">
      <c r="A4180" s="2712" t="s">
        <v>1712</v>
      </c>
      <c r="B4180" s="371">
        <v>2.1</v>
      </c>
      <c r="C4180" s="371"/>
      <c r="D4180" s="2714" t="str">
        <f>VLOOKUP($A4180,Sheet_NoteList,2,0)</f>
        <v>设定受益计划变动情况（设定受益计划义务现值）</v>
      </c>
      <c r="E4180" s="2714" t="s">
        <v>2742</v>
      </c>
      <c r="F4180" s="294"/>
      <c r="G4180" s="372" t="str">
        <f>"("&amp;B4180&amp;")"&amp;D4180</f>
        <v>(2.1)设定受益计划变动情况（设定受益计划义务现值）</v>
      </c>
      <c r="H4180" s="1515" t="str">
        <f>$A4180</f>
        <v>2715b</v>
      </c>
      <c r="I4180" s="343" t="s">
        <v>2743</v>
      </c>
      <c r="J4180" s="301"/>
      <c r="K4180" s="391"/>
      <c r="L4180" s="345"/>
      <c r="M4180" s="301"/>
      <c r="N4180" s="391"/>
      <c r="O4180" s="345"/>
      <c r="P4180" s="301"/>
      <c r="S4180" s="364"/>
      <c r="Z4180" s="609" t="s">
        <v>4073</v>
      </c>
      <c r="AA4180" s="609" t="s">
        <v>5689</v>
      </c>
    </row>
    <row r="4181" spans="1:27" ht="0.75" customHeight="1" thickBot="1">
      <c r="A4181" s="2712"/>
      <c r="B4181" s="371"/>
      <c r="C4181" s="371"/>
      <c r="D4181" s="371"/>
      <c r="E4181" s="586"/>
      <c r="F4181" s="518"/>
      <c r="G4181" s="518" t="s">
        <v>4078</v>
      </c>
      <c r="H4181" s="304" t="s">
        <v>3472</v>
      </c>
      <c r="I4181" s="304" t="s">
        <v>3473</v>
      </c>
      <c r="J4181" s="291"/>
      <c r="K4181" s="291"/>
      <c r="L4181" s="291"/>
      <c r="M4181" s="291"/>
      <c r="S4181" s="364"/>
      <c r="Z4181" s="609" t="s">
        <v>4073</v>
      </c>
      <c r="AA4181" s="609" t="s">
        <v>5689</v>
      </c>
    </row>
    <row r="4182" spans="1:27" ht="18">
      <c r="A4182" s="2712"/>
      <c r="B4182" s="371"/>
      <c r="C4182" s="371"/>
      <c r="D4182" s="371"/>
      <c r="E4182" s="586" t="s">
        <v>2749</v>
      </c>
      <c r="F4182" s="363"/>
      <c r="G4182" s="2408" t="s">
        <v>47</v>
      </c>
      <c r="H4182" s="2230" t="str">
        <f>$V$4</f>
        <v>2019年度</v>
      </c>
      <c r="I4182" s="2231" t="str">
        <f>$V$5</f>
        <v>2018年度</v>
      </c>
      <c r="J4182" s="355" t="s">
        <v>5312</v>
      </c>
      <c r="K4182" s="291"/>
      <c r="L4182" s="291"/>
      <c r="M4182" s="291"/>
      <c r="S4182" s="364"/>
      <c r="Z4182" s="609" t="s">
        <v>4073</v>
      </c>
      <c r="AA4182" s="609" t="s">
        <v>5689</v>
      </c>
    </row>
    <row r="4183" spans="1:27" ht="18">
      <c r="A4183" s="2712"/>
      <c r="B4183" s="371">
        <v>101</v>
      </c>
      <c r="C4183" s="371"/>
      <c r="D4183" s="2714">
        <f t="shared" ref="D4183:D4198" si="469">IF(OR(G4183="*",G4183="",G4183=0),0,COUNTIF($G$4183:$G$4198,G4183))</f>
        <v>1</v>
      </c>
      <c r="E4183" s="2719">
        <v>1</v>
      </c>
      <c r="F4183" s="294"/>
      <c r="G4183" s="1472" t="s">
        <v>3474</v>
      </c>
      <c r="H4183" s="2273"/>
      <c r="I4183" s="2294"/>
      <c r="J4183" s="291"/>
      <c r="K4183" s="291"/>
      <c r="L4183" s="291"/>
      <c r="M4183" s="291"/>
      <c r="S4183" s="364"/>
      <c r="Z4183" s="609" t="s">
        <v>4073</v>
      </c>
      <c r="AA4183" s="609" t="s">
        <v>5689</v>
      </c>
    </row>
    <row r="4184" spans="1:27" ht="24">
      <c r="A4184" s="2712"/>
      <c r="B4184" s="371">
        <v>102</v>
      </c>
      <c r="C4184" s="371"/>
      <c r="D4184" s="2714">
        <f t="shared" si="469"/>
        <v>1</v>
      </c>
      <c r="E4184" s="2719">
        <v>1</v>
      </c>
      <c r="F4184" s="294"/>
      <c r="G4184" s="1472" t="s">
        <v>3475</v>
      </c>
      <c r="H4184" s="2273"/>
      <c r="I4184" s="2294"/>
      <c r="J4184" s="355"/>
      <c r="K4184" s="291"/>
      <c r="L4184" s="291"/>
      <c r="M4184" s="291"/>
      <c r="S4184" s="364"/>
      <c r="Z4184" s="609" t="s">
        <v>4073</v>
      </c>
      <c r="AA4184" s="609" t="s">
        <v>5689</v>
      </c>
    </row>
    <row r="4185" spans="1:27" ht="18">
      <c r="A4185" s="2712"/>
      <c r="B4185" s="371">
        <v>103</v>
      </c>
      <c r="C4185" s="371"/>
      <c r="D4185" s="2714">
        <f t="shared" si="469"/>
        <v>1</v>
      </c>
      <c r="E4185" s="2719">
        <v>1</v>
      </c>
      <c r="F4185" s="294"/>
      <c r="G4185" s="1472" t="s">
        <v>4079</v>
      </c>
      <c r="H4185" s="2273"/>
      <c r="I4185" s="2294"/>
      <c r="J4185" s="291"/>
      <c r="K4185" s="291"/>
      <c r="L4185" s="291"/>
      <c r="M4185" s="291"/>
      <c r="S4185" s="364"/>
      <c r="Z4185" s="609" t="s">
        <v>4073</v>
      </c>
      <c r="AA4185" s="609" t="s">
        <v>5689</v>
      </c>
    </row>
    <row r="4186" spans="1:27" ht="18">
      <c r="A4186" s="2712"/>
      <c r="B4186" s="371">
        <v>104</v>
      </c>
      <c r="C4186" s="371"/>
      <c r="D4186" s="2714">
        <f t="shared" si="469"/>
        <v>1</v>
      </c>
      <c r="E4186" s="2719">
        <v>1</v>
      </c>
      <c r="F4186" s="294"/>
      <c r="G4186" s="1472" t="s">
        <v>4080</v>
      </c>
      <c r="H4186" s="2273"/>
      <c r="I4186" s="2294"/>
      <c r="J4186" s="291"/>
      <c r="K4186" s="291"/>
      <c r="L4186" s="291"/>
      <c r="M4186" s="291"/>
      <c r="S4186" s="364"/>
      <c r="Z4186" s="609" t="s">
        <v>4073</v>
      </c>
      <c r="AA4186" s="609" t="s">
        <v>5689</v>
      </c>
    </row>
    <row r="4187" spans="1:27" ht="24">
      <c r="A4187" s="2712"/>
      <c r="B4187" s="371">
        <v>105</v>
      </c>
      <c r="C4187" s="371"/>
      <c r="D4187" s="2714">
        <f t="shared" si="469"/>
        <v>1</v>
      </c>
      <c r="E4187" s="2719">
        <v>1</v>
      </c>
      <c r="F4187" s="294"/>
      <c r="G4187" s="1472" t="s">
        <v>4081</v>
      </c>
      <c r="H4187" s="2273"/>
      <c r="I4187" s="2294"/>
      <c r="J4187" s="291"/>
      <c r="K4187" s="291"/>
      <c r="L4187" s="291"/>
      <c r="M4187" s="291"/>
      <c r="S4187" s="364"/>
      <c r="Z4187" s="609" t="s">
        <v>4073</v>
      </c>
      <c r="AA4187" s="609" t="s">
        <v>5689</v>
      </c>
    </row>
    <row r="4188" spans="1:27" ht="18">
      <c r="A4188" s="2712"/>
      <c r="B4188" s="371">
        <v>106</v>
      </c>
      <c r="C4188" s="371"/>
      <c r="D4188" s="2714">
        <f t="shared" si="469"/>
        <v>1</v>
      </c>
      <c r="E4188" s="2719">
        <v>1</v>
      </c>
      <c r="F4188" s="294"/>
      <c r="G4188" s="1472" t="s">
        <v>4082</v>
      </c>
      <c r="H4188" s="2273"/>
      <c r="I4188" s="2294"/>
      <c r="J4188" s="291"/>
      <c r="K4188" s="291"/>
      <c r="L4188" s="291"/>
      <c r="M4188" s="291"/>
      <c r="S4188" s="364"/>
      <c r="Z4188" s="609" t="s">
        <v>4073</v>
      </c>
      <c r="AA4188" s="609" t="s">
        <v>5689</v>
      </c>
    </row>
    <row r="4189" spans="1:27" ht="18">
      <c r="A4189" s="2712"/>
      <c r="B4189" s="371">
        <v>107</v>
      </c>
      <c r="C4189" s="371" t="s">
        <v>2791</v>
      </c>
      <c r="D4189" s="2714">
        <f t="shared" si="469"/>
        <v>0</v>
      </c>
      <c r="E4189" s="2719">
        <v>1</v>
      </c>
      <c r="F4189" s="294"/>
      <c r="G4189" s="2416" t="s">
        <v>2792</v>
      </c>
      <c r="H4189" s="2273"/>
      <c r="I4189" s="2294"/>
      <c r="J4189" s="291"/>
      <c r="K4189" s="291"/>
      <c r="L4189" s="291"/>
      <c r="M4189" s="291"/>
      <c r="S4189" s="364"/>
      <c r="Z4189" s="609" t="s">
        <v>4073</v>
      </c>
      <c r="AA4189" s="609" t="s">
        <v>5689</v>
      </c>
    </row>
    <row r="4190" spans="1:27" ht="24">
      <c r="A4190" s="2712"/>
      <c r="B4190" s="371">
        <v>108</v>
      </c>
      <c r="C4190" s="371"/>
      <c r="D4190" s="2714">
        <f t="shared" si="469"/>
        <v>1</v>
      </c>
      <c r="E4190" s="2719">
        <v>1</v>
      </c>
      <c r="F4190" s="294"/>
      <c r="G4190" s="1472" t="s">
        <v>3476</v>
      </c>
      <c r="H4190" s="2273"/>
      <c r="I4190" s="2294"/>
      <c r="J4190" s="355"/>
      <c r="K4190" s="291"/>
      <c r="L4190" s="291"/>
      <c r="M4190" s="291"/>
      <c r="S4190" s="364"/>
      <c r="Z4190" s="609" t="s">
        <v>4073</v>
      </c>
      <c r="AA4190" s="609" t="s">
        <v>5689</v>
      </c>
    </row>
    <row r="4191" spans="1:27" ht="24">
      <c r="A4191" s="2712"/>
      <c r="B4191" s="371">
        <v>109</v>
      </c>
      <c r="C4191" s="371"/>
      <c r="D4191" s="2714">
        <f t="shared" si="469"/>
        <v>1</v>
      </c>
      <c r="E4191" s="2719">
        <v>1</v>
      </c>
      <c r="F4191" s="294"/>
      <c r="G4191" s="1472" t="s">
        <v>4083</v>
      </c>
      <c r="H4191" s="2273"/>
      <c r="I4191" s="2294"/>
      <c r="J4191" s="291"/>
      <c r="K4191" s="291"/>
      <c r="L4191" s="291"/>
      <c r="M4191" s="291"/>
      <c r="S4191" s="364"/>
      <c r="Z4191" s="609" t="s">
        <v>4073</v>
      </c>
      <c r="AA4191" s="609" t="s">
        <v>5689</v>
      </c>
    </row>
    <row r="4192" spans="1:27" ht="18">
      <c r="A4192" s="2712"/>
      <c r="B4192" s="371">
        <v>110</v>
      </c>
      <c r="C4192" s="371" t="s">
        <v>2791</v>
      </c>
      <c r="D4192" s="2714">
        <f t="shared" si="469"/>
        <v>0</v>
      </c>
      <c r="E4192" s="2719">
        <v>1</v>
      </c>
      <c r="F4192" s="294"/>
      <c r="G4192" s="2416" t="s">
        <v>2792</v>
      </c>
      <c r="H4192" s="2273"/>
      <c r="I4192" s="2294"/>
      <c r="J4192" s="291"/>
      <c r="K4192" s="291"/>
      <c r="L4192" s="291"/>
      <c r="M4192" s="291"/>
      <c r="S4192" s="364"/>
      <c r="Z4192" s="609" t="s">
        <v>4073</v>
      </c>
      <c r="AA4192" s="609" t="s">
        <v>5689</v>
      </c>
    </row>
    <row r="4193" spans="1:27" ht="18">
      <c r="A4193" s="2712"/>
      <c r="B4193" s="371">
        <v>111</v>
      </c>
      <c r="C4193" s="371"/>
      <c r="D4193" s="2714">
        <f t="shared" si="469"/>
        <v>1</v>
      </c>
      <c r="E4193" s="2719">
        <v>1</v>
      </c>
      <c r="F4193" s="294"/>
      <c r="G4193" s="1472" t="s">
        <v>3477</v>
      </c>
      <c r="H4193" s="2273"/>
      <c r="I4193" s="2294"/>
      <c r="J4193" s="355"/>
      <c r="K4193" s="291"/>
      <c r="L4193" s="291"/>
      <c r="M4193" s="291"/>
      <c r="S4193" s="364"/>
      <c r="Z4193" s="609" t="s">
        <v>4073</v>
      </c>
      <c r="AA4193" s="609" t="s">
        <v>5689</v>
      </c>
    </row>
    <row r="4194" spans="1:27" ht="18">
      <c r="A4194" s="2712"/>
      <c r="B4194" s="371">
        <v>112</v>
      </c>
      <c r="C4194" s="371"/>
      <c r="D4194" s="2714">
        <f t="shared" si="469"/>
        <v>1</v>
      </c>
      <c r="E4194" s="2719">
        <v>1</v>
      </c>
      <c r="F4194" s="294"/>
      <c r="G4194" s="1472" t="s">
        <v>4084</v>
      </c>
      <c r="H4194" s="2273"/>
      <c r="I4194" s="2294"/>
      <c r="J4194" s="291"/>
      <c r="K4194" s="291"/>
      <c r="L4194" s="291"/>
      <c r="M4194" s="291"/>
      <c r="S4194" s="364"/>
      <c r="Z4194" s="609" t="s">
        <v>4073</v>
      </c>
      <c r="AA4194" s="609" t="s">
        <v>5689</v>
      </c>
    </row>
    <row r="4195" spans="1:27" ht="18">
      <c r="A4195" s="2712"/>
      <c r="B4195" s="371">
        <v>113</v>
      </c>
      <c r="C4195" s="371"/>
      <c r="D4195" s="2714">
        <f t="shared" si="469"/>
        <v>1</v>
      </c>
      <c r="E4195" s="2719">
        <v>1</v>
      </c>
      <c r="F4195" s="294"/>
      <c r="G4195" s="1472" t="s">
        <v>4085</v>
      </c>
      <c r="H4195" s="2273"/>
      <c r="I4195" s="2294"/>
      <c r="J4195" s="291"/>
      <c r="K4195" s="291"/>
      <c r="L4195" s="291"/>
      <c r="M4195" s="291"/>
      <c r="S4195" s="364"/>
      <c r="Z4195" s="609" t="s">
        <v>4073</v>
      </c>
      <c r="AA4195" s="609" t="s">
        <v>5689</v>
      </c>
    </row>
    <row r="4196" spans="1:27" ht="18">
      <c r="A4196" s="2712"/>
      <c r="B4196" s="371">
        <v>114</v>
      </c>
      <c r="C4196" s="371" t="s">
        <v>2791</v>
      </c>
      <c r="D4196" s="2714">
        <f t="shared" si="469"/>
        <v>0</v>
      </c>
      <c r="E4196" s="2719">
        <v>1</v>
      </c>
      <c r="F4196" s="294"/>
      <c r="G4196" s="2416" t="s">
        <v>2792</v>
      </c>
      <c r="H4196" s="2273"/>
      <c r="I4196" s="2294"/>
      <c r="J4196" s="291"/>
      <c r="K4196" s="291"/>
      <c r="L4196" s="291"/>
      <c r="M4196" s="291"/>
      <c r="S4196" s="364"/>
      <c r="Z4196" s="609" t="s">
        <v>4073</v>
      </c>
      <c r="AA4196" s="609" t="s">
        <v>5689</v>
      </c>
    </row>
    <row r="4197" spans="1:27" ht="18">
      <c r="A4197" s="2712"/>
      <c r="B4197" s="371">
        <v>115</v>
      </c>
      <c r="C4197" s="371" t="s">
        <v>2791</v>
      </c>
      <c r="D4197" s="2714">
        <f t="shared" si="469"/>
        <v>0</v>
      </c>
      <c r="E4197" s="2719">
        <v>1</v>
      </c>
      <c r="F4197" s="294"/>
      <c r="G4197" s="2416" t="s">
        <v>2792</v>
      </c>
      <c r="H4197" s="2273"/>
      <c r="I4197" s="2294"/>
      <c r="J4197" s="291"/>
      <c r="K4197" s="291"/>
      <c r="L4197" s="291"/>
      <c r="M4197" s="291"/>
      <c r="S4197" s="364"/>
      <c r="Z4197" s="609" t="s">
        <v>4073</v>
      </c>
      <c r="AA4197" s="609" t="s">
        <v>5689</v>
      </c>
    </row>
    <row r="4198" spans="1:27" ht="18.75" thickBot="1">
      <c r="A4198" s="2712"/>
      <c r="B4198" s="371"/>
      <c r="C4198" s="371"/>
      <c r="D4198" s="2714">
        <f t="shared" si="469"/>
        <v>1</v>
      </c>
      <c r="E4198" s="2719" t="s">
        <v>2751</v>
      </c>
      <c r="F4198" s="294"/>
      <c r="G4198" s="2232" t="s">
        <v>3478</v>
      </c>
      <c r="H4198" s="2428"/>
      <c r="I4198" s="2429"/>
      <c r="J4198" s="355" t="s">
        <v>6072</v>
      </c>
      <c r="K4198" s="291"/>
      <c r="L4198" s="291"/>
      <c r="M4198" s="291"/>
      <c r="S4198" s="364"/>
      <c r="Z4198" s="609" t="s">
        <v>4073</v>
      </c>
      <c r="AA4198" s="609" t="s">
        <v>5689</v>
      </c>
    </row>
    <row r="4199" spans="1:27" ht="18">
      <c r="A4199" s="2712"/>
      <c r="B4199" s="371"/>
      <c r="C4199" s="371" t="s">
        <v>2755</v>
      </c>
      <c r="D4199" s="371"/>
      <c r="F4199" s="294"/>
      <c r="G4199" s="557"/>
      <c r="H4199" s="315"/>
      <c r="I4199" s="315"/>
      <c r="J4199" s="291"/>
      <c r="K4199" s="291"/>
      <c r="L4199" s="291"/>
      <c r="M4199" s="291"/>
      <c r="S4199" s="364"/>
      <c r="Z4199" s="609" t="s">
        <v>4073</v>
      </c>
      <c r="AA4199" s="609" t="s">
        <v>5689</v>
      </c>
    </row>
    <row r="4200" spans="1:27" ht="24">
      <c r="A4200" s="2712" t="s">
        <v>1717</v>
      </c>
      <c r="B4200" s="371">
        <v>2.2000000000000002</v>
      </c>
      <c r="C4200" s="371"/>
      <c r="D4200" s="2714" t="str">
        <f>VLOOKUP($A4200,Sheet_NoteList,2,0)</f>
        <v>设定受益计划变动情况（计划资产）</v>
      </c>
      <c r="E4200" s="2714" t="s">
        <v>2742</v>
      </c>
      <c r="F4200" s="294"/>
      <c r="G4200" s="372" t="str">
        <f>"("&amp;B4200&amp;")"&amp;D4200</f>
        <v>(2.2)设定受益计划变动情况（计划资产）</v>
      </c>
      <c r="H4200" s="1515" t="str">
        <f>$A4200</f>
        <v>2715c</v>
      </c>
      <c r="I4200" s="343" t="s">
        <v>2743</v>
      </c>
      <c r="J4200" s="301"/>
      <c r="K4200" s="391"/>
      <c r="L4200" s="345"/>
      <c r="M4200" s="301"/>
      <c r="N4200" s="391"/>
      <c r="O4200" s="345"/>
      <c r="P4200" s="301"/>
      <c r="S4200" s="364"/>
      <c r="Z4200" s="609" t="s">
        <v>4073</v>
      </c>
      <c r="AA4200" s="609" t="s">
        <v>5689</v>
      </c>
    </row>
    <row r="4201" spans="1:27" ht="0.75" customHeight="1" thickBot="1">
      <c r="A4201" s="2712"/>
      <c r="B4201" s="371"/>
      <c r="C4201" s="371"/>
      <c r="D4201" s="371"/>
      <c r="E4201" s="586"/>
      <c r="F4201" s="518"/>
      <c r="G4201" s="518" t="s">
        <v>4086</v>
      </c>
      <c r="H4201" s="304" t="s">
        <v>3472</v>
      </c>
      <c r="I4201" s="304" t="s">
        <v>3473</v>
      </c>
      <c r="J4201" s="291"/>
      <c r="K4201" s="291"/>
      <c r="L4201" s="291"/>
      <c r="M4201" s="291"/>
      <c r="S4201" s="364"/>
      <c r="Z4201" s="609" t="s">
        <v>4073</v>
      </c>
      <c r="AA4201" s="609" t="s">
        <v>5689</v>
      </c>
    </row>
    <row r="4202" spans="1:27" ht="18">
      <c r="A4202" s="2712"/>
      <c r="B4202" s="371"/>
      <c r="C4202" s="371"/>
      <c r="D4202" s="371"/>
      <c r="E4202" s="586" t="s">
        <v>2749</v>
      </c>
      <c r="F4202" s="363"/>
      <c r="G4202" s="2408" t="s">
        <v>47</v>
      </c>
      <c r="H4202" s="2430" t="str">
        <f>$V$4</f>
        <v>2019年度</v>
      </c>
      <c r="I4202" s="2431" t="str">
        <f>$V$5</f>
        <v>2018年度</v>
      </c>
      <c r="J4202" s="355" t="s">
        <v>5312</v>
      </c>
      <c r="K4202" s="291"/>
      <c r="L4202" s="291"/>
      <c r="M4202" s="291"/>
      <c r="S4202" s="364"/>
      <c r="Z4202" s="609" t="s">
        <v>4073</v>
      </c>
      <c r="AA4202" s="609" t="s">
        <v>5689</v>
      </c>
    </row>
    <row r="4203" spans="1:27" ht="18">
      <c r="A4203" s="2712"/>
      <c r="B4203" s="371">
        <v>101</v>
      </c>
      <c r="C4203" s="371"/>
      <c r="D4203" s="2714">
        <f t="shared" ref="D4203:D4213" si="470">IF(OR(G4203="*",G4203="",G4203=0),0,COUNTIF($G$4203:$G$4213,G4203))</f>
        <v>1</v>
      </c>
      <c r="E4203" s="2719">
        <v>1</v>
      </c>
      <c r="F4203" s="294"/>
      <c r="G4203" s="1472" t="s">
        <v>3474</v>
      </c>
      <c r="H4203" s="2273"/>
      <c r="I4203" s="2294"/>
      <c r="J4203" s="291"/>
      <c r="K4203" s="291"/>
      <c r="L4203" s="291"/>
      <c r="M4203" s="291"/>
      <c r="S4203" s="364"/>
      <c r="Z4203" s="609" t="s">
        <v>4073</v>
      </c>
      <c r="AA4203" s="609" t="s">
        <v>5689</v>
      </c>
    </row>
    <row r="4204" spans="1:27" ht="24">
      <c r="A4204" s="2712"/>
      <c r="B4204" s="371">
        <v>102</v>
      </c>
      <c r="C4204" s="371"/>
      <c r="D4204" s="2714">
        <f t="shared" si="470"/>
        <v>1</v>
      </c>
      <c r="E4204" s="2719">
        <v>1</v>
      </c>
      <c r="F4204" s="294"/>
      <c r="G4204" s="1472" t="s">
        <v>3475</v>
      </c>
      <c r="H4204" s="2273"/>
      <c r="I4204" s="2294"/>
      <c r="J4204" s="291"/>
      <c r="K4204" s="291"/>
      <c r="L4204" s="291"/>
      <c r="M4204" s="291"/>
      <c r="S4204" s="364"/>
      <c r="Z4204" s="609" t="s">
        <v>4073</v>
      </c>
      <c r="AA4204" s="609" t="s">
        <v>5689</v>
      </c>
    </row>
    <row r="4205" spans="1:27" ht="18">
      <c r="A4205" s="2712"/>
      <c r="B4205" s="371">
        <v>103</v>
      </c>
      <c r="C4205" s="371"/>
      <c r="D4205" s="2714">
        <f t="shared" si="470"/>
        <v>1</v>
      </c>
      <c r="E4205" s="2719">
        <v>1</v>
      </c>
      <c r="F4205" s="294"/>
      <c r="G4205" s="1472" t="s">
        <v>4087</v>
      </c>
      <c r="H4205" s="2273"/>
      <c r="I4205" s="2294"/>
      <c r="J4205" s="291"/>
      <c r="K4205" s="291"/>
      <c r="L4205" s="291"/>
      <c r="M4205" s="291"/>
      <c r="S4205" s="364"/>
      <c r="Z4205" s="609" t="s">
        <v>4073</v>
      </c>
      <c r="AA4205" s="609" t="s">
        <v>5689</v>
      </c>
    </row>
    <row r="4206" spans="1:27" ht="18">
      <c r="A4206" s="2712"/>
      <c r="B4206" s="371">
        <v>104</v>
      </c>
      <c r="C4206" s="371" t="s">
        <v>2791</v>
      </c>
      <c r="D4206" s="2714">
        <f t="shared" si="470"/>
        <v>0</v>
      </c>
      <c r="E4206" s="2719">
        <v>1</v>
      </c>
      <c r="F4206" s="294"/>
      <c r="G4206" s="2416" t="s">
        <v>2792</v>
      </c>
      <c r="H4206" s="2273"/>
      <c r="I4206" s="2294"/>
      <c r="J4206" s="291"/>
      <c r="K4206" s="291"/>
      <c r="L4206" s="291"/>
      <c r="M4206" s="291"/>
      <c r="S4206" s="364"/>
      <c r="Z4206" s="609" t="s">
        <v>4073</v>
      </c>
      <c r="AA4206" s="609" t="s">
        <v>5689</v>
      </c>
    </row>
    <row r="4207" spans="1:27" ht="24">
      <c r="A4207" s="2712"/>
      <c r="B4207" s="371">
        <v>105</v>
      </c>
      <c r="C4207" s="371"/>
      <c r="D4207" s="2714">
        <f t="shared" si="470"/>
        <v>1</v>
      </c>
      <c r="E4207" s="2719">
        <v>1</v>
      </c>
      <c r="F4207" s="294"/>
      <c r="G4207" s="1472" t="s">
        <v>3476</v>
      </c>
      <c r="H4207" s="2273"/>
      <c r="I4207" s="2294"/>
      <c r="J4207" s="291"/>
      <c r="K4207" s="291"/>
      <c r="L4207" s="291"/>
      <c r="M4207" s="291"/>
      <c r="S4207" s="364"/>
      <c r="Z4207" s="609" t="s">
        <v>4073</v>
      </c>
      <c r="AA4207" s="609" t="s">
        <v>5689</v>
      </c>
    </row>
    <row r="4208" spans="1:27" ht="24">
      <c r="A4208" s="2712"/>
      <c r="B4208" s="371">
        <v>106</v>
      </c>
      <c r="C4208" s="371"/>
      <c r="D4208" s="2714">
        <f t="shared" si="470"/>
        <v>1</v>
      </c>
      <c r="E4208" s="2719">
        <v>1</v>
      </c>
      <c r="F4208" s="294"/>
      <c r="G4208" s="1472" t="s">
        <v>4088</v>
      </c>
      <c r="H4208" s="2273"/>
      <c r="I4208" s="2294"/>
      <c r="J4208" s="291"/>
      <c r="K4208" s="291"/>
      <c r="L4208" s="291"/>
      <c r="M4208" s="291"/>
      <c r="S4208" s="364"/>
      <c r="Z4208" s="609" t="s">
        <v>4073</v>
      </c>
      <c r="AA4208" s="609" t="s">
        <v>5689</v>
      </c>
    </row>
    <row r="4209" spans="1:27" ht="24">
      <c r="A4209" s="2712"/>
      <c r="B4209" s="371">
        <v>107</v>
      </c>
      <c r="C4209" s="371"/>
      <c r="D4209" s="2714">
        <f t="shared" si="470"/>
        <v>1</v>
      </c>
      <c r="E4209" s="2719">
        <v>1</v>
      </c>
      <c r="F4209" s="294"/>
      <c r="G4209" s="1472" t="s">
        <v>4089</v>
      </c>
      <c r="H4209" s="2273"/>
      <c r="I4209" s="2294"/>
      <c r="J4209" s="291"/>
      <c r="K4209" s="291"/>
      <c r="L4209" s="291"/>
      <c r="M4209" s="291"/>
      <c r="S4209" s="364"/>
      <c r="Z4209" s="609" t="s">
        <v>4073</v>
      </c>
      <c r="AA4209" s="609" t="s">
        <v>5689</v>
      </c>
    </row>
    <row r="4210" spans="1:27" ht="18">
      <c r="A4210" s="2712"/>
      <c r="B4210" s="371">
        <v>108</v>
      </c>
      <c r="C4210" s="371" t="s">
        <v>2791</v>
      </c>
      <c r="D4210" s="2714">
        <f t="shared" si="470"/>
        <v>0</v>
      </c>
      <c r="E4210" s="2719">
        <v>1</v>
      </c>
      <c r="F4210" s="294"/>
      <c r="G4210" s="2416" t="s">
        <v>2792</v>
      </c>
      <c r="H4210" s="2273"/>
      <c r="I4210" s="2294"/>
      <c r="J4210" s="291"/>
      <c r="K4210" s="291"/>
      <c r="L4210" s="291"/>
      <c r="M4210" s="291"/>
      <c r="S4210" s="364"/>
      <c r="Z4210" s="609" t="s">
        <v>4073</v>
      </c>
      <c r="AA4210" s="609" t="s">
        <v>5689</v>
      </c>
    </row>
    <row r="4211" spans="1:27" ht="18">
      <c r="A4211" s="2712"/>
      <c r="B4211" s="371">
        <v>109</v>
      </c>
      <c r="C4211" s="371"/>
      <c r="D4211" s="2714">
        <f t="shared" si="470"/>
        <v>1</v>
      </c>
      <c r="E4211" s="2719">
        <v>1</v>
      </c>
      <c r="F4211" s="294"/>
      <c r="G4211" s="1472" t="s">
        <v>3477</v>
      </c>
      <c r="H4211" s="2273"/>
      <c r="I4211" s="2294"/>
      <c r="J4211" s="291"/>
      <c r="K4211" s="291"/>
      <c r="L4211" s="291"/>
      <c r="M4211" s="291"/>
      <c r="S4211" s="364"/>
      <c r="Z4211" s="609" t="s">
        <v>4073</v>
      </c>
      <c r="AA4211" s="609" t="s">
        <v>5689</v>
      </c>
    </row>
    <row r="4212" spans="1:27" ht="18">
      <c r="A4212" s="2712"/>
      <c r="B4212" s="371">
        <v>110</v>
      </c>
      <c r="C4212" s="371" t="s">
        <v>2791</v>
      </c>
      <c r="D4212" s="2714">
        <f t="shared" si="470"/>
        <v>0</v>
      </c>
      <c r="E4212" s="2719">
        <v>1</v>
      </c>
      <c r="F4212" s="294"/>
      <c r="G4212" s="2416" t="s">
        <v>2792</v>
      </c>
      <c r="H4212" s="2273"/>
      <c r="I4212" s="2294"/>
      <c r="J4212" s="291"/>
      <c r="K4212" s="291"/>
      <c r="L4212" s="291"/>
      <c r="M4212" s="291"/>
      <c r="S4212" s="364"/>
      <c r="Z4212" s="609" t="s">
        <v>4073</v>
      </c>
      <c r="AA4212" s="609" t="s">
        <v>5689</v>
      </c>
    </row>
    <row r="4213" spans="1:27" ht="18.75" thickBot="1">
      <c r="A4213" s="2712"/>
      <c r="B4213" s="371"/>
      <c r="C4213" s="371"/>
      <c r="D4213" s="2714">
        <f t="shared" si="470"/>
        <v>1</v>
      </c>
      <c r="E4213" s="2719" t="s">
        <v>2751</v>
      </c>
      <c r="F4213" s="294"/>
      <c r="G4213" s="2232" t="s">
        <v>3478</v>
      </c>
      <c r="H4213" s="2306"/>
      <c r="I4213" s="2307"/>
      <c r="J4213" s="355" t="s">
        <v>6072</v>
      </c>
      <c r="K4213" s="291"/>
      <c r="L4213" s="291"/>
      <c r="M4213" s="291"/>
      <c r="S4213" s="364"/>
      <c r="Z4213" s="609" t="s">
        <v>4073</v>
      </c>
      <c r="AA4213" s="609" t="s">
        <v>5689</v>
      </c>
    </row>
    <row r="4214" spans="1:27" ht="18">
      <c r="A4214" s="2712"/>
      <c r="B4214" s="371"/>
      <c r="C4214" s="371" t="s">
        <v>2755</v>
      </c>
      <c r="D4214" s="371"/>
      <c r="F4214" s="294"/>
      <c r="G4214" s="557"/>
      <c r="H4214" s="315"/>
      <c r="I4214" s="315"/>
      <c r="J4214" s="291"/>
      <c r="K4214" s="291"/>
      <c r="L4214" s="291"/>
      <c r="M4214" s="291"/>
      <c r="S4214" s="364"/>
      <c r="Z4214" s="609" t="s">
        <v>4073</v>
      </c>
      <c r="AA4214" s="609" t="s">
        <v>5689</v>
      </c>
    </row>
    <row r="4215" spans="1:27" ht="24">
      <c r="A4215" s="2712" t="s">
        <v>1722</v>
      </c>
      <c r="B4215" s="371">
        <v>2.2999999999999998</v>
      </c>
      <c r="C4215" s="371"/>
      <c r="D4215" s="2714" t="str">
        <f>VLOOKUP($A4215,Sheet_NoteList,2,0)</f>
        <v>设定受益计划净负债（净资产）</v>
      </c>
      <c r="E4215" s="2714" t="s">
        <v>2742</v>
      </c>
      <c r="F4215" s="294"/>
      <c r="G4215" s="372" t="str">
        <f>"("&amp;B4215&amp;")"&amp;D4215</f>
        <v>(2.3)设定受益计划净负债（净资产）</v>
      </c>
      <c r="H4215" s="1515" t="str">
        <f>$A4215</f>
        <v>2715d</v>
      </c>
      <c r="I4215" s="343" t="s">
        <v>2743</v>
      </c>
      <c r="J4215" s="301"/>
      <c r="K4215" s="391"/>
      <c r="L4215" s="345"/>
      <c r="M4215" s="301"/>
      <c r="N4215" s="391"/>
      <c r="O4215" s="345"/>
      <c r="P4215" s="301"/>
      <c r="S4215" s="364"/>
      <c r="Z4215" s="609" t="s">
        <v>4073</v>
      </c>
      <c r="AA4215" s="609" t="s">
        <v>5689</v>
      </c>
    </row>
    <row r="4216" spans="1:27" ht="0.75" customHeight="1" thickBot="1">
      <c r="A4216" s="2712"/>
      <c r="B4216" s="371"/>
      <c r="C4216" s="371"/>
      <c r="D4216" s="371"/>
      <c r="E4216" s="586"/>
      <c r="F4216" s="518"/>
      <c r="G4216" s="518" t="s">
        <v>4090</v>
      </c>
      <c r="H4216" s="304" t="s">
        <v>3472</v>
      </c>
      <c r="I4216" s="304" t="s">
        <v>3473</v>
      </c>
      <c r="J4216" s="291"/>
      <c r="K4216" s="291"/>
      <c r="L4216" s="291"/>
      <c r="M4216" s="291"/>
      <c r="S4216" s="364"/>
      <c r="Z4216" s="609" t="s">
        <v>4073</v>
      </c>
      <c r="AA4216" s="609" t="s">
        <v>5689</v>
      </c>
    </row>
    <row r="4217" spans="1:27" ht="18">
      <c r="A4217" s="2712"/>
      <c r="B4217" s="371"/>
      <c r="C4217" s="371"/>
      <c r="D4217" s="371"/>
      <c r="E4217" s="586" t="s">
        <v>2749</v>
      </c>
      <c r="F4217" s="363"/>
      <c r="G4217" s="2408" t="s">
        <v>47</v>
      </c>
      <c r="H4217" s="2430" t="str">
        <f>$V$4</f>
        <v>2019年度</v>
      </c>
      <c r="I4217" s="2431" t="str">
        <f>$V$5</f>
        <v>2018年度</v>
      </c>
      <c r="J4217" s="355" t="s">
        <v>5312</v>
      </c>
      <c r="K4217" s="291"/>
      <c r="L4217" s="291"/>
      <c r="M4217" s="291"/>
      <c r="S4217" s="364"/>
      <c r="Z4217" s="609" t="s">
        <v>4073</v>
      </c>
      <c r="AA4217" s="609" t="s">
        <v>5689</v>
      </c>
    </row>
    <row r="4218" spans="1:27" ht="18">
      <c r="A4218" s="2712"/>
      <c r="B4218" s="371">
        <v>101</v>
      </c>
      <c r="C4218" s="371"/>
      <c r="D4218" s="2714">
        <f>IF(OR(G4218="*",G4218="",G4218=0),0,COUNTIF($G$4218:$G$4222,G4218))</f>
        <v>1</v>
      </c>
      <c r="E4218" s="2719">
        <v>1</v>
      </c>
      <c r="F4218" s="294"/>
      <c r="G4218" s="1472" t="s">
        <v>3474</v>
      </c>
      <c r="H4218" s="2273"/>
      <c r="I4218" s="2294"/>
      <c r="J4218" s="291"/>
      <c r="K4218" s="291"/>
      <c r="L4218" s="291"/>
      <c r="M4218" s="291"/>
      <c r="S4218" s="364"/>
      <c r="Z4218" s="609" t="s">
        <v>4073</v>
      </c>
      <c r="AA4218" s="609" t="s">
        <v>5689</v>
      </c>
    </row>
    <row r="4219" spans="1:27" ht="24">
      <c r="A4219" s="2712"/>
      <c r="B4219" s="371">
        <v>102</v>
      </c>
      <c r="C4219" s="371"/>
      <c r="D4219" s="2714">
        <f>IF(OR(G4219="*",G4219="",G4219=0),0,COUNTIF($G$4218:$G$4222,G4219))</f>
        <v>1</v>
      </c>
      <c r="E4219" s="2719">
        <v>1</v>
      </c>
      <c r="F4219" s="294"/>
      <c r="G4219" s="1472" t="s">
        <v>3475</v>
      </c>
      <c r="H4219" s="2273"/>
      <c r="I4219" s="2294"/>
      <c r="J4219" s="291"/>
      <c r="K4219" s="291"/>
      <c r="L4219" s="291"/>
      <c r="M4219" s="291"/>
      <c r="S4219" s="364"/>
      <c r="Z4219" s="609" t="s">
        <v>4073</v>
      </c>
      <c r="AA4219" s="609" t="s">
        <v>5689</v>
      </c>
    </row>
    <row r="4220" spans="1:27" ht="24">
      <c r="A4220" s="2712"/>
      <c r="B4220" s="371">
        <v>103</v>
      </c>
      <c r="C4220" s="371"/>
      <c r="D4220" s="2714">
        <f>IF(OR(G4220="*",G4220="",G4220=0),0,COUNTIF($G$4218:$G$4222,G4220))</f>
        <v>1</v>
      </c>
      <c r="E4220" s="2719">
        <v>1</v>
      </c>
      <c r="F4220" s="294"/>
      <c r="G4220" s="1472" t="s">
        <v>3476</v>
      </c>
      <c r="H4220" s="2273"/>
      <c r="I4220" s="2294"/>
      <c r="J4220" s="291"/>
      <c r="K4220" s="291"/>
      <c r="L4220" s="291"/>
      <c r="M4220" s="291"/>
      <c r="S4220" s="364"/>
      <c r="Z4220" s="609" t="s">
        <v>4073</v>
      </c>
      <c r="AA4220" s="609" t="s">
        <v>5689</v>
      </c>
    </row>
    <row r="4221" spans="1:27" ht="18">
      <c r="A4221" s="2712"/>
      <c r="B4221" s="371">
        <v>104</v>
      </c>
      <c r="C4221" s="371"/>
      <c r="D4221" s="2714">
        <f>IF(OR(G4221="*",G4221="",G4221=0),0,COUNTIF($G$4218:$G$4222,G4221))</f>
        <v>1</v>
      </c>
      <c r="E4221" s="2719">
        <v>1</v>
      </c>
      <c r="F4221" s="294"/>
      <c r="G4221" s="1472" t="s">
        <v>3477</v>
      </c>
      <c r="H4221" s="2273"/>
      <c r="I4221" s="2294"/>
      <c r="J4221" s="291"/>
      <c r="K4221" s="291"/>
      <c r="L4221" s="291"/>
      <c r="M4221" s="291"/>
      <c r="S4221" s="364"/>
      <c r="Z4221" s="609" t="s">
        <v>4073</v>
      </c>
      <c r="AA4221" s="609" t="s">
        <v>5689</v>
      </c>
    </row>
    <row r="4222" spans="1:27" ht="18.75" thickBot="1">
      <c r="A4222" s="2712"/>
      <c r="B4222" s="371"/>
      <c r="C4222" s="371"/>
      <c r="D4222" s="2714">
        <f>IF(OR(G4222="*",G4222="",G4222=0),0,COUNTIF($G$4218:$G$4222,G4222))</f>
        <v>1</v>
      </c>
      <c r="E4222" s="2719" t="s">
        <v>2751</v>
      </c>
      <c r="F4222" s="294"/>
      <c r="G4222" s="2232" t="s">
        <v>3478</v>
      </c>
      <c r="H4222" s="2306"/>
      <c r="I4222" s="2307"/>
      <c r="J4222" s="355" t="s">
        <v>6072</v>
      </c>
      <c r="K4222" s="291"/>
      <c r="L4222" s="291"/>
      <c r="M4222" s="291"/>
      <c r="S4222" s="364"/>
      <c r="Z4222" s="609" t="s">
        <v>4073</v>
      </c>
      <c r="AA4222" s="609" t="s">
        <v>5689</v>
      </c>
    </row>
    <row r="4223" spans="1:27" ht="18">
      <c r="A4223" s="2712"/>
      <c r="B4223" s="371"/>
      <c r="C4223" s="371" t="s">
        <v>2755</v>
      </c>
      <c r="D4223" s="371"/>
      <c r="F4223" s="294"/>
      <c r="G4223" s="557"/>
      <c r="H4223" s="315"/>
      <c r="I4223" s="315"/>
      <c r="J4223" s="291"/>
      <c r="K4223" s="291"/>
      <c r="L4223" s="291"/>
      <c r="M4223" s="291"/>
      <c r="S4223" s="364"/>
      <c r="Z4223" s="609" t="s">
        <v>4073</v>
      </c>
      <c r="AA4223" s="609" t="s">
        <v>5689</v>
      </c>
    </row>
    <row r="4224" spans="1:27" ht="24">
      <c r="A4224" s="2712" t="s">
        <v>1736</v>
      </c>
      <c r="B4224" s="371">
        <v>2.4</v>
      </c>
      <c r="C4224" s="371"/>
      <c r="D4224" s="2714" t="str">
        <f>VLOOKUP($A4224,Sheet_NoteList,2,0)</f>
        <v>设定受益计划重大精算假设</v>
      </c>
      <c r="E4224" s="2714" t="s">
        <v>2742</v>
      </c>
      <c r="F4224" s="294"/>
      <c r="G4224" s="372" t="str">
        <f>"("&amp;B4224&amp;")"&amp;D4224</f>
        <v>(2.4)设定受益计划重大精算假设</v>
      </c>
      <c r="H4224" s="1515" t="str">
        <f>$A4224</f>
        <v>2715g</v>
      </c>
      <c r="I4224" s="343" t="s">
        <v>2743</v>
      </c>
      <c r="J4224" s="301"/>
      <c r="K4224" s="391"/>
      <c r="L4224" s="345"/>
      <c r="M4224" s="301"/>
      <c r="N4224" s="391"/>
      <c r="O4224" s="345"/>
      <c r="P4224" s="301"/>
      <c r="S4224" s="364"/>
      <c r="Z4224" s="609" t="s">
        <v>4073</v>
      </c>
      <c r="AA4224" s="609" t="s">
        <v>5689</v>
      </c>
    </row>
    <row r="4225" spans="1:27" ht="0.75" customHeight="1" thickBot="1">
      <c r="A4225" s="2712"/>
      <c r="B4225" s="371"/>
      <c r="C4225" s="371"/>
      <c r="D4225" s="371"/>
      <c r="E4225" s="586"/>
      <c r="F4225" s="518"/>
      <c r="G4225" s="518" t="s">
        <v>4091</v>
      </c>
      <c r="H4225" s="304" t="s">
        <v>3481</v>
      </c>
      <c r="I4225" s="304" t="s">
        <v>3482</v>
      </c>
      <c r="J4225" s="291"/>
      <c r="K4225" s="291"/>
      <c r="L4225" s="291"/>
      <c r="M4225" s="291"/>
      <c r="S4225" s="364"/>
      <c r="Z4225" s="609" t="s">
        <v>4073</v>
      </c>
      <c r="AA4225" s="609" t="s">
        <v>5689</v>
      </c>
    </row>
    <row r="4226" spans="1:27" ht="18">
      <c r="A4226" s="2712"/>
      <c r="B4226" s="371"/>
      <c r="C4226" s="371"/>
      <c r="D4226" s="371"/>
      <c r="E4226" s="586" t="s">
        <v>2749</v>
      </c>
      <c r="F4226" s="363"/>
      <c r="G4226" s="2408" t="s">
        <v>47</v>
      </c>
      <c r="H4226" s="2230" t="str">
        <f>$V$4</f>
        <v>2019年度</v>
      </c>
      <c r="I4226" s="2231" t="str">
        <f>$V$5</f>
        <v>2018年度</v>
      </c>
      <c r="J4226" s="355" t="s">
        <v>5312</v>
      </c>
      <c r="K4226" s="291"/>
      <c r="L4226" s="291"/>
      <c r="M4226" s="291"/>
      <c r="S4226" s="364"/>
      <c r="Z4226" s="609" t="s">
        <v>4073</v>
      </c>
      <c r="AA4226" s="609" t="s">
        <v>5689</v>
      </c>
    </row>
    <row r="4227" spans="1:27" ht="18">
      <c r="A4227" s="2712"/>
      <c r="B4227" s="371">
        <v>101</v>
      </c>
      <c r="C4227" s="371"/>
      <c r="D4227" s="2714">
        <f t="shared" ref="D4227:D4233" si="471">IF(OR(G4227="*",G4227="",G4227=0),0,COUNTIF($G$4227:$G$4233,G4227))</f>
        <v>1</v>
      </c>
      <c r="E4227" s="2719">
        <v>1</v>
      </c>
      <c r="F4227" s="294"/>
      <c r="G4227" s="1472" t="s">
        <v>3483</v>
      </c>
      <c r="H4227" s="2296"/>
      <c r="I4227" s="2274"/>
      <c r="J4227" s="291"/>
      <c r="K4227" s="291"/>
      <c r="L4227" s="291"/>
      <c r="M4227" s="291"/>
      <c r="S4227" s="364"/>
      <c r="Z4227" s="609" t="s">
        <v>4073</v>
      </c>
      <c r="AA4227" s="609" t="s">
        <v>5689</v>
      </c>
    </row>
    <row r="4228" spans="1:27" ht="18">
      <c r="A4228" s="2712"/>
      <c r="B4228" s="371">
        <v>102</v>
      </c>
      <c r="C4228" s="371"/>
      <c r="D4228" s="2714">
        <f t="shared" si="471"/>
        <v>1</v>
      </c>
      <c r="E4228" s="2719">
        <v>1</v>
      </c>
      <c r="F4228" s="294"/>
      <c r="G4228" s="1472" t="s">
        <v>3484</v>
      </c>
      <c r="H4228" s="2296"/>
      <c r="I4228" s="2274"/>
      <c r="J4228" s="291"/>
      <c r="K4228" s="291"/>
      <c r="L4228" s="291"/>
      <c r="M4228" s="291"/>
      <c r="S4228" s="364"/>
      <c r="Z4228" s="609" t="s">
        <v>4073</v>
      </c>
      <c r="AA4228" s="609" t="s">
        <v>5689</v>
      </c>
    </row>
    <row r="4229" spans="1:27" ht="18">
      <c r="A4229" s="2712"/>
      <c r="B4229" s="371">
        <v>103</v>
      </c>
      <c r="C4229" s="371"/>
      <c r="D4229" s="2714">
        <f t="shared" si="471"/>
        <v>1</v>
      </c>
      <c r="E4229" s="2719">
        <v>1</v>
      </c>
      <c r="F4229" s="294"/>
      <c r="G4229" s="1472" t="s">
        <v>3485</v>
      </c>
      <c r="H4229" s="2296"/>
      <c r="I4229" s="2274"/>
      <c r="J4229" s="291"/>
      <c r="K4229" s="291"/>
      <c r="L4229" s="291"/>
      <c r="M4229" s="291"/>
      <c r="S4229" s="364"/>
      <c r="Z4229" s="609" t="s">
        <v>4073</v>
      </c>
      <c r="AA4229" s="609" t="s">
        <v>5689</v>
      </c>
    </row>
    <row r="4230" spans="1:27" ht="18">
      <c r="A4230" s="2712"/>
      <c r="B4230" s="371">
        <v>104</v>
      </c>
      <c r="C4230" s="371"/>
      <c r="D4230" s="2714">
        <f t="shared" si="471"/>
        <v>1</v>
      </c>
      <c r="E4230" s="2719">
        <v>1</v>
      </c>
      <c r="F4230" s="294"/>
      <c r="G4230" s="1472" t="s">
        <v>3486</v>
      </c>
      <c r="H4230" s="2296"/>
      <c r="I4230" s="2274"/>
      <c r="J4230" s="291"/>
      <c r="K4230" s="291"/>
      <c r="L4230" s="291"/>
      <c r="M4230" s="291"/>
      <c r="S4230" s="364"/>
      <c r="Z4230" s="609" t="s">
        <v>4073</v>
      </c>
      <c r="AA4230" s="609" t="s">
        <v>5689</v>
      </c>
    </row>
    <row r="4231" spans="1:27" ht="18">
      <c r="A4231" s="2712"/>
      <c r="B4231" s="371">
        <v>105</v>
      </c>
      <c r="C4231" s="371"/>
      <c r="D4231" s="2714">
        <f t="shared" si="471"/>
        <v>1</v>
      </c>
      <c r="E4231" s="2719">
        <v>1</v>
      </c>
      <c r="F4231" s="294"/>
      <c r="G4231" s="1472" t="s">
        <v>3487</v>
      </c>
      <c r="H4231" s="2296"/>
      <c r="I4231" s="2274"/>
      <c r="J4231" s="291"/>
      <c r="K4231" s="291"/>
      <c r="L4231" s="291"/>
      <c r="M4231" s="291"/>
      <c r="S4231" s="364"/>
      <c r="Z4231" s="609" t="s">
        <v>4073</v>
      </c>
      <c r="AA4231" s="609" t="s">
        <v>5689</v>
      </c>
    </row>
    <row r="4232" spans="1:27" ht="18">
      <c r="A4232" s="2712"/>
      <c r="B4232" s="371">
        <v>106</v>
      </c>
      <c r="C4232" s="371" t="s">
        <v>2791</v>
      </c>
      <c r="D4232" s="2714">
        <f t="shared" si="471"/>
        <v>0</v>
      </c>
      <c r="E4232" s="2719">
        <v>1</v>
      </c>
      <c r="F4232" s="294"/>
      <c r="G4232" s="2416" t="s">
        <v>2792</v>
      </c>
      <c r="H4232" s="2296"/>
      <c r="I4232" s="2274"/>
      <c r="J4232" s="291"/>
      <c r="K4232" s="291"/>
      <c r="L4232" s="291"/>
      <c r="M4232" s="291"/>
      <c r="S4232" s="364"/>
      <c r="Z4232" s="609" t="s">
        <v>4073</v>
      </c>
      <c r="AA4232" s="609" t="s">
        <v>5689</v>
      </c>
    </row>
    <row r="4233" spans="1:27" ht="18.75" thickBot="1">
      <c r="A4233" s="2712"/>
      <c r="B4233" s="371"/>
      <c r="C4233" s="371"/>
      <c r="D4233" s="2714">
        <f t="shared" si="471"/>
        <v>0</v>
      </c>
      <c r="E4233" s="2719" t="s">
        <v>3290</v>
      </c>
      <c r="F4233" s="294"/>
      <c r="G4233" s="2427"/>
      <c r="H4233" s="2239"/>
      <c r="I4233" s="2242"/>
      <c r="J4233" s="291"/>
      <c r="K4233" s="291"/>
      <c r="L4233" s="291"/>
      <c r="M4233" s="291"/>
      <c r="S4233" s="364"/>
      <c r="Z4233" s="609" t="s">
        <v>4073</v>
      </c>
      <c r="AA4233" s="609" t="s">
        <v>5689</v>
      </c>
    </row>
    <row r="4234" spans="1:27" ht="18">
      <c r="A4234" s="2712"/>
      <c r="B4234" s="371"/>
      <c r="C4234" s="371" t="s">
        <v>2755</v>
      </c>
      <c r="D4234" s="371"/>
      <c r="F4234" s="294"/>
      <c r="G4234" s="557"/>
      <c r="H4234" s="393"/>
      <c r="I4234" s="393"/>
      <c r="J4234" s="291"/>
      <c r="K4234" s="291"/>
      <c r="L4234" s="291"/>
      <c r="M4234" s="291"/>
      <c r="S4234" s="364"/>
      <c r="Z4234" s="609" t="s">
        <v>4073</v>
      </c>
      <c r="AA4234" s="609" t="s">
        <v>5689</v>
      </c>
    </row>
    <row r="4235" spans="1:27" ht="24">
      <c r="A4235" s="2712" t="s">
        <v>1741</v>
      </c>
      <c r="B4235" s="371">
        <v>2.5</v>
      </c>
      <c r="C4235" s="371"/>
      <c r="D4235" s="2714" t="str">
        <f>VLOOKUP($A4235,Sheet_NoteList,2,0)</f>
        <v>设定受益计划重大精算假设敏感性分析</v>
      </c>
      <c r="E4235" s="2714" t="s">
        <v>2742</v>
      </c>
      <c r="F4235" s="294"/>
      <c r="G4235" s="372" t="str">
        <f>"("&amp;B4235&amp;")"&amp;D4235</f>
        <v>(2.5)设定受益计划重大精算假设敏感性分析</v>
      </c>
      <c r="H4235" s="1515" t="str">
        <f>$A4235</f>
        <v>2715h</v>
      </c>
      <c r="I4235" s="343" t="s">
        <v>2743</v>
      </c>
      <c r="J4235" s="301"/>
      <c r="K4235" s="391"/>
      <c r="L4235" s="345"/>
      <c r="M4235" s="301"/>
      <c r="N4235" s="391"/>
      <c r="O4235" s="345"/>
      <c r="P4235" s="301"/>
      <c r="S4235" s="364"/>
      <c r="Z4235" s="609" t="s">
        <v>4073</v>
      </c>
      <c r="AA4235" s="609" t="s">
        <v>5689</v>
      </c>
    </row>
    <row r="4236" spans="1:27" ht="0.75" customHeight="1">
      <c r="A4236" s="2712"/>
      <c r="B4236" s="371"/>
      <c r="C4236" s="371"/>
      <c r="D4236" s="371"/>
      <c r="E4236" s="586"/>
      <c r="F4236" s="518"/>
      <c r="G4236" s="518" t="s">
        <v>4092</v>
      </c>
      <c r="H4236" s="304" t="s">
        <v>3488</v>
      </c>
      <c r="I4236" s="304" t="s">
        <v>3489</v>
      </c>
      <c r="J4236" s="304" t="s">
        <v>3490</v>
      </c>
      <c r="K4236" s="291"/>
      <c r="L4236" s="291"/>
      <c r="M4236" s="291"/>
      <c r="S4236" s="364"/>
      <c r="Z4236" s="609" t="s">
        <v>4073</v>
      </c>
      <c r="AA4236" s="609" t="s">
        <v>5689</v>
      </c>
    </row>
    <row r="4237" spans="1:27" ht="0.75" customHeight="1" thickBot="1">
      <c r="A4237" s="2712"/>
      <c r="B4237" s="371"/>
      <c r="C4237" s="371"/>
      <c r="D4237" s="371"/>
      <c r="E4237" s="586"/>
      <c r="F4237" s="518"/>
      <c r="G4237" s="518"/>
      <c r="H4237" s="304" t="s">
        <v>3491</v>
      </c>
      <c r="I4237" s="304" t="s">
        <v>3492</v>
      </c>
      <c r="J4237" s="304" t="s">
        <v>3493</v>
      </c>
      <c r="K4237" s="291"/>
      <c r="L4237" s="291"/>
      <c r="M4237" s="291"/>
      <c r="S4237" s="364"/>
      <c r="Z4237" s="609" t="s">
        <v>4073</v>
      </c>
      <c r="AA4237" s="609" t="s">
        <v>5689</v>
      </c>
    </row>
    <row r="4238" spans="1:27" ht="24" customHeight="1">
      <c r="A4238" s="2712"/>
      <c r="B4238" s="371"/>
      <c r="C4238" s="371"/>
      <c r="D4238" s="371"/>
      <c r="E4238" s="586" t="s">
        <v>2749</v>
      </c>
      <c r="F4238" s="2341"/>
      <c r="G4238" s="3462" t="s">
        <v>47</v>
      </c>
      <c r="H4238" s="3466" t="s">
        <v>3494</v>
      </c>
      <c r="I4238" s="3466" t="s">
        <v>3495</v>
      </c>
      <c r="J4238" s="3494"/>
      <c r="K4238" s="355" t="s">
        <v>5312</v>
      </c>
      <c r="L4238" s="291"/>
      <c r="M4238" s="291"/>
      <c r="S4238" s="364"/>
      <c r="Z4238" s="609" t="s">
        <v>4073</v>
      </c>
      <c r="AA4238" s="609" t="s">
        <v>5689</v>
      </c>
    </row>
    <row r="4239" spans="1:27" ht="18">
      <c r="A4239" s="2712"/>
      <c r="B4239" s="371"/>
      <c r="C4239" s="371"/>
      <c r="D4239" s="371"/>
      <c r="E4239" s="586" t="s">
        <v>2749</v>
      </c>
      <c r="F4239" s="363"/>
      <c r="G4239" s="3463"/>
      <c r="H4239" s="3467"/>
      <c r="I4239" s="2413" t="s">
        <v>3496</v>
      </c>
      <c r="J4239" s="2415" t="s">
        <v>3497</v>
      </c>
      <c r="K4239" s="291"/>
      <c r="L4239" s="291"/>
      <c r="M4239" s="291"/>
      <c r="S4239" s="364"/>
      <c r="Z4239" s="609" t="s">
        <v>4073</v>
      </c>
      <c r="AA4239" s="609" t="s">
        <v>5689</v>
      </c>
    </row>
    <row r="4240" spans="1:27" ht="18">
      <c r="A4240" s="2712"/>
      <c r="B4240" s="371">
        <v>101</v>
      </c>
      <c r="C4240" s="371"/>
      <c r="D4240" s="2714">
        <f t="shared" ref="D4240:D4246" si="472">IF(OR(G4240="*",G4240="",G4240=0),0,COUNTIF($G$4240:$G$4246,G4240))</f>
        <v>1</v>
      </c>
      <c r="E4240" s="2719">
        <v>1</v>
      </c>
      <c r="F4240" s="294"/>
      <c r="G4240" s="1472" t="s">
        <v>3483</v>
      </c>
      <c r="H4240" s="2296"/>
      <c r="I4240" s="2296"/>
      <c r="J4240" s="2274"/>
      <c r="K4240" s="291"/>
      <c r="L4240" s="291"/>
      <c r="M4240" s="291"/>
      <c r="S4240" s="364"/>
      <c r="Z4240" s="609" t="s">
        <v>4073</v>
      </c>
      <c r="AA4240" s="609" t="s">
        <v>5689</v>
      </c>
    </row>
    <row r="4241" spans="1:27" ht="18">
      <c r="A4241" s="2712"/>
      <c r="B4241" s="371">
        <v>102</v>
      </c>
      <c r="C4241" s="371"/>
      <c r="D4241" s="2714">
        <f t="shared" si="472"/>
        <v>1</v>
      </c>
      <c r="E4241" s="2719">
        <v>1</v>
      </c>
      <c r="F4241" s="294"/>
      <c r="G4241" s="1472" t="s">
        <v>3484</v>
      </c>
      <c r="H4241" s="2296"/>
      <c r="I4241" s="2296"/>
      <c r="J4241" s="2274"/>
      <c r="K4241" s="291"/>
      <c r="L4241" s="291"/>
      <c r="M4241" s="291"/>
      <c r="S4241" s="364"/>
      <c r="Z4241" s="609" t="s">
        <v>4073</v>
      </c>
      <c r="AA4241" s="609" t="s">
        <v>5689</v>
      </c>
    </row>
    <row r="4242" spans="1:27" ht="18">
      <c r="A4242" s="2712"/>
      <c r="B4242" s="371">
        <v>103</v>
      </c>
      <c r="C4242" s="371"/>
      <c r="D4242" s="2714">
        <f t="shared" si="472"/>
        <v>1</v>
      </c>
      <c r="E4242" s="2719">
        <v>1</v>
      </c>
      <c r="F4242" s="294"/>
      <c r="G4242" s="1472" t="s">
        <v>3485</v>
      </c>
      <c r="H4242" s="2296"/>
      <c r="I4242" s="2296"/>
      <c r="J4242" s="2274"/>
      <c r="K4242" s="291"/>
      <c r="L4242" s="291"/>
      <c r="M4242" s="291"/>
      <c r="S4242" s="364"/>
      <c r="Z4242" s="609" t="s">
        <v>4073</v>
      </c>
      <c r="AA4242" s="609" t="s">
        <v>5689</v>
      </c>
    </row>
    <row r="4243" spans="1:27" ht="18">
      <c r="A4243" s="2712"/>
      <c r="B4243" s="371">
        <v>104</v>
      </c>
      <c r="C4243" s="371"/>
      <c r="D4243" s="2714">
        <f t="shared" si="472"/>
        <v>1</v>
      </c>
      <c r="E4243" s="2719">
        <v>1</v>
      </c>
      <c r="F4243" s="294"/>
      <c r="G4243" s="1472" t="s">
        <v>3486</v>
      </c>
      <c r="H4243" s="2296"/>
      <c r="I4243" s="2296"/>
      <c r="J4243" s="2274"/>
      <c r="K4243" s="291"/>
      <c r="L4243" s="291"/>
      <c r="M4243" s="291"/>
      <c r="S4243" s="364"/>
      <c r="Z4243" s="609" t="s">
        <v>4073</v>
      </c>
      <c r="AA4243" s="609" t="s">
        <v>5689</v>
      </c>
    </row>
    <row r="4244" spans="1:27" ht="18">
      <c r="A4244" s="2712"/>
      <c r="B4244" s="371">
        <v>105</v>
      </c>
      <c r="C4244" s="371"/>
      <c r="D4244" s="2714">
        <f t="shared" si="472"/>
        <v>1</v>
      </c>
      <c r="E4244" s="2719">
        <v>1</v>
      </c>
      <c r="F4244" s="294"/>
      <c r="G4244" s="1472" t="s">
        <v>3487</v>
      </c>
      <c r="H4244" s="2296"/>
      <c r="I4244" s="2296"/>
      <c r="J4244" s="2274"/>
      <c r="K4244" s="291"/>
      <c r="L4244" s="291"/>
      <c r="M4244" s="291"/>
      <c r="S4244" s="364"/>
      <c r="Z4244" s="609" t="s">
        <v>4073</v>
      </c>
      <c r="AA4244" s="609" t="s">
        <v>5689</v>
      </c>
    </row>
    <row r="4245" spans="1:27" ht="18">
      <c r="A4245" s="2712"/>
      <c r="B4245" s="371">
        <v>106</v>
      </c>
      <c r="C4245" s="371" t="s">
        <v>2791</v>
      </c>
      <c r="D4245" s="2714">
        <f t="shared" si="472"/>
        <v>0</v>
      </c>
      <c r="E4245" s="2719">
        <v>1</v>
      </c>
      <c r="F4245" s="294"/>
      <c r="G4245" s="2416" t="s">
        <v>2792</v>
      </c>
      <c r="H4245" s="2296"/>
      <c r="I4245" s="2296"/>
      <c r="J4245" s="2274"/>
      <c r="K4245" s="291"/>
      <c r="L4245" s="291"/>
      <c r="M4245" s="291"/>
      <c r="S4245" s="364"/>
      <c r="Z4245" s="609" t="s">
        <v>4073</v>
      </c>
      <c r="AA4245" s="609" t="s">
        <v>5689</v>
      </c>
    </row>
    <row r="4246" spans="1:27" ht="18.75" thickBot="1">
      <c r="A4246" s="2712"/>
      <c r="B4246" s="371"/>
      <c r="C4246" s="371"/>
      <c r="D4246" s="2714">
        <f t="shared" si="472"/>
        <v>0</v>
      </c>
      <c r="E4246" s="2719" t="s">
        <v>3290</v>
      </c>
      <c r="F4246" s="294"/>
      <c r="G4246" s="2427"/>
      <c r="H4246" s="2239"/>
      <c r="I4246" s="2239"/>
      <c r="J4246" s="2242"/>
      <c r="K4246" s="291"/>
      <c r="L4246" s="291"/>
      <c r="M4246" s="291"/>
      <c r="S4246" s="364"/>
      <c r="Z4246" s="609" t="s">
        <v>4073</v>
      </c>
      <c r="AA4246" s="609" t="s">
        <v>5689</v>
      </c>
    </row>
    <row r="4247" spans="1:27" ht="18">
      <c r="A4247" s="2712"/>
      <c r="B4247" s="371"/>
      <c r="C4247" s="371" t="s">
        <v>2755</v>
      </c>
      <c r="D4247" s="371"/>
      <c r="F4247" s="294"/>
      <c r="G4247" s="557"/>
      <c r="H4247" s="393"/>
      <c r="I4247" s="393"/>
      <c r="J4247" s="393"/>
      <c r="K4247" s="291"/>
      <c r="L4247" s="291"/>
      <c r="M4247" s="291"/>
      <c r="S4247" s="364"/>
      <c r="Z4247" s="609" t="s">
        <v>4073</v>
      </c>
      <c r="AA4247" s="609" t="s">
        <v>5689</v>
      </c>
    </row>
    <row r="4248" spans="1:27" ht="18">
      <c r="A4248" s="2712">
        <v>2801</v>
      </c>
      <c r="B4248" s="371">
        <v>50</v>
      </c>
      <c r="C4248" s="2714" t="str">
        <f>VLOOKUP($A4248,Sheet_Items,2,0)</f>
        <v>预计负债</v>
      </c>
      <c r="D4248" s="371"/>
      <c r="E4248" s="2714" t="s">
        <v>2739</v>
      </c>
      <c r="F4248" s="294"/>
      <c r="G4248" s="305" t="str">
        <f>B4248&amp;" "&amp;C4248</f>
        <v>50 预计负债</v>
      </c>
      <c r="H4248" s="306"/>
      <c r="I4248" s="306"/>
      <c r="J4248" s="306" t="s">
        <v>2740</v>
      </c>
      <c r="K4248" s="341">
        <f>VLOOKUP($A4248,Sheet_Trialbal,6,0)</f>
        <v>0</v>
      </c>
      <c r="L4248" s="342"/>
      <c r="M4248" s="306" t="s">
        <v>2741</v>
      </c>
      <c r="N4248" s="341">
        <f>VLOOKUP($A4248,Sheet_Trialbal,10,0)</f>
        <v>0</v>
      </c>
      <c r="O4248" s="306"/>
      <c r="P4248" s="301"/>
      <c r="S4248" s="364"/>
      <c r="Z4248" s="609" t="s">
        <v>4093</v>
      </c>
      <c r="AA4248" s="609" t="s">
        <v>5690</v>
      </c>
    </row>
    <row r="4249" spans="1:27" ht="18">
      <c r="A4249" s="2712" t="s">
        <v>1746</v>
      </c>
      <c r="B4249" s="371">
        <v>1</v>
      </c>
      <c r="C4249" s="371"/>
      <c r="D4249" s="2714" t="str">
        <f>VLOOKUP($A4249,Sheet_NoteList,2,0)</f>
        <v>预计负债明细项目</v>
      </c>
      <c r="E4249" s="2714" t="s">
        <v>2742</v>
      </c>
      <c r="F4249" s="294"/>
      <c r="G4249" s="307" t="str">
        <f>"("&amp;B4249&amp;")"&amp;D4249</f>
        <v>(1)预计负债明细项目</v>
      </c>
      <c r="H4249" s="1515" t="str">
        <f>$A4249</f>
        <v>2801a</v>
      </c>
      <c r="I4249" s="343" t="s">
        <v>2743</v>
      </c>
      <c r="J4249" s="301" t="s">
        <v>2744</v>
      </c>
      <c r="K4249" s="2208">
        <f>H4260</f>
        <v>0</v>
      </c>
      <c r="L4249" s="345" t="str">
        <f>IF($I4249="适用",IF(ROUND(K4248-K4249,2)=0,"F/S",ROUND(K4248-K4249,2)),"#N/A")</f>
        <v>F/S</v>
      </c>
      <c r="M4249" s="301" t="s">
        <v>2745</v>
      </c>
      <c r="N4249" s="2208">
        <f>I4260</f>
        <v>0</v>
      </c>
      <c r="O4249" s="345" t="str">
        <f>IF($I4249="适用",IF(ROUND(N4248-N4249,2)=0,"F/S",ROUND(N4248-N4249,2)),"#N/A")</f>
        <v>F/S</v>
      </c>
      <c r="P4249" s="301"/>
      <c r="Q4249" s="290" t="str">
        <f>IF($I4249="不适用","",IF(ROUND(SUM($H$4252:$J$4260),2)=0,"请输入",""))</f>
        <v>请输入</v>
      </c>
      <c r="S4249" s="364"/>
      <c r="Z4249" s="609" t="s">
        <v>4093</v>
      </c>
      <c r="AA4249" s="609" t="s">
        <v>5690</v>
      </c>
    </row>
    <row r="4250" spans="1:27" ht="0.75" customHeight="1" thickBot="1">
      <c r="A4250" s="2712"/>
      <c r="B4250" s="371"/>
      <c r="C4250" s="371"/>
      <c r="D4250" s="371"/>
      <c r="F4250" s="304"/>
      <c r="G4250" s="304" t="s">
        <v>4094</v>
      </c>
      <c r="H4250" s="304" t="s">
        <v>2747</v>
      </c>
      <c r="I4250" s="304" t="s">
        <v>2748</v>
      </c>
      <c r="J4250" s="304" t="s">
        <v>4095</v>
      </c>
      <c r="L4250" s="291"/>
      <c r="M4250" s="291"/>
      <c r="N4250" s="291"/>
      <c r="O4250" s="291"/>
      <c r="S4250" s="364"/>
      <c r="Z4250" s="609" t="s">
        <v>4093</v>
      </c>
      <c r="AA4250" s="609" t="s">
        <v>5690</v>
      </c>
    </row>
    <row r="4251" spans="1:27" ht="18">
      <c r="A4251" s="2712"/>
      <c r="B4251" s="371"/>
      <c r="C4251" s="371"/>
      <c r="D4251" s="371"/>
      <c r="E4251" s="2714" t="s">
        <v>2749</v>
      </c>
      <c r="F4251" s="294"/>
      <c r="G4251" s="410" t="s">
        <v>47</v>
      </c>
      <c r="H4251" s="1452" t="str">
        <f>$V$2</f>
        <v>2019年12月31日</v>
      </c>
      <c r="I4251" s="1452" t="str">
        <f>$V$3</f>
        <v>2018年12月31日</v>
      </c>
      <c r="J4251" s="411" t="s">
        <v>4071</v>
      </c>
      <c r="K4251" s="355" t="s">
        <v>5313</v>
      </c>
      <c r="L4251" s="291"/>
      <c r="M4251" s="291"/>
      <c r="N4251" s="291"/>
      <c r="O4251" s="291"/>
      <c r="S4251" s="364"/>
      <c r="Z4251" s="609" t="s">
        <v>4093</v>
      </c>
      <c r="AA4251" s="609" t="s">
        <v>5690</v>
      </c>
    </row>
    <row r="4252" spans="1:27" ht="18">
      <c r="A4252" s="2712"/>
      <c r="B4252" s="371">
        <v>101</v>
      </c>
      <c r="C4252" s="371"/>
      <c r="D4252" s="2714">
        <f t="shared" ref="D4252:D4260" si="473">IF(OR(G4252="*",G4252="",G4252=0),0,COUNTIF($G$4252:$G$4260,G4252))</f>
        <v>1</v>
      </c>
      <c r="E4252" s="2719">
        <v>1</v>
      </c>
      <c r="F4252" s="294"/>
      <c r="G4252" s="308" t="s">
        <v>4096</v>
      </c>
      <c r="H4252" s="320"/>
      <c r="I4252" s="309"/>
      <c r="J4252" s="2204"/>
      <c r="L4252" s="291"/>
      <c r="M4252" s="291"/>
      <c r="N4252" s="291"/>
      <c r="O4252" s="291"/>
      <c r="S4252" s="364"/>
      <c r="Z4252" s="609" t="s">
        <v>4093</v>
      </c>
      <c r="AA4252" s="609" t="s">
        <v>5690</v>
      </c>
    </row>
    <row r="4253" spans="1:27" ht="18">
      <c r="A4253" s="2712"/>
      <c r="B4253" s="371">
        <v>102</v>
      </c>
      <c r="C4253" s="371"/>
      <c r="D4253" s="2714">
        <f t="shared" si="473"/>
        <v>1</v>
      </c>
      <c r="E4253" s="2719">
        <v>1</v>
      </c>
      <c r="F4253" s="294"/>
      <c r="G4253" s="308" t="s">
        <v>4097</v>
      </c>
      <c r="H4253" s="320"/>
      <c r="I4253" s="309"/>
      <c r="J4253" s="388"/>
      <c r="L4253" s="291"/>
      <c r="M4253" s="291"/>
      <c r="N4253" s="291"/>
      <c r="O4253" s="291"/>
      <c r="S4253" s="364"/>
      <c r="Z4253" s="609" t="s">
        <v>4093</v>
      </c>
      <c r="AA4253" s="609" t="s">
        <v>5690</v>
      </c>
    </row>
    <row r="4254" spans="1:27" ht="18">
      <c r="A4254" s="2712"/>
      <c r="B4254" s="371">
        <v>103</v>
      </c>
      <c r="C4254" s="371"/>
      <c r="D4254" s="2714">
        <f t="shared" si="473"/>
        <v>1</v>
      </c>
      <c r="E4254" s="2719">
        <v>1</v>
      </c>
      <c r="F4254" s="294"/>
      <c r="G4254" s="308" t="s">
        <v>4098</v>
      </c>
      <c r="H4254" s="320"/>
      <c r="I4254" s="309"/>
      <c r="J4254" s="388"/>
      <c r="L4254" s="291"/>
      <c r="M4254" s="291"/>
      <c r="N4254" s="291"/>
      <c r="O4254" s="291"/>
      <c r="S4254" s="364"/>
      <c r="Z4254" s="609" t="s">
        <v>4093</v>
      </c>
      <c r="AA4254" s="609" t="s">
        <v>5690</v>
      </c>
    </row>
    <row r="4255" spans="1:27" ht="18">
      <c r="A4255" s="2712"/>
      <c r="B4255" s="371">
        <v>104</v>
      </c>
      <c r="C4255" s="371"/>
      <c r="D4255" s="2714">
        <f t="shared" si="473"/>
        <v>1</v>
      </c>
      <c r="E4255" s="2719">
        <v>1</v>
      </c>
      <c r="F4255" s="294"/>
      <c r="G4255" s="308" t="s">
        <v>4099</v>
      </c>
      <c r="H4255" s="320"/>
      <c r="I4255" s="309"/>
      <c r="J4255" s="388"/>
      <c r="L4255" s="291"/>
      <c r="M4255" s="291"/>
      <c r="N4255" s="291"/>
      <c r="O4255" s="291"/>
      <c r="S4255" s="364"/>
      <c r="Z4255" s="609" t="s">
        <v>4093</v>
      </c>
      <c r="AA4255" s="609" t="s">
        <v>5690</v>
      </c>
    </row>
    <row r="4256" spans="1:27" ht="18">
      <c r="A4256" s="2712"/>
      <c r="B4256" s="371">
        <v>105</v>
      </c>
      <c r="C4256" s="371"/>
      <c r="D4256" s="2714">
        <f t="shared" si="473"/>
        <v>1</v>
      </c>
      <c r="E4256" s="2719">
        <v>1</v>
      </c>
      <c r="F4256" s="294"/>
      <c r="G4256" s="308" t="s">
        <v>4100</v>
      </c>
      <c r="H4256" s="320"/>
      <c r="I4256" s="309"/>
      <c r="J4256" s="388"/>
      <c r="L4256" s="291"/>
      <c r="M4256" s="291"/>
      <c r="N4256" s="291"/>
      <c r="O4256" s="291"/>
      <c r="S4256" s="364"/>
      <c r="Z4256" s="609" t="s">
        <v>4093</v>
      </c>
      <c r="AA4256" s="609" t="s">
        <v>5690</v>
      </c>
    </row>
    <row r="4257" spans="1:29" ht="18">
      <c r="A4257" s="2712"/>
      <c r="B4257" s="371">
        <v>106</v>
      </c>
      <c r="C4257" s="371"/>
      <c r="D4257" s="2714">
        <f t="shared" si="473"/>
        <v>1</v>
      </c>
      <c r="E4257" s="2719">
        <v>1</v>
      </c>
      <c r="F4257" s="294"/>
      <c r="G4257" s="308" t="s">
        <v>932</v>
      </c>
      <c r="H4257" s="320"/>
      <c r="I4257" s="309"/>
      <c r="J4257" s="388"/>
      <c r="L4257" s="291"/>
      <c r="M4257" s="291"/>
      <c r="N4257" s="291"/>
      <c r="O4257" s="291"/>
      <c r="S4257" s="364"/>
      <c r="Z4257" s="609" t="s">
        <v>4093</v>
      </c>
      <c r="AA4257" s="609" t="s">
        <v>5690</v>
      </c>
    </row>
    <row r="4258" spans="1:29" ht="18">
      <c r="A4258" s="2712"/>
      <c r="B4258" s="371">
        <v>107</v>
      </c>
      <c r="C4258" s="371" t="s">
        <v>2791</v>
      </c>
      <c r="D4258" s="2714">
        <f t="shared" si="473"/>
        <v>0</v>
      </c>
      <c r="E4258" s="2719">
        <v>1</v>
      </c>
      <c r="F4258" s="294"/>
      <c r="G4258" s="319" t="s">
        <v>2792</v>
      </c>
      <c r="H4258" s="320"/>
      <c r="I4258" s="309"/>
      <c r="J4258" s="388"/>
      <c r="L4258" s="291"/>
      <c r="M4258" s="291"/>
      <c r="N4258" s="291"/>
      <c r="O4258" s="291"/>
      <c r="S4258" s="364"/>
      <c r="Z4258" s="609" t="s">
        <v>4093</v>
      </c>
      <c r="AA4258" s="609" t="s">
        <v>5690</v>
      </c>
    </row>
    <row r="4259" spans="1:29" ht="18">
      <c r="A4259" s="2712"/>
      <c r="B4259" s="371">
        <v>108</v>
      </c>
      <c r="C4259" s="371" t="s">
        <v>2791</v>
      </c>
      <c r="D4259" s="2714">
        <f t="shared" si="473"/>
        <v>0</v>
      </c>
      <c r="E4259" s="2719">
        <v>1</v>
      </c>
      <c r="F4259" s="294"/>
      <c r="G4259" s="319" t="s">
        <v>2792</v>
      </c>
      <c r="H4259" s="320"/>
      <c r="I4259" s="309"/>
      <c r="J4259" s="388"/>
      <c r="L4259" s="291"/>
      <c r="M4259" s="291"/>
      <c r="N4259" s="291"/>
      <c r="O4259" s="291"/>
      <c r="S4259" s="364"/>
      <c r="Z4259" s="609" t="s">
        <v>4093</v>
      </c>
      <c r="AA4259" s="609" t="s">
        <v>5690</v>
      </c>
    </row>
    <row r="4260" spans="1:29" ht="18.75" thickBot="1">
      <c r="A4260" s="2712"/>
      <c r="B4260" s="371"/>
      <c r="C4260" s="371"/>
      <c r="D4260" s="2714">
        <f t="shared" si="473"/>
        <v>1</v>
      </c>
      <c r="E4260" s="2719" t="s">
        <v>2751</v>
      </c>
      <c r="F4260" s="294"/>
      <c r="G4260" s="374" t="s">
        <v>2752</v>
      </c>
      <c r="H4260" s="596">
        <f>SUMPRODUCT($E4251:$E4259,H4251:H4259)</f>
        <v>0</v>
      </c>
      <c r="I4260" s="596">
        <f>SUMPRODUCT($E4251:$E4259,I4251:I4259)</f>
        <v>0</v>
      </c>
      <c r="J4260" s="546"/>
      <c r="L4260" s="291"/>
      <c r="M4260" s="291"/>
      <c r="N4260" s="291"/>
      <c r="O4260" s="291"/>
      <c r="S4260" s="364"/>
      <c r="Z4260" s="609" t="s">
        <v>4093</v>
      </c>
      <c r="AA4260" s="609" t="s">
        <v>5690</v>
      </c>
    </row>
    <row r="4261" spans="1:29" ht="18">
      <c r="A4261" s="2712"/>
      <c r="B4261" s="371"/>
      <c r="C4261" s="371" t="s">
        <v>2755</v>
      </c>
      <c r="D4261" s="371"/>
      <c r="F4261" s="294"/>
      <c r="G4261" s="301"/>
      <c r="H4261" s="315"/>
      <c r="I4261" s="315"/>
      <c r="J4261" s="393"/>
      <c r="K4261" s="349"/>
      <c r="L4261" s="291"/>
      <c r="M4261" s="291"/>
      <c r="N4261" s="291"/>
      <c r="O4261" s="291"/>
      <c r="S4261" s="364"/>
      <c r="Z4261" s="609" t="s">
        <v>4093</v>
      </c>
      <c r="AA4261" s="609" t="s">
        <v>5690</v>
      </c>
    </row>
    <row r="4262" spans="1:29" ht="18">
      <c r="A4262" s="2712">
        <v>2401</v>
      </c>
      <c r="B4262" s="371">
        <v>51</v>
      </c>
      <c r="C4262" s="2714" t="str">
        <f>VLOOKUP($A4262,Sheet_Items,2,0)</f>
        <v>递延收益</v>
      </c>
      <c r="D4262" s="371"/>
      <c r="E4262" s="2714" t="s">
        <v>2739</v>
      </c>
      <c r="F4262" s="294"/>
      <c r="G4262" s="305" t="str">
        <f>B4262&amp;" "&amp;C4262</f>
        <v>51 递延收益</v>
      </c>
      <c r="H4262" s="306"/>
      <c r="I4262" s="306"/>
      <c r="J4262" s="306" t="s">
        <v>2740</v>
      </c>
      <c r="K4262" s="341">
        <f>VLOOKUP($A4262,Sheet_Trialbal,6,0)</f>
        <v>0</v>
      </c>
      <c r="L4262" s="342"/>
      <c r="M4262" s="306" t="s">
        <v>2741</v>
      </c>
      <c r="N4262" s="341">
        <f>VLOOKUP($A4262,Sheet_Trialbal,10,0)</f>
        <v>0</v>
      </c>
      <c r="O4262" s="306"/>
      <c r="P4262" s="301"/>
      <c r="S4262" s="364"/>
      <c r="Z4262" s="609" t="s">
        <v>4101</v>
      </c>
      <c r="AA4262" s="609" t="s">
        <v>5691</v>
      </c>
    </row>
    <row r="4263" spans="1:29" ht="18">
      <c r="A4263" s="2712" t="s">
        <v>1751</v>
      </c>
      <c r="B4263" s="371">
        <v>1</v>
      </c>
      <c r="C4263" s="371"/>
      <c r="D4263" s="2714" t="str">
        <f>VLOOKUP($A4263,Sheet_NoteList,2,0)</f>
        <v>递延收益情况</v>
      </c>
      <c r="E4263" s="2714" t="s">
        <v>2742</v>
      </c>
      <c r="F4263" s="294"/>
      <c r="G4263" s="307" t="str">
        <f>"("&amp;B4263&amp;")"&amp;D4263</f>
        <v>(1)递延收益情况</v>
      </c>
      <c r="H4263" s="1515" t="str">
        <f>$A4263</f>
        <v>2401a</v>
      </c>
      <c r="I4263" s="343" t="s">
        <v>2743</v>
      </c>
      <c r="J4263" s="301" t="s">
        <v>2744</v>
      </c>
      <c r="K4263" s="2208">
        <f>K4269</f>
        <v>0</v>
      </c>
      <c r="L4263" s="345" t="str">
        <f>IF($I4263="适用",IF(ROUND(K4262-K4263,2)=0,"F/S",ROUND(K4262-K4263,2)),"#N/A")</f>
        <v>F/S</v>
      </c>
      <c r="M4263" s="301" t="s">
        <v>2745</v>
      </c>
      <c r="N4263" s="2208">
        <f>H4269</f>
        <v>0</v>
      </c>
      <c r="O4263" s="345" t="str">
        <f>IF($I4263="适用",IF(ROUND(N4262-N4263,2)=0,"F/S",ROUND(N4262-N4263,2)),"#N/A")</f>
        <v>F/S</v>
      </c>
      <c r="P4263" s="301"/>
      <c r="Q4263" s="290" t="str">
        <f>IF($I4263="不适用","",IF(ROUND(SUM($H$4266:$L$4269),2)=0,"请输入",""))</f>
        <v>请输入</v>
      </c>
      <c r="S4263" s="364"/>
      <c r="Z4263" s="609" t="s">
        <v>4101</v>
      </c>
      <c r="AA4263" s="609" t="s">
        <v>5691</v>
      </c>
    </row>
    <row r="4264" spans="1:29" ht="0.75" customHeight="1" thickBot="1">
      <c r="A4264" s="2712"/>
      <c r="B4264" s="371"/>
      <c r="C4264" s="371"/>
      <c r="D4264" s="371"/>
      <c r="E4264" s="586"/>
      <c r="F4264" s="586"/>
      <c r="G4264" s="586" t="s">
        <v>4102</v>
      </c>
      <c r="H4264" s="371" t="s">
        <v>2904</v>
      </c>
      <c r="I4264" s="371" t="s">
        <v>3255</v>
      </c>
      <c r="J4264" s="371" t="s">
        <v>3256</v>
      </c>
      <c r="K4264" s="371" t="s">
        <v>3241</v>
      </c>
      <c r="L4264" s="371" t="s">
        <v>4070</v>
      </c>
      <c r="M4264" s="291"/>
      <c r="N4264" s="291"/>
      <c r="O4264" s="291"/>
      <c r="S4264" s="364"/>
      <c r="Z4264" s="609" t="s">
        <v>4101</v>
      </c>
      <c r="AA4264" s="609" t="s">
        <v>5691</v>
      </c>
    </row>
    <row r="4265" spans="1:29" ht="18">
      <c r="A4265" s="2712"/>
      <c r="B4265" s="371"/>
      <c r="C4265" s="371"/>
      <c r="D4265" s="371"/>
      <c r="E4265" s="586" t="s">
        <v>2749</v>
      </c>
      <c r="F4265" s="363"/>
      <c r="G4265" s="2409" t="s">
        <v>47</v>
      </c>
      <c r="H4265" s="2473" t="str">
        <f>$V$3</f>
        <v>2018年12月31日</v>
      </c>
      <c r="I4265" s="2414" t="s">
        <v>3027</v>
      </c>
      <c r="J4265" s="2414" t="s">
        <v>3028</v>
      </c>
      <c r="K4265" s="2473" t="str">
        <f>$V$2</f>
        <v>2019年12月31日</v>
      </c>
      <c r="L4265" s="2417" t="s">
        <v>4071</v>
      </c>
      <c r="M4265" s="355" t="s">
        <v>5314</v>
      </c>
      <c r="N4265" s="291"/>
      <c r="O4265" s="291"/>
      <c r="S4265" s="364"/>
      <c r="Z4265" s="609" t="s">
        <v>4101</v>
      </c>
      <c r="AA4265" s="609" t="s">
        <v>5691</v>
      </c>
    </row>
    <row r="4266" spans="1:29" ht="18">
      <c r="A4266" s="2712"/>
      <c r="B4266" s="371">
        <v>101</v>
      </c>
      <c r="C4266" s="371"/>
      <c r="D4266" s="2714">
        <f>IF(OR(G4266="*",G4266="",G4266=0),0,COUNTIF($G$4266:$G$4269,G4266))</f>
        <v>1</v>
      </c>
      <c r="E4266" s="2719">
        <v>1</v>
      </c>
      <c r="F4266" s="294"/>
      <c r="G4266" s="1472" t="s">
        <v>905</v>
      </c>
      <c r="H4266" s="2273"/>
      <c r="I4266" s="2273"/>
      <c r="J4266" s="2273"/>
      <c r="K4266" s="1474">
        <f>H4266+I4266-J4266</f>
        <v>0</v>
      </c>
      <c r="L4266" s="2274"/>
      <c r="M4266" s="1531" t="str">
        <f ca="1">HYPERLINK("#'"&amp;$G$1&amp;"'!"&amp;ADDRESS(ROW(Notes!H4282),COLUMN(Notes!H4282),4),"* 请勿删除此行！点击往勾稽单元格，F5+Enter返回")</f>
        <v>* 请勿删除此行！点击往勾稽单元格，F5+Enter返回</v>
      </c>
      <c r="N4266" s="291"/>
      <c r="O4266" s="291"/>
      <c r="S4266" s="364"/>
      <c r="Z4266" s="609" t="s">
        <v>4101</v>
      </c>
      <c r="AA4266" s="609" t="s">
        <v>5691</v>
      </c>
      <c r="AC4266" s="369" t="s">
        <v>6571</v>
      </c>
    </row>
    <row r="4267" spans="1:29" ht="18">
      <c r="A4267" s="2712"/>
      <c r="B4267" s="371">
        <v>102</v>
      </c>
      <c r="C4267" s="371" t="s">
        <v>2791</v>
      </c>
      <c r="D4267" s="2714">
        <f>IF(OR(G4267="*",G4267="",G4267=0),0,COUNTIF($G$4266:$G$4269,G4267))</f>
        <v>0</v>
      </c>
      <c r="E4267" s="2719">
        <v>1</v>
      </c>
      <c r="F4267" s="294"/>
      <c r="G4267" s="2416" t="s">
        <v>2792</v>
      </c>
      <c r="H4267" s="2273"/>
      <c r="I4267" s="2273"/>
      <c r="J4267" s="2273"/>
      <c r="K4267" s="1474">
        <f>H4267+I4267-J4267</f>
        <v>0</v>
      </c>
      <c r="L4267" s="2274"/>
      <c r="M4267" s="291"/>
      <c r="N4267" s="291"/>
      <c r="O4267" s="291"/>
      <c r="S4267" s="364"/>
      <c r="Z4267" s="609" t="s">
        <v>4101</v>
      </c>
      <c r="AA4267" s="609" t="s">
        <v>5691</v>
      </c>
    </row>
    <row r="4268" spans="1:29" ht="18">
      <c r="A4268" s="2712"/>
      <c r="B4268" s="371">
        <v>103</v>
      </c>
      <c r="C4268" s="371" t="s">
        <v>2791</v>
      </c>
      <c r="D4268" s="2714">
        <f>IF(OR(G4268="*",G4268="",G4268=0),0,COUNTIF($G$4266:$G$4269,G4268))</f>
        <v>0</v>
      </c>
      <c r="E4268" s="2719">
        <v>1</v>
      </c>
      <c r="F4268" s="294"/>
      <c r="G4268" s="2416" t="s">
        <v>2792</v>
      </c>
      <c r="H4268" s="2273"/>
      <c r="I4268" s="2273"/>
      <c r="J4268" s="2273"/>
      <c r="K4268" s="1474">
        <f>H4268+I4268-J4268</f>
        <v>0</v>
      </c>
      <c r="L4268" s="2274"/>
      <c r="M4268" s="291"/>
      <c r="N4268" s="291"/>
      <c r="O4268" s="291"/>
      <c r="S4268" s="364"/>
      <c r="Z4268" s="609" t="s">
        <v>4101</v>
      </c>
      <c r="AA4268" s="609" t="s">
        <v>5691</v>
      </c>
    </row>
    <row r="4269" spans="1:29" ht="18.75" thickBot="1">
      <c r="A4269" s="2712"/>
      <c r="B4269" s="371"/>
      <c r="C4269" s="371"/>
      <c r="D4269" s="2714">
        <f>IF(OR(G4269="*",G4269="",G4269=0),0,COUNTIF($G$4266:$G$4269,G4269))</f>
        <v>1</v>
      </c>
      <c r="E4269" s="2719" t="s">
        <v>2751</v>
      </c>
      <c r="F4269" s="294"/>
      <c r="G4269" s="374" t="s">
        <v>2752</v>
      </c>
      <c r="H4269" s="1476">
        <f>SUMPRODUCT($E4265:$E4268,H4265:H4268)</f>
        <v>0</v>
      </c>
      <c r="I4269" s="1476">
        <f>SUMPRODUCT($E4265:$E4268,I4265:I4268)</f>
        <v>0</v>
      </c>
      <c r="J4269" s="1476">
        <f>SUMPRODUCT($E4265:$E4268,J4265:J4268)</f>
        <v>0</v>
      </c>
      <c r="K4269" s="1476">
        <f>SUMPRODUCT($E4265:$E4268,K4265:K4268)</f>
        <v>0</v>
      </c>
      <c r="L4269" s="2258"/>
      <c r="M4269" s="291"/>
      <c r="N4269" s="291"/>
      <c r="O4269" s="291"/>
      <c r="S4269" s="364"/>
      <c r="Z4269" s="609" t="s">
        <v>4101</v>
      </c>
      <c r="AA4269" s="609" t="s">
        <v>5691</v>
      </c>
    </row>
    <row r="4270" spans="1:29" ht="18">
      <c r="A4270" s="2712"/>
      <c r="B4270" s="371"/>
      <c r="C4270" s="371" t="s">
        <v>2755</v>
      </c>
      <c r="D4270" s="371"/>
      <c r="F4270" s="294"/>
      <c r="G4270" s="301"/>
      <c r="H4270" s="315"/>
      <c r="I4270" s="315"/>
      <c r="J4270" s="315"/>
      <c r="K4270" s="315"/>
      <c r="L4270" s="393"/>
      <c r="M4270" s="291"/>
      <c r="N4270" s="291"/>
      <c r="O4270" s="291"/>
      <c r="S4270" s="364"/>
      <c r="Z4270" s="609" t="s">
        <v>4101</v>
      </c>
      <c r="AA4270" s="609" t="s">
        <v>5691</v>
      </c>
    </row>
    <row r="4271" spans="1:29" ht="24">
      <c r="A4271" s="2712" t="s">
        <v>1756</v>
      </c>
      <c r="B4271" s="371">
        <v>2</v>
      </c>
      <c r="C4271" s="371"/>
      <c r="D4271" s="2714" t="str">
        <f>VLOOKUP($A4271,Sheet_NoteList,2,0)</f>
        <v>递延收益（涉及政府补助的项目）</v>
      </c>
      <c r="E4271" s="2714" t="s">
        <v>6529</v>
      </c>
      <c r="F4271" s="294"/>
      <c r="G4271" s="372" t="str">
        <f>"("&amp;B4271&amp;")"&amp;D4271</f>
        <v>(2)递延收益（涉及政府补助的项目）</v>
      </c>
      <c r="H4271" s="1515" t="str">
        <f>$A4271</f>
        <v>2401b</v>
      </c>
      <c r="I4271" s="343" t="s">
        <v>5251</v>
      </c>
      <c r="J4271" s="301"/>
      <c r="K4271" s="391"/>
      <c r="L4271" s="345"/>
      <c r="M4271" s="301"/>
      <c r="N4271" s="391"/>
      <c r="O4271" s="345"/>
      <c r="P4271" s="301"/>
      <c r="Q4271" s="290" t="str">
        <f>IF($I4271="不适用","",IF(ROUND(SUM($H$4274:$N$4279),2)=0,"请输入",""))</f>
        <v>请输入</v>
      </c>
      <c r="S4271" s="364"/>
      <c r="Z4271" s="609" t="s">
        <v>4101</v>
      </c>
      <c r="AA4271" s="609" t="s">
        <v>5691</v>
      </c>
    </row>
    <row r="4272" spans="1:29" ht="0.75" customHeight="1" thickBot="1">
      <c r="A4272" s="2712"/>
      <c r="B4272" s="371"/>
      <c r="C4272" s="371"/>
      <c r="D4272" s="371"/>
      <c r="E4272" s="586"/>
      <c r="F4272" s="586"/>
      <c r="G4272" s="586" t="s">
        <v>4103</v>
      </c>
      <c r="H4272" s="371" t="s">
        <v>6289</v>
      </c>
      <c r="I4272" s="371" t="s">
        <v>6290</v>
      </c>
      <c r="J4272" s="371" t="s">
        <v>6291</v>
      </c>
      <c r="K4272" s="371" t="s">
        <v>6292</v>
      </c>
      <c r="L4272" s="371" t="s">
        <v>6293</v>
      </c>
      <c r="M4272" s="371" t="s">
        <v>6294</v>
      </c>
      <c r="N4272" s="371" t="s">
        <v>6295</v>
      </c>
      <c r="O4272" s="1602"/>
      <c r="P4272" s="1602"/>
      <c r="Q4272" s="442"/>
      <c r="R4272" s="364"/>
      <c r="Z4272" s="609" t="s">
        <v>4101</v>
      </c>
      <c r="AA4272" s="609" t="s">
        <v>5691</v>
      </c>
    </row>
    <row r="4273" spans="1:32" ht="36">
      <c r="A4273" s="2712"/>
      <c r="B4273" s="371"/>
      <c r="C4273" s="371"/>
      <c r="D4273" s="371"/>
      <c r="E4273" s="586" t="s">
        <v>2749</v>
      </c>
      <c r="F4273" s="363"/>
      <c r="G4273" s="2527" t="s">
        <v>6073</v>
      </c>
      <c r="H4273" s="2530" t="str">
        <f>$V$3</f>
        <v>2018年12月31日</v>
      </c>
      <c r="I4273" s="2524" t="s">
        <v>4010</v>
      </c>
      <c r="J4273" s="2524" t="s">
        <v>4011</v>
      </c>
      <c r="K4273" s="2524" t="s">
        <v>4104</v>
      </c>
      <c r="L4273" s="2524" t="s">
        <v>4012</v>
      </c>
      <c r="M4273" s="2530" t="str">
        <f>$V$2</f>
        <v>2019年12月31日</v>
      </c>
      <c r="N4273" s="2523" t="s">
        <v>5235</v>
      </c>
      <c r="O4273" s="2670" t="s">
        <v>5314</v>
      </c>
      <c r="P4273" s="1602"/>
      <c r="Q4273" s="1602"/>
      <c r="S4273" s="364"/>
      <c r="Z4273" s="609" t="s">
        <v>4101</v>
      </c>
      <c r="AA4273" s="609" t="s">
        <v>5691</v>
      </c>
      <c r="AF4273" s="369" t="s">
        <v>2761</v>
      </c>
    </row>
    <row r="4274" spans="1:32" ht="18">
      <c r="A4274" s="2712"/>
      <c r="B4274" s="371">
        <v>101</v>
      </c>
      <c r="C4274" s="371" t="s">
        <v>2791</v>
      </c>
      <c r="D4274" s="2714">
        <f t="shared" ref="D4274:D4279" si="474">IF(OR(G4274="*",G4274="",G4274=0),0,COUNTIF($G$4274:$G$4279,G4274))</f>
        <v>0</v>
      </c>
      <c r="E4274" s="2719">
        <v>1</v>
      </c>
      <c r="F4274" s="294"/>
      <c r="G4274" s="2528" t="s">
        <v>2792</v>
      </c>
      <c r="H4274" s="2273"/>
      <c r="I4274" s="2273"/>
      <c r="J4274" s="2273"/>
      <c r="K4274" s="2273"/>
      <c r="L4274" s="2273"/>
      <c r="M4274" s="1474">
        <f>SUM(H4274:I4274,-J4274,-K4274,L4274)</f>
        <v>0</v>
      </c>
      <c r="N4274" s="2274"/>
      <c r="O4274" s="2670" t="s">
        <v>6359</v>
      </c>
      <c r="P4274" s="2671" t="s">
        <v>6360</v>
      </c>
      <c r="Q4274" s="1602"/>
      <c r="S4274" s="364"/>
      <c r="Z4274" s="609" t="s">
        <v>4101</v>
      </c>
      <c r="AA4274" s="609" t="s">
        <v>5691</v>
      </c>
      <c r="AF4274" s="369" t="s">
        <v>2761</v>
      </c>
    </row>
    <row r="4275" spans="1:32" ht="18">
      <c r="A4275" s="2712"/>
      <c r="B4275" s="371">
        <v>102</v>
      </c>
      <c r="C4275" s="371" t="s">
        <v>2791</v>
      </c>
      <c r="D4275" s="2714">
        <f t="shared" si="474"/>
        <v>0</v>
      </c>
      <c r="E4275" s="2719">
        <v>1</v>
      </c>
      <c r="F4275" s="294"/>
      <c r="G4275" s="2528" t="s">
        <v>2792</v>
      </c>
      <c r="H4275" s="2273"/>
      <c r="I4275" s="2273"/>
      <c r="J4275" s="2273"/>
      <c r="K4275" s="2273"/>
      <c r="L4275" s="2273"/>
      <c r="M4275" s="1474">
        <f t="shared" ref="M4275:M4278" si="475">SUM(H4275:I4275,-J4275,-K4275,L4275)</f>
        <v>0</v>
      </c>
      <c r="N4275" s="2274"/>
      <c r="O4275" s="1602"/>
      <c r="P4275" s="2671" t="s">
        <v>6361</v>
      </c>
      <c r="Q4275" s="1602"/>
      <c r="S4275" s="364"/>
      <c r="Z4275" s="609" t="s">
        <v>4101</v>
      </c>
      <c r="AA4275" s="609" t="s">
        <v>5691</v>
      </c>
      <c r="AF4275" s="369" t="s">
        <v>2761</v>
      </c>
    </row>
    <row r="4276" spans="1:32" ht="18">
      <c r="A4276" s="2712"/>
      <c r="B4276" s="371">
        <v>103</v>
      </c>
      <c r="C4276" s="371" t="s">
        <v>2791</v>
      </c>
      <c r="D4276" s="2714">
        <f t="shared" si="474"/>
        <v>0</v>
      </c>
      <c r="E4276" s="2719">
        <v>1</v>
      </c>
      <c r="F4276" s="294"/>
      <c r="G4276" s="2528" t="s">
        <v>2792</v>
      </c>
      <c r="H4276" s="2273"/>
      <c r="I4276" s="2273"/>
      <c r="J4276" s="2273"/>
      <c r="K4276" s="2273"/>
      <c r="L4276" s="2273"/>
      <c r="M4276" s="1474">
        <f t="shared" si="475"/>
        <v>0</v>
      </c>
      <c r="N4276" s="2274"/>
      <c r="O4276" s="1602"/>
      <c r="P4276" s="1602"/>
      <c r="Q4276" s="1602"/>
      <c r="S4276" s="364"/>
      <c r="Z4276" s="609" t="s">
        <v>4101</v>
      </c>
      <c r="AA4276" s="609" t="s">
        <v>5691</v>
      </c>
      <c r="AF4276" s="369" t="s">
        <v>2761</v>
      </c>
    </row>
    <row r="4277" spans="1:32" ht="18">
      <c r="A4277" s="2712"/>
      <c r="B4277" s="371">
        <v>104</v>
      </c>
      <c r="C4277" s="371" t="s">
        <v>2791</v>
      </c>
      <c r="D4277" s="2714">
        <f t="shared" si="474"/>
        <v>0</v>
      </c>
      <c r="E4277" s="2719">
        <v>1</v>
      </c>
      <c r="F4277" s="294"/>
      <c r="G4277" s="2528" t="s">
        <v>2792</v>
      </c>
      <c r="H4277" s="2273"/>
      <c r="I4277" s="2273"/>
      <c r="J4277" s="2273"/>
      <c r="K4277" s="2273"/>
      <c r="L4277" s="2273"/>
      <c r="M4277" s="1474">
        <f t="shared" si="475"/>
        <v>0</v>
      </c>
      <c r="N4277" s="2274"/>
      <c r="O4277" s="1602"/>
      <c r="P4277" s="1602"/>
      <c r="Q4277" s="1602"/>
      <c r="S4277" s="364"/>
      <c r="Z4277" s="609" t="s">
        <v>4101</v>
      </c>
      <c r="AA4277" s="609" t="s">
        <v>5691</v>
      </c>
      <c r="AF4277" s="369" t="s">
        <v>2761</v>
      </c>
    </row>
    <row r="4278" spans="1:32" ht="18">
      <c r="A4278" s="2712"/>
      <c r="B4278" s="371">
        <v>105</v>
      </c>
      <c r="C4278" s="371" t="s">
        <v>2791</v>
      </c>
      <c r="D4278" s="2714">
        <f t="shared" si="474"/>
        <v>0</v>
      </c>
      <c r="E4278" s="2719">
        <v>1</v>
      </c>
      <c r="F4278" s="294"/>
      <c r="G4278" s="2528" t="s">
        <v>2792</v>
      </c>
      <c r="H4278" s="2273"/>
      <c r="I4278" s="2273"/>
      <c r="J4278" s="2273"/>
      <c r="K4278" s="2273"/>
      <c r="L4278" s="2273"/>
      <c r="M4278" s="1474">
        <f t="shared" si="475"/>
        <v>0</v>
      </c>
      <c r="N4278" s="2274"/>
      <c r="O4278" s="1602"/>
      <c r="P4278" s="1602"/>
      <c r="Q4278" s="1602"/>
      <c r="S4278" s="364"/>
      <c r="Z4278" s="609" t="s">
        <v>4101</v>
      </c>
      <c r="AA4278" s="609" t="s">
        <v>5691</v>
      </c>
      <c r="AF4278" s="369" t="s">
        <v>2761</v>
      </c>
    </row>
    <row r="4279" spans="1:32" ht="18.75" thickBot="1">
      <c r="A4279" s="2712"/>
      <c r="B4279" s="371"/>
      <c r="C4279" s="371"/>
      <c r="D4279" s="2714">
        <f t="shared" si="474"/>
        <v>1</v>
      </c>
      <c r="E4279" s="2719" t="s">
        <v>4013</v>
      </c>
      <c r="F4279" s="294"/>
      <c r="G4279" s="374" t="s">
        <v>2752</v>
      </c>
      <c r="H4279" s="1476">
        <f t="shared" ref="H4279:M4279" si="476">SUMPRODUCT($E4273:$E4278,H4273:H4278)</f>
        <v>0</v>
      </c>
      <c r="I4279" s="1476">
        <f t="shared" si="476"/>
        <v>0</v>
      </c>
      <c r="J4279" s="1476">
        <f t="shared" si="476"/>
        <v>0</v>
      </c>
      <c r="K4279" s="1476">
        <f t="shared" si="476"/>
        <v>0</v>
      </c>
      <c r="L4279" s="1476">
        <f t="shared" si="476"/>
        <v>0</v>
      </c>
      <c r="M4279" s="1476">
        <f t="shared" si="476"/>
        <v>0</v>
      </c>
      <c r="N4279" s="2258"/>
      <c r="O4279" s="2674" t="str">
        <f ca="1">HYPERLINK("#'"&amp;$G$1&amp;"'!"&amp;ADDRESS(ROW(Notes!H4793),COLUMN(Notes!H4793),4),"* 请勿删除此行！点击往勾稽单元格，F5+Enter返回")</f>
        <v>* 请勿删除此行！点击往勾稽单元格，F5+Enter返回</v>
      </c>
      <c r="P4279" s="1602"/>
      <c r="Q4279" s="1602"/>
      <c r="S4279" s="364"/>
      <c r="Z4279" s="609" t="s">
        <v>4101</v>
      </c>
      <c r="AA4279" s="609" t="s">
        <v>5691</v>
      </c>
      <c r="AC4279" s="369" t="s">
        <v>2794</v>
      </c>
      <c r="AF4279" s="369" t="s">
        <v>2761</v>
      </c>
    </row>
    <row r="4280" spans="1:32" ht="18.75" thickBot="1">
      <c r="A4280" s="2712"/>
      <c r="B4280" s="371"/>
      <c r="C4280" s="371" t="s">
        <v>2755</v>
      </c>
      <c r="D4280" s="371"/>
      <c r="F4280" s="294"/>
      <c r="G4280" s="301"/>
      <c r="H4280" s="527" t="s">
        <v>3002</v>
      </c>
      <c r="I4280" s="315"/>
      <c r="J4280" s="315"/>
      <c r="K4280" s="315"/>
      <c r="L4280" s="315"/>
      <c r="M4280" s="527" t="s">
        <v>3002</v>
      </c>
      <c r="N4280" s="393"/>
      <c r="O4280" s="1602"/>
      <c r="P4280" s="1602"/>
      <c r="Q4280" s="442"/>
      <c r="R4280" s="442"/>
      <c r="S4280" s="364"/>
      <c r="Z4280" s="609" t="s">
        <v>4101</v>
      </c>
      <c r="AA4280" s="609" t="s">
        <v>5691</v>
      </c>
    </row>
    <row r="4281" spans="1:32" ht="18.75" thickTop="1">
      <c r="A4281" s="2712"/>
      <c r="B4281" s="371"/>
      <c r="C4281" s="371" t="s">
        <v>2565</v>
      </c>
      <c r="D4281" s="371"/>
      <c r="F4281" s="294"/>
      <c r="G4281" s="1559" t="s">
        <v>5365</v>
      </c>
      <c r="H4281" s="1548" t="str">
        <f>G4263</f>
        <v>(1)递延收益情况</v>
      </c>
      <c r="I4281" s="1549"/>
      <c r="J4281" s="1549"/>
      <c r="K4281" s="1549"/>
      <c r="L4281" s="1549"/>
      <c r="M4281" s="1550"/>
      <c r="N4281" s="1549"/>
      <c r="O4281" s="1551" t="s">
        <v>5366</v>
      </c>
      <c r="S4281" s="364"/>
      <c r="Z4281" s="609" t="s">
        <v>4101</v>
      </c>
      <c r="AA4281" s="609" t="s">
        <v>5691</v>
      </c>
    </row>
    <row r="4282" spans="1:32" ht="18">
      <c r="A4282" s="2712"/>
      <c r="B4282" s="371"/>
      <c r="C4282" s="371" t="s">
        <v>2565</v>
      </c>
      <c r="D4282" s="371"/>
      <c r="F4282" s="294"/>
      <c r="G4282" s="316" t="str">
        <f>"注释A:"&amp; G4266</f>
        <v>注释A:政府补助</v>
      </c>
      <c r="H4282" s="2250">
        <f ca="1">HYPERLINK("#'"&amp;$G$1&amp;"'!"&amp;ADDRESS(ROW(Notes!H4266),COLUMN(Notes!H4266),4),H4266)</f>
        <v>0</v>
      </c>
      <c r="I4282" s="351"/>
      <c r="J4282" s="351"/>
      <c r="K4282" s="351"/>
      <c r="L4282" s="351"/>
      <c r="M4282" s="2250">
        <f ca="1">HYPERLINK("#'"&amp;$G$1&amp;"'!"&amp;ADDRESS(ROW(Notes!K4266),COLUMN(Notes!K4266),4),K4266)</f>
        <v>0</v>
      </c>
      <c r="N4282" s="351"/>
      <c r="O4282" s="2630" t="str">
        <f>H4263</f>
        <v>2401a</v>
      </c>
      <c r="S4282" s="364"/>
      <c r="Z4282" s="609" t="s">
        <v>4101</v>
      </c>
      <c r="AA4282" s="609" t="s">
        <v>5691</v>
      </c>
    </row>
    <row r="4283" spans="1:32" ht="18">
      <c r="A4283" s="2712"/>
      <c r="B4283" s="371"/>
      <c r="C4283" s="371" t="s">
        <v>2565</v>
      </c>
      <c r="D4283" s="371"/>
      <c r="F4283" s="294"/>
      <c r="G4283" s="316" t="str">
        <f>"本注释B:"&amp; G4279</f>
        <v>本注释B:合       计</v>
      </c>
      <c r="H4283" s="456">
        <f>H4279</f>
        <v>0</v>
      </c>
      <c r="I4283" s="351"/>
      <c r="J4283" s="351"/>
      <c r="K4283" s="351"/>
      <c r="L4283" s="351"/>
      <c r="M4283" s="456">
        <f>M4279</f>
        <v>0</v>
      </c>
      <c r="N4283" s="351"/>
      <c r="O4283" s="2636" t="s">
        <v>1756</v>
      </c>
      <c r="S4283" s="364"/>
      <c r="Z4283" s="609" t="s">
        <v>4101</v>
      </c>
      <c r="AA4283" s="609" t="s">
        <v>5691</v>
      </c>
    </row>
    <row r="4284" spans="1:32" ht="18.75" thickBot="1">
      <c r="A4284" s="2712"/>
      <c r="B4284" s="371"/>
      <c r="C4284" s="371" t="s">
        <v>2565</v>
      </c>
      <c r="D4284" s="371"/>
      <c r="F4284" s="294"/>
      <c r="G4284" s="1560" t="s">
        <v>2757</v>
      </c>
      <c r="H4284" s="1529">
        <f ca="1">IF(AND(H4282="",H4283=""),"",ROUND(H4282-H4283,2))</f>
        <v>0</v>
      </c>
      <c r="I4284" s="1553"/>
      <c r="J4284" s="1553"/>
      <c r="K4284" s="1553"/>
      <c r="L4284" s="1553"/>
      <c r="M4284" s="1529">
        <f ca="1">IF(AND(M4282="",M4283=""),"",ROUND(M4282-M4283,2))</f>
        <v>0</v>
      </c>
      <c r="N4284" s="1553"/>
      <c r="O4284" s="1553"/>
      <c r="S4284" s="364"/>
      <c r="Z4284" s="609" t="s">
        <v>4101</v>
      </c>
      <c r="AA4284" s="609" t="s">
        <v>5691</v>
      </c>
    </row>
    <row r="4285" spans="1:32" ht="18.75" thickTop="1">
      <c r="A4285" s="2712"/>
      <c r="B4285" s="371"/>
      <c r="C4285" s="371" t="s">
        <v>2565</v>
      </c>
      <c r="D4285" s="371"/>
      <c r="F4285" s="294"/>
      <c r="G4285" s="354"/>
      <c r="H4285" s="459" t="str">
        <f ca="1">IF(OR(H4284=0,H4284=""),"√","？")</f>
        <v>√</v>
      </c>
      <c r="I4285" s="317"/>
      <c r="J4285" s="317"/>
      <c r="K4285" s="317"/>
      <c r="L4285" s="317"/>
      <c r="M4285" s="459" t="str">
        <f ca="1">IF(OR(M4284=0,M4284=""),"√","？")</f>
        <v>√</v>
      </c>
      <c r="N4285" s="317"/>
      <c r="O4285" s="354"/>
      <c r="S4285" s="364"/>
      <c r="Z4285" s="609" t="s">
        <v>4101</v>
      </c>
      <c r="AA4285" s="609" t="s">
        <v>5691</v>
      </c>
    </row>
    <row r="4286" spans="1:32" ht="18">
      <c r="A4286" s="2712"/>
      <c r="B4286" s="371"/>
      <c r="C4286" s="371" t="s">
        <v>2565</v>
      </c>
      <c r="D4286" s="371"/>
      <c r="F4286" s="294"/>
      <c r="G4286" s="460" t="s">
        <v>2759</v>
      </c>
      <c r="H4286" s="461"/>
      <c r="I4286" s="317"/>
      <c r="J4286" s="317"/>
      <c r="K4286" s="352">
        <f ca="1">SUMIF($H$4285:$O$4285,"&lt;&gt;√",$H$4284:$O$4284)</f>
        <v>0</v>
      </c>
      <c r="L4286" s="353" t="str">
        <f ca="1">IF(OR(K4286=0,K4286=""),"√","？")</f>
        <v>√</v>
      </c>
      <c r="M4286" s="461"/>
      <c r="N4286" s="317"/>
      <c r="O4286" s="354"/>
      <c r="S4286" s="364"/>
      <c r="Z4286" s="609" t="s">
        <v>4101</v>
      </c>
      <c r="AA4286" s="609" t="s">
        <v>5691</v>
      </c>
    </row>
    <row r="4287" spans="1:32" ht="18">
      <c r="A4287" s="2712"/>
      <c r="B4287" s="371"/>
      <c r="C4287" s="371" t="s">
        <v>2565</v>
      </c>
      <c r="D4287" s="371"/>
      <c r="F4287" s="294"/>
      <c r="G4287" s="354"/>
      <c r="H4287" s="461"/>
      <c r="I4287" s="317"/>
      <c r="J4287" s="317"/>
      <c r="K4287" s="317"/>
      <c r="L4287" s="317"/>
      <c r="M4287" s="461"/>
      <c r="N4287" s="317"/>
      <c r="O4287" s="354"/>
      <c r="S4287" s="364"/>
      <c r="Z4287" s="609" t="s">
        <v>4101</v>
      </c>
      <c r="AA4287" s="609" t="s">
        <v>5691</v>
      </c>
    </row>
    <row r="4288" spans="1:32" ht="18">
      <c r="A4288" s="2712">
        <v>2996</v>
      </c>
      <c r="B4288" s="371">
        <v>52</v>
      </c>
      <c r="C4288" s="2714" t="str">
        <f>VLOOKUP($A4288,Sheet_Items,2,0)</f>
        <v>其他非流动负债</v>
      </c>
      <c r="D4288" s="371"/>
      <c r="E4288" s="2714" t="s">
        <v>2739</v>
      </c>
      <c r="F4288" s="294"/>
      <c r="G4288" s="535" t="str">
        <f>B4288&amp;" "&amp;C4288</f>
        <v>52 其他非流动负债</v>
      </c>
      <c r="H4288" s="306"/>
      <c r="I4288" s="306"/>
      <c r="J4288" s="306" t="s">
        <v>2740</v>
      </c>
      <c r="K4288" s="341">
        <f>VLOOKUP($A4288,Sheet_Trialbal,6,0)</f>
        <v>0</v>
      </c>
      <c r="L4288" s="342"/>
      <c r="M4288" s="306" t="s">
        <v>2741</v>
      </c>
      <c r="N4288" s="341">
        <f>VLOOKUP($A4288,Sheet_Trialbal,10,0)</f>
        <v>0</v>
      </c>
      <c r="O4288" s="306"/>
      <c r="P4288" s="301"/>
      <c r="S4288" s="364"/>
      <c r="Z4288" s="609" t="s">
        <v>4105</v>
      </c>
      <c r="AA4288" s="609" t="s">
        <v>5693</v>
      </c>
    </row>
    <row r="4289" spans="1:27" ht="24">
      <c r="A4289" s="2712" t="s">
        <v>1761</v>
      </c>
      <c r="B4289" s="371">
        <v>1</v>
      </c>
      <c r="C4289" s="371"/>
      <c r="D4289" s="2714" t="str">
        <f>VLOOKUP($A4289,Sheet_NoteList,2,0)</f>
        <v>其他非流动负债明细项目</v>
      </c>
      <c r="E4289" s="2714" t="s">
        <v>2742</v>
      </c>
      <c r="F4289" s="294"/>
      <c r="G4289" s="372" t="str">
        <f>"("&amp;B4289&amp;")"&amp;D4289</f>
        <v>(1)其他非流动负债明细项目</v>
      </c>
      <c r="H4289" s="1515" t="str">
        <f>$A4289</f>
        <v>2996a</v>
      </c>
      <c r="I4289" s="343" t="s">
        <v>2743</v>
      </c>
      <c r="J4289" s="301" t="s">
        <v>2744</v>
      </c>
      <c r="K4289" s="2208">
        <f>H4297</f>
        <v>0</v>
      </c>
      <c r="L4289" s="345" t="str">
        <f>IF($I4289="适用",IF(ROUND(K4288-K4289,2)=0,"F/S",ROUND(K4288-K4289,2)),"#N/A")</f>
        <v>F/S</v>
      </c>
      <c r="M4289" s="301" t="s">
        <v>2745</v>
      </c>
      <c r="N4289" s="2208">
        <f>I4297</f>
        <v>0</v>
      </c>
      <c r="O4289" s="345" t="str">
        <f>IF($I4289="适用",IF(ROUND(N4288-N4289,2)=0,"F/S",ROUND(N4288-N4289,2)),"#N/A")</f>
        <v>F/S</v>
      </c>
      <c r="P4289" s="301"/>
      <c r="Q4289" s="290" t="str">
        <f>IF($I4289="不适用","",IF(ROUND(SUM($H$4292:$I$4297),2)=0,"请输入",""))</f>
        <v>请输入</v>
      </c>
      <c r="S4289" s="364"/>
      <c r="Z4289" s="609" t="s">
        <v>4105</v>
      </c>
      <c r="AA4289" s="609" t="s">
        <v>5693</v>
      </c>
    </row>
    <row r="4290" spans="1:27" ht="0.75" customHeight="1" thickBot="1">
      <c r="A4290" s="2712"/>
      <c r="B4290" s="371"/>
      <c r="C4290" s="371"/>
      <c r="D4290" s="371"/>
      <c r="E4290" s="586"/>
      <c r="F4290" s="518"/>
      <c r="G4290" s="518" t="s">
        <v>4106</v>
      </c>
      <c r="H4290" s="304" t="s">
        <v>2747</v>
      </c>
      <c r="I4290" s="304" t="s">
        <v>2748</v>
      </c>
      <c r="J4290" s="291"/>
      <c r="K4290" s="291"/>
      <c r="L4290" s="291"/>
      <c r="M4290" s="291"/>
      <c r="S4290" s="364"/>
      <c r="Z4290" s="609" t="s">
        <v>4105</v>
      </c>
      <c r="AA4290" s="609" t="s">
        <v>5693</v>
      </c>
    </row>
    <row r="4291" spans="1:27" ht="18">
      <c r="A4291" s="2712"/>
      <c r="B4291" s="371"/>
      <c r="C4291" s="371"/>
      <c r="D4291" s="371"/>
      <c r="E4291" s="586" t="s">
        <v>2749</v>
      </c>
      <c r="F4291" s="363"/>
      <c r="G4291" s="2409" t="s">
        <v>47</v>
      </c>
      <c r="H4291" s="2223" t="str">
        <f>$V$2</f>
        <v>2019年12月31日</v>
      </c>
      <c r="I4291" s="2224" t="str">
        <f>$V$3</f>
        <v>2018年12月31日</v>
      </c>
      <c r="J4291" s="355" t="s">
        <v>5315</v>
      </c>
      <c r="K4291" s="291"/>
      <c r="L4291" s="291"/>
      <c r="M4291" s="291"/>
      <c r="S4291" s="364"/>
      <c r="Z4291" s="609" t="s">
        <v>4105</v>
      </c>
      <c r="AA4291" s="609" t="s">
        <v>5693</v>
      </c>
    </row>
    <row r="4292" spans="1:27" ht="24">
      <c r="A4292" s="2712"/>
      <c r="B4292" s="371">
        <v>101</v>
      </c>
      <c r="C4292" s="371" t="s">
        <v>2791</v>
      </c>
      <c r="D4292" s="2714">
        <f t="shared" ref="D4292:D4297" si="477">IF(OR(G4292="*",G4292="",G4292=0),0,COUNTIF($G$4292:$G$4297,G4292))</f>
        <v>1</v>
      </c>
      <c r="E4292" s="2719">
        <v>1</v>
      </c>
      <c r="F4292" s="294"/>
      <c r="G4292" s="2566" t="s">
        <v>6074</v>
      </c>
      <c r="H4292" s="2273"/>
      <c r="I4292" s="2294"/>
      <c r="J4292" s="291"/>
      <c r="K4292" s="291"/>
      <c r="L4292" s="291"/>
      <c r="M4292" s="291"/>
      <c r="S4292" s="364"/>
      <c r="Z4292" s="609" t="s">
        <v>4105</v>
      </c>
      <c r="AA4292" s="609" t="s">
        <v>5693</v>
      </c>
    </row>
    <row r="4293" spans="1:27" ht="18">
      <c r="A4293" s="2712"/>
      <c r="B4293" s="371">
        <v>102</v>
      </c>
      <c r="C4293" s="371" t="s">
        <v>2791</v>
      </c>
      <c r="D4293" s="2714">
        <f t="shared" si="477"/>
        <v>0</v>
      </c>
      <c r="E4293" s="2719">
        <v>1</v>
      </c>
      <c r="F4293" s="294"/>
      <c r="G4293" s="2416" t="s">
        <v>2792</v>
      </c>
      <c r="H4293" s="2273"/>
      <c r="I4293" s="2294"/>
      <c r="J4293" s="291"/>
      <c r="K4293" s="291"/>
      <c r="L4293" s="291"/>
      <c r="M4293" s="291"/>
      <c r="S4293" s="364"/>
      <c r="Z4293" s="609" t="s">
        <v>4105</v>
      </c>
      <c r="AA4293" s="609" t="s">
        <v>5693</v>
      </c>
    </row>
    <row r="4294" spans="1:27" ht="18">
      <c r="A4294" s="2712"/>
      <c r="B4294" s="371">
        <v>103</v>
      </c>
      <c r="C4294" s="371" t="s">
        <v>2791</v>
      </c>
      <c r="D4294" s="2714">
        <f t="shared" si="477"/>
        <v>0</v>
      </c>
      <c r="E4294" s="2719">
        <v>1</v>
      </c>
      <c r="F4294" s="294"/>
      <c r="G4294" s="2416" t="s">
        <v>2792</v>
      </c>
      <c r="H4294" s="2273"/>
      <c r="I4294" s="2294"/>
      <c r="J4294" s="291"/>
      <c r="K4294" s="291"/>
      <c r="L4294" s="291"/>
      <c r="M4294" s="291"/>
      <c r="S4294" s="364"/>
      <c r="Z4294" s="609" t="s">
        <v>4105</v>
      </c>
      <c r="AA4294" s="609" t="s">
        <v>5693</v>
      </c>
    </row>
    <row r="4295" spans="1:27" ht="18">
      <c r="A4295" s="2712"/>
      <c r="B4295" s="371">
        <v>104</v>
      </c>
      <c r="C4295" s="371" t="s">
        <v>2791</v>
      </c>
      <c r="D4295" s="2714">
        <f t="shared" si="477"/>
        <v>0</v>
      </c>
      <c r="E4295" s="2719">
        <v>1</v>
      </c>
      <c r="F4295" s="294"/>
      <c r="G4295" s="2416" t="s">
        <v>2792</v>
      </c>
      <c r="H4295" s="2273"/>
      <c r="I4295" s="2294"/>
      <c r="J4295" s="291"/>
      <c r="K4295" s="291"/>
      <c r="L4295" s="291"/>
      <c r="M4295" s="291"/>
      <c r="S4295" s="364"/>
      <c r="Z4295" s="609" t="s">
        <v>4105</v>
      </c>
      <c r="AA4295" s="609" t="s">
        <v>5693</v>
      </c>
    </row>
    <row r="4296" spans="1:27" ht="18">
      <c r="A4296" s="2712"/>
      <c r="B4296" s="371">
        <v>105</v>
      </c>
      <c r="C4296" s="371" t="s">
        <v>2791</v>
      </c>
      <c r="D4296" s="2714">
        <f t="shared" si="477"/>
        <v>0</v>
      </c>
      <c r="E4296" s="2719">
        <v>1</v>
      </c>
      <c r="F4296" s="294"/>
      <c r="G4296" s="2416" t="s">
        <v>2792</v>
      </c>
      <c r="H4296" s="2273"/>
      <c r="I4296" s="2294"/>
      <c r="J4296" s="291"/>
      <c r="K4296" s="291"/>
      <c r="L4296" s="291"/>
      <c r="M4296" s="291"/>
      <c r="S4296" s="364"/>
      <c r="Z4296" s="609" t="s">
        <v>4105</v>
      </c>
      <c r="AA4296" s="609" t="s">
        <v>5693</v>
      </c>
    </row>
    <row r="4297" spans="1:27" ht="18.75" thickBot="1">
      <c r="A4297" s="2712"/>
      <c r="B4297" s="371"/>
      <c r="C4297" s="371"/>
      <c r="D4297" s="2714">
        <f t="shared" si="477"/>
        <v>1</v>
      </c>
      <c r="E4297" s="2719" t="s">
        <v>2751</v>
      </c>
      <c r="F4297" s="294"/>
      <c r="G4297" s="374" t="s">
        <v>2752</v>
      </c>
      <c r="H4297" s="1476">
        <f>SUMPRODUCT($E4291:$E4296,H4291:H4296)</f>
        <v>0</v>
      </c>
      <c r="I4297" s="1477">
        <f>SUMPRODUCT($E4291:$E4296,I4291:I4296)</f>
        <v>0</v>
      </c>
      <c r="J4297" s="291"/>
      <c r="K4297" s="291"/>
      <c r="L4297" s="291"/>
      <c r="M4297" s="291"/>
      <c r="S4297" s="364"/>
      <c r="Z4297" s="609" t="s">
        <v>4105</v>
      </c>
      <c r="AA4297" s="609" t="s">
        <v>5693</v>
      </c>
    </row>
    <row r="4298" spans="1:27" ht="18">
      <c r="A4298" s="2712"/>
      <c r="B4298" s="371"/>
      <c r="C4298" s="371" t="s">
        <v>2755</v>
      </c>
      <c r="D4298" s="371"/>
      <c r="F4298" s="294"/>
      <c r="G4298" s="301"/>
      <c r="H4298" s="315"/>
      <c r="I4298" s="315"/>
      <c r="J4298" s="291"/>
      <c r="K4298" s="291"/>
      <c r="L4298" s="291"/>
      <c r="M4298" s="291"/>
      <c r="S4298" s="364"/>
      <c r="Z4298" s="609" t="s">
        <v>4105</v>
      </c>
      <c r="AA4298" s="609" t="s">
        <v>5693</v>
      </c>
    </row>
    <row r="4299" spans="1:27" ht="24">
      <c r="A4299" s="2712" t="s">
        <v>1766</v>
      </c>
      <c r="B4299" s="371">
        <v>2</v>
      </c>
      <c r="C4299" s="371"/>
      <c r="D4299" s="2714" t="str">
        <f>VLOOKUP($A4299,Sheet_NoteList,2,0)</f>
        <v>其他非流动负债补充资料</v>
      </c>
      <c r="E4299" s="2714" t="s">
        <v>6529</v>
      </c>
      <c r="F4299" s="294"/>
      <c r="G4299" s="372" t="str">
        <f>"("&amp;B4299&amp;")"&amp;D4299</f>
        <v>(2)其他非流动负债补充资料</v>
      </c>
      <c r="H4299" s="1515" t="str">
        <f>$A4299</f>
        <v>2996x</v>
      </c>
      <c r="I4299" s="343" t="s">
        <v>5963</v>
      </c>
      <c r="J4299" s="301" t="s">
        <v>5966</v>
      </c>
      <c r="K4299" s="2208">
        <f>K4307</f>
        <v>0</v>
      </c>
      <c r="L4299" s="345"/>
      <c r="M4299" s="301" t="s">
        <v>5962</v>
      </c>
      <c r="N4299" s="2208">
        <f>H4307</f>
        <v>0</v>
      </c>
      <c r="O4299" s="345"/>
      <c r="P4299" s="301"/>
      <c r="S4299" s="364"/>
      <c r="Z4299" s="609" t="s">
        <v>4105</v>
      </c>
      <c r="AA4299" s="609" t="s">
        <v>5693</v>
      </c>
    </row>
    <row r="4300" spans="1:27" ht="0.75" customHeight="1" thickBot="1">
      <c r="A4300" s="2712"/>
      <c r="B4300" s="371"/>
      <c r="C4300" s="371"/>
      <c r="D4300" s="371"/>
      <c r="E4300" s="586"/>
      <c r="F4300" s="586"/>
      <c r="G4300" s="586" t="s">
        <v>4107</v>
      </c>
      <c r="H4300" s="371" t="s">
        <v>2904</v>
      </c>
      <c r="I4300" s="371" t="s">
        <v>3255</v>
      </c>
      <c r="J4300" s="371" t="s">
        <v>3256</v>
      </c>
      <c r="K4300" s="371" t="s">
        <v>3241</v>
      </c>
      <c r="L4300" s="371" t="s">
        <v>3267</v>
      </c>
      <c r="M4300" s="371" t="s">
        <v>3268</v>
      </c>
      <c r="N4300" s="371" t="s">
        <v>3269</v>
      </c>
      <c r="O4300" s="371" t="s">
        <v>3270</v>
      </c>
      <c r="P4300" s="371" t="s">
        <v>3271</v>
      </c>
      <c r="Q4300" s="543" t="s">
        <v>3272</v>
      </c>
      <c r="R4300" s="367"/>
      <c r="S4300" s="364"/>
      <c r="Z4300" s="609" t="s">
        <v>4105</v>
      </c>
      <c r="AA4300" s="609" t="s">
        <v>5693</v>
      </c>
    </row>
    <row r="4301" spans="1:27" ht="18" customHeight="1">
      <c r="A4301" s="2712"/>
      <c r="B4301" s="371"/>
      <c r="C4301" s="371"/>
      <c r="D4301" s="371"/>
      <c r="E4301" s="586" t="s">
        <v>2749</v>
      </c>
      <c r="F4301" s="363"/>
      <c r="G4301" s="2410" t="s">
        <v>47</v>
      </c>
      <c r="H4301" s="2411" t="s">
        <v>3273</v>
      </c>
      <c r="I4301" s="2411" t="s">
        <v>3274</v>
      </c>
      <c r="J4301" s="2411" t="s">
        <v>3275</v>
      </c>
      <c r="K4301" s="2411" t="s">
        <v>3276</v>
      </c>
      <c r="L4301" s="2411" t="s">
        <v>2544</v>
      </c>
      <c r="M4301" s="2411" t="s">
        <v>2549</v>
      </c>
      <c r="N4301" s="2411" t="s">
        <v>3277</v>
      </c>
      <c r="O4301" s="2411" t="s">
        <v>3278</v>
      </c>
      <c r="P4301" s="2411" t="s">
        <v>3279</v>
      </c>
      <c r="Q4301" s="2412" t="s">
        <v>3280</v>
      </c>
      <c r="R4301" s="355" t="s">
        <v>6139</v>
      </c>
      <c r="S4301" s="364"/>
      <c r="Z4301" s="609" t="s">
        <v>4105</v>
      </c>
      <c r="AA4301" s="609" t="s">
        <v>5693</v>
      </c>
    </row>
    <row r="4302" spans="1:27" ht="18" customHeight="1">
      <c r="A4302" s="2712"/>
      <c r="B4302" s="371">
        <v>101</v>
      </c>
      <c r="C4302" s="371" t="s">
        <v>2791</v>
      </c>
      <c r="D4302" s="371">
        <f t="shared" ref="D4302:D4307" si="478">IF(OR(G4302="*",G4302="",G4302=0),0,COUNTIF($G$4302:$G$4307,G4302))</f>
        <v>0</v>
      </c>
      <c r="E4302" s="2719">
        <v>1</v>
      </c>
      <c r="F4302" s="294"/>
      <c r="G4302" s="2416" t="s">
        <v>2792</v>
      </c>
      <c r="H4302" s="2273"/>
      <c r="I4302" s="2273"/>
      <c r="J4302" s="2273"/>
      <c r="K4302" s="1474">
        <f>H4302+I4302-J4302</f>
        <v>0</v>
      </c>
      <c r="L4302" s="2273"/>
      <c r="M4302" s="2273"/>
      <c r="N4302" s="2273"/>
      <c r="O4302" s="2296"/>
      <c r="P4302" s="2296"/>
      <c r="Q4302" s="2274"/>
      <c r="R4302" s="613"/>
      <c r="S4302" s="364"/>
      <c r="Z4302" s="609" t="s">
        <v>4105</v>
      </c>
      <c r="AA4302" s="609" t="s">
        <v>5693</v>
      </c>
    </row>
    <row r="4303" spans="1:27" ht="18" customHeight="1">
      <c r="A4303" s="2712"/>
      <c r="B4303" s="371">
        <v>102</v>
      </c>
      <c r="C4303" s="371" t="s">
        <v>2791</v>
      </c>
      <c r="D4303" s="371">
        <f t="shared" si="478"/>
        <v>0</v>
      </c>
      <c r="E4303" s="2719">
        <v>1</v>
      </c>
      <c r="F4303" s="294"/>
      <c r="G4303" s="2416" t="s">
        <v>2792</v>
      </c>
      <c r="H4303" s="2273"/>
      <c r="I4303" s="2273"/>
      <c r="J4303" s="2273"/>
      <c r="K4303" s="1474">
        <f>H4303+I4303-J4303</f>
        <v>0</v>
      </c>
      <c r="L4303" s="2273"/>
      <c r="M4303" s="2273"/>
      <c r="N4303" s="2273"/>
      <c r="O4303" s="2296"/>
      <c r="P4303" s="2296"/>
      <c r="Q4303" s="2274"/>
      <c r="R4303" s="367"/>
      <c r="S4303" s="364"/>
      <c r="Z4303" s="609" t="s">
        <v>4105</v>
      </c>
      <c r="AA4303" s="609" t="s">
        <v>5693</v>
      </c>
    </row>
    <row r="4304" spans="1:27" ht="18" customHeight="1">
      <c r="A4304" s="2712"/>
      <c r="B4304" s="371">
        <v>103</v>
      </c>
      <c r="C4304" s="371" t="s">
        <v>2791</v>
      </c>
      <c r="D4304" s="371">
        <f t="shared" si="478"/>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5693</v>
      </c>
    </row>
    <row r="4305" spans="1:27" ht="18" customHeight="1">
      <c r="A4305" s="2712"/>
      <c r="B4305" s="371">
        <v>104</v>
      </c>
      <c r="C4305" s="371" t="s">
        <v>2791</v>
      </c>
      <c r="D4305" s="371">
        <f t="shared" si="478"/>
        <v>0</v>
      </c>
      <c r="E4305" s="2719">
        <v>1</v>
      </c>
      <c r="F4305" s="294"/>
      <c r="G4305" s="2416" t="s">
        <v>2792</v>
      </c>
      <c r="H4305" s="2273"/>
      <c r="I4305" s="2273"/>
      <c r="J4305" s="2273"/>
      <c r="K4305" s="1474">
        <f>H4305+I4305-J4305</f>
        <v>0</v>
      </c>
      <c r="L4305" s="2273"/>
      <c r="M4305" s="2273"/>
      <c r="N4305" s="2273"/>
      <c r="O4305" s="2296"/>
      <c r="P4305" s="2296"/>
      <c r="Q4305" s="2274"/>
      <c r="R4305" s="367"/>
      <c r="S4305" s="364"/>
      <c r="Z4305" s="609" t="s">
        <v>4105</v>
      </c>
      <c r="AA4305" s="609" t="s">
        <v>5693</v>
      </c>
    </row>
    <row r="4306" spans="1:27" ht="18" customHeight="1">
      <c r="A4306" s="2712"/>
      <c r="B4306" s="371">
        <v>105</v>
      </c>
      <c r="C4306" s="371" t="s">
        <v>2791</v>
      </c>
      <c r="D4306" s="371">
        <f t="shared" si="478"/>
        <v>0</v>
      </c>
      <c r="E4306" s="2719">
        <v>1</v>
      </c>
      <c r="F4306" s="294"/>
      <c r="G4306" s="2416" t="s">
        <v>2792</v>
      </c>
      <c r="H4306" s="2273"/>
      <c r="I4306" s="2273"/>
      <c r="J4306" s="2273"/>
      <c r="K4306" s="1474">
        <f>H4306+I4306-J4306</f>
        <v>0</v>
      </c>
      <c r="L4306" s="2273"/>
      <c r="M4306" s="2273"/>
      <c r="N4306" s="2273"/>
      <c r="O4306" s="2296"/>
      <c r="P4306" s="2296"/>
      <c r="Q4306" s="2274"/>
      <c r="R4306" s="367"/>
      <c r="S4306" s="364"/>
      <c r="Z4306" s="609" t="s">
        <v>4105</v>
      </c>
      <c r="AA4306" s="609" t="s">
        <v>5693</v>
      </c>
    </row>
    <row r="4307" spans="1:27" ht="18.75" customHeight="1" thickBot="1">
      <c r="A4307" s="2712"/>
      <c r="B4307" s="371"/>
      <c r="C4307" s="371"/>
      <c r="D4307" s="371">
        <f t="shared" si="478"/>
        <v>1</v>
      </c>
      <c r="E4307" s="2719" t="s">
        <v>2751</v>
      </c>
      <c r="F4307" s="294"/>
      <c r="G4307" s="1527" t="s">
        <v>2752</v>
      </c>
      <c r="H4307" s="1525">
        <f t="shared" ref="H4307:N4307" si="479">SUMPRODUCT($E4301:$E4306,H4301:H4306)</f>
        <v>0</v>
      </c>
      <c r="I4307" s="1525">
        <f t="shared" si="479"/>
        <v>0</v>
      </c>
      <c r="J4307" s="1525">
        <f t="shared" si="479"/>
        <v>0</v>
      </c>
      <c r="K4307" s="1525">
        <f t="shared" si="479"/>
        <v>0</v>
      </c>
      <c r="L4307" s="1525">
        <f t="shared" si="479"/>
        <v>0</v>
      </c>
      <c r="M4307" s="1525">
        <f t="shared" si="479"/>
        <v>0</v>
      </c>
      <c r="N4307" s="1525">
        <f t="shared" si="479"/>
        <v>0</v>
      </c>
      <c r="O4307" s="2314"/>
      <c r="P4307" s="2314"/>
      <c r="Q4307" s="2264"/>
      <c r="R4307" s="367"/>
      <c r="S4307" s="364"/>
      <c r="Z4307" s="609" t="s">
        <v>4105</v>
      </c>
      <c r="AA4307" s="609" t="s">
        <v>5693</v>
      </c>
    </row>
    <row r="4308" spans="1:27" ht="18" customHeight="1">
      <c r="A4308" s="2712"/>
      <c r="B4308" s="371"/>
      <c r="C4308" s="371" t="s">
        <v>2755</v>
      </c>
      <c r="D4308" s="371"/>
      <c r="F4308" s="294"/>
      <c r="G4308" s="301"/>
      <c r="H4308" s="315"/>
      <c r="I4308" s="315"/>
      <c r="J4308" s="315"/>
      <c r="K4308" s="315"/>
      <c r="L4308" s="315"/>
      <c r="M4308" s="315"/>
      <c r="N4308" s="315"/>
      <c r="O4308" s="393"/>
      <c r="P4308" s="393"/>
      <c r="Q4308" s="545"/>
      <c r="R4308" s="367"/>
      <c r="S4308" s="364"/>
      <c r="Z4308" s="609" t="s">
        <v>4105</v>
      </c>
      <c r="AA4308" s="609" t="s">
        <v>5693</v>
      </c>
    </row>
    <row r="4309" spans="1:27" ht="18">
      <c r="A4309" s="2712">
        <v>4001</v>
      </c>
      <c r="B4309" s="371">
        <v>53</v>
      </c>
      <c r="C4309" s="2714" t="str">
        <f>VLOOKUP($A4309,Sheet_Items,2,0)</f>
        <v>实收资本</v>
      </c>
      <c r="D4309" s="371"/>
      <c r="E4309" s="2714" t="s">
        <v>2739</v>
      </c>
      <c r="F4309" s="294"/>
      <c r="G4309" s="535" t="str">
        <f>B4309&amp;" "&amp;C4309</f>
        <v>53 实收资本</v>
      </c>
      <c r="H4309" s="306"/>
      <c r="I4309" s="306"/>
      <c r="J4309" s="306" t="s">
        <v>2740</v>
      </c>
      <c r="K4309" s="341">
        <f>VLOOKUP($A4309,Sheet_Trialbal,6,0)</f>
        <v>85691911</v>
      </c>
      <c r="L4309" s="342"/>
      <c r="M4309" s="306" t="s">
        <v>2741</v>
      </c>
      <c r="N4309" s="341">
        <f>VLOOKUP($A4309,Sheet_Trialbal,10,0)</f>
        <v>85691911</v>
      </c>
      <c r="O4309" s="306"/>
      <c r="P4309" s="301"/>
      <c r="S4309" s="364"/>
      <c r="Z4309" s="609" t="s">
        <v>4108</v>
      </c>
      <c r="AA4309" s="609" t="s">
        <v>5694</v>
      </c>
    </row>
    <row r="4310" spans="1:27" ht="18">
      <c r="A4310" s="2712" t="s">
        <v>1774</v>
      </c>
      <c r="B4310" s="371">
        <v>1</v>
      </c>
      <c r="C4310" s="371"/>
      <c r="D4310" s="2714" t="str">
        <f>VLOOKUP($A4310,Sheet_NoteList,2,0)</f>
        <v>股本变动情况</v>
      </c>
      <c r="E4310" s="2714" t="s">
        <v>2742</v>
      </c>
      <c r="F4310" s="294"/>
      <c r="G4310" s="307" t="str">
        <f>"("&amp;B4310&amp;")"&amp;D4310</f>
        <v>(1)股本变动情况</v>
      </c>
      <c r="H4310" s="1515" t="str">
        <f>$A4310</f>
        <v>4001a</v>
      </c>
      <c r="I4310" s="343" t="s">
        <v>2743</v>
      </c>
      <c r="J4310" s="301"/>
      <c r="K4310" s="3083"/>
      <c r="L4310" s="315"/>
      <c r="M4310" s="301"/>
      <c r="N4310" s="3083"/>
      <c r="O4310" s="315"/>
      <c r="P4310" s="301"/>
      <c r="Q4310" s="290" t="str">
        <f>IF($I4310="不适用","",IF(ROUND(SUM($H$4315:$N$4317),2)=0,"请输入",""))</f>
        <v>请输入</v>
      </c>
      <c r="S4310" s="364"/>
      <c r="Z4310" s="609" t="s">
        <v>4108</v>
      </c>
      <c r="AA4310" s="609" t="s">
        <v>5694</v>
      </c>
    </row>
    <row r="4311" spans="1:27" ht="0.75" customHeight="1">
      <c r="A4311" s="2712"/>
      <c r="B4311" s="371"/>
      <c r="C4311" s="371"/>
      <c r="D4311" s="371"/>
      <c r="F4311" s="304"/>
      <c r="G4311" s="304" t="s">
        <v>4109</v>
      </c>
      <c r="H4311" s="304" t="s">
        <v>4110</v>
      </c>
      <c r="I4311" s="304" t="s">
        <v>4111</v>
      </c>
      <c r="J4311" s="304" t="s">
        <v>4112</v>
      </c>
      <c r="K4311" s="304" t="s">
        <v>4113</v>
      </c>
      <c r="L4311" s="304" t="s">
        <v>4114</v>
      </c>
      <c r="M4311" s="304" t="s">
        <v>4115</v>
      </c>
      <c r="N4311" s="304" t="s">
        <v>4116</v>
      </c>
      <c r="P4311" s="387"/>
      <c r="Q4311" s="367"/>
      <c r="R4311" s="367"/>
      <c r="S4311" s="364"/>
      <c r="T4311" s="291"/>
      <c r="Z4311" s="609" t="s">
        <v>4108</v>
      </c>
      <c r="AA4311" s="609" t="s">
        <v>5694</v>
      </c>
    </row>
    <row r="4312" spans="1:27" ht="0.75" customHeight="1" thickBot="1">
      <c r="A4312" s="2712"/>
      <c r="B4312" s="371"/>
      <c r="C4312" s="371"/>
      <c r="D4312" s="371"/>
      <c r="F4312" s="304"/>
      <c r="G4312" s="304"/>
      <c r="H4312" s="304" t="s">
        <v>4117</v>
      </c>
      <c r="I4312" s="304" t="s">
        <v>4118</v>
      </c>
      <c r="J4312" s="304" t="s">
        <v>4119</v>
      </c>
      <c r="K4312" s="304" t="s">
        <v>4120</v>
      </c>
      <c r="L4312" s="304" t="s">
        <v>4121</v>
      </c>
      <c r="M4312" s="304" t="s">
        <v>4122</v>
      </c>
      <c r="N4312" s="304" t="s">
        <v>4123</v>
      </c>
      <c r="O4312" s="367"/>
      <c r="P4312" s="367"/>
      <c r="S4312" s="364"/>
      <c r="T4312" s="291"/>
      <c r="Z4312" s="609" t="s">
        <v>4108</v>
      </c>
      <c r="AA4312" s="609" t="s">
        <v>5694</v>
      </c>
    </row>
    <row r="4313" spans="1:27" ht="24" customHeight="1">
      <c r="A4313" s="2712"/>
      <c r="B4313" s="371"/>
      <c r="C4313" s="371"/>
      <c r="D4313" s="371"/>
      <c r="E4313" s="2714" t="s">
        <v>2749</v>
      </c>
      <c r="F4313" s="294"/>
      <c r="G4313" s="3554" t="s">
        <v>1776</v>
      </c>
      <c r="H4313" s="3558" t="str">
        <f>$V$3</f>
        <v>2018年12月31日</v>
      </c>
      <c r="I4313" s="3567" t="s">
        <v>6075</v>
      </c>
      <c r="J4313" s="3567"/>
      <c r="K4313" s="3567"/>
      <c r="L4313" s="3567"/>
      <c r="M4313" s="3567"/>
      <c r="N4313" s="3603" t="str">
        <f>$V$2</f>
        <v>2019年12月31日</v>
      </c>
      <c r="O4313" s="355" t="s">
        <v>5316</v>
      </c>
      <c r="P4313" s="367"/>
      <c r="S4313" s="364"/>
      <c r="T4313" s="291"/>
      <c r="Z4313" s="609" t="s">
        <v>4108</v>
      </c>
      <c r="AA4313" s="609" t="s">
        <v>5694</v>
      </c>
    </row>
    <row r="4314" spans="1:27" ht="18">
      <c r="A4314" s="2712"/>
      <c r="B4314" s="371"/>
      <c r="C4314" s="371"/>
      <c r="D4314" s="371"/>
      <c r="E4314" s="2714" t="s">
        <v>2749</v>
      </c>
      <c r="F4314" s="294"/>
      <c r="G4314" s="3555"/>
      <c r="H4314" s="3559"/>
      <c r="I4314" s="2599" t="s">
        <v>4124</v>
      </c>
      <c r="J4314" s="2599" t="s">
        <v>4125</v>
      </c>
      <c r="K4314" s="2599" t="s">
        <v>4126</v>
      </c>
      <c r="L4314" s="2599" t="s">
        <v>932</v>
      </c>
      <c r="M4314" s="2599" t="s">
        <v>2939</v>
      </c>
      <c r="N4314" s="3604"/>
      <c r="O4314" s="367"/>
      <c r="P4314" s="367"/>
      <c r="S4314" s="364"/>
      <c r="T4314" s="291"/>
      <c r="Z4314" s="609" t="s">
        <v>4108</v>
      </c>
      <c r="AA4314" s="609" t="s">
        <v>5694</v>
      </c>
    </row>
    <row r="4315" spans="1:27" ht="18">
      <c r="A4315" s="2712"/>
      <c r="B4315" s="371">
        <v>101</v>
      </c>
      <c r="C4315" s="371" t="s">
        <v>2791</v>
      </c>
      <c r="D4315" s="2714">
        <f>IF(OR(G4315="*",G4315="",G4315=0),0,COUNTIF($G$4315:$G$4317,G4315))</f>
        <v>1</v>
      </c>
      <c r="E4315" s="2719">
        <v>1</v>
      </c>
      <c r="F4315" s="294"/>
      <c r="G4315" s="2566" t="s">
        <v>4127</v>
      </c>
      <c r="H4315" s="2595"/>
      <c r="I4315" s="2595"/>
      <c r="J4315" s="2595"/>
      <c r="K4315" s="2595"/>
      <c r="L4315" s="2595"/>
      <c r="M4315" s="2596">
        <f>SUM(I4315:L4315)</f>
        <v>0</v>
      </c>
      <c r="N4315" s="2597">
        <f>H4315+M4315</f>
        <v>0</v>
      </c>
      <c r="O4315" s="367"/>
      <c r="P4315" s="367"/>
      <c r="S4315" s="364"/>
      <c r="T4315" s="291"/>
      <c r="Z4315" s="609" t="s">
        <v>4108</v>
      </c>
      <c r="AA4315" s="609" t="s">
        <v>5694</v>
      </c>
    </row>
    <row r="4316" spans="1:27" ht="18">
      <c r="A4316" s="2712"/>
      <c r="B4316" s="371">
        <v>102</v>
      </c>
      <c r="C4316" s="371" t="s">
        <v>2791</v>
      </c>
      <c r="D4316" s="2714">
        <f>IF(OR(G4316="*",G4316="",G4316=0),0,COUNTIF($G$4315:$G$4317,G4316))</f>
        <v>0</v>
      </c>
      <c r="E4316" s="2719">
        <v>1</v>
      </c>
      <c r="F4316" s="294"/>
      <c r="G4316" s="1492" t="s">
        <v>2792</v>
      </c>
      <c r="H4316" s="2595"/>
      <c r="I4316" s="2595"/>
      <c r="J4316" s="2595"/>
      <c r="K4316" s="2595"/>
      <c r="L4316" s="2595"/>
      <c r="M4316" s="2595"/>
      <c r="N4316" s="2598"/>
      <c r="O4316" s="367"/>
      <c r="P4316" s="367"/>
      <c r="S4316" s="364"/>
      <c r="T4316" s="291"/>
      <c r="Z4316" s="609" t="s">
        <v>4108</v>
      </c>
      <c r="AA4316" s="609" t="s">
        <v>5694</v>
      </c>
    </row>
    <row r="4317" spans="1:27" ht="18.75" thickBot="1">
      <c r="A4317" s="2712"/>
      <c r="B4317" s="371"/>
      <c r="C4317" s="371"/>
      <c r="D4317" s="2714">
        <f>IF(OR(G4317="*",G4317="",G4317=0),0,COUNTIF($G$4315:$G$4317,G4317))</f>
        <v>0</v>
      </c>
      <c r="E4317" s="2719" t="s">
        <v>6565</v>
      </c>
      <c r="F4317" s="294"/>
      <c r="G4317" s="2427"/>
      <c r="H4317" s="2600"/>
      <c r="I4317" s="2600"/>
      <c r="J4317" s="2600"/>
      <c r="K4317" s="2600"/>
      <c r="L4317" s="2600"/>
      <c r="M4317" s="2600"/>
      <c r="N4317" s="2601"/>
      <c r="O4317" s="367"/>
      <c r="P4317" s="367"/>
      <c r="S4317" s="364"/>
      <c r="T4317" s="291"/>
      <c r="Z4317" s="609" t="s">
        <v>4108</v>
      </c>
      <c r="AA4317" s="609" t="s">
        <v>5694</v>
      </c>
    </row>
    <row r="4318" spans="1:27" ht="18">
      <c r="A4318" s="2712"/>
      <c r="B4318" s="371"/>
      <c r="C4318" s="371" t="s">
        <v>2755</v>
      </c>
      <c r="D4318" s="371"/>
      <c r="F4318" s="294"/>
      <c r="G4318" s="301"/>
      <c r="H4318" s="315"/>
      <c r="I4318" s="315"/>
      <c r="J4318" s="315"/>
      <c r="K4318" s="315"/>
      <c r="L4318" s="315"/>
      <c r="M4318" s="315"/>
      <c r="N4318" s="315"/>
      <c r="O4318" s="367"/>
      <c r="P4318" s="367"/>
      <c r="S4318" s="364"/>
      <c r="T4318" s="291"/>
      <c r="Z4318" s="609" t="s">
        <v>4108</v>
      </c>
      <c r="AA4318" s="609" t="s">
        <v>5694</v>
      </c>
    </row>
    <row r="4319" spans="1:27" ht="18">
      <c r="A4319" s="2712" t="s">
        <v>1780</v>
      </c>
      <c r="B4319" s="371">
        <v>2</v>
      </c>
      <c r="C4319" s="371"/>
      <c r="D4319" s="2714" t="str">
        <f>VLOOKUP($A4319,Sheet_NoteList,2,0)</f>
        <v>实收资本变动情况</v>
      </c>
      <c r="E4319" s="2714" t="s">
        <v>2742</v>
      </c>
      <c r="F4319" s="294"/>
      <c r="G4319" s="372" t="str">
        <f>"("&amp;B4319&amp;")"&amp;D4319</f>
        <v>(2)实收资本变动情况</v>
      </c>
      <c r="H4319" s="1515" t="str">
        <f>$A4319</f>
        <v>4001b</v>
      </c>
      <c r="I4319" s="343" t="s">
        <v>2743</v>
      </c>
      <c r="J4319" s="301" t="s">
        <v>2744</v>
      </c>
      <c r="K4319" s="2208">
        <f>I4329</f>
        <v>85691911</v>
      </c>
      <c r="L4319" s="345" t="str">
        <f>IF($I4319="适用",IF(ROUND(K4309-K4319,2)=0,"F/S",ROUND(K4309-K4319,2)),"#N/A")</f>
        <v>F/S</v>
      </c>
      <c r="M4319" s="301" t="s">
        <v>2745</v>
      </c>
      <c r="N4319" s="2208">
        <f>K4329</f>
        <v>85691911</v>
      </c>
      <c r="O4319" s="345" t="str">
        <f>IF($I4319="适用",IF(ROUND(N4309-N4319,2)=0,"F/S",ROUND(N4309-N4319,2)),"#N/A")</f>
        <v>F/S</v>
      </c>
      <c r="P4319" s="301"/>
      <c r="S4319" s="364"/>
      <c r="Z4319" s="609" t="s">
        <v>4108</v>
      </c>
      <c r="AA4319" s="609" t="s">
        <v>5694</v>
      </c>
    </row>
    <row r="4320" spans="1:27" ht="0.75" customHeight="1">
      <c r="A4320" s="2712"/>
      <c r="B4320" s="371"/>
      <c r="C4320" s="371"/>
      <c r="D4320" s="371"/>
      <c r="E4320" s="586"/>
      <c r="F4320" s="586"/>
      <c r="G4320" s="586" t="s">
        <v>4128</v>
      </c>
      <c r="H4320" s="371" t="s">
        <v>4131</v>
      </c>
      <c r="I4320" s="371" t="s">
        <v>4130</v>
      </c>
      <c r="J4320" s="371" t="s">
        <v>4129</v>
      </c>
      <c r="K4320" s="371" t="s">
        <v>2984</v>
      </c>
      <c r="L4320" s="371" t="s">
        <v>3250</v>
      </c>
      <c r="M4320" s="371" t="s">
        <v>3251</v>
      </c>
      <c r="S4320" s="364"/>
      <c r="Z4320" s="609" t="s">
        <v>4108</v>
      </c>
      <c r="AA4320" s="609" t="s">
        <v>5694</v>
      </c>
    </row>
    <row r="4321" spans="1:27" ht="0.75" customHeight="1" thickBot="1">
      <c r="A4321" s="2712"/>
      <c r="B4321" s="371"/>
      <c r="C4321" s="371"/>
      <c r="D4321" s="371"/>
      <c r="E4321" s="586"/>
      <c r="F4321" s="586"/>
      <c r="G4321" s="586"/>
      <c r="H4321" s="371" t="s">
        <v>4136</v>
      </c>
      <c r="I4321" s="371" t="s">
        <v>4135</v>
      </c>
      <c r="J4321" s="371" t="s">
        <v>4133</v>
      </c>
      <c r="K4321" s="371" t="s">
        <v>4132</v>
      </c>
      <c r="L4321" s="371" t="s">
        <v>4134</v>
      </c>
      <c r="M4321" s="371" t="s">
        <v>3606</v>
      </c>
      <c r="S4321" s="364"/>
      <c r="Z4321" s="609" t="s">
        <v>4108</v>
      </c>
      <c r="AA4321" s="609" t="s">
        <v>5694</v>
      </c>
    </row>
    <row r="4322" spans="1:27" ht="18">
      <c r="A4322" s="2712"/>
      <c r="B4322" s="371"/>
      <c r="C4322" s="371"/>
      <c r="D4322" s="371"/>
      <c r="E4322" s="586" t="s">
        <v>2749</v>
      </c>
      <c r="F4322" s="363"/>
      <c r="G4322" s="3476" t="s">
        <v>6076</v>
      </c>
      <c r="H4322" s="3485" t="s">
        <v>6079</v>
      </c>
      <c r="I4322" s="3485"/>
      <c r="J4322" s="3485" t="s">
        <v>6080</v>
      </c>
      <c r="K4322" s="3485"/>
      <c r="L4322" s="3569" t="s">
        <v>6081</v>
      </c>
      <c r="M4322" s="3572" t="s">
        <v>6082</v>
      </c>
      <c r="N4322" s="355" t="s">
        <v>6083</v>
      </c>
      <c r="S4322" s="364"/>
      <c r="Z4322" s="609" t="s">
        <v>4108</v>
      </c>
      <c r="AA4322" s="609" t="s">
        <v>5694</v>
      </c>
    </row>
    <row r="4323" spans="1:27" ht="18">
      <c r="A4323" s="2712"/>
      <c r="B4323" s="371"/>
      <c r="C4323" s="371"/>
      <c r="D4323" s="371"/>
      <c r="E4323" s="586" t="s">
        <v>2749</v>
      </c>
      <c r="F4323" s="363"/>
      <c r="G4323" s="3477"/>
      <c r="H4323" s="2424" t="s">
        <v>6078</v>
      </c>
      <c r="I4323" s="2436" t="s">
        <v>6077</v>
      </c>
      <c r="J4323" s="2424" t="s">
        <v>6078</v>
      </c>
      <c r="K4323" s="2436" t="s">
        <v>6077</v>
      </c>
      <c r="L4323" s="3570"/>
      <c r="M4323" s="3573"/>
      <c r="S4323" s="364"/>
      <c r="Z4323" s="609" t="s">
        <v>4108</v>
      </c>
      <c r="AA4323" s="609" t="s">
        <v>5694</v>
      </c>
    </row>
    <row r="4324" spans="1:27" ht="18">
      <c r="A4324" s="2712"/>
      <c r="B4324" s="371">
        <v>101</v>
      </c>
      <c r="C4324" s="371" t="s">
        <v>2791</v>
      </c>
      <c r="D4324" s="2714">
        <f t="shared" ref="D4324:D4329" si="480">IF(OR(G4324="*",G4324="",G4324=0),0,COUNTIF($G$4324:$G$4329,G4324))</f>
        <v>1</v>
      </c>
      <c r="E4324" s="2719">
        <v>1</v>
      </c>
      <c r="F4324" s="294"/>
      <c r="G4324" s="2425" t="s">
        <v>7364</v>
      </c>
      <c r="H4324" s="3275">
        <v>7.3400000000000007E-2</v>
      </c>
      <c r="I4324" s="2273">
        <v>6291000</v>
      </c>
      <c r="J4324" s="3275">
        <v>7.3400000000000007E-2</v>
      </c>
      <c r="K4324" s="2273">
        <v>6291000</v>
      </c>
      <c r="L4324" s="2273"/>
      <c r="M4324" s="2294"/>
      <c r="S4324" s="364"/>
      <c r="Z4324" s="609" t="s">
        <v>4108</v>
      </c>
      <c r="AA4324" s="609" t="s">
        <v>5694</v>
      </c>
    </row>
    <row r="4325" spans="1:27" ht="18">
      <c r="A4325" s="2712"/>
      <c r="B4325" s="371">
        <v>102</v>
      </c>
      <c r="C4325" s="371" t="s">
        <v>2791</v>
      </c>
      <c r="D4325" s="2714">
        <f t="shared" si="480"/>
        <v>1</v>
      </c>
      <c r="E4325" s="2719">
        <v>1</v>
      </c>
      <c r="F4325" s="294"/>
      <c r="G4325" s="2425" t="s">
        <v>7365</v>
      </c>
      <c r="H4325" s="3275">
        <v>1.8200000000000001E-2</v>
      </c>
      <c r="I4325" s="2273">
        <v>1560000</v>
      </c>
      <c r="J4325" s="3275">
        <v>1.8200000000000001E-2</v>
      </c>
      <c r="K4325" s="2273">
        <v>1560000</v>
      </c>
      <c r="L4325" s="2273"/>
      <c r="M4325" s="2294"/>
      <c r="S4325" s="364"/>
      <c r="Z4325" s="609" t="s">
        <v>4108</v>
      </c>
      <c r="AA4325" s="609" t="s">
        <v>5694</v>
      </c>
    </row>
    <row r="4326" spans="1:27" ht="18">
      <c r="A4326" s="2712"/>
      <c r="B4326" s="371">
        <v>103</v>
      </c>
      <c r="C4326" s="371" t="s">
        <v>2791</v>
      </c>
      <c r="D4326" s="2714">
        <f t="shared" si="480"/>
        <v>1</v>
      </c>
      <c r="E4326" s="2719">
        <v>1</v>
      </c>
      <c r="F4326" s="294"/>
      <c r="G4326" s="2425" t="s">
        <v>7366</v>
      </c>
      <c r="H4326" s="3275">
        <v>3.2800000000000003E-2</v>
      </c>
      <c r="I4326" s="2273">
        <v>2808750</v>
      </c>
      <c r="J4326" s="3275">
        <v>3.2800000000000003E-2</v>
      </c>
      <c r="K4326" s="2273">
        <v>2808750</v>
      </c>
      <c r="L4326" s="2273"/>
      <c r="M4326" s="2294"/>
      <c r="S4326" s="364"/>
      <c r="Z4326" s="609" t="s">
        <v>4108</v>
      </c>
      <c r="AA4326" s="609" t="s">
        <v>5694</v>
      </c>
    </row>
    <row r="4327" spans="1:27" ht="18">
      <c r="A4327" s="2712"/>
      <c r="B4327" s="371">
        <v>104</v>
      </c>
      <c r="C4327" s="371" t="s">
        <v>2791</v>
      </c>
      <c r="D4327" s="2714">
        <f t="shared" si="480"/>
        <v>1</v>
      </c>
      <c r="E4327" s="2719">
        <v>1</v>
      </c>
      <c r="F4327" s="294"/>
      <c r="G4327" s="2425" t="s">
        <v>7367</v>
      </c>
      <c r="H4327" s="3275">
        <v>1.2999999999999999E-3</v>
      </c>
      <c r="I4327" s="2273">
        <v>112500</v>
      </c>
      <c r="J4327" s="3275">
        <v>1.2999999999999999E-3</v>
      </c>
      <c r="K4327" s="2273">
        <v>112500</v>
      </c>
      <c r="L4327" s="2273"/>
      <c r="M4327" s="2294"/>
      <c r="S4327" s="364"/>
      <c r="Z4327" s="609" t="s">
        <v>4108</v>
      </c>
      <c r="AA4327" s="609" t="s">
        <v>5694</v>
      </c>
    </row>
    <row r="4328" spans="1:27" ht="18">
      <c r="A4328" s="2712"/>
      <c r="B4328" s="371">
        <v>105</v>
      </c>
      <c r="C4328" s="371" t="s">
        <v>2791</v>
      </c>
      <c r="D4328" s="2714">
        <f t="shared" si="480"/>
        <v>1</v>
      </c>
      <c r="E4328" s="2719">
        <v>1</v>
      </c>
      <c r="F4328" s="294"/>
      <c r="G4328" s="2425" t="s">
        <v>7368</v>
      </c>
      <c r="H4328" s="3275">
        <v>0.87429999999999997</v>
      </c>
      <c r="I4328" s="2273">
        <v>74919661</v>
      </c>
      <c r="J4328" s="3275">
        <v>0.87429999999999997</v>
      </c>
      <c r="K4328" s="2273">
        <v>74919661</v>
      </c>
      <c r="L4328" s="2273"/>
      <c r="M4328" s="2294"/>
      <c r="S4328" s="364"/>
      <c r="Z4328" s="609" t="s">
        <v>4108</v>
      </c>
      <c r="AA4328" s="609" t="s">
        <v>5694</v>
      </c>
    </row>
    <row r="4329" spans="1:27" ht="18.75" thickBot="1">
      <c r="A4329" s="2712"/>
      <c r="B4329" s="371"/>
      <c r="C4329" s="371"/>
      <c r="D4329" s="2714">
        <f t="shared" si="480"/>
        <v>1</v>
      </c>
      <c r="E4329" s="2719" t="s">
        <v>2751</v>
      </c>
      <c r="F4329" s="294"/>
      <c r="G4329" s="310" t="s">
        <v>2752</v>
      </c>
      <c r="H4329" s="2438">
        <f t="shared" ref="H4329:M4329" si="481">SUMPRODUCT($E4323:$E4328,H4323:H4328)</f>
        <v>1</v>
      </c>
      <c r="I4329" s="1479">
        <f t="shared" si="481"/>
        <v>85691911</v>
      </c>
      <c r="J4329" s="2438">
        <f t="shared" si="481"/>
        <v>1</v>
      </c>
      <c r="K4329" s="1479">
        <f t="shared" si="481"/>
        <v>85691911</v>
      </c>
      <c r="L4329" s="2439">
        <f t="shared" si="481"/>
        <v>0</v>
      </c>
      <c r="M4329" s="2440">
        <f t="shared" si="481"/>
        <v>0</v>
      </c>
      <c r="S4329" s="364"/>
      <c r="Z4329" s="609" t="s">
        <v>4108</v>
      </c>
      <c r="AA4329" s="609" t="s">
        <v>5694</v>
      </c>
    </row>
    <row r="4330" spans="1:27" ht="18">
      <c r="A4330" s="2712"/>
      <c r="B4330" s="371"/>
      <c r="C4330" s="371" t="s">
        <v>2755</v>
      </c>
      <c r="D4330" s="371"/>
      <c r="F4330" s="294"/>
      <c r="G4330" s="301"/>
      <c r="H4330" s="393"/>
      <c r="I4330" s="315"/>
      <c r="J4330" s="393"/>
      <c r="K4330" s="315"/>
      <c r="L4330" s="315"/>
      <c r="M4330" s="315"/>
      <c r="S4330" s="364"/>
      <c r="Z4330" s="609" t="s">
        <v>4108</v>
      </c>
      <c r="AA4330" s="609" t="s">
        <v>5694</v>
      </c>
    </row>
    <row r="4331" spans="1:27" ht="18">
      <c r="A4331" s="2712">
        <v>4015</v>
      </c>
      <c r="B4331" s="371">
        <v>54</v>
      </c>
      <c r="C4331" s="2714" t="str">
        <f>VLOOKUP($A4331,Sheet_Items,2,0)</f>
        <v>其他权益工具</v>
      </c>
      <c r="D4331" s="371"/>
      <c r="E4331" s="2714" t="s">
        <v>2739</v>
      </c>
      <c r="F4331" s="294"/>
      <c r="G4331" s="305" t="str">
        <f>B4331&amp;" "&amp;C4331</f>
        <v>54 其他权益工具</v>
      </c>
      <c r="H4331" s="306"/>
      <c r="I4331" s="306"/>
      <c r="J4331" s="306" t="s">
        <v>2740</v>
      </c>
      <c r="K4331" s="341">
        <f>VLOOKUP($A4331,Sheet_Trialbal,6,0)</f>
        <v>0</v>
      </c>
      <c r="L4331" s="342"/>
      <c r="M4331" s="306" t="s">
        <v>2741</v>
      </c>
      <c r="N4331" s="341">
        <f>VLOOKUP($A4331,Sheet_Trialbal,10,0)</f>
        <v>0</v>
      </c>
      <c r="O4331" s="306"/>
      <c r="P4331" s="301"/>
      <c r="S4331" s="364"/>
      <c r="Z4331" s="609" t="s">
        <v>4137</v>
      </c>
      <c r="AA4331" s="609" t="s">
        <v>5695</v>
      </c>
    </row>
    <row r="4332" spans="1:27" ht="36">
      <c r="A4332" s="2712" t="s">
        <v>1790</v>
      </c>
      <c r="B4332" s="371">
        <v>1</v>
      </c>
      <c r="C4332" s="371"/>
      <c r="D4332" s="2714" t="str">
        <f>VLOOKUP($A4332,Sheet_NoteList,2,0)</f>
        <v>期末发行在外的优先股、永续债等其他金融工具基本情况表</v>
      </c>
      <c r="E4332" s="2714" t="s">
        <v>2742</v>
      </c>
      <c r="F4332" s="294"/>
      <c r="G4332" s="372" t="str">
        <f>"("&amp;B4332&amp;")"&amp;D4332</f>
        <v>(1)期末发行在外的优先股、永续债等其他金融工具基本情况表</v>
      </c>
      <c r="H4332" s="1515" t="str">
        <f>$A4332</f>
        <v>4015b</v>
      </c>
      <c r="I4332" s="343" t="s">
        <v>2743</v>
      </c>
      <c r="J4332" s="301" t="s">
        <v>2744</v>
      </c>
      <c r="K4332" s="2208">
        <f>O4340</f>
        <v>0</v>
      </c>
      <c r="L4332" s="345"/>
      <c r="M4332" s="301"/>
      <c r="N4332" s="391"/>
      <c r="O4332" s="345"/>
      <c r="P4332" s="301"/>
      <c r="Q4332" s="290" t="str">
        <f>IF($I4332="不适用","",IF(ROUND(SUM($H$4335:$P$4340),2)=0,"请输入",""))</f>
        <v>请输入</v>
      </c>
      <c r="S4332" s="364"/>
      <c r="Z4332" s="609" t="s">
        <v>4137</v>
      </c>
      <c r="AA4332" s="609" t="s">
        <v>5695</v>
      </c>
    </row>
    <row r="4333" spans="1:27" ht="0.75" customHeight="1" thickBot="1">
      <c r="A4333" s="2712"/>
      <c r="B4333" s="371"/>
      <c r="C4333" s="371"/>
      <c r="D4333" s="371"/>
      <c r="E4333" s="586"/>
      <c r="F4333" s="586"/>
      <c r="G4333" s="586" t="s">
        <v>4138</v>
      </c>
      <c r="H4333" s="371" t="s">
        <v>4031</v>
      </c>
      <c r="I4333" s="371" t="s">
        <v>6296</v>
      </c>
      <c r="J4333" s="371" t="s">
        <v>6297</v>
      </c>
      <c r="K4333" s="371" t="s">
        <v>6298</v>
      </c>
      <c r="L4333" s="371" t="s">
        <v>6299</v>
      </c>
      <c r="M4333" s="371" t="s">
        <v>6300</v>
      </c>
      <c r="N4333" s="371" t="s">
        <v>6301</v>
      </c>
      <c r="O4333" s="371" t="s">
        <v>6302</v>
      </c>
      <c r="P4333" s="612"/>
      <c r="Q4333" s="442"/>
      <c r="R4333" s="443"/>
      <c r="S4333" s="364"/>
      <c r="Z4333" s="609" t="s">
        <v>4137</v>
      </c>
      <c r="AA4333" s="609" t="s">
        <v>5695</v>
      </c>
    </row>
    <row r="4334" spans="1:27" ht="24">
      <c r="A4334" s="2712"/>
      <c r="B4334" s="371"/>
      <c r="C4334" s="371"/>
      <c r="D4334" s="371"/>
      <c r="E4334" s="586" t="s">
        <v>2749</v>
      </c>
      <c r="F4334" s="363"/>
      <c r="G4334" s="2418" t="s">
        <v>1673</v>
      </c>
      <c r="H4334" s="2421" t="s">
        <v>4040</v>
      </c>
      <c r="I4334" s="2421" t="s">
        <v>4041</v>
      </c>
      <c r="J4334" s="2421" t="s">
        <v>4042</v>
      </c>
      <c r="K4334" s="2421" t="s">
        <v>4043</v>
      </c>
      <c r="L4334" s="2421" t="s">
        <v>2887</v>
      </c>
      <c r="M4334" s="2421" t="s">
        <v>4044</v>
      </c>
      <c r="N4334" s="2421" t="s">
        <v>4045</v>
      </c>
      <c r="O4334" s="2422" t="s">
        <v>4046</v>
      </c>
      <c r="P4334" s="355" t="s">
        <v>5317</v>
      </c>
      <c r="Q4334" s="442"/>
      <c r="R4334" s="443"/>
      <c r="S4334" s="364"/>
      <c r="Z4334" s="609" t="s">
        <v>4137</v>
      </c>
      <c r="AA4334" s="609" t="s">
        <v>5695</v>
      </c>
    </row>
    <row r="4335" spans="1:27" ht="18">
      <c r="A4335" s="2712"/>
      <c r="B4335" s="371">
        <v>101</v>
      </c>
      <c r="C4335" s="371" t="s">
        <v>2791</v>
      </c>
      <c r="D4335" s="2714">
        <f t="shared" ref="D4335:D4340" si="482">IF(OR(G4335="*",G4335="",G4335=0),0,COUNTIF($G$4335:$G$4340,G4335))</f>
        <v>0</v>
      </c>
      <c r="E4335" s="2719">
        <v>1</v>
      </c>
      <c r="F4335" s="294"/>
      <c r="G4335" s="2425" t="s">
        <v>2792</v>
      </c>
      <c r="H4335" s="2296"/>
      <c r="I4335" s="2296"/>
      <c r="J4335" s="2273"/>
      <c r="K4335" s="2296"/>
      <c r="L4335" s="1474">
        <f>J4335*K4335</f>
        <v>0</v>
      </c>
      <c r="M4335" s="2296"/>
      <c r="N4335" s="2296"/>
      <c r="O4335" s="2274"/>
      <c r="P4335" s="437"/>
      <c r="Q4335" s="442"/>
      <c r="R4335" s="443"/>
      <c r="S4335" s="364"/>
      <c r="Z4335" s="609" t="s">
        <v>4137</v>
      </c>
      <c r="AA4335" s="609" t="s">
        <v>5695</v>
      </c>
    </row>
    <row r="4336" spans="1:27" ht="18">
      <c r="A4336" s="2712"/>
      <c r="B4336" s="371">
        <v>102</v>
      </c>
      <c r="C4336" s="371" t="s">
        <v>2791</v>
      </c>
      <c r="D4336" s="2714">
        <f t="shared" si="482"/>
        <v>0</v>
      </c>
      <c r="E4336" s="2719">
        <v>1</v>
      </c>
      <c r="F4336" s="294"/>
      <c r="G4336" s="2425" t="s">
        <v>2792</v>
      </c>
      <c r="H4336" s="2296"/>
      <c r="I4336" s="2296"/>
      <c r="J4336" s="2273"/>
      <c r="K4336" s="2296"/>
      <c r="L4336" s="1474">
        <f t="shared" ref="L4336:L4339" si="483">J4336*K4336</f>
        <v>0</v>
      </c>
      <c r="M4336" s="2296"/>
      <c r="N4336" s="2296"/>
      <c r="O4336" s="2274"/>
      <c r="P4336" s="437"/>
      <c r="Q4336" s="442"/>
      <c r="R4336" s="443"/>
      <c r="S4336" s="364"/>
      <c r="Z4336" s="609" t="s">
        <v>4137</v>
      </c>
      <c r="AA4336" s="609" t="s">
        <v>5695</v>
      </c>
    </row>
    <row r="4337" spans="1:27" ht="18">
      <c r="A4337" s="2712"/>
      <c r="B4337" s="371">
        <v>103</v>
      </c>
      <c r="C4337" s="371" t="s">
        <v>2791</v>
      </c>
      <c r="D4337" s="2714">
        <f t="shared" si="482"/>
        <v>0</v>
      </c>
      <c r="E4337" s="2719">
        <v>1</v>
      </c>
      <c r="F4337" s="294"/>
      <c r="G4337" s="2425" t="s">
        <v>2792</v>
      </c>
      <c r="H4337" s="2296"/>
      <c r="I4337" s="2296"/>
      <c r="J4337" s="2273"/>
      <c r="K4337" s="2296"/>
      <c r="L4337" s="1474">
        <f t="shared" si="483"/>
        <v>0</v>
      </c>
      <c r="M4337" s="2296"/>
      <c r="N4337" s="2296"/>
      <c r="O4337" s="2274"/>
      <c r="P4337" s="437"/>
      <c r="Q4337" s="442"/>
      <c r="R4337" s="443"/>
      <c r="S4337" s="364"/>
      <c r="Z4337" s="609" t="s">
        <v>4137</v>
      </c>
      <c r="AA4337" s="609" t="s">
        <v>5695</v>
      </c>
    </row>
    <row r="4338" spans="1:27" ht="18">
      <c r="A4338" s="2712"/>
      <c r="B4338" s="371">
        <v>104</v>
      </c>
      <c r="C4338" s="371" t="s">
        <v>2791</v>
      </c>
      <c r="D4338" s="2714">
        <f t="shared" si="482"/>
        <v>0</v>
      </c>
      <c r="E4338" s="2719">
        <v>1</v>
      </c>
      <c r="F4338" s="294"/>
      <c r="G4338" s="2425" t="s">
        <v>2792</v>
      </c>
      <c r="H4338" s="2296"/>
      <c r="I4338" s="2296"/>
      <c r="J4338" s="2273"/>
      <c r="K4338" s="2296"/>
      <c r="L4338" s="1474">
        <f t="shared" si="483"/>
        <v>0</v>
      </c>
      <c r="M4338" s="2296"/>
      <c r="N4338" s="2296"/>
      <c r="O4338" s="2274"/>
      <c r="P4338" s="437"/>
      <c r="Q4338" s="442"/>
      <c r="R4338" s="443"/>
      <c r="S4338" s="364"/>
      <c r="Z4338" s="609" t="s">
        <v>4137</v>
      </c>
      <c r="AA4338" s="609" t="s">
        <v>5695</v>
      </c>
    </row>
    <row r="4339" spans="1:27" ht="18">
      <c r="A4339" s="2712"/>
      <c r="B4339" s="371">
        <v>105</v>
      </c>
      <c r="C4339" s="371" t="s">
        <v>2791</v>
      </c>
      <c r="D4339" s="2714">
        <f t="shared" si="482"/>
        <v>0</v>
      </c>
      <c r="E4339" s="2719">
        <v>1</v>
      </c>
      <c r="F4339" s="294"/>
      <c r="G4339" s="2425" t="s">
        <v>2792</v>
      </c>
      <c r="H4339" s="2296"/>
      <c r="I4339" s="2296"/>
      <c r="J4339" s="2273"/>
      <c r="K4339" s="2296"/>
      <c r="L4339" s="1474">
        <f t="shared" si="483"/>
        <v>0</v>
      </c>
      <c r="M4339" s="2296"/>
      <c r="N4339" s="2296"/>
      <c r="O4339" s="2274"/>
      <c r="P4339" s="437"/>
      <c r="Q4339" s="442"/>
      <c r="R4339" s="443"/>
      <c r="S4339" s="364"/>
      <c r="Z4339" s="609" t="s">
        <v>4137</v>
      </c>
      <c r="AA4339" s="609" t="s">
        <v>5695</v>
      </c>
    </row>
    <row r="4340" spans="1:27" ht="18.75" thickBot="1">
      <c r="A4340" s="2712"/>
      <c r="B4340" s="371"/>
      <c r="C4340" s="371"/>
      <c r="D4340" s="2714">
        <f t="shared" si="482"/>
        <v>1</v>
      </c>
      <c r="E4340" s="2719" t="s">
        <v>2751</v>
      </c>
      <c r="F4340" s="294"/>
      <c r="G4340" s="2232" t="s">
        <v>2752</v>
      </c>
      <c r="H4340" s="2239"/>
      <c r="I4340" s="2239"/>
      <c r="J4340" s="2306"/>
      <c r="K4340" s="2239"/>
      <c r="L4340" s="2233">
        <f>SUMPRODUCT($E4334:$E4339,L4334:L4339)</f>
        <v>0</v>
      </c>
      <c r="M4340" s="2240">
        <f>SUMPRODUCT($E4334:$E4339,M4334:M4339)</f>
        <v>0</v>
      </c>
      <c r="N4340" s="2239"/>
      <c r="O4340" s="2242"/>
      <c r="P4340" s="437"/>
      <c r="Q4340" s="442"/>
      <c r="R4340" s="443"/>
      <c r="S4340" s="364"/>
      <c r="Z4340" s="609" t="s">
        <v>4137</v>
      </c>
      <c r="AA4340" s="609" t="s">
        <v>5695</v>
      </c>
    </row>
    <row r="4341" spans="1:27" ht="18">
      <c r="A4341" s="2712"/>
      <c r="B4341" s="371"/>
      <c r="C4341" s="371" t="s">
        <v>2755</v>
      </c>
      <c r="D4341" s="371"/>
      <c r="F4341" s="294"/>
      <c r="G4341" s="301"/>
      <c r="H4341" s="393"/>
      <c r="I4341" s="393"/>
      <c r="J4341" s="315"/>
      <c r="K4341" s="393"/>
      <c r="L4341" s="315"/>
      <c r="M4341" s="393"/>
      <c r="N4341" s="393"/>
      <c r="O4341" s="393"/>
      <c r="P4341" s="427"/>
      <c r="Q4341" s="442"/>
      <c r="R4341" s="443"/>
      <c r="S4341" s="364"/>
      <c r="Z4341" s="609" t="s">
        <v>4137</v>
      </c>
      <c r="AA4341" s="609" t="s">
        <v>5695</v>
      </c>
    </row>
    <row r="4342" spans="1:27" ht="36">
      <c r="A4342" s="2712" t="s">
        <v>1795</v>
      </c>
      <c r="B4342" s="371">
        <v>2</v>
      </c>
      <c r="C4342" s="371"/>
      <c r="D4342" s="2714" t="str">
        <f>VLOOKUP($A4342,Sheet_NoteList,2,0)</f>
        <v>期末发行在外的优先股、永续债等金融工具变动情况表</v>
      </c>
      <c r="E4342" s="2714" t="s">
        <v>2742</v>
      </c>
      <c r="F4342" s="294"/>
      <c r="G4342" s="372" t="str">
        <f>"("&amp;B4342&amp;")"&amp;D4342</f>
        <v>(2)期末发行在外的优先股、永续债等金融工具变动情况表</v>
      </c>
      <c r="H4342" s="1515" t="str">
        <f>$A4342</f>
        <v>4015a</v>
      </c>
      <c r="I4342" s="343" t="s">
        <v>2743</v>
      </c>
      <c r="J4342" s="301" t="s">
        <v>2744</v>
      </c>
      <c r="K4342" s="2208">
        <f>O4350</f>
        <v>0</v>
      </c>
      <c r="L4342" s="345" t="str">
        <f>IF($I4342="适用",IF(ROUND(K4331-K4342,2)=0,"F/S",ROUND(K4331-K4342,2)),"#N/A")</f>
        <v>F/S</v>
      </c>
      <c r="M4342" s="301" t="s">
        <v>2745</v>
      </c>
      <c r="N4342" s="2208">
        <f>I4350</f>
        <v>0</v>
      </c>
      <c r="O4342" s="345" t="str">
        <f>IF($I4342="适用",IF(ROUND(N4331-N4342,2)=0,"F/S",ROUND(N4331-N4342,2)),"#N/A")</f>
        <v>F/S</v>
      </c>
      <c r="P4342" s="301"/>
      <c r="Q4342" s="290" t="str">
        <f>IF($I4342="不适用","",IF(ROUND(SUM($H$4347:$O$4350),2)=0,"请输入",""))</f>
        <v>请输入</v>
      </c>
      <c r="S4342" s="364"/>
      <c r="Z4342" s="609" t="s">
        <v>4137</v>
      </c>
      <c r="AA4342" s="609" t="s">
        <v>5695</v>
      </c>
    </row>
    <row r="4343" spans="1:27" ht="0.75" customHeight="1">
      <c r="A4343" s="2712"/>
      <c r="B4343" s="371"/>
      <c r="C4343" s="371"/>
      <c r="D4343" s="371"/>
      <c r="E4343" s="586"/>
      <c r="F4343" s="518"/>
      <c r="G4343" s="518" t="s">
        <v>4139</v>
      </c>
      <c r="H4343" s="304" t="s">
        <v>4048</v>
      </c>
      <c r="I4343" s="304" t="s">
        <v>4049</v>
      </c>
      <c r="J4343" s="304" t="s">
        <v>4050</v>
      </c>
      <c r="K4343" s="304" t="s">
        <v>4051</v>
      </c>
      <c r="L4343" s="304" t="s">
        <v>4052</v>
      </c>
      <c r="M4343" s="304" t="s">
        <v>4053</v>
      </c>
      <c r="N4343" s="304" t="s">
        <v>4054</v>
      </c>
      <c r="O4343" s="304" t="s">
        <v>4055</v>
      </c>
      <c r="S4343" s="364"/>
      <c r="Z4343" s="609" t="s">
        <v>4137</v>
      </c>
      <c r="AA4343" s="609" t="s">
        <v>5695</v>
      </c>
    </row>
    <row r="4344" spans="1:27" ht="0.75" customHeight="1" thickBot="1">
      <c r="A4344" s="2712"/>
      <c r="B4344" s="371"/>
      <c r="C4344" s="371"/>
      <c r="D4344" s="371"/>
      <c r="E4344" s="586"/>
      <c r="F4344" s="518"/>
      <c r="G4344" s="518"/>
      <c r="H4344" s="304" t="s">
        <v>4056</v>
      </c>
      <c r="I4344" s="304" t="s">
        <v>3215</v>
      </c>
      <c r="J4344" s="304" t="s">
        <v>4057</v>
      </c>
      <c r="K4344" s="304" t="s">
        <v>4058</v>
      </c>
      <c r="L4344" s="304" t="s">
        <v>4059</v>
      </c>
      <c r="M4344" s="304" t="s">
        <v>4060</v>
      </c>
      <c r="N4344" s="304" t="s">
        <v>4061</v>
      </c>
      <c r="O4344" s="304" t="s">
        <v>2857</v>
      </c>
      <c r="S4344" s="364"/>
      <c r="Z4344" s="609" t="s">
        <v>4137</v>
      </c>
      <c r="AA4344" s="609" t="s">
        <v>5695</v>
      </c>
    </row>
    <row r="4345" spans="1:27" ht="16.5" customHeight="1">
      <c r="A4345" s="2712"/>
      <c r="B4345" s="371"/>
      <c r="C4345" s="371"/>
      <c r="D4345" s="371"/>
      <c r="E4345" s="586" t="s">
        <v>2749</v>
      </c>
      <c r="F4345" s="363"/>
      <c r="G4345" s="3487" t="s">
        <v>1673</v>
      </c>
      <c r="H4345" s="3548" t="str">
        <f>$V$3</f>
        <v>2018年12月31日</v>
      </c>
      <c r="I4345" s="3549"/>
      <c r="J4345" s="3519" t="s">
        <v>3027</v>
      </c>
      <c r="K4345" s="3519"/>
      <c r="L4345" s="3519" t="s">
        <v>3028</v>
      </c>
      <c r="M4345" s="3519"/>
      <c r="N4345" s="3548" t="str">
        <f>$V$2</f>
        <v>2019年12月31日</v>
      </c>
      <c r="O4345" s="3562"/>
      <c r="P4345" s="355" t="s">
        <v>5317</v>
      </c>
      <c r="S4345" s="364"/>
      <c r="Z4345" s="609" t="s">
        <v>4137</v>
      </c>
      <c r="AA4345" s="609" t="s">
        <v>5695</v>
      </c>
    </row>
    <row r="4346" spans="1:27" ht="18">
      <c r="A4346" s="2712"/>
      <c r="B4346" s="371"/>
      <c r="C4346" s="371"/>
      <c r="D4346" s="371"/>
      <c r="E4346" s="586" t="s">
        <v>2749</v>
      </c>
      <c r="F4346" s="363"/>
      <c r="G4346" s="3488"/>
      <c r="H4346" s="2419" t="s">
        <v>4043</v>
      </c>
      <c r="I4346" s="2419" t="s">
        <v>2863</v>
      </c>
      <c r="J4346" s="2419" t="s">
        <v>4043</v>
      </c>
      <c r="K4346" s="2419" t="s">
        <v>2863</v>
      </c>
      <c r="L4346" s="2419" t="s">
        <v>4043</v>
      </c>
      <c r="M4346" s="2419" t="s">
        <v>2863</v>
      </c>
      <c r="N4346" s="2419" t="s">
        <v>4043</v>
      </c>
      <c r="O4346" s="2420" t="s">
        <v>2863</v>
      </c>
      <c r="S4346" s="364"/>
      <c r="Z4346" s="609" t="s">
        <v>4137</v>
      </c>
      <c r="AA4346" s="609" t="s">
        <v>5695</v>
      </c>
    </row>
    <row r="4347" spans="1:27" ht="18">
      <c r="A4347" s="2712"/>
      <c r="B4347" s="371">
        <v>101</v>
      </c>
      <c r="C4347" s="371" t="s">
        <v>2791</v>
      </c>
      <c r="D4347" s="2714">
        <f>IF(OR(G4347="*",G4347="",G4347=0),0,COUNTIF($G$4347:$G$4350,G4347))</f>
        <v>0</v>
      </c>
      <c r="E4347" s="2719">
        <v>1</v>
      </c>
      <c r="F4347" s="294"/>
      <c r="G4347" s="2425" t="s">
        <v>2792</v>
      </c>
      <c r="H4347" s="2603"/>
      <c r="I4347" s="2273"/>
      <c r="J4347" s="2603"/>
      <c r="K4347" s="2273"/>
      <c r="L4347" s="2603"/>
      <c r="M4347" s="2273"/>
      <c r="N4347" s="2596">
        <f t="shared" ref="N4347:O4349" si="484">SUM(H4347,J4347,-L4347)</f>
        <v>0</v>
      </c>
      <c r="O4347" s="1475">
        <f t="shared" si="484"/>
        <v>0</v>
      </c>
      <c r="S4347" s="364"/>
      <c r="Z4347" s="609" t="s">
        <v>4137</v>
      </c>
      <c r="AA4347" s="609" t="s">
        <v>5695</v>
      </c>
    </row>
    <row r="4348" spans="1:27" ht="18">
      <c r="A4348" s="2712"/>
      <c r="B4348" s="371">
        <v>102</v>
      </c>
      <c r="C4348" s="371" t="s">
        <v>2791</v>
      </c>
      <c r="D4348" s="2714">
        <f>IF(OR(G4348="*",G4348="",G4348=0),0,COUNTIF($G$4347:$G$4350,G4348))</f>
        <v>0</v>
      </c>
      <c r="E4348" s="2719">
        <v>1</v>
      </c>
      <c r="F4348" s="294"/>
      <c r="G4348" s="2425" t="s">
        <v>2792</v>
      </c>
      <c r="H4348" s="2603"/>
      <c r="I4348" s="2273"/>
      <c r="J4348" s="2603"/>
      <c r="K4348" s="2273"/>
      <c r="L4348" s="2603"/>
      <c r="M4348" s="2273"/>
      <c r="N4348" s="2596">
        <f t="shared" si="484"/>
        <v>0</v>
      </c>
      <c r="O4348" s="1475">
        <f t="shared" si="484"/>
        <v>0</v>
      </c>
      <c r="S4348" s="364"/>
      <c r="Z4348" s="609" t="s">
        <v>4137</v>
      </c>
      <c r="AA4348" s="609" t="s">
        <v>5695</v>
      </c>
    </row>
    <row r="4349" spans="1:27" ht="18">
      <c r="A4349" s="2712"/>
      <c r="B4349" s="371">
        <v>103</v>
      </c>
      <c r="C4349" s="371" t="s">
        <v>2791</v>
      </c>
      <c r="D4349" s="2714">
        <f>IF(OR(G4349="*",G4349="",G4349=0),0,COUNTIF($G$4347:$G$4350,G4349))</f>
        <v>0</v>
      </c>
      <c r="E4349" s="2719">
        <v>1</v>
      </c>
      <c r="F4349" s="294"/>
      <c r="G4349" s="2425" t="s">
        <v>2792</v>
      </c>
      <c r="H4349" s="2603"/>
      <c r="I4349" s="2273"/>
      <c r="J4349" s="2603"/>
      <c r="K4349" s="2273"/>
      <c r="L4349" s="2603"/>
      <c r="M4349" s="2273"/>
      <c r="N4349" s="2596">
        <f t="shared" si="484"/>
        <v>0</v>
      </c>
      <c r="O4349" s="1475">
        <f t="shared" si="484"/>
        <v>0</v>
      </c>
      <c r="S4349" s="364"/>
      <c r="Z4349" s="609" t="s">
        <v>4137</v>
      </c>
      <c r="AA4349" s="609" t="s">
        <v>5695</v>
      </c>
    </row>
    <row r="4350" spans="1:27" ht="18.75" thickBot="1">
      <c r="A4350" s="2712"/>
      <c r="B4350" s="371"/>
      <c r="C4350" s="371"/>
      <c r="D4350" s="2714">
        <f>IF(OR(G4350="*",G4350="",G4350=0),0,COUNTIF($G$4347:$G$4350,G4350))</f>
        <v>1</v>
      </c>
      <c r="E4350" s="2719" t="s">
        <v>2751</v>
      </c>
      <c r="F4350" s="294"/>
      <c r="G4350" s="374" t="s">
        <v>2752</v>
      </c>
      <c r="H4350" s="2602">
        <f t="shared" ref="H4350:O4350" si="485">SUMPRODUCT($E4346:$E4349,H4346:H4349)</f>
        <v>0</v>
      </c>
      <c r="I4350" s="1476">
        <f t="shared" si="485"/>
        <v>0</v>
      </c>
      <c r="J4350" s="2602">
        <f t="shared" si="485"/>
        <v>0</v>
      </c>
      <c r="K4350" s="1476">
        <f t="shared" si="485"/>
        <v>0</v>
      </c>
      <c r="L4350" s="2602">
        <f t="shared" si="485"/>
        <v>0</v>
      </c>
      <c r="M4350" s="1476">
        <f t="shared" si="485"/>
        <v>0</v>
      </c>
      <c r="N4350" s="2602">
        <f t="shared" si="485"/>
        <v>0</v>
      </c>
      <c r="O4350" s="1477">
        <f t="shared" si="485"/>
        <v>0</v>
      </c>
      <c r="S4350" s="364"/>
      <c r="Z4350" s="609" t="s">
        <v>4137</v>
      </c>
      <c r="AA4350" s="609" t="s">
        <v>5695</v>
      </c>
    </row>
    <row r="4351" spans="1:27" ht="18">
      <c r="A4351" s="2712"/>
      <c r="B4351" s="371"/>
      <c r="C4351" s="371" t="s">
        <v>2755</v>
      </c>
      <c r="D4351" s="371"/>
      <c r="F4351" s="294"/>
      <c r="G4351" s="301"/>
      <c r="H4351" s="315"/>
      <c r="I4351" s="315"/>
      <c r="J4351" s="315"/>
      <c r="K4351" s="315"/>
      <c r="L4351" s="315"/>
      <c r="M4351" s="315"/>
      <c r="N4351" s="315"/>
      <c r="O4351" s="315"/>
      <c r="S4351" s="364"/>
      <c r="Z4351" s="609" t="s">
        <v>4137</v>
      </c>
      <c r="AA4351" s="609" t="s">
        <v>5695</v>
      </c>
    </row>
    <row r="4352" spans="1:27" ht="18">
      <c r="A4352" s="2712">
        <v>4002</v>
      </c>
      <c r="B4352" s="371">
        <v>55</v>
      </c>
      <c r="C4352" s="2714" t="str">
        <f>VLOOKUP($A4352,Sheet_Items,2,0)</f>
        <v>资本公积</v>
      </c>
      <c r="D4352" s="371"/>
      <c r="E4352" s="2714" t="s">
        <v>2739</v>
      </c>
      <c r="F4352" s="294"/>
      <c r="G4352" s="305" t="str">
        <f>B4352&amp;" "&amp;C4352</f>
        <v>55 资本公积</v>
      </c>
      <c r="H4352" s="306"/>
      <c r="I4352" s="306"/>
      <c r="J4352" s="306" t="s">
        <v>2740</v>
      </c>
      <c r="K4352" s="341">
        <f>VLOOKUP($A4352,Sheet_Trialbal,6,0)</f>
        <v>238420255.88999999</v>
      </c>
      <c r="L4352" s="342"/>
      <c r="M4352" s="306" t="s">
        <v>2741</v>
      </c>
      <c r="N4352" s="341">
        <f>VLOOKUP($A4352,Sheet_Trialbal,10,0)</f>
        <v>238420255.88999999</v>
      </c>
      <c r="O4352" s="306"/>
      <c r="P4352" s="301"/>
      <c r="S4352" s="364"/>
      <c r="Z4352" s="609" t="s">
        <v>4140</v>
      </c>
      <c r="AA4352" s="609" t="s">
        <v>5696</v>
      </c>
    </row>
    <row r="4353" spans="1:27" ht="18">
      <c r="A4353" s="2712" t="s">
        <v>1785</v>
      </c>
      <c r="B4353" s="371">
        <v>1</v>
      </c>
      <c r="C4353" s="371"/>
      <c r="D4353" s="2714" t="str">
        <f>VLOOKUP($A4353,Sheet_NoteList,2,0)</f>
        <v>资本公积变动情况</v>
      </c>
      <c r="E4353" s="2714" t="s">
        <v>2742</v>
      </c>
      <c r="F4353" s="294"/>
      <c r="G4353" s="307" t="str">
        <f>"("&amp;B4353&amp;")"&amp;D4353</f>
        <v>(1)资本公积变动情况</v>
      </c>
      <c r="H4353" s="1515" t="str">
        <f>$A4353</f>
        <v>4002a</v>
      </c>
      <c r="I4353" s="343" t="s">
        <v>2743</v>
      </c>
      <c r="J4353" s="301" t="s">
        <v>2744</v>
      </c>
      <c r="K4353" s="2208">
        <f>K4359</f>
        <v>238420255.88999999</v>
      </c>
      <c r="L4353" s="345" t="str">
        <f>IF($I4353="适用",IF(ROUND(K4352-K4353,2)=0,"F/S",ROUND(K4352-K4353,2)),"#N/A")</f>
        <v>F/S</v>
      </c>
      <c r="M4353" s="301" t="s">
        <v>2745</v>
      </c>
      <c r="N4353" s="2208">
        <f>H4359</f>
        <v>238420255.88999999</v>
      </c>
      <c r="O4353" s="345" t="str">
        <f>IF($I4353="适用",IF(ROUND(N4352-N4353,2)=0,"F/S",ROUND(N4352-N4353,2)),"#N/A")</f>
        <v>F/S</v>
      </c>
      <c r="P4353" s="301"/>
      <c r="Q4353" s="290" t="str">
        <f>IF($I4353="不适用","",IF(ROUND(SUM($H$4356:$K$4359),2)=0,"请输入",""))</f>
        <v/>
      </c>
      <c r="S4353" s="364"/>
      <c r="Z4353" s="609" t="s">
        <v>4140</v>
      </c>
      <c r="AA4353" s="609" t="s">
        <v>5696</v>
      </c>
    </row>
    <row r="4354" spans="1:27" ht="0.75" customHeight="1" thickBot="1">
      <c r="A4354" s="2712"/>
      <c r="B4354" s="371"/>
      <c r="C4354" s="371"/>
      <c r="D4354" s="371"/>
      <c r="F4354" s="304"/>
      <c r="G4354" s="304" t="s">
        <v>4141</v>
      </c>
      <c r="H4354" s="304" t="s">
        <v>2904</v>
      </c>
      <c r="I4354" s="304" t="s">
        <v>3255</v>
      </c>
      <c r="J4354" s="304" t="s">
        <v>3256</v>
      </c>
      <c r="K4354" s="304" t="s">
        <v>3241</v>
      </c>
      <c r="L4354" s="291"/>
      <c r="M4354" s="291"/>
      <c r="N4354" s="291"/>
      <c r="O4354" s="291"/>
      <c r="S4354" s="364"/>
      <c r="Z4354" s="609" t="s">
        <v>4140</v>
      </c>
      <c r="AA4354" s="609" t="s">
        <v>5696</v>
      </c>
    </row>
    <row r="4355" spans="1:27" ht="18">
      <c r="A4355" s="2712"/>
      <c r="B4355" s="371"/>
      <c r="C4355" s="371"/>
      <c r="D4355" s="371"/>
      <c r="E4355" s="2714" t="s">
        <v>2749</v>
      </c>
      <c r="F4355" s="294"/>
      <c r="G4355" s="378" t="s">
        <v>47</v>
      </c>
      <c r="H4355" s="2471" t="str">
        <f>$V$3</f>
        <v>2018年12月31日</v>
      </c>
      <c r="I4355" s="398" t="s">
        <v>3027</v>
      </c>
      <c r="J4355" s="398" t="s">
        <v>3028</v>
      </c>
      <c r="K4355" s="1454" t="str">
        <f>$V$2</f>
        <v>2019年12月31日</v>
      </c>
      <c r="L4355" s="355" t="s">
        <v>5318</v>
      </c>
      <c r="M4355" s="291"/>
      <c r="N4355" s="291"/>
      <c r="O4355" s="291"/>
      <c r="S4355" s="364"/>
      <c r="Z4355" s="609" t="s">
        <v>4140</v>
      </c>
      <c r="AA4355" s="609" t="s">
        <v>5696</v>
      </c>
    </row>
    <row r="4356" spans="1:27" ht="18">
      <c r="A4356" s="2712"/>
      <c r="B4356" s="371">
        <v>101</v>
      </c>
      <c r="C4356" s="371"/>
      <c r="D4356" s="2714">
        <f>IF(OR(G4356="*",G4356="",G4356=0),0,COUNTIF($G$4356:$G$4359,G4356))</f>
        <v>1</v>
      </c>
      <c r="E4356" s="2719">
        <v>1</v>
      </c>
      <c r="F4356" s="294"/>
      <c r="G4356" s="380" t="s">
        <v>4142</v>
      </c>
      <c r="H4356" s="383">
        <v>238420255.88999999</v>
      </c>
      <c r="I4356" s="383"/>
      <c r="J4356" s="383"/>
      <c r="K4356" s="562">
        <f>H4356+I4356-J4356</f>
        <v>238420255.88999999</v>
      </c>
      <c r="L4356" s="291"/>
      <c r="M4356" s="291"/>
      <c r="N4356" s="291"/>
      <c r="O4356" s="291"/>
      <c r="S4356" s="364"/>
      <c r="Z4356" s="609" t="s">
        <v>4140</v>
      </c>
      <c r="AA4356" s="609" t="s">
        <v>5696</v>
      </c>
    </row>
    <row r="4357" spans="1:27" ht="18">
      <c r="A4357" s="2712"/>
      <c r="B4357" s="371">
        <v>102</v>
      </c>
      <c r="C4357" s="371"/>
      <c r="D4357" s="2714">
        <f>IF(OR(G4357="*",G4357="",G4357=0),0,COUNTIF($G$4356:$G$4359,G4357))</f>
        <v>1</v>
      </c>
      <c r="E4357" s="2719">
        <v>1</v>
      </c>
      <c r="F4357" s="294"/>
      <c r="G4357" s="380" t="s">
        <v>4143</v>
      </c>
      <c r="H4357" s="383"/>
      <c r="I4357" s="383"/>
      <c r="J4357" s="383"/>
      <c r="K4357" s="562">
        <f>H4357+I4357-J4357</f>
        <v>0</v>
      </c>
      <c r="L4357" s="291"/>
      <c r="M4357" s="291"/>
      <c r="N4357" s="291"/>
      <c r="O4357" s="291"/>
      <c r="S4357" s="364"/>
      <c r="Z4357" s="609" t="s">
        <v>4140</v>
      </c>
      <c r="AA4357" s="609" t="s">
        <v>5696</v>
      </c>
    </row>
    <row r="4358" spans="1:27" ht="18">
      <c r="A4358" s="2712"/>
      <c r="B4358" s="371">
        <v>103</v>
      </c>
      <c r="C4358" s="371" t="s">
        <v>2791</v>
      </c>
      <c r="D4358" s="2714">
        <f>IF(OR(G4358="*",G4358="",G4358=0),0,COUNTIF($G$4356:$G$4359,G4358))</f>
        <v>0</v>
      </c>
      <c r="E4358" s="2719">
        <v>1</v>
      </c>
      <c r="F4358" s="294"/>
      <c r="G4358" s="409" t="s">
        <v>2792</v>
      </c>
      <c r="H4358" s="383"/>
      <c r="I4358" s="383"/>
      <c r="J4358" s="383"/>
      <c r="K4358" s="562">
        <f>H4358+I4358-J4358</f>
        <v>0</v>
      </c>
      <c r="L4358" s="291"/>
      <c r="M4358" s="291"/>
      <c r="N4358" s="291"/>
      <c r="O4358" s="291"/>
      <c r="S4358" s="364"/>
      <c r="Z4358" s="609" t="s">
        <v>4140</v>
      </c>
      <c r="AA4358" s="609" t="s">
        <v>5696</v>
      </c>
    </row>
    <row r="4359" spans="1:27" ht="18.75" thickBot="1">
      <c r="A4359" s="2712"/>
      <c r="B4359" s="371"/>
      <c r="C4359" s="371"/>
      <c r="D4359" s="2714">
        <f>IF(OR(G4359="*",G4359="",G4359=0),0,COUNTIF($G$4356:$G$4359,G4359))</f>
        <v>1</v>
      </c>
      <c r="E4359" s="2719" t="s">
        <v>2751</v>
      </c>
      <c r="F4359" s="294"/>
      <c r="G4359" s="403" t="s">
        <v>2752</v>
      </c>
      <c r="H4359" s="503">
        <f>SUMPRODUCT($E4355:$E4358,H4355:H4358)</f>
        <v>238420255.88999999</v>
      </c>
      <c r="I4359" s="503">
        <f>SUMPRODUCT($E4355:$E4358,I4355:I4358)</f>
        <v>0</v>
      </c>
      <c r="J4359" s="503">
        <f>SUMPRODUCT($E4355:$E4358,J4355:J4358)</f>
        <v>0</v>
      </c>
      <c r="K4359" s="515">
        <f>SUMPRODUCT($E4355:$E4358,K4355:K4358)</f>
        <v>238420255.88999999</v>
      </c>
      <c r="L4359" s="291"/>
      <c r="M4359" s="291"/>
      <c r="N4359" s="291"/>
      <c r="O4359" s="291"/>
      <c r="S4359" s="364"/>
      <c r="Z4359" s="609" t="s">
        <v>4140</v>
      </c>
      <c r="AA4359" s="609" t="s">
        <v>5696</v>
      </c>
    </row>
    <row r="4360" spans="1:27" ht="18">
      <c r="A4360" s="2712"/>
      <c r="B4360" s="371"/>
      <c r="C4360" s="371" t="s">
        <v>2755</v>
      </c>
      <c r="D4360" s="371"/>
      <c r="F4360" s="294"/>
      <c r="G4360" s="301"/>
      <c r="H4360" s="349"/>
      <c r="I4360" s="349"/>
      <c r="J4360" s="349"/>
      <c r="K4360" s="349"/>
      <c r="L4360" s="291"/>
      <c r="M4360" s="291"/>
      <c r="N4360" s="291"/>
      <c r="O4360" s="291"/>
      <c r="S4360" s="364"/>
      <c r="Z4360" s="609" t="s">
        <v>4140</v>
      </c>
      <c r="AA4360" s="609" t="s">
        <v>5696</v>
      </c>
    </row>
    <row r="4361" spans="1:27" ht="18">
      <c r="A4361" s="2712">
        <v>4201</v>
      </c>
      <c r="B4361" s="371">
        <v>56</v>
      </c>
      <c r="C4361" s="2714" t="str">
        <f>VLOOKUP($A4361,Sheet_Items,2,0)</f>
        <v>库存股</v>
      </c>
      <c r="D4361" s="371"/>
      <c r="E4361" s="2714" t="s">
        <v>2739</v>
      </c>
      <c r="F4361" s="294"/>
      <c r="G4361" s="535" t="str">
        <f>B4361&amp;" "&amp;C4361</f>
        <v>56 库存股</v>
      </c>
      <c r="H4361" s="306"/>
      <c r="I4361" s="306"/>
      <c r="J4361" s="306" t="s">
        <v>2740</v>
      </c>
      <c r="K4361" s="341">
        <f>VLOOKUP($A4361,Sheet_Trialbal,6,0)</f>
        <v>0</v>
      </c>
      <c r="L4361" s="342"/>
      <c r="M4361" s="306" t="s">
        <v>2741</v>
      </c>
      <c r="N4361" s="341">
        <f>VLOOKUP($A4361,Sheet_Trialbal,10,0)</f>
        <v>0</v>
      </c>
      <c r="O4361" s="306"/>
      <c r="P4361" s="301"/>
      <c r="S4361" s="364"/>
      <c r="Z4361" s="609" t="s">
        <v>4144</v>
      </c>
      <c r="AA4361" s="609" t="s">
        <v>5697</v>
      </c>
    </row>
    <row r="4362" spans="1:27" ht="18">
      <c r="A4362" s="2712" t="s">
        <v>1828</v>
      </c>
      <c r="B4362" s="371">
        <v>1</v>
      </c>
      <c r="C4362" s="371"/>
      <c r="D4362" s="2714" t="str">
        <f>VLOOKUP($A4362,Sheet_NoteList,2,0)</f>
        <v>库存股变动情况</v>
      </c>
      <c r="E4362" s="2714" t="s">
        <v>2742</v>
      </c>
      <c r="F4362" s="294"/>
      <c r="G4362" s="307" t="str">
        <f>"("&amp;B4362&amp;")"&amp;D4362</f>
        <v>(1)库存股变动情况</v>
      </c>
      <c r="H4362" s="1515" t="str">
        <f>$A4362</f>
        <v>4201a</v>
      </c>
      <c r="I4362" s="343" t="s">
        <v>2743</v>
      </c>
      <c r="J4362" s="301" t="s">
        <v>2744</v>
      </c>
      <c r="K4362" s="2208">
        <f>K4366</f>
        <v>0</v>
      </c>
      <c r="L4362" s="345" t="str">
        <f>IF($I4362="适用",IF(ROUND(K4361-K4362,2)=0,"F/S",ROUND(K4361-K4362,2)),"#N/A")</f>
        <v>F/S</v>
      </c>
      <c r="M4362" s="301" t="s">
        <v>2745</v>
      </c>
      <c r="N4362" s="2208">
        <f>H4366</f>
        <v>0</v>
      </c>
      <c r="O4362" s="345" t="str">
        <f>IF($I4362="适用",IF(ROUND(N4361-N4362,2)=0,"F/S",ROUND(N4361-N4362,2)),"#N/A")</f>
        <v>F/S</v>
      </c>
      <c r="P4362" s="301"/>
      <c r="S4362" s="364"/>
      <c r="Z4362" s="609" t="s">
        <v>4144</v>
      </c>
      <c r="AA4362" s="609" t="s">
        <v>5697</v>
      </c>
    </row>
    <row r="4363" spans="1:27" ht="0.75" customHeight="1" thickBot="1">
      <c r="A4363" s="2712"/>
      <c r="B4363" s="371"/>
      <c r="C4363" s="371"/>
      <c r="D4363" s="371"/>
      <c r="E4363" s="586"/>
      <c r="F4363" s="363"/>
      <c r="G4363" s="363" t="s">
        <v>4145</v>
      </c>
      <c r="H4363" s="294" t="s">
        <v>2904</v>
      </c>
      <c r="I4363" s="294" t="s">
        <v>3255</v>
      </c>
      <c r="J4363" s="294" t="s">
        <v>3256</v>
      </c>
      <c r="K4363" s="294" t="s">
        <v>3241</v>
      </c>
      <c r="L4363" s="291"/>
      <c r="M4363" s="291"/>
      <c r="N4363" s="291"/>
      <c r="O4363" s="291"/>
      <c r="S4363" s="364"/>
      <c r="Z4363" s="609" t="s">
        <v>4144</v>
      </c>
      <c r="AA4363" s="609" t="s">
        <v>5697</v>
      </c>
    </row>
    <row r="4364" spans="1:27" ht="18">
      <c r="A4364" s="2712"/>
      <c r="B4364" s="371"/>
      <c r="C4364" s="371"/>
      <c r="D4364" s="371"/>
      <c r="E4364" s="586" t="s">
        <v>2749</v>
      </c>
      <c r="F4364" s="363"/>
      <c r="G4364" s="2426" t="s">
        <v>47</v>
      </c>
      <c r="H4364" s="2473" t="str">
        <f>$V$3</f>
        <v>2018年12月31日</v>
      </c>
      <c r="I4364" s="2423" t="s">
        <v>3027</v>
      </c>
      <c r="J4364" s="2423" t="s">
        <v>3028</v>
      </c>
      <c r="K4364" s="2478" t="str">
        <f>$V$2</f>
        <v>2019年12月31日</v>
      </c>
      <c r="L4364" s="355" t="s">
        <v>5319</v>
      </c>
      <c r="M4364" s="291"/>
      <c r="N4364" s="291"/>
      <c r="O4364" s="291"/>
      <c r="S4364" s="364"/>
      <c r="Z4364" s="609" t="s">
        <v>4144</v>
      </c>
      <c r="AA4364" s="609" t="s">
        <v>5697</v>
      </c>
    </row>
    <row r="4365" spans="1:27" ht="18">
      <c r="A4365" s="2712"/>
      <c r="B4365" s="371">
        <v>101</v>
      </c>
      <c r="C4365" s="371"/>
      <c r="D4365" s="2714">
        <f>IF(OR(G4365="*",G4365="",G4365=0),0,COUNTIF($G$4365:$G$4366,G4365))</f>
        <v>1</v>
      </c>
      <c r="E4365" s="2719">
        <v>1</v>
      </c>
      <c r="F4365" s="294"/>
      <c r="G4365" s="1472" t="s">
        <v>6084</v>
      </c>
      <c r="H4365" s="2273"/>
      <c r="I4365" s="2273"/>
      <c r="J4365" s="2273"/>
      <c r="K4365" s="1475">
        <f>H4365+I4365-J4365</f>
        <v>0</v>
      </c>
      <c r="L4365" s="291"/>
      <c r="M4365" s="291"/>
      <c r="N4365" s="291"/>
      <c r="O4365" s="291"/>
      <c r="S4365" s="364"/>
      <c r="Z4365" s="609" t="s">
        <v>4144</v>
      </c>
      <c r="AA4365" s="609" t="s">
        <v>5697</v>
      </c>
    </row>
    <row r="4366" spans="1:27" ht="18.75" thickBot="1">
      <c r="A4366" s="2712"/>
      <c r="B4366" s="371"/>
      <c r="C4366" s="371"/>
      <c r="D4366" s="2714">
        <f>IF(OR(G4366="*",G4366="",G4366=0),0,COUNTIF($G$4365:$G$4366,G4366))</f>
        <v>1</v>
      </c>
      <c r="E4366" s="2719" t="s">
        <v>2751</v>
      </c>
      <c r="F4366" s="294"/>
      <c r="G4366" s="374" t="s">
        <v>2752</v>
      </c>
      <c r="H4366" s="1476">
        <f>SUMPRODUCT($E4364:$E4365,H4364:H4365)</f>
        <v>0</v>
      </c>
      <c r="I4366" s="1476">
        <f>SUMPRODUCT($E4364:$E4365,I4364:I4365)</f>
        <v>0</v>
      </c>
      <c r="J4366" s="1476">
        <f>SUMPRODUCT($E4364:$E4365,J4364:J4365)</f>
        <v>0</v>
      </c>
      <c r="K4366" s="1477">
        <f>SUMPRODUCT($E4364:$E4365,K4364:K4365)</f>
        <v>0</v>
      </c>
      <c r="L4366" s="291"/>
      <c r="M4366" s="291"/>
      <c r="N4366" s="291"/>
      <c r="O4366" s="291"/>
      <c r="S4366" s="364"/>
      <c r="Z4366" s="609" t="s">
        <v>4144</v>
      </c>
      <c r="AA4366" s="609" t="s">
        <v>5697</v>
      </c>
    </row>
    <row r="4367" spans="1:27" ht="18">
      <c r="A4367" s="2712"/>
      <c r="B4367" s="371"/>
      <c r="C4367" s="371" t="s">
        <v>2755</v>
      </c>
      <c r="D4367" s="371"/>
      <c r="F4367" s="294"/>
      <c r="G4367" s="301"/>
      <c r="H4367" s="315"/>
      <c r="I4367" s="315"/>
      <c r="J4367" s="315"/>
      <c r="K4367" s="315"/>
      <c r="L4367" s="291"/>
      <c r="M4367" s="291"/>
      <c r="N4367" s="291"/>
      <c r="O4367" s="291"/>
      <c r="S4367" s="364"/>
      <c r="Z4367" s="609" t="s">
        <v>4144</v>
      </c>
      <c r="AA4367" s="609" t="s">
        <v>5697</v>
      </c>
    </row>
    <row r="4368" spans="1:27" ht="18">
      <c r="A4368" s="2712">
        <v>4215</v>
      </c>
      <c r="B4368" s="371">
        <v>57</v>
      </c>
      <c r="C4368" s="2714" t="str">
        <f>VLOOKUP($A4368,Sheet_Items,2,0)</f>
        <v>其他综合收益</v>
      </c>
      <c r="D4368" s="371"/>
      <c r="E4368" s="2714" t="s">
        <v>2739</v>
      </c>
      <c r="F4368" s="294"/>
      <c r="G4368" s="305" t="str">
        <f>B4368&amp;" "&amp;C4368</f>
        <v>57 其他综合收益</v>
      </c>
      <c r="H4368" s="306"/>
      <c r="I4368" s="306"/>
      <c r="J4368" s="306" t="s">
        <v>2740</v>
      </c>
      <c r="K4368" s="341">
        <f>VLOOKUP($A4368,Sheet_Trialbal,6,0)</f>
        <v>0</v>
      </c>
      <c r="L4368" s="342"/>
      <c r="M4368" s="306" t="s">
        <v>2741</v>
      </c>
      <c r="N4368" s="341">
        <f>VLOOKUP($A4368,Sheet_Trialbal,10,0)</f>
        <v>0</v>
      </c>
      <c r="O4368" s="306"/>
      <c r="P4368" s="368" t="s">
        <v>4146</v>
      </c>
      <c r="S4368" s="364"/>
      <c r="Z4368" s="609" t="s">
        <v>4147</v>
      </c>
      <c r="AA4368" s="609" t="s">
        <v>5698</v>
      </c>
    </row>
    <row r="4369" spans="1:27" ht="18">
      <c r="A4369" s="2712" t="s">
        <v>1831</v>
      </c>
      <c r="B4369" s="371">
        <v>1</v>
      </c>
      <c r="C4369" s="371"/>
      <c r="D4369" s="2714" t="str">
        <f>VLOOKUP($A4369,Sheet_NoteList,2,0)</f>
        <v>其他综合收益列示</v>
      </c>
      <c r="E4369" s="2714" t="s">
        <v>2742</v>
      </c>
      <c r="F4369" s="293"/>
      <c r="G4369" s="372" t="str">
        <f>"("&amp;B4369&amp;")"&amp;D4369</f>
        <v>(1)其他综合收益列示</v>
      </c>
      <c r="H4369" s="1515" t="str">
        <f>$A4369</f>
        <v>4215b</v>
      </c>
      <c r="I4369" s="343" t="s">
        <v>2743</v>
      </c>
      <c r="J4369" s="301" t="s">
        <v>2744</v>
      </c>
      <c r="K4369" s="2208">
        <f>P4392</f>
        <v>0</v>
      </c>
      <c r="L4369" s="349" t="str">
        <f>IF($I4369="适用",IF(ROUND(K$4368-K4369,2)=0,"F/S",ROUND(K$4368-K4369,2)),"#N/A")</f>
        <v>F/S</v>
      </c>
      <c r="M4369" s="301" t="s">
        <v>2745</v>
      </c>
      <c r="N4369" s="2208">
        <f>H4392</f>
        <v>0</v>
      </c>
      <c r="O4369" s="349" t="str">
        <f>IF($I4369="适用",IF(ROUND(N$4368-N4369,2)=0,"F/S",ROUND(N$4368-N4369,2)),"#N/A")</f>
        <v>F/S</v>
      </c>
      <c r="P4369" s="301"/>
      <c r="S4369" s="364"/>
      <c r="Z4369" s="609" t="s">
        <v>4147</v>
      </c>
      <c r="AA4369" s="609" t="s">
        <v>4149</v>
      </c>
    </row>
    <row r="4370" spans="1:27" ht="0.75" customHeight="1">
      <c r="A4370" s="2712"/>
      <c r="B4370" s="371"/>
      <c r="C4370" s="371"/>
      <c r="D4370" s="2714"/>
      <c r="F4370" s="371"/>
      <c r="G4370" s="405" t="s">
        <v>4150</v>
      </c>
      <c r="H4370" s="371" t="s">
        <v>5442</v>
      </c>
      <c r="I4370" s="371" t="s">
        <v>5443</v>
      </c>
      <c r="J4370" s="371" t="s">
        <v>5444</v>
      </c>
      <c r="K4370" s="547" t="s">
        <v>5445</v>
      </c>
      <c r="L4370" s="547" t="s">
        <v>5446</v>
      </c>
      <c r="M4370" s="371" t="s">
        <v>5447</v>
      </c>
      <c r="N4370" s="371" t="s">
        <v>5448</v>
      </c>
      <c r="O4370" s="371" t="s">
        <v>5449</v>
      </c>
      <c r="P4370" s="371" t="s">
        <v>5450</v>
      </c>
      <c r="S4370" s="364"/>
      <c r="Z4370" s="609" t="s">
        <v>4147</v>
      </c>
      <c r="AA4370" s="609" t="s">
        <v>4149</v>
      </c>
    </row>
    <row r="4371" spans="1:27" ht="0.75" customHeight="1" thickBot="1">
      <c r="A4371" s="2712"/>
      <c r="B4371" s="371"/>
      <c r="C4371" s="371"/>
      <c r="D4371" s="2714"/>
      <c r="F4371" s="371"/>
      <c r="G4371" s="405"/>
      <c r="H4371" s="371" t="s">
        <v>5451</v>
      </c>
      <c r="I4371" s="371" t="s">
        <v>5452</v>
      </c>
      <c r="J4371" s="371" t="s">
        <v>5453</v>
      </c>
      <c r="K4371" s="547" t="s">
        <v>5454</v>
      </c>
      <c r="L4371" s="547" t="s">
        <v>5455</v>
      </c>
      <c r="M4371" s="371" t="s">
        <v>5456</v>
      </c>
      <c r="N4371" s="547" t="s">
        <v>5457</v>
      </c>
      <c r="O4371" s="547" t="s">
        <v>5458</v>
      </c>
      <c r="P4371" s="371" t="s">
        <v>5459</v>
      </c>
      <c r="S4371" s="364"/>
      <c r="Z4371" s="609" t="s">
        <v>4147</v>
      </c>
      <c r="AA4371" s="609" t="s">
        <v>4149</v>
      </c>
    </row>
    <row r="4372" spans="1:27" ht="18" customHeight="1">
      <c r="A4372" s="2712"/>
      <c r="B4372" s="371"/>
      <c r="C4372" s="371"/>
      <c r="D4372" s="2714"/>
      <c r="E4372" s="2714" t="s">
        <v>2749</v>
      </c>
      <c r="F4372" s="293"/>
      <c r="G4372" s="3478" t="s">
        <v>47</v>
      </c>
      <c r="H4372" s="3546" t="str">
        <f>$V$3</f>
        <v>2018年12月31日</v>
      </c>
      <c r="I4372" s="3567" t="s">
        <v>2918</v>
      </c>
      <c r="J4372" s="3546" t="str">
        <f>$X$3</f>
        <v>2019年1月1日</v>
      </c>
      <c r="K4372" s="3567" t="s">
        <v>4156</v>
      </c>
      <c r="L4372" s="3567"/>
      <c r="M4372" s="3567"/>
      <c r="N4372" s="3567"/>
      <c r="O4372" s="3567"/>
      <c r="P4372" s="3610" t="str">
        <f>$V$2</f>
        <v>2019年12月31日</v>
      </c>
      <c r="Q4372" s="355" t="s">
        <v>5320</v>
      </c>
      <c r="S4372" s="364"/>
      <c r="Z4372" s="609" t="s">
        <v>4147</v>
      </c>
      <c r="AA4372" s="609" t="s">
        <v>4149</v>
      </c>
    </row>
    <row r="4373" spans="1:27" ht="36">
      <c r="A4373" s="2712"/>
      <c r="B4373" s="371"/>
      <c r="C4373" s="371"/>
      <c r="D4373" s="2714"/>
      <c r="E4373" s="2714" t="s">
        <v>2749</v>
      </c>
      <c r="F4373" s="293"/>
      <c r="G4373" s="3479"/>
      <c r="H4373" s="3547"/>
      <c r="I4373" s="3559"/>
      <c r="J4373" s="3547"/>
      <c r="K4373" s="2599" t="s">
        <v>4157</v>
      </c>
      <c r="L4373" s="2599" t="s">
        <v>4158</v>
      </c>
      <c r="M4373" s="2599" t="s">
        <v>867</v>
      </c>
      <c r="N4373" s="2599" t="s">
        <v>4159</v>
      </c>
      <c r="O4373" s="2599" t="s">
        <v>4160</v>
      </c>
      <c r="P4373" s="3611"/>
      <c r="S4373" s="364"/>
      <c r="Z4373" s="609" t="s">
        <v>4147</v>
      </c>
      <c r="AA4373" s="609" t="s">
        <v>4149</v>
      </c>
    </row>
    <row r="4374" spans="1:27" ht="24">
      <c r="A4374" s="2712"/>
      <c r="B4374" s="371">
        <v>101</v>
      </c>
      <c r="C4374" s="371" t="s">
        <v>2793</v>
      </c>
      <c r="D4374" s="2714">
        <f t="shared" ref="D4374:D4392" si="486">IF(OR(G4374="*",G4374="",G4374=0),0,COUNTIF($G$4374:$G$4392,G4374))</f>
        <v>1</v>
      </c>
      <c r="E4374" s="2719">
        <v>1</v>
      </c>
      <c r="F4374" s="293"/>
      <c r="G4374" s="308" t="s">
        <v>4161</v>
      </c>
      <c r="H4374" s="1474">
        <f t="shared" ref="H4374:P4374" si="487">SUMIF($E$4373:$E$4391,$G4374,H$4373:H$4391)</f>
        <v>0</v>
      </c>
      <c r="I4374" s="1474">
        <f t="shared" si="487"/>
        <v>0</v>
      </c>
      <c r="J4374" s="1474">
        <f t="shared" si="487"/>
        <v>0</v>
      </c>
      <c r="K4374" s="1474">
        <f t="shared" si="487"/>
        <v>0</v>
      </c>
      <c r="L4374" s="1474">
        <f t="shared" si="487"/>
        <v>0</v>
      </c>
      <c r="M4374" s="1474">
        <f t="shared" si="487"/>
        <v>0</v>
      </c>
      <c r="N4374" s="1474">
        <f t="shared" si="487"/>
        <v>0</v>
      </c>
      <c r="O4374" s="1474">
        <f t="shared" si="487"/>
        <v>0</v>
      </c>
      <c r="P4374" s="1475">
        <f t="shared" si="487"/>
        <v>0</v>
      </c>
      <c r="Q4374" s="544" t="str">
        <f t="shared" ref="Q4374:Q4391" si="488">IF(ROUND((K4374-L4374-M4374)-(N4374+O4374),2)&lt;&gt;0,"请检查本期发生额数据！","")</f>
        <v/>
      </c>
      <c r="S4374" s="364"/>
      <c r="Z4374" s="609" t="s">
        <v>4147</v>
      </c>
      <c r="AA4374" s="609" t="s">
        <v>4149</v>
      </c>
    </row>
    <row r="4375" spans="1:27" ht="24">
      <c r="A4375" s="2712"/>
      <c r="B4375" s="371">
        <v>101.001</v>
      </c>
      <c r="C4375" s="371"/>
      <c r="D4375" s="2714">
        <f t="shared" si="486"/>
        <v>1</v>
      </c>
      <c r="E4375" s="2719" t="s">
        <v>4161</v>
      </c>
      <c r="F4375" s="293"/>
      <c r="G4375" s="308" t="s">
        <v>4162</v>
      </c>
      <c r="H4375" s="309"/>
      <c r="I4375" s="422"/>
      <c r="J4375" s="309"/>
      <c r="K4375" s="320"/>
      <c r="L4375" s="309"/>
      <c r="M4375" s="309"/>
      <c r="N4375" s="320"/>
      <c r="O4375" s="309"/>
      <c r="P4375" s="346">
        <f>J4375+N4375</f>
        <v>0</v>
      </c>
      <c r="Q4375" s="544" t="str">
        <f t="shared" si="488"/>
        <v/>
      </c>
      <c r="S4375" s="364"/>
      <c r="Z4375" s="609" t="s">
        <v>4147</v>
      </c>
      <c r="AA4375" s="609" t="s">
        <v>4149</v>
      </c>
    </row>
    <row r="4376" spans="1:27" ht="24">
      <c r="A4376" s="2712"/>
      <c r="B4376" s="371">
        <v>101.002</v>
      </c>
      <c r="C4376" s="371"/>
      <c r="D4376" s="2714">
        <f t="shared" si="486"/>
        <v>1</v>
      </c>
      <c r="E4376" s="2719" t="s">
        <v>4161</v>
      </c>
      <c r="F4376" s="293"/>
      <c r="G4376" s="308" t="s">
        <v>852</v>
      </c>
      <c r="H4376" s="309"/>
      <c r="I4376" s="422"/>
      <c r="J4376" s="309"/>
      <c r="K4376" s="320"/>
      <c r="L4376" s="309"/>
      <c r="M4376" s="309"/>
      <c r="N4376" s="320"/>
      <c r="O4376" s="309"/>
      <c r="P4376" s="346">
        <f t="shared" ref="P4376:P4380" si="489">J4376+N4376</f>
        <v>0</v>
      </c>
      <c r="Q4376" s="544" t="str">
        <f t="shared" si="488"/>
        <v/>
      </c>
      <c r="S4376" s="364"/>
      <c r="Z4376" s="609" t="s">
        <v>4147</v>
      </c>
      <c r="AA4376" s="609" t="s">
        <v>4149</v>
      </c>
    </row>
    <row r="4377" spans="1:27" ht="24">
      <c r="A4377" s="2712"/>
      <c r="B4377" s="371">
        <v>101.003</v>
      </c>
      <c r="C4377" s="371"/>
      <c r="D4377" s="2714">
        <f t="shared" si="486"/>
        <v>1</v>
      </c>
      <c r="E4377" s="2719" t="s">
        <v>4161</v>
      </c>
      <c r="F4377" s="293"/>
      <c r="G4377" s="308" t="s">
        <v>864</v>
      </c>
      <c r="H4377" s="2275">
        <v>0</v>
      </c>
      <c r="I4377" s="422"/>
      <c r="J4377" s="309"/>
      <c r="K4377" s="320"/>
      <c r="L4377" s="309"/>
      <c r="M4377" s="309"/>
      <c r="N4377" s="320"/>
      <c r="O4377" s="309"/>
      <c r="P4377" s="346">
        <f t="shared" si="489"/>
        <v>0</v>
      </c>
      <c r="Q4377" s="544" t="str">
        <f t="shared" si="488"/>
        <v/>
      </c>
      <c r="S4377" s="364"/>
      <c r="Z4377" s="609" t="s">
        <v>4147</v>
      </c>
      <c r="AA4377" s="609" t="s">
        <v>4149</v>
      </c>
    </row>
    <row r="4378" spans="1:27" ht="24">
      <c r="A4378" s="2712"/>
      <c r="B4378" s="371">
        <v>101.004</v>
      </c>
      <c r="C4378" s="371"/>
      <c r="D4378" s="2714">
        <f t="shared" si="486"/>
        <v>1</v>
      </c>
      <c r="E4378" s="2719" t="s">
        <v>4161</v>
      </c>
      <c r="F4378" s="293"/>
      <c r="G4378" s="308" t="s">
        <v>868</v>
      </c>
      <c r="H4378" s="2275">
        <v>0</v>
      </c>
      <c r="I4378" s="422"/>
      <c r="J4378" s="309"/>
      <c r="K4378" s="320"/>
      <c r="L4378" s="309"/>
      <c r="M4378" s="309"/>
      <c r="N4378" s="320"/>
      <c r="O4378" s="309"/>
      <c r="P4378" s="346">
        <f t="shared" si="489"/>
        <v>0</v>
      </c>
      <c r="Q4378" s="544" t="str">
        <f t="shared" si="488"/>
        <v/>
      </c>
      <c r="S4378" s="364"/>
      <c r="Z4378" s="609" t="s">
        <v>4147</v>
      </c>
      <c r="AA4378" s="609" t="s">
        <v>4149</v>
      </c>
    </row>
    <row r="4379" spans="1:27" ht="18">
      <c r="A4379" s="2712"/>
      <c r="B4379" s="371">
        <v>101.005</v>
      </c>
      <c r="C4379" s="371" t="s">
        <v>2791</v>
      </c>
      <c r="D4379" s="2714">
        <f t="shared" si="486"/>
        <v>0</v>
      </c>
      <c r="E4379" s="2719" t="s">
        <v>4161</v>
      </c>
      <c r="F4379" s="293"/>
      <c r="G4379" s="1540" t="s">
        <v>2792</v>
      </c>
      <c r="H4379" s="309"/>
      <c r="I4379" s="422"/>
      <c r="J4379" s="309"/>
      <c r="K4379" s="320"/>
      <c r="L4379" s="309"/>
      <c r="M4379" s="309"/>
      <c r="N4379" s="320"/>
      <c r="O4379" s="309"/>
      <c r="P4379" s="346">
        <f t="shared" si="489"/>
        <v>0</v>
      </c>
      <c r="Q4379" s="544" t="str">
        <f t="shared" si="488"/>
        <v/>
      </c>
      <c r="S4379" s="364"/>
      <c r="Z4379" s="609" t="s">
        <v>4147</v>
      </c>
      <c r="AA4379" s="609" t="s">
        <v>4149</v>
      </c>
    </row>
    <row r="4380" spans="1:27" ht="18">
      <c r="A4380" s="2712"/>
      <c r="B4380" s="371">
        <v>101.006</v>
      </c>
      <c r="C4380" s="371" t="s">
        <v>2791</v>
      </c>
      <c r="D4380" s="2714">
        <f t="shared" si="486"/>
        <v>0</v>
      </c>
      <c r="E4380" s="2719" t="s">
        <v>4161</v>
      </c>
      <c r="F4380" s="293"/>
      <c r="G4380" s="1540" t="s">
        <v>2792</v>
      </c>
      <c r="H4380" s="309"/>
      <c r="I4380" s="422"/>
      <c r="J4380" s="309"/>
      <c r="K4380" s="320"/>
      <c r="L4380" s="309"/>
      <c r="M4380" s="309"/>
      <c r="N4380" s="320"/>
      <c r="O4380" s="309"/>
      <c r="P4380" s="346">
        <f t="shared" si="489"/>
        <v>0</v>
      </c>
      <c r="Q4380" s="544" t="str">
        <f t="shared" si="488"/>
        <v/>
      </c>
      <c r="S4380" s="364"/>
      <c r="Z4380" s="609" t="s">
        <v>4147</v>
      </c>
      <c r="AA4380" s="609" t="s">
        <v>4149</v>
      </c>
    </row>
    <row r="4381" spans="1:27" ht="24">
      <c r="A4381" s="2712"/>
      <c r="B4381" s="371">
        <v>102</v>
      </c>
      <c r="C4381" s="371" t="s">
        <v>2793</v>
      </c>
      <c r="D4381" s="2714">
        <f t="shared" si="486"/>
        <v>1</v>
      </c>
      <c r="E4381" s="2719">
        <v>1</v>
      </c>
      <c r="F4381" s="293"/>
      <c r="G4381" s="308" t="s">
        <v>4163</v>
      </c>
      <c r="H4381" s="1474">
        <f t="shared" ref="H4381:P4381" si="490">SUMIF($E$4373:$E$4391,$G4381,H$4373:H$4391)</f>
        <v>0</v>
      </c>
      <c r="I4381" s="1474">
        <f t="shared" si="490"/>
        <v>0</v>
      </c>
      <c r="J4381" s="1474">
        <f t="shared" si="490"/>
        <v>0</v>
      </c>
      <c r="K4381" s="1474">
        <f t="shared" si="490"/>
        <v>0</v>
      </c>
      <c r="L4381" s="1474">
        <f t="shared" si="490"/>
        <v>0</v>
      </c>
      <c r="M4381" s="1474">
        <f t="shared" si="490"/>
        <v>0</v>
      </c>
      <c r="N4381" s="1474">
        <f t="shared" si="490"/>
        <v>0</v>
      </c>
      <c r="O4381" s="1474">
        <f t="shared" si="490"/>
        <v>0</v>
      </c>
      <c r="P4381" s="1475">
        <f t="shared" si="490"/>
        <v>0</v>
      </c>
      <c r="Q4381" s="544" t="str">
        <f t="shared" si="488"/>
        <v/>
      </c>
      <c r="S4381" s="364"/>
      <c r="Z4381" s="609" t="s">
        <v>4147</v>
      </c>
      <c r="AA4381" s="609" t="s">
        <v>4149</v>
      </c>
    </row>
    <row r="4382" spans="1:27" ht="24">
      <c r="A4382" s="2712"/>
      <c r="B4382" s="371">
        <v>102.001</v>
      </c>
      <c r="C4382" s="371"/>
      <c r="D4382" s="2714">
        <f t="shared" si="486"/>
        <v>1</v>
      </c>
      <c r="E4382" s="2719" t="s">
        <v>4163</v>
      </c>
      <c r="F4382" s="293"/>
      <c r="G4382" s="308" t="s">
        <v>4164</v>
      </c>
      <c r="H4382" s="309"/>
      <c r="I4382" s="422"/>
      <c r="J4382" s="309"/>
      <c r="K4382" s="320"/>
      <c r="L4382" s="309"/>
      <c r="M4382" s="309"/>
      <c r="N4382" s="320"/>
      <c r="O4382" s="309"/>
      <c r="P4382" s="346">
        <f t="shared" ref="P4382:P4385" si="491">J4382+N4382</f>
        <v>0</v>
      </c>
      <c r="Q4382" s="544" t="str">
        <f t="shared" si="488"/>
        <v/>
      </c>
      <c r="S4382" s="364"/>
      <c r="Z4382" s="609" t="s">
        <v>4147</v>
      </c>
      <c r="AA4382" s="609" t="s">
        <v>4149</v>
      </c>
    </row>
    <row r="4383" spans="1:27" ht="18">
      <c r="A4383" s="2712"/>
      <c r="B4383" s="371">
        <v>102.002</v>
      </c>
      <c r="C4383" s="371"/>
      <c r="D4383" s="2714">
        <f t="shared" si="486"/>
        <v>1</v>
      </c>
      <c r="E4383" s="2719" t="s">
        <v>4163</v>
      </c>
      <c r="F4383" s="293"/>
      <c r="G4383" s="308" t="s">
        <v>915</v>
      </c>
      <c r="H4383" s="2275">
        <v>0</v>
      </c>
      <c r="I4383" s="422"/>
      <c r="J4383" s="309"/>
      <c r="K4383" s="320"/>
      <c r="L4383" s="309"/>
      <c r="M4383" s="309"/>
      <c r="N4383" s="320"/>
      <c r="O4383" s="309"/>
      <c r="P4383" s="346">
        <f t="shared" si="491"/>
        <v>0</v>
      </c>
      <c r="Q4383" s="544" t="str">
        <f t="shared" si="488"/>
        <v/>
      </c>
      <c r="S4383" s="364"/>
      <c r="Z4383" s="609" t="s">
        <v>4147</v>
      </c>
      <c r="AA4383" s="609" t="s">
        <v>4149</v>
      </c>
    </row>
    <row r="4384" spans="1:27" ht="24">
      <c r="A4384" s="2712"/>
      <c r="B4384" s="371">
        <v>102.003</v>
      </c>
      <c r="C4384" s="371"/>
      <c r="D4384" s="2714">
        <f t="shared" si="486"/>
        <v>1</v>
      </c>
      <c r="E4384" s="2719" t="s">
        <v>4163</v>
      </c>
      <c r="F4384" s="293"/>
      <c r="G4384" s="308" t="s">
        <v>921</v>
      </c>
      <c r="H4384" s="2275">
        <v>0</v>
      </c>
      <c r="I4384" s="422"/>
      <c r="J4384" s="309"/>
      <c r="K4384" s="320"/>
      <c r="L4384" s="309"/>
      <c r="M4384" s="309"/>
      <c r="N4384" s="320"/>
      <c r="O4384" s="309"/>
      <c r="P4384" s="346">
        <f t="shared" si="491"/>
        <v>0</v>
      </c>
      <c r="Q4384" s="544" t="str">
        <f t="shared" si="488"/>
        <v/>
      </c>
      <c r="S4384" s="364"/>
      <c r="Z4384" s="609" t="s">
        <v>4147</v>
      </c>
      <c r="AA4384" s="609" t="s">
        <v>4149</v>
      </c>
    </row>
    <row r="4385" spans="1:32" ht="18">
      <c r="A4385" s="2712"/>
      <c r="B4385" s="371">
        <v>102.004</v>
      </c>
      <c r="C4385" s="371"/>
      <c r="D4385" s="2714">
        <f t="shared" si="486"/>
        <v>1</v>
      </c>
      <c r="E4385" s="2719" t="s">
        <v>4163</v>
      </c>
      <c r="F4385" s="293"/>
      <c r="G4385" s="308" t="s">
        <v>926</v>
      </c>
      <c r="H4385" s="2275">
        <v>0</v>
      </c>
      <c r="I4385" s="422"/>
      <c r="J4385" s="309"/>
      <c r="K4385" s="320"/>
      <c r="L4385" s="309"/>
      <c r="M4385" s="309"/>
      <c r="N4385" s="320"/>
      <c r="O4385" s="309"/>
      <c r="P4385" s="346">
        <f t="shared" si="491"/>
        <v>0</v>
      </c>
      <c r="Q4385" s="544" t="str">
        <f t="shared" si="488"/>
        <v/>
      </c>
      <c r="S4385" s="364"/>
      <c r="Z4385" s="609" t="s">
        <v>4147</v>
      </c>
      <c r="AA4385" s="609" t="s">
        <v>4149</v>
      </c>
    </row>
    <row r="4386" spans="1:32" ht="24">
      <c r="A4386" s="2712"/>
      <c r="B4386" s="371">
        <v>102.005</v>
      </c>
      <c r="C4386" s="371"/>
      <c r="D4386" s="2714">
        <f t="shared" si="486"/>
        <v>1</v>
      </c>
      <c r="E4386" s="2719" t="s">
        <v>4163</v>
      </c>
      <c r="F4386" s="293"/>
      <c r="G4386" s="308" t="s">
        <v>878</v>
      </c>
      <c r="H4386" s="309"/>
      <c r="I4386" s="422"/>
      <c r="J4386" s="309"/>
      <c r="K4386" s="2345">
        <v>0</v>
      </c>
      <c r="L4386" s="2275">
        <v>0</v>
      </c>
      <c r="M4386" s="2275">
        <v>0</v>
      </c>
      <c r="N4386" s="2345">
        <v>0</v>
      </c>
      <c r="O4386" s="2275">
        <v>0</v>
      </c>
      <c r="P4386" s="2346">
        <v>0</v>
      </c>
      <c r="Q4386" s="544" t="str">
        <f t="shared" si="488"/>
        <v/>
      </c>
      <c r="S4386" s="364"/>
      <c r="Z4386" s="609" t="s">
        <v>4147</v>
      </c>
      <c r="AA4386" s="609" t="s">
        <v>4149</v>
      </c>
    </row>
    <row r="4387" spans="1:32" ht="24">
      <c r="A4387" s="2712"/>
      <c r="B4387" s="371">
        <v>102.006</v>
      </c>
      <c r="C4387" s="371"/>
      <c r="D4387" s="2714">
        <f t="shared" si="486"/>
        <v>1</v>
      </c>
      <c r="E4387" s="2719" t="s">
        <v>4163</v>
      </c>
      <c r="F4387" s="293"/>
      <c r="G4387" s="308" t="s">
        <v>884</v>
      </c>
      <c r="H4387" s="309"/>
      <c r="I4387" s="422"/>
      <c r="J4387" s="309"/>
      <c r="K4387" s="2345">
        <v>0</v>
      </c>
      <c r="L4387" s="2275">
        <v>0</v>
      </c>
      <c r="M4387" s="2275">
        <v>0</v>
      </c>
      <c r="N4387" s="2345">
        <v>0</v>
      </c>
      <c r="O4387" s="2275">
        <v>0</v>
      </c>
      <c r="P4387" s="2346">
        <v>0</v>
      </c>
      <c r="Q4387" s="544" t="str">
        <f t="shared" si="488"/>
        <v/>
      </c>
      <c r="S4387" s="364"/>
      <c r="Z4387" s="609" t="s">
        <v>4147</v>
      </c>
      <c r="AA4387" s="609" t="s">
        <v>4149</v>
      </c>
    </row>
    <row r="4388" spans="1:32" ht="24">
      <c r="A4388" s="2712"/>
      <c r="B4388" s="371">
        <v>102.00700000000001</v>
      </c>
      <c r="C4388" s="371"/>
      <c r="D4388" s="2714">
        <f t="shared" si="486"/>
        <v>1</v>
      </c>
      <c r="E4388" s="2719" t="s">
        <v>4163</v>
      </c>
      <c r="F4388" s="293"/>
      <c r="G4388" s="308" t="s">
        <v>4165</v>
      </c>
      <c r="H4388" s="309"/>
      <c r="I4388" s="422"/>
      <c r="J4388" s="309"/>
      <c r="K4388" s="320"/>
      <c r="L4388" s="309"/>
      <c r="M4388" s="309"/>
      <c r="N4388" s="320"/>
      <c r="O4388" s="309"/>
      <c r="P4388" s="346">
        <f t="shared" ref="P4388:P4391" si="492">J4388+N4388</f>
        <v>0</v>
      </c>
      <c r="Q4388" s="544" t="str">
        <f t="shared" si="488"/>
        <v/>
      </c>
      <c r="S4388" s="364"/>
      <c r="Z4388" s="609" t="s">
        <v>4147</v>
      </c>
      <c r="AA4388" s="609" t="s">
        <v>4149</v>
      </c>
    </row>
    <row r="4389" spans="1:32" ht="18">
      <c r="A4389" s="2712"/>
      <c r="B4389" s="371">
        <v>102.008</v>
      </c>
      <c r="C4389" s="371"/>
      <c r="D4389" s="2714">
        <f t="shared" si="486"/>
        <v>1</v>
      </c>
      <c r="E4389" s="2719" t="s">
        <v>4163</v>
      </c>
      <c r="F4389" s="293"/>
      <c r="G4389" s="308" t="s">
        <v>893</v>
      </c>
      <c r="H4389" s="309"/>
      <c r="I4389" s="422"/>
      <c r="J4389" s="309"/>
      <c r="K4389" s="320"/>
      <c r="L4389" s="309"/>
      <c r="M4389" s="309"/>
      <c r="N4389" s="320"/>
      <c r="O4389" s="309"/>
      <c r="P4389" s="346">
        <f t="shared" si="492"/>
        <v>0</v>
      </c>
      <c r="Q4389" s="544" t="str">
        <f t="shared" si="488"/>
        <v/>
      </c>
      <c r="S4389" s="364"/>
      <c r="Z4389" s="609" t="s">
        <v>4147</v>
      </c>
      <c r="AA4389" s="609" t="s">
        <v>4149</v>
      </c>
    </row>
    <row r="4390" spans="1:32" ht="18">
      <c r="A4390" s="2712"/>
      <c r="B4390" s="371">
        <v>102.009</v>
      </c>
      <c r="C4390" s="371" t="s">
        <v>2791</v>
      </c>
      <c r="D4390" s="2714">
        <f t="shared" si="486"/>
        <v>0</v>
      </c>
      <c r="E4390" s="2719" t="s">
        <v>4163</v>
      </c>
      <c r="F4390" s="293"/>
      <c r="G4390" s="1540" t="s">
        <v>2792</v>
      </c>
      <c r="H4390" s="309"/>
      <c r="I4390" s="422"/>
      <c r="J4390" s="309"/>
      <c r="K4390" s="320"/>
      <c r="L4390" s="309"/>
      <c r="M4390" s="309"/>
      <c r="N4390" s="320"/>
      <c r="O4390" s="309"/>
      <c r="P4390" s="346">
        <f t="shared" si="492"/>
        <v>0</v>
      </c>
      <c r="Q4390" s="544" t="str">
        <f t="shared" si="488"/>
        <v/>
      </c>
      <c r="S4390" s="364"/>
      <c r="Z4390" s="609" t="s">
        <v>4147</v>
      </c>
      <c r="AA4390" s="609" t="s">
        <v>4149</v>
      </c>
    </row>
    <row r="4391" spans="1:32" ht="18">
      <c r="A4391" s="2712"/>
      <c r="B4391" s="371">
        <v>102.01</v>
      </c>
      <c r="C4391" s="371" t="s">
        <v>2791</v>
      </c>
      <c r="D4391" s="2714">
        <f t="shared" si="486"/>
        <v>0</v>
      </c>
      <c r="E4391" s="2719" t="s">
        <v>4163</v>
      </c>
      <c r="F4391" s="293"/>
      <c r="G4391" s="1540" t="s">
        <v>2792</v>
      </c>
      <c r="H4391" s="309"/>
      <c r="I4391" s="422"/>
      <c r="J4391" s="309"/>
      <c r="K4391" s="320"/>
      <c r="L4391" s="309"/>
      <c r="M4391" s="309"/>
      <c r="N4391" s="320"/>
      <c r="O4391" s="309"/>
      <c r="P4391" s="346">
        <f t="shared" si="492"/>
        <v>0</v>
      </c>
      <c r="Q4391" s="544" t="str">
        <f t="shared" si="488"/>
        <v/>
      </c>
      <c r="S4391" s="364"/>
      <c r="Z4391" s="609" t="s">
        <v>4147</v>
      </c>
      <c r="AA4391" s="609" t="s">
        <v>4149</v>
      </c>
    </row>
    <row r="4392" spans="1:32" ht="18.75" thickBot="1">
      <c r="A4392" s="2712"/>
      <c r="B4392" s="371"/>
      <c r="C4392" s="371"/>
      <c r="D4392" s="2714">
        <f t="shared" si="486"/>
        <v>1</v>
      </c>
      <c r="E4392" s="2719" t="s">
        <v>2751</v>
      </c>
      <c r="F4392" s="293"/>
      <c r="G4392" s="2232" t="s">
        <v>2752</v>
      </c>
      <c r="H4392" s="2233">
        <f t="shared" ref="H4392:P4392" si="493">SUMPRODUCT($E4373:$E4391,H4373:H4391)</f>
        <v>0</v>
      </c>
      <c r="I4392" s="2233">
        <f t="shared" si="493"/>
        <v>0</v>
      </c>
      <c r="J4392" s="2233">
        <f t="shared" si="493"/>
        <v>0</v>
      </c>
      <c r="K4392" s="2233">
        <f t="shared" si="493"/>
        <v>0</v>
      </c>
      <c r="L4392" s="2233">
        <f t="shared" si="493"/>
        <v>0</v>
      </c>
      <c r="M4392" s="2233">
        <f t="shared" si="493"/>
        <v>0</v>
      </c>
      <c r="N4392" s="2233">
        <f t="shared" si="493"/>
        <v>0</v>
      </c>
      <c r="O4392" s="2428">
        <f t="shared" si="493"/>
        <v>0</v>
      </c>
      <c r="P4392" s="2234">
        <f t="shared" si="493"/>
        <v>0</v>
      </c>
      <c r="S4392" s="364"/>
      <c r="Z4392" s="609" t="s">
        <v>4147</v>
      </c>
      <c r="AA4392" s="609" t="s">
        <v>4149</v>
      </c>
    </row>
    <row r="4393" spans="1:32" ht="18">
      <c r="A4393" s="2712"/>
      <c r="B4393" s="371"/>
      <c r="C4393" s="371" t="s">
        <v>2755</v>
      </c>
      <c r="D4393" s="2714"/>
      <c r="F4393" s="293"/>
      <c r="G4393" s="376"/>
      <c r="H4393" s="315"/>
      <c r="I4393" s="396"/>
      <c r="J4393" s="315"/>
      <c r="K4393" s="423"/>
      <c r="L4393" s="315"/>
      <c r="M4393" s="315"/>
      <c r="N4393" s="423"/>
      <c r="O4393" s="315"/>
      <c r="P4393" s="315"/>
      <c r="S4393" s="364"/>
      <c r="Z4393" s="609" t="s">
        <v>4147</v>
      </c>
      <c r="AA4393" s="609" t="s">
        <v>4149</v>
      </c>
    </row>
    <row r="4394" spans="1:32" ht="18" hidden="1">
      <c r="A4394" s="2712" t="s">
        <v>1834</v>
      </c>
      <c r="B4394" s="371">
        <v>2</v>
      </c>
      <c r="C4394" s="371"/>
      <c r="D4394" s="2714" t="str">
        <f>VLOOKUP($A4394,Sheet_NoteList,2,0)</f>
        <v>其他综合收益变动情况</v>
      </c>
      <c r="E4394" s="2714" t="s">
        <v>6625</v>
      </c>
      <c r="F4394" s="294"/>
      <c r="G4394" s="307" t="str">
        <f>"("&amp;B4394&amp;")"&amp;D4394</f>
        <v>(2)其他综合收益变动情况</v>
      </c>
      <c r="H4394" s="1515" t="str">
        <f>$A4394</f>
        <v>4215a</v>
      </c>
      <c r="I4394" s="343" t="s">
        <v>6628</v>
      </c>
      <c r="J4394" s="301" t="s">
        <v>6626</v>
      </c>
      <c r="K4394" s="344">
        <f>N4412</f>
        <v>0</v>
      </c>
      <c r="L4394" s="345" t="str">
        <f>IF($I4394="适用",IF(ROUND(K4368-K4394,2)=0,"F/S",ROUND(K4368-K4394,2)),"#N/A")</f>
        <v>#N/A</v>
      </c>
      <c r="M4394" s="301" t="s">
        <v>6627</v>
      </c>
      <c r="N4394" s="344">
        <f>H4412</f>
        <v>0</v>
      </c>
      <c r="O4394" s="345" t="str">
        <f>IF($I4394="适用",IF(ROUND(N4368-N4394,2)=0,"F/S",ROUND(N4368-N4394,2)),"#N/A")</f>
        <v>#N/A</v>
      </c>
      <c r="S4394" s="364"/>
      <c r="Z4394" s="609" t="s">
        <v>4147</v>
      </c>
      <c r="AA4394" s="609" t="s">
        <v>5698</v>
      </c>
      <c r="AE4394" s="369" t="s">
        <v>2761</v>
      </c>
    </row>
    <row r="4395" spans="1:32" ht="0.75" hidden="1" customHeight="1">
      <c r="A4395" s="2712"/>
      <c r="B4395" s="371"/>
      <c r="C4395" s="371"/>
      <c r="D4395" s="371"/>
      <c r="E4395" s="586"/>
      <c r="F4395" s="586"/>
      <c r="G4395" s="586" t="s">
        <v>4167</v>
      </c>
      <c r="H4395" s="371" t="s">
        <v>6305</v>
      </c>
      <c r="I4395" s="371" t="s">
        <v>6306</v>
      </c>
      <c r="J4395" s="371" t="s">
        <v>6307</v>
      </c>
      <c r="K4395" s="371" t="s">
        <v>6308</v>
      </c>
      <c r="L4395" s="371" t="s">
        <v>6309</v>
      </c>
      <c r="M4395" s="371" t="s">
        <v>6310</v>
      </c>
      <c r="N4395" s="371" t="s">
        <v>6311</v>
      </c>
      <c r="P4395" s="291"/>
      <c r="Q4395" s="472"/>
      <c r="R4395" s="472"/>
      <c r="S4395" s="364"/>
      <c r="Z4395" s="609" t="s">
        <v>4147</v>
      </c>
      <c r="AA4395" s="609" t="s">
        <v>5698</v>
      </c>
      <c r="AE4395" s="369" t="s">
        <v>2761</v>
      </c>
    </row>
    <row r="4396" spans="1:32" ht="0.75" hidden="1" customHeight="1" thickBot="1">
      <c r="A4396" s="2712"/>
      <c r="B4396" s="371"/>
      <c r="C4396" s="371"/>
      <c r="D4396" s="371"/>
      <c r="E4396" s="586"/>
      <c r="F4396" s="586"/>
      <c r="G4396" s="586"/>
      <c r="H4396" s="371" t="s">
        <v>3020</v>
      </c>
      <c r="I4396" s="371" t="s">
        <v>4151</v>
      </c>
      <c r="J4396" s="371" t="s">
        <v>4152</v>
      </c>
      <c r="K4396" s="371" t="s">
        <v>4153</v>
      </c>
      <c r="L4396" s="371" t="s">
        <v>4154</v>
      </c>
      <c r="M4396" s="371" t="s">
        <v>4155</v>
      </c>
      <c r="N4396" s="371" t="s">
        <v>3026</v>
      </c>
      <c r="P4396" s="315" t="s">
        <v>4166</v>
      </c>
      <c r="Q4396" s="472"/>
      <c r="R4396" s="472"/>
      <c r="S4396" s="364"/>
      <c r="Z4396" s="609" t="s">
        <v>4147</v>
      </c>
      <c r="AA4396" s="609" t="s">
        <v>5698</v>
      </c>
      <c r="AE4396" s="369" t="s">
        <v>2761</v>
      </c>
    </row>
    <row r="4397" spans="1:32" ht="18" hidden="1">
      <c r="A4397" s="2712"/>
      <c r="B4397" s="371"/>
      <c r="C4397" s="371"/>
      <c r="D4397" s="371"/>
      <c r="E4397" s="586" t="s">
        <v>2749</v>
      </c>
      <c r="F4397" s="363"/>
      <c r="G4397" s="3476" t="s">
        <v>47</v>
      </c>
      <c r="H4397" s="3485" t="s">
        <v>6080</v>
      </c>
      <c r="I4397" s="3485" t="s">
        <v>4156</v>
      </c>
      <c r="J4397" s="3485"/>
      <c r="K4397" s="3485"/>
      <c r="L4397" s="3485"/>
      <c r="M4397" s="3485"/>
      <c r="N4397" s="3605" t="s">
        <v>6079</v>
      </c>
      <c r="O4397" s="3609" t="s">
        <v>5988</v>
      </c>
      <c r="P4397" s="614" t="s">
        <v>914</v>
      </c>
      <c r="Q4397" s="615">
        <f>VLOOKUP(6829.2,Sheet_Trialbal,6,0)</f>
        <v>0</v>
      </c>
      <c r="R4397" s="345" t="str">
        <f>IF($I$4394="适用",IF(ROUND(Q4397-L4412,2)=0,"F/S",ROUND(Q4397-L4412,2)),"#N/A")</f>
        <v>#N/A</v>
      </c>
      <c r="S4397" s="364"/>
      <c r="Z4397" s="609" t="s">
        <v>4147</v>
      </c>
      <c r="AA4397" s="609" t="s">
        <v>5698</v>
      </c>
      <c r="AE4397" s="369" t="s">
        <v>2761</v>
      </c>
      <c r="AF4397" s="369"/>
    </row>
    <row r="4398" spans="1:32" ht="36" hidden="1">
      <c r="A4398" s="2712"/>
      <c r="B4398" s="371"/>
      <c r="C4398" s="371"/>
      <c r="D4398" s="371"/>
      <c r="E4398" s="586" t="s">
        <v>2749</v>
      </c>
      <c r="F4398" s="363"/>
      <c r="G4398" s="3477"/>
      <c r="H4398" s="3568"/>
      <c r="I4398" s="2424" t="s">
        <v>4157</v>
      </c>
      <c r="J4398" s="2424" t="s">
        <v>4158</v>
      </c>
      <c r="K4398" s="2424" t="s">
        <v>867</v>
      </c>
      <c r="L4398" s="2424" t="s">
        <v>4159</v>
      </c>
      <c r="M4398" s="2424" t="s">
        <v>4160</v>
      </c>
      <c r="N4398" s="3606"/>
      <c r="O4398" s="3609"/>
      <c r="P4398" s="616" t="s">
        <v>957</v>
      </c>
      <c r="Q4398" s="615">
        <f>VLOOKUP(6829.5,Sheet_Trialbal,6,0)</f>
        <v>0</v>
      </c>
      <c r="R4398" s="345" t="str">
        <f>IF($I$4394="适用",IF(ROUND(Q4398-M4412,2)=0,"F/S",ROUND(Q4398-M4412,2)),"#N/A")</f>
        <v>#N/A</v>
      </c>
      <c r="S4398" s="364"/>
      <c r="Z4398" s="609" t="s">
        <v>4147</v>
      </c>
      <c r="AA4398" s="609" t="s">
        <v>5698</v>
      </c>
      <c r="AE4398" s="369" t="s">
        <v>2761</v>
      </c>
      <c r="AF4398" s="369"/>
    </row>
    <row r="4399" spans="1:32" ht="24" hidden="1">
      <c r="A4399" s="2712"/>
      <c r="B4399" s="371">
        <v>101</v>
      </c>
      <c r="C4399" s="371" t="s">
        <v>2793</v>
      </c>
      <c r="D4399" s="2714">
        <f t="shared" ref="D4399:D4411" si="494">IF(OR(G4399="*",G4399="",G4399=0),0,COUNTIF($G$4404:$G$4412,G4399))</f>
        <v>0</v>
      </c>
      <c r="E4399" s="2719">
        <v>1</v>
      </c>
      <c r="F4399" s="294"/>
      <c r="G4399" s="1472" t="s">
        <v>4161</v>
      </c>
      <c r="H4399" s="1474">
        <f t="shared" ref="H4399:M4399" si="495">SUMIF($E$4398:$E$4411,$G4399,H$4398:H$4411)</f>
        <v>0</v>
      </c>
      <c r="I4399" s="1474">
        <f t="shared" si="495"/>
        <v>0</v>
      </c>
      <c r="J4399" s="1474">
        <f t="shared" si="495"/>
        <v>0</v>
      </c>
      <c r="K4399" s="1474">
        <f t="shared" si="495"/>
        <v>0</v>
      </c>
      <c r="L4399" s="1474">
        <f t="shared" si="495"/>
        <v>0</v>
      </c>
      <c r="M4399" s="1474">
        <f t="shared" si="495"/>
        <v>0</v>
      </c>
      <c r="N4399" s="1475">
        <f>SUMIF($E$4398:$E$4411,$G4399,N$4398:N$4411)</f>
        <v>0</v>
      </c>
      <c r="O4399" s="424" t="str">
        <f t="shared" ref="O4399:O4412" si="496">IF(ROUND((I4399-J4399-K4399)-(L4399+M4399),2)&lt;&gt;0,"请检查本期发生额数据！","")</f>
        <v/>
      </c>
      <c r="Q4399" s="291"/>
      <c r="R4399" s="367"/>
      <c r="S4399" s="364"/>
      <c r="Z4399" s="609" t="s">
        <v>4147</v>
      </c>
      <c r="AA4399" s="609" t="s">
        <v>5698</v>
      </c>
      <c r="AE4399" s="369" t="s">
        <v>2761</v>
      </c>
      <c r="AF4399" s="369"/>
    </row>
    <row r="4400" spans="1:32" ht="24" hidden="1">
      <c r="A4400" s="2712"/>
      <c r="B4400" s="371">
        <v>101.001</v>
      </c>
      <c r="C4400" s="371"/>
      <c r="D4400" s="2714">
        <f t="shared" si="494"/>
        <v>0</v>
      </c>
      <c r="E4400" s="2719" t="s">
        <v>4161</v>
      </c>
      <c r="F4400" s="294"/>
      <c r="G4400" s="1472" t="s">
        <v>4168</v>
      </c>
      <c r="H4400" s="2273"/>
      <c r="I4400" s="2273"/>
      <c r="J4400" s="2273"/>
      <c r="K4400" s="2273"/>
      <c r="L4400" s="2273"/>
      <c r="M4400" s="2273"/>
      <c r="N4400" s="1475">
        <f>SUM(H4400,L4400)</f>
        <v>0</v>
      </c>
      <c r="O4400" s="424" t="str">
        <f t="shared" si="496"/>
        <v/>
      </c>
      <c r="Q4400" s="291"/>
      <c r="R4400" s="367"/>
      <c r="S4400" s="364"/>
      <c r="Z4400" s="609" t="s">
        <v>4147</v>
      </c>
      <c r="AA4400" s="609" t="s">
        <v>5698</v>
      </c>
      <c r="AE4400" s="369" t="s">
        <v>2761</v>
      </c>
      <c r="AF4400" s="369"/>
    </row>
    <row r="4401" spans="1:32" ht="24" hidden="1">
      <c r="A4401" s="2712"/>
      <c r="B4401" s="371">
        <v>101.002</v>
      </c>
      <c r="C4401" s="371"/>
      <c r="D4401" s="2714">
        <f t="shared" si="494"/>
        <v>0</v>
      </c>
      <c r="E4401" s="2719" t="s">
        <v>4161</v>
      </c>
      <c r="F4401" s="294"/>
      <c r="G4401" s="1472" t="s">
        <v>4169</v>
      </c>
      <c r="H4401" s="2273"/>
      <c r="I4401" s="2273"/>
      <c r="J4401" s="2273"/>
      <c r="K4401" s="2273"/>
      <c r="L4401" s="2273"/>
      <c r="M4401" s="2273"/>
      <c r="N4401" s="1475">
        <f>SUM(H4401,L4401)</f>
        <v>0</v>
      </c>
      <c r="O4401" s="424" t="str">
        <f t="shared" si="496"/>
        <v/>
      </c>
      <c r="Q4401" s="291"/>
      <c r="R4401" s="367"/>
      <c r="S4401" s="364"/>
      <c r="Z4401" s="609" t="s">
        <v>4147</v>
      </c>
      <c r="AA4401" s="609" t="s">
        <v>5698</v>
      </c>
      <c r="AE4401" s="369" t="s">
        <v>2761</v>
      </c>
      <c r="AF4401" s="369"/>
    </row>
    <row r="4402" spans="1:32" ht="18" hidden="1">
      <c r="A4402" s="2712"/>
      <c r="B4402" s="371">
        <v>101.003</v>
      </c>
      <c r="C4402" s="371" t="s">
        <v>2791</v>
      </c>
      <c r="D4402" s="2714">
        <f t="shared" si="494"/>
        <v>0</v>
      </c>
      <c r="E4402" s="2719" t="s">
        <v>4161</v>
      </c>
      <c r="F4402" s="294"/>
      <c r="G4402" s="2425" t="s">
        <v>2792</v>
      </c>
      <c r="H4402" s="2273"/>
      <c r="I4402" s="2273"/>
      <c r="J4402" s="2273"/>
      <c r="K4402" s="2273"/>
      <c r="L4402" s="2273"/>
      <c r="M4402" s="2273"/>
      <c r="N4402" s="1475">
        <f>SUM(H4402,L4402)</f>
        <v>0</v>
      </c>
      <c r="O4402" s="424" t="str">
        <f t="shared" si="496"/>
        <v/>
      </c>
      <c r="Q4402" s="291"/>
      <c r="R4402" s="367"/>
      <c r="S4402" s="364"/>
      <c r="Z4402" s="609" t="s">
        <v>4147</v>
      </c>
      <c r="AA4402" s="609" t="s">
        <v>5698</v>
      </c>
      <c r="AE4402" s="369" t="s">
        <v>2761</v>
      </c>
      <c r="AF4402" s="369"/>
    </row>
    <row r="4403" spans="1:32" ht="18" hidden="1">
      <c r="A4403" s="2712"/>
      <c r="B4403" s="371">
        <v>101.004</v>
      </c>
      <c r="C4403" s="371" t="s">
        <v>2791</v>
      </c>
      <c r="D4403" s="2714">
        <f t="shared" si="494"/>
        <v>0</v>
      </c>
      <c r="E4403" s="2719" t="s">
        <v>4161</v>
      </c>
      <c r="F4403" s="294"/>
      <c r="G4403" s="2425" t="s">
        <v>2792</v>
      </c>
      <c r="H4403" s="2273"/>
      <c r="I4403" s="2273"/>
      <c r="J4403" s="2273"/>
      <c r="K4403" s="2273"/>
      <c r="L4403" s="2273"/>
      <c r="M4403" s="2273"/>
      <c r="N4403" s="1475">
        <f>SUM(H4403,L4403)</f>
        <v>0</v>
      </c>
      <c r="O4403" s="424" t="str">
        <f t="shared" si="496"/>
        <v/>
      </c>
      <c r="Q4403" s="291"/>
      <c r="R4403" s="367"/>
      <c r="S4403" s="364"/>
      <c r="Z4403" s="609" t="s">
        <v>4147</v>
      </c>
      <c r="AA4403" s="609" t="s">
        <v>5698</v>
      </c>
      <c r="AE4403" s="369" t="s">
        <v>2761</v>
      </c>
      <c r="AF4403" s="369"/>
    </row>
    <row r="4404" spans="1:32" ht="24" hidden="1">
      <c r="A4404" s="2712"/>
      <c r="B4404" s="371">
        <v>102</v>
      </c>
      <c r="C4404" s="371" t="s">
        <v>2793</v>
      </c>
      <c r="D4404" s="2714">
        <f t="shared" si="494"/>
        <v>1</v>
      </c>
      <c r="E4404" s="2719">
        <v>1</v>
      </c>
      <c r="F4404" s="294"/>
      <c r="G4404" s="1472" t="s">
        <v>4163</v>
      </c>
      <c r="H4404" s="1474">
        <f t="shared" ref="H4404:M4404" si="497">SUMIF($E$4398:$E$4411,$G4404,H$4398:H$4411)</f>
        <v>0</v>
      </c>
      <c r="I4404" s="1474">
        <f t="shared" si="497"/>
        <v>0</v>
      </c>
      <c r="J4404" s="1474">
        <f t="shared" si="497"/>
        <v>0</v>
      </c>
      <c r="K4404" s="1474">
        <f t="shared" si="497"/>
        <v>0</v>
      </c>
      <c r="L4404" s="1474">
        <f t="shared" si="497"/>
        <v>0</v>
      </c>
      <c r="M4404" s="1474">
        <f t="shared" si="497"/>
        <v>0</v>
      </c>
      <c r="N4404" s="1475">
        <f>SUMIF($E$4398:$E$4411,$G4404,N$4398:N$4411)</f>
        <v>0</v>
      </c>
      <c r="O4404" s="424" t="str">
        <f t="shared" si="496"/>
        <v/>
      </c>
      <c r="Q4404" s="291"/>
      <c r="R4404" s="367"/>
      <c r="S4404" s="364"/>
      <c r="Z4404" s="609" t="s">
        <v>4147</v>
      </c>
      <c r="AA4404" s="609" t="s">
        <v>5698</v>
      </c>
      <c r="AE4404" s="369" t="s">
        <v>2761</v>
      </c>
      <c r="AF4404" s="369"/>
    </row>
    <row r="4405" spans="1:32" ht="24" hidden="1">
      <c r="A4405" s="2712"/>
      <c r="B4405" s="371">
        <v>102.001</v>
      </c>
      <c r="C4405" s="371"/>
      <c r="D4405" s="2714">
        <f t="shared" si="494"/>
        <v>1</v>
      </c>
      <c r="E4405" s="2719" t="s">
        <v>4163</v>
      </c>
      <c r="F4405" s="294"/>
      <c r="G4405" s="1472" t="s">
        <v>4170</v>
      </c>
      <c r="H4405" s="2273"/>
      <c r="I4405" s="2273"/>
      <c r="J4405" s="2273"/>
      <c r="K4405" s="2273"/>
      <c r="L4405" s="2273"/>
      <c r="M4405" s="2273"/>
      <c r="N4405" s="1475">
        <f t="shared" ref="N4405:N4411" si="498">SUM(H4405,L4405)</f>
        <v>0</v>
      </c>
      <c r="O4405" s="424" t="str">
        <f t="shared" si="496"/>
        <v/>
      </c>
      <c r="Q4405" s="291"/>
      <c r="R4405" s="367"/>
      <c r="S4405" s="364"/>
      <c r="Z4405" s="609" t="s">
        <v>4147</v>
      </c>
      <c r="AA4405" s="609" t="s">
        <v>5698</v>
      </c>
      <c r="AE4405" s="369" t="s">
        <v>2761</v>
      </c>
      <c r="AF4405" s="369"/>
    </row>
    <row r="4406" spans="1:32" ht="24" hidden="1">
      <c r="A4406" s="2712"/>
      <c r="B4406" s="371">
        <v>102.002</v>
      </c>
      <c r="C4406" s="371"/>
      <c r="D4406" s="2714">
        <f t="shared" si="494"/>
        <v>1</v>
      </c>
      <c r="E4406" s="2719" t="s">
        <v>4163</v>
      </c>
      <c r="F4406" s="294"/>
      <c r="G4406" s="1472" t="s">
        <v>4171</v>
      </c>
      <c r="H4406" s="2273"/>
      <c r="I4406" s="2273"/>
      <c r="J4406" s="2273"/>
      <c r="K4406" s="2273"/>
      <c r="L4406" s="2273"/>
      <c r="M4406" s="2273"/>
      <c r="N4406" s="1475">
        <f t="shared" si="498"/>
        <v>0</v>
      </c>
      <c r="O4406" s="424" t="str">
        <f t="shared" si="496"/>
        <v/>
      </c>
      <c r="Q4406" s="291"/>
      <c r="R4406" s="367"/>
      <c r="S4406" s="364"/>
      <c r="Z4406" s="609" t="s">
        <v>4147</v>
      </c>
      <c r="AA4406" s="609" t="s">
        <v>5698</v>
      </c>
      <c r="AE4406" s="369" t="s">
        <v>2761</v>
      </c>
      <c r="AF4406" s="369"/>
    </row>
    <row r="4407" spans="1:32" ht="24" hidden="1">
      <c r="A4407" s="2712"/>
      <c r="B4407" s="371">
        <v>102.003</v>
      </c>
      <c r="C4407" s="371"/>
      <c r="D4407" s="2714">
        <f t="shared" si="494"/>
        <v>1</v>
      </c>
      <c r="E4407" s="2719" t="s">
        <v>4163</v>
      </c>
      <c r="F4407" s="294"/>
      <c r="G4407" s="1472" t="s">
        <v>4172</v>
      </c>
      <c r="H4407" s="2273"/>
      <c r="I4407" s="2273"/>
      <c r="J4407" s="2273"/>
      <c r="K4407" s="2273"/>
      <c r="L4407" s="2273"/>
      <c r="M4407" s="2273"/>
      <c r="N4407" s="1475">
        <f t="shared" si="498"/>
        <v>0</v>
      </c>
      <c r="O4407" s="424" t="str">
        <f t="shared" si="496"/>
        <v/>
      </c>
      <c r="Q4407" s="291"/>
      <c r="R4407" s="367"/>
      <c r="S4407" s="364"/>
      <c r="Z4407" s="609" t="s">
        <v>4147</v>
      </c>
      <c r="AA4407" s="609" t="s">
        <v>5698</v>
      </c>
      <c r="AE4407" s="369" t="s">
        <v>2761</v>
      </c>
      <c r="AF4407" s="369"/>
    </row>
    <row r="4408" spans="1:32" ht="24" hidden="1">
      <c r="A4408" s="2712"/>
      <c r="B4408" s="371">
        <v>102.004</v>
      </c>
      <c r="C4408" s="371"/>
      <c r="D4408" s="2714">
        <f t="shared" si="494"/>
        <v>1</v>
      </c>
      <c r="E4408" s="2719" t="s">
        <v>4163</v>
      </c>
      <c r="F4408" s="294"/>
      <c r="G4408" s="1472" t="s">
        <v>4173</v>
      </c>
      <c r="H4408" s="2273"/>
      <c r="I4408" s="2273"/>
      <c r="J4408" s="2273"/>
      <c r="K4408" s="2273"/>
      <c r="L4408" s="2273"/>
      <c r="M4408" s="2273"/>
      <c r="N4408" s="1475">
        <f t="shared" si="498"/>
        <v>0</v>
      </c>
      <c r="O4408" s="424" t="str">
        <f t="shared" si="496"/>
        <v/>
      </c>
      <c r="Q4408" s="291"/>
      <c r="R4408" s="367"/>
      <c r="S4408" s="364"/>
      <c r="Z4408" s="609" t="s">
        <v>4147</v>
      </c>
      <c r="AA4408" s="609" t="s">
        <v>5698</v>
      </c>
      <c r="AE4408" s="369" t="s">
        <v>2761</v>
      </c>
      <c r="AF4408" s="369"/>
    </row>
    <row r="4409" spans="1:32" ht="18" hidden="1">
      <c r="A4409" s="2712"/>
      <c r="B4409" s="371">
        <v>102.005</v>
      </c>
      <c r="C4409" s="371"/>
      <c r="D4409" s="2714">
        <f t="shared" si="494"/>
        <v>1</v>
      </c>
      <c r="E4409" s="2719" t="s">
        <v>4163</v>
      </c>
      <c r="F4409" s="294"/>
      <c r="G4409" s="1472" t="s">
        <v>4174</v>
      </c>
      <c r="H4409" s="2273"/>
      <c r="I4409" s="2273"/>
      <c r="J4409" s="2273"/>
      <c r="K4409" s="2273"/>
      <c r="L4409" s="2273"/>
      <c r="M4409" s="2273"/>
      <c r="N4409" s="1475">
        <f t="shared" si="498"/>
        <v>0</v>
      </c>
      <c r="O4409" s="424" t="str">
        <f t="shared" si="496"/>
        <v/>
      </c>
      <c r="Q4409" s="291"/>
      <c r="R4409" s="367"/>
      <c r="S4409" s="364"/>
      <c r="Z4409" s="609" t="s">
        <v>4147</v>
      </c>
      <c r="AA4409" s="609" t="s">
        <v>5698</v>
      </c>
      <c r="AE4409" s="369" t="s">
        <v>2761</v>
      </c>
      <c r="AF4409" s="369"/>
    </row>
    <row r="4410" spans="1:32" ht="18" hidden="1">
      <c r="A4410" s="2712"/>
      <c r="B4410" s="371">
        <v>102.006</v>
      </c>
      <c r="C4410" s="371" t="s">
        <v>2791</v>
      </c>
      <c r="D4410" s="2714">
        <f t="shared" si="494"/>
        <v>0</v>
      </c>
      <c r="E4410" s="2719" t="s">
        <v>4163</v>
      </c>
      <c r="F4410" s="294"/>
      <c r="G4410" s="2425" t="s">
        <v>2792</v>
      </c>
      <c r="H4410" s="2273"/>
      <c r="I4410" s="2273"/>
      <c r="J4410" s="2273"/>
      <c r="K4410" s="2273"/>
      <c r="L4410" s="2273"/>
      <c r="M4410" s="2273"/>
      <c r="N4410" s="1475">
        <f t="shared" si="498"/>
        <v>0</v>
      </c>
      <c r="O4410" s="424" t="str">
        <f t="shared" si="496"/>
        <v/>
      </c>
      <c r="Q4410" s="291"/>
      <c r="R4410" s="367"/>
      <c r="S4410" s="364"/>
      <c r="Z4410" s="609" t="s">
        <v>4147</v>
      </c>
      <c r="AA4410" s="609" t="s">
        <v>5698</v>
      </c>
      <c r="AE4410" s="369" t="s">
        <v>2761</v>
      </c>
      <c r="AF4410" s="369"/>
    </row>
    <row r="4411" spans="1:32" ht="18" hidden="1">
      <c r="A4411" s="2712"/>
      <c r="B4411" s="371">
        <v>102.00700000000001</v>
      </c>
      <c r="C4411" s="371" t="s">
        <v>2791</v>
      </c>
      <c r="D4411" s="2714">
        <f t="shared" si="494"/>
        <v>0</v>
      </c>
      <c r="E4411" s="2719" t="s">
        <v>4163</v>
      </c>
      <c r="F4411" s="294"/>
      <c r="G4411" s="2425" t="s">
        <v>2792</v>
      </c>
      <c r="H4411" s="2273"/>
      <c r="I4411" s="2273"/>
      <c r="J4411" s="2273"/>
      <c r="K4411" s="2273"/>
      <c r="L4411" s="2273"/>
      <c r="M4411" s="2273"/>
      <c r="N4411" s="1475">
        <f t="shared" si="498"/>
        <v>0</v>
      </c>
      <c r="O4411" s="424" t="str">
        <f t="shared" si="496"/>
        <v/>
      </c>
      <c r="Q4411" s="291"/>
      <c r="R4411" s="367"/>
      <c r="S4411" s="364"/>
      <c r="Z4411" s="609" t="s">
        <v>4147</v>
      </c>
      <c r="AA4411" s="609" t="s">
        <v>5698</v>
      </c>
      <c r="AE4411" s="369" t="s">
        <v>2761</v>
      </c>
      <c r="AF4411" s="369"/>
    </row>
    <row r="4412" spans="1:32" ht="18.75" hidden="1" thickBot="1">
      <c r="A4412" s="2712"/>
      <c r="B4412" s="371"/>
      <c r="C4412" s="371"/>
      <c r="D4412" s="2714">
        <f>IF(OR(G4412="*",G4412="",G4412=0),0,COUNTIF($G$4399:$G$4412,G4412))</f>
        <v>1</v>
      </c>
      <c r="E4412" s="2719" t="s">
        <v>2751</v>
      </c>
      <c r="F4412" s="294"/>
      <c r="G4412" s="310" t="s">
        <v>2752</v>
      </c>
      <c r="H4412" s="1479">
        <f t="shared" ref="H4412:M4412" si="499">SUMPRODUCT($E4398:$E4411,H4398:H4411)</f>
        <v>0</v>
      </c>
      <c r="I4412" s="1479">
        <f t="shared" si="499"/>
        <v>0</v>
      </c>
      <c r="J4412" s="1479">
        <f t="shared" si="499"/>
        <v>0</v>
      </c>
      <c r="K4412" s="1479">
        <f t="shared" si="499"/>
        <v>0</v>
      </c>
      <c r="L4412" s="1479">
        <f t="shared" si="499"/>
        <v>0</v>
      </c>
      <c r="M4412" s="1479">
        <f t="shared" si="499"/>
        <v>0</v>
      </c>
      <c r="N4412" s="1480">
        <f>SUMPRODUCT($E4398:$E4411,N4398:N4411)</f>
        <v>0</v>
      </c>
      <c r="O4412" s="424" t="str">
        <f t="shared" si="496"/>
        <v/>
      </c>
      <c r="P4412" s="355"/>
      <c r="Q4412" s="472"/>
      <c r="R4412" s="367"/>
      <c r="S4412" s="364"/>
      <c r="Z4412" s="609" t="s">
        <v>4147</v>
      </c>
      <c r="AA4412" s="609" t="s">
        <v>5698</v>
      </c>
      <c r="AE4412" s="369" t="s">
        <v>2761</v>
      </c>
      <c r="AF4412" s="369"/>
    </row>
    <row r="4413" spans="1:32" ht="18" hidden="1">
      <c r="A4413" s="2712"/>
      <c r="B4413" s="371"/>
      <c r="C4413" s="371" t="s">
        <v>2755</v>
      </c>
      <c r="D4413" s="371"/>
      <c r="F4413" s="294"/>
      <c r="G4413" s="301"/>
      <c r="H4413" s="315"/>
      <c r="I4413" s="315"/>
      <c r="J4413" s="315"/>
      <c r="K4413" s="315"/>
      <c r="L4413" s="315"/>
      <c r="M4413" s="315"/>
      <c r="N4413" s="315"/>
      <c r="P4413" s="315"/>
      <c r="Q4413" s="472"/>
      <c r="R4413" s="472"/>
      <c r="S4413" s="364"/>
      <c r="Z4413" s="609" t="s">
        <v>4147</v>
      </c>
      <c r="AA4413" s="609" t="s">
        <v>5698</v>
      </c>
      <c r="AE4413" s="369" t="s">
        <v>2761</v>
      </c>
    </row>
    <row r="4414" spans="1:32" ht="18">
      <c r="A4414" s="2712">
        <v>4301</v>
      </c>
      <c r="B4414" s="371">
        <v>58</v>
      </c>
      <c r="C4414" s="2714" t="str">
        <f>VLOOKUP($A4414,Sheet_Items,2,0)</f>
        <v>专项储备</v>
      </c>
      <c r="D4414" s="371"/>
      <c r="E4414" s="2714" t="s">
        <v>2739</v>
      </c>
      <c r="F4414" s="294"/>
      <c r="G4414" s="305" t="str">
        <f>B4414&amp;" "&amp;C4414</f>
        <v>58 专项储备</v>
      </c>
      <c r="H4414" s="306"/>
      <c r="I4414" s="306"/>
      <c r="J4414" s="306" t="s">
        <v>2740</v>
      </c>
      <c r="K4414" s="341">
        <f>VLOOKUP($A4414,Sheet_Trialbal,6,0)</f>
        <v>4545209.38</v>
      </c>
      <c r="L4414" s="342"/>
      <c r="M4414" s="306" t="s">
        <v>2741</v>
      </c>
      <c r="N4414" s="341">
        <f>VLOOKUP($A4414,Sheet_Trialbal,10,0)</f>
        <v>8378246.8099999996</v>
      </c>
      <c r="O4414" s="306"/>
      <c r="P4414" s="301"/>
      <c r="S4414" s="364"/>
      <c r="Z4414" s="609" t="s">
        <v>4175</v>
      </c>
      <c r="AA4414" s="609" t="s">
        <v>5699</v>
      </c>
    </row>
    <row r="4415" spans="1:32" ht="18">
      <c r="A4415" s="2712" t="s">
        <v>1837</v>
      </c>
      <c r="B4415" s="371">
        <v>1</v>
      </c>
      <c r="C4415" s="371"/>
      <c r="D4415" s="2714" t="str">
        <f>VLOOKUP($A4415,Sheet_NoteList,2,0)</f>
        <v>专项储备变动情况</v>
      </c>
      <c r="E4415" s="2714" t="s">
        <v>2742</v>
      </c>
      <c r="F4415" s="294"/>
      <c r="G4415" s="307" t="str">
        <f>"("&amp;B4415&amp;")"&amp;D4415</f>
        <v>(1)专项储备变动情况</v>
      </c>
      <c r="H4415" s="1515" t="str">
        <f>$A4415</f>
        <v>4301a</v>
      </c>
      <c r="I4415" s="343" t="s">
        <v>2743</v>
      </c>
      <c r="J4415" s="301" t="s">
        <v>2744</v>
      </c>
      <c r="K4415" s="2208">
        <f>K4423</f>
        <v>4545209.38</v>
      </c>
      <c r="L4415" s="345" t="str">
        <f>IF($I4415="适用",IF(ROUND(K4414-K4415,2)=0,"F/S",ROUND(K4414-K4415,2)),"#N/A")</f>
        <v>F/S</v>
      </c>
      <c r="M4415" s="301" t="s">
        <v>2745</v>
      </c>
      <c r="N4415" s="2208">
        <f>H4423</f>
        <v>8378246.8099999996</v>
      </c>
      <c r="O4415" s="345" t="str">
        <f>IF($I4415="适用",IF(ROUND(N4414-N4415,2)=0,"F/S",ROUND(N4414-N4415,2)),"#N/A")</f>
        <v>F/S</v>
      </c>
      <c r="P4415" s="301"/>
      <c r="S4415" s="364"/>
      <c r="Z4415" s="609" t="s">
        <v>4175</v>
      </c>
      <c r="AA4415" s="609" t="s">
        <v>5699</v>
      </c>
    </row>
    <row r="4416" spans="1:32" ht="0.75" customHeight="1" thickBot="1">
      <c r="A4416" s="2712"/>
      <c r="B4416" s="371"/>
      <c r="C4416" s="371"/>
      <c r="D4416" s="371"/>
      <c r="E4416" s="586"/>
      <c r="F4416" s="363"/>
      <c r="G4416" s="363" t="s">
        <v>4176</v>
      </c>
      <c r="H4416" s="294" t="s">
        <v>2904</v>
      </c>
      <c r="I4416" s="294" t="s">
        <v>3255</v>
      </c>
      <c r="J4416" s="294" t="s">
        <v>3256</v>
      </c>
      <c r="K4416" s="294" t="s">
        <v>3241</v>
      </c>
      <c r="L4416" s="291"/>
      <c r="M4416" s="291"/>
      <c r="N4416" s="291"/>
      <c r="O4416" s="291"/>
      <c r="S4416" s="364"/>
      <c r="Z4416" s="609" t="s">
        <v>4175</v>
      </c>
      <c r="AA4416" s="609" t="s">
        <v>5699</v>
      </c>
    </row>
    <row r="4417" spans="1:27" ht="18">
      <c r="A4417" s="2712"/>
      <c r="B4417" s="371"/>
      <c r="C4417" s="371"/>
      <c r="D4417" s="371"/>
      <c r="E4417" s="586" t="s">
        <v>2749</v>
      </c>
      <c r="F4417" s="363"/>
      <c r="G4417" s="2426" t="s">
        <v>47</v>
      </c>
      <c r="H4417" s="2473" t="str">
        <f>$V$3</f>
        <v>2018年12月31日</v>
      </c>
      <c r="I4417" s="2423" t="s">
        <v>3027</v>
      </c>
      <c r="J4417" s="2423" t="s">
        <v>3028</v>
      </c>
      <c r="K4417" s="2478" t="str">
        <f>$V$2</f>
        <v>2019年12月31日</v>
      </c>
      <c r="L4417" s="355" t="s">
        <v>5321</v>
      </c>
      <c r="M4417" s="291"/>
      <c r="N4417" s="291"/>
      <c r="O4417" s="291"/>
      <c r="S4417" s="364"/>
      <c r="Z4417" s="609" t="s">
        <v>4175</v>
      </c>
      <c r="AA4417" s="609" t="s">
        <v>5699</v>
      </c>
    </row>
    <row r="4418" spans="1:27" ht="18">
      <c r="A4418" s="2712"/>
      <c r="B4418" s="371">
        <v>101</v>
      </c>
      <c r="C4418" s="371"/>
      <c r="D4418" s="2714">
        <f t="shared" ref="D4418:D4423" si="500">IF(OR(G4418="*",G4418="",G4418=0),0,COUNTIF($G$4418:$G$4423,G4418))</f>
        <v>1</v>
      </c>
      <c r="E4418" s="2719">
        <v>1</v>
      </c>
      <c r="F4418" s="294"/>
      <c r="G4418" s="1472" t="s">
        <v>4177</v>
      </c>
      <c r="H4418" s="2273">
        <v>8378246.8099999996</v>
      </c>
      <c r="I4418" s="2273">
        <v>3399381.78</v>
      </c>
      <c r="J4418" s="2273">
        <v>7232419.21</v>
      </c>
      <c r="K4418" s="1475">
        <f>H4418+I4418-J4418</f>
        <v>4545209.38</v>
      </c>
      <c r="L4418" s="291"/>
      <c r="M4418" s="291"/>
      <c r="N4418" s="291"/>
      <c r="O4418" s="291"/>
      <c r="S4418" s="364"/>
      <c r="Z4418" s="609" t="s">
        <v>4175</v>
      </c>
      <c r="AA4418" s="609" t="s">
        <v>5699</v>
      </c>
    </row>
    <row r="4419" spans="1:27" ht="18">
      <c r="A4419" s="2712"/>
      <c r="B4419" s="371">
        <v>102</v>
      </c>
      <c r="C4419" s="371" t="s">
        <v>2791</v>
      </c>
      <c r="D4419" s="2714">
        <f t="shared" si="500"/>
        <v>1</v>
      </c>
      <c r="E4419" s="2719">
        <v>1</v>
      </c>
      <c r="F4419" s="294"/>
      <c r="G4419" s="2425" t="s">
        <v>6085</v>
      </c>
      <c r="H4419" s="2273"/>
      <c r="I4419" s="2273"/>
      <c r="J4419" s="2273"/>
      <c r="K4419" s="1475">
        <f>H4419+I4419-J4419</f>
        <v>0</v>
      </c>
      <c r="L4419" s="291"/>
      <c r="M4419" s="291"/>
      <c r="N4419" s="291"/>
      <c r="O4419" s="291"/>
      <c r="S4419" s="364"/>
      <c r="Z4419" s="609" t="s">
        <v>4175</v>
      </c>
      <c r="AA4419" s="609" t="s">
        <v>5699</v>
      </c>
    </row>
    <row r="4420" spans="1:27" ht="18">
      <c r="A4420" s="2712"/>
      <c r="B4420" s="371">
        <v>103</v>
      </c>
      <c r="C4420" s="371" t="s">
        <v>2791</v>
      </c>
      <c r="D4420" s="2714">
        <f t="shared" si="500"/>
        <v>0</v>
      </c>
      <c r="E4420" s="2719">
        <v>1</v>
      </c>
      <c r="F4420" s="294"/>
      <c r="G4420" s="2425" t="s">
        <v>2792</v>
      </c>
      <c r="H4420" s="2273"/>
      <c r="I4420" s="2273"/>
      <c r="J4420" s="2273"/>
      <c r="K4420" s="1475">
        <f>H4420+I4420-J4420</f>
        <v>0</v>
      </c>
      <c r="L4420" s="291"/>
      <c r="M4420" s="291"/>
      <c r="N4420" s="291"/>
      <c r="O4420" s="291"/>
      <c r="S4420" s="364"/>
      <c r="Z4420" s="609" t="s">
        <v>4175</v>
      </c>
      <c r="AA4420" s="609" t="s">
        <v>5699</v>
      </c>
    </row>
    <row r="4421" spans="1:27" ht="18">
      <c r="A4421" s="2712"/>
      <c r="B4421" s="371">
        <v>104</v>
      </c>
      <c r="C4421" s="371" t="s">
        <v>2791</v>
      </c>
      <c r="D4421" s="2714">
        <f t="shared" si="500"/>
        <v>0</v>
      </c>
      <c r="E4421" s="2719">
        <v>1</v>
      </c>
      <c r="F4421" s="294"/>
      <c r="G4421" s="2425" t="s">
        <v>2792</v>
      </c>
      <c r="H4421" s="2273"/>
      <c r="I4421" s="2273"/>
      <c r="J4421" s="2273"/>
      <c r="K4421" s="1475">
        <f>H4421+I4421-J4421</f>
        <v>0</v>
      </c>
      <c r="L4421" s="291"/>
      <c r="M4421" s="291"/>
      <c r="N4421" s="291"/>
      <c r="O4421" s="291"/>
      <c r="S4421" s="364"/>
      <c r="Z4421" s="609" t="s">
        <v>4175</v>
      </c>
      <c r="AA4421" s="609" t="s">
        <v>5699</v>
      </c>
    </row>
    <row r="4422" spans="1:27" ht="18">
      <c r="A4422" s="2712"/>
      <c r="B4422" s="371">
        <v>105</v>
      </c>
      <c r="C4422" s="371" t="s">
        <v>2791</v>
      </c>
      <c r="D4422" s="2714">
        <f t="shared" si="500"/>
        <v>0</v>
      </c>
      <c r="E4422" s="2719">
        <v>1</v>
      </c>
      <c r="F4422" s="294"/>
      <c r="G4422" s="2425" t="s">
        <v>2792</v>
      </c>
      <c r="H4422" s="2273"/>
      <c r="I4422" s="2273"/>
      <c r="J4422" s="2273"/>
      <c r="K4422" s="1475">
        <f>H4422+I4422-J4422</f>
        <v>0</v>
      </c>
      <c r="L4422" s="291"/>
      <c r="M4422" s="291"/>
      <c r="N4422" s="291"/>
      <c r="O4422" s="291"/>
      <c r="S4422" s="364"/>
      <c r="Z4422" s="609" t="s">
        <v>4175</v>
      </c>
      <c r="AA4422" s="609" t="s">
        <v>5699</v>
      </c>
    </row>
    <row r="4423" spans="1:27" ht="18.75" thickBot="1">
      <c r="A4423" s="2712"/>
      <c r="B4423" s="371"/>
      <c r="C4423" s="371"/>
      <c r="D4423" s="2714">
        <f t="shared" si="500"/>
        <v>1</v>
      </c>
      <c r="E4423" s="2719" t="s">
        <v>2751</v>
      </c>
      <c r="F4423" s="294"/>
      <c r="G4423" s="374" t="s">
        <v>2752</v>
      </c>
      <c r="H4423" s="1476">
        <f>SUMPRODUCT($E4417:$E4422,H4417:H4422)</f>
        <v>8378246.8099999996</v>
      </c>
      <c r="I4423" s="1476">
        <f>SUMPRODUCT($E4417:$E4422,I4417:I4422)</f>
        <v>3399381.78</v>
      </c>
      <c r="J4423" s="1476">
        <f>SUMPRODUCT($E4417:$E4422,J4417:J4422)</f>
        <v>7232419.21</v>
      </c>
      <c r="K4423" s="1477">
        <f>SUMPRODUCT($E4417:$E4422,K4417:K4422)</f>
        <v>4545209.38</v>
      </c>
      <c r="L4423" s="291"/>
      <c r="M4423" s="291"/>
      <c r="N4423" s="291"/>
      <c r="O4423" s="291"/>
      <c r="S4423" s="364"/>
      <c r="Z4423" s="609" t="s">
        <v>4175</v>
      </c>
      <c r="AA4423" s="609" t="s">
        <v>5699</v>
      </c>
    </row>
    <row r="4424" spans="1:27" ht="18">
      <c r="A4424" s="2712"/>
      <c r="B4424" s="371"/>
      <c r="C4424" s="371" t="s">
        <v>2755</v>
      </c>
      <c r="D4424" s="371"/>
      <c r="F4424" s="294"/>
      <c r="G4424" s="301"/>
      <c r="H4424" s="315"/>
      <c r="I4424" s="315"/>
      <c r="J4424" s="315"/>
      <c r="K4424" s="315"/>
      <c r="L4424" s="291"/>
      <c r="M4424" s="291"/>
      <c r="N4424" s="291"/>
      <c r="O4424" s="291"/>
      <c r="S4424" s="364"/>
      <c r="Z4424" s="609" t="s">
        <v>4175</v>
      </c>
      <c r="AA4424" s="609" t="s">
        <v>5699</v>
      </c>
    </row>
    <row r="4425" spans="1:27" ht="18">
      <c r="A4425" s="2712">
        <v>4101</v>
      </c>
      <c r="B4425" s="371">
        <v>59</v>
      </c>
      <c r="C4425" s="2714" t="str">
        <f>VLOOKUP($A4425,Sheet_Items,2,0)</f>
        <v>盈余公积</v>
      </c>
      <c r="D4425" s="371"/>
      <c r="E4425" s="2714" t="s">
        <v>2739</v>
      </c>
      <c r="F4425" s="294"/>
      <c r="G4425" s="305" t="str">
        <f>B4425&amp;" "&amp;C4425</f>
        <v>59 盈余公积</v>
      </c>
      <c r="H4425" s="306"/>
      <c r="I4425" s="306"/>
      <c r="J4425" s="306" t="s">
        <v>2740</v>
      </c>
      <c r="K4425" s="341">
        <f>VLOOKUP($A4425,Sheet_Trialbal,6,0)</f>
        <v>4637867.0999999996</v>
      </c>
      <c r="L4425" s="342"/>
      <c r="M4425" s="306" t="s">
        <v>2741</v>
      </c>
      <c r="N4425" s="341">
        <f>VLOOKUP($A4425,Sheet_Trialbal,10,0)</f>
        <v>4637867.0999999996</v>
      </c>
      <c r="O4425" s="306"/>
      <c r="P4425" s="301"/>
      <c r="S4425" s="364"/>
      <c r="Z4425" s="609" t="s">
        <v>4178</v>
      </c>
      <c r="AA4425" s="609" t="s">
        <v>4179</v>
      </c>
    </row>
    <row r="4426" spans="1:27" ht="18">
      <c r="A4426" s="2712" t="s">
        <v>1805</v>
      </c>
      <c r="B4426" s="371">
        <v>1</v>
      </c>
      <c r="C4426" s="371"/>
      <c r="D4426" s="2714" t="str">
        <f>VLOOKUP($A4426,Sheet_NoteList,2,0)</f>
        <v>盈余公积列示</v>
      </c>
      <c r="E4426" s="2714" t="s">
        <v>2742</v>
      </c>
      <c r="F4426" s="293"/>
      <c r="G4426" s="372" t="str">
        <f>"("&amp;B4426&amp;")"&amp;D4426</f>
        <v>(1)盈余公积列示</v>
      </c>
      <c r="H4426" s="1515" t="str">
        <f>$A4426</f>
        <v>4101b</v>
      </c>
      <c r="I4426" s="343" t="s">
        <v>2743</v>
      </c>
      <c r="J4426" s="301" t="s">
        <v>2744</v>
      </c>
      <c r="K4426" s="2208">
        <f>M4437</f>
        <v>4637867.0999999996</v>
      </c>
      <c r="L4426" s="349" t="str">
        <f>IF($I4426="适用",IF(ROUND(K$4425-K4426,2)=0,"F/S",ROUND(K$4425-K4426,2)),"#N/A")</f>
        <v>F/S</v>
      </c>
      <c r="M4426" s="301" t="s">
        <v>2745</v>
      </c>
      <c r="N4426" s="2208">
        <f>H4437</f>
        <v>4637867.0999999996</v>
      </c>
      <c r="O4426" s="349" t="str">
        <f>IF($I4426="适用",IF(ROUND(N$4425-N4426,2)=0,"F/S",ROUND(N$4425-N4426,2)),"#N/A")</f>
        <v>F/S</v>
      </c>
      <c r="P4426" s="301"/>
      <c r="S4426" s="364"/>
      <c r="Z4426" s="609" t="s">
        <v>4178</v>
      </c>
      <c r="AA4426" s="609" t="s">
        <v>4179</v>
      </c>
    </row>
    <row r="4427" spans="1:27" ht="0.75" customHeight="1" thickBot="1">
      <c r="A4427" s="2712"/>
      <c r="B4427" s="371"/>
      <c r="C4427" s="371"/>
      <c r="D4427" s="2714"/>
      <c r="F4427" s="371"/>
      <c r="G4427" s="405" t="s">
        <v>4180</v>
      </c>
      <c r="H4427" s="371" t="s">
        <v>2747</v>
      </c>
      <c r="I4427" s="371" t="s">
        <v>2748</v>
      </c>
      <c r="J4427" s="371" t="s">
        <v>2948</v>
      </c>
      <c r="K4427" s="547" t="s">
        <v>3647</v>
      </c>
      <c r="L4427" s="547" t="s">
        <v>3035</v>
      </c>
      <c r="M4427" s="371" t="s">
        <v>3167</v>
      </c>
      <c r="N4427" s="428"/>
      <c r="O4427" s="428"/>
      <c r="P4427" s="433"/>
      <c r="Q4427" s="442"/>
      <c r="R4427" s="443"/>
      <c r="S4427" s="364"/>
      <c r="Z4427" s="609" t="s">
        <v>4178</v>
      </c>
      <c r="AA4427" s="609" t="s">
        <v>4179</v>
      </c>
    </row>
    <row r="4428" spans="1:27" ht="24">
      <c r="A4428" s="2712"/>
      <c r="B4428" s="371"/>
      <c r="C4428" s="371"/>
      <c r="D4428" s="2714"/>
      <c r="E4428" s="2714" t="s">
        <v>2749</v>
      </c>
      <c r="F4428" s="293"/>
      <c r="G4428" s="2561" t="s">
        <v>47</v>
      </c>
      <c r="H4428" s="2569" t="str">
        <f>$V$3</f>
        <v>2018年12月31日</v>
      </c>
      <c r="I4428" s="2556" t="s">
        <v>5207</v>
      </c>
      <c r="J4428" s="2569" t="str">
        <f>$X$3</f>
        <v>2019年1月1日</v>
      </c>
      <c r="K4428" s="2309" t="s">
        <v>3027</v>
      </c>
      <c r="L4428" s="2309" t="s">
        <v>3028</v>
      </c>
      <c r="M4428" s="2559" t="str">
        <f>$V$2</f>
        <v>2019年12月31日</v>
      </c>
      <c r="N4428" s="355" t="s">
        <v>5322</v>
      </c>
      <c r="O4428" s="434"/>
      <c r="P4428" s="435"/>
      <c r="Q4428" s="442"/>
      <c r="R4428" s="443"/>
      <c r="S4428" s="364"/>
      <c r="Z4428" s="609" t="s">
        <v>4178</v>
      </c>
      <c r="AA4428" s="609" t="s">
        <v>4179</v>
      </c>
    </row>
    <row r="4429" spans="1:27" ht="18">
      <c r="A4429" s="2712"/>
      <c r="B4429" s="371">
        <v>101</v>
      </c>
      <c r="C4429" s="371"/>
      <c r="D4429" s="2714">
        <f t="shared" ref="D4429:D4437" si="501">IF(OR(G4429="*",G4429="",G4429=0),0,COUNTIF($G$4429:$G$4437,G4429))</f>
        <v>1</v>
      </c>
      <c r="E4429" s="2719">
        <v>1</v>
      </c>
      <c r="F4429" s="293"/>
      <c r="G4429" s="308" t="s">
        <v>4181</v>
      </c>
      <c r="H4429" s="309">
        <v>4637867.0999999996</v>
      </c>
      <c r="I4429" s="422"/>
      <c r="J4429" s="309">
        <f>H4429+I4429</f>
        <v>4637867.0999999996</v>
      </c>
      <c r="K4429" s="320">
        <v>0</v>
      </c>
      <c r="L4429" s="309">
        <v>0</v>
      </c>
      <c r="M4429" s="346">
        <f>J4429+K4429-L4429</f>
        <v>4637867.0999999996</v>
      </c>
      <c r="N4429" s="439"/>
      <c r="O4429" s="437"/>
      <c r="P4429" s="438"/>
      <c r="Q4429" s="442"/>
      <c r="R4429" s="443"/>
      <c r="S4429" s="364"/>
      <c r="Z4429" s="609" t="s">
        <v>4178</v>
      </c>
      <c r="AA4429" s="609" t="s">
        <v>4179</v>
      </c>
    </row>
    <row r="4430" spans="1:27" ht="18">
      <c r="A4430" s="2712"/>
      <c r="B4430" s="371">
        <v>102</v>
      </c>
      <c r="C4430" s="371"/>
      <c r="D4430" s="2714">
        <f t="shared" si="501"/>
        <v>1</v>
      </c>
      <c r="E4430" s="2719">
        <v>1</v>
      </c>
      <c r="F4430" s="293"/>
      <c r="G4430" s="308" t="s">
        <v>4182</v>
      </c>
      <c r="H4430" s="309"/>
      <c r="I4430" s="422"/>
      <c r="J4430" s="309">
        <f t="shared" ref="J4430:J4433" si="502">H4430+I4430</f>
        <v>0</v>
      </c>
      <c r="K4430" s="320"/>
      <c r="L4430" s="309"/>
      <c r="M4430" s="346">
        <f t="shared" ref="M4430:M4433" si="503">J4430+K4430-L4430</f>
        <v>0</v>
      </c>
      <c r="N4430" s="439"/>
      <c r="O4430" s="437"/>
      <c r="P4430" s="438"/>
      <c r="Q4430" s="442"/>
      <c r="R4430" s="443"/>
      <c r="S4430" s="364"/>
      <c r="Z4430" s="609" t="s">
        <v>4178</v>
      </c>
      <c r="AA4430" s="609" t="s">
        <v>4179</v>
      </c>
    </row>
    <row r="4431" spans="1:27" ht="18">
      <c r="A4431" s="2712"/>
      <c r="B4431" s="371">
        <v>103</v>
      </c>
      <c r="C4431" s="371"/>
      <c r="D4431" s="2714">
        <f t="shared" si="501"/>
        <v>1</v>
      </c>
      <c r="E4431" s="2719">
        <v>1</v>
      </c>
      <c r="F4431" s="293"/>
      <c r="G4431" s="308" t="s">
        <v>4183</v>
      </c>
      <c r="H4431" s="309"/>
      <c r="I4431" s="422"/>
      <c r="J4431" s="309">
        <f t="shared" si="502"/>
        <v>0</v>
      </c>
      <c r="K4431" s="320"/>
      <c r="L4431" s="309"/>
      <c r="M4431" s="346">
        <f t="shared" si="503"/>
        <v>0</v>
      </c>
      <c r="N4431" s="439"/>
      <c r="O4431" s="437"/>
      <c r="P4431" s="438"/>
      <c r="Q4431" s="442"/>
      <c r="R4431" s="443"/>
      <c r="S4431" s="364"/>
      <c r="Z4431" s="609" t="s">
        <v>4178</v>
      </c>
      <c r="AA4431" s="609" t="s">
        <v>4179</v>
      </c>
    </row>
    <row r="4432" spans="1:27" ht="18">
      <c r="A4432" s="2712"/>
      <c r="B4432" s="371">
        <v>104</v>
      </c>
      <c r="C4432" s="371"/>
      <c r="D4432" s="2714">
        <f t="shared" si="501"/>
        <v>1</v>
      </c>
      <c r="E4432" s="2719">
        <v>1</v>
      </c>
      <c r="F4432" s="293"/>
      <c r="G4432" s="308" t="s">
        <v>4184</v>
      </c>
      <c r="H4432" s="309"/>
      <c r="I4432" s="422"/>
      <c r="J4432" s="309">
        <f t="shared" si="502"/>
        <v>0</v>
      </c>
      <c r="K4432" s="320"/>
      <c r="L4432" s="309"/>
      <c r="M4432" s="346">
        <f t="shared" si="503"/>
        <v>0</v>
      </c>
      <c r="N4432" s="439"/>
      <c r="O4432" s="437"/>
      <c r="P4432" s="438"/>
      <c r="Q4432" s="442"/>
      <c r="R4432" s="443"/>
      <c r="S4432" s="364"/>
      <c r="Z4432" s="609" t="s">
        <v>4178</v>
      </c>
      <c r="AA4432" s="609" t="s">
        <v>4179</v>
      </c>
    </row>
    <row r="4433" spans="1:32" ht="18">
      <c r="A4433" s="2712"/>
      <c r="B4433" s="371">
        <v>105</v>
      </c>
      <c r="C4433" s="371"/>
      <c r="D4433" s="2714">
        <f t="shared" si="501"/>
        <v>1</v>
      </c>
      <c r="E4433" s="2719">
        <v>1</v>
      </c>
      <c r="F4433" s="293"/>
      <c r="G4433" s="308" t="s">
        <v>932</v>
      </c>
      <c r="H4433" s="309"/>
      <c r="I4433" s="422"/>
      <c r="J4433" s="309">
        <f t="shared" si="502"/>
        <v>0</v>
      </c>
      <c r="K4433" s="320"/>
      <c r="L4433" s="309"/>
      <c r="M4433" s="346">
        <f t="shared" si="503"/>
        <v>0</v>
      </c>
      <c r="N4433" s="439"/>
      <c r="O4433" s="437"/>
      <c r="P4433" s="438"/>
      <c r="Q4433" s="442"/>
      <c r="R4433" s="443"/>
      <c r="S4433" s="364"/>
      <c r="Z4433" s="609" t="s">
        <v>4178</v>
      </c>
      <c r="AA4433" s="609" t="s">
        <v>4179</v>
      </c>
    </row>
    <row r="4434" spans="1:32" ht="18">
      <c r="A4434" s="2712"/>
      <c r="B4434" s="371">
        <v>106</v>
      </c>
      <c r="C4434" s="371" t="s">
        <v>2791</v>
      </c>
      <c r="D4434" s="2714">
        <f t="shared" si="501"/>
        <v>0</v>
      </c>
      <c r="E4434" s="2719">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
      <c r="A4435" s="2712"/>
      <c r="B4435" s="371">
        <v>107</v>
      </c>
      <c r="C4435" s="371" t="s">
        <v>2791</v>
      </c>
      <c r="D4435" s="2714">
        <f t="shared" si="501"/>
        <v>0</v>
      </c>
      <c r="E4435" s="2719">
        <v>1</v>
      </c>
      <c r="F4435" s="293"/>
      <c r="G4435" s="319" t="s">
        <v>2792</v>
      </c>
      <c r="H4435" s="309"/>
      <c r="I4435" s="422"/>
      <c r="J4435" s="309"/>
      <c r="K4435" s="320"/>
      <c r="L4435" s="309"/>
      <c r="M4435" s="346"/>
      <c r="N4435" s="439"/>
      <c r="O4435" s="437"/>
      <c r="P4435" s="438"/>
      <c r="Q4435" s="442"/>
      <c r="R4435" s="443"/>
      <c r="S4435" s="364"/>
      <c r="Z4435" s="609" t="s">
        <v>4178</v>
      </c>
      <c r="AA4435" s="609" t="s">
        <v>4179</v>
      </c>
    </row>
    <row r="4436" spans="1:32" ht="18">
      <c r="A4436" s="2712"/>
      <c r="B4436" s="371">
        <v>108</v>
      </c>
      <c r="C4436" s="371" t="s">
        <v>2791</v>
      </c>
      <c r="D4436" s="2714">
        <f t="shared" si="501"/>
        <v>0</v>
      </c>
      <c r="E4436" s="2719">
        <v>1</v>
      </c>
      <c r="F4436" s="293"/>
      <c r="G4436" s="319" t="s">
        <v>2792</v>
      </c>
      <c r="H4436" s="309"/>
      <c r="I4436" s="422"/>
      <c r="J4436" s="309"/>
      <c r="K4436" s="320"/>
      <c r="L4436" s="309"/>
      <c r="M4436" s="346"/>
      <c r="N4436" s="439"/>
      <c r="O4436" s="437"/>
      <c r="P4436" s="438"/>
      <c r="Q4436" s="442"/>
      <c r="R4436" s="443"/>
      <c r="S4436" s="364"/>
      <c r="Z4436" s="609" t="s">
        <v>4178</v>
      </c>
      <c r="AA4436" s="609" t="s">
        <v>4179</v>
      </c>
    </row>
    <row r="4437" spans="1:32" ht="18.75" thickBot="1">
      <c r="A4437" s="2712"/>
      <c r="B4437" s="371"/>
      <c r="C4437" s="371"/>
      <c r="D4437" s="2714">
        <f t="shared" si="501"/>
        <v>1</v>
      </c>
      <c r="E4437" s="2719" t="s">
        <v>2751</v>
      </c>
      <c r="F4437" s="293"/>
      <c r="G4437" s="2232" t="s">
        <v>2752</v>
      </c>
      <c r="H4437" s="2323">
        <f t="shared" ref="H4437:M4437" si="504">SUMPRODUCT($E4428:$E4436,H4428:H4436)</f>
        <v>4637867.0999999996</v>
      </c>
      <c r="I4437" s="2323">
        <f t="shared" si="504"/>
        <v>0</v>
      </c>
      <c r="J4437" s="2323">
        <f t="shared" si="504"/>
        <v>4637867.0999999996</v>
      </c>
      <c r="K4437" s="2323">
        <f t="shared" si="504"/>
        <v>0</v>
      </c>
      <c r="L4437" s="2323">
        <f t="shared" si="504"/>
        <v>0</v>
      </c>
      <c r="M4437" s="2340">
        <f t="shared" si="504"/>
        <v>4637867.0999999996</v>
      </c>
      <c r="N4437" s="439"/>
      <c r="O4437" s="437"/>
      <c r="P4437" s="440"/>
      <c r="Q4437" s="442"/>
      <c r="R4437" s="443"/>
      <c r="S4437" s="364"/>
      <c r="Z4437" s="609" t="s">
        <v>4178</v>
      </c>
      <c r="AA4437" s="609" t="s">
        <v>4179</v>
      </c>
    </row>
    <row r="4438" spans="1:32" ht="18">
      <c r="A4438" s="2712"/>
      <c r="B4438" s="371"/>
      <c r="C4438" s="371" t="s">
        <v>2755</v>
      </c>
      <c r="D4438" s="2714"/>
      <c r="F4438" s="293"/>
      <c r="G4438" s="376"/>
      <c r="H4438" s="315"/>
      <c r="I4438" s="396"/>
      <c r="J4438" s="315"/>
      <c r="K4438" s="423"/>
      <c r="L4438" s="315"/>
      <c r="M4438" s="315"/>
      <c r="N4438" s="426"/>
      <c r="O4438" s="427"/>
      <c r="P4438" s="425"/>
      <c r="Q4438" s="442"/>
      <c r="R4438" s="443"/>
      <c r="S4438" s="364"/>
      <c r="Z4438" s="609" t="s">
        <v>4178</v>
      </c>
      <c r="AA4438" s="609" t="s">
        <v>4179</v>
      </c>
    </row>
    <row r="4439" spans="1:32" ht="18" hidden="1">
      <c r="A4439" s="2712" t="s">
        <v>1810</v>
      </c>
      <c r="B4439" s="371">
        <v>2</v>
      </c>
      <c r="C4439" s="371"/>
      <c r="D4439" s="2714" t="str">
        <f>VLOOKUP($A4439,Sheet_NoteList,2,0)</f>
        <v>盈余公积变动情况</v>
      </c>
      <c r="E4439" s="2714" t="s">
        <v>6611</v>
      </c>
      <c r="F4439" s="294"/>
      <c r="G4439" s="307" t="str">
        <f>"("&amp;B4439&amp;")"&amp;D4439</f>
        <v>(2)盈余公积变动情况</v>
      </c>
      <c r="H4439" s="1515" t="str">
        <f>$A4439</f>
        <v>4101a</v>
      </c>
      <c r="I4439" s="343" t="s">
        <v>6614</v>
      </c>
      <c r="J4439" s="301" t="s">
        <v>6612</v>
      </c>
      <c r="K4439" s="344">
        <f>K4448</f>
        <v>0</v>
      </c>
      <c r="L4439" s="345" t="str">
        <f>IF($I4439="适用",IF(ROUND(K4425-K4439,2)=0,"F/S",ROUND(K4425-K4439,2)),"#N/A")</f>
        <v>#N/A</v>
      </c>
      <c r="M4439" s="301" t="s">
        <v>6616</v>
      </c>
      <c r="N4439" s="344">
        <f>H4448</f>
        <v>0</v>
      </c>
      <c r="O4439" s="345" t="str">
        <f>IF($I4439="适用",IF(ROUND(N4425-N4439,2)=0,"F/S",ROUND(N4425-N4439,2)),"#N/A")</f>
        <v>#N/A</v>
      </c>
      <c r="P4439" s="301"/>
      <c r="Q4439" s="290" t="str">
        <f>IF($I4439="不适用","",IF(ROUND(SUM($H$4442:$K$4448),2)=0,"请输入",""))</f>
        <v/>
      </c>
      <c r="S4439" s="364"/>
      <c r="Z4439" s="609" t="s">
        <v>4178</v>
      </c>
      <c r="AA4439" s="609" t="s">
        <v>4179</v>
      </c>
      <c r="AE4439" s="369" t="s">
        <v>2761</v>
      </c>
    </row>
    <row r="4440" spans="1:32" ht="0.75" hidden="1" customHeight="1" thickBot="1">
      <c r="A4440" s="2712"/>
      <c r="B4440" s="371"/>
      <c r="C4440" s="371"/>
      <c r="D4440" s="371"/>
      <c r="E4440" s="586"/>
      <c r="F4440" s="586"/>
      <c r="G4440" s="586" t="s">
        <v>4185</v>
      </c>
      <c r="H4440" s="371" t="s">
        <v>2904</v>
      </c>
      <c r="I4440" s="371" t="s">
        <v>6303</v>
      </c>
      <c r="J4440" s="371" t="s">
        <v>6304</v>
      </c>
      <c r="K4440" s="371" t="s">
        <v>3241</v>
      </c>
      <c r="L4440" s="1602"/>
      <c r="M4440" s="1602"/>
      <c r="N4440" s="1602"/>
      <c r="O4440" s="1602"/>
      <c r="P4440" s="1602"/>
      <c r="Q4440" s="1602"/>
      <c r="R4440" s="1602"/>
      <c r="S4440" s="364"/>
      <c r="Z4440" s="609" t="s">
        <v>4178</v>
      </c>
      <c r="AA4440" s="609" t="s">
        <v>4179</v>
      </c>
      <c r="AE4440" s="369" t="s">
        <v>2761</v>
      </c>
    </row>
    <row r="4441" spans="1:32" ht="18" hidden="1" customHeight="1">
      <c r="A4441" s="2712"/>
      <c r="B4441" s="371"/>
      <c r="C4441" s="371"/>
      <c r="D4441" s="371"/>
      <c r="E4441" s="586" t="s">
        <v>2749</v>
      </c>
      <c r="F4441" s="363"/>
      <c r="G4441" s="2437" t="s">
        <v>47</v>
      </c>
      <c r="H4441" s="2555" t="s">
        <v>6142</v>
      </c>
      <c r="I4441" s="2432" t="s">
        <v>3027</v>
      </c>
      <c r="J4441" s="2432" t="s">
        <v>3028</v>
      </c>
      <c r="K4441" s="2570" t="s">
        <v>6143</v>
      </c>
      <c r="L4441" s="2450" t="s">
        <v>5988</v>
      </c>
      <c r="M4441" s="1602"/>
      <c r="N4441" s="1602"/>
      <c r="O4441" s="1602"/>
      <c r="P4441" s="1602"/>
      <c r="Q4441" s="1602"/>
      <c r="R4441" s="1602"/>
      <c r="S4441" s="364"/>
      <c r="Z4441" s="609" t="s">
        <v>4178</v>
      </c>
      <c r="AA4441" s="609" t="s">
        <v>4179</v>
      </c>
      <c r="AE4441" s="369" t="s">
        <v>2761</v>
      </c>
      <c r="AF4441" s="369"/>
    </row>
    <row r="4442" spans="1:32" ht="18" hidden="1">
      <c r="A4442" s="2712"/>
      <c r="B4442" s="371">
        <v>101</v>
      </c>
      <c r="C4442" s="371"/>
      <c r="D4442" s="2714">
        <f t="shared" ref="D4442:D4448" si="505">IF(OR(G4442="*",G4442="",G4442=0),0,COUNTIF($G$4442:$G$4448,G4442))</f>
        <v>1</v>
      </c>
      <c r="E4442" s="2719">
        <v>1</v>
      </c>
      <c r="F4442" s="294"/>
      <c r="G4442" s="1472" t="s">
        <v>4181</v>
      </c>
      <c r="H4442" s="2273"/>
      <c r="I4442" s="2273"/>
      <c r="J4442" s="2273"/>
      <c r="K4442" s="1475">
        <f t="shared" ref="K4442:K4447" si="506">H4442+I4442-J4442</f>
        <v>0</v>
      </c>
      <c r="L4442" s="1602"/>
      <c r="M4442" s="1602"/>
      <c r="N4442" s="1602"/>
      <c r="O4442" s="1602"/>
      <c r="P4442" s="1602"/>
      <c r="Q4442" s="1602"/>
      <c r="R4442" s="1602"/>
      <c r="S4442" s="364"/>
      <c r="Z4442" s="609" t="s">
        <v>4178</v>
      </c>
      <c r="AA4442" s="609" t="s">
        <v>4179</v>
      </c>
      <c r="AE4442" s="369" t="s">
        <v>2761</v>
      </c>
      <c r="AF4442" s="369"/>
    </row>
    <row r="4443" spans="1:32" ht="18" hidden="1">
      <c r="A4443" s="2712"/>
      <c r="B4443" s="371">
        <v>102</v>
      </c>
      <c r="C4443" s="371"/>
      <c r="D4443" s="2714">
        <f t="shared" si="505"/>
        <v>1</v>
      </c>
      <c r="E4443" s="2719">
        <v>1</v>
      </c>
      <c r="F4443" s="294"/>
      <c r="G4443" s="1472" t="s">
        <v>4182</v>
      </c>
      <c r="H4443" s="2273"/>
      <c r="I4443" s="2273"/>
      <c r="J4443" s="2273"/>
      <c r="K4443" s="1475">
        <f t="shared" si="506"/>
        <v>0</v>
      </c>
      <c r="L4443" s="1602"/>
      <c r="M4443" s="1602"/>
      <c r="N4443" s="1602"/>
      <c r="O4443" s="1602"/>
      <c r="P4443" s="1602"/>
      <c r="Q4443" s="1602"/>
      <c r="R4443" s="1602"/>
      <c r="S4443" s="364"/>
      <c r="Z4443" s="609" t="s">
        <v>4178</v>
      </c>
      <c r="AA4443" s="609" t="s">
        <v>4179</v>
      </c>
      <c r="AE4443" s="369" t="s">
        <v>2761</v>
      </c>
      <c r="AF4443" s="369"/>
    </row>
    <row r="4444" spans="1:32" ht="18" hidden="1">
      <c r="A4444" s="2712"/>
      <c r="B4444" s="371">
        <v>103</v>
      </c>
      <c r="C4444" s="371"/>
      <c r="D4444" s="2714">
        <f t="shared" si="505"/>
        <v>1</v>
      </c>
      <c r="E4444" s="2719">
        <v>1</v>
      </c>
      <c r="F4444" s="294"/>
      <c r="G4444" s="1472" t="s">
        <v>4183</v>
      </c>
      <c r="H4444" s="2273"/>
      <c r="I4444" s="2273"/>
      <c r="J4444" s="2273"/>
      <c r="K4444" s="1475">
        <f t="shared" si="506"/>
        <v>0</v>
      </c>
      <c r="L4444" s="1602"/>
      <c r="M4444" s="1602"/>
      <c r="N4444" s="1602"/>
      <c r="O4444" s="1602"/>
      <c r="P4444" s="1602"/>
      <c r="Q4444" s="1602"/>
      <c r="R4444" s="1602"/>
      <c r="S4444" s="364"/>
      <c r="Z4444" s="609" t="s">
        <v>4178</v>
      </c>
      <c r="AA4444" s="609" t="s">
        <v>4179</v>
      </c>
      <c r="AE4444" s="369" t="s">
        <v>2761</v>
      </c>
      <c r="AF4444" s="369"/>
    </row>
    <row r="4445" spans="1:32" ht="18" hidden="1">
      <c r="A4445" s="2712"/>
      <c r="B4445" s="371">
        <v>104</v>
      </c>
      <c r="C4445" s="371"/>
      <c r="D4445" s="2714">
        <f t="shared" si="505"/>
        <v>1</v>
      </c>
      <c r="E4445" s="2719">
        <v>1</v>
      </c>
      <c r="F4445" s="294"/>
      <c r="G4445" s="1472" t="s">
        <v>4184</v>
      </c>
      <c r="H4445" s="2273"/>
      <c r="I4445" s="2273"/>
      <c r="J4445" s="2273"/>
      <c r="K4445" s="1475">
        <f t="shared" si="506"/>
        <v>0</v>
      </c>
      <c r="L4445" s="1602"/>
      <c r="M4445" s="1602"/>
      <c r="N4445" s="1602"/>
      <c r="O4445" s="1602"/>
      <c r="P4445" s="1602"/>
      <c r="Q4445" s="1602"/>
      <c r="R4445" s="1602"/>
      <c r="S4445" s="364"/>
      <c r="Z4445" s="609" t="s">
        <v>4178</v>
      </c>
      <c r="AA4445" s="609" t="s">
        <v>4179</v>
      </c>
      <c r="AE4445" s="369" t="s">
        <v>2761</v>
      </c>
      <c r="AF4445" s="369"/>
    </row>
    <row r="4446" spans="1:32" ht="18" hidden="1">
      <c r="A4446" s="2712"/>
      <c r="B4446" s="371">
        <v>105</v>
      </c>
      <c r="C4446" s="371" t="s">
        <v>2791</v>
      </c>
      <c r="D4446" s="2714">
        <f t="shared" si="505"/>
        <v>1</v>
      </c>
      <c r="E4446" s="2719">
        <v>1</v>
      </c>
      <c r="F4446" s="294"/>
      <c r="G4446" s="2435" t="s">
        <v>932</v>
      </c>
      <c r="H4446" s="2273"/>
      <c r="I4446" s="2273"/>
      <c r="J4446" s="2273"/>
      <c r="K4446" s="1475">
        <f t="shared" si="506"/>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v>106</v>
      </c>
      <c r="C4447" s="371" t="s">
        <v>2791</v>
      </c>
      <c r="D4447" s="2714">
        <f t="shared" si="505"/>
        <v>0</v>
      </c>
      <c r="E4447" s="2719">
        <v>1</v>
      </c>
      <c r="F4447" s="294"/>
      <c r="G4447" s="2435" t="s">
        <v>2792</v>
      </c>
      <c r="H4447" s="2273"/>
      <c r="I4447" s="2273"/>
      <c r="J4447" s="2273"/>
      <c r="K4447" s="1475">
        <f t="shared" si="506"/>
        <v>0</v>
      </c>
      <c r="L4447" s="1602"/>
      <c r="M4447" s="1602"/>
      <c r="N4447" s="1602"/>
      <c r="O4447" s="1602"/>
      <c r="P4447" s="1602"/>
      <c r="Q4447" s="1602"/>
      <c r="R4447" s="1602"/>
      <c r="S4447" s="364"/>
      <c r="Z4447" s="609" t="s">
        <v>4178</v>
      </c>
      <c r="AA4447" s="609" t="s">
        <v>4179</v>
      </c>
      <c r="AE4447" s="369" t="s">
        <v>2761</v>
      </c>
      <c r="AF4447" s="369"/>
    </row>
    <row r="4448" spans="1:32" ht="18.75" hidden="1" thickBot="1">
      <c r="A4448" s="2712"/>
      <c r="B4448" s="371"/>
      <c r="C4448" s="371"/>
      <c r="D4448" s="2714">
        <f t="shared" si="505"/>
        <v>1</v>
      </c>
      <c r="E4448" s="2719" t="s">
        <v>2751</v>
      </c>
      <c r="F4448" s="294"/>
      <c r="G4448" s="310" t="s">
        <v>2752</v>
      </c>
      <c r="H4448" s="1479">
        <f>SUMPRODUCT($E4441:$E4447,H4441:H4447)</f>
        <v>0</v>
      </c>
      <c r="I4448" s="1479">
        <f>SUMPRODUCT($E4441:$E4447,I4441:I4447)</f>
        <v>0</v>
      </c>
      <c r="J4448" s="1479">
        <f>SUMPRODUCT($E4441:$E4447,J4441:J4447)</f>
        <v>0</v>
      </c>
      <c r="K4448" s="1480">
        <f>SUMPRODUCT($E4441:$E4447,K4441:K4447)</f>
        <v>0</v>
      </c>
      <c r="L4448" s="1602"/>
      <c r="M4448" s="1602"/>
      <c r="N4448" s="1602"/>
      <c r="O4448" s="1602"/>
      <c r="P4448" s="1602"/>
      <c r="Q4448" s="1602"/>
      <c r="R4448" s="1602"/>
      <c r="S4448" s="364"/>
      <c r="Z4448" s="609" t="s">
        <v>4178</v>
      </c>
      <c r="AA4448" s="609" t="s">
        <v>4179</v>
      </c>
      <c r="AE4448" s="369" t="s">
        <v>2761</v>
      </c>
      <c r="AF4448" s="369"/>
    </row>
    <row r="4449" spans="1:31" ht="18" hidden="1">
      <c r="A4449" s="2712"/>
      <c r="B4449" s="371"/>
      <c r="C4449" s="371" t="s">
        <v>2755</v>
      </c>
      <c r="D4449" s="371"/>
      <c r="F4449" s="294"/>
      <c r="G4449" s="301"/>
      <c r="H4449" s="315"/>
      <c r="I4449" s="315"/>
      <c r="J4449" s="315"/>
      <c r="K4449" s="315"/>
      <c r="L4449" s="1602"/>
      <c r="M4449" s="1602"/>
      <c r="N4449" s="1602"/>
      <c r="O4449" s="1602"/>
      <c r="P4449" s="1602"/>
      <c r="Q4449" s="1602"/>
      <c r="R4449" s="1602"/>
      <c r="S4449" s="364"/>
      <c r="Z4449" s="609" t="s">
        <v>4178</v>
      </c>
      <c r="AA4449" s="609" t="s">
        <v>4179</v>
      </c>
      <c r="AE4449" s="369" t="s">
        <v>2761</v>
      </c>
    </row>
    <row r="4450" spans="1:31" ht="18">
      <c r="A4450" s="2712">
        <v>4102</v>
      </c>
      <c r="B4450" s="371">
        <v>59.5</v>
      </c>
      <c r="C4450" s="2714" t="str">
        <f>VLOOKUP($A4450,Sheet_Items,2,0)</f>
        <v>一般风险准备</v>
      </c>
      <c r="D4450" s="371"/>
      <c r="E4450" s="2714" t="s">
        <v>2739</v>
      </c>
      <c r="F4450" s="294"/>
      <c r="G4450" s="305" t="str">
        <f>B4450&amp;" "&amp;C4450</f>
        <v>59.5 一般风险准备</v>
      </c>
      <c r="H4450" s="306"/>
      <c r="I4450" s="306"/>
      <c r="J4450" s="306" t="s">
        <v>2740</v>
      </c>
      <c r="K4450" s="341">
        <f>VLOOKUP($A4450,Sheet_Trialbal,6,0)</f>
        <v>0</v>
      </c>
      <c r="L4450" s="342"/>
      <c r="M4450" s="306" t="s">
        <v>2741</v>
      </c>
      <c r="N4450" s="341">
        <f>VLOOKUP($A4450,Sheet_Trialbal,10,0)</f>
        <v>0</v>
      </c>
      <c r="O4450" s="306"/>
      <c r="P4450" s="301"/>
      <c r="S4450" s="364"/>
      <c r="Z4450" s="609" t="s">
        <v>4186</v>
      </c>
      <c r="AA4450" s="609"/>
    </row>
    <row r="4451" spans="1:31" ht="18">
      <c r="A4451" s="2712" t="s">
        <v>1815</v>
      </c>
      <c r="B4451" s="371">
        <v>1</v>
      </c>
      <c r="C4451" s="371"/>
      <c r="D4451" s="2714" t="str">
        <f>VLOOKUP($A4451,Sheet_NoteList,2,0)</f>
        <v>一般风险准备变动情况</v>
      </c>
      <c r="E4451" s="2714" t="s">
        <v>2742</v>
      </c>
      <c r="F4451" s="294"/>
      <c r="G4451" s="307" t="str">
        <f>"("&amp;B4451&amp;")"&amp;D4451</f>
        <v>(1)一般风险准备变动情况</v>
      </c>
      <c r="H4451" s="1515" t="str">
        <f>$A4451</f>
        <v>4102a</v>
      </c>
      <c r="I4451" s="343" t="s">
        <v>2743</v>
      </c>
      <c r="J4451" s="301" t="s">
        <v>2744</v>
      </c>
      <c r="K4451" s="2208">
        <f>K4456</f>
        <v>0</v>
      </c>
      <c r="L4451" s="345" t="str">
        <f>IF($I4451="适用",IF(ROUND(K4450-K4451,2)=0,"F/S",ROUND(K4450-K4451,2)),"#N/A")</f>
        <v>F/S</v>
      </c>
      <c r="M4451" s="301" t="s">
        <v>2745</v>
      </c>
      <c r="N4451" s="2208">
        <f>H4456</f>
        <v>0</v>
      </c>
      <c r="O4451" s="345" t="str">
        <f>IF($I4451="适用",IF(ROUND(N4450-N4451,2)=0,"F/S",ROUND(N4450-N4451,2)),"#N/A")</f>
        <v>F/S</v>
      </c>
      <c r="P4451" s="301"/>
      <c r="S4451" s="364"/>
      <c r="Z4451" s="609" t="s">
        <v>4186</v>
      </c>
      <c r="AA4451" s="609"/>
    </row>
    <row r="4452" spans="1:31" ht="0.75" customHeight="1" thickBot="1">
      <c r="A4452" s="2712"/>
      <c r="B4452" s="371"/>
      <c r="C4452" s="371"/>
      <c r="D4452" s="371"/>
      <c r="E4452" s="586"/>
      <c r="F4452" s="586"/>
      <c r="G4452" s="586" t="s">
        <v>4187</v>
      </c>
      <c r="H4452" s="371" t="s">
        <v>2904</v>
      </c>
      <c r="I4452" s="371" t="s">
        <v>3255</v>
      </c>
      <c r="J4452" s="371" t="s">
        <v>3256</v>
      </c>
      <c r="K4452" s="371" t="s">
        <v>3241</v>
      </c>
      <c r="L4452" s="291"/>
      <c r="M4452" s="291"/>
      <c r="N4452" s="291"/>
      <c r="O4452" s="291"/>
      <c r="S4452" s="364"/>
      <c r="Z4452" s="609" t="s">
        <v>4186</v>
      </c>
      <c r="AA4452" s="609"/>
    </row>
    <row r="4453" spans="1:31" ht="18">
      <c r="A4453" s="2712"/>
      <c r="B4453" s="371"/>
      <c r="C4453" s="371"/>
      <c r="D4453" s="371"/>
      <c r="E4453" s="586" t="s">
        <v>2749</v>
      </c>
      <c r="F4453" s="363"/>
      <c r="G4453" s="2456" t="s">
        <v>47</v>
      </c>
      <c r="H4453" s="2457" t="s">
        <v>2776</v>
      </c>
      <c r="I4453" s="2457" t="s">
        <v>3027</v>
      </c>
      <c r="J4453" s="2457" t="s">
        <v>3028</v>
      </c>
      <c r="K4453" s="2458" t="s">
        <v>2775</v>
      </c>
      <c r="L4453" s="291"/>
      <c r="M4453" s="291"/>
      <c r="N4453" s="291"/>
      <c r="O4453" s="291"/>
      <c r="S4453" s="364"/>
      <c r="Z4453" s="609" t="s">
        <v>4186</v>
      </c>
      <c r="AA4453" s="609"/>
    </row>
    <row r="4454" spans="1:31" ht="18">
      <c r="A4454" s="2712"/>
      <c r="B4454" s="371">
        <v>101</v>
      </c>
      <c r="C4454" s="371" t="s">
        <v>2791</v>
      </c>
      <c r="D4454" s="2714">
        <f>IF(OR(G4454="*",G4454="",G4454=0),0,COUNTIF($G$4454:$G$4456,G4454))</f>
        <v>0</v>
      </c>
      <c r="E4454" s="2719">
        <v>1</v>
      </c>
      <c r="F4454" s="294"/>
      <c r="G4454" s="2465" t="s">
        <v>2792</v>
      </c>
      <c r="H4454" s="2273"/>
      <c r="I4454" s="2273"/>
      <c r="J4454" s="2273"/>
      <c r="K4454" s="1475">
        <f>H4454+I4454-J4454</f>
        <v>0</v>
      </c>
      <c r="L4454" s="291"/>
      <c r="M4454" s="291"/>
      <c r="N4454" s="291"/>
      <c r="O4454" s="291"/>
      <c r="S4454" s="364"/>
      <c r="Z4454" s="609" t="s">
        <v>4186</v>
      </c>
      <c r="AA4454" s="609"/>
    </row>
    <row r="4455" spans="1:31" ht="18">
      <c r="A4455" s="2712"/>
      <c r="B4455" s="371">
        <v>102</v>
      </c>
      <c r="C4455" s="371" t="s">
        <v>2791</v>
      </c>
      <c r="D4455" s="2714">
        <f>IF(OR(G4455="*",G4455="",G4455=0),0,COUNTIF($G$4454:$G$4456,G4455))</f>
        <v>0</v>
      </c>
      <c r="E4455" s="2719">
        <v>1</v>
      </c>
      <c r="F4455" s="294"/>
      <c r="G4455" s="2465" t="s">
        <v>2792</v>
      </c>
      <c r="H4455" s="2273"/>
      <c r="I4455" s="2273"/>
      <c r="J4455" s="2273"/>
      <c r="K4455" s="1475">
        <f>H4455+I4455-J4455</f>
        <v>0</v>
      </c>
      <c r="L4455" s="291"/>
      <c r="M4455" s="291"/>
      <c r="N4455" s="291"/>
      <c r="O4455" s="291"/>
      <c r="S4455" s="364"/>
      <c r="Z4455" s="609" t="s">
        <v>4186</v>
      </c>
      <c r="AA4455" s="609"/>
    </row>
    <row r="4456" spans="1:31" ht="18.75" thickBot="1">
      <c r="A4456" s="2712"/>
      <c r="B4456" s="371"/>
      <c r="C4456" s="371"/>
      <c r="D4456" s="2714">
        <f>IF(OR(G4456="*",G4456="",G4456=0),0,COUNTIF($G$4454:$G$4456,G4456))</f>
        <v>1</v>
      </c>
      <c r="E4456" s="2719" t="s">
        <v>2751</v>
      </c>
      <c r="F4456" s="294"/>
      <c r="G4456" s="1527" t="s">
        <v>2752</v>
      </c>
      <c r="H4456" s="1525">
        <f>SUMPRODUCT($E4453:$E4455,H4453:H4455)</f>
        <v>0</v>
      </c>
      <c r="I4456" s="1525">
        <f>SUMPRODUCT($E4453:$E4455,I4453:I4455)</f>
        <v>0</v>
      </c>
      <c r="J4456" s="1525">
        <f>SUMPRODUCT($E4453:$E4455,J4453:J4455)</f>
        <v>0</v>
      </c>
      <c r="K4456" s="1526">
        <f>SUMPRODUCT($E4453:$E4455,K4453:K4455)</f>
        <v>0</v>
      </c>
      <c r="L4456" s="291"/>
      <c r="M4456" s="291"/>
      <c r="N4456" s="291"/>
      <c r="O4456" s="291"/>
      <c r="S4456" s="364"/>
      <c r="Z4456" s="609" t="s">
        <v>4186</v>
      </c>
      <c r="AA4456" s="609"/>
    </row>
    <row r="4457" spans="1:31" ht="18">
      <c r="A4457" s="2712"/>
      <c r="B4457" s="371"/>
      <c r="C4457" s="371" t="s">
        <v>2755</v>
      </c>
      <c r="D4457" s="371"/>
      <c r="F4457" s="294"/>
      <c r="G4457" s="301"/>
      <c r="H4457" s="315"/>
      <c r="I4457" s="315"/>
      <c r="J4457" s="315"/>
      <c r="K4457" s="315"/>
      <c r="L4457" s="291"/>
      <c r="M4457" s="291"/>
      <c r="N4457" s="291"/>
      <c r="O4457" s="291"/>
      <c r="S4457" s="364"/>
      <c r="Z4457" s="609" t="s">
        <v>4186</v>
      </c>
      <c r="AA4457" s="609"/>
    </row>
    <row r="4458" spans="1:31" ht="18">
      <c r="A4458" s="2712">
        <v>4200</v>
      </c>
      <c r="B4458" s="371">
        <v>60</v>
      </c>
      <c r="C4458" s="2714" t="str">
        <f>VLOOKUP($A4458,Sheet_Items,2,0)</f>
        <v>未分配利润</v>
      </c>
      <c r="D4458" s="371"/>
      <c r="E4458" s="2714" t="s">
        <v>2739</v>
      </c>
      <c r="F4458" s="294"/>
      <c r="G4458" s="305" t="str">
        <f>B4458&amp;" "&amp;C4458</f>
        <v>60 未分配利润</v>
      </c>
      <c r="H4458" s="306"/>
      <c r="I4458" s="306"/>
      <c r="J4458" s="306" t="s">
        <v>2740</v>
      </c>
      <c r="K4458" s="341">
        <f>VLOOKUP($A4458,Sheet_Trialbal,6,0)</f>
        <v>-158918582.90000001</v>
      </c>
      <c r="L4458" s="342"/>
      <c r="M4458" s="306" t="s">
        <v>2741</v>
      </c>
      <c r="N4458" s="341">
        <f>VLOOKUP($A4458,Sheet_Trialbal,10,0)</f>
        <v>-145316230.15000001</v>
      </c>
      <c r="O4458" s="306"/>
      <c r="P4458" s="301"/>
      <c r="S4458" s="364"/>
      <c r="Z4458" s="609" t="s">
        <v>4188</v>
      </c>
      <c r="AA4458" s="609" t="s">
        <v>5700</v>
      </c>
    </row>
    <row r="4459" spans="1:31" ht="24">
      <c r="A4459" s="2712" t="s">
        <v>1820</v>
      </c>
      <c r="B4459" s="371">
        <v>1</v>
      </c>
      <c r="C4459" s="371"/>
      <c r="D4459" s="2714" t="str">
        <f>VLOOKUP($A4459,Sheet_NoteList,2,0)</f>
        <v>未分配利润增减变动情况</v>
      </c>
      <c r="E4459" s="2714" t="s">
        <v>2742</v>
      </c>
      <c r="F4459" s="294"/>
      <c r="G4459" s="372" t="str">
        <f>"("&amp;B4459&amp;")"&amp;D4459</f>
        <v>(1)未分配利润增减变动情况</v>
      </c>
      <c r="H4459" s="1515" t="str">
        <f>$A4459</f>
        <v>4200a</v>
      </c>
      <c r="I4459" s="343" t="s">
        <v>2743</v>
      </c>
      <c r="J4459" s="301" t="s">
        <v>2744</v>
      </c>
      <c r="K4459" s="2208">
        <f>H4474</f>
        <v>-158918582.90000001</v>
      </c>
      <c r="L4459" s="345" t="str">
        <f>IF($I4459="适用",IF(ROUND(K4458-K4459,2)=0,"F/S",ROUND(K4458-K4459,2)),"#N/A")</f>
        <v>F/S</v>
      </c>
      <c r="M4459" s="301" t="s">
        <v>2745</v>
      </c>
      <c r="N4459" s="2208">
        <f>I4474</f>
        <v>-145316230.15000001</v>
      </c>
      <c r="O4459" s="345" t="str">
        <f>IF($I4459="适用",IF(ROUND(N4458-N4459,2)=0,"F/S",ROUND(N4458-N4459,2)),"#N/A")</f>
        <v>F/S</v>
      </c>
      <c r="P4459" s="301"/>
      <c r="Q4459" s="290" t="str">
        <f>IF($I4459="不适用","",IF(ROUND(SUM($H$4462:$J$4474),2)=0,"请输入",""))</f>
        <v/>
      </c>
      <c r="S4459" s="364"/>
      <c r="Z4459" s="609" t="s">
        <v>4188</v>
      </c>
      <c r="AA4459" s="609" t="s">
        <v>5700</v>
      </c>
    </row>
    <row r="4460" spans="1:31" ht="0.75" customHeight="1" thickBot="1">
      <c r="A4460" s="2712"/>
      <c r="B4460" s="371"/>
      <c r="C4460" s="371"/>
      <c r="D4460" s="371"/>
      <c r="F4460" s="371"/>
      <c r="G4460" s="371" t="s">
        <v>4189</v>
      </c>
      <c r="H4460" s="371" t="s">
        <v>3472</v>
      </c>
      <c r="I4460" s="371" t="s">
        <v>3473</v>
      </c>
      <c r="J4460" s="476"/>
      <c r="K4460" s="472"/>
      <c r="L4460" s="472"/>
      <c r="M4460" s="472"/>
      <c r="N4460" s="442"/>
      <c r="O4460" s="442"/>
      <c r="P4460" s="442"/>
      <c r="Q4460" s="442"/>
      <c r="R4460" s="443"/>
      <c r="S4460" s="364"/>
      <c r="Z4460" s="609" t="s">
        <v>4188</v>
      </c>
      <c r="AA4460" s="609" t="s">
        <v>5700</v>
      </c>
    </row>
    <row r="4461" spans="1:31" ht="18">
      <c r="A4461" s="2712"/>
      <c r="B4461" s="371"/>
      <c r="C4461" s="371"/>
      <c r="D4461" s="371"/>
      <c r="E4461" s="2714" t="s">
        <v>2749</v>
      </c>
      <c r="F4461" s="294"/>
      <c r="G4461" s="410" t="s">
        <v>47</v>
      </c>
      <c r="H4461" s="1512" t="str">
        <f>$V$4</f>
        <v>2019年度</v>
      </c>
      <c r="I4461" s="1513" t="str">
        <f>$V$5</f>
        <v>2018年度</v>
      </c>
      <c r="J4461" s="355" t="s">
        <v>5323</v>
      </c>
      <c r="K4461" s="472"/>
      <c r="L4461" s="472"/>
      <c r="M4461" s="472"/>
      <c r="N4461" s="442"/>
      <c r="O4461" s="442"/>
      <c r="P4461" s="442"/>
      <c r="Q4461" s="442"/>
      <c r="R4461" s="443"/>
      <c r="S4461" s="364"/>
      <c r="Z4461" s="609" t="s">
        <v>4188</v>
      </c>
      <c r="AA4461" s="609" t="s">
        <v>5700</v>
      </c>
    </row>
    <row r="4462" spans="1:31" ht="18">
      <c r="A4462" s="2712"/>
      <c r="B4462" s="371">
        <v>101</v>
      </c>
      <c r="C4462" s="371"/>
      <c r="D4462" s="2714">
        <f t="shared" ref="D4462:D4474" si="507">IF(OR(G4462="*",G4462="",G4462=0),0,COUNTIF($G$4462:$G$4474,G4462))</f>
        <v>1</v>
      </c>
      <c r="E4462" s="2719">
        <v>1</v>
      </c>
      <c r="F4462" s="294"/>
      <c r="G4462" s="308" t="s">
        <v>4190</v>
      </c>
      <c r="H4462" s="309">
        <f>I4474</f>
        <v>-145316230.15000001</v>
      </c>
      <c r="I4462" s="346">
        <v>-169945946.41999999</v>
      </c>
      <c r="J4462" s="617"/>
      <c r="K4462" s="472"/>
      <c r="L4462" s="472"/>
      <c r="M4462" s="472"/>
      <c r="N4462" s="442"/>
      <c r="O4462" s="442"/>
      <c r="P4462" s="442"/>
      <c r="Q4462" s="442"/>
      <c r="R4462" s="443"/>
      <c r="S4462" s="364"/>
      <c r="Z4462" s="609" t="s">
        <v>4188</v>
      </c>
      <c r="AA4462" s="609" t="s">
        <v>5700</v>
      </c>
    </row>
    <row r="4463" spans="1:31" ht="24">
      <c r="A4463" s="2712"/>
      <c r="B4463" s="371">
        <v>102</v>
      </c>
      <c r="C4463" s="371"/>
      <c r="D4463" s="2714">
        <f t="shared" si="507"/>
        <v>1</v>
      </c>
      <c r="E4463" s="2719">
        <v>1</v>
      </c>
      <c r="F4463" s="294"/>
      <c r="G4463" s="308" t="s">
        <v>4191</v>
      </c>
      <c r="H4463" s="309">
        <f>-AJE!O106</f>
        <v>-54752.29</v>
      </c>
      <c r="I4463" s="346"/>
      <c r="J4463" s="617"/>
      <c r="K4463" s="618"/>
      <c r="L4463" s="472"/>
      <c r="M4463" s="472"/>
      <c r="N4463" s="442"/>
      <c r="O4463" s="442"/>
      <c r="P4463" s="442"/>
      <c r="Q4463" s="442"/>
      <c r="R4463" s="443"/>
      <c r="S4463" s="364"/>
      <c r="Z4463" s="609" t="s">
        <v>4188</v>
      </c>
      <c r="AA4463" s="609" t="s">
        <v>5700</v>
      </c>
    </row>
    <row r="4464" spans="1:31" ht="18">
      <c r="A4464" s="2712"/>
      <c r="B4464" s="371">
        <v>103</v>
      </c>
      <c r="C4464" s="371"/>
      <c r="D4464" s="2714">
        <f t="shared" si="507"/>
        <v>1</v>
      </c>
      <c r="E4464" s="2719">
        <v>0</v>
      </c>
      <c r="F4464" s="294"/>
      <c r="G4464" s="308" t="s">
        <v>4192</v>
      </c>
      <c r="H4464" s="320">
        <f>H4462+H4463</f>
        <v>-145370982.44</v>
      </c>
      <c r="I4464" s="361">
        <v>-169945946.41999999</v>
      </c>
      <c r="J4464" s="617"/>
      <c r="K4464" s="472"/>
      <c r="L4464" s="472"/>
      <c r="M4464" s="472"/>
      <c r="N4464" s="442"/>
      <c r="O4464" s="442"/>
      <c r="P4464" s="442"/>
      <c r="Q4464" s="442"/>
      <c r="R4464" s="443"/>
      <c r="S4464" s="364"/>
      <c r="Z4464" s="609" t="s">
        <v>4188</v>
      </c>
      <c r="AA4464" s="609" t="s">
        <v>5700</v>
      </c>
    </row>
    <row r="4465" spans="1:27" ht="24">
      <c r="A4465" s="2712"/>
      <c r="B4465" s="371">
        <v>104</v>
      </c>
      <c r="C4465" s="371"/>
      <c r="D4465" s="2714">
        <f t="shared" si="507"/>
        <v>1</v>
      </c>
      <c r="E4465" s="2719">
        <v>1</v>
      </c>
      <c r="F4465" s="294"/>
      <c r="G4465" s="308" t="s">
        <v>4193</v>
      </c>
      <c r="H4465" s="309">
        <f>VLOOKUP(6811,Sheet_Trialbal,6,0)</f>
        <v>-13547600.460000001</v>
      </c>
      <c r="I4465" s="346">
        <v>27366351.41</v>
      </c>
      <c r="J4465" s="437"/>
      <c r="K4465" s="472"/>
      <c r="L4465" s="472"/>
      <c r="M4465" s="472"/>
      <c r="N4465" s="442"/>
      <c r="O4465" s="442"/>
      <c r="P4465" s="442"/>
      <c r="Q4465" s="442"/>
      <c r="R4465" s="443"/>
      <c r="S4465" s="364"/>
      <c r="Z4465" s="609" t="s">
        <v>4188</v>
      </c>
      <c r="AA4465" s="609" t="s">
        <v>5700</v>
      </c>
    </row>
    <row r="4466" spans="1:27" ht="18">
      <c r="A4466" s="2712"/>
      <c r="B4466" s="371">
        <v>105</v>
      </c>
      <c r="C4466" s="371" t="s">
        <v>2791</v>
      </c>
      <c r="D4466" s="2714">
        <f t="shared" si="507"/>
        <v>0</v>
      </c>
      <c r="E4466" s="2719">
        <v>1</v>
      </c>
      <c r="F4466" s="294"/>
      <c r="G4466" s="319" t="s">
        <v>2792</v>
      </c>
      <c r="H4466" s="309"/>
      <c r="I4466" s="346"/>
      <c r="J4466" s="437"/>
      <c r="K4466" s="472"/>
      <c r="L4466" s="472"/>
      <c r="M4466" s="472"/>
      <c r="N4466" s="442"/>
      <c r="O4466" s="442"/>
      <c r="P4466" s="442"/>
      <c r="Q4466" s="442"/>
      <c r="R4466" s="443"/>
      <c r="S4466" s="364"/>
      <c r="Z4466" s="609" t="s">
        <v>4188</v>
      </c>
      <c r="AA4466" s="609" t="s">
        <v>5700</v>
      </c>
    </row>
    <row r="4467" spans="1:27" ht="18">
      <c r="A4467" s="2712"/>
      <c r="B4467" s="371">
        <v>106</v>
      </c>
      <c r="C4467" s="371"/>
      <c r="D4467" s="2714">
        <f t="shared" si="507"/>
        <v>1</v>
      </c>
      <c r="E4467" s="2719">
        <v>-1</v>
      </c>
      <c r="F4467" s="294"/>
      <c r="G4467" s="308" t="s">
        <v>4194</v>
      </c>
      <c r="H4467" s="309"/>
      <c r="I4467" s="346">
        <v>2736635.14</v>
      </c>
      <c r="J4467" s="437"/>
      <c r="K4467" s="472"/>
      <c r="L4467" s="472"/>
      <c r="M4467" s="472"/>
      <c r="N4467" s="442"/>
      <c r="O4467" s="442"/>
      <c r="P4467" s="442"/>
      <c r="Q4467" s="442"/>
      <c r="R4467" s="443"/>
      <c r="S4467" s="364"/>
      <c r="Z4467" s="609" t="s">
        <v>4188</v>
      </c>
      <c r="AA4467" s="609" t="s">
        <v>5700</v>
      </c>
    </row>
    <row r="4468" spans="1:27" ht="18">
      <c r="A4468" s="2712"/>
      <c r="B4468" s="371">
        <v>107</v>
      </c>
      <c r="C4468" s="371"/>
      <c r="D4468" s="2714">
        <f t="shared" si="507"/>
        <v>1</v>
      </c>
      <c r="E4468" s="2719">
        <v>-1</v>
      </c>
      <c r="F4468" s="294"/>
      <c r="G4468" s="603" t="s">
        <v>4195</v>
      </c>
      <c r="H4468" s="309"/>
      <c r="I4468" s="346"/>
      <c r="J4468" s="437"/>
      <c r="K4468" s="472"/>
      <c r="L4468" s="472"/>
      <c r="M4468" s="472"/>
      <c r="N4468" s="442"/>
      <c r="O4468" s="442"/>
      <c r="P4468" s="442"/>
      <c r="Q4468" s="442"/>
      <c r="R4468" s="443"/>
      <c r="S4468" s="364"/>
      <c r="Z4468" s="609" t="s">
        <v>4188</v>
      </c>
      <c r="AA4468" s="609" t="s">
        <v>5700</v>
      </c>
    </row>
    <row r="4469" spans="1:27" ht="18">
      <c r="A4469" s="2712"/>
      <c r="B4469" s="371">
        <v>108</v>
      </c>
      <c r="C4469" s="371"/>
      <c r="D4469" s="2714">
        <f t="shared" si="507"/>
        <v>1</v>
      </c>
      <c r="E4469" s="2719">
        <v>-1</v>
      </c>
      <c r="F4469" s="294"/>
      <c r="G4469" s="603" t="s">
        <v>1076</v>
      </c>
      <c r="H4469" s="309"/>
      <c r="I4469" s="346"/>
      <c r="J4469" s="437"/>
      <c r="K4469" s="472"/>
      <c r="L4469" s="472"/>
      <c r="M4469" s="472"/>
      <c r="N4469" s="442"/>
      <c r="O4469" s="442"/>
      <c r="P4469" s="442"/>
      <c r="Q4469" s="442"/>
      <c r="R4469" s="443"/>
      <c r="S4469" s="364"/>
      <c r="Z4469" s="609" t="s">
        <v>4188</v>
      </c>
      <c r="AA4469" s="609" t="s">
        <v>5700</v>
      </c>
    </row>
    <row r="4470" spans="1:27" ht="18">
      <c r="A4470" s="2712"/>
      <c r="B4470" s="371">
        <v>109</v>
      </c>
      <c r="C4470" s="371"/>
      <c r="D4470" s="2714">
        <f t="shared" si="507"/>
        <v>1</v>
      </c>
      <c r="E4470" s="2719">
        <v>-1</v>
      </c>
      <c r="F4470" s="294"/>
      <c r="G4470" s="603" t="s">
        <v>4196</v>
      </c>
      <c r="H4470" s="309"/>
      <c r="I4470" s="346"/>
      <c r="J4470" s="437"/>
      <c r="K4470" s="472"/>
      <c r="L4470" s="472"/>
      <c r="M4470" s="472"/>
      <c r="N4470" s="442"/>
      <c r="O4470" s="442"/>
      <c r="P4470" s="442"/>
      <c r="Q4470" s="442"/>
      <c r="R4470" s="443"/>
      <c r="S4470" s="364"/>
      <c r="Z4470" s="609" t="s">
        <v>4188</v>
      </c>
      <c r="AA4470" s="609" t="s">
        <v>5700</v>
      </c>
    </row>
    <row r="4471" spans="1:27" ht="18">
      <c r="A4471" s="2712"/>
      <c r="B4471" s="371">
        <v>110</v>
      </c>
      <c r="C4471" s="371"/>
      <c r="D4471" s="2714">
        <f t="shared" si="507"/>
        <v>1</v>
      </c>
      <c r="E4471" s="2719">
        <v>-1</v>
      </c>
      <c r="F4471" s="294"/>
      <c r="G4471" s="603" t="s">
        <v>4197</v>
      </c>
      <c r="H4471" s="309"/>
      <c r="I4471" s="346"/>
      <c r="J4471" s="437"/>
      <c r="K4471" s="472"/>
      <c r="L4471" s="472"/>
      <c r="M4471" s="472"/>
      <c r="N4471" s="442"/>
      <c r="O4471" s="442"/>
      <c r="P4471" s="442"/>
      <c r="Q4471" s="442"/>
      <c r="R4471" s="443"/>
      <c r="S4471" s="364"/>
      <c r="Z4471" s="609" t="s">
        <v>4188</v>
      </c>
      <c r="AA4471" s="609" t="s">
        <v>5700</v>
      </c>
    </row>
    <row r="4472" spans="1:27" ht="18">
      <c r="A4472" s="2712"/>
      <c r="B4472" s="371">
        <v>111</v>
      </c>
      <c r="C4472" s="371" t="s">
        <v>2791</v>
      </c>
      <c r="D4472" s="2714">
        <f t="shared" si="507"/>
        <v>0</v>
      </c>
      <c r="E4472" s="2719">
        <v>-1</v>
      </c>
      <c r="F4472" s="294"/>
      <c r="G4472" s="578" t="s">
        <v>2792</v>
      </c>
      <c r="H4472" s="309"/>
      <c r="I4472" s="346"/>
      <c r="J4472" s="437"/>
      <c r="K4472" s="472"/>
      <c r="L4472" s="472"/>
      <c r="M4472" s="472"/>
      <c r="N4472" s="442"/>
      <c r="O4472" s="442"/>
      <c r="P4472" s="442"/>
      <c r="Q4472" s="442"/>
      <c r="R4472" s="443"/>
      <c r="S4472" s="364"/>
      <c r="Z4472" s="609" t="s">
        <v>4188</v>
      </c>
      <c r="AA4472" s="609" t="s">
        <v>5700</v>
      </c>
    </row>
    <row r="4473" spans="1:27" ht="18">
      <c r="A4473" s="2712"/>
      <c r="B4473" s="371">
        <v>112</v>
      </c>
      <c r="C4473" s="371" t="s">
        <v>2791</v>
      </c>
      <c r="D4473" s="2714">
        <f t="shared" si="507"/>
        <v>0</v>
      </c>
      <c r="E4473" s="2719">
        <v>-1</v>
      </c>
      <c r="F4473" s="294"/>
      <c r="G4473" s="578" t="s">
        <v>2792</v>
      </c>
      <c r="H4473" s="309"/>
      <c r="I4473" s="346"/>
      <c r="J4473" s="437"/>
      <c r="K4473" s="472"/>
      <c r="L4473" s="472"/>
      <c r="M4473" s="472"/>
      <c r="N4473" s="442"/>
      <c r="O4473" s="442"/>
      <c r="P4473" s="442"/>
      <c r="Q4473" s="442"/>
      <c r="R4473" s="443"/>
      <c r="S4473" s="364"/>
      <c r="Z4473" s="609" t="s">
        <v>4188</v>
      </c>
      <c r="AA4473" s="609" t="s">
        <v>5700</v>
      </c>
    </row>
    <row r="4474" spans="1:27" ht="18.75" thickBot="1">
      <c r="A4474" s="2712"/>
      <c r="B4474" s="371"/>
      <c r="C4474" s="371"/>
      <c r="D4474" s="2714">
        <f t="shared" si="507"/>
        <v>1</v>
      </c>
      <c r="E4474" s="2719" t="s">
        <v>2751</v>
      </c>
      <c r="F4474" s="294"/>
      <c r="G4474" s="374" t="s">
        <v>4198</v>
      </c>
      <c r="H4474" s="375">
        <f>SUMPRODUCT($E4461:$E4473,H4461:H4473)</f>
        <v>-158918582.90000001</v>
      </c>
      <c r="I4474" s="395">
        <f>SUMPRODUCT($E4461:$E4473,I4461:I4473)</f>
        <v>-145316230.15000001</v>
      </c>
      <c r="J4474" s="437"/>
      <c r="K4474" s="472"/>
      <c r="L4474" s="472"/>
      <c r="M4474" s="472"/>
      <c r="N4474" s="442"/>
      <c r="O4474" s="442"/>
      <c r="P4474" s="442"/>
      <c r="Q4474" s="442"/>
      <c r="R4474" s="443"/>
      <c r="S4474" s="364"/>
      <c r="Z4474" s="609" t="s">
        <v>4188</v>
      </c>
      <c r="AA4474" s="609" t="s">
        <v>5700</v>
      </c>
    </row>
    <row r="4475" spans="1:27" ht="18">
      <c r="A4475" s="2712"/>
      <c r="B4475" s="371">
        <v>901</v>
      </c>
      <c r="C4475" s="371" t="s">
        <v>2755</v>
      </c>
      <c r="D4475" s="371"/>
      <c r="F4475" s="294"/>
      <c r="G4475" s="557"/>
      <c r="H4475" s="315"/>
      <c r="I4475" s="315"/>
      <c r="J4475" s="437"/>
      <c r="K4475" s="472"/>
      <c r="L4475" s="472"/>
      <c r="M4475" s="472"/>
      <c r="N4475" s="442"/>
      <c r="O4475" s="442"/>
      <c r="P4475" s="442"/>
      <c r="Q4475" s="442"/>
      <c r="R4475" s="443"/>
      <c r="S4475" s="364"/>
      <c r="Z4475" s="609" t="s">
        <v>4188</v>
      </c>
      <c r="AA4475" s="609" t="s">
        <v>5700</v>
      </c>
    </row>
    <row r="4476" spans="1:27" ht="24">
      <c r="A4476" s="2712" t="s">
        <v>1824</v>
      </c>
      <c r="B4476" s="371">
        <v>2</v>
      </c>
      <c r="C4476" s="371"/>
      <c r="D4476" s="2714" t="str">
        <f>VLOOKUP($A4476,Sheet_NoteList,2,0)</f>
        <v>调整本期期初未分配利润明细情况</v>
      </c>
      <c r="E4476" s="2714" t="s">
        <v>6529</v>
      </c>
      <c r="F4476" s="294"/>
      <c r="G4476" s="372" t="str">
        <f>"("&amp;B4476&amp;")"&amp;D4476</f>
        <v>(2)调整本期期初未分配利润明细情况</v>
      </c>
      <c r="H4476" s="1515" t="str">
        <f>$A4476</f>
        <v>4200b</v>
      </c>
      <c r="I4476" s="343" t="s">
        <v>5978</v>
      </c>
      <c r="J4476" s="301" t="s">
        <v>5977</v>
      </c>
      <c r="K4476" s="2208">
        <f>H4485</f>
        <v>0</v>
      </c>
      <c r="L4476" s="345"/>
      <c r="M4476" s="301"/>
      <c r="N4476" s="3083"/>
      <c r="O4476" s="315"/>
      <c r="P4476" s="301"/>
      <c r="S4476" s="364"/>
      <c r="Z4476" s="609" t="s">
        <v>4188</v>
      </c>
      <c r="AA4476" s="609" t="s">
        <v>5700</v>
      </c>
    </row>
    <row r="4477" spans="1:27" ht="0.75" customHeight="1" thickBot="1">
      <c r="A4477" s="2712"/>
      <c r="B4477" s="371"/>
      <c r="C4477" s="371"/>
      <c r="D4477" s="371"/>
      <c r="E4477" s="586"/>
      <c r="F4477" s="363"/>
      <c r="G4477" s="363" t="s">
        <v>4199</v>
      </c>
      <c r="H4477" s="294" t="s">
        <v>4200</v>
      </c>
      <c r="I4477" s="291"/>
      <c r="J4477" s="291"/>
      <c r="K4477" s="291"/>
      <c r="L4477" s="291"/>
      <c r="S4477" s="364"/>
      <c r="Z4477" s="609" t="s">
        <v>4188</v>
      </c>
      <c r="AA4477" s="609" t="s">
        <v>5700</v>
      </c>
    </row>
    <row r="4478" spans="1:27" ht="24">
      <c r="A4478" s="2712"/>
      <c r="B4478" s="371"/>
      <c r="C4478" s="371"/>
      <c r="D4478" s="371"/>
      <c r="E4478" s="586" t="s">
        <v>2749</v>
      </c>
      <c r="F4478" s="363"/>
      <c r="G4478" s="2433" t="s">
        <v>1826</v>
      </c>
      <c r="H4478" s="2434" t="s">
        <v>4201</v>
      </c>
      <c r="I4478" s="355" t="s">
        <v>6139</v>
      </c>
      <c r="J4478" s="291"/>
      <c r="K4478" s="291"/>
      <c r="L4478" s="291"/>
      <c r="S4478" s="364"/>
      <c r="Z4478" s="609" t="s">
        <v>4188</v>
      </c>
      <c r="AA4478" s="609" t="s">
        <v>5700</v>
      </c>
    </row>
    <row r="4479" spans="1:27" ht="24">
      <c r="A4479" s="2712"/>
      <c r="B4479" s="371">
        <v>101</v>
      </c>
      <c r="C4479" s="371"/>
      <c r="D4479" s="2714">
        <f t="shared" ref="D4479:D4485" si="508">IF(OR(G4479="*",G4479="",G4479=0),0,COUNTIF($G$4479:$G$4485,G4479))</f>
        <v>1</v>
      </c>
      <c r="E4479" s="2719">
        <v>1</v>
      </c>
      <c r="F4479" s="294"/>
      <c r="G4479" s="1472" t="s">
        <v>4202</v>
      </c>
      <c r="H4479" s="2294"/>
      <c r="I4479" s="291"/>
      <c r="J4479" s="291"/>
      <c r="K4479" s="291"/>
      <c r="L4479" s="291"/>
      <c r="S4479" s="364"/>
      <c r="Z4479" s="609" t="s">
        <v>4188</v>
      </c>
      <c r="AA4479" s="609" t="s">
        <v>5700</v>
      </c>
    </row>
    <row r="4480" spans="1:27" ht="18">
      <c r="A4480" s="2712"/>
      <c r="B4480" s="371">
        <v>102</v>
      </c>
      <c r="C4480" s="371"/>
      <c r="D4480" s="2714">
        <f t="shared" si="508"/>
        <v>1</v>
      </c>
      <c r="E4480" s="2719">
        <v>1</v>
      </c>
      <c r="F4480" s="294"/>
      <c r="G4480" s="1472" t="s">
        <v>2918</v>
      </c>
      <c r="H4480" s="2294"/>
      <c r="I4480" s="291"/>
      <c r="J4480" s="291"/>
      <c r="K4480" s="291"/>
      <c r="L4480" s="291"/>
      <c r="S4480" s="364"/>
      <c r="Z4480" s="609" t="s">
        <v>4188</v>
      </c>
      <c r="AA4480" s="609" t="s">
        <v>5700</v>
      </c>
    </row>
    <row r="4481" spans="1:27" ht="18">
      <c r="A4481" s="2712"/>
      <c r="B4481" s="371">
        <v>103</v>
      </c>
      <c r="C4481" s="371"/>
      <c r="D4481" s="2714">
        <f t="shared" si="508"/>
        <v>1</v>
      </c>
      <c r="E4481" s="2719">
        <v>1</v>
      </c>
      <c r="F4481" s="294"/>
      <c r="G4481" s="1472" t="s">
        <v>4203</v>
      </c>
      <c r="H4481" s="2294"/>
      <c r="I4481" s="291"/>
      <c r="J4481" s="291"/>
      <c r="K4481" s="291"/>
      <c r="L4481" s="291"/>
      <c r="S4481" s="364"/>
      <c r="Z4481" s="609" t="s">
        <v>4188</v>
      </c>
      <c r="AA4481" s="609" t="s">
        <v>5700</v>
      </c>
    </row>
    <row r="4482" spans="1:27" ht="18">
      <c r="A4482" s="2712"/>
      <c r="B4482" s="371">
        <v>104</v>
      </c>
      <c r="C4482" s="371"/>
      <c r="D4482" s="2714">
        <f t="shared" si="508"/>
        <v>1</v>
      </c>
      <c r="E4482" s="2719">
        <v>1</v>
      </c>
      <c r="F4482" s="294"/>
      <c r="G4482" s="1472" t="s">
        <v>4204</v>
      </c>
      <c r="H4482" s="2294"/>
      <c r="I4482" s="291"/>
      <c r="J4482" s="291"/>
      <c r="K4482" s="291"/>
      <c r="L4482" s="291"/>
      <c r="S4482" s="364"/>
      <c r="Z4482" s="609" t="s">
        <v>4188</v>
      </c>
      <c r="AA4482" s="609" t="s">
        <v>5700</v>
      </c>
    </row>
    <row r="4483" spans="1:27" ht="18">
      <c r="A4483" s="2712"/>
      <c r="B4483" s="371">
        <v>105</v>
      </c>
      <c r="C4483" s="371"/>
      <c r="D4483" s="2714">
        <f t="shared" si="508"/>
        <v>1</v>
      </c>
      <c r="E4483" s="2719">
        <v>1</v>
      </c>
      <c r="F4483" s="294"/>
      <c r="G4483" s="1472" t="s">
        <v>6086</v>
      </c>
      <c r="H4483" s="2294"/>
      <c r="I4483" s="291"/>
      <c r="J4483" s="291"/>
      <c r="K4483" s="291"/>
      <c r="L4483" s="291"/>
      <c r="S4483" s="364"/>
      <c r="Z4483" s="609" t="s">
        <v>4188</v>
      </c>
      <c r="AA4483" s="609" t="s">
        <v>5700</v>
      </c>
    </row>
    <row r="4484" spans="1:27" ht="18">
      <c r="A4484" s="2712"/>
      <c r="B4484" s="371">
        <v>106</v>
      </c>
      <c r="C4484" s="371" t="s">
        <v>2791</v>
      </c>
      <c r="D4484" s="2714">
        <f t="shared" si="508"/>
        <v>0</v>
      </c>
      <c r="E4484" s="2719">
        <v>1</v>
      </c>
      <c r="F4484" s="294"/>
      <c r="G4484" s="2435" t="s">
        <v>2792</v>
      </c>
      <c r="H4484" s="2294"/>
      <c r="I4484" s="291"/>
      <c r="J4484" s="291"/>
      <c r="K4484" s="291"/>
      <c r="L4484" s="291"/>
      <c r="S4484" s="364"/>
      <c r="Z4484" s="609" t="s">
        <v>4188</v>
      </c>
      <c r="AA4484" s="609" t="s">
        <v>5700</v>
      </c>
    </row>
    <row r="4485" spans="1:27" ht="18.75" thickBot="1">
      <c r="A4485" s="2712"/>
      <c r="B4485" s="371"/>
      <c r="C4485" s="371"/>
      <c r="D4485" s="2714">
        <f t="shared" si="508"/>
        <v>1</v>
      </c>
      <c r="E4485" s="2719" t="s">
        <v>2751</v>
      </c>
      <c r="F4485" s="294"/>
      <c r="G4485" s="1527" t="s">
        <v>2752</v>
      </c>
      <c r="H4485" s="1526">
        <f>SUMPRODUCT($E4478:$E4484,H4478:H4484)</f>
        <v>0</v>
      </c>
      <c r="I4485" s="291"/>
      <c r="J4485" s="291"/>
      <c r="K4485" s="291"/>
      <c r="L4485" s="291"/>
      <c r="S4485" s="364"/>
      <c r="Z4485" s="609" t="s">
        <v>4188</v>
      </c>
      <c r="AA4485" s="609" t="s">
        <v>5700</v>
      </c>
    </row>
    <row r="4486" spans="1:27" ht="18">
      <c r="A4486" s="2712"/>
      <c r="B4486" s="371"/>
      <c r="C4486" s="371" t="s">
        <v>2755</v>
      </c>
      <c r="D4486" s="371"/>
      <c r="F4486" s="294"/>
      <c r="G4486" s="301"/>
      <c r="H4486" s="315"/>
      <c r="I4486" s="291"/>
      <c r="J4486" s="291"/>
      <c r="K4486" s="291"/>
      <c r="L4486" s="291"/>
      <c r="S4486" s="364"/>
      <c r="Z4486" s="609" t="s">
        <v>4188</v>
      </c>
      <c r="AA4486" s="609" t="s">
        <v>5700</v>
      </c>
    </row>
    <row r="4487" spans="1:27" ht="18">
      <c r="A4487" s="2712">
        <v>6064</v>
      </c>
      <c r="B4487" s="371">
        <v>61</v>
      </c>
      <c r="C4487" s="2714" t="str">
        <f>VLOOKUP($A4487,Sheet_Items,2,0)</f>
        <v>营业收入、营业成本</v>
      </c>
      <c r="D4487" s="371"/>
      <c r="E4487" s="2714" t="s">
        <v>2739</v>
      </c>
      <c r="F4487" s="294"/>
      <c r="G4487" s="305" t="str">
        <f>B4487&amp;" "&amp;C4487</f>
        <v>61 营业收入、营业成本</v>
      </c>
      <c r="H4487" s="306"/>
      <c r="I4487" s="306"/>
      <c r="J4487" s="306"/>
      <c r="K4487" s="539"/>
      <c r="L4487" s="342"/>
      <c r="M4487" s="306"/>
      <c r="N4487" s="539"/>
      <c r="O4487" s="306"/>
      <c r="P4487" s="301"/>
      <c r="S4487" s="364"/>
      <c r="Z4487" s="609" t="s">
        <v>4205</v>
      </c>
      <c r="AA4487" s="609"/>
    </row>
    <row r="4488" spans="1:27" ht="18">
      <c r="A4488" s="2712">
        <v>6001</v>
      </c>
      <c r="B4488" s="371">
        <v>61.1</v>
      </c>
      <c r="C4488" s="2714" t="str">
        <f>VLOOKUP($A4488,Sheet_Items,2,0)</f>
        <v>营业收入</v>
      </c>
      <c r="D4488" s="371"/>
      <c r="F4488" s="294"/>
      <c r="G4488" s="589" t="str">
        <f>B4488&amp;" "&amp;C4488</f>
        <v>61.1 营业收入</v>
      </c>
      <c r="H4488" s="290"/>
      <c r="I4488" s="290"/>
      <c r="J4488" s="540" t="s">
        <v>4206</v>
      </c>
      <c r="K4488" s="341">
        <f>VLOOKUP($A4488,Sheet_Trialbal,6,0)</f>
        <v>231319311.91</v>
      </c>
      <c r="L4488" s="541"/>
      <c r="M4488" s="540" t="s">
        <v>4207</v>
      </c>
      <c r="N4488" s="341">
        <f>VLOOKUP($A4488,Sheet_Trialbal,10,0)</f>
        <v>339876355.07999998</v>
      </c>
      <c r="O4488" s="542"/>
      <c r="S4488" s="364"/>
      <c r="Z4488" s="609" t="s">
        <v>4208</v>
      </c>
      <c r="AA4488" s="609" t="s">
        <v>4212</v>
      </c>
    </row>
    <row r="4489" spans="1:27" ht="18">
      <c r="A4489" s="2712">
        <v>6401</v>
      </c>
      <c r="B4489" s="371">
        <v>61.2</v>
      </c>
      <c r="C4489" s="2714" t="str">
        <f>VLOOKUP($A4489,Sheet_Items,2,0)</f>
        <v>营业成本</v>
      </c>
      <c r="D4489" s="371"/>
      <c r="F4489" s="294"/>
      <c r="G4489" s="589" t="str">
        <f>B4489&amp;" "&amp;C4489</f>
        <v>61.2 营业成本</v>
      </c>
      <c r="H4489" s="290"/>
      <c r="I4489" s="290"/>
      <c r="J4489" s="540" t="s">
        <v>4206</v>
      </c>
      <c r="K4489" s="341">
        <f>VLOOKUP($A4489,Sheet_Trialbal,6,0)</f>
        <v>197062457.09</v>
      </c>
      <c r="L4489" s="541"/>
      <c r="M4489" s="540" t="s">
        <v>4207</v>
      </c>
      <c r="N4489" s="341">
        <f>VLOOKUP($A4489,Sheet_Trialbal,10,0)</f>
        <v>239939923.65000001</v>
      </c>
      <c r="O4489" s="540"/>
      <c r="S4489" s="364"/>
      <c r="Z4489" s="609" t="s">
        <v>4209</v>
      </c>
      <c r="AA4489" s="609" t="s">
        <v>5701</v>
      </c>
    </row>
    <row r="4490" spans="1:27" ht="24">
      <c r="A4490" s="2712" t="s">
        <v>1844</v>
      </c>
      <c r="B4490" s="371">
        <v>1</v>
      </c>
      <c r="C4490" s="371"/>
      <c r="D4490" s="2714" t="str">
        <f>VLOOKUP($A4490,Sheet_NoteList,2,0)</f>
        <v>营业收入及营业成本明细列示</v>
      </c>
      <c r="E4490" s="2714" t="s">
        <v>2742</v>
      </c>
      <c r="F4490" s="293"/>
      <c r="G4490" s="372" t="str">
        <f>"("&amp;B4490&amp;")"&amp;D4490</f>
        <v>(1)营业收入及营业成本明细列示</v>
      </c>
      <c r="H4490" s="1515" t="str">
        <f>$A4490</f>
        <v>6064h</v>
      </c>
      <c r="I4490" s="343" t="s">
        <v>2743</v>
      </c>
      <c r="J4490" s="301" t="s">
        <v>4210</v>
      </c>
      <c r="K4490" s="2208">
        <f>H4498</f>
        <v>231319311.91</v>
      </c>
      <c r="L4490" s="349">
        <f>IF($I4490="适用",IF(ROUND(K$4487-K4490,2)=0,"F/S",ROUND(K$4487-K4490,2)),"#N/A")</f>
        <v>-231319311.91</v>
      </c>
      <c r="M4490" s="301" t="s">
        <v>4211</v>
      </c>
      <c r="N4490" s="2208">
        <f>I4498</f>
        <v>187451530.16999999</v>
      </c>
      <c r="O4490" s="349">
        <f>IF($I4490="适用",IF(ROUND(N$4487-N4490,2)=0,"F/S",ROUND(N$4487-N4490,2)),"#N/A")</f>
        <v>-187451530.16999999</v>
      </c>
      <c r="P4490" s="301"/>
      <c r="S4490" s="364"/>
      <c r="Z4490" s="609" t="s">
        <v>4205</v>
      </c>
      <c r="AA4490" s="609" t="s">
        <v>4212</v>
      </c>
    </row>
    <row r="4491" spans="1:27" ht="0.75" customHeight="1">
      <c r="A4491" s="2712"/>
      <c r="B4491" s="371"/>
      <c r="C4491" s="371"/>
      <c r="D4491" s="2714"/>
      <c r="E4491" s="586"/>
      <c r="F4491" s="586"/>
      <c r="G4491" s="2222" t="s">
        <v>4213</v>
      </c>
      <c r="H4491" s="371" t="s">
        <v>2747</v>
      </c>
      <c r="I4491" s="371" t="s">
        <v>2748</v>
      </c>
      <c r="J4491" s="371" t="s">
        <v>2948</v>
      </c>
      <c r="K4491" s="547" t="s">
        <v>3034</v>
      </c>
      <c r="L4491" s="428"/>
      <c r="M4491" s="433"/>
      <c r="N4491" s="428"/>
      <c r="O4491" s="428"/>
      <c r="P4491" s="433"/>
      <c r="Q4491" s="442"/>
      <c r="R4491" s="443"/>
      <c r="S4491" s="364"/>
      <c r="Z4491" s="609" t="s">
        <v>4205</v>
      </c>
      <c r="AA4491" s="609" t="s">
        <v>4212</v>
      </c>
    </row>
    <row r="4492" spans="1:27" ht="0.75" customHeight="1" thickBot="1">
      <c r="A4492" s="2712"/>
      <c r="B4492" s="371"/>
      <c r="C4492" s="371"/>
      <c r="D4492" s="2714"/>
      <c r="E4492" s="586"/>
      <c r="F4492" s="586"/>
      <c r="G4492" s="2222"/>
      <c r="H4492" s="371" t="s">
        <v>4214</v>
      </c>
      <c r="I4492" s="371" t="s">
        <v>4215</v>
      </c>
      <c r="J4492" s="371" t="s">
        <v>4216</v>
      </c>
      <c r="K4492" s="547" t="s">
        <v>4217</v>
      </c>
      <c r="L4492" s="428"/>
      <c r="M4492" s="433"/>
      <c r="N4492" s="428"/>
      <c r="O4492" s="428"/>
      <c r="P4492" s="433"/>
      <c r="Q4492" s="442"/>
      <c r="R4492" s="443"/>
      <c r="S4492" s="364"/>
      <c r="Z4492" s="609" t="s">
        <v>4205</v>
      </c>
      <c r="AA4492" s="609" t="s">
        <v>4212</v>
      </c>
    </row>
    <row r="4493" spans="1:27" ht="18" customHeight="1">
      <c r="A4493" s="2712"/>
      <c r="B4493" s="371"/>
      <c r="C4493" s="371"/>
      <c r="D4493" s="2714"/>
      <c r="E4493" s="586" t="s">
        <v>2749</v>
      </c>
      <c r="F4493" s="414"/>
      <c r="G4493" s="3487" t="s">
        <v>2870</v>
      </c>
      <c r="H4493" s="3519" t="str">
        <f>$V$4</f>
        <v>2019年度</v>
      </c>
      <c r="I4493" s="3544"/>
      <c r="J4493" s="3519" t="str">
        <f>$V$5</f>
        <v>2018年度</v>
      </c>
      <c r="K4493" s="3545"/>
      <c r="L4493" s="355" t="s">
        <v>5324</v>
      </c>
      <c r="M4493" s="433"/>
      <c r="N4493" s="428"/>
      <c r="O4493" s="428"/>
      <c r="P4493" s="433"/>
      <c r="Q4493" s="442"/>
      <c r="R4493" s="443"/>
      <c r="S4493" s="364"/>
      <c r="Z4493" s="609" t="s">
        <v>4205</v>
      </c>
      <c r="AA4493" s="609" t="s">
        <v>4212</v>
      </c>
    </row>
    <row r="4494" spans="1:27" ht="18">
      <c r="A4494" s="2712"/>
      <c r="B4494" s="371"/>
      <c r="C4494" s="371"/>
      <c r="D4494" s="2714"/>
      <c r="E4494" s="586" t="s">
        <v>2749</v>
      </c>
      <c r="F4494" s="414"/>
      <c r="G4494" s="3488"/>
      <c r="H4494" s="2469" t="s">
        <v>4218</v>
      </c>
      <c r="I4494" s="2469" t="s">
        <v>3411</v>
      </c>
      <c r="J4494" s="2469" t="s">
        <v>4218</v>
      </c>
      <c r="K4494" s="2470" t="s">
        <v>3411</v>
      </c>
      <c r="L4494" s="434"/>
      <c r="M4494" s="435"/>
      <c r="N4494" s="434"/>
      <c r="O4494" s="434"/>
      <c r="P4494" s="435"/>
      <c r="Q4494" s="442"/>
      <c r="R4494" s="443"/>
      <c r="S4494" s="364"/>
      <c r="Z4494" s="609" t="s">
        <v>4205</v>
      </c>
      <c r="AA4494" s="609" t="s">
        <v>4212</v>
      </c>
    </row>
    <row r="4495" spans="1:27" ht="18">
      <c r="A4495" s="2712"/>
      <c r="B4495" s="371">
        <v>101</v>
      </c>
      <c r="C4495" s="371"/>
      <c r="D4495" s="2714">
        <f>IF(OR(G4495="*",G4495="",G4495=0),0,COUNTIF($G$4495:$G$4498,G4495))</f>
        <v>1</v>
      </c>
      <c r="E4495" s="2719">
        <v>1</v>
      </c>
      <c r="F4495" s="293"/>
      <c r="G4495" s="1472" t="s">
        <v>4219</v>
      </c>
      <c r="H4495" s="1474">
        <f>H4504</f>
        <v>231193100.56999999</v>
      </c>
      <c r="I4495" s="1474">
        <f>186404331.54+AJE!O217+AJE!O218</f>
        <v>187409931.53999999</v>
      </c>
      <c r="J4495" s="1474">
        <f>I4504</f>
        <v>339814475.76999998</v>
      </c>
      <c r="K4495" s="1475">
        <v>239764777.99000001</v>
      </c>
      <c r="L4495" s="355" t="s">
        <v>5357</v>
      </c>
      <c r="M4495" s="438"/>
      <c r="N4495" s="439"/>
      <c r="O4495" s="437"/>
      <c r="P4495" s="438"/>
      <c r="Q4495" s="442"/>
      <c r="R4495" s="443"/>
      <c r="S4495" s="364"/>
      <c r="Z4495" s="609" t="s">
        <v>4205</v>
      </c>
      <c r="AA4495" s="609" t="s">
        <v>4212</v>
      </c>
    </row>
    <row r="4496" spans="1:27" ht="18">
      <c r="A4496" s="2712"/>
      <c r="B4496" s="371">
        <v>102</v>
      </c>
      <c r="C4496" s="371"/>
      <c r="D4496" s="2714">
        <f>IF(OR(G4496="*",G4496="",G4496=0),0,COUNTIF($G$4495:$G$4498,G4496))</f>
        <v>1</v>
      </c>
      <c r="E4496" s="2719">
        <v>1</v>
      </c>
      <c r="F4496" s="293"/>
      <c r="G4496" s="1472" t="s">
        <v>4220</v>
      </c>
      <c r="H4496" s="1474">
        <f>H4505</f>
        <v>126211.34</v>
      </c>
      <c r="I4496" s="1474">
        <v>41598.629999999997</v>
      </c>
      <c r="J4496" s="1474">
        <f>I4505</f>
        <v>61879.31</v>
      </c>
      <c r="K4496" s="1475">
        <v>175145.66</v>
      </c>
      <c r="L4496" s="355" t="s">
        <v>5357</v>
      </c>
      <c r="M4496" s="438"/>
      <c r="N4496" s="439"/>
      <c r="O4496" s="437"/>
      <c r="P4496" s="438"/>
      <c r="Q4496" s="442"/>
      <c r="R4496" s="443"/>
      <c r="S4496" s="364"/>
      <c r="Z4496" s="609" t="s">
        <v>4205</v>
      </c>
      <c r="AA4496" s="609" t="s">
        <v>4212</v>
      </c>
    </row>
    <row r="4497" spans="1:29" ht="18">
      <c r="A4497" s="2712"/>
      <c r="B4497" s="371">
        <v>103</v>
      </c>
      <c r="C4497" s="371" t="s">
        <v>2791</v>
      </c>
      <c r="D4497" s="2714">
        <f>IF(OR(G4497="*",G4497="",G4497=0),0,COUNTIF($G$4495:$G$4498,G4497))</f>
        <v>0</v>
      </c>
      <c r="E4497" s="2719">
        <v>1</v>
      </c>
      <c r="F4497" s="293"/>
      <c r="G4497" s="2446" t="s">
        <v>2792</v>
      </c>
      <c r="H4497" s="2273"/>
      <c r="I4497" s="2273"/>
      <c r="J4497" s="2273"/>
      <c r="K4497" s="2294"/>
      <c r="L4497" s="437"/>
      <c r="M4497" s="438"/>
      <c r="N4497" s="439"/>
      <c r="O4497" s="437"/>
      <c r="P4497" s="438"/>
      <c r="Q4497" s="442"/>
      <c r="R4497" s="443"/>
      <c r="S4497" s="364"/>
      <c r="Z4497" s="609" t="s">
        <v>4205</v>
      </c>
      <c r="AA4497" s="609" t="s">
        <v>4212</v>
      </c>
    </row>
    <row r="4498" spans="1:29" ht="18.75" thickBot="1">
      <c r="A4498" s="2712"/>
      <c r="B4498" s="371"/>
      <c r="C4498" s="371"/>
      <c r="D4498" s="2714">
        <f>IF(OR(G4498="*",G4498="",G4498=0),0,COUNTIF($G$4495:$G$4498,G4498))</f>
        <v>1</v>
      </c>
      <c r="E4498" s="2719" t="s">
        <v>2751</v>
      </c>
      <c r="F4498" s="293"/>
      <c r="G4498" s="374" t="s">
        <v>2752</v>
      </c>
      <c r="H4498" s="1476">
        <f>SUMPRODUCT($E4494:$E4497,H4494:H4497)</f>
        <v>231319311.91</v>
      </c>
      <c r="I4498" s="1476">
        <f>SUMPRODUCT($E4494:$E4497,I4494:I4497)</f>
        <v>187451530.16999999</v>
      </c>
      <c r="J4498" s="1476">
        <f>SUMPRODUCT($E4494:$E4497,J4494:J4497)</f>
        <v>339876355.07999998</v>
      </c>
      <c r="K4498" s="1477">
        <f>SUMPRODUCT($E4494:$E4497,K4494:K4497)</f>
        <v>239939923.65000001</v>
      </c>
      <c r="L4498" s="437"/>
      <c r="M4498" s="440"/>
      <c r="N4498" s="439"/>
      <c r="O4498" s="437"/>
      <c r="P4498" s="440"/>
      <c r="Q4498" s="442"/>
      <c r="R4498" s="443"/>
      <c r="S4498" s="364"/>
      <c r="Z4498" s="609" t="s">
        <v>4205</v>
      </c>
      <c r="AA4498" s="609" t="s">
        <v>4212</v>
      </c>
    </row>
    <row r="4499" spans="1:29" ht="18">
      <c r="A4499" s="2712"/>
      <c r="B4499" s="371"/>
      <c r="C4499" s="371" t="s">
        <v>2755</v>
      </c>
      <c r="D4499" s="2714"/>
      <c r="F4499" s="293"/>
      <c r="G4499" s="376"/>
      <c r="H4499" s="315"/>
      <c r="I4499" s="396"/>
      <c r="J4499" s="315"/>
      <c r="K4499" s="423"/>
      <c r="L4499" s="427"/>
      <c r="M4499" s="425"/>
      <c r="N4499" s="426"/>
      <c r="O4499" s="427"/>
      <c r="P4499" s="425"/>
      <c r="Q4499" s="442"/>
      <c r="R4499" s="443"/>
      <c r="S4499" s="364"/>
      <c r="Z4499" s="609" t="s">
        <v>4205</v>
      </c>
      <c r="AA4499" s="609" t="s">
        <v>4212</v>
      </c>
    </row>
    <row r="4500" spans="1:29" ht="18">
      <c r="A4500" s="2712" t="s">
        <v>1848</v>
      </c>
      <c r="B4500" s="371">
        <v>2</v>
      </c>
      <c r="C4500" s="371"/>
      <c r="D4500" s="2714" t="str">
        <f>VLOOKUP($A4500,Sheet_NoteList,2,0)</f>
        <v>营业收入明细项目</v>
      </c>
      <c r="E4500" s="2714" t="s">
        <v>2742</v>
      </c>
      <c r="F4500" s="294"/>
      <c r="G4500" s="307" t="str">
        <f>"("&amp;B4500&amp;")"&amp;D4500</f>
        <v>(2)营业收入明细项目</v>
      </c>
      <c r="H4500" s="1515" t="str">
        <f>$A4500</f>
        <v>6064a</v>
      </c>
      <c r="I4500" s="343" t="s">
        <v>2743</v>
      </c>
      <c r="J4500" s="301" t="s">
        <v>4210</v>
      </c>
      <c r="K4500" s="2208">
        <f>H4507</f>
        <v>231319311.91</v>
      </c>
      <c r="L4500" s="345" t="str">
        <f>IF($I4500="适用",IF(ROUND(K$4488-K4500,2)=0,"F/S",ROUND(K$4488-K4500,2)),"#N/A")</f>
        <v>F/S</v>
      </c>
      <c r="M4500" s="301" t="s">
        <v>4211</v>
      </c>
      <c r="N4500" s="2208">
        <f>I4507</f>
        <v>339876355.07999998</v>
      </c>
      <c r="O4500" s="345" t="str">
        <f>IF($I4500="适用",IF(ROUND(N$4488-N4500,2)=0,"F/S",ROUND(N$4488-N4500,2)),"#N/A")</f>
        <v>F/S</v>
      </c>
      <c r="P4500" s="301"/>
      <c r="Q4500" s="290" t="str">
        <f>IF($I4500="不适用","",IF(ROUND(SUM($H$4503:$I$4507),2)=0,"请输入",""))</f>
        <v/>
      </c>
      <c r="S4500" s="364"/>
      <c r="Z4500" s="609" t="s">
        <v>4221</v>
      </c>
      <c r="AA4500" s="609" t="s">
        <v>4212</v>
      </c>
    </row>
    <row r="4501" spans="1:29" ht="0.75" customHeight="1" thickBot="1">
      <c r="A4501" s="2712"/>
      <c r="B4501" s="371"/>
      <c r="C4501" s="371"/>
      <c r="D4501" s="371"/>
      <c r="E4501" s="586"/>
      <c r="F4501" s="586"/>
      <c r="G4501" s="586" t="s">
        <v>4222</v>
      </c>
      <c r="H4501" s="371" t="s">
        <v>4223</v>
      </c>
      <c r="I4501" s="371" t="s">
        <v>4224</v>
      </c>
      <c r="J4501" s="291"/>
      <c r="K4501" s="291"/>
      <c r="L4501" s="291"/>
      <c r="M4501" s="291"/>
      <c r="S4501" s="364"/>
      <c r="Z4501" s="609" t="s">
        <v>4221</v>
      </c>
      <c r="AA4501" s="609" t="s">
        <v>4212</v>
      </c>
    </row>
    <row r="4502" spans="1:29" ht="18">
      <c r="A4502" s="2712"/>
      <c r="B4502" s="371"/>
      <c r="C4502" s="371"/>
      <c r="D4502" s="371"/>
      <c r="E4502" s="586" t="s">
        <v>2749</v>
      </c>
      <c r="F4502" s="363"/>
      <c r="G4502" s="2447" t="s">
        <v>47</v>
      </c>
      <c r="H4502" s="2443" t="str">
        <f>$V$4</f>
        <v>2019年度</v>
      </c>
      <c r="I4502" s="2442" t="str">
        <f>$V$5</f>
        <v>2018年度</v>
      </c>
      <c r="J4502" s="594"/>
      <c r="K4502" s="291"/>
      <c r="L4502" s="291"/>
      <c r="M4502" s="291"/>
      <c r="S4502" s="364"/>
      <c r="Z4502" s="609" t="s">
        <v>4221</v>
      </c>
      <c r="AA4502" s="609" t="s">
        <v>4212</v>
      </c>
    </row>
    <row r="4503" spans="1:29" ht="18">
      <c r="A4503" s="2712"/>
      <c r="B4503" s="371">
        <v>101</v>
      </c>
      <c r="C4503" s="371"/>
      <c r="D4503" s="2714">
        <f>IF(OR(G4503="*",G4503="",G4503=0),0,COUNTIF($G$4503:$G$4507,G4503))</f>
        <v>1</v>
      </c>
      <c r="E4503" s="2719">
        <v>0</v>
      </c>
      <c r="F4503" s="294"/>
      <c r="G4503" s="1472" t="s">
        <v>631</v>
      </c>
      <c r="H4503" s="1474">
        <f>SUM(H4504:H4506)</f>
        <v>231319311.91</v>
      </c>
      <c r="I4503" s="1475">
        <f>SUM(I4504:I4506)</f>
        <v>339876355.07999998</v>
      </c>
      <c r="J4503" s="291"/>
      <c r="K4503" s="291"/>
      <c r="L4503" s="291"/>
      <c r="M4503" s="291"/>
      <c r="S4503" s="364"/>
      <c r="Z4503" s="609" t="s">
        <v>4221</v>
      </c>
      <c r="AA4503" s="609" t="s">
        <v>4212</v>
      </c>
    </row>
    <row r="4504" spans="1:29" ht="18">
      <c r="A4504" s="2712"/>
      <c r="B4504" s="371">
        <v>102</v>
      </c>
      <c r="C4504" s="371"/>
      <c r="D4504" s="2714">
        <f>IF(OR(G4504="*",G4504="",G4504=0),0,COUNTIF($G$4503:$G$4507,G4504))</f>
        <v>1</v>
      </c>
      <c r="E4504" s="2719">
        <v>1</v>
      </c>
      <c r="F4504" s="294"/>
      <c r="G4504" s="1472" t="s">
        <v>4225</v>
      </c>
      <c r="H4504" s="2273">
        <v>231193100.56999999</v>
      </c>
      <c r="I4504" s="2294">
        <v>339814475.76999998</v>
      </c>
      <c r="J4504" s="1531" t="str">
        <f ca="1">HYPERLINK("#'"&amp;$G$1&amp;"'!"&amp;ADDRESS(ROW(Notes!H4536),COLUMN(Notes!H4536),4),"* 请勿删除此行！点击往勾稽单元格，F5+Enter返回")</f>
        <v>* 请勿删除此行！点击往勾稽单元格，F5+Enter返回</v>
      </c>
      <c r="K4504" s="291"/>
      <c r="L4504" s="291"/>
      <c r="M4504" s="291"/>
      <c r="S4504" s="364"/>
      <c r="Z4504" s="609" t="s">
        <v>4221</v>
      </c>
      <c r="AA4504" s="609" t="s">
        <v>4212</v>
      </c>
      <c r="AC4504" s="369" t="s">
        <v>6571</v>
      </c>
    </row>
    <row r="4505" spans="1:29" ht="18">
      <c r="A4505" s="2712"/>
      <c r="B4505" s="371">
        <v>103</v>
      </c>
      <c r="C4505" s="371"/>
      <c r="D4505" s="2714">
        <f>IF(OR(G4505="*",G4505="",G4505=0),0,COUNTIF($G$4503:$G$4507,G4505))</f>
        <v>1</v>
      </c>
      <c r="E4505" s="2719">
        <v>1</v>
      </c>
      <c r="F4505" s="294"/>
      <c r="G4505" s="1472" t="s">
        <v>4226</v>
      </c>
      <c r="H4505" s="2273">
        <v>126211.34</v>
      </c>
      <c r="I4505" s="2294">
        <v>61879.31</v>
      </c>
      <c r="J4505" s="291"/>
      <c r="K4505" s="291"/>
      <c r="L4505" s="291"/>
      <c r="M4505" s="291"/>
      <c r="S4505" s="364"/>
      <c r="Z4505" s="609" t="s">
        <v>4221</v>
      </c>
      <c r="AA4505" s="609" t="s">
        <v>4212</v>
      </c>
    </row>
    <row r="4506" spans="1:29" ht="18">
      <c r="A4506" s="2712"/>
      <c r="B4506" s="371">
        <v>104</v>
      </c>
      <c r="C4506" s="371" t="s">
        <v>2791</v>
      </c>
      <c r="D4506" s="2714">
        <f>IF(OR(G4506="*",G4506="",G4506=0),0,COUNTIF($G$4503:$G$4507,G4506))</f>
        <v>0</v>
      </c>
      <c r="E4506" s="2719">
        <v>1</v>
      </c>
      <c r="F4506" s="294"/>
      <c r="G4506" s="2446" t="s">
        <v>2792</v>
      </c>
      <c r="H4506" s="2273"/>
      <c r="I4506" s="2294"/>
      <c r="J4506" s="291"/>
      <c r="K4506" s="291"/>
      <c r="L4506" s="291"/>
      <c r="M4506" s="291"/>
      <c r="S4506" s="364"/>
      <c r="Z4506" s="609" t="s">
        <v>4221</v>
      </c>
      <c r="AA4506" s="609" t="s">
        <v>4212</v>
      </c>
    </row>
    <row r="4507" spans="1:29" ht="18.75" thickBot="1">
      <c r="A4507" s="2712"/>
      <c r="B4507" s="371"/>
      <c r="C4507" s="371"/>
      <c r="D4507" s="2714">
        <f>IF(OR(G4507="*",G4507="",G4507=0),0,COUNTIF($G$4503:$G$4507,G4507))</f>
        <v>1</v>
      </c>
      <c r="E4507" s="2719" t="s">
        <v>2751</v>
      </c>
      <c r="F4507" s="294"/>
      <c r="G4507" s="374" t="s">
        <v>2752</v>
      </c>
      <c r="H4507" s="1476">
        <f>SUMPRODUCT($E4502:$E4506,H4502:H4506)</f>
        <v>231319311.91</v>
      </c>
      <c r="I4507" s="1477">
        <f>SUMPRODUCT($E4502:$E4506,I4502:I4506)</f>
        <v>339876355.07999998</v>
      </c>
      <c r="J4507" s="291"/>
      <c r="K4507" s="291"/>
      <c r="L4507" s="291"/>
      <c r="M4507" s="291"/>
      <c r="S4507" s="364"/>
      <c r="Z4507" s="609" t="s">
        <v>4221</v>
      </c>
      <c r="AA4507" s="609" t="s">
        <v>4212</v>
      </c>
    </row>
    <row r="4508" spans="1:29" ht="18">
      <c r="A4508" s="2712"/>
      <c r="B4508" s="371"/>
      <c r="C4508" s="371" t="s">
        <v>2755</v>
      </c>
      <c r="D4508" s="371"/>
      <c r="F4508" s="294"/>
      <c r="G4508" s="301"/>
      <c r="H4508" s="315"/>
      <c r="I4508" s="315"/>
      <c r="J4508" s="291"/>
      <c r="K4508" s="291"/>
      <c r="L4508" s="291"/>
      <c r="M4508" s="291"/>
      <c r="S4508" s="364"/>
      <c r="Z4508" s="609" t="s">
        <v>4221</v>
      </c>
      <c r="AA4508" s="609" t="s">
        <v>4212</v>
      </c>
    </row>
    <row r="4509" spans="1:29" ht="18">
      <c r="A4509" s="2712" t="s">
        <v>1851</v>
      </c>
      <c r="B4509" s="371">
        <v>3</v>
      </c>
      <c r="C4509" s="371"/>
      <c r="D4509" s="2714" t="str">
        <f>VLOOKUP($A4509,Sheet_NoteList,2,0)</f>
        <v>营业成本明细项目</v>
      </c>
      <c r="E4509" s="2714" t="s">
        <v>2742</v>
      </c>
      <c r="F4509" s="294"/>
      <c r="G4509" s="307" t="str">
        <f>"("&amp;B4509&amp;")"&amp;D4509</f>
        <v>(3)营业成本明细项目</v>
      </c>
      <c r="H4509" s="1515" t="str">
        <f>$A4509</f>
        <v>6064b</v>
      </c>
      <c r="I4509" s="343" t="s">
        <v>2743</v>
      </c>
      <c r="J4509" s="301" t="s">
        <v>4210</v>
      </c>
      <c r="K4509" s="2208">
        <f>H4516</f>
        <v>197062457.09</v>
      </c>
      <c r="L4509" s="345" t="str">
        <f>IF($I4509="适用",IF(ROUND(K$4489-K4509,2)=0,"F/S",ROUND(K$4489-K4509,2)),"#N/A")</f>
        <v>F/S</v>
      </c>
      <c r="M4509" s="301" t="s">
        <v>4211</v>
      </c>
      <c r="N4509" s="2208">
        <f>I4516</f>
        <v>239939923.65000001</v>
      </c>
      <c r="O4509" s="345" t="str">
        <f>IF($I4509="适用",IF(ROUND(N$4489-N4509,2)=0,"F/S",ROUND(N$4489-N4509,2)),"#N/A")</f>
        <v>F/S</v>
      </c>
      <c r="P4509" s="301"/>
      <c r="Q4509" s="290" t="str">
        <f>IF($I4509="不适用","",IF(ROUND(SUM($H$4512:$I$4516),2)=0,"请输入",""))</f>
        <v/>
      </c>
      <c r="S4509" s="364"/>
      <c r="Z4509" s="609" t="s">
        <v>4221</v>
      </c>
      <c r="AA4509" s="609" t="s">
        <v>5701</v>
      </c>
    </row>
    <row r="4510" spans="1:29" ht="0.75" customHeight="1" thickBot="1">
      <c r="A4510" s="2712"/>
      <c r="B4510" s="371"/>
      <c r="C4510" s="371"/>
      <c r="D4510" s="371"/>
      <c r="E4510" s="586"/>
      <c r="F4510" s="586"/>
      <c r="G4510" s="586" t="s">
        <v>4227</v>
      </c>
      <c r="H4510" s="371" t="s">
        <v>4223</v>
      </c>
      <c r="I4510" s="371" t="s">
        <v>4224</v>
      </c>
      <c r="J4510" s="291"/>
      <c r="K4510" s="291"/>
      <c r="L4510" s="291"/>
      <c r="M4510" s="291"/>
      <c r="S4510" s="364"/>
      <c r="Z4510" s="609" t="s">
        <v>4221</v>
      </c>
      <c r="AA4510" s="609" t="s">
        <v>5701</v>
      </c>
    </row>
    <row r="4511" spans="1:29" ht="18">
      <c r="A4511" s="2712"/>
      <c r="B4511" s="371"/>
      <c r="C4511" s="371"/>
      <c r="D4511" s="371"/>
      <c r="E4511" s="586" t="s">
        <v>2749</v>
      </c>
      <c r="F4511" s="363"/>
      <c r="G4511" s="2447" t="s">
        <v>47</v>
      </c>
      <c r="H4511" s="2443" t="str">
        <f>$V$4</f>
        <v>2019年度</v>
      </c>
      <c r="I4511" s="2442" t="str">
        <f>$V$5</f>
        <v>2018年度</v>
      </c>
      <c r="J4511" s="594"/>
      <c r="K4511" s="291"/>
      <c r="L4511" s="291"/>
      <c r="M4511" s="291"/>
      <c r="S4511" s="364"/>
      <c r="Z4511" s="609" t="s">
        <v>4221</v>
      </c>
      <c r="AA4511" s="609" t="s">
        <v>5701</v>
      </c>
    </row>
    <row r="4512" spans="1:29" ht="18">
      <c r="A4512" s="2712"/>
      <c r="B4512" s="371">
        <v>101</v>
      </c>
      <c r="C4512" s="371"/>
      <c r="D4512" s="2714">
        <f>IF(OR(G4512="*",G4512="",G4512=0),0,COUNTIF($G$4512:$G$4516,G4512))</f>
        <v>1</v>
      </c>
      <c r="E4512" s="2719">
        <v>0</v>
      </c>
      <c r="F4512" s="294"/>
      <c r="G4512" s="1472" t="s">
        <v>671</v>
      </c>
      <c r="H4512" s="1474">
        <f>SUM(H4513:H4515)</f>
        <v>197062457.09</v>
      </c>
      <c r="I4512" s="1475">
        <f>SUM(I4513:I4515)</f>
        <v>239939923.65000001</v>
      </c>
      <c r="J4512" s="291"/>
      <c r="K4512" s="291"/>
      <c r="L4512" s="291"/>
      <c r="M4512" s="291"/>
      <c r="S4512" s="364"/>
      <c r="Z4512" s="609" t="s">
        <v>4221</v>
      </c>
      <c r="AA4512" s="609" t="s">
        <v>5701</v>
      </c>
    </row>
    <row r="4513" spans="1:29" ht="18">
      <c r="A4513" s="2712"/>
      <c r="B4513" s="371">
        <v>102</v>
      </c>
      <c r="C4513" s="371"/>
      <c r="D4513" s="2714">
        <f>IF(OR(G4513="*",G4513="",G4513=0),0,COUNTIF($G$4512:$G$4516,G4513))</f>
        <v>1</v>
      </c>
      <c r="E4513" s="2719">
        <v>1</v>
      </c>
      <c r="F4513" s="294"/>
      <c r="G4513" s="1472" t="s">
        <v>4228</v>
      </c>
      <c r="H4513" s="2273">
        <v>197020858.46000001</v>
      </c>
      <c r="I4513" s="2294">
        <v>239764777.99000001</v>
      </c>
      <c r="J4513" s="1531" t="str">
        <f ca="1">HYPERLINK("#'"&amp;$G$1&amp;"'!"&amp;ADDRESS(ROW(Notes!I4536),COLUMN(Notes!I4536),4),"* 请勿删除此行！点击往勾稽单元格，F5+Enter返回")</f>
        <v>* 请勿删除此行！点击往勾稽单元格，F5+Enter返回</v>
      </c>
      <c r="K4513" s="291"/>
      <c r="L4513" s="291"/>
      <c r="M4513" s="291"/>
      <c r="S4513" s="364"/>
      <c r="Z4513" s="609" t="s">
        <v>4221</v>
      </c>
      <c r="AA4513" s="609" t="s">
        <v>5701</v>
      </c>
      <c r="AC4513" s="369" t="s">
        <v>6571</v>
      </c>
    </row>
    <row r="4514" spans="1:29" ht="18">
      <c r="A4514" s="2712"/>
      <c r="B4514" s="371">
        <v>103</v>
      </c>
      <c r="C4514" s="371"/>
      <c r="D4514" s="2714">
        <f>IF(OR(G4514="*",G4514="",G4514=0),0,COUNTIF($G$4512:$G$4516,G4514))</f>
        <v>1</v>
      </c>
      <c r="E4514" s="2719">
        <v>1</v>
      </c>
      <c r="F4514" s="294"/>
      <c r="G4514" s="1472" t="s">
        <v>4229</v>
      </c>
      <c r="H4514" s="2273">
        <v>41598.629999999997</v>
      </c>
      <c r="I4514" s="2294">
        <v>175145.66</v>
      </c>
      <c r="J4514" s="291"/>
      <c r="K4514" s="291"/>
      <c r="L4514" s="291"/>
      <c r="M4514" s="291"/>
      <c r="S4514" s="364"/>
      <c r="Z4514" s="609" t="s">
        <v>4221</v>
      </c>
      <c r="AA4514" s="609" t="s">
        <v>5701</v>
      </c>
    </row>
    <row r="4515" spans="1:29" ht="18">
      <c r="A4515" s="2712"/>
      <c r="B4515" s="371">
        <v>104</v>
      </c>
      <c r="C4515" s="371" t="s">
        <v>2791</v>
      </c>
      <c r="D4515" s="2714">
        <f>IF(OR(G4515="*",G4515="",G4515=0),0,COUNTIF($G$4512:$G$4516,G4515))</f>
        <v>0</v>
      </c>
      <c r="E4515" s="2719">
        <v>1</v>
      </c>
      <c r="F4515" s="294"/>
      <c r="G4515" s="2446" t="s">
        <v>2792</v>
      </c>
      <c r="H4515" s="2273"/>
      <c r="I4515" s="2294"/>
      <c r="J4515" s="291"/>
      <c r="K4515" s="291"/>
      <c r="L4515" s="291"/>
      <c r="M4515" s="291"/>
      <c r="S4515" s="364"/>
      <c r="Z4515" s="609" t="s">
        <v>4221</v>
      </c>
      <c r="AA4515" s="609" t="s">
        <v>5701</v>
      </c>
    </row>
    <row r="4516" spans="1:29" ht="18.75" thickBot="1">
      <c r="A4516" s="2712"/>
      <c r="B4516" s="371"/>
      <c r="C4516" s="371"/>
      <c r="D4516" s="2714">
        <f>IF(OR(G4516="*",G4516="",G4516=0),0,COUNTIF($G$4512:$G$4516,G4516))</f>
        <v>1</v>
      </c>
      <c r="E4516" s="2719" t="s">
        <v>2751</v>
      </c>
      <c r="F4516" s="294"/>
      <c r="G4516" s="374" t="s">
        <v>2752</v>
      </c>
      <c r="H4516" s="1476">
        <f>SUMPRODUCT($E4511:$E4515,H4511:H4515)</f>
        <v>197062457.09</v>
      </c>
      <c r="I4516" s="1477">
        <f>SUMPRODUCT($E4511:$E4515,I4511:I4515)</f>
        <v>239939923.65000001</v>
      </c>
      <c r="J4516" s="291"/>
      <c r="K4516" s="291"/>
      <c r="L4516" s="291"/>
      <c r="M4516" s="291"/>
      <c r="S4516" s="364"/>
      <c r="Z4516" s="609" t="s">
        <v>4221</v>
      </c>
      <c r="AA4516" s="609" t="s">
        <v>5701</v>
      </c>
    </row>
    <row r="4517" spans="1:29" ht="18">
      <c r="A4517" s="2712"/>
      <c r="B4517" s="371"/>
      <c r="C4517" s="371" t="s">
        <v>2755</v>
      </c>
      <c r="D4517" s="371"/>
      <c r="F4517" s="294"/>
      <c r="G4517" s="301"/>
      <c r="H4517" s="315"/>
      <c r="I4517" s="315"/>
      <c r="J4517" s="291"/>
      <c r="K4517" s="291"/>
      <c r="L4517" s="291"/>
      <c r="M4517" s="291"/>
      <c r="S4517" s="364"/>
      <c r="Z4517" s="609" t="s">
        <v>4221</v>
      </c>
      <c r="AA4517" s="609" t="s">
        <v>5701</v>
      </c>
    </row>
    <row r="4518" spans="1:29" ht="24">
      <c r="A4518" s="2712" t="s">
        <v>1854</v>
      </c>
      <c r="B4518" s="371">
        <v>4</v>
      </c>
      <c r="C4518" s="371"/>
      <c r="D4518" s="2714" t="str">
        <f>VLOOKUP($A4518,Sheet_NoteList,2,0)</f>
        <v>主营业务（分行业或业务）</v>
      </c>
      <c r="E4518" s="2714" t="s">
        <v>2742</v>
      </c>
      <c r="F4518" s="294"/>
      <c r="G4518" s="372" t="str">
        <f>"("&amp;B4518&amp;")"&amp;D4518</f>
        <v>(4)主营业务（分行业或业务）</v>
      </c>
      <c r="H4518" s="1515" t="str">
        <f>$A4518</f>
        <v>6064c</v>
      </c>
      <c r="I4518" s="343" t="s">
        <v>2743</v>
      </c>
      <c r="J4518" s="301" t="s">
        <v>4210</v>
      </c>
      <c r="K4518" s="2208">
        <f>H4533-I4533</f>
        <v>34172242.109999999</v>
      </c>
      <c r="L4518" s="345" t="str">
        <f>IF($I4518="适用",IF(ROUND(H$4504-H$4513-K4518,2)=0,"F/S",ROUND(H$4504-H$4513-K4518,2)),"#N/A")</f>
        <v>F/S</v>
      </c>
      <c r="M4518" s="301" t="s">
        <v>4211</v>
      </c>
      <c r="N4518" s="2208">
        <f>J4533-K4533</f>
        <v>100049697.78</v>
      </c>
      <c r="O4518" s="345" t="str">
        <f>IF($I4518="适用",IF(ROUND(I$4504-I$4513-N4518,2)=0,"F/S",ROUND(I$4504-I$4513-N4518,2)),"#N/A")</f>
        <v>F/S</v>
      </c>
      <c r="P4518" s="301"/>
      <c r="Q4518" s="290" t="str">
        <f>IF($I4518="不适用","",IF(ROUND(SUM($H$4523:$K$4533),2)=0,"请输入",""))</f>
        <v/>
      </c>
      <c r="S4518" s="364"/>
      <c r="Z4518" s="609" t="s">
        <v>4221</v>
      </c>
      <c r="AA4518" s="609" t="s">
        <v>6575</v>
      </c>
    </row>
    <row r="4519" spans="1:29" ht="0.75" customHeight="1">
      <c r="A4519" s="2712"/>
      <c r="B4519" s="371"/>
      <c r="C4519" s="371"/>
      <c r="D4519" s="371"/>
      <c r="E4519" s="586"/>
      <c r="F4519" s="363"/>
      <c r="G4519" s="363" t="s">
        <v>4230</v>
      </c>
      <c r="H4519" s="294" t="s">
        <v>4231</v>
      </c>
      <c r="I4519" s="294" t="s">
        <v>4232</v>
      </c>
      <c r="J4519" s="294" t="s">
        <v>4233</v>
      </c>
      <c r="K4519" s="294" t="s">
        <v>4234</v>
      </c>
      <c r="L4519" s="291"/>
      <c r="M4519" s="291"/>
      <c r="N4519" s="291"/>
      <c r="O4519" s="291"/>
      <c r="S4519" s="364"/>
      <c r="Z4519" s="609" t="s">
        <v>4221</v>
      </c>
      <c r="AA4519" s="609" t="s">
        <v>6575</v>
      </c>
    </row>
    <row r="4520" spans="1:29" ht="0.75" customHeight="1" thickBot="1">
      <c r="A4520" s="2712"/>
      <c r="B4520" s="371"/>
      <c r="C4520" s="371"/>
      <c r="D4520" s="371"/>
      <c r="E4520" s="586"/>
      <c r="F4520" s="363"/>
      <c r="G4520" s="363"/>
      <c r="H4520" s="294" t="s">
        <v>4235</v>
      </c>
      <c r="I4520" s="294" t="s">
        <v>4236</v>
      </c>
      <c r="J4520" s="294" t="s">
        <v>4237</v>
      </c>
      <c r="K4520" s="294" t="s">
        <v>4238</v>
      </c>
      <c r="L4520" s="291"/>
      <c r="M4520" s="291"/>
      <c r="N4520" s="291"/>
      <c r="O4520" s="291"/>
      <c r="S4520" s="364"/>
      <c r="Z4520" s="609" t="s">
        <v>4221</v>
      </c>
      <c r="AA4520" s="609" t="s">
        <v>6575</v>
      </c>
    </row>
    <row r="4521" spans="1:29" ht="18">
      <c r="A4521" s="2712"/>
      <c r="B4521" s="371"/>
      <c r="C4521" s="371"/>
      <c r="D4521" s="371"/>
      <c r="E4521" s="586" t="s">
        <v>2749</v>
      </c>
      <c r="F4521" s="363"/>
      <c r="G4521" s="3462" t="s">
        <v>6087</v>
      </c>
      <c r="H4521" s="3466" t="str">
        <f>$V$4</f>
        <v>2019年度</v>
      </c>
      <c r="I4521" s="3571"/>
      <c r="J4521" s="3466" t="str">
        <f>$V$5</f>
        <v>2018年度</v>
      </c>
      <c r="K4521" s="3543"/>
      <c r="L4521" s="355" t="s">
        <v>5324</v>
      </c>
      <c r="M4521" s="291"/>
      <c r="N4521" s="291"/>
      <c r="O4521" s="291"/>
      <c r="S4521" s="364"/>
      <c r="Z4521" s="609" t="s">
        <v>4221</v>
      </c>
      <c r="AA4521" s="609" t="s">
        <v>6575</v>
      </c>
    </row>
    <row r="4522" spans="1:29" ht="18">
      <c r="A4522" s="2712"/>
      <c r="B4522" s="371"/>
      <c r="C4522" s="371"/>
      <c r="D4522" s="371"/>
      <c r="E4522" s="586" t="s">
        <v>2749</v>
      </c>
      <c r="F4522" s="363"/>
      <c r="G4522" s="3463"/>
      <c r="H4522" s="2441" t="s">
        <v>4218</v>
      </c>
      <c r="I4522" s="2441" t="s">
        <v>3411</v>
      </c>
      <c r="J4522" s="2441" t="s">
        <v>4218</v>
      </c>
      <c r="K4522" s="2448" t="s">
        <v>3411</v>
      </c>
      <c r="L4522" s="291"/>
      <c r="M4522" s="291"/>
      <c r="N4522" s="291"/>
      <c r="O4522" s="291"/>
      <c r="S4522" s="364"/>
      <c r="Z4522" s="609" t="s">
        <v>4221</v>
      </c>
      <c r="AA4522" s="609" t="s">
        <v>6575</v>
      </c>
    </row>
    <row r="4523" spans="1:29" ht="18">
      <c r="A4523" s="2712"/>
      <c r="B4523" s="371">
        <v>101</v>
      </c>
      <c r="C4523" s="371" t="s">
        <v>2791</v>
      </c>
      <c r="D4523" s="2714">
        <f t="shared" ref="D4523:D4533" si="509">IF(OR(G4523="*",G4523="",G4523=0),0,COUNTIF($G$4523:$G$4533,G4523))</f>
        <v>1</v>
      </c>
      <c r="E4523" s="2719">
        <v>1</v>
      </c>
      <c r="F4523" s="294"/>
      <c r="G4523" s="2446" t="s">
        <v>7433</v>
      </c>
      <c r="H4523" s="2273">
        <v>231193100.56999999</v>
      </c>
      <c r="I4523" s="2273">
        <f>H4513</f>
        <v>197020858.46000001</v>
      </c>
      <c r="J4523" s="2273">
        <v>339814475.76999998</v>
      </c>
      <c r="K4523" s="2294">
        <v>239764777.99000001</v>
      </c>
      <c r="L4523" s="291"/>
      <c r="M4523" s="291"/>
      <c r="N4523" s="291"/>
      <c r="O4523" s="291"/>
      <c r="S4523" s="364"/>
      <c r="Z4523" s="609" t="s">
        <v>4221</v>
      </c>
      <c r="AA4523" s="609" t="s">
        <v>6575</v>
      </c>
    </row>
    <row r="4524" spans="1:29" ht="18">
      <c r="A4524" s="2712"/>
      <c r="B4524" s="371">
        <v>102</v>
      </c>
      <c r="C4524" s="371" t="s">
        <v>2791</v>
      </c>
      <c r="D4524" s="2714">
        <f t="shared" si="509"/>
        <v>0</v>
      </c>
      <c r="E4524" s="2719">
        <v>1</v>
      </c>
      <c r="F4524" s="294"/>
      <c r="G4524" s="2446" t="s">
        <v>2792</v>
      </c>
      <c r="H4524" s="2273"/>
      <c r="I4524" s="2273"/>
      <c r="J4524" s="2273"/>
      <c r="K4524" s="2294"/>
      <c r="L4524" s="291"/>
      <c r="M4524" s="291"/>
      <c r="N4524" s="291"/>
      <c r="O4524" s="291"/>
      <c r="S4524" s="364"/>
      <c r="Z4524" s="609" t="s">
        <v>4221</v>
      </c>
      <c r="AA4524" s="609" t="s">
        <v>6575</v>
      </c>
    </row>
    <row r="4525" spans="1:29" ht="18">
      <c r="A4525" s="2712"/>
      <c r="B4525" s="371">
        <v>103</v>
      </c>
      <c r="C4525" s="371" t="s">
        <v>2791</v>
      </c>
      <c r="D4525" s="2714">
        <f t="shared" si="509"/>
        <v>0</v>
      </c>
      <c r="E4525" s="2719">
        <v>1</v>
      </c>
      <c r="F4525" s="294"/>
      <c r="G4525" s="2446" t="s">
        <v>2792</v>
      </c>
      <c r="H4525" s="2273"/>
      <c r="I4525" s="2273"/>
      <c r="J4525" s="2273"/>
      <c r="K4525" s="2294"/>
      <c r="L4525" s="291"/>
      <c r="M4525" s="291"/>
      <c r="N4525" s="291"/>
      <c r="O4525" s="291"/>
      <c r="S4525" s="364"/>
      <c r="Z4525" s="609" t="s">
        <v>4221</v>
      </c>
      <c r="AA4525" s="609" t="s">
        <v>6575</v>
      </c>
    </row>
    <row r="4526" spans="1:29" ht="18">
      <c r="A4526" s="2712"/>
      <c r="B4526" s="371">
        <v>104</v>
      </c>
      <c r="C4526" s="371" t="s">
        <v>2791</v>
      </c>
      <c r="D4526" s="2714">
        <f t="shared" si="509"/>
        <v>0</v>
      </c>
      <c r="E4526" s="2719">
        <v>1</v>
      </c>
      <c r="F4526" s="294"/>
      <c r="G4526" s="2446" t="s">
        <v>2792</v>
      </c>
      <c r="H4526" s="2273"/>
      <c r="I4526" s="2273"/>
      <c r="J4526" s="2273"/>
      <c r="K4526" s="2294"/>
      <c r="L4526" s="291"/>
      <c r="M4526" s="291"/>
      <c r="N4526" s="291"/>
      <c r="O4526" s="291"/>
      <c r="S4526" s="364"/>
      <c r="Z4526" s="609" t="s">
        <v>4221</v>
      </c>
      <c r="AA4526" s="609" t="s">
        <v>6575</v>
      </c>
    </row>
    <row r="4527" spans="1:29" ht="18">
      <c r="A4527" s="2712"/>
      <c r="B4527" s="371">
        <v>105</v>
      </c>
      <c r="C4527" s="371" t="s">
        <v>2791</v>
      </c>
      <c r="D4527" s="2714">
        <f t="shared" si="509"/>
        <v>0</v>
      </c>
      <c r="E4527" s="2719">
        <v>1</v>
      </c>
      <c r="F4527" s="294"/>
      <c r="G4527" s="2446" t="s">
        <v>2792</v>
      </c>
      <c r="H4527" s="2273"/>
      <c r="I4527" s="2273"/>
      <c r="J4527" s="2273"/>
      <c r="K4527" s="2294"/>
      <c r="L4527" s="291"/>
      <c r="M4527" s="291"/>
      <c r="N4527" s="291"/>
      <c r="O4527" s="291"/>
      <c r="S4527" s="364"/>
      <c r="Z4527" s="609" t="s">
        <v>4221</v>
      </c>
      <c r="AA4527" s="609" t="s">
        <v>6575</v>
      </c>
    </row>
    <row r="4528" spans="1:29" ht="18">
      <c r="A4528" s="2712"/>
      <c r="B4528" s="371">
        <v>106</v>
      </c>
      <c r="C4528" s="371" t="s">
        <v>2791</v>
      </c>
      <c r="D4528" s="2714">
        <f t="shared" si="509"/>
        <v>0</v>
      </c>
      <c r="E4528" s="2719">
        <v>1</v>
      </c>
      <c r="F4528" s="294"/>
      <c r="G4528" s="2446" t="s">
        <v>2792</v>
      </c>
      <c r="H4528" s="2273"/>
      <c r="I4528" s="2273"/>
      <c r="J4528" s="2273"/>
      <c r="K4528" s="2294"/>
      <c r="L4528" s="291"/>
      <c r="M4528" s="291"/>
      <c r="N4528" s="291"/>
      <c r="O4528" s="291"/>
      <c r="S4528" s="364"/>
      <c r="Z4528" s="609" t="s">
        <v>4221</v>
      </c>
      <c r="AA4528" s="609" t="s">
        <v>6575</v>
      </c>
    </row>
    <row r="4529" spans="1:27" ht="18">
      <c r="A4529" s="2712"/>
      <c r="B4529" s="371">
        <v>107</v>
      </c>
      <c r="C4529" s="371" t="s">
        <v>2791</v>
      </c>
      <c r="D4529" s="2714">
        <f t="shared" si="509"/>
        <v>0</v>
      </c>
      <c r="E4529" s="2719">
        <v>1</v>
      </c>
      <c r="F4529" s="294"/>
      <c r="G4529" s="2446" t="s">
        <v>2792</v>
      </c>
      <c r="H4529" s="2273"/>
      <c r="I4529" s="2273"/>
      <c r="J4529" s="2273"/>
      <c r="K4529" s="2294"/>
      <c r="L4529" s="291"/>
      <c r="M4529" s="291"/>
      <c r="N4529" s="291"/>
      <c r="O4529" s="291"/>
      <c r="S4529" s="364"/>
      <c r="Z4529" s="609" t="s">
        <v>4221</v>
      </c>
      <c r="AA4529" s="609" t="s">
        <v>6575</v>
      </c>
    </row>
    <row r="4530" spans="1:27" ht="18">
      <c r="A4530" s="2712"/>
      <c r="B4530" s="371">
        <v>108</v>
      </c>
      <c r="C4530" s="371" t="s">
        <v>2791</v>
      </c>
      <c r="D4530" s="2714">
        <f t="shared" si="509"/>
        <v>0</v>
      </c>
      <c r="E4530" s="2719">
        <v>1</v>
      </c>
      <c r="F4530" s="294"/>
      <c r="G4530" s="2446" t="s">
        <v>2792</v>
      </c>
      <c r="H4530" s="2273"/>
      <c r="I4530" s="2273"/>
      <c r="J4530" s="2273"/>
      <c r="K4530" s="2294"/>
      <c r="L4530" s="291"/>
      <c r="M4530" s="291"/>
      <c r="N4530" s="291"/>
      <c r="O4530" s="291"/>
      <c r="S4530" s="364"/>
      <c r="Z4530" s="609" t="s">
        <v>4221</v>
      </c>
      <c r="AA4530" s="609" t="s">
        <v>6575</v>
      </c>
    </row>
    <row r="4531" spans="1:27" ht="18">
      <c r="A4531" s="2712"/>
      <c r="B4531" s="371">
        <v>109</v>
      </c>
      <c r="C4531" s="371" t="s">
        <v>2791</v>
      </c>
      <c r="D4531" s="2714">
        <f t="shared" si="509"/>
        <v>0</v>
      </c>
      <c r="E4531" s="2719">
        <v>1</v>
      </c>
      <c r="F4531" s="294"/>
      <c r="G4531" s="2446" t="s">
        <v>2792</v>
      </c>
      <c r="H4531" s="2273"/>
      <c r="I4531" s="2273"/>
      <c r="J4531" s="2273"/>
      <c r="K4531" s="2294"/>
      <c r="L4531" s="291"/>
      <c r="M4531" s="291"/>
      <c r="N4531" s="291"/>
      <c r="O4531" s="291"/>
      <c r="S4531" s="364"/>
      <c r="Z4531" s="609" t="s">
        <v>4221</v>
      </c>
      <c r="AA4531" s="609" t="s">
        <v>6575</v>
      </c>
    </row>
    <row r="4532" spans="1:27" ht="18">
      <c r="A4532" s="2712"/>
      <c r="B4532" s="371">
        <v>110</v>
      </c>
      <c r="C4532" s="371" t="s">
        <v>2791</v>
      </c>
      <c r="D4532" s="2714">
        <f t="shared" si="509"/>
        <v>0</v>
      </c>
      <c r="E4532" s="2719">
        <v>1</v>
      </c>
      <c r="F4532" s="294"/>
      <c r="G4532" s="2446" t="s">
        <v>2792</v>
      </c>
      <c r="H4532" s="2273"/>
      <c r="I4532" s="2273"/>
      <c r="J4532" s="2273"/>
      <c r="K4532" s="2294"/>
      <c r="L4532" s="291"/>
      <c r="M4532" s="291"/>
      <c r="N4532" s="291"/>
      <c r="O4532" s="291"/>
      <c r="S4532" s="364"/>
      <c r="Z4532" s="609" t="s">
        <v>4221</v>
      </c>
      <c r="AA4532" s="609" t="s">
        <v>6575</v>
      </c>
    </row>
    <row r="4533" spans="1:27" ht="18.75" thickBot="1">
      <c r="A4533" s="2712"/>
      <c r="B4533" s="371"/>
      <c r="C4533" s="371"/>
      <c r="D4533" s="2714">
        <f t="shared" si="509"/>
        <v>1</v>
      </c>
      <c r="E4533" s="2719" t="s">
        <v>2751</v>
      </c>
      <c r="F4533" s="294"/>
      <c r="G4533" s="2232" t="s">
        <v>2752</v>
      </c>
      <c r="H4533" s="2233">
        <f>SUMPRODUCT($E4522:$E4532,H4522:H4532)</f>
        <v>231193100.56999999</v>
      </c>
      <c r="I4533" s="2233">
        <f>SUMPRODUCT($E4522:$E4532,I4522:I4532)</f>
        <v>197020858.46000001</v>
      </c>
      <c r="J4533" s="2233">
        <f>SUMPRODUCT($E4522:$E4532,J4522:J4532)</f>
        <v>339814475.76999998</v>
      </c>
      <c r="K4533" s="2234">
        <f>SUMPRODUCT($E4522:$E4532,K4522:K4532)</f>
        <v>239764777.99000001</v>
      </c>
      <c r="L4533" s="291"/>
      <c r="M4533" s="291"/>
      <c r="N4533" s="291"/>
      <c r="O4533" s="291"/>
      <c r="S4533" s="364"/>
      <c r="Z4533" s="609" t="s">
        <v>4221</v>
      </c>
      <c r="AA4533" s="609" t="s">
        <v>6575</v>
      </c>
    </row>
    <row r="4534" spans="1:27" ht="18.75" thickBot="1">
      <c r="A4534" s="2712"/>
      <c r="B4534" s="371"/>
      <c r="C4534" s="371" t="s">
        <v>2755</v>
      </c>
      <c r="D4534" s="371"/>
      <c r="F4534" s="294"/>
      <c r="G4534" s="301"/>
      <c r="H4534" s="315" t="s">
        <v>3002</v>
      </c>
      <c r="I4534" s="315" t="s">
        <v>3002</v>
      </c>
      <c r="J4534" s="315" t="s">
        <v>3002</v>
      </c>
      <c r="K4534" s="315" t="s">
        <v>3002</v>
      </c>
      <c r="L4534" s="291"/>
      <c r="M4534" s="291"/>
      <c r="N4534" s="291"/>
      <c r="O4534" s="291"/>
      <c r="S4534" s="364"/>
      <c r="Z4534" s="609" t="s">
        <v>4221</v>
      </c>
      <c r="AA4534" s="609" t="s">
        <v>6575</v>
      </c>
    </row>
    <row r="4535" spans="1:27" ht="18.75" thickTop="1">
      <c r="A4535" s="2712"/>
      <c r="B4535" s="371"/>
      <c r="C4535" s="371" t="s">
        <v>2565</v>
      </c>
      <c r="D4535" s="371"/>
      <c r="F4535" s="294"/>
      <c r="G4535" s="454" t="s">
        <v>2756</v>
      </c>
      <c r="H4535" s="455" t="str">
        <f>$G$4500</f>
        <v>(2)营业收入明细项目</v>
      </c>
      <c r="I4535" s="455"/>
      <c r="J4535" s="455" t="str">
        <f>$G$4509</f>
        <v>(3)营业成本明细项目</v>
      </c>
      <c r="K4535" s="487"/>
      <c r="L4535" s="291"/>
      <c r="M4535" s="291"/>
      <c r="N4535" s="291"/>
      <c r="O4535" s="291"/>
      <c r="S4535" s="364"/>
      <c r="Z4535" s="609" t="s">
        <v>4221</v>
      </c>
      <c r="AA4535" s="609" t="s">
        <v>6575</v>
      </c>
    </row>
    <row r="4536" spans="1:27" ht="18">
      <c r="A4536" s="2712"/>
      <c r="B4536" s="371"/>
      <c r="C4536" s="371" t="s">
        <v>2565</v>
      </c>
      <c r="D4536" s="371"/>
      <c r="F4536" s="294"/>
      <c r="G4536" s="316" t="str">
        <f>$G$4504</f>
        <v>其中：主营业务收入</v>
      </c>
      <c r="H4536" s="2250">
        <f ca="1">HYPERLINK("#'"&amp;$G$1&amp;"'!"&amp;ADDRESS(ROW(Notes!H4504),COLUMN(Notes!H4504),4),$H$4504)</f>
        <v>231193100.56999999</v>
      </c>
      <c r="I4536" s="2250">
        <f ca="1">HYPERLINK("#'"&amp;$G$1&amp;"'!"&amp;ADDRESS(ROW(Notes!H4513),COLUMN(Notes!H4513),4),$H$4513)</f>
        <v>197020858.46000001</v>
      </c>
      <c r="J4536" s="2250">
        <f ca="1">HYPERLINK("#'"&amp;$G$1&amp;"'!"&amp;ADDRESS(ROW(Notes!I4504),COLUMN(Notes!I4504),4),$I$4504)</f>
        <v>339814475.76999998</v>
      </c>
      <c r="K4536" s="2250">
        <f ca="1">HYPERLINK("#'"&amp;$G$1&amp;"'!"&amp;ADDRESS(ROW(Notes!I4513),COLUMN(Notes!I4513),4),$I$4513)</f>
        <v>239764777.99000001</v>
      </c>
      <c r="L4536" s="291"/>
      <c r="M4536" s="291"/>
      <c r="N4536" s="291"/>
      <c r="O4536" s="291"/>
      <c r="S4536" s="364"/>
      <c r="Z4536" s="609" t="s">
        <v>4221</v>
      </c>
      <c r="AA4536" s="609" t="s">
        <v>6575</v>
      </c>
    </row>
    <row r="4537" spans="1:27" ht="18">
      <c r="A4537" s="2712"/>
      <c r="B4537" s="371"/>
      <c r="C4537" s="371" t="s">
        <v>2565</v>
      </c>
      <c r="D4537" s="371"/>
      <c r="F4537" s="294"/>
      <c r="G4537" s="316" t="s">
        <v>3003</v>
      </c>
      <c r="H4537" s="2250">
        <f ca="1">HYPERLINK("#'"&amp;$G$1&amp;"'!"&amp;ADDRESS(ROW(Notes!H4533),COLUMN(Notes!H4533),4),H4533)</f>
        <v>231193100.56999999</v>
      </c>
      <c r="I4537" s="2250">
        <f ca="1">HYPERLINK("#'"&amp;$G$1&amp;"'!"&amp;ADDRESS(ROW(Notes!I4533),COLUMN(Notes!I4533),4),I4533)</f>
        <v>197020858.46000001</v>
      </c>
      <c r="J4537" s="2250">
        <f ca="1">HYPERLINK("#'"&amp;$G$1&amp;"'!"&amp;ADDRESS(ROW(Notes!J4533),COLUMN(Notes!J4533),4),J4533)</f>
        <v>339814475.76999998</v>
      </c>
      <c r="K4537" s="2250">
        <f ca="1">HYPERLINK("#'"&amp;$G$1&amp;"'!"&amp;ADDRESS(ROW(Notes!K4533),COLUMN(Notes!K4533),4),K4533)</f>
        <v>239764777.99000001</v>
      </c>
      <c r="L4537" s="291"/>
      <c r="M4537" s="291"/>
      <c r="N4537" s="291"/>
      <c r="O4537" s="291"/>
      <c r="S4537" s="364"/>
      <c r="Z4537" s="609" t="s">
        <v>4221</v>
      </c>
      <c r="AA4537" s="609" t="s">
        <v>6575</v>
      </c>
    </row>
    <row r="4538" spans="1:27" ht="18.75" thickBot="1">
      <c r="A4538" s="2712"/>
      <c r="B4538" s="371"/>
      <c r="C4538" s="371" t="s">
        <v>2565</v>
      </c>
      <c r="D4538" s="371"/>
      <c r="F4538" s="294"/>
      <c r="G4538" s="457" t="s">
        <v>2757</v>
      </c>
      <c r="H4538" s="458">
        <f ca="1">IF(AND(H4536="",H4537=""),"",ROUND(H4536-H4537,2))</f>
        <v>0</v>
      </c>
      <c r="I4538" s="458">
        <f ca="1">IF(AND(I4536="",I4537=""),"",ROUND(I4536-I4537,2))</f>
        <v>0</v>
      </c>
      <c r="J4538" s="458">
        <f ca="1">IF(AND(J4536="",J4537=""),"",ROUND(J4536-J4537,2))</f>
        <v>0</v>
      </c>
      <c r="K4538" s="458">
        <f ca="1">IF(AND(K4536="",K4537=""),"",ROUND(K4536-K4537,2))</f>
        <v>0</v>
      </c>
      <c r="L4538" s="291"/>
      <c r="M4538" s="291"/>
      <c r="N4538" s="291"/>
      <c r="O4538" s="291"/>
      <c r="S4538" s="364"/>
      <c r="Z4538" s="609" t="s">
        <v>4221</v>
      </c>
      <c r="AA4538" s="609" t="s">
        <v>6575</v>
      </c>
    </row>
    <row r="4539" spans="1:27" ht="18.75" thickTop="1">
      <c r="A4539" s="2712"/>
      <c r="B4539" s="371"/>
      <c r="C4539" s="371" t="s">
        <v>2565</v>
      </c>
      <c r="D4539" s="371"/>
      <c r="F4539" s="294"/>
      <c r="G4539" s="354"/>
      <c r="H4539" s="459" t="str">
        <f ca="1">IF(OR(H4538=0,H4538=""),"√","？")</f>
        <v>√</v>
      </c>
      <c r="I4539" s="459" t="str">
        <f ca="1">IF(OR(I4538=0,I4538=""),"√","？")</f>
        <v>√</v>
      </c>
      <c r="J4539" s="459" t="str">
        <f ca="1">IF(OR(J4538=0,J4538=""),"√","？")</f>
        <v>√</v>
      </c>
      <c r="K4539" s="459" t="str">
        <f ca="1">IF(OR(K4538=0,K4538=""),"√","？")</f>
        <v>√</v>
      </c>
      <c r="L4539" s="291"/>
      <c r="M4539" s="291"/>
      <c r="N4539" s="291"/>
      <c r="O4539" s="291"/>
      <c r="S4539" s="364"/>
      <c r="Z4539" s="609" t="s">
        <v>4221</v>
      </c>
      <c r="AA4539" s="609" t="s">
        <v>6575</v>
      </c>
    </row>
    <row r="4540" spans="1:27" ht="18">
      <c r="A4540" s="2712"/>
      <c r="B4540" s="371"/>
      <c r="C4540" s="371" t="s">
        <v>2565</v>
      </c>
      <c r="D4540" s="371"/>
      <c r="F4540" s="294"/>
      <c r="G4540" s="460" t="s">
        <v>2759</v>
      </c>
      <c r="H4540" s="461"/>
      <c r="I4540" s="461"/>
      <c r="J4540" s="461"/>
      <c r="K4540" s="605">
        <f ca="1">SUMIF($H$4539:$K$4539,"&lt;&gt;√",$H$4538:$K$4538)</f>
        <v>0</v>
      </c>
      <c r="L4540" s="475" t="str">
        <f ca="1">IF(OR(K4540=0,K4540=""),"√","？")</f>
        <v>√</v>
      </c>
      <c r="M4540" s="291"/>
      <c r="N4540" s="291"/>
      <c r="O4540" s="291"/>
      <c r="S4540" s="364"/>
      <c r="Z4540" s="609" t="s">
        <v>4221</v>
      </c>
      <c r="AA4540" s="609" t="s">
        <v>6575</v>
      </c>
    </row>
    <row r="4541" spans="1:27" ht="18">
      <c r="A4541" s="2712"/>
      <c r="B4541" s="371"/>
      <c r="C4541" s="371" t="s">
        <v>2565</v>
      </c>
      <c r="D4541" s="371"/>
      <c r="F4541" s="294"/>
      <c r="G4541" s="354"/>
      <c r="H4541" s="461"/>
      <c r="I4541" s="461"/>
      <c r="J4541" s="461"/>
      <c r="K4541" s="461"/>
      <c r="L4541" s="291"/>
      <c r="M4541" s="291"/>
      <c r="N4541" s="291"/>
      <c r="O4541" s="291"/>
      <c r="S4541" s="364"/>
      <c r="Z4541" s="609" t="s">
        <v>4221</v>
      </c>
      <c r="AA4541" s="609" t="s">
        <v>6575</v>
      </c>
    </row>
    <row r="4542" spans="1:27" ht="18">
      <c r="A4542" s="2712" t="s">
        <v>1859</v>
      </c>
      <c r="B4542" s="371">
        <v>5</v>
      </c>
      <c r="C4542" s="371"/>
      <c r="D4542" s="2714" t="str">
        <f>VLOOKUP($A4542,Sheet_NoteList,2,0)</f>
        <v>主营业务（分产品）</v>
      </c>
      <c r="E4542" s="2714" t="s">
        <v>2742</v>
      </c>
      <c r="F4542" s="294"/>
      <c r="G4542" s="307" t="str">
        <f>"("&amp;B4542&amp;")"&amp;D4542</f>
        <v>(5)主营业务（分产品）</v>
      </c>
      <c r="H4542" s="1515" t="str">
        <f>$A4542</f>
        <v>6064d</v>
      </c>
      <c r="I4542" s="343" t="s">
        <v>2743</v>
      </c>
      <c r="J4542" s="301" t="s">
        <v>4210</v>
      </c>
      <c r="K4542" s="2208">
        <f>H4556-I4556</f>
        <v>34172242.109999999</v>
      </c>
      <c r="L4542" s="345" t="str">
        <f>IF($I4542="适用",IF(ROUND(H$4504-H$4513-K4542,2)=0,"F/S",ROUND(H$4504-H$4513-K4542,2)),"#N/A")</f>
        <v>F/S</v>
      </c>
      <c r="M4542" s="301" t="s">
        <v>4211</v>
      </c>
      <c r="N4542" s="2208">
        <f>J4556-K4556</f>
        <v>0</v>
      </c>
      <c r="O4542" s="345">
        <f>IF($I4542="适用",IF(ROUND(I$4504-I$4513-N4542,2)=0,"F/S",ROUND(I$4504-I$4513-N4542,2)),"#N/A")</f>
        <v>100049697.78</v>
      </c>
      <c r="P4542" s="301"/>
      <c r="Q4542" s="290" t="str">
        <f>IF($I4542="不适用","",IF(ROUND(SUM($H$4547:$K$4556),2)=0,"请输入",""))</f>
        <v/>
      </c>
      <c r="S4542" s="364"/>
      <c r="Z4542" s="609" t="s">
        <v>4221</v>
      </c>
      <c r="AA4542" s="609" t="s">
        <v>6575</v>
      </c>
    </row>
    <row r="4543" spans="1:27" ht="0.75" customHeight="1">
      <c r="A4543" s="2712"/>
      <c r="B4543" s="371"/>
      <c r="C4543" s="371"/>
      <c r="D4543" s="371"/>
      <c r="E4543" s="586"/>
      <c r="F4543" s="363"/>
      <c r="G4543" s="363" t="s">
        <v>4239</v>
      </c>
      <c r="H4543" s="294" t="s">
        <v>4231</v>
      </c>
      <c r="I4543" s="294" t="s">
        <v>4232</v>
      </c>
      <c r="J4543" s="294" t="s">
        <v>4233</v>
      </c>
      <c r="K4543" s="294" t="s">
        <v>4234</v>
      </c>
      <c r="L4543" s="291"/>
      <c r="M4543" s="291"/>
      <c r="N4543" s="291"/>
      <c r="O4543" s="291"/>
      <c r="S4543" s="364"/>
      <c r="Z4543" s="609" t="s">
        <v>4221</v>
      </c>
      <c r="AA4543" s="609" t="s">
        <v>6575</v>
      </c>
    </row>
    <row r="4544" spans="1:27" ht="0.75" customHeight="1" thickBot="1">
      <c r="A4544" s="2712"/>
      <c r="B4544" s="371"/>
      <c r="C4544" s="371"/>
      <c r="D4544" s="371"/>
      <c r="E4544" s="586"/>
      <c r="F4544" s="363"/>
      <c r="G4544" s="363"/>
      <c r="H4544" s="294" t="s">
        <v>4235</v>
      </c>
      <c r="I4544" s="294" t="s">
        <v>4236</v>
      </c>
      <c r="J4544" s="294" t="s">
        <v>4237</v>
      </c>
      <c r="K4544" s="294" t="s">
        <v>4238</v>
      </c>
      <c r="L4544" s="291"/>
      <c r="M4544" s="291"/>
      <c r="N4544" s="291"/>
      <c r="O4544" s="291"/>
      <c r="S4544" s="364"/>
      <c r="Z4544" s="609" t="s">
        <v>4221</v>
      </c>
      <c r="AA4544" s="609" t="s">
        <v>6575</v>
      </c>
    </row>
    <row r="4545" spans="1:27" ht="18">
      <c r="A4545" s="2712"/>
      <c r="B4545" s="371"/>
      <c r="C4545" s="371"/>
      <c r="D4545" s="371"/>
      <c r="E4545" s="586" t="s">
        <v>2749</v>
      </c>
      <c r="F4545" s="363"/>
      <c r="G4545" s="3462" t="s">
        <v>1861</v>
      </c>
      <c r="H4545" s="3466" t="str">
        <f>$V$4</f>
        <v>2019年度</v>
      </c>
      <c r="I4545" s="3571"/>
      <c r="J4545" s="3466" t="str">
        <f>$V$5</f>
        <v>2018年度</v>
      </c>
      <c r="K4545" s="3543"/>
      <c r="L4545" s="355" t="s">
        <v>5324</v>
      </c>
      <c r="M4545" s="291"/>
      <c r="N4545" s="291"/>
      <c r="O4545" s="291"/>
      <c r="S4545" s="364"/>
      <c r="Z4545" s="609" t="s">
        <v>4221</v>
      </c>
      <c r="AA4545" s="609" t="s">
        <v>6575</v>
      </c>
    </row>
    <row r="4546" spans="1:27" ht="18">
      <c r="A4546" s="2712"/>
      <c r="B4546" s="371"/>
      <c r="C4546" s="371"/>
      <c r="D4546" s="371"/>
      <c r="E4546" s="586" t="s">
        <v>2749</v>
      </c>
      <c r="F4546" s="363"/>
      <c r="G4546" s="3463"/>
      <c r="H4546" s="2441" t="s">
        <v>4218</v>
      </c>
      <c r="I4546" s="2441" t="s">
        <v>3411</v>
      </c>
      <c r="J4546" s="2441" t="s">
        <v>4218</v>
      </c>
      <c r="K4546" s="2448" t="s">
        <v>3411</v>
      </c>
      <c r="L4546" s="291"/>
      <c r="M4546" s="291"/>
      <c r="N4546" s="291"/>
      <c r="O4546" s="291"/>
      <c r="S4546" s="364"/>
      <c r="Z4546" s="609" t="s">
        <v>4221</v>
      </c>
      <c r="AA4546" s="609" t="s">
        <v>6575</v>
      </c>
    </row>
    <row r="4547" spans="1:27" ht="18">
      <c r="A4547" s="2712"/>
      <c r="B4547" s="371">
        <v>101</v>
      </c>
      <c r="C4547" s="371" t="s">
        <v>2791</v>
      </c>
      <c r="D4547" s="2714">
        <f t="shared" ref="D4547:D4556" si="510">IF(OR(G4547="*",G4547="",G4547=0),0,COUNTIF($G$4547:$G$4556,G4547))</f>
        <v>1</v>
      </c>
      <c r="E4547" s="2719">
        <v>1</v>
      </c>
      <c r="F4547" s="294"/>
      <c r="G4547" s="2446" t="s">
        <v>7434</v>
      </c>
      <c r="H4547" s="2273">
        <v>202274008.72999999</v>
      </c>
      <c r="I4547" s="2273">
        <v>171181455.72999999</v>
      </c>
      <c r="J4547" s="2273"/>
      <c r="K4547" s="2294"/>
      <c r="L4547" s="291"/>
      <c r="M4547" s="291"/>
      <c r="N4547" s="291"/>
      <c r="O4547" s="291"/>
      <c r="S4547" s="364"/>
      <c r="Z4547" s="609" t="s">
        <v>4221</v>
      </c>
      <c r="AA4547" s="609" t="s">
        <v>6575</v>
      </c>
    </row>
    <row r="4548" spans="1:27" ht="18">
      <c r="A4548" s="2712"/>
      <c r="B4548" s="371">
        <v>102</v>
      </c>
      <c r="C4548" s="371" t="s">
        <v>2791</v>
      </c>
      <c r="D4548" s="2714">
        <f t="shared" si="510"/>
        <v>1</v>
      </c>
      <c r="E4548" s="2719">
        <v>1</v>
      </c>
      <c r="F4548" s="294"/>
      <c r="G4548" s="2446" t="s">
        <v>7435</v>
      </c>
      <c r="H4548" s="2273">
        <v>28919091.84</v>
      </c>
      <c r="I4548" s="2273">
        <v>25839402.73</v>
      </c>
      <c r="J4548" s="2273"/>
      <c r="K4548" s="2294"/>
      <c r="L4548" s="291"/>
      <c r="M4548" s="291"/>
      <c r="N4548" s="291"/>
      <c r="O4548" s="291"/>
      <c r="S4548" s="364"/>
      <c r="Z4548" s="609" t="s">
        <v>4221</v>
      </c>
      <c r="AA4548" s="609" t="s">
        <v>6575</v>
      </c>
    </row>
    <row r="4549" spans="1:27" ht="18">
      <c r="A4549" s="2712"/>
      <c r="B4549" s="371">
        <v>103</v>
      </c>
      <c r="C4549" s="371" t="s">
        <v>2791</v>
      </c>
      <c r="D4549" s="2714">
        <f t="shared" si="510"/>
        <v>0</v>
      </c>
      <c r="E4549" s="2719">
        <v>1</v>
      </c>
      <c r="F4549" s="294"/>
      <c r="G4549" s="2446" t="s">
        <v>2792</v>
      </c>
      <c r="H4549" s="2273"/>
      <c r="I4549" s="2273"/>
      <c r="J4549" s="2273"/>
      <c r="K4549" s="2294"/>
      <c r="L4549" s="291"/>
      <c r="M4549" s="291"/>
      <c r="N4549" s="291"/>
      <c r="O4549" s="291"/>
      <c r="S4549" s="364"/>
      <c r="Z4549" s="609" t="s">
        <v>4221</v>
      </c>
      <c r="AA4549" s="609" t="s">
        <v>6575</v>
      </c>
    </row>
    <row r="4550" spans="1:27" ht="18">
      <c r="A4550" s="2712"/>
      <c r="B4550" s="371">
        <v>104</v>
      </c>
      <c r="C4550" s="371" t="s">
        <v>2791</v>
      </c>
      <c r="D4550" s="2714">
        <f t="shared" si="510"/>
        <v>0</v>
      </c>
      <c r="E4550" s="2719">
        <v>1</v>
      </c>
      <c r="F4550" s="294"/>
      <c r="G4550" s="2446" t="s">
        <v>2792</v>
      </c>
      <c r="H4550" s="2273"/>
      <c r="I4550" s="2273"/>
      <c r="J4550" s="2273"/>
      <c r="K4550" s="2294"/>
      <c r="L4550" s="291"/>
      <c r="M4550" s="291"/>
      <c r="N4550" s="291"/>
      <c r="O4550" s="291"/>
      <c r="S4550" s="364"/>
      <c r="Z4550" s="609" t="s">
        <v>4221</v>
      </c>
      <c r="AA4550" s="609" t="s">
        <v>6575</v>
      </c>
    </row>
    <row r="4551" spans="1:27" ht="18">
      <c r="A4551" s="2712"/>
      <c r="B4551" s="371">
        <v>105</v>
      </c>
      <c r="C4551" s="371" t="s">
        <v>2791</v>
      </c>
      <c r="D4551" s="2714">
        <f t="shared" si="510"/>
        <v>0</v>
      </c>
      <c r="E4551" s="2719">
        <v>1</v>
      </c>
      <c r="F4551" s="294"/>
      <c r="G4551" s="2446" t="s">
        <v>2792</v>
      </c>
      <c r="H4551" s="2273"/>
      <c r="I4551" s="2273"/>
      <c r="J4551" s="2273"/>
      <c r="K4551" s="2294"/>
      <c r="L4551" s="291"/>
      <c r="M4551" s="291"/>
      <c r="N4551" s="291"/>
      <c r="O4551" s="291"/>
      <c r="S4551" s="364"/>
      <c r="Z4551" s="609" t="s">
        <v>4221</v>
      </c>
      <c r="AA4551" s="609" t="s">
        <v>6575</v>
      </c>
    </row>
    <row r="4552" spans="1:27" ht="18">
      <c r="A4552" s="2712"/>
      <c r="B4552" s="371">
        <v>106</v>
      </c>
      <c r="C4552" s="371" t="s">
        <v>2791</v>
      </c>
      <c r="D4552" s="2714">
        <f t="shared" si="510"/>
        <v>0</v>
      </c>
      <c r="E4552" s="2719">
        <v>1</v>
      </c>
      <c r="F4552" s="294"/>
      <c r="G4552" s="2446" t="s">
        <v>2792</v>
      </c>
      <c r="H4552" s="2273"/>
      <c r="I4552" s="2273"/>
      <c r="J4552" s="2273"/>
      <c r="K4552" s="2294"/>
      <c r="L4552" s="291"/>
      <c r="M4552" s="291"/>
      <c r="N4552" s="291"/>
      <c r="O4552" s="291"/>
      <c r="S4552" s="364"/>
      <c r="Z4552" s="609" t="s">
        <v>4221</v>
      </c>
      <c r="AA4552" s="609" t="s">
        <v>6575</v>
      </c>
    </row>
    <row r="4553" spans="1:27" ht="18">
      <c r="A4553" s="2712"/>
      <c r="B4553" s="371">
        <v>107</v>
      </c>
      <c r="C4553" s="371" t="s">
        <v>2791</v>
      </c>
      <c r="D4553" s="2714">
        <f t="shared" si="510"/>
        <v>0</v>
      </c>
      <c r="E4553" s="2719">
        <v>1</v>
      </c>
      <c r="F4553" s="294"/>
      <c r="G4553" s="2446" t="s">
        <v>2792</v>
      </c>
      <c r="H4553" s="2273"/>
      <c r="I4553" s="2273"/>
      <c r="J4553" s="2273"/>
      <c r="K4553" s="2294"/>
      <c r="L4553" s="291"/>
      <c r="M4553" s="291"/>
      <c r="N4553" s="291"/>
      <c r="O4553" s="291"/>
      <c r="S4553" s="364"/>
      <c r="Z4553" s="609" t="s">
        <v>4221</v>
      </c>
      <c r="AA4553" s="609" t="s">
        <v>6575</v>
      </c>
    </row>
    <row r="4554" spans="1:27" ht="18">
      <c r="A4554" s="2712"/>
      <c r="B4554" s="371">
        <v>108</v>
      </c>
      <c r="C4554" s="371" t="s">
        <v>2791</v>
      </c>
      <c r="D4554" s="2714">
        <f t="shared" si="510"/>
        <v>0</v>
      </c>
      <c r="E4554" s="2719">
        <v>1</v>
      </c>
      <c r="F4554" s="294"/>
      <c r="G4554" s="2446" t="s">
        <v>2792</v>
      </c>
      <c r="H4554" s="2273"/>
      <c r="I4554" s="2273"/>
      <c r="J4554" s="2273"/>
      <c r="K4554" s="2294"/>
      <c r="L4554" s="291"/>
      <c r="M4554" s="291"/>
      <c r="N4554" s="291"/>
      <c r="O4554" s="291"/>
      <c r="S4554" s="364"/>
      <c r="Z4554" s="609" t="s">
        <v>4221</v>
      </c>
      <c r="AA4554" s="609" t="s">
        <v>6575</v>
      </c>
    </row>
    <row r="4555" spans="1:27" ht="18">
      <c r="A4555" s="2712"/>
      <c r="B4555" s="371">
        <v>109</v>
      </c>
      <c r="C4555" s="371" t="s">
        <v>2791</v>
      </c>
      <c r="D4555" s="2714">
        <f t="shared" si="510"/>
        <v>0</v>
      </c>
      <c r="E4555" s="2719">
        <v>1</v>
      </c>
      <c r="F4555" s="294"/>
      <c r="G4555" s="2446" t="s">
        <v>2792</v>
      </c>
      <c r="H4555" s="2273"/>
      <c r="I4555" s="2273"/>
      <c r="J4555" s="2273"/>
      <c r="K4555" s="2294"/>
      <c r="L4555" s="291"/>
      <c r="M4555" s="291"/>
      <c r="N4555" s="291"/>
      <c r="O4555" s="291"/>
      <c r="S4555" s="364"/>
      <c r="Z4555" s="609" t="s">
        <v>4221</v>
      </c>
      <c r="AA4555" s="609" t="s">
        <v>6575</v>
      </c>
    </row>
    <row r="4556" spans="1:27" ht="18.75" thickBot="1">
      <c r="A4556" s="2712"/>
      <c r="B4556" s="371"/>
      <c r="C4556" s="371"/>
      <c r="D4556" s="2714">
        <f t="shared" si="510"/>
        <v>1</v>
      </c>
      <c r="E4556" s="2719" t="s">
        <v>2751</v>
      </c>
      <c r="F4556" s="294"/>
      <c r="G4556" s="2232" t="s">
        <v>2752</v>
      </c>
      <c r="H4556" s="2233">
        <f>SUMPRODUCT($E4546:$E4555,H4546:H4555)</f>
        <v>231193100.56999999</v>
      </c>
      <c r="I4556" s="2233">
        <f>SUMPRODUCT($E4546:$E4555,I4546:I4555)</f>
        <v>197020858.46000001</v>
      </c>
      <c r="J4556" s="2233">
        <f>SUMPRODUCT($E4546:$E4555,J4546:J4555)</f>
        <v>0</v>
      </c>
      <c r="K4556" s="2234">
        <f>SUMPRODUCT($E4546:$E4555,K4546:K4555)</f>
        <v>0</v>
      </c>
      <c r="L4556" s="291"/>
      <c r="M4556" s="291"/>
      <c r="N4556" s="291"/>
      <c r="O4556" s="291"/>
      <c r="S4556" s="364"/>
      <c r="Z4556" s="609" t="s">
        <v>4221</v>
      </c>
      <c r="AA4556" s="609" t="s">
        <v>6575</v>
      </c>
    </row>
    <row r="4557" spans="1:27" ht="18.75" thickBot="1">
      <c r="A4557" s="2712"/>
      <c r="B4557" s="371"/>
      <c r="C4557" s="371" t="s">
        <v>2755</v>
      </c>
      <c r="D4557" s="371"/>
      <c r="F4557" s="294"/>
      <c r="G4557" s="301"/>
      <c r="H4557" s="315" t="s">
        <v>3002</v>
      </c>
      <c r="I4557" s="315" t="s">
        <v>3002</v>
      </c>
      <c r="J4557" s="315" t="s">
        <v>3002</v>
      </c>
      <c r="K4557" s="315" t="s">
        <v>3002</v>
      </c>
      <c r="L4557" s="291"/>
      <c r="M4557" s="291"/>
      <c r="N4557" s="291"/>
      <c r="O4557" s="291"/>
      <c r="S4557" s="364"/>
      <c r="Z4557" s="609" t="s">
        <v>4221</v>
      </c>
      <c r="AA4557" s="609" t="s">
        <v>6575</v>
      </c>
    </row>
    <row r="4558" spans="1:27" ht="18.75" thickTop="1">
      <c r="A4558" s="2712"/>
      <c r="B4558" s="371"/>
      <c r="C4558" s="371" t="s">
        <v>2565</v>
      </c>
      <c r="D4558" s="371"/>
      <c r="F4558" s="294"/>
      <c r="G4558" s="454" t="s">
        <v>2756</v>
      </c>
      <c r="H4558" s="455" t="str">
        <f>$G$4500</f>
        <v>(2)营业收入明细项目</v>
      </c>
      <c r="I4558" s="455"/>
      <c r="J4558" s="455" t="str">
        <f>$G$4509</f>
        <v>(3)营业成本明细项目</v>
      </c>
      <c r="K4558" s="487"/>
      <c r="L4558" s="291"/>
      <c r="M4558" s="291"/>
      <c r="N4558" s="291"/>
      <c r="O4558" s="291"/>
      <c r="S4558" s="364"/>
      <c r="Z4558" s="609" t="s">
        <v>4221</v>
      </c>
      <c r="AA4558" s="609" t="s">
        <v>6575</v>
      </c>
    </row>
    <row r="4559" spans="1:27" ht="18">
      <c r="A4559" s="2712"/>
      <c r="B4559" s="371"/>
      <c r="C4559" s="371" t="s">
        <v>2565</v>
      </c>
      <c r="D4559" s="371"/>
      <c r="F4559" s="294"/>
      <c r="G4559" s="316" t="str">
        <f>$G$4504</f>
        <v>其中：主营业务收入</v>
      </c>
      <c r="H4559" s="2250">
        <f ca="1">HYPERLINK("#'"&amp;$G$1&amp;"'!"&amp;ADDRESS(ROW(Notes!H4504),COLUMN(Notes!H4504),4),$H$4504)</f>
        <v>231193100.56999999</v>
      </c>
      <c r="I4559" s="2250">
        <f ca="1">HYPERLINK("#'"&amp;$G$1&amp;"'!"&amp;ADDRESS(ROW(Notes!H4513),COLUMN(Notes!H4513),4),$H$4513)</f>
        <v>197020858.46000001</v>
      </c>
      <c r="J4559" s="2250">
        <f ca="1">HYPERLINK("#'"&amp;$G$1&amp;"'!"&amp;ADDRESS(ROW(Notes!I4504),COLUMN(Notes!I4504),4),$I$4504)</f>
        <v>339814475.76999998</v>
      </c>
      <c r="K4559" s="2250">
        <f ca="1">HYPERLINK("#'"&amp;$G$1&amp;"'!"&amp;ADDRESS(ROW(Notes!I4513),COLUMN(Notes!I4513),4),$I$4513)</f>
        <v>239764777.99000001</v>
      </c>
      <c r="L4559" s="291"/>
      <c r="M4559" s="291"/>
      <c r="N4559" s="291"/>
      <c r="O4559" s="291"/>
      <c r="S4559" s="364"/>
      <c r="Z4559" s="609" t="s">
        <v>4221</v>
      </c>
      <c r="AA4559" s="609" t="s">
        <v>6575</v>
      </c>
    </row>
    <row r="4560" spans="1:27" ht="18">
      <c r="A4560" s="2712"/>
      <c r="B4560" s="371"/>
      <c r="C4560" s="371" t="s">
        <v>2565</v>
      </c>
      <c r="D4560" s="371"/>
      <c r="F4560" s="294"/>
      <c r="G4560" s="316" t="s">
        <v>3003</v>
      </c>
      <c r="H4560" s="456">
        <f>H4556</f>
        <v>231193100.56999999</v>
      </c>
      <c r="I4560" s="456">
        <f>I4556</f>
        <v>197020858.46000001</v>
      </c>
      <c r="J4560" s="456">
        <f>J4556</f>
        <v>0</v>
      </c>
      <c r="K4560" s="456">
        <f>K4556</f>
        <v>0</v>
      </c>
      <c r="L4560" s="291"/>
      <c r="M4560" s="291"/>
      <c r="N4560" s="291"/>
      <c r="O4560" s="291"/>
      <c r="S4560" s="364"/>
      <c r="Z4560" s="609" t="s">
        <v>4221</v>
      </c>
      <c r="AA4560" s="609" t="s">
        <v>6575</v>
      </c>
    </row>
    <row r="4561" spans="1:27" ht="18.75" thickBot="1">
      <c r="A4561" s="2712"/>
      <c r="B4561" s="371"/>
      <c r="C4561" s="371" t="s">
        <v>2565</v>
      </c>
      <c r="D4561" s="371"/>
      <c r="F4561" s="294"/>
      <c r="G4561" s="457" t="s">
        <v>2757</v>
      </c>
      <c r="H4561" s="458">
        <f ca="1">IF(AND(H4559="",H4560=""),"",ROUND(H4559-H4560,2))</f>
        <v>0</v>
      </c>
      <c r="I4561" s="458">
        <f ca="1">IF(AND(I4559="",I4560=""),"",ROUND(I4559-I4560,2))</f>
        <v>0</v>
      </c>
      <c r="J4561" s="458">
        <f ca="1">IF(AND(J4559="",J4560=""),"",ROUND(J4559-J4560,2))</f>
        <v>339814475.76999998</v>
      </c>
      <c r="K4561" s="458">
        <f ca="1">IF(AND(K4559="",K4560=""),"",ROUND(K4559-K4560,2))</f>
        <v>239764777.99000001</v>
      </c>
      <c r="L4561" s="291"/>
      <c r="M4561" s="291"/>
      <c r="N4561" s="291"/>
      <c r="O4561" s="291"/>
      <c r="S4561" s="364"/>
      <c r="Z4561" s="609" t="s">
        <v>4221</v>
      </c>
      <c r="AA4561" s="609" t="s">
        <v>6575</v>
      </c>
    </row>
    <row r="4562" spans="1:27" ht="18.75" thickTop="1">
      <c r="A4562" s="2712"/>
      <c r="B4562" s="371"/>
      <c r="C4562" s="371" t="s">
        <v>2565</v>
      </c>
      <c r="D4562" s="371"/>
      <c r="F4562" s="294"/>
      <c r="G4562" s="354"/>
      <c r="H4562" s="459" t="str">
        <f ca="1">IF(OR(H4561=0,H4561=""),"√","？")</f>
        <v>√</v>
      </c>
      <c r="I4562" s="459" t="str">
        <f ca="1">IF(OR(I4561=0,I4561=""),"√","？")</f>
        <v>√</v>
      </c>
      <c r="J4562" s="459" t="str">
        <f ca="1">IF(OR(J4561=0,J4561=""),"√","？")</f>
        <v>？</v>
      </c>
      <c r="K4562" s="459" t="str">
        <f ca="1">IF(OR(K4561=0,K4561=""),"√","？")</f>
        <v>？</v>
      </c>
      <c r="L4562" s="291"/>
      <c r="M4562" s="291"/>
      <c r="N4562" s="291"/>
      <c r="O4562" s="291"/>
      <c r="S4562" s="364"/>
      <c r="Z4562" s="609" t="s">
        <v>4221</v>
      </c>
      <c r="AA4562" s="609" t="s">
        <v>6575</v>
      </c>
    </row>
    <row r="4563" spans="1:27" ht="18">
      <c r="A4563" s="2712"/>
      <c r="B4563" s="371"/>
      <c r="C4563" s="371" t="s">
        <v>2565</v>
      </c>
      <c r="D4563" s="371"/>
      <c r="F4563" s="294"/>
      <c r="G4563" s="460" t="s">
        <v>2759</v>
      </c>
      <c r="H4563" s="461"/>
      <c r="I4563" s="461"/>
      <c r="J4563" s="461"/>
      <c r="K4563" s="605">
        <f ca="1">SUMIF($H$4562:$K$4562,"&lt;&gt;√",$H$4561:$K$4561)</f>
        <v>579579253.75999999</v>
      </c>
      <c r="L4563" s="475" t="str">
        <f ca="1">IF(OR(K4563=0,K4563=""),"√","？")</f>
        <v>？</v>
      </c>
      <c r="M4563" s="291"/>
      <c r="N4563" s="291"/>
      <c r="O4563" s="291"/>
      <c r="S4563" s="364"/>
      <c r="Z4563" s="609" t="s">
        <v>4221</v>
      </c>
      <c r="AA4563" s="609" t="s">
        <v>6575</v>
      </c>
    </row>
    <row r="4564" spans="1:27" ht="18">
      <c r="A4564" s="2712"/>
      <c r="B4564" s="371"/>
      <c r="C4564" s="371" t="s">
        <v>2565</v>
      </c>
      <c r="D4564" s="371"/>
      <c r="F4564" s="294"/>
      <c r="G4564" s="354"/>
      <c r="H4564" s="461"/>
      <c r="I4564" s="461"/>
      <c r="J4564" s="461"/>
      <c r="K4564" s="461"/>
      <c r="L4564" s="291"/>
      <c r="M4564" s="291"/>
      <c r="N4564" s="291"/>
      <c r="O4564" s="291"/>
      <c r="S4564" s="364"/>
      <c r="Z4564" s="609" t="s">
        <v>4221</v>
      </c>
      <c r="AA4564" s="609" t="s">
        <v>6575</v>
      </c>
    </row>
    <row r="4565" spans="1:27" ht="18">
      <c r="A4565" s="2712" t="s">
        <v>1863</v>
      </c>
      <c r="B4565" s="371">
        <v>6</v>
      </c>
      <c r="C4565" s="371"/>
      <c r="D4565" s="2714" t="str">
        <f>VLOOKUP($A4565,Sheet_NoteList,2,0)</f>
        <v>主营业务（分地区）</v>
      </c>
      <c r="E4565" s="2714" t="s">
        <v>2742</v>
      </c>
      <c r="F4565" s="294"/>
      <c r="G4565" s="307" t="str">
        <f>"("&amp;B4565&amp;")"&amp;D4565</f>
        <v>(6)主营业务（分地区）</v>
      </c>
      <c r="H4565" s="1515" t="str">
        <f>$A4565</f>
        <v>6064e</v>
      </c>
      <c r="I4565" s="343" t="s">
        <v>2743</v>
      </c>
      <c r="J4565" s="301" t="s">
        <v>4210</v>
      </c>
      <c r="K4565" s="2208">
        <f>H4575-I4575</f>
        <v>34172242.109999999</v>
      </c>
      <c r="L4565" s="345" t="str">
        <f>IF($I4565="适用",IF(ROUND(H$4504-H$4513-K4565,2)=0,"F/S",ROUND(H$4504-H$4513-K4565,2)),"#N/A")</f>
        <v>F/S</v>
      </c>
      <c r="M4565" s="301" t="s">
        <v>4211</v>
      </c>
      <c r="N4565" s="2208">
        <f>J4575-K4575</f>
        <v>0</v>
      </c>
      <c r="O4565" s="345">
        <f>IF($I4565="适用",IF(ROUND(I$4504-I$4513-N4565,2)=0,"F/S",ROUND(I$4504-I$4513-N4565,2)),"#N/A")</f>
        <v>100049697.78</v>
      </c>
      <c r="P4565" s="301"/>
      <c r="Q4565" s="290" t="str">
        <f>IF($I4565="不适用","",IF(ROUND(SUM($H$4570:$K$4575),2)=0,"请输入",""))</f>
        <v/>
      </c>
      <c r="S4565" s="364"/>
      <c r="Z4565" s="609" t="s">
        <v>4221</v>
      </c>
      <c r="AA4565" s="609" t="s">
        <v>6575</v>
      </c>
    </row>
    <row r="4566" spans="1:27" ht="0.75" customHeight="1">
      <c r="A4566" s="2712"/>
      <c r="B4566" s="371"/>
      <c r="C4566" s="371"/>
      <c r="D4566" s="371"/>
      <c r="E4566" s="586"/>
      <c r="F4566" s="363"/>
      <c r="G4566" s="363" t="s">
        <v>4240</v>
      </c>
      <c r="H4566" s="294" t="s">
        <v>4231</v>
      </c>
      <c r="I4566" s="294" t="s">
        <v>4232</v>
      </c>
      <c r="J4566" s="294" t="s">
        <v>4233</v>
      </c>
      <c r="K4566" s="294" t="s">
        <v>4234</v>
      </c>
      <c r="L4566" s="291"/>
      <c r="M4566" s="291"/>
      <c r="N4566" s="291"/>
      <c r="O4566" s="291"/>
      <c r="S4566" s="364"/>
      <c r="Z4566" s="609" t="s">
        <v>4221</v>
      </c>
      <c r="AA4566" s="609" t="s">
        <v>6575</v>
      </c>
    </row>
    <row r="4567" spans="1:27" ht="0.75" customHeight="1" thickBot="1">
      <c r="A4567" s="2712"/>
      <c r="B4567" s="371"/>
      <c r="C4567" s="371"/>
      <c r="D4567" s="371"/>
      <c r="E4567" s="586"/>
      <c r="F4567" s="363"/>
      <c r="G4567" s="363"/>
      <c r="H4567" s="294" t="s">
        <v>4235</v>
      </c>
      <c r="I4567" s="294" t="s">
        <v>4236</v>
      </c>
      <c r="J4567" s="294" t="s">
        <v>4237</v>
      </c>
      <c r="K4567" s="294" t="s">
        <v>4238</v>
      </c>
      <c r="L4567" s="291"/>
      <c r="M4567" s="291"/>
      <c r="N4567" s="291"/>
      <c r="O4567" s="291"/>
      <c r="S4567" s="364"/>
      <c r="Z4567" s="609" t="s">
        <v>4221</v>
      </c>
      <c r="AA4567" s="609" t="s">
        <v>6575</v>
      </c>
    </row>
    <row r="4568" spans="1:27" ht="18">
      <c r="A4568" s="2712"/>
      <c r="B4568" s="371"/>
      <c r="C4568" s="371"/>
      <c r="D4568" s="371"/>
      <c r="E4568" s="586" t="s">
        <v>2749</v>
      </c>
      <c r="F4568" s="363"/>
      <c r="G4568" s="3462" t="s">
        <v>1865</v>
      </c>
      <c r="H4568" s="3466" t="str">
        <f>$V$4</f>
        <v>2019年度</v>
      </c>
      <c r="I4568" s="3571"/>
      <c r="J4568" s="3466" t="str">
        <f>$V$5</f>
        <v>2018年度</v>
      </c>
      <c r="K4568" s="3543"/>
      <c r="L4568" s="355" t="s">
        <v>5324</v>
      </c>
      <c r="M4568" s="291"/>
      <c r="N4568" s="291"/>
      <c r="O4568" s="291"/>
      <c r="S4568" s="364"/>
      <c r="Z4568" s="609" t="s">
        <v>4221</v>
      </c>
      <c r="AA4568" s="609" t="s">
        <v>6575</v>
      </c>
    </row>
    <row r="4569" spans="1:27" ht="18">
      <c r="A4569" s="2712"/>
      <c r="B4569" s="371"/>
      <c r="C4569" s="371"/>
      <c r="D4569" s="371"/>
      <c r="E4569" s="586" t="s">
        <v>2749</v>
      </c>
      <c r="F4569" s="363"/>
      <c r="G4569" s="3463"/>
      <c r="H4569" s="2441" t="s">
        <v>4218</v>
      </c>
      <c r="I4569" s="2441" t="s">
        <v>3411</v>
      </c>
      <c r="J4569" s="2441" t="s">
        <v>4218</v>
      </c>
      <c r="K4569" s="2448" t="s">
        <v>3411</v>
      </c>
      <c r="L4569" s="291"/>
      <c r="M4569" s="291"/>
      <c r="N4569" s="291"/>
      <c r="O4569" s="291"/>
      <c r="S4569" s="364"/>
      <c r="Z4569" s="609" t="s">
        <v>4221</v>
      </c>
      <c r="AA4569" s="609" t="s">
        <v>6575</v>
      </c>
    </row>
    <row r="4570" spans="1:27" ht="18">
      <c r="A4570" s="2712"/>
      <c r="B4570" s="371">
        <v>101</v>
      </c>
      <c r="C4570" s="371" t="s">
        <v>2791</v>
      </c>
      <c r="D4570" s="2714">
        <f t="shared" ref="D4570:D4575" si="511">IF(OR(G4570="*",G4570="",G4570=0),0,COUNTIF($G$4570:$G$4575,G4570))</f>
        <v>1</v>
      </c>
      <c r="E4570" s="2719">
        <v>1</v>
      </c>
      <c r="F4570" s="294"/>
      <c r="G4570" s="2446" t="s">
        <v>7436</v>
      </c>
      <c r="H4570" s="2273">
        <v>144745550.37</v>
      </c>
      <c r="I4570" s="2273">
        <v>123034928.3</v>
      </c>
      <c r="J4570" s="2273"/>
      <c r="K4570" s="2294"/>
      <c r="L4570" s="291"/>
      <c r="M4570" s="291"/>
      <c r="N4570" s="291"/>
      <c r="O4570" s="291"/>
      <c r="S4570" s="364"/>
      <c r="Z4570" s="609" t="s">
        <v>4221</v>
      </c>
      <c r="AA4570" s="609" t="s">
        <v>6575</v>
      </c>
    </row>
    <row r="4571" spans="1:27" ht="18">
      <c r="A4571" s="2712"/>
      <c r="B4571" s="371">
        <v>102</v>
      </c>
      <c r="C4571" s="371" t="s">
        <v>2791</v>
      </c>
      <c r="D4571" s="2714">
        <f t="shared" si="511"/>
        <v>1</v>
      </c>
      <c r="E4571" s="2719">
        <v>1</v>
      </c>
      <c r="F4571" s="294"/>
      <c r="G4571" s="2446" t="s">
        <v>7437</v>
      </c>
      <c r="H4571" s="2273">
        <v>86447550.200000003</v>
      </c>
      <c r="I4571" s="2273">
        <v>73985930.159999996</v>
      </c>
      <c r="J4571" s="2273"/>
      <c r="K4571" s="2294"/>
      <c r="L4571" s="291"/>
      <c r="M4571" s="291"/>
      <c r="N4571" s="291"/>
      <c r="O4571" s="291"/>
      <c r="S4571" s="364"/>
      <c r="Z4571" s="609" t="s">
        <v>4221</v>
      </c>
      <c r="AA4571" s="609" t="s">
        <v>6575</v>
      </c>
    </row>
    <row r="4572" spans="1:27" ht="18">
      <c r="A4572" s="2712"/>
      <c r="B4572" s="371">
        <v>103</v>
      </c>
      <c r="C4572" s="371" t="s">
        <v>2791</v>
      </c>
      <c r="D4572" s="2714">
        <f t="shared" si="511"/>
        <v>0</v>
      </c>
      <c r="E4572" s="2719">
        <v>1</v>
      </c>
      <c r="F4572" s="294"/>
      <c r="G4572" s="2446" t="s">
        <v>2792</v>
      </c>
      <c r="H4572" s="2273"/>
      <c r="I4572" s="2273"/>
      <c r="J4572" s="2273"/>
      <c r="K4572" s="2294"/>
      <c r="L4572" s="291"/>
      <c r="M4572" s="291"/>
      <c r="N4572" s="291"/>
      <c r="O4572" s="291"/>
      <c r="S4572" s="364"/>
      <c r="Z4572" s="609" t="s">
        <v>4221</v>
      </c>
      <c r="AA4572" s="609" t="s">
        <v>6575</v>
      </c>
    </row>
    <row r="4573" spans="1:27" ht="18">
      <c r="A4573" s="2712"/>
      <c r="B4573" s="371">
        <v>104</v>
      </c>
      <c r="C4573" s="371" t="s">
        <v>2791</v>
      </c>
      <c r="D4573" s="2714">
        <f t="shared" si="511"/>
        <v>0</v>
      </c>
      <c r="E4573" s="2719">
        <v>1</v>
      </c>
      <c r="F4573" s="294"/>
      <c r="G4573" s="2446" t="s">
        <v>2792</v>
      </c>
      <c r="H4573" s="2273"/>
      <c r="I4573" s="2273"/>
      <c r="J4573" s="2273"/>
      <c r="K4573" s="2294"/>
      <c r="L4573" s="291"/>
      <c r="M4573" s="291"/>
      <c r="N4573" s="291"/>
      <c r="O4573" s="291"/>
      <c r="S4573" s="364"/>
      <c r="Z4573" s="609" t="s">
        <v>4221</v>
      </c>
      <c r="AA4573" s="609" t="s">
        <v>6575</v>
      </c>
    </row>
    <row r="4574" spans="1:27" ht="18">
      <c r="A4574" s="2712"/>
      <c r="B4574" s="371">
        <v>105</v>
      </c>
      <c r="C4574" s="371" t="s">
        <v>2791</v>
      </c>
      <c r="D4574" s="2714">
        <f t="shared" si="511"/>
        <v>0</v>
      </c>
      <c r="E4574" s="2719">
        <v>1</v>
      </c>
      <c r="F4574" s="294"/>
      <c r="G4574" s="2446" t="s">
        <v>2792</v>
      </c>
      <c r="H4574" s="2273"/>
      <c r="I4574" s="2273"/>
      <c r="J4574" s="2273"/>
      <c r="K4574" s="2294"/>
      <c r="L4574" s="291"/>
      <c r="M4574" s="291"/>
      <c r="N4574" s="291"/>
      <c r="O4574" s="291"/>
      <c r="S4574" s="364"/>
      <c r="Z4574" s="609" t="s">
        <v>4221</v>
      </c>
      <c r="AA4574" s="609" t="s">
        <v>6575</v>
      </c>
    </row>
    <row r="4575" spans="1:27" ht="18.75" thickBot="1">
      <c r="A4575" s="2712"/>
      <c r="B4575" s="371"/>
      <c r="C4575" s="371"/>
      <c r="D4575" s="2714">
        <f t="shared" si="511"/>
        <v>1</v>
      </c>
      <c r="E4575" s="2719" t="s">
        <v>2751</v>
      </c>
      <c r="F4575" s="294"/>
      <c r="G4575" s="2232" t="s">
        <v>2752</v>
      </c>
      <c r="H4575" s="2233">
        <f>SUMPRODUCT($E4569:$E4574,H4569:H4574)</f>
        <v>231193100.56999999</v>
      </c>
      <c r="I4575" s="2233">
        <f>SUMPRODUCT($E4569:$E4574,I4569:I4574)</f>
        <v>197020858.46000001</v>
      </c>
      <c r="J4575" s="2233">
        <f>SUMPRODUCT($E4569:$E4574,J4569:J4574)</f>
        <v>0</v>
      </c>
      <c r="K4575" s="2234">
        <f>SUMPRODUCT($E4569:$E4574,K4569:K4574)</f>
        <v>0</v>
      </c>
      <c r="L4575" s="291"/>
      <c r="M4575" s="291"/>
      <c r="N4575" s="291"/>
      <c r="O4575" s="291"/>
      <c r="S4575" s="364"/>
      <c r="Z4575" s="609" t="s">
        <v>4221</v>
      </c>
      <c r="AA4575" s="609" t="s">
        <v>6575</v>
      </c>
    </row>
    <row r="4576" spans="1:27" ht="18.75" thickBot="1">
      <c r="A4576" s="2712"/>
      <c r="B4576" s="371"/>
      <c r="C4576" s="371" t="s">
        <v>2755</v>
      </c>
      <c r="D4576" s="371"/>
      <c r="F4576" s="294"/>
      <c r="G4576" s="301"/>
      <c r="H4576" s="315" t="s">
        <v>3002</v>
      </c>
      <c r="I4576" s="315" t="s">
        <v>3002</v>
      </c>
      <c r="J4576" s="315" t="s">
        <v>3002</v>
      </c>
      <c r="K4576" s="315" t="s">
        <v>3002</v>
      </c>
      <c r="L4576" s="291"/>
      <c r="M4576" s="291"/>
      <c r="N4576" s="291"/>
      <c r="O4576" s="291"/>
      <c r="S4576" s="364"/>
      <c r="Z4576" s="609" t="s">
        <v>4221</v>
      </c>
      <c r="AA4576" s="609" t="s">
        <v>6575</v>
      </c>
    </row>
    <row r="4577" spans="1:27" ht="18.75" thickTop="1">
      <c r="A4577" s="2712"/>
      <c r="B4577" s="371"/>
      <c r="C4577" s="371" t="s">
        <v>2565</v>
      </c>
      <c r="D4577" s="371"/>
      <c r="F4577" s="294"/>
      <c r="G4577" s="454" t="s">
        <v>2756</v>
      </c>
      <c r="H4577" s="455" t="str">
        <f>$G$4500</f>
        <v>(2)营业收入明细项目</v>
      </c>
      <c r="I4577" s="455"/>
      <c r="J4577" s="455" t="str">
        <f>$G$4509</f>
        <v>(3)营业成本明细项目</v>
      </c>
      <c r="K4577" s="487"/>
      <c r="L4577" s="291"/>
      <c r="M4577" s="291"/>
      <c r="N4577" s="291"/>
      <c r="O4577" s="291"/>
      <c r="S4577" s="364"/>
      <c r="Z4577" s="609" t="s">
        <v>4221</v>
      </c>
      <c r="AA4577" s="609" t="s">
        <v>6575</v>
      </c>
    </row>
    <row r="4578" spans="1:27" ht="18">
      <c r="A4578" s="2712"/>
      <c r="B4578" s="371"/>
      <c r="C4578" s="371" t="s">
        <v>2565</v>
      </c>
      <c r="D4578" s="371"/>
      <c r="F4578" s="294"/>
      <c r="G4578" s="316" t="str">
        <f>$G$4504</f>
        <v>其中：主营业务收入</v>
      </c>
      <c r="H4578" s="2250">
        <f ca="1">HYPERLINK("#'"&amp;$G$1&amp;"'!"&amp;ADDRESS(ROW(Notes!H4504),COLUMN(Notes!H4504),4),$H$4504)</f>
        <v>231193100.56999999</v>
      </c>
      <c r="I4578" s="2250">
        <f ca="1">HYPERLINK("#'"&amp;$G$1&amp;"'!"&amp;ADDRESS(ROW(Notes!H4513),COLUMN(Notes!H4513),4),$H$4513)</f>
        <v>197020858.46000001</v>
      </c>
      <c r="J4578" s="2250">
        <f ca="1">HYPERLINK("#'"&amp;$G$1&amp;"'!"&amp;ADDRESS(ROW(Notes!I4504),COLUMN(Notes!I4504),4),$I$4504)</f>
        <v>339814475.76999998</v>
      </c>
      <c r="K4578" s="2250">
        <f ca="1">HYPERLINK("#'"&amp;$G$1&amp;"'!"&amp;ADDRESS(ROW(Notes!I4513),COLUMN(Notes!I4513),4),$I$4513)</f>
        <v>239764777.99000001</v>
      </c>
      <c r="L4578" s="291"/>
      <c r="M4578" s="291"/>
      <c r="N4578" s="291"/>
      <c r="O4578" s="291"/>
      <c r="S4578" s="364"/>
      <c r="Z4578" s="609" t="s">
        <v>4221</v>
      </c>
      <c r="AA4578" s="609" t="s">
        <v>6575</v>
      </c>
    </row>
    <row r="4579" spans="1:27" ht="18">
      <c r="A4579" s="2712"/>
      <c r="B4579" s="371"/>
      <c r="C4579" s="371" t="s">
        <v>2565</v>
      </c>
      <c r="D4579" s="371"/>
      <c r="F4579" s="294"/>
      <c r="G4579" s="316" t="s">
        <v>3003</v>
      </c>
      <c r="H4579" s="456">
        <f>H4575</f>
        <v>231193100.56999999</v>
      </c>
      <c r="I4579" s="456">
        <f>I4575</f>
        <v>197020858.46000001</v>
      </c>
      <c r="J4579" s="456">
        <f>J4575</f>
        <v>0</v>
      </c>
      <c r="K4579" s="456">
        <f>K4575</f>
        <v>0</v>
      </c>
      <c r="L4579" s="291"/>
      <c r="M4579" s="291"/>
      <c r="N4579" s="291"/>
      <c r="O4579" s="291"/>
      <c r="S4579" s="364"/>
      <c r="Z4579" s="609" t="s">
        <v>4221</v>
      </c>
      <c r="AA4579" s="609" t="s">
        <v>6575</v>
      </c>
    </row>
    <row r="4580" spans="1:27" ht="18.75" thickBot="1">
      <c r="A4580" s="2712"/>
      <c r="B4580" s="371"/>
      <c r="C4580" s="371" t="s">
        <v>2565</v>
      </c>
      <c r="D4580" s="371"/>
      <c r="F4580" s="294"/>
      <c r="G4580" s="457" t="s">
        <v>2757</v>
      </c>
      <c r="H4580" s="458">
        <f ca="1">IF(AND(H4578="",H4579=""),"",ROUND(H4578-H4579,2))</f>
        <v>0</v>
      </c>
      <c r="I4580" s="458">
        <f ca="1">IF(AND(I4578="",I4579=""),"",ROUND(I4578-I4579,2))</f>
        <v>0</v>
      </c>
      <c r="J4580" s="458">
        <f ca="1">IF(AND(J4578="",J4579=""),"",ROUND(J4578-J4579,2))</f>
        <v>339814475.76999998</v>
      </c>
      <c r="K4580" s="458">
        <f ca="1">IF(AND(K4578="",K4579=""),"",ROUND(K4578-K4579,2))</f>
        <v>239764777.99000001</v>
      </c>
      <c r="L4580" s="291"/>
      <c r="M4580" s="291"/>
      <c r="N4580" s="291"/>
      <c r="O4580" s="291"/>
      <c r="S4580" s="364"/>
      <c r="Z4580" s="609" t="s">
        <v>4221</v>
      </c>
      <c r="AA4580" s="609" t="s">
        <v>6575</v>
      </c>
    </row>
    <row r="4581" spans="1:27" ht="18.75" thickTop="1">
      <c r="A4581" s="2712"/>
      <c r="B4581" s="371"/>
      <c r="C4581" s="371" t="s">
        <v>2565</v>
      </c>
      <c r="D4581" s="371"/>
      <c r="F4581" s="294"/>
      <c r="G4581" s="354"/>
      <c r="H4581" s="459" t="str">
        <f ca="1">IF(OR(H4580=0,H4580=""),"√","？")</f>
        <v>√</v>
      </c>
      <c r="I4581" s="459" t="str">
        <f ca="1">IF(OR(I4580=0,I4580=""),"√","？")</f>
        <v>√</v>
      </c>
      <c r="J4581" s="459" t="str">
        <f ca="1">IF(OR(J4580=0,J4580=""),"√","？")</f>
        <v>？</v>
      </c>
      <c r="K4581" s="459" t="str">
        <f ca="1">IF(OR(K4580=0,K4580=""),"√","？")</f>
        <v>？</v>
      </c>
      <c r="L4581" s="291"/>
      <c r="M4581" s="291"/>
      <c r="N4581" s="291"/>
      <c r="O4581" s="291"/>
      <c r="S4581" s="364"/>
      <c r="Z4581" s="609" t="s">
        <v>4221</v>
      </c>
      <c r="AA4581" s="609" t="s">
        <v>6575</v>
      </c>
    </row>
    <row r="4582" spans="1:27" ht="18">
      <c r="A4582" s="2712"/>
      <c r="B4582" s="371"/>
      <c r="C4582" s="371" t="s">
        <v>2565</v>
      </c>
      <c r="D4582" s="371"/>
      <c r="F4582" s="294"/>
      <c r="G4582" s="460" t="s">
        <v>2759</v>
      </c>
      <c r="H4582" s="461"/>
      <c r="I4582" s="461"/>
      <c r="J4582" s="461"/>
      <c r="K4582" s="605">
        <f ca="1">SUMIF($H$4581:$K$4581,"&lt;&gt;√",$H$4580:$K$4580)</f>
        <v>579579253.75999999</v>
      </c>
      <c r="L4582" s="475" t="str">
        <f ca="1">IF(OR(K4582=0,K4582=""),"√","？")</f>
        <v>？</v>
      </c>
      <c r="M4582" s="291"/>
      <c r="N4582" s="291"/>
      <c r="O4582" s="291"/>
      <c r="S4582" s="364"/>
      <c r="Z4582" s="609" t="s">
        <v>4221</v>
      </c>
      <c r="AA4582" s="609" t="s">
        <v>6575</v>
      </c>
    </row>
    <row r="4583" spans="1:27" ht="18">
      <c r="A4583" s="2712"/>
      <c r="B4583" s="371"/>
      <c r="C4583" s="371" t="s">
        <v>2565</v>
      </c>
      <c r="D4583" s="371"/>
      <c r="F4583" s="294"/>
      <c r="G4583" s="354"/>
      <c r="H4583" s="461"/>
      <c r="I4583" s="461"/>
      <c r="J4583" s="461"/>
      <c r="K4583" s="461"/>
      <c r="L4583" s="291"/>
      <c r="M4583" s="291"/>
      <c r="N4583" s="291"/>
      <c r="O4583" s="291"/>
      <c r="S4583" s="364"/>
      <c r="Z4583" s="609" t="s">
        <v>4221</v>
      </c>
      <c r="AA4583" s="609" t="s">
        <v>6575</v>
      </c>
    </row>
    <row r="4584" spans="1:27" ht="18">
      <c r="A4584" s="2712" t="s">
        <v>1868</v>
      </c>
      <c r="B4584" s="371">
        <v>6</v>
      </c>
      <c r="C4584" s="371"/>
      <c r="D4584" s="2714" t="str">
        <f>VLOOKUP($A4584,Sheet_NoteList,2,0)</f>
        <v>本期销售前十名情况</v>
      </c>
      <c r="E4584" s="2714" t="s">
        <v>6531</v>
      </c>
      <c r="F4584" s="294"/>
      <c r="G4584" s="597" t="str">
        <f>"("&amp;B4584&amp;")"&amp;D4584</f>
        <v>(6)本期销售前十名情况</v>
      </c>
      <c r="H4584" s="1515" t="str">
        <f>$A4584</f>
        <v>6064f</v>
      </c>
      <c r="I4584" s="343" t="s">
        <v>5972</v>
      </c>
      <c r="J4584" s="301"/>
      <c r="K4584" s="391"/>
      <c r="L4584" s="345"/>
      <c r="M4584" s="301"/>
      <c r="N4584" s="391"/>
      <c r="O4584" s="345"/>
      <c r="P4584" s="301"/>
      <c r="S4584" s="364"/>
      <c r="Z4584" s="609" t="s">
        <v>4221</v>
      </c>
      <c r="AA4584" s="609" t="s">
        <v>4212</v>
      </c>
    </row>
    <row r="4585" spans="1:27" ht="0.75" customHeight="1" thickBot="1">
      <c r="A4585" s="2712"/>
      <c r="B4585" s="371"/>
      <c r="C4585" s="371"/>
      <c r="D4585" s="371"/>
      <c r="E4585" s="586"/>
      <c r="F4585" s="586"/>
      <c r="G4585" s="586" t="s">
        <v>4241</v>
      </c>
      <c r="H4585" s="371" t="s">
        <v>4223</v>
      </c>
      <c r="I4585" s="291"/>
      <c r="J4585" s="291"/>
      <c r="K4585" s="291"/>
      <c r="L4585" s="291"/>
      <c r="M4585" s="291"/>
      <c r="S4585" s="364"/>
      <c r="Z4585" s="609" t="s">
        <v>4221</v>
      </c>
      <c r="AA4585" s="609" t="s">
        <v>4212</v>
      </c>
    </row>
    <row r="4586" spans="1:27" ht="18">
      <c r="A4586" s="2712"/>
      <c r="B4586" s="371"/>
      <c r="C4586" s="371"/>
      <c r="D4586" s="371"/>
      <c r="E4586" s="586" t="s">
        <v>2749</v>
      </c>
      <c r="F4586" s="363"/>
      <c r="G4586" s="2449" t="s">
        <v>1870</v>
      </c>
      <c r="H4586" s="2444" t="s">
        <v>4242</v>
      </c>
      <c r="I4586" s="355" t="s">
        <v>6139</v>
      </c>
      <c r="J4586" s="291"/>
      <c r="K4586" s="291"/>
      <c r="L4586" s="291"/>
      <c r="M4586" s="291"/>
      <c r="S4586" s="364"/>
      <c r="Z4586" s="609" t="s">
        <v>4221</v>
      </c>
      <c r="AA4586" s="609" t="s">
        <v>4212</v>
      </c>
    </row>
    <row r="4587" spans="1:27" ht="18">
      <c r="A4587" s="2712"/>
      <c r="B4587" s="371">
        <v>101</v>
      </c>
      <c r="C4587" s="371" t="s">
        <v>2791</v>
      </c>
      <c r="D4587" s="2714">
        <f t="shared" ref="D4587:D4597" si="512">IF(OR(G4587="*",G4587="",G4587=0),0,COUNTIF($G$4587:$G$4597,G4587))</f>
        <v>0</v>
      </c>
      <c r="E4587" s="2719">
        <v>1</v>
      </c>
      <c r="F4587" s="294"/>
      <c r="G4587" s="2446" t="s">
        <v>2792</v>
      </c>
      <c r="H4587" s="2294"/>
      <c r="I4587" s="579"/>
      <c r="J4587" s="291"/>
      <c r="K4587" s="291"/>
      <c r="L4587" s="291"/>
      <c r="M4587" s="291"/>
      <c r="S4587" s="364"/>
      <c r="Z4587" s="609" t="s">
        <v>4221</v>
      </c>
      <c r="AA4587" s="609" t="s">
        <v>4212</v>
      </c>
    </row>
    <row r="4588" spans="1:27" ht="18">
      <c r="A4588" s="2712"/>
      <c r="B4588" s="371">
        <v>102</v>
      </c>
      <c r="C4588" s="371" t="s">
        <v>2791</v>
      </c>
      <c r="D4588" s="2714">
        <f t="shared" si="512"/>
        <v>0</v>
      </c>
      <c r="E4588" s="2719">
        <v>1</v>
      </c>
      <c r="F4588" s="294"/>
      <c r="G4588" s="2446" t="s">
        <v>2792</v>
      </c>
      <c r="H4588" s="2294"/>
      <c r="I4588" s="291"/>
      <c r="J4588" s="291"/>
      <c r="K4588" s="291"/>
      <c r="L4588" s="291"/>
      <c r="M4588" s="291"/>
      <c r="S4588" s="364"/>
      <c r="Z4588" s="609" t="s">
        <v>4221</v>
      </c>
      <c r="AA4588" s="609" t="s">
        <v>4212</v>
      </c>
    </row>
    <row r="4589" spans="1:27" ht="18">
      <c r="A4589" s="2712"/>
      <c r="B4589" s="371">
        <v>103</v>
      </c>
      <c r="C4589" s="371" t="s">
        <v>2791</v>
      </c>
      <c r="D4589" s="2714">
        <f t="shared" si="512"/>
        <v>0</v>
      </c>
      <c r="E4589" s="2719">
        <v>1</v>
      </c>
      <c r="F4589" s="294"/>
      <c r="G4589" s="2446" t="s">
        <v>2792</v>
      </c>
      <c r="H4589" s="2294"/>
      <c r="I4589" s="291"/>
      <c r="J4589" s="291"/>
      <c r="K4589" s="291"/>
      <c r="L4589" s="291"/>
      <c r="M4589" s="291"/>
      <c r="S4589" s="364"/>
      <c r="Z4589" s="609" t="s">
        <v>4221</v>
      </c>
      <c r="AA4589" s="609" t="s">
        <v>4212</v>
      </c>
    </row>
    <row r="4590" spans="1:27" ht="18">
      <c r="A4590" s="2712"/>
      <c r="B4590" s="371">
        <v>104</v>
      </c>
      <c r="C4590" s="371" t="s">
        <v>2791</v>
      </c>
      <c r="D4590" s="2714">
        <f t="shared" si="512"/>
        <v>0</v>
      </c>
      <c r="E4590" s="2719">
        <v>1</v>
      </c>
      <c r="F4590" s="294"/>
      <c r="G4590" s="2446" t="s">
        <v>2792</v>
      </c>
      <c r="H4590" s="2294"/>
      <c r="I4590" s="291"/>
      <c r="J4590" s="291"/>
      <c r="K4590" s="291"/>
      <c r="L4590" s="291"/>
      <c r="M4590" s="291"/>
      <c r="S4590" s="364"/>
      <c r="Z4590" s="609" t="s">
        <v>4221</v>
      </c>
      <c r="AA4590" s="609" t="s">
        <v>4212</v>
      </c>
    </row>
    <row r="4591" spans="1:27" ht="18">
      <c r="A4591" s="2712"/>
      <c r="B4591" s="371">
        <v>105</v>
      </c>
      <c r="C4591" s="371" t="s">
        <v>2791</v>
      </c>
      <c r="D4591" s="2714">
        <f t="shared" si="512"/>
        <v>0</v>
      </c>
      <c r="E4591" s="2719">
        <v>1</v>
      </c>
      <c r="F4591" s="294"/>
      <c r="G4591" s="2446" t="s">
        <v>2792</v>
      </c>
      <c r="H4591" s="2294"/>
      <c r="I4591" s="291"/>
      <c r="J4591" s="291"/>
      <c r="K4591" s="291"/>
      <c r="L4591" s="291"/>
      <c r="M4591" s="291"/>
      <c r="S4591" s="364"/>
      <c r="Z4591" s="609" t="s">
        <v>4221</v>
      </c>
      <c r="AA4591" s="609" t="s">
        <v>4212</v>
      </c>
    </row>
    <row r="4592" spans="1:27" ht="18">
      <c r="A4592" s="2712"/>
      <c r="B4592" s="371">
        <v>106</v>
      </c>
      <c r="C4592" s="371" t="s">
        <v>2791</v>
      </c>
      <c r="D4592" s="2714">
        <f t="shared" si="512"/>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107</v>
      </c>
      <c r="C4593" s="371" t="s">
        <v>2791</v>
      </c>
      <c r="D4593" s="2714">
        <f t="shared" si="512"/>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108</v>
      </c>
      <c r="C4594" s="371" t="s">
        <v>2791</v>
      </c>
      <c r="D4594" s="2714">
        <f t="shared" si="512"/>
        <v>0</v>
      </c>
      <c r="E4594" s="2719">
        <v>1</v>
      </c>
      <c r="F4594" s="294"/>
      <c r="G4594" s="2446" t="s">
        <v>2792</v>
      </c>
      <c r="H4594" s="2294"/>
      <c r="I4594" s="291"/>
      <c r="J4594" s="291"/>
      <c r="K4594" s="291"/>
      <c r="L4594" s="291"/>
      <c r="M4594" s="291"/>
      <c r="S4594" s="364"/>
      <c r="Z4594" s="609" t="s">
        <v>4221</v>
      </c>
      <c r="AA4594" s="609" t="s">
        <v>4212</v>
      </c>
    </row>
    <row r="4595" spans="1:27" ht="18">
      <c r="A4595" s="2712"/>
      <c r="B4595" s="371">
        <v>109</v>
      </c>
      <c r="C4595" s="371" t="s">
        <v>2791</v>
      </c>
      <c r="D4595" s="2714">
        <f t="shared" si="512"/>
        <v>0</v>
      </c>
      <c r="E4595" s="2719">
        <v>1</v>
      </c>
      <c r="F4595" s="294"/>
      <c r="G4595" s="2446" t="s">
        <v>2792</v>
      </c>
      <c r="H4595" s="2294"/>
      <c r="I4595" s="291"/>
      <c r="J4595" s="291"/>
      <c r="K4595" s="291"/>
      <c r="L4595" s="291"/>
      <c r="M4595" s="291"/>
      <c r="S4595" s="364"/>
      <c r="Z4595" s="609" t="s">
        <v>4221</v>
      </c>
      <c r="AA4595" s="609" t="s">
        <v>4212</v>
      </c>
    </row>
    <row r="4596" spans="1:27" ht="18">
      <c r="A4596" s="2712"/>
      <c r="B4596" s="371">
        <v>110</v>
      </c>
      <c r="C4596" s="371" t="s">
        <v>2791</v>
      </c>
      <c r="D4596" s="2714">
        <f t="shared" si="512"/>
        <v>0</v>
      </c>
      <c r="E4596" s="2719">
        <v>1</v>
      </c>
      <c r="F4596" s="294"/>
      <c r="G4596" s="2446" t="s">
        <v>2792</v>
      </c>
      <c r="H4596" s="2294"/>
      <c r="I4596" s="291"/>
      <c r="J4596" s="291"/>
      <c r="K4596" s="291"/>
      <c r="L4596" s="291"/>
      <c r="M4596" s="291"/>
      <c r="S4596" s="364"/>
      <c r="Z4596" s="609" t="s">
        <v>4221</v>
      </c>
      <c r="AA4596" s="609" t="s">
        <v>4212</v>
      </c>
    </row>
    <row r="4597" spans="1:27" ht="18.75" thickBot="1">
      <c r="A4597" s="2712"/>
      <c r="B4597" s="371"/>
      <c r="C4597" s="371"/>
      <c r="D4597" s="2714">
        <f t="shared" si="512"/>
        <v>1</v>
      </c>
      <c r="E4597" s="2719" t="s">
        <v>2751</v>
      </c>
      <c r="F4597" s="294"/>
      <c r="G4597" s="1527" t="s">
        <v>2752</v>
      </c>
      <c r="H4597" s="1526">
        <f>SUMPRODUCT($E4586:$E4596,H4586:H4596)</f>
        <v>0</v>
      </c>
      <c r="I4597" s="357"/>
      <c r="J4597" s="357"/>
      <c r="K4597" s="291"/>
      <c r="L4597" s="291"/>
      <c r="M4597" s="291"/>
      <c r="S4597" s="364"/>
      <c r="Z4597" s="609" t="s">
        <v>4221</v>
      </c>
      <c r="AA4597" s="609" t="s">
        <v>4212</v>
      </c>
    </row>
    <row r="4598" spans="1:27" ht="18">
      <c r="A4598" s="2712"/>
      <c r="B4598" s="371"/>
      <c r="C4598" s="371" t="s">
        <v>2755</v>
      </c>
      <c r="D4598" s="371"/>
      <c r="F4598" s="294"/>
      <c r="G4598" s="301"/>
      <c r="H4598" s="315"/>
      <c r="I4598" s="291"/>
      <c r="J4598" s="291"/>
      <c r="K4598" s="291"/>
      <c r="L4598" s="291"/>
      <c r="M4598" s="291"/>
      <c r="S4598" s="364"/>
      <c r="Z4598" s="609" t="s">
        <v>4221</v>
      </c>
      <c r="AA4598" s="609" t="s">
        <v>4212</v>
      </c>
    </row>
    <row r="4599" spans="1:27" ht="18">
      <c r="A4599" s="2712" t="s">
        <v>1872</v>
      </c>
      <c r="B4599" s="371">
        <v>7</v>
      </c>
      <c r="C4599" s="371"/>
      <c r="D4599" s="2714" t="str">
        <f>VLOOKUP($A4599,Sheet_NoteList,2,0)</f>
        <v>本期采购前十名情况</v>
      </c>
      <c r="E4599" s="2714" t="s">
        <v>6529</v>
      </c>
      <c r="F4599" s="294"/>
      <c r="G4599" s="597" t="str">
        <f>"("&amp;B4599&amp;")"&amp;D4599</f>
        <v>(7)本期采购前十名情况</v>
      </c>
      <c r="H4599" s="1515" t="str">
        <f>$A4599</f>
        <v>6064g</v>
      </c>
      <c r="I4599" s="343" t="s">
        <v>5963</v>
      </c>
      <c r="J4599" s="301"/>
      <c r="K4599" s="391"/>
      <c r="L4599" s="345"/>
      <c r="M4599" s="301"/>
      <c r="N4599" s="391"/>
      <c r="O4599" s="345"/>
      <c r="P4599" s="301"/>
      <c r="S4599" s="364"/>
      <c r="Z4599" s="609" t="s">
        <v>4221</v>
      </c>
      <c r="AA4599" s="609" t="s">
        <v>5701</v>
      </c>
    </row>
    <row r="4600" spans="1:27" ht="0.75" customHeight="1" thickBot="1">
      <c r="A4600" s="2712"/>
      <c r="B4600" s="371"/>
      <c r="C4600" s="371"/>
      <c r="D4600" s="371"/>
      <c r="E4600" s="586"/>
      <c r="F4600" s="586"/>
      <c r="G4600" s="586" t="s">
        <v>4243</v>
      </c>
      <c r="H4600" s="371" t="s">
        <v>4223</v>
      </c>
      <c r="I4600" s="291"/>
      <c r="J4600" s="291"/>
      <c r="K4600" s="291"/>
      <c r="L4600" s="291"/>
      <c r="M4600" s="291"/>
      <c r="S4600" s="364"/>
      <c r="Z4600" s="609" t="s">
        <v>4221</v>
      </c>
      <c r="AA4600" s="609" t="s">
        <v>5701</v>
      </c>
    </row>
    <row r="4601" spans="1:27" ht="18">
      <c r="A4601" s="2712"/>
      <c r="B4601" s="371"/>
      <c r="C4601" s="371"/>
      <c r="D4601" s="371"/>
      <c r="E4601" s="586" t="s">
        <v>2749</v>
      </c>
      <c r="F4601" s="363"/>
      <c r="G4601" s="2449" t="s">
        <v>1874</v>
      </c>
      <c r="H4601" s="2444" t="s">
        <v>4242</v>
      </c>
      <c r="I4601" s="355" t="s">
        <v>6139</v>
      </c>
      <c r="J4601" s="291"/>
      <c r="K4601" s="291"/>
      <c r="L4601" s="291"/>
      <c r="M4601" s="291"/>
      <c r="S4601" s="364"/>
      <c r="Z4601" s="609" t="s">
        <v>4221</v>
      </c>
      <c r="AA4601" s="609" t="s">
        <v>5701</v>
      </c>
    </row>
    <row r="4602" spans="1:27" ht="18">
      <c r="A4602" s="2712"/>
      <c r="B4602" s="371">
        <v>101</v>
      </c>
      <c r="C4602" s="371" t="s">
        <v>2791</v>
      </c>
      <c r="D4602" s="2714">
        <f t="shared" ref="D4602:D4612" si="513">IF(OR(G4602="*",G4602="",G4602=0),0,COUNTIF($G$4602:$G$4612,G4602))</f>
        <v>0</v>
      </c>
      <c r="E4602" s="2719">
        <v>1</v>
      </c>
      <c r="F4602" s="294"/>
      <c r="G4602" s="2446" t="s">
        <v>2792</v>
      </c>
      <c r="H4602" s="2294"/>
      <c r="I4602" s="579"/>
      <c r="J4602" s="291"/>
      <c r="K4602" s="291"/>
      <c r="L4602" s="291"/>
      <c r="M4602" s="291"/>
      <c r="S4602" s="364"/>
      <c r="Z4602" s="609" t="s">
        <v>4221</v>
      </c>
      <c r="AA4602" s="609" t="s">
        <v>5701</v>
      </c>
    </row>
    <row r="4603" spans="1:27" ht="18">
      <c r="A4603" s="2712"/>
      <c r="B4603" s="371">
        <v>102</v>
      </c>
      <c r="C4603" s="371" t="s">
        <v>2791</v>
      </c>
      <c r="D4603" s="2714">
        <f t="shared" si="513"/>
        <v>0</v>
      </c>
      <c r="E4603" s="2719">
        <v>1</v>
      </c>
      <c r="F4603" s="294"/>
      <c r="G4603" s="2446" t="s">
        <v>2792</v>
      </c>
      <c r="H4603" s="2294"/>
      <c r="I4603" s="291"/>
      <c r="J4603" s="291"/>
      <c r="K4603" s="291"/>
      <c r="L4603" s="291"/>
      <c r="M4603" s="291"/>
      <c r="S4603" s="364"/>
      <c r="Z4603" s="609" t="s">
        <v>4221</v>
      </c>
      <c r="AA4603" s="609" t="s">
        <v>5701</v>
      </c>
    </row>
    <row r="4604" spans="1:27" ht="18">
      <c r="A4604" s="2712"/>
      <c r="B4604" s="371">
        <v>103</v>
      </c>
      <c r="C4604" s="371" t="s">
        <v>2791</v>
      </c>
      <c r="D4604" s="2714">
        <f t="shared" si="513"/>
        <v>0</v>
      </c>
      <c r="E4604" s="2719">
        <v>1</v>
      </c>
      <c r="F4604" s="294"/>
      <c r="G4604" s="2446" t="s">
        <v>2792</v>
      </c>
      <c r="H4604" s="2294"/>
      <c r="I4604" s="291"/>
      <c r="J4604" s="291"/>
      <c r="K4604" s="291"/>
      <c r="L4604" s="291"/>
      <c r="M4604" s="291"/>
      <c r="S4604" s="364"/>
      <c r="Z4604" s="609" t="s">
        <v>4221</v>
      </c>
      <c r="AA4604" s="609" t="s">
        <v>5701</v>
      </c>
    </row>
    <row r="4605" spans="1:27" ht="18">
      <c r="A4605" s="2712"/>
      <c r="B4605" s="371">
        <v>104</v>
      </c>
      <c r="C4605" s="371" t="s">
        <v>2791</v>
      </c>
      <c r="D4605" s="2714">
        <f t="shared" si="513"/>
        <v>0</v>
      </c>
      <c r="E4605" s="2719">
        <v>1</v>
      </c>
      <c r="F4605" s="294"/>
      <c r="G4605" s="2446" t="s">
        <v>2792</v>
      </c>
      <c r="H4605" s="2294"/>
      <c r="I4605" s="291"/>
      <c r="J4605" s="291"/>
      <c r="K4605" s="291"/>
      <c r="L4605" s="291"/>
      <c r="M4605" s="291"/>
      <c r="S4605" s="364"/>
      <c r="Z4605" s="609" t="s">
        <v>4221</v>
      </c>
      <c r="AA4605" s="609" t="s">
        <v>5701</v>
      </c>
    </row>
    <row r="4606" spans="1:27" ht="18">
      <c r="A4606" s="2712"/>
      <c r="B4606" s="371">
        <v>105</v>
      </c>
      <c r="C4606" s="371" t="s">
        <v>2791</v>
      </c>
      <c r="D4606" s="2714">
        <f t="shared" si="513"/>
        <v>0</v>
      </c>
      <c r="E4606" s="2719">
        <v>1</v>
      </c>
      <c r="F4606" s="294"/>
      <c r="G4606" s="2446" t="s">
        <v>2792</v>
      </c>
      <c r="H4606" s="2294"/>
      <c r="I4606" s="291"/>
      <c r="J4606" s="291"/>
      <c r="K4606" s="291"/>
      <c r="L4606" s="291"/>
      <c r="M4606" s="291"/>
      <c r="S4606" s="364"/>
      <c r="Z4606" s="609" t="s">
        <v>4221</v>
      </c>
      <c r="AA4606" s="609" t="s">
        <v>5701</v>
      </c>
    </row>
    <row r="4607" spans="1:27" ht="18">
      <c r="A4607" s="2712"/>
      <c r="B4607" s="371">
        <v>106</v>
      </c>
      <c r="C4607" s="371" t="s">
        <v>2791</v>
      </c>
      <c r="D4607" s="2714">
        <f t="shared" si="513"/>
        <v>0</v>
      </c>
      <c r="E4607" s="2719">
        <v>1</v>
      </c>
      <c r="F4607" s="294"/>
      <c r="G4607" s="2446" t="s">
        <v>2792</v>
      </c>
      <c r="H4607" s="2294"/>
      <c r="I4607" s="291"/>
      <c r="J4607" s="291"/>
      <c r="K4607" s="291"/>
      <c r="L4607" s="291"/>
      <c r="M4607" s="291"/>
      <c r="S4607" s="364"/>
      <c r="Z4607" s="609" t="s">
        <v>4221</v>
      </c>
      <c r="AA4607" s="609" t="s">
        <v>5701</v>
      </c>
    </row>
    <row r="4608" spans="1:27" ht="18">
      <c r="A4608" s="2712"/>
      <c r="B4608" s="371">
        <v>107</v>
      </c>
      <c r="C4608" s="371" t="s">
        <v>2791</v>
      </c>
      <c r="D4608" s="2714">
        <f t="shared" si="513"/>
        <v>0</v>
      </c>
      <c r="E4608" s="2719">
        <v>1</v>
      </c>
      <c r="F4608" s="294"/>
      <c r="G4608" s="2446" t="s">
        <v>2792</v>
      </c>
      <c r="H4608" s="2294"/>
      <c r="I4608" s="291"/>
      <c r="J4608" s="291"/>
      <c r="K4608" s="291"/>
      <c r="L4608" s="291"/>
      <c r="M4608" s="291"/>
      <c r="S4608" s="364"/>
      <c r="Z4608" s="609" t="s">
        <v>4221</v>
      </c>
      <c r="AA4608" s="609" t="s">
        <v>5701</v>
      </c>
    </row>
    <row r="4609" spans="1:27" ht="18">
      <c r="A4609" s="2712"/>
      <c r="B4609" s="371">
        <v>108</v>
      </c>
      <c r="C4609" s="371" t="s">
        <v>2791</v>
      </c>
      <c r="D4609" s="2714">
        <f t="shared" si="513"/>
        <v>0</v>
      </c>
      <c r="E4609" s="2719">
        <v>1</v>
      </c>
      <c r="F4609" s="294"/>
      <c r="G4609" s="2446" t="s">
        <v>2792</v>
      </c>
      <c r="H4609" s="2294"/>
      <c r="I4609" s="291"/>
      <c r="J4609" s="291"/>
      <c r="K4609" s="291"/>
      <c r="L4609" s="291"/>
      <c r="M4609" s="291"/>
      <c r="S4609" s="364"/>
      <c r="Z4609" s="609" t="s">
        <v>4221</v>
      </c>
      <c r="AA4609" s="609" t="s">
        <v>5701</v>
      </c>
    </row>
    <row r="4610" spans="1:27" ht="18">
      <c r="A4610" s="2712"/>
      <c r="B4610" s="371">
        <v>109</v>
      </c>
      <c r="C4610" s="371" t="s">
        <v>2791</v>
      </c>
      <c r="D4610" s="2714">
        <f t="shared" si="513"/>
        <v>0</v>
      </c>
      <c r="E4610" s="2719">
        <v>1</v>
      </c>
      <c r="F4610" s="294"/>
      <c r="G4610" s="2446" t="s">
        <v>2792</v>
      </c>
      <c r="H4610" s="2294"/>
      <c r="I4610" s="291"/>
      <c r="J4610" s="291"/>
      <c r="K4610" s="291"/>
      <c r="L4610" s="291"/>
      <c r="M4610" s="291"/>
      <c r="S4610" s="364"/>
      <c r="Z4610" s="609" t="s">
        <v>4221</v>
      </c>
      <c r="AA4610" s="609" t="s">
        <v>5701</v>
      </c>
    </row>
    <row r="4611" spans="1:27" ht="18">
      <c r="A4611" s="2712"/>
      <c r="B4611" s="371">
        <v>110</v>
      </c>
      <c r="C4611" s="371" t="s">
        <v>2791</v>
      </c>
      <c r="D4611" s="2714">
        <f t="shared" si="513"/>
        <v>0</v>
      </c>
      <c r="E4611" s="2719">
        <v>1</v>
      </c>
      <c r="F4611" s="294"/>
      <c r="G4611" s="2446" t="s">
        <v>2792</v>
      </c>
      <c r="H4611" s="2294"/>
      <c r="I4611" s="291"/>
      <c r="J4611" s="291"/>
      <c r="K4611" s="291"/>
      <c r="L4611" s="291"/>
      <c r="M4611" s="291"/>
      <c r="S4611" s="364"/>
      <c r="Z4611" s="609" t="s">
        <v>4221</v>
      </c>
      <c r="AA4611" s="609" t="s">
        <v>5701</v>
      </c>
    </row>
    <row r="4612" spans="1:27" ht="18.75" thickBot="1">
      <c r="A4612" s="2712"/>
      <c r="B4612" s="371"/>
      <c r="C4612" s="371"/>
      <c r="D4612" s="2714">
        <f t="shared" si="513"/>
        <v>1</v>
      </c>
      <c r="E4612" s="2719" t="s">
        <v>2751</v>
      </c>
      <c r="F4612" s="294"/>
      <c r="G4612" s="1527" t="s">
        <v>2752</v>
      </c>
      <c r="H4612" s="1526">
        <f>SUMPRODUCT($E4601:$E4611,H4601:H4611)</f>
        <v>0</v>
      </c>
      <c r="I4612" s="357"/>
      <c r="J4612" s="357"/>
      <c r="K4612" s="291"/>
      <c r="L4612" s="291"/>
      <c r="M4612" s="291"/>
      <c r="S4612" s="364"/>
      <c r="Z4612" s="609" t="s">
        <v>4221</v>
      </c>
      <c r="AA4612" s="609" t="s">
        <v>5701</v>
      </c>
    </row>
    <row r="4613" spans="1:27" ht="18">
      <c r="A4613" s="2712"/>
      <c r="B4613" s="371"/>
      <c r="C4613" s="371" t="s">
        <v>2755</v>
      </c>
      <c r="D4613" s="371"/>
      <c r="F4613" s="294"/>
      <c r="G4613" s="301"/>
      <c r="H4613" s="315"/>
      <c r="I4613" s="291"/>
      <c r="J4613" s="291"/>
      <c r="K4613" s="291"/>
      <c r="L4613" s="291"/>
      <c r="M4613" s="291"/>
      <c r="S4613" s="364"/>
      <c r="Z4613" s="609" t="s">
        <v>4221</v>
      </c>
      <c r="AA4613" s="609" t="s">
        <v>5701</v>
      </c>
    </row>
    <row r="4614" spans="1:27" ht="18">
      <c r="A4614" s="2712" t="s">
        <v>1840</v>
      </c>
      <c r="B4614" s="371">
        <v>8</v>
      </c>
      <c r="C4614" s="371"/>
      <c r="D4614" s="2714" t="str">
        <f>VLOOKUP($A4614,Sheet_NoteList,2,0)</f>
        <v>营业收入补充资料</v>
      </c>
      <c r="E4614" s="2714" t="s">
        <v>6529</v>
      </c>
      <c r="F4614" s="294"/>
      <c r="G4614" s="307" t="str">
        <f>"("&amp;B4614&amp;")"&amp;D4614</f>
        <v>(8)营业收入补充资料</v>
      </c>
      <c r="H4614" s="1515" t="str">
        <f>$A4614</f>
        <v>6001x</v>
      </c>
      <c r="I4614" s="343" t="s">
        <v>5963</v>
      </c>
      <c r="J4614" s="301" t="s">
        <v>5979</v>
      </c>
      <c r="K4614" s="2208">
        <f>H4622</f>
        <v>0</v>
      </c>
      <c r="L4614" s="345"/>
      <c r="M4614" s="301" t="s">
        <v>5980</v>
      </c>
      <c r="N4614" s="2208">
        <f>I4622</f>
        <v>0</v>
      </c>
      <c r="O4614" s="345"/>
      <c r="P4614" s="301"/>
      <c r="S4614" s="364"/>
      <c r="Z4614" s="609" t="s">
        <v>4221</v>
      </c>
      <c r="AA4614" s="609" t="s">
        <v>4212</v>
      </c>
    </row>
    <row r="4615" spans="1:27" ht="0.75" customHeight="1" thickBot="1">
      <c r="A4615" s="2712"/>
      <c r="B4615" s="371"/>
      <c r="C4615" s="371"/>
      <c r="D4615" s="371"/>
      <c r="E4615" s="586"/>
      <c r="F4615" s="586"/>
      <c r="G4615" s="586" t="s">
        <v>4244</v>
      </c>
      <c r="H4615" s="371" t="s">
        <v>4223</v>
      </c>
      <c r="I4615" s="371" t="s">
        <v>4224</v>
      </c>
      <c r="J4615" s="291"/>
      <c r="K4615" s="291"/>
      <c r="L4615" s="291"/>
      <c r="M4615" s="291"/>
      <c r="S4615" s="364"/>
      <c r="Z4615" s="609" t="s">
        <v>4221</v>
      </c>
      <c r="AA4615" s="609" t="s">
        <v>4212</v>
      </c>
    </row>
    <row r="4616" spans="1:27" ht="18">
      <c r="A4616" s="2712"/>
      <c r="B4616" s="371"/>
      <c r="C4616" s="371"/>
      <c r="D4616" s="371"/>
      <c r="E4616" s="586" t="s">
        <v>2749</v>
      </c>
      <c r="F4616" s="363"/>
      <c r="G4616" s="2449" t="s">
        <v>47</v>
      </c>
      <c r="H4616" s="2445" t="s">
        <v>4242</v>
      </c>
      <c r="I4616" s="2444" t="s">
        <v>4245</v>
      </c>
      <c r="J4616" s="355" t="s">
        <v>6139</v>
      </c>
      <c r="K4616" s="291"/>
      <c r="L4616" s="291"/>
      <c r="M4616" s="291"/>
      <c r="S4616" s="364"/>
      <c r="Z4616" s="609" t="s">
        <v>4221</v>
      </c>
      <c r="AA4616" s="609" t="s">
        <v>4212</v>
      </c>
    </row>
    <row r="4617" spans="1:27" ht="18">
      <c r="A4617" s="2712"/>
      <c r="B4617" s="371">
        <v>101</v>
      </c>
      <c r="C4617" s="371" t="s">
        <v>2791</v>
      </c>
      <c r="D4617" s="2714">
        <f t="shared" ref="D4617:D4622" si="514">IF(OR(G4617="*",G4617="",G4617=0),0,COUNTIF($G$4617:$G$4622,G4617))</f>
        <v>0</v>
      </c>
      <c r="E4617" s="2719">
        <v>1</v>
      </c>
      <c r="F4617" s="294"/>
      <c r="G4617" s="2446" t="s">
        <v>2792</v>
      </c>
      <c r="H4617" s="2273"/>
      <c r="I4617" s="2294"/>
      <c r="J4617" s="579"/>
      <c r="K4617" s="291"/>
      <c r="L4617" s="291"/>
      <c r="M4617" s="291"/>
      <c r="S4617" s="364"/>
      <c r="Z4617" s="609" t="s">
        <v>4221</v>
      </c>
      <c r="AA4617" s="609" t="s">
        <v>4212</v>
      </c>
    </row>
    <row r="4618" spans="1:27" ht="18">
      <c r="A4618" s="2712"/>
      <c r="B4618" s="371">
        <v>102</v>
      </c>
      <c r="C4618" s="371" t="s">
        <v>2791</v>
      </c>
      <c r="D4618" s="2714">
        <f t="shared" si="514"/>
        <v>0</v>
      </c>
      <c r="E4618" s="2719">
        <v>1</v>
      </c>
      <c r="F4618" s="294"/>
      <c r="G4618" s="2446" t="s">
        <v>2792</v>
      </c>
      <c r="H4618" s="2273"/>
      <c r="I4618" s="2294"/>
      <c r="J4618" s="291"/>
      <c r="K4618" s="291"/>
      <c r="L4618" s="291"/>
      <c r="M4618" s="291"/>
      <c r="S4618" s="364"/>
      <c r="Z4618" s="609" t="s">
        <v>4221</v>
      </c>
      <c r="AA4618" s="609" t="s">
        <v>4212</v>
      </c>
    </row>
    <row r="4619" spans="1:27" ht="18">
      <c r="A4619" s="2712"/>
      <c r="B4619" s="371">
        <v>103</v>
      </c>
      <c r="C4619" s="371" t="s">
        <v>2791</v>
      </c>
      <c r="D4619" s="2714">
        <f t="shared" si="514"/>
        <v>0</v>
      </c>
      <c r="E4619" s="2719">
        <v>1</v>
      </c>
      <c r="F4619" s="294"/>
      <c r="G4619" s="2446" t="s">
        <v>2792</v>
      </c>
      <c r="H4619" s="2273"/>
      <c r="I4619" s="2294"/>
      <c r="J4619" s="291"/>
      <c r="K4619" s="291"/>
      <c r="L4619" s="291"/>
      <c r="M4619" s="291"/>
      <c r="S4619" s="364"/>
      <c r="Z4619" s="609" t="s">
        <v>4221</v>
      </c>
      <c r="AA4619" s="609" t="s">
        <v>4212</v>
      </c>
    </row>
    <row r="4620" spans="1:27" ht="18">
      <c r="A4620" s="2712"/>
      <c r="B4620" s="371">
        <v>104</v>
      </c>
      <c r="C4620" s="371" t="s">
        <v>2791</v>
      </c>
      <c r="D4620" s="2714">
        <f t="shared" si="514"/>
        <v>0</v>
      </c>
      <c r="E4620" s="2719">
        <v>1</v>
      </c>
      <c r="F4620" s="294"/>
      <c r="G4620" s="2446" t="s">
        <v>2792</v>
      </c>
      <c r="H4620" s="2273"/>
      <c r="I4620" s="2294"/>
      <c r="J4620" s="291"/>
      <c r="K4620" s="291"/>
      <c r="L4620" s="291"/>
      <c r="M4620" s="291"/>
      <c r="S4620" s="364"/>
      <c r="Z4620" s="609" t="s">
        <v>4221</v>
      </c>
      <c r="AA4620" s="609" t="s">
        <v>4212</v>
      </c>
    </row>
    <row r="4621" spans="1:27" ht="18">
      <c r="A4621" s="2712"/>
      <c r="B4621" s="371">
        <v>105</v>
      </c>
      <c r="C4621" s="371" t="s">
        <v>2791</v>
      </c>
      <c r="D4621" s="2714">
        <f t="shared" si="514"/>
        <v>0</v>
      </c>
      <c r="E4621" s="2719">
        <v>1</v>
      </c>
      <c r="F4621" s="294"/>
      <c r="G4621" s="2446" t="s">
        <v>2792</v>
      </c>
      <c r="H4621" s="2273"/>
      <c r="I4621" s="2294"/>
      <c r="J4621" s="291"/>
      <c r="K4621" s="291"/>
      <c r="L4621" s="291"/>
      <c r="M4621" s="291"/>
      <c r="S4621" s="364"/>
      <c r="Z4621" s="609" t="s">
        <v>4221</v>
      </c>
      <c r="AA4621" s="609" t="s">
        <v>4212</v>
      </c>
    </row>
    <row r="4622" spans="1:27" ht="18.75" thickBot="1">
      <c r="A4622" s="2712"/>
      <c r="B4622" s="371"/>
      <c r="C4622" s="371"/>
      <c r="D4622" s="2714">
        <f t="shared" si="514"/>
        <v>1</v>
      </c>
      <c r="E4622" s="2719" t="s">
        <v>2751</v>
      </c>
      <c r="F4622" s="294"/>
      <c r="G4622" s="1527" t="s">
        <v>2752</v>
      </c>
      <c r="H4622" s="1525">
        <f>SUMPRODUCT($E4616:$E4621,H4616:H4621)</f>
        <v>0</v>
      </c>
      <c r="I4622" s="1526">
        <f>SUMPRODUCT($E4616:$E4621,I4616:I4621)</f>
        <v>0</v>
      </c>
      <c r="J4622" s="291"/>
      <c r="K4622" s="291"/>
      <c r="L4622" s="291"/>
      <c r="M4622" s="291"/>
      <c r="S4622" s="364"/>
      <c r="Z4622" s="609" t="s">
        <v>4221</v>
      </c>
      <c r="AA4622" s="609" t="s">
        <v>4212</v>
      </c>
    </row>
    <row r="4623" spans="1:27" ht="18">
      <c r="A4623" s="2712"/>
      <c r="B4623" s="371"/>
      <c r="C4623" s="371" t="s">
        <v>2755</v>
      </c>
      <c r="D4623" s="371"/>
      <c r="F4623" s="294"/>
      <c r="G4623" s="301"/>
      <c r="H4623" s="315"/>
      <c r="I4623" s="315"/>
      <c r="J4623" s="291"/>
      <c r="K4623" s="291"/>
      <c r="L4623" s="291"/>
      <c r="M4623" s="291"/>
      <c r="S4623" s="364"/>
      <c r="Z4623" s="609" t="s">
        <v>4221</v>
      </c>
      <c r="AA4623" s="609" t="s">
        <v>4212</v>
      </c>
    </row>
    <row r="4624" spans="1:27" ht="18">
      <c r="A4624" s="2712" t="s">
        <v>1894</v>
      </c>
      <c r="B4624" s="371">
        <v>9</v>
      </c>
      <c r="C4624" s="371"/>
      <c r="D4624" s="2714" t="str">
        <f>VLOOKUP($A4624,Sheet_NoteList,2,0)</f>
        <v>营业成本补充资料</v>
      </c>
      <c r="E4624" s="2714" t="s">
        <v>6529</v>
      </c>
      <c r="F4624" s="294"/>
      <c r="G4624" s="307" t="str">
        <f>"("&amp;B4624&amp;")"&amp;D4624</f>
        <v>(9)营业成本补充资料</v>
      </c>
      <c r="H4624" s="1515" t="str">
        <f>$A4624</f>
        <v>6401x</v>
      </c>
      <c r="I4624" s="343" t="s">
        <v>5967</v>
      </c>
      <c r="J4624" s="301" t="s">
        <v>5981</v>
      </c>
      <c r="K4624" s="2208">
        <f>H4632</f>
        <v>0</v>
      </c>
      <c r="L4624" s="345"/>
      <c r="M4624" s="301" t="s">
        <v>5980</v>
      </c>
      <c r="N4624" s="2208">
        <f>I4632</f>
        <v>0</v>
      </c>
      <c r="O4624" s="345"/>
      <c r="P4624" s="301"/>
      <c r="S4624" s="364"/>
      <c r="Z4624" s="609" t="s">
        <v>4221</v>
      </c>
      <c r="AA4624" s="609" t="s">
        <v>5701</v>
      </c>
    </row>
    <row r="4625" spans="1:27" ht="0.75" customHeight="1" thickBot="1">
      <c r="A4625" s="2712"/>
      <c r="B4625" s="371"/>
      <c r="C4625" s="371"/>
      <c r="D4625" s="371"/>
      <c r="E4625" s="586"/>
      <c r="F4625" s="586"/>
      <c r="G4625" s="586" t="s">
        <v>4246</v>
      </c>
      <c r="H4625" s="371" t="s">
        <v>4223</v>
      </c>
      <c r="I4625" s="371" t="s">
        <v>4224</v>
      </c>
      <c r="J4625" s="291"/>
      <c r="K4625" s="291"/>
      <c r="L4625" s="291"/>
      <c r="M4625" s="291"/>
      <c r="S4625" s="364"/>
      <c r="Z4625" s="609" t="s">
        <v>4221</v>
      </c>
      <c r="AA4625" s="609" t="s">
        <v>5701</v>
      </c>
    </row>
    <row r="4626" spans="1:27" ht="18">
      <c r="A4626" s="2712"/>
      <c r="B4626" s="371"/>
      <c r="C4626" s="371"/>
      <c r="D4626" s="371"/>
      <c r="E4626" s="586" t="s">
        <v>2749</v>
      </c>
      <c r="F4626" s="363"/>
      <c r="G4626" s="2449" t="s">
        <v>47</v>
      </c>
      <c r="H4626" s="2445" t="s">
        <v>4242</v>
      </c>
      <c r="I4626" s="2444" t="s">
        <v>4245</v>
      </c>
      <c r="J4626" s="355" t="s">
        <v>6139</v>
      </c>
      <c r="K4626" s="291"/>
      <c r="L4626" s="291"/>
      <c r="M4626" s="291"/>
      <c r="S4626" s="364"/>
      <c r="Z4626" s="609" t="s">
        <v>4221</v>
      </c>
      <c r="AA4626" s="609" t="s">
        <v>5701</v>
      </c>
    </row>
    <row r="4627" spans="1:27" ht="18">
      <c r="A4627" s="2712"/>
      <c r="B4627" s="371">
        <v>101</v>
      </c>
      <c r="C4627" s="371" t="s">
        <v>2791</v>
      </c>
      <c r="D4627" s="2714">
        <f t="shared" ref="D4627:D4632" si="515">IF(OR(G4627="*",G4627="",G4627=0),0,COUNTIF($G$4627:$G$4632,G4627))</f>
        <v>0</v>
      </c>
      <c r="E4627" s="2719">
        <v>1</v>
      </c>
      <c r="F4627" s="294"/>
      <c r="G4627" s="2446" t="s">
        <v>2792</v>
      </c>
      <c r="H4627" s="2273"/>
      <c r="I4627" s="2294"/>
      <c r="J4627" s="579"/>
      <c r="K4627" s="291"/>
      <c r="L4627" s="291"/>
      <c r="M4627" s="291"/>
      <c r="S4627" s="364"/>
      <c r="Z4627" s="609" t="s">
        <v>4221</v>
      </c>
      <c r="AA4627" s="609" t="s">
        <v>5701</v>
      </c>
    </row>
    <row r="4628" spans="1:27" ht="18">
      <c r="A4628" s="2712"/>
      <c r="B4628" s="371">
        <v>102</v>
      </c>
      <c r="C4628" s="371" t="s">
        <v>2791</v>
      </c>
      <c r="D4628" s="2714">
        <f t="shared" si="515"/>
        <v>0</v>
      </c>
      <c r="E4628" s="2719">
        <v>1</v>
      </c>
      <c r="F4628" s="294"/>
      <c r="G4628" s="2446" t="s">
        <v>2792</v>
      </c>
      <c r="H4628" s="2273"/>
      <c r="I4628" s="2294"/>
      <c r="J4628" s="291"/>
      <c r="K4628" s="291"/>
      <c r="L4628" s="291"/>
      <c r="M4628" s="291"/>
      <c r="S4628" s="364"/>
      <c r="Z4628" s="609" t="s">
        <v>4221</v>
      </c>
      <c r="AA4628" s="609" t="s">
        <v>5701</v>
      </c>
    </row>
    <row r="4629" spans="1:27" ht="18">
      <c r="A4629" s="2712"/>
      <c r="B4629" s="371">
        <v>103</v>
      </c>
      <c r="C4629" s="371" t="s">
        <v>2791</v>
      </c>
      <c r="D4629" s="2714">
        <f t="shared" si="515"/>
        <v>0</v>
      </c>
      <c r="E4629" s="2719">
        <v>1</v>
      </c>
      <c r="F4629" s="294"/>
      <c r="G4629" s="2446" t="s">
        <v>2792</v>
      </c>
      <c r="H4629" s="2273"/>
      <c r="I4629" s="2294"/>
      <c r="J4629" s="291"/>
      <c r="K4629" s="291"/>
      <c r="L4629" s="291"/>
      <c r="M4629" s="291"/>
      <c r="S4629" s="364"/>
      <c r="Z4629" s="609" t="s">
        <v>4221</v>
      </c>
      <c r="AA4629" s="609" t="s">
        <v>5701</v>
      </c>
    </row>
    <row r="4630" spans="1:27" ht="18">
      <c r="A4630" s="2712"/>
      <c r="B4630" s="371">
        <v>104</v>
      </c>
      <c r="C4630" s="371" t="s">
        <v>2791</v>
      </c>
      <c r="D4630" s="2714">
        <f t="shared" si="515"/>
        <v>0</v>
      </c>
      <c r="E4630" s="2719">
        <v>1</v>
      </c>
      <c r="F4630" s="294"/>
      <c r="G4630" s="2446" t="s">
        <v>2792</v>
      </c>
      <c r="H4630" s="2273"/>
      <c r="I4630" s="2294"/>
      <c r="J4630" s="291"/>
      <c r="K4630" s="291"/>
      <c r="L4630" s="291"/>
      <c r="M4630" s="291"/>
      <c r="S4630" s="364"/>
      <c r="Z4630" s="609" t="s">
        <v>4221</v>
      </c>
      <c r="AA4630" s="609" t="s">
        <v>5701</v>
      </c>
    </row>
    <row r="4631" spans="1:27" ht="18">
      <c r="A4631" s="2712"/>
      <c r="B4631" s="371">
        <v>105</v>
      </c>
      <c r="C4631" s="371" t="s">
        <v>2791</v>
      </c>
      <c r="D4631" s="2714">
        <f t="shared" si="515"/>
        <v>0</v>
      </c>
      <c r="E4631" s="2719">
        <v>1</v>
      </c>
      <c r="F4631" s="294"/>
      <c r="G4631" s="2446" t="s">
        <v>2792</v>
      </c>
      <c r="H4631" s="2273"/>
      <c r="I4631" s="2294"/>
      <c r="J4631" s="291"/>
      <c r="K4631" s="291"/>
      <c r="L4631" s="291"/>
      <c r="M4631" s="291"/>
      <c r="S4631" s="364"/>
      <c r="Z4631" s="609" t="s">
        <v>4221</v>
      </c>
      <c r="AA4631" s="609" t="s">
        <v>5701</v>
      </c>
    </row>
    <row r="4632" spans="1:27" ht="18.75" thickBot="1">
      <c r="A4632" s="2712"/>
      <c r="B4632" s="371"/>
      <c r="C4632" s="371"/>
      <c r="D4632" s="2714">
        <f t="shared" si="515"/>
        <v>1</v>
      </c>
      <c r="E4632" s="2719" t="s">
        <v>2751</v>
      </c>
      <c r="F4632" s="294"/>
      <c r="G4632" s="1527" t="s">
        <v>2752</v>
      </c>
      <c r="H4632" s="1525">
        <f>SUMPRODUCT($E4626:$E4631,H4626:H4631)</f>
        <v>0</v>
      </c>
      <c r="I4632" s="1526">
        <f>SUMPRODUCT($E4626:$E4631,I4626:I4631)</f>
        <v>0</v>
      </c>
      <c r="J4632" s="291"/>
      <c r="K4632" s="291"/>
      <c r="L4632" s="291"/>
      <c r="M4632" s="291"/>
      <c r="S4632" s="364"/>
      <c r="Z4632" s="609" t="s">
        <v>4221</v>
      </c>
      <c r="AA4632" s="609" t="s">
        <v>5701</v>
      </c>
    </row>
    <row r="4633" spans="1:27" ht="18">
      <c r="A4633" s="2712"/>
      <c r="B4633" s="371"/>
      <c r="C4633" s="371" t="s">
        <v>2755</v>
      </c>
      <c r="D4633" s="371"/>
      <c r="F4633" s="294"/>
      <c r="G4633" s="301"/>
      <c r="H4633" s="315"/>
      <c r="I4633" s="315"/>
      <c r="J4633" s="291"/>
      <c r="K4633" s="291"/>
      <c r="L4633" s="291"/>
      <c r="M4633" s="291"/>
      <c r="S4633" s="364"/>
      <c r="Z4633" s="609" t="s">
        <v>4221</v>
      </c>
      <c r="AA4633" s="609" t="s">
        <v>5701</v>
      </c>
    </row>
    <row r="4634" spans="1:27" ht="18">
      <c r="A4634" s="2712">
        <v>6600</v>
      </c>
      <c r="B4634" s="371">
        <v>62</v>
      </c>
      <c r="C4634" s="2714" t="str">
        <f>VLOOKUP($A4634,Sheet_Items,2,0)</f>
        <v>税金及附加</v>
      </c>
      <c r="D4634" s="371"/>
      <c r="E4634" s="2714" t="s">
        <v>2739</v>
      </c>
      <c r="F4634" s="294"/>
      <c r="G4634" s="305" t="str">
        <f>B4634&amp;" "&amp;C4634</f>
        <v>62 税金及附加</v>
      </c>
      <c r="H4634" s="306"/>
      <c r="I4634" s="306"/>
      <c r="J4634" s="306" t="s">
        <v>4206</v>
      </c>
      <c r="K4634" s="341">
        <f>VLOOKUP($A4634,Sheet_Trialbal,6,0)</f>
        <v>3777403.45</v>
      </c>
      <c r="L4634" s="342"/>
      <c r="M4634" s="306" t="s">
        <v>4207</v>
      </c>
      <c r="N4634" s="341">
        <f>VLOOKUP($A4634,Sheet_Trialbal,10,0)</f>
        <v>6554133.3899999997</v>
      </c>
      <c r="O4634" s="306"/>
      <c r="P4634" s="301"/>
      <c r="S4634" s="364"/>
      <c r="Z4634" s="609" t="s">
        <v>4247</v>
      </c>
      <c r="AA4634" s="609" t="s">
        <v>5703</v>
      </c>
    </row>
    <row r="4635" spans="1:27" ht="18">
      <c r="A4635" s="2712" t="s">
        <v>1897</v>
      </c>
      <c r="B4635" s="371">
        <v>1</v>
      </c>
      <c r="C4635" s="371"/>
      <c r="D4635" s="2714" t="str">
        <f>VLOOKUP($A4635,Sheet_NoteList,2,0)</f>
        <v>税金及附加明细项目</v>
      </c>
      <c r="E4635" s="2714" t="s">
        <v>2742</v>
      </c>
      <c r="F4635" s="294"/>
      <c r="G4635" s="307" t="s">
        <v>4248</v>
      </c>
      <c r="H4635" s="1515" t="str">
        <f>$A4635</f>
        <v>6600a</v>
      </c>
      <c r="I4635" s="343" t="s">
        <v>2743</v>
      </c>
      <c r="J4635" s="301" t="s">
        <v>4210</v>
      </c>
      <c r="K4635" s="2208">
        <f>H4652</f>
        <v>3777403.45</v>
      </c>
      <c r="L4635" s="345" t="str">
        <f>IF($I4635="适用",IF(ROUND(K4634-K4635,2)=0,"F/S",ROUND(K4634-K4635,2)),"#N/A")</f>
        <v>F/S</v>
      </c>
      <c r="M4635" s="301" t="s">
        <v>4211</v>
      </c>
      <c r="N4635" s="2208">
        <f>I4652</f>
        <v>0</v>
      </c>
      <c r="O4635" s="345">
        <f>IF($I4635="适用",IF(ROUND(N4634-N4635,2)=0,"F/S",ROUND(N4634-N4635,2)),"#N/A")</f>
        <v>6554133.3899999997</v>
      </c>
      <c r="P4635" s="301"/>
      <c r="Q4635" s="290" t="str">
        <f>IF($I4635="不适用","",IF(ROUND(SUM($H$4638:$I$4652),2)=0,"请输入",""))</f>
        <v/>
      </c>
      <c r="S4635" s="364"/>
      <c r="Z4635" s="609" t="s">
        <v>4247</v>
      </c>
      <c r="AA4635" s="609" t="s">
        <v>5703</v>
      </c>
    </row>
    <row r="4636" spans="1:27" ht="0.75" customHeight="1" thickBot="1">
      <c r="A4636" s="2712"/>
      <c r="B4636" s="371"/>
      <c r="C4636" s="371"/>
      <c r="D4636" s="371"/>
      <c r="E4636" s="586"/>
      <c r="F4636" s="586"/>
      <c r="G4636" s="586" t="s">
        <v>4249</v>
      </c>
      <c r="H4636" s="371" t="s">
        <v>4223</v>
      </c>
      <c r="I4636" s="371" t="s">
        <v>4224</v>
      </c>
      <c r="J4636" s="291"/>
      <c r="K4636" s="291"/>
      <c r="L4636" s="291"/>
      <c r="M4636" s="291"/>
      <c r="N4636" s="291"/>
      <c r="S4636" s="364"/>
      <c r="Z4636" s="609" t="s">
        <v>4247</v>
      </c>
      <c r="AA4636" s="609" t="s">
        <v>5703</v>
      </c>
    </row>
    <row r="4637" spans="1:27" ht="24.75" thickTop="1">
      <c r="A4637" s="2712"/>
      <c r="B4637" s="371"/>
      <c r="C4637" s="371"/>
      <c r="D4637" s="371"/>
      <c r="E4637" s="586" t="s">
        <v>2749</v>
      </c>
      <c r="F4637" s="363"/>
      <c r="G4637" s="2447" t="s">
        <v>47</v>
      </c>
      <c r="H4637" s="2443" t="str">
        <f>$V$4</f>
        <v>2019年度</v>
      </c>
      <c r="I4637" s="2442" t="str">
        <f>$V$5</f>
        <v>2018年度</v>
      </c>
      <c r="J4637" s="355" t="s">
        <v>5325</v>
      </c>
      <c r="K4637" s="1582" t="str">
        <f>""&amp;"&gt;应交税费本期增加:"&amp;""</f>
        <v>&gt;应交税费本期增加:</v>
      </c>
      <c r="L4637" s="1582"/>
      <c r="M4637" s="2657"/>
      <c r="N4637" s="2656" t="str">
        <f>""&amp;"NoteID"&amp;""</f>
        <v>NoteID</v>
      </c>
      <c r="S4637" s="364"/>
      <c r="Z4637" s="609" t="s">
        <v>4247</v>
      </c>
      <c r="AA4637" s="609" t="s">
        <v>5703</v>
      </c>
    </row>
    <row r="4638" spans="1:27" ht="18">
      <c r="A4638" s="2712"/>
      <c r="B4638" s="371">
        <v>101</v>
      </c>
      <c r="C4638" s="371"/>
      <c r="D4638" s="2714">
        <f>IF(OR(G4638="*",G4638="",G4638=0),0,COUNTIF($G$4638:$G$4652,G4638))</f>
        <v>1</v>
      </c>
      <c r="E4638" s="2719">
        <v>1</v>
      </c>
      <c r="F4638" s="294"/>
      <c r="G4638" s="1472" t="s">
        <v>3945</v>
      </c>
      <c r="H4638" s="2273"/>
      <c r="I4638" s="2294"/>
      <c r="J4638" s="291"/>
      <c r="K4638" s="2250">
        <f ca="1">HYPERLINK("#'"&amp;$G$1&amp;"'!"&amp;ADDRESS(ROW(Notes!J3733),COLUMN(Notes!J3733),4),J3733)</f>
        <v>0</v>
      </c>
      <c r="L4638" s="456"/>
      <c r="M4638" s="456"/>
      <c r="N4638" s="2663" t="s">
        <v>6364</v>
      </c>
      <c r="S4638" s="364"/>
      <c r="Z4638" s="609" t="s">
        <v>4247</v>
      </c>
      <c r="AA4638" s="609" t="s">
        <v>5703</v>
      </c>
    </row>
    <row r="4639" spans="1:27" ht="18">
      <c r="A4639" s="2712"/>
      <c r="B4639" s="371">
        <v>102</v>
      </c>
      <c r="C4639" s="371"/>
      <c r="D4639" s="2714">
        <f>IF(OR(G4639="*",G4639="",G4639=0),0,COUNTIF($G$4638:$G$4652,G4639))</f>
        <v>1</v>
      </c>
      <c r="E4639" s="2719">
        <v>1</v>
      </c>
      <c r="F4639" s="294"/>
      <c r="G4639" s="1472" t="s">
        <v>3948</v>
      </c>
      <c r="H4639" s="2273">
        <v>458874.57</v>
      </c>
      <c r="I4639" s="2294"/>
      <c r="J4639" s="291"/>
      <c r="K4639" s="2250">
        <f ca="1">HYPERLINK("#'"&amp;$G$1&amp;"'!"&amp;ADDRESS(ROW(Notes!J3736),COLUMN(Notes!J3736),4),J3736)</f>
        <v>0</v>
      </c>
      <c r="L4639" s="456"/>
      <c r="M4639" s="456"/>
      <c r="N4639" s="2664"/>
      <c r="S4639" s="364"/>
      <c r="Z4639" s="609" t="s">
        <v>4247</v>
      </c>
      <c r="AA4639" s="609" t="s">
        <v>5703</v>
      </c>
    </row>
    <row r="4640" spans="1:27" ht="18">
      <c r="A4640" s="2712"/>
      <c r="B4640" s="371">
        <v>103</v>
      </c>
      <c r="C4640" s="371"/>
      <c r="D4640" s="2714">
        <f>IF(OR(G4640="*",G4640="",G4640=0),0,COUNTIF($G$4638:$G$4652,G4640))</f>
        <v>1</v>
      </c>
      <c r="E4640" s="2719">
        <v>1</v>
      </c>
      <c r="F4640" s="294"/>
      <c r="G4640" s="1472" t="s">
        <v>3949</v>
      </c>
      <c r="H4640" s="2273">
        <v>275322.75</v>
      </c>
      <c r="I4640" s="2294"/>
      <c r="J4640" s="291"/>
      <c r="K4640" s="2250">
        <f ca="1">HYPERLINK("#'"&amp;$G$1&amp;"'!"&amp;ADDRESS(ROW(Notes!J3737),COLUMN(Notes!J3737),4),J3737)</f>
        <v>0</v>
      </c>
      <c r="L4640" s="456"/>
      <c r="M4640" s="456"/>
      <c r="N4640" s="2664"/>
      <c r="S4640" s="364"/>
      <c r="Z4640" s="609" t="s">
        <v>4247</v>
      </c>
      <c r="AA4640" s="609" t="s">
        <v>5703</v>
      </c>
    </row>
    <row r="4641" spans="1:27" ht="18">
      <c r="A4641" s="2712"/>
      <c r="B4641" s="371">
        <v>104</v>
      </c>
      <c r="C4641" s="371"/>
      <c r="D4641" s="2714">
        <f>IF(OR(G4641="*",G4641="",G4641=0),0,COUNTIF($G$4638:$G$4652,G4641))</f>
        <v>1</v>
      </c>
      <c r="E4641" s="2719">
        <v>1</v>
      </c>
      <c r="F4641" s="294"/>
      <c r="G4641" s="1472" t="s">
        <v>5642</v>
      </c>
      <c r="H4641" s="2273">
        <v>183549.82</v>
      </c>
      <c r="I4641" s="2294"/>
      <c r="J4641" s="291"/>
      <c r="K4641" s="2250">
        <f ca="1">HYPERLINK("#'"&amp;$G$1&amp;"'!"&amp;ADDRESS(ROW(Notes!J3738),COLUMN(Notes!J3738),4),J3738)</f>
        <v>0</v>
      </c>
      <c r="L4641" s="456"/>
      <c r="M4641" s="456"/>
      <c r="N4641" s="2664"/>
      <c r="S4641" s="364"/>
      <c r="Z4641" s="609" t="s">
        <v>4247</v>
      </c>
      <c r="AA4641" s="609" t="s">
        <v>5703</v>
      </c>
    </row>
    <row r="4642" spans="1:27" ht="18">
      <c r="A4642" s="2712"/>
      <c r="B4642" s="371">
        <v>105</v>
      </c>
      <c r="C4642" s="371"/>
      <c r="D4642" s="2714">
        <f>IF(OR(G4643="*",G4643="",G4643=0),0,COUNTIF($G$4638:$G$4652,G4643))</f>
        <v>1</v>
      </c>
      <c r="E4642" s="2719">
        <v>1</v>
      </c>
      <c r="F4642" s="294"/>
      <c r="G4642" s="1472" t="s">
        <v>4251</v>
      </c>
      <c r="H4642" s="2273">
        <v>383235.4</v>
      </c>
      <c r="I4642" s="2294"/>
      <c r="J4642" s="291"/>
      <c r="K4642" s="2250">
        <f ca="1">HYPERLINK("#'"&amp;$G$1&amp;"'!"&amp;ADDRESS(ROW(Notes!J3739),COLUMN(Notes!J3739),4),J3739)</f>
        <v>0</v>
      </c>
      <c r="L4642" s="456"/>
      <c r="M4642" s="456"/>
      <c r="N4642" s="2664"/>
      <c r="S4642" s="364"/>
      <c r="Z4642" s="609" t="s">
        <v>4247</v>
      </c>
      <c r="AA4642" s="609" t="s">
        <v>5703</v>
      </c>
    </row>
    <row r="4643" spans="1:27" ht="18">
      <c r="A4643" s="2712"/>
      <c r="B4643" s="371">
        <v>106</v>
      </c>
      <c r="C4643" s="371"/>
      <c r="D4643" s="2714">
        <f>IF(OR(G4642="*",G4642="",G4642=0),0,COUNTIF($G$4638:$G$4652,G4642))</f>
        <v>1</v>
      </c>
      <c r="E4643" s="2719">
        <v>1</v>
      </c>
      <c r="F4643" s="294"/>
      <c r="G4643" s="1472" t="s">
        <v>4250</v>
      </c>
      <c r="H4643" s="2273">
        <f>169900+AJE!P92</f>
        <v>225824</v>
      </c>
      <c r="I4643" s="2294"/>
      <c r="J4643" s="291"/>
      <c r="K4643" s="2250">
        <f ca="1">HYPERLINK("#'"&amp;$G$1&amp;"'!"&amp;ADDRESS(ROW(Notes!J3740),COLUMN(Notes!J3740),4),J3740)</f>
        <v>0</v>
      </c>
      <c r="L4643" s="456"/>
      <c r="M4643" s="456"/>
      <c r="N4643" s="2664"/>
      <c r="S4643" s="364"/>
      <c r="Z4643" s="609" t="s">
        <v>4247</v>
      </c>
      <c r="AA4643" s="609" t="s">
        <v>5703</v>
      </c>
    </row>
    <row r="4644" spans="1:27" ht="18">
      <c r="A4644" s="2712"/>
      <c r="B4644" s="371">
        <v>107</v>
      </c>
      <c r="C4644" s="371"/>
      <c r="D4644" s="2714">
        <f t="shared" ref="D4644:D4652" si="516">IF(OR(G4644="*",G4644="",G4644=0),0,COUNTIF($G$4638:$G$4652,G4644))</f>
        <v>1</v>
      </c>
      <c r="E4644" s="2719">
        <v>1</v>
      </c>
      <c r="F4644" s="294"/>
      <c r="G4644" s="1472" t="s">
        <v>5644</v>
      </c>
      <c r="H4644" s="2273">
        <v>2065350.99</v>
      </c>
      <c r="I4644" s="2294"/>
      <c r="J4644" s="291"/>
      <c r="K4644" s="2250">
        <f ca="1">HYPERLINK("#'"&amp;$G$1&amp;"'!"&amp;ADDRESS(ROW(Notes!J3741),COLUMN(Notes!J3741),4),J3741)</f>
        <v>0</v>
      </c>
      <c r="L4644" s="456"/>
      <c r="M4644" s="456"/>
      <c r="N4644" s="2664"/>
      <c r="S4644" s="364"/>
      <c r="Z4644" s="609" t="s">
        <v>4247</v>
      </c>
      <c r="AA4644" s="609" t="s">
        <v>5703</v>
      </c>
    </row>
    <row r="4645" spans="1:27" ht="18">
      <c r="A4645" s="2712"/>
      <c r="B4645" s="371">
        <v>108</v>
      </c>
      <c r="C4645" s="371"/>
      <c r="D4645" s="2714">
        <f t="shared" si="516"/>
        <v>1</v>
      </c>
      <c r="E4645" s="2719">
        <v>1</v>
      </c>
      <c r="F4645" s="294"/>
      <c r="G4645" s="1472" t="s">
        <v>4252</v>
      </c>
      <c r="H4645" s="2273"/>
      <c r="I4645" s="2294"/>
      <c r="J4645" s="291"/>
      <c r="K4645" s="456"/>
      <c r="L4645" s="456"/>
      <c r="M4645" s="456"/>
      <c r="N4645" s="2664"/>
      <c r="S4645" s="364"/>
      <c r="Z4645" s="609" t="s">
        <v>4247</v>
      </c>
      <c r="AA4645" s="609" t="s">
        <v>5703</v>
      </c>
    </row>
    <row r="4646" spans="1:27" ht="18">
      <c r="A4646" s="2712"/>
      <c r="B4646" s="371">
        <v>110</v>
      </c>
      <c r="C4646" s="371"/>
      <c r="D4646" s="2714">
        <f t="shared" si="516"/>
        <v>1</v>
      </c>
      <c r="E4646" s="2719">
        <v>1</v>
      </c>
      <c r="F4646" s="294"/>
      <c r="G4646" s="1472" t="s">
        <v>4253</v>
      </c>
      <c r="H4646" s="2273">
        <v>94400.4</v>
      </c>
      <c r="I4646" s="2294"/>
      <c r="J4646" s="291"/>
      <c r="K4646" s="456"/>
      <c r="L4646" s="456"/>
      <c r="M4646" s="456"/>
      <c r="N4646" s="2664"/>
      <c r="S4646" s="364"/>
      <c r="Z4646" s="609" t="s">
        <v>4247</v>
      </c>
      <c r="AA4646" s="609" t="s">
        <v>5703</v>
      </c>
    </row>
    <row r="4647" spans="1:27" ht="18">
      <c r="A4647" s="2712"/>
      <c r="B4647" s="371">
        <v>111</v>
      </c>
      <c r="C4647" s="371" t="s">
        <v>2791</v>
      </c>
      <c r="D4647" s="2714">
        <f t="shared" si="516"/>
        <v>1</v>
      </c>
      <c r="E4647" s="2719">
        <v>1</v>
      </c>
      <c r="F4647" s="294"/>
      <c r="G4647" s="2446" t="s">
        <v>7477</v>
      </c>
      <c r="H4647" s="2273">
        <v>90845.52</v>
      </c>
      <c r="I4647" s="2294"/>
      <c r="J4647" s="291"/>
      <c r="K4647" s="456"/>
      <c r="L4647" s="456"/>
      <c r="M4647" s="456"/>
      <c r="N4647" s="2664"/>
      <c r="S4647" s="364"/>
      <c r="Z4647" s="609" t="s">
        <v>4247</v>
      </c>
      <c r="AA4647" s="609" t="s">
        <v>5703</v>
      </c>
    </row>
    <row r="4648" spans="1:27" ht="18">
      <c r="A4648" s="2712"/>
      <c r="B4648" s="371">
        <v>112</v>
      </c>
      <c r="C4648" s="371" t="s">
        <v>2791</v>
      </c>
      <c r="D4648" s="2714">
        <f t="shared" si="516"/>
        <v>0</v>
      </c>
      <c r="E4648" s="2719">
        <v>1</v>
      </c>
      <c r="F4648" s="294"/>
      <c r="G4648" s="2446" t="s">
        <v>2792</v>
      </c>
      <c r="H4648" s="2273"/>
      <c r="I4648" s="2294"/>
      <c r="J4648" s="291"/>
      <c r="K4648" s="456"/>
      <c r="L4648" s="456"/>
      <c r="M4648" s="456"/>
      <c r="N4648" s="2664"/>
      <c r="S4648" s="364"/>
      <c r="Z4648" s="609" t="s">
        <v>4247</v>
      </c>
      <c r="AA4648" s="609" t="s">
        <v>5703</v>
      </c>
    </row>
    <row r="4649" spans="1:27" ht="18">
      <c r="A4649" s="2712"/>
      <c r="B4649" s="371">
        <v>113</v>
      </c>
      <c r="C4649" s="371" t="s">
        <v>2791</v>
      </c>
      <c r="D4649" s="2714">
        <f t="shared" si="516"/>
        <v>0</v>
      </c>
      <c r="E4649" s="2719">
        <v>1</v>
      </c>
      <c r="F4649" s="294"/>
      <c r="G4649" s="2446" t="s">
        <v>2792</v>
      </c>
      <c r="H4649" s="2273"/>
      <c r="I4649" s="2294"/>
      <c r="J4649" s="291"/>
      <c r="K4649" s="456"/>
      <c r="L4649" s="456"/>
      <c r="M4649" s="456"/>
      <c r="N4649" s="2664"/>
      <c r="S4649" s="364"/>
      <c r="Z4649" s="609" t="s">
        <v>4247</v>
      </c>
      <c r="AA4649" s="609" t="s">
        <v>5703</v>
      </c>
    </row>
    <row r="4650" spans="1:27" ht="18">
      <c r="A4650" s="2712"/>
      <c r="B4650" s="371">
        <v>114</v>
      </c>
      <c r="C4650" s="371" t="s">
        <v>2791</v>
      </c>
      <c r="D4650" s="2714">
        <f t="shared" si="516"/>
        <v>0</v>
      </c>
      <c r="E4650" s="2719">
        <v>1</v>
      </c>
      <c r="F4650" s="294"/>
      <c r="G4650" s="2446" t="s">
        <v>2792</v>
      </c>
      <c r="H4650" s="2273"/>
      <c r="I4650" s="2294"/>
      <c r="J4650" s="291"/>
      <c r="K4650" s="456"/>
      <c r="L4650" s="456"/>
      <c r="M4650" s="456"/>
      <c r="N4650" s="2664"/>
      <c r="S4650" s="364"/>
      <c r="Z4650" s="609" t="s">
        <v>4247</v>
      </c>
      <c r="AA4650" s="609" t="s">
        <v>5703</v>
      </c>
    </row>
    <row r="4651" spans="1:27" ht="18">
      <c r="A4651" s="2712"/>
      <c r="B4651" s="371">
        <v>115</v>
      </c>
      <c r="C4651" s="371" t="s">
        <v>2791</v>
      </c>
      <c r="D4651" s="2714">
        <f t="shared" si="516"/>
        <v>0</v>
      </c>
      <c r="E4651" s="2719">
        <v>1</v>
      </c>
      <c r="F4651" s="294"/>
      <c r="G4651" s="2446" t="s">
        <v>2792</v>
      </c>
      <c r="H4651" s="2273"/>
      <c r="I4651" s="2294"/>
      <c r="J4651" s="291"/>
      <c r="K4651" s="456"/>
      <c r="L4651" s="456"/>
      <c r="M4651" s="456"/>
      <c r="N4651" s="2664"/>
      <c r="S4651" s="364"/>
      <c r="Z4651" s="609" t="s">
        <v>4247</v>
      </c>
      <c r="AA4651" s="609" t="s">
        <v>5703</v>
      </c>
    </row>
    <row r="4652" spans="1:27" ht="18.75" thickBot="1">
      <c r="A4652" s="2712"/>
      <c r="B4652" s="371"/>
      <c r="C4652" s="371"/>
      <c r="D4652" s="2714">
        <f t="shared" si="516"/>
        <v>1</v>
      </c>
      <c r="E4652" s="2719" t="s">
        <v>2751</v>
      </c>
      <c r="F4652" s="294"/>
      <c r="G4652" s="374" t="s">
        <v>2752</v>
      </c>
      <c r="H4652" s="1476">
        <f>SUMPRODUCT($E4637:$E4651,H4637:H4651)</f>
        <v>3777403.45</v>
      </c>
      <c r="I4652" s="1477">
        <f>SUMPRODUCT($E4637:$E4651,I4637:I4651)</f>
        <v>0</v>
      </c>
      <c r="J4652" s="291"/>
      <c r="K4652" s="1529">
        <f t="shared" ref="K4652:M4652" ca="1" si="517">SUM(K4638:K4651)</f>
        <v>0</v>
      </c>
      <c r="L4652" s="1529">
        <f t="shared" si="517"/>
        <v>0</v>
      </c>
      <c r="M4652" s="1529">
        <f t="shared" si="517"/>
        <v>0</v>
      </c>
      <c r="N4652" s="2665"/>
      <c r="S4652" s="364"/>
      <c r="Z4652" s="609" t="s">
        <v>4247</v>
      </c>
      <c r="AA4652" s="609" t="s">
        <v>5703</v>
      </c>
    </row>
    <row r="4653" spans="1:27" ht="18">
      <c r="A4653" s="2712"/>
      <c r="B4653" s="371"/>
      <c r="C4653" s="371" t="s">
        <v>2755</v>
      </c>
      <c r="D4653" s="371"/>
      <c r="F4653" s="294"/>
      <c r="G4653" s="301"/>
      <c r="H4653" s="315"/>
      <c r="I4653" s="315"/>
      <c r="J4653" s="350"/>
      <c r="K4653" s="1537" t="s">
        <v>5503</v>
      </c>
      <c r="L4653" s="354"/>
      <c r="M4653" s="354"/>
      <c r="N4653" s="354"/>
      <c r="S4653" s="364"/>
      <c r="Z4653" s="609" t="s">
        <v>4247</v>
      </c>
      <c r="AA4653" s="609" t="s">
        <v>5703</v>
      </c>
    </row>
    <row r="4654" spans="1:27" ht="18">
      <c r="A4654" s="2712" t="s">
        <v>1901</v>
      </c>
      <c r="B4654" s="371">
        <v>2</v>
      </c>
      <c r="C4654" s="371"/>
      <c r="D4654" s="2714" t="str">
        <f>VLOOKUP($A4654,Sheet_NoteList,2,0)</f>
        <v>税金及附加补充资料</v>
      </c>
      <c r="E4654" s="2714" t="s">
        <v>6529</v>
      </c>
      <c r="F4654" s="294"/>
      <c r="G4654" s="307" t="str">
        <f>"("&amp;B4654&amp;")"&amp;D4654</f>
        <v>(2)税金及附加补充资料</v>
      </c>
      <c r="H4654" s="1515" t="str">
        <f>$A4654</f>
        <v>6600x</v>
      </c>
      <c r="I4654" s="343" t="s">
        <v>5963</v>
      </c>
      <c r="J4654" s="301" t="s">
        <v>5979</v>
      </c>
      <c r="K4654" s="2208">
        <f>H4662</f>
        <v>0</v>
      </c>
      <c r="L4654" s="345"/>
      <c r="M4654" s="301" t="s">
        <v>5980</v>
      </c>
      <c r="N4654" s="2208">
        <f>I4662</f>
        <v>0</v>
      </c>
      <c r="O4654" s="345"/>
      <c r="P4654" s="301"/>
      <c r="S4654" s="364"/>
      <c r="Z4654" s="609" t="s">
        <v>4247</v>
      </c>
      <c r="AA4654" s="609" t="s">
        <v>5703</v>
      </c>
    </row>
    <row r="4655" spans="1:27" ht="0.75" customHeight="1" thickBot="1">
      <c r="A4655" s="2712"/>
      <c r="B4655" s="371"/>
      <c r="C4655" s="371"/>
      <c r="D4655" s="371"/>
      <c r="E4655" s="586"/>
      <c r="F4655" s="586"/>
      <c r="G4655" s="586" t="s">
        <v>4254</v>
      </c>
      <c r="H4655" s="371" t="s">
        <v>4223</v>
      </c>
      <c r="I4655" s="371" t="s">
        <v>4224</v>
      </c>
      <c r="J4655" s="291"/>
      <c r="K4655" s="291"/>
      <c r="L4655" s="291"/>
      <c r="M4655" s="291"/>
      <c r="N4655" s="291"/>
      <c r="S4655" s="364"/>
      <c r="Z4655" s="609" t="s">
        <v>4247</v>
      </c>
      <c r="AA4655" s="609" t="s">
        <v>5703</v>
      </c>
    </row>
    <row r="4656" spans="1:27" ht="18">
      <c r="A4656" s="2712"/>
      <c r="B4656" s="371"/>
      <c r="C4656" s="371"/>
      <c r="D4656" s="371"/>
      <c r="E4656" s="586" t="s">
        <v>2749</v>
      </c>
      <c r="F4656" s="363"/>
      <c r="G4656" s="2449" t="s">
        <v>47</v>
      </c>
      <c r="H4656" s="2445" t="s">
        <v>4242</v>
      </c>
      <c r="I4656" s="2444" t="s">
        <v>4245</v>
      </c>
      <c r="J4656" s="355" t="s">
        <v>6139</v>
      </c>
      <c r="K4656" s="291"/>
      <c r="L4656" s="291"/>
      <c r="M4656" s="291"/>
      <c r="N4656" s="291"/>
      <c r="S4656" s="364"/>
      <c r="Z4656" s="609" t="s">
        <v>4247</v>
      </c>
      <c r="AA4656" s="609" t="s">
        <v>5703</v>
      </c>
    </row>
    <row r="4657" spans="1:27" ht="18">
      <c r="A4657" s="2712"/>
      <c r="B4657" s="371">
        <v>101</v>
      </c>
      <c r="C4657" s="371" t="s">
        <v>2791</v>
      </c>
      <c r="D4657" s="2714">
        <f t="shared" ref="D4657:D4662" si="518">IF(OR(G4657="*",G4657="",G4657=0),0,COUNTIF($G$4657:$G$4662,G4657))</f>
        <v>0</v>
      </c>
      <c r="E4657" s="2719">
        <v>1</v>
      </c>
      <c r="F4657" s="294"/>
      <c r="G4657" s="2446" t="s">
        <v>2792</v>
      </c>
      <c r="H4657" s="2273"/>
      <c r="I4657" s="2294"/>
      <c r="J4657" s="579"/>
      <c r="K4657" s="291"/>
      <c r="L4657" s="291"/>
      <c r="M4657" s="291"/>
      <c r="N4657" s="291"/>
      <c r="S4657" s="364"/>
      <c r="Z4657" s="609" t="s">
        <v>4247</v>
      </c>
      <c r="AA4657" s="609" t="s">
        <v>5703</v>
      </c>
    </row>
    <row r="4658" spans="1:27" ht="18">
      <c r="A4658" s="2712"/>
      <c r="B4658" s="371">
        <v>102</v>
      </c>
      <c r="C4658" s="371" t="s">
        <v>2791</v>
      </c>
      <c r="D4658" s="2714">
        <f t="shared" si="518"/>
        <v>0</v>
      </c>
      <c r="E4658" s="2719">
        <v>1</v>
      </c>
      <c r="F4658" s="294"/>
      <c r="G4658" s="2446" t="s">
        <v>2792</v>
      </c>
      <c r="H4658" s="2273"/>
      <c r="I4658" s="2294"/>
      <c r="J4658" s="291"/>
      <c r="K4658" s="291"/>
      <c r="L4658" s="291"/>
      <c r="M4658" s="291"/>
      <c r="N4658" s="291"/>
      <c r="S4658" s="364"/>
      <c r="Z4658" s="609" t="s">
        <v>4247</v>
      </c>
      <c r="AA4658" s="609" t="s">
        <v>5703</v>
      </c>
    </row>
    <row r="4659" spans="1:27" ht="18">
      <c r="A4659" s="2712"/>
      <c r="B4659" s="371">
        <v>103</v>
      </c>
      <c r="C4659" s="371" t="s">
        <v>2791</v>
      </c>
      <c r="D4659" s="2714">
        <f t="shared" si="518"/>
        <v>0</v>
      </c>
      <c r="E4659" s="2719">
        <v>1</v>
      </c>
      <c r="F4659" s="294"/>
      <c r="G4659" s="2446" t="s">
        <v>2792</v>
      </c>
      <c r="H4659" s="2273"/>
      <c r="I4659" s="2294"/>
      <c r="J4659" s="291"/>
      <c r="K4659" s="291"/>
      <c r="L4659" s="291"/>
      <c r="M4659" s="291"/>
      <c r="N4659" s="291"/>
      <c r="S4659" s="364"/>
      <c r="Z4659" s="609" t="s">
        <v>4247</v>
      </c>
      <c r="AA4659" s="609" t="s">
        <v>5703</v>
      </c>
    </row>
    <row r="4660" spans="1:27" ht="18">
      <c r="A4660" s="2712"/>
      <c r="B4660" s="371">
        <v>104</v>
      </c>
      <c r="C4660" s="371" t="s">
        <v>2791</v>
      </c>
      <c r="D4660" s="2714">
        <f t="shared" si="518"/>
        <v>0</v>
      </c>
      <c r="E4660" s="2719">
        <v>1</v>
      </c>
      <c r="F4660" s="294"/>
      <c r="G4660" s="2446" t="s">
        <v>2792</v>
      </c>
      <c r="H4660" s="2273"/>
      <c r="I4660" s="2294"/>
      <c r="J4660" s="291"/>
      <c r="K4660" s="291"/>
      <c r="L4660" s="291"/>
      <c r="M4660" s="291"/>
      <c r="N4660" s="291"/>
      <c r="S4660" s="364"/>
      <c r="Z4660" s="609" t="s">
        <v>4247</v>
      </c>
      <c r="AA4660" s="609" t="s">
        <v>5703</v>
      </c>
    </row>
    <row r="4661" spans="1:27" ht="18">
      <c r="A4661" s="2712"/>
      <c r="B4661" s="371">
        <v>105</v>
      </c>
      <c r="C4661" s="371" t="s">
        <v>2791</v>
      </c>
      <c r="D4661" s="2714">
        <f t="shared" si="518"/>
        <v>0</v>
      </c>
      <c r="E4661" s="2719">
        <v>1</v>
      </c>
      <c r="F4661" s="294"/>
      <c r="G4661" s="2446" t="s">
        <v>2792</v>
      </c>
      <c r="H4661" s="2273"/>
      <c r="I4661" s="2294"/>
      <c r="J4661" s="291"/>
      <c r="K4661" s="291"/>
      <c r="L4661" s="291"/>
      <c r="M4661" s="291"/>
      <c r="N4661" s="291"/>
      <c r="S4661" s="364"/>
      <c r="Z4661" s="609" t="s">
        <v>4247</v>
      </c>
      <c r="AA4661" s="609" t="s">
        <v>5703</v>
      </c>
    </row>
    <row r="4662" spans="1:27" ht="18.75" thickBot="1">
      <c r="A4662" s="2712"/>
      <c r="B4662" s="371"/>
      <c r="C4662" s="371"/>
      <c r="D4662" s="2714">
        <f t="shared" si="518"/>
        <v>1</v>
      </c>
      <c r="E4662" s="2719" t="s">
        <v>2751</v>
      </c>
      <c r="F4662" s="294"/>
      <c r="G4662" s="1527" t="s">
        <v>2752</v>
      </c>
      <c r="H4662" s="1525">
        <f>SUMPRODUCT($E4656:$E4661,H4656:H4661)</f>
        <v>0</v>
      </c>
      <c r="I4662" s="1526">
        <f>SUMPRODUCT($E4656:$E4661,I4656:I4661)</f>
        <v>0</v>
      </c>
      <c r="J4662" s="291"/>
      <c r="K4662" s="291"/>
      <c r="L4662" s="291"/>
      <c r="M4662" s="291"/>
      <c r="N4662" s="291"/>
      <c r="S4662" s="364"/>
      <c r="Z4662" s="609" t="s">
        <v>4247</v>
      </c>
      <c r="AA4662" s="609" t="s">
        <v>5703</v>
      </c>
    </row>
    <row r="4663" spans="1:27" ht="18">
      <c r="A4663" s="2712"/>
      <c r="B4663" s="371"/>
      <c r="C4663" s="371" t="s">
        <v>2755</v>
      </c>
      <c r="D4663" s="371"/>
      <c r="F4663" s="294"/>
      <c r="G4663" s="301"/>
      <c r="H4663" s="315"/>
      <c r="I4663" s="315"/>
      <c r="J4663" s="350"/>
      <c r="K4663" s="291"/>
      <c r="L4663" s="291"/>
      <c r="M4663" s="291"/>
      <c r="N4663" s="291"/>
      <c r="S4663" s="364"/>
      <c r="Z4663" s="609" t="s">
        <v>4247</v>
      </c>
      <c r="AA4663" s="609" t="s">
        <v>5703</v>
      </c>
    </row>
    <row r="4664" spans="1:27" ht="18">
      <c r="A4664" s="2712">
        <v>6601</v>
      </c>
      <c r="B4664" s="371">
        <v>63</v>
      </c>
      <c r="C4664" s="2714" t="str">
        <f>VLOOKUP($A4664,Sheet_Items,2,0)</f>
        <v>销售费用</v>
      </c>
      <c r="D4664" s="371"/>
      <c r="E4664" s="2714" t="s">
        <v>2739</v>
      </c>
      <c r="F4664" s="294"/>
      <c r="G4664" s="305" t="str">
        <f>B4664&amp;" "&amp;C4664</f>
        <v>63 销售费用</v>
      </c>
      <c r="H4664" s="306"/>
      <c r="I4664" s="306"/>
      <c r="J4664" s="306" t="s">
        <v>4206</v>
      </c>
      <c r="K4664" s="341">
        <f>VLOOKUP($A4664,Sheet_Trialbal,6,0)</f>
        <v>13846726.529999999</v>
      </c>
      <c r="L4664" s="342"/>
      <c r="M4664" s="306" t="s">
        <v>4207</v>
      </c>
      <c r="N4664" s="341">
        <f>VLOOKUP($A4664,Sheet_Trialbal,10,0)</f>
        <v>22551947.460000001</v>
      </c>
      <c r="O4664" s="306"/>
      <c r="P4664" s="301"/>
      <c r="S4664" s="364"/>
      <c r="Z4664" s="609" t="s">
        <v>4255</v>
      </c>
      <c r="AA4664" s="609" t="s">
        <v>5704</v>
      </c>
    </row>
    <row r="4665" spans="1:27" ht="18">
      <c r="A4665" s="2712" t="s">
        <v>1905</v>
      </c>
      <c r="B4665" s="371">
        <v>1</v>
      </c>
      <c r="C4665" s="371"/>
      <c r="D4665" s="2714" t="str">
        <f>VLOOKUP($A4665,Sheet_NoteList,2,0)</f>
        <v>销售费用明细项目</v>
      </c>
      <c r="E4665" s="2714" t="s">
        <v>2742</v>
      </c>
      <c r="F4665" s="294"/>
      <c r="G4665" s="307" t="str">
        <f>"("&amp;B4665&amp;")"&amp;D4665</f>
        <v>(1)销售费用明细项目</v>
      </c>
      <c r="H4665" s="1515" t="str">
        <f>$A4665</f>
        <v>6601a</v>
      </c>
      <c r="I4665" s="343" t="s">
        <v>2743</v>
      </c>
      <c r="J4665" s="301" t="s">
        <v>4256</v>
      </c>
      <c r="K4665" s="2208">
        <f>H4683+AJE!O121</f>
        <v>13846726.529999999</v>
      </c>
      <c r="L4665" s="1533">
        <f>IF($I4665="适用",IF(ROUND(K4664-K4665,2)&gt;=0,IF(K4664&lt;&gt;0,K4665/K4664,""),"#Logical!"),"#N/A")</f>
        <v>1</v>
      </c>
      <c r="M4665" s="301" t="s">
        <v>4257</v>
      </c>
      <c r="N4665" s="2208">
        <f>I4683</f>
        <v>22551947.460000001</v>
      </c>
      <c r="O4665" s="1533">
        <f>IF($I4665="适用",IF(ROUND(N4664-N4665,2)&gt;=0,IF(N4664&lt;&gt;0,N4665/N4664,""),"#Logical!"),"#N/A")</f>
        <v>1</v>
      </c>
      <c r="P4665" s="301"/>
      <c r="Q4665" s="290" t="str">
        <f>IF($I4665="不适用","",IF(ROUND(SUM($H$4668:$I$4683),2)=0,"请输入",""))</f>
        <v/>
      </c>
      <c r="S4665" s="364"/>
      <c r="Z4665" s="609" t="s">
        <v>4255</v>
      </c>
      <c r="AA4665" s="609" t="s">
        <v>5704</v>
      </c>
    </row>
    <row r="4666" spans="1:27" ht="0.75" customHeight="1" thickBot="1">
      <c r="A4666" s="2712"/>
      <c r="B4666" s="371"/>
      <c r="C4666" s="371"/>
      <c r="D4666" s="371"/>
      <c r="F4666" s="371"/>
      <c r="G4666" s="371" t="s">
        <v>4258</v>
      </c>
      <c r="H4666" s="371" t="s">
        <v>4223</v>
      </c>
      <c r="I4666" s="371" t="s">
        <v>4224</v>
      </c>
      <c r="J4666" s="291"/>
      <c r="K4666" s="291"/>
      <c r="L4666" s="291"/>
      <c r="M4666" s="291"/>
      <c r="S4666" s="364"/>
      <c r="Z4666" s="609" t="s">
        <v>4255</v>
      </c>
      <c r="AA4666" s="609" t="s">
        <v>5704</v>
      </c>
    </row>
    <row r="4667" spans="1:27" ht="18">
      <c r="A4667" s="2712"/>
      <c r="B4667" s="371"/>
      <c r="C4667" s="371"/>
      <c r="D4667" s="371"/>
      <c r="E4667" s="2714" t="s">
        <v>2749</v>
      </c>
      <c r="F4667" s="294"/>
      <c r="G4667" s="378" t="s">
        <v>47</v>
      </c>
      <c r="H4667" s="398" t="str">
        <f>$V$4</f>
        <v>2019年度</v>
      </c>
      <c r="I4667" s="511" t="str">
        <f>$V$5</f>
        <v>2018年度</v>
      </c>
      <c r="J4667" s="355" t="s">
        <v>5326</v>
      </c>
      <c r="K4667" s="291"/>
      <c r="L4667" s="291"/>
      <c r="M4667" s="291"/>
      <c r="S4667" s="364"/>
      <c r="Z4667" s="609" t="s">
        <v>4255</v>
      </c>
      <c r="AA4667" s="609" t="s">
        <v>5704</v>
      </c>
    </row>
    <row r="4668" spans="1:27" ht="18">
      <c r="A4668" s="2712"/>
      <c r="B4668" s="371">
        <v>101</v>
      </c>
      <c r="C4668" s="371" t="s">
        <v>2791</v>
      </c>
      <c r="D4668" s="2714">
        <f t="shared" ref="D4668:D4683" si="519">IF(OR(G4668="*",G4668="",G4668=0),0,COUNTIF($G$4668:$G$4683,G4668))</f>
        <v>1</v>
      </c>
      <c r="E4668" s="2719">
        <v>1</v>
      </c>
      <c r="F4668" s="294"/>
      <c r="G4668" s="409" t="s">
        <v>7438</v>
      </c>
      <c r="H4668" s="383">
        <f>11059672.74+AJE!O53</f>
        <v>11072331.4</v>
      </c>
      <c r="I4668" s="401">
        <v>17159304.079999998</v>
      </c>
      <c r="J4668" s="291"/>
      <c r="K4668" s="291"/>
      <c r="L4668" s="291"/>
      <c r="M4668" s="291"/>
      <c r="S4668" s="364"/>
      <c r="Z4668" s="609" t="s">
        <v>4255</v>
      </c>
      <c r="AA4668" s="609" t="s">
        <v>5704</v>
      </c>
    </row>
    <row r="4669" spans="1:27" ht="18">
      <c r="A4669" s="2712"/>
      <c r="B4669" s="371">
        <v>102</v>
      </c>
      <c r="C4669" s="371" t="s">
        <v>2791</v>
      </c>
      <c r="D4669" s="2714">
        <f t="shared" si="519"/>
        <v>1</v>
      </c>
      <c r="E4669" s="2719">
        <v>1</v>
      </c>
      <c r="F4669" s="294"/>
      <c r="G4669" s="409" t="s">
        <v>7439</v>
      </c>
      <c r="H4669" s="383">
        <f>796240.69+AJE!O200+AJE!O219</f>
        <v>1082790.69</v>
      </c>
      <c r="I4669" s="401">
        <v>4246462.8600000003</v>
      </c>
      <c r="J4669" s="291"/>
      <c r="K4669" s="291"/>
      <c r="L4669" s="291"/>
      <c r="M4669" s="291"/>
      <c r="S4669" s="364"/>
      <c r="Z4669" s="609" t="s">
        <v>4255</v>
      </c>
      <c r="AA4669" s="609" t="s">
        <v>5704</v>
      </c>
    </row>
    <row r="4670" spans="1:27" ht="18">
      <c r="A4670" s="2712"/>
      <c r="B4670" s="371">
        <v>103</v>
      </c>
      <c r="C4670" s="371" t="s">
        <v>2791</v>
      </c>
      <c r="D4670" s="2714">
        <f t="shared" si="519"/>
        <v>1</v>
      </c>
      <c r="E4670" s="2719">
        <v>1</v>
      </c>
      <c r="F4670" s="294"/>
      <c r="G4670" s="409" t="s">
        <v>7440</v>
      </c>
      <c r="H4670" s="383">
        <v>1039576.45</v>
      </c>
      <c r="I4670" s="401">
        <v>529719.19999999995</v>
      </c>
      <c r="J4670" s="291"/>
      <c r="K4670" s="291"/>
      <c r="L4670" s="291"/>
      <c r="M4670" s="291"/>
      <c r="S4670" s="364"/>
      <c r="Z4670" s="609" t="s">
        <v>4255</v>
      </c>
      <c r="AA4670" s="609" t="s">
        <v>5704</v>
      </c>
    </row>
    <row r="4671" spans="1:27" ht="18">
      <c r="A4671" s="2712"/>
      <c r="B4671" s="371">
        <v>104</v>
      </c>
      <c r="C4671" s="371" t="s">
        <v>2791</v>
      </c>
      <c r="D4671" s="2714">
        <f t="shared" si="519"/>
        <v>1</v>
      </c>
      <c r="E4671" s="2719">
        <v>1</v>
      </c>
      <c r="F4671" s="294"/>
      <c r="G4671" s="409" t="s">
        <v>7270</v>
      </c>
      <c r="H4671" s="383">
        <v>384617.45</v>
      </c>
      <c r="I4671" s="401">
        <v>173749.34</v>
      </c>
      <c r="J4671" s="291"/>
      <c r="K4671" s="291"/>
      <c r="L4671" s="291"/>
      <c r="M4671" s="291"/>
      <c r="S4671" s="364"/>
      <c r="Z4671" s="609" t="s">
        <v>4255</v>
      </c>
      <c r="AA4671" s="609" t="s">
        <v>5704</v>
      </c>
    </row>
    <row r="4672" spans="1:27" ht="18">
      <c r="A4672" s="2712"/>
      <c r="B4672" s="371">
        <v>105</v>
      </c>
      <c r="C4672" s="371" t="s">
        <v>2791</v>
      </c>
      <c r="D4672" s="2714">
        <f t="shared" si="519"/>
        <v>1</v>
      </c>
      <c r="E4672" s="2719">
        <v>1</v>
      </c>
      <c r="F4672" s="294"/>
      <c r="G4672" s="409" t="s">
        <v>7441</v>
      </c>
      <c r="H4672" s="383">
        <v>2142.62</v>
      </c>
      <c r="I4672" s="401">
        <v>0</v>
      </c>
      <c r="J4672" s="291"/>
      <c r="K4672" s="291"/>
      <c r="L4672" s="291"/>
      <c r="M4672" s="291"/>
      <c r="S4672" s="364"/>
      <c r="Z4672" s="609" t="s">
        <v>4255</v>
      </c>
      <c r="AA4672" s="609" t="s">
        <v>5704</v>
      </c>
    </row>
    <row r="4673" spans="1:27" ht="18">
      <c r="A4673" s="2712"/>
      <c r="B4673" s="371">
        <v>106</v>
      </c>
      <c r="C4673" s="371" t="s">
        <v>2791</v>
      </c>
      <c r="D4673" s="2714">
        <f t="shared" si="519"/>
        <v>1</v>
      </c>
      <c r="E4673" s="2719">
        <v>1</v>
      </c>
      <c r="F4673" s="294"/>
      <c r="G4673" s="409" t="s">
        <v>7442</v>
      </c>
      <c r="H4673" s="383">
        <v>56800</v>
      </c>
      <c r="I4673" s="401">
        <v>37680</v>
      </c>
      <c r="J4673" s="291"/>
      <c r="K4673" s="291"/>
      <c r="L4673" s="291"/>
      <c r="M4673" s="291"/>
      <c r="S4673" s="364"/>
      <c r="Z4673" s="609" t="s">
        <v>4255</v>
      </c>
      <c r="AA4673" s="609" t="s">
        <v>5704</v>
      </c>
    </row>
    <row r="4674" spans="1:27" ht="18">
      <c r="A4674" s="2712"/>
      <c r="B4674" s="371">
        <v>107</v>
      </c>
      <c r="C4674" s="371" t="s">
        <v>2791</v>
      </c>
      <c r="D4674" s="2714">
        <f t="shared" si="519"/>
        <v>1</v>
      </c>
      <c r="E4674" s="2719">
        <v>1</v>
      </c>
      <c r="F4674" s="294"/>
      <c r="G4674" s="409" t="s">
        <v>7443</v>
      </c>
      <c r="H4674" s="383">
        <v>175010.5</v>
      </c>
      <c r="I4674" s="401">
        <v>403680.42</v>
      </c>
      <c r="J4674" s="291"/>
      <c r="K4674" s="291"/>
      <c r="L4674" s="291"/>
      <c r="M4674" s="291"/>
      <c r="S4674" s="364"/>
      <c r="Z4674" s="609" t="s">
        <v>4255</v>
      </c>
      <c r="AA4674" s="609" t="s">
        <v>5704</v>
      </c>
    </row>
    <row r="4675" spans="1:27" ht="18">
      <c r="A4675" s="2712"/>
      <c r="B4675" s="371">
        <v>108</v>
      </c>
      <c r="C4675" s="371" t="s">
        <v>2791</v>
      </c>
      <c r="D4675" s="2714">
        <f t="shared" si="519"/>
        <v>1</v>
      </c>
      <c r="E4675" s="2719">
        <v>1</v>
      </c>
      <c r="F4675" s="294"/>
      <c r="G4675" s="409" t="s">
        <v>932</v>
      </c>
      <c r="H4675" s="383">
        <f>31895.31</f>
        <v>31895.31</v>
      </c>
      <c r="I4675" s="401"/>
      <c r="J4675" s="291"/>
      <c r="K4675" s="291"/>
      <c r="L4675" s="291"/>
      <c r="M4675" s="291"/>
      <c r="S4675" s="364"/>
      <c r="Z4675" s="609" t="s">
        <v>4255</v>
      </c>
      <c r="AA4675" s="609" t="s">
        <v>5704</v>
      </c>
    </row>
    <row r="4676" spans="1:27" ht="18">
      <c r="A4676" s="2712"/>
      <c r="B4676" s="371">
        <v>109</v>
      </c>
      <c r="C4676" s="371" t="s">
        <v>2791</v>
      </c>
      <c r="D4676" s="2714">
        <f t="shared" si="519"/>
        <v>1</v>
      </c>
      <c r="E4676" s="2719">
        <v>1</v>
      </c>
      <c r="F4676" s="294"/>
      <c r="G4676" s="409" t="s">
        <v>7444</v>
      </c>
      <c r="H4676" s="383">
        <v>569.55999999999995</v>
      </c>
      <c r="I4676" s="401">
        <v>1351.56</v>
      </c>
      <c r="J4676" s="291"/>
      <c r="K4676" s="291"/>
      <c r="L4676" s="291"/>
      <c r="M4676" s="291"/>
      <c r="S4676" s="364"/>
      <c r="Z4676" s="609" t="s">
        <v>4255</v>
      </c>
      <c r="AA4676" s="609" t="s">
        <v>5704</v>
      </c>
    </row>
    <row r="4677" spans="1:27" ht="18">
      <c r="A4677" s="2712"/>
      <c r="B4677" s="371">
        <v>110</v>
      </c>
      <c r="C4677" s="371" t="s">
        <v>2791</v>
      </c>
      <c r="D4677" s="2714">
        <f t="shared" si="519"/>
        <v>0</v>
      </c>
      <c r="E4677" s="2719">
        <v>1</v>
      </c>
      <c r="F4677" s="294"/>
      <c r="G4677" s="409"/>
      <c r="H4677" s="383"/>
      <c r="I4677" s="401"/>
      <c r="J4677" s="291"/>
      <c r="K4677" s="291"/>
      <c r="L4677" s="291"/>
      <c r="M4677" s="291"/>
      <c r="S4677" s="364"/>
      <c r="Z4677" s="609" t="s">
        <v>4255</v>
      </c>
      <c r="AA4677" s="609" t="s">
        <v>5704</v>
      </c>
    </row>
    <row r="4678" spans="1:27" ht="18">
      <c r="A4678" s="2712"/>
      <c r="B4678" s="371">
        <v>111</v>
      </c>
      <c r="C4678" s="371" t="s">
        <v>2791</v>
      </c>
      <c r="D4678" s="2714">
        <f t="shared" si="519"/>
        <v>0</v>
      </c>
      <c r="E4678" s="2719">
        <v>1</v>
      </c>
      <c r="F4678" s="294"/>
      <c r="G4678" s="409" t="s">
        <v>2792</v>
      </c>
      <c r="H4678" s="383"/>
      <c r="I4678" s="401"/>
      <c r="J4678" s="291"/>
      <c r="K4678" s="291"/>
      <c r="L4678" s="291"/>
      <c r="M4678" s="291"/>
      <c r="S4678" s="364"/>
      <c r="Z4678" s="609" t="s">
        <v>4255</v>
      </c>
      <c r="AA4678" s="609" t="s">
        <v>5704</v>
      </c>
    </row>
    <row r="4679" spans="1:27" ht="18">
      <c r="A4679" s="2712"/>
      <c r="B4679" s="371">
        <v>112</v>
      </c>
      <c r="C4679" s="371" t="s">
        <v>2791</v>
      </c>
      <c r="D4679" s="2714">
        <f t="shared" si="519"/>
        <v>0</v>
      </c>
      <c r="E4679" s="2719">
        <v>1</v>
      </c>
      <c r="F4679" s="294"/>
      <c r="G4679" s="409" t="s">
        <v>2792</v>
      </c>
      <c r="H4679" s="383"/>
      <c r="I4679" s="401"/>
      <c r="J4679" s="291"/>
      <c r="K4679" s="291"/>
      <c r="L4679" s="291"/>
      <c r="M4679" s="291"/>
      <c r="S4679" s="364"/>
      <c r="Z4679" s="609" t="s">
        <v>4255</v>
      </c>
      <c r="AA4679" s="609" t="s">
        <v>5704</v>
      </c>
    </row>
    <row r="4680" spans="1:27" ht="18">
      <c r="A4680" s="2712"/>
      <c r="B4680" s="371">
        <v>113</v>
      </c>
      <c r="C4680" s="371" t="s">
        <v>2791</v>
      </c>
      <c r="D4680" s="2714">
        <f t="shared" si="519"/>
        <v>0</v>
      </c>
      <c r="E4680" s="2719">
        <v>1</v>
      </c>
      <c r="F4680" s="294"/>
      <c r="G4680" s="409" t="s">
        <v>2792</v>
      </c>
      <c r="H4680" s="383"/>
      <c r="I4680" s="401"/>
      <c r="J4680" s="291"/>
      <c r="K4680" s="291"/>
      <c r="L4680" s="291"/>
      <c r="M4680" s="291"/>
      <c r="S4680" s="364"/>
      <c r="Z4680" s="609" t="s">
        <v>4255</v>
      </c>
      <c r="AA4680" s="609" t="s">
        <v>5704</v>
      </c>
    </row>
    <row r="4681" spans="1:27" ht="18">
      <c r="A4681" s="2712"/>
      <c r="B4681" s="371">
        <v>114</v>
      </c>
      <c r="C4681" s="371" t="s">
        <v>2791</v>
      </c>
      <c r="D4681" s="2714">
        <f t="shared" si="519"/>
        <v>0</v>
      </c>
      <c r="E4681" s="2719">
        <v>1</v>
      </c>
      <c r="F4681" s="294"/>
      <c r="G4681" s="409" t="s">
        <v>2792</v>
      </c>
      <c r="H4681" s="383"/>
      <c r="I4681" s="401"/>
      <c r="J4681" s="291"/>
      <c r="K4681" s="291"/>
      <c r="L4681" s="291"/>
      <c r="M4681" s="291"/>
      <c r="S4681" s="364"/>
      <c r="Z4681" s="609" t="s">
        <v>4255</v>
      </c>
      <c r="AA4681" s="609" t="s">
        <v>5704</v>
      </c>
    </row>
    <row r="4682" spans="1:27" ht="18">
      <c r="A4682" s="2712"/>
      <c r="B4682" s="371">
        <v>115</v>
      </c>
      <c r="C4682" s="371" t="s">
        <v>2791</v>
      </c>
      <c r="D4682" s="2714">
        <f t="shared" si="519"/>
        <v>0</v>
      </c>
      <c r="E4682" s="2719">
        <v>1</v>
      </c>
      <c r="F4682" s="294"/>
      <c r="G4682" s="409" t="s">
        <v>2792</v>
      </c>
      <c r="H4682" s="383"/>
      <c r="I4682" s="401"/>
      <c r="J4682" s="291"/>
      <c r="K4682" s="291"/>
      <c r="L4682" s="291"/>
      <c r="M4682" s="291"/>
      <c r="S4682" s="364"/>
      <c r="Z4682" s="609" t="s">
        <v>4255</v>
      </c>
      <c r="AA4682" s="609" t="s">
        <v>5704</v>
      </c>
    </row>
    <row r="4683" spans="1:27" ht="18.75" thickBot="1">
      <c r="A4683" s="2712"/>
      <c r="B4683" s="371"/>
      <c r="C4683" s="371"/>
      <c r="D4683" s="2714">
        <f t="shared" si="519"/>
        <v>1</v>
      </c>
      <c r="E4683" s="2719" t="s">
        <v>2751</v>
      </c>
      <c r="F4683" s="294"/>
      <c r="G4683" s="403" t="s">
        <v>2752</v>
      </c>
      <c r="H4683" s="503">
        <f>SUMPRODUCT($E4667:$E4682,H4667:H4682)</f>
        <v>13845733.98</v>
      </c>
      <c r="I4683" s="515">
        <f>SUMPRODUCT($E4667:$E4682,I4667:I4682)</f>
        <v>22551947.460000001</v>
      </c>
      <c r="J4683" s="291"/>
      <c r="K4683" s="291"/>
      <c r="L4683" s="291"/>
      <c r="M4683" s="291"/>
      <c r="S4683" s="364"/>
      <c r="Z4683" s="609" t="s">
        <v>4255</v>
      </c>
      <c r="AA4683" s="609" t="s">
        <v>5704</v>
      </c>
    </row>
    <row r="4684" spans="1:27" ht="18">
      <c r="A4684" s="2712"/>
      <c r="B4684" s="371"/>
      <c r="C4684" s="371" t="s">
        <v>2755</v>
      </c>
      <c r="D4684" s="371"/>
      <c r="F4684" s="294"/>
      <c r="G4684" s="301"/>
      <c r="H4684" s="349"/>
      <c r="I4684" s="349"/>
      <c r="J4684" s="291"/>
      <c r="K4684" s="291"/>
      <c r="L4684" s="291"/>
      <c r="M4684" s="291"/>
      <c r="S4684" s="364"/>
      <c r="Z4684" s="609" t="s">
        <v>4255</v>
      </c>
      <c r="AA4684" s="609" t="s">
        <v>5704</v>
      </c>
    </row>
    <row r="4685" spans="1:27" ht="18">
      <c r="A4685" s="2712" t="s">
        <v>1910</v>
      </c>
      <c r="B4685" s="371">
        <v>2</v>
      </c>
      <c r="C4685" s="371"/>
      <c r="D4685" s="2714" t="str">
        <f>VLOOKUP($A4685,Sheet_NoteList,2,0)</f>
        <v>销售费用补充资料</v>
      </c>
      <c r="E4685" s="2714" t="s">
        <v>6529</v>
      </c>
      <c r="F4685" s="294"/>
      <c r="G4685" s="307" t="str">
        <f>"("&amp;B4685&amp;")"&amp;D4685</f>
        <v>(2)销售费用补充资料</v>
      </c>
      <c r="H4685" s="1515" t="str">
        <f>$A4685</f>
        <v>6601x</v>
      </c>
      <c r="I4685" s="343" t="s">
        <v>5963</v>
      </c>
      <c r="J4685" s="301" t="s">
        <v>5982</v>
      </c>
      <c r="K4685" s="2208">
        <f>H4700</f>
        <v>507056.61</v>
      </c>
      <c r="L4685" s="1533" t="str">
        <f>IF($I4685="适用",IF(ROUND(K4684-K4685,2)&gt;=0,IF(K4684&lt;&gt;0,K4685/K4684,""),"#Logical!"),"#N/A")</f>
        <v>#Logical!</v>
      </c>
      <c r="M4685" s="301" t="s">
        <v>5983</v>
      </c>
      <c r="N4685" s="2208">
        <f>I4700</f>
        <v>0</v>
      </c>
      <c r="O4685" s="1533" t="str">
        <f>IF($I4685="适用",IF(ROUND(N4684-N4685,2)&gt;=0,IF(N4684&lt;&gt;0,N4685/N4684,""),"#Logical!"),"#N/A")</f>
        <v/>
      </c>
      <c r="P4685" s="301"/>
      <c r="S4685" s="364"/>
      <c r="Z4685" s="609" t="s">
        <v>4255</v>
      </c>
      <c r="AA4685" s="609" t="s">
        <v>5704</v>
      </c>
    </row>
    <row r="4686" spans="1:27" ht="0.75" customHeight="1" thickBot="1">
      <c r="A4686" s="2712"/>
      <c r="B4686" s="371"/>
      <c r="C4686" s="371"/>
      <c r="D4686" s="371"/>
      <c r="E4686" s="586"/>
      <c r="F4686" s="586"/>
      <c r="G4686" s="586" t="s">
        <v>4259</v>
      </c>
      <c r="H4686" s="371" t="s">
        <v>4223</v>
      </c>
      <c r="I4686" s="371" t="s">
        <v>4224</v>
      </c>
      <c r="J4686" s="291"/>
      <c r="K4686" s="291"/>
      <c r="L4686" s="291"/>
      <c r="M4686" s="291"/>
      <c r="S4686" s="364"/>
      <c r="Z4686" s="609" t="s">
        <v>4255</v>
      </c>
      <c r="AA4686" s="609" t="s">
        <v>5704</v>
      </c>
    </row>
    <row r="4687" spans="1:27" ht="18">
      <c r="A4687" s="2712"/>
      <c r="B4687" s="371"/>
      <c r="C4687" s="371"/>
      <c r="D4687" s="371"/>
      <c r="E4687" s="586" t="s">
        <v>2749</v>
      </c>
      <c r="F4687" s="363"/>
      <c r="G4687" s="2449" t="s">
        <v>47</v>
      </c>
      <c r="H4687" s="2445" t="s">
        <v>4242</v>
      </c>
      <c r="I4687" s="2444" t="s">
        <v>4245</v>
      </c>
      <c r="J4687" s="355" t="s">
        <v>6139</v>
      </c>
      <c r="K4687" s="291"/>
      <c r="L4687" s="291"/>
      <c r="M4687" s="291"/>
      <c r="S4687" s="364"/>
      <c r="Z4687" s="609" t="s">
        <v>4255</v>
      </c>
      <c r="AA4687" s="609" t="s">
        <v>5704</v>
      </c>
    </row>
    <row r="4688" spans="1:27" ht="18">
      <c r="A4688" s="2712"/>
      <c r="B4688" s="371">
        <v>101</v>
      </c>
      <c r="C4688" s="371" t="s">
        <v>2791</v>
      </c>
      <c r="D4688" s="2714">
        <f t="shared" ref="D4688:D4693" si="520">IF(OR(G4688="*",G4688="",G4688=0),0,COUNTIF($G$4688:$G$4693,G4688))</f>
        <v>0</v>
      </c>
      <c r="E4688" s="2719">
        <v>1</v>
      </c>
      <c r="F4688" s="294"/>
      <c r="G4688" s="2446" t="s">
        <v>2792</v>
      </c>
      <c r="H4688" s="2273"/>
      <c r="I4688" s="2294"/>
      <c r="J4688" s="579"/>
      <c r="K4688" s="291"/>
      <c r="L4688" s="291"/>
      <c r="M4688" s="291"/>
      <c r="S4688" s="364"/>
      <c r="Z4688" s="609" t="s">
        <v>4255</v>
      </c>
      <c r="AA4688" s="609" t="s">
        <v>5704</v>
      </c>
    </row>
    <row r="4689" spans="1:27" ht="18">
      <c r="A4689" s="2712"/>
      <c r="B4689" s="371">
        <v>102</v>
      </c>
      <c r="C4689" s="371" t="s">
        <v>2791</v>
      </c>
      <c r="D4689" s="2714">
        <f t="shared" si="520"/>
        <v>0</v>
      </c>
      <c r="E4689" s="2719">
        <v>1</v>
      </c>
      <c r="F4689" s="294"/>
      <c r="G4689" s="2446" t="s">
        <v>2792</v>
      </c>
      <c r="H4689" s="2273"/>
      <c r="I4689" s="2294"/>
      <c r="J4689" s="291"/>
      <c r="K4689" s="291"/>
      <c r="L4689" s="291"/>
      <c r="M4689" s="291"/>
      <c r="S4689" s="364"/>
      <c r="Z4689" s="609" t="s">
        <v>4255</v>
      </c>
      <c r="AA4689" s="609" t="s">
        <v>5704</v>
      </c>
    </row>
    <row r="4690" spans="1:27" ht="18">
      <c r="A4690" s="2712"/>
      <c r="B4690" s="371">
        <v>103</v>
      </c>
      <c r="C4690" s="371" t="s">
        <v>2791</v>
      </c>
      <c r="D4690" s="2714">
        <f t="shared" si="520"/>
        <v>0</v>
      </c>
      <c r="E4690" s="2719">
        <v>1</v>
      </c>
      <c r="F4690" s="294"/>
      <c r="G4690" s="2446" t="s">
        <v>2792</v>
      </c>
      <c r="H4690" s="2273"/>
      <c r="I4690" s="2294"/>
      <c r="J4690" s="291"/>
      <c r="K4690" s="291"/>
      <c r="L4690" s="291"/>
      <c r="M4690" s="291"/>
      <c r="S4690" s="364"/>
      <c r="Z4690" s="609" t="s">
        <v>4255</v>
      </c>
      <c r="AA4690" s="609" t="s">
        <v>5704</v>
      </c>
    </row>
    <row r="4691" spans="1:27" ht="18">
      <c r="A4691" s="2712"/>
      <c r="B4691" s="371">
        <v>104</v>
      </c>
      <c r="C4691" s="371" t="s">
        <v>2791</v>
      </c>
      <c r="D4691" s="2714">
        <f t="shared" si="520"/>
        <v>0</v>
      </c>
      <c r="E4691" s="2719">
        <v>1</v>
      </c>
      <c r="F4691" s="294"/>
      <c r="G4691" s="2446" t="s">
        <v>2792</v>
      </c>
      <c r="H4691" s="2273"/>
      <c r="I4691" s="2294"/>
      <c r="J4691" s="291"/>
      <c r="K4691" s="291"/>
      <c r="L4691" s="291"/>
      <c r="M4691" s="291"/>
      <c r="S4691" s="364"/>
      <c r="Z4691" s="609" t="s">
        <v>4255</v>
      </c>
      <c r="AA4691" s="609" t="s">
        <v>5704</v>
      </c>
    </row>
    <row r="4692" spans="1:27" ht="18">
      <c r="A4692" s="2712"/>
      <c r="B4692" s="371">
        <v>105</v>
      </c>
      <c r="C4692" s="371" t="s">
        <v>2791</v>
      </c>
      <c r="D4692" s="2714">
        <f t="shared" si="520"/>
        <v>0</v>
      </c>
      <c r="E4692" s="2719">
        <v>1</v>
      </c>
      <c r="F4692" s="294"/>
      <c r="G4692" s="2446" t="s">
        <v>2792</v>
      </c>
      <c r="H4692" s="2273"/>
      <c r="I4692" s="2294"/>
      <c r="J4692" s="291"/>
      <c r="K4692" s="291"/>
      <c r="L4692" s="291"/>
      <c r="M4692" s="291"/>
      <c r="S4692" s="364"/>
      <c r="Z4692" s="609" t="s">
        <v>4255</v>
      </c>
      <c r="AA4692" s="609" t="s">
        <v>5704</v>
      </c>
    </row>
    <row r="4693" spans="1:27" ht="18.75" thickBot="1">
      <c r="A4693" s="2712"/>
      <c r="B4693" s="371"/>
      <c r="C4693" s="371"/>
      <c r="D4693" s="2714">
        <f t="shared" si="520"/>
        <v>1</v>
      </c>
      <c r="E4693" s="2719" t="s">
        <v>2751</v>
      </c>
      <c r="F4693" s="294"/>
      <c r="G4693" s="1527" t="s">
        <v>2752</v>
      </c>
      <c r="H4693" s="1525">
        <f>SUMPRODUCT($E4687:$E4692,H4687:H4692)</f>
        <v>0</v>
      </c>
      <c r="I4693" s="1526">
        <f>SUMPRODUCT($E4687:$E4692,I4687:I4692)</f>
        <v>0</v>
      </c>
      <c r="J4693" s="291"/>
      <c r="K4693" s="291"/>
      <c r="L4693" s="291"/>
      <c r="M4693" s="291"/>
      <c r="S4693" s="364"/>
      <c r="Z4693" s="609" t="s">
        <v>4255</v>
      </c>
      <c r="AA4693" s="609" t="s">
        <v>5704</v>
      </c>
    </row>
    <row r="4694" spans="1:27" ht="18">
      <c r="A4694" s="2712"/>
      <c r="B4694" s="371"/>
      <c r="C4694" s="371" t="s">
        <v>2755</v>
      </c>
      <c r="D4694" s="371"/>
      <c r="F4694" s="294"/>
      <c r="G4694" s="301"/>
      <c r="H4694" s="315"/>
      <c r="I4694" s="315"/>
      <c r="J4694" s="291"/>
      <c r="K4694" s="291"/>
      <c r="L4694" s="291"/>
      <c r="M4694" s="291"/>
      <c r="S4694" s="364"/>
      <c r="Z4694" s="609" t="s">
        <v>4255</v>
      </c>
      <c r="AA4694" s="609" t="s">
        <v>5704</v>
      </c>
    </row>
    <row r="4695" spans="1:27" ht="18">
      <c r="A4695" s="2712">
        <v>6602</v>
      </c>
      <c r="B4695" s="371">
        <v>64</v>
      </c>
      <c r="C4695" s="2714" t="str">
        <f>VLOOKUP($A4695,Sheet_Items,2,0)</f>
        <v>管理费用</v>
      </c>
      <c r="D4695" s="371"/>
      <c r="E4695" s="2714" t="s">
        <v>2739</v>
      </c>
      <c r="F4695" s="294"/>
      <c r="G4695" s="305" t="str">
        <f>B4695&amp;" "&amp;C4695</f>
        <v>64 管理费用</v>
      </c>
      <c r="H4695" s="306"/>
      <c r="I4695" s="306"/>
      <c r="J4695" s="306" t="s">
        <v>4206</v>
      </c>
      <c r="K4695" s="341">
        <f>VLOOKUP($A4695,Sheet_Trialbal,6,0)</f>
        <v>18794129.440000001</v>
      </c>
      <c r="L4695" s="342"/>
      <c r="M4695" s="306" t="s">
        <v>4207</v>
      </c>
      <c r="N4695" s="341">
        <f>VLOOKUP($A4695,Sheet_Trialbal,10,0)</f>
        <v>28739665.809999999</v>
      </c>
      <c r="O4695" s="306"/>
      <c r="P4695" s="301"/>
      <c r="S4695" s="364"/>
      <c r="Z4695" s="609" t="s">
        <v>4260</v>
      </c>
      <c r="AA4695" s="609" t="s">
        <v>5705</v>
      </c>
    </row>
    <row r="4696" spans="1:27" ht="18">
      <c r="A4696" s="2712" t="s">
        <v>1913</v>
      </c>
      <c r="B4696" s="371">
        <v>1</v>
      </c>
      <c r="C4696" s="371"/>
      <c r="D4696" s="2714" t="str">
        <f>VLOOKUP($A4696,Sheet_NoteList,2,0)</f>
        <v>管理费用明细项目</v>
      </c>
      <c r="E4696" s="2714" t="s">
        <v>2742</v>
      </c>
      <c r="F4696" s="294"/>
      <c r="G4696" s="307" t="str">
        <f>"("&amp;B4696&amp;")"&amp;D4696</f>
        <v>(1)管理费用明细项目</v>
      </c>
      <c r="H4696" s="1515" t="str">
        <f>$A4696</f>
        <v>6602a</v>
      </c>
      <c r="I4696" s="343" t="s">
        <v>2743</v>
      </c>
      <c r="J4696" s="301" t="s">
        <v>4256</v>
      </c>
      <c r="K4696" s="2208">
        <f>H4714</f>
        <v>18794129.440000001</v>
      </c>
      <c r="L4696" s="1533">
        <f>IF($I4696="适用",IF(ROUND(K4695-K4696,2)&gt;=0,IF(K4695&lt;&gt;0,K4696/K4695,""),"#Logical!"),"#N/A")</f>
        <v>1</v>
      </c>
      <c r="M4696" s="301" t="s">
        <v>4257</v>
      </c>
      <c r="N4696" s="2208">
        <f>I4714</f>
        <v>0</v>
      </c>
      <c r="O4696" s="1533">
        <f>IF($I4696="适用",IF(ROUND(N4695-N4696,2)&gt;=0,IF(N4695&lt;&gt;0,N4696/N4695,""),"#Logical!"),"#N/A")</f>
        <v>0</v>
      </c>
      <c r="P4696" s="301"/>
      <c r="Q4696" s="290" t="str">
        <f>IF($I4696="不适用","",IF(ROUND(SUM($H$4699:$I$4714),2)=0,"请输入",""))</f>
        <v/>
      </c>
      <c r="S4696" s="364"/>
      <c r="Z4696" s="609" t="s">
        <v>4260</v>
      </c>
      <c r="AA4696" s="609" t="s">
        <v>5705</v>
      </c>
    </row>
    <row r="4697" spans="1:27" ht="0.75" customHeight="1" thickBot="1">
      <c r="A4697" s="2712"/>
      <c r="B4697" s="371"/>
      <c r="C4697" s="371"/>
      <c r="D4697" s="371"/>
      <c r="E4697" s="586"/>
      <c r="F4697" s="586"/>
      <c r="G4697" s="586" t="s">
        <v>4261</v>
      </c>
      <c r="H4697" s="371" t="s">
        <v>4223</v>
      </c>
      <c r="I4697" s="371" t="s">
        <v>4224</v>
      </c>
      <c r="J4697" s="291"/>
      <c r="K4697" s="291"/>
      <c r="L4697" s="291"/>
      <c r="M4697" s="291"/>
      <c r="S4697" s="364"/>
      <c r="Z4697" s="609" t="s">
        <v>4260</v>
      </c>
      <c r="AA4697" s="609" t="s">
        <v>5705</v>
      </c>
    </row>
    <row r="4698" spans="1:27" ht="18">
      <c r="A4698" s="2712"/>
      <c r="B4698" s="371"/>
      <c r="C4698" s="371"/>
      <c r="D4698" s="371"/>
      <c r="E4698" s="586" t="s">
        <v>2749</v>
      </c>
      <c r="F4698" s="363"/>
      <c r="G4698" s="2447" t="s">
        <v>47</v>
      </c>
      <c r="H4698" s="2443" t="str">
        <f>$V$4</f>
        <v>2019年度</v>
      </c>
      <c r="I4698" s="2442" t="str">
        <f>$V$5</f>
        <v>2018年度</v>
      </c>
      <c r="J4698" s="355" t="s">
        <v>5327</v>
      </c>
      <c r="K4698" s="291"/>
      <c r="L4698" s="291"/>
      <c r="M4698" s="291"/>
      <c r="S4698" s="364"/>
      <c r="Z4698" s="609" t="s">
        <v>4260</v>
      </c>
      <c r="AA4698" s="609" t="s">
        <v>5705</v>
      </c>
    </row>
    <row r="4699" spans="1:27" ht="18">
      <c r="A4699" s="2712"/>
      <c r="B4699" s="371">
        <v>101</v>
      </c>
      <c r="C4699" s="371" t="s">
        <v>2791</v>
      </c>
      <c r="D4699" s="2714">
        <f t="shared" ref="D4699:D4714" si="521">IF(OR(G4699="*",G4699="",G4699=0),0,COUNTIF($G$4699:$G$4714,G4699))</f>
        <v>1</v>
      </c>
      <c r="E4699" s="2719">
        <v>1</v>
      </c>
      <c r="F4699" s="294"/>
      <c r="G4699" s="2446" t="s">
        <v>7439</v>
      </c>
      <c r="H4699" s="2273">
        <f>2557663.97+AJE!O212+AJE!O216+AJE!O227</f>
        <v>4368963.97</v>
      </c>
      <c r="I4699" s="2294"/>
      <c r="J4699" s="291"/>
      <c r="K4699" s="291"/>
      <c r="L4699" s="291"/>
      <c r="M4699" s="291"/>
      <c r="S4699" s="364"/>
      <c r="Z4699" s="609" t="s">
        <v>4260</v>
      </c>
      <c r="AA4699" s="609" t="s">
        <v>5705</v>
      </c>
    </row>
    <row r="4700" spans="1:27" ht="18">
      <c r="A4700" s="2712"/>
      <c r="B4700" s="371">
        <v>102</v>
      </c>
      <c r="C4700" s="371" t="s">
        <v>2791</v>
      </c>
      <c r="D4700" s="2714">
        <f t="shared" si="521"/>
        <v>1</v>
      </c>
      <c r="E4700" s="2719">
        <v>1</v>
      </c>
      <c r="F4700" s="294"/>
      <c r="G4700" s="2446" t="s">
        <v>815</v>
      </c>
      <c r="H4700" s="2273">
        <v>507056.61</v>
      </c>
      <c r="I4700" s="2294"/>
      <c r="J4700" s="291"/>
      <c r="K4700" s="291"/>
      <c r="L4700" s="291"/>
      <c r="M4700" s="291"/>
      <c r="S4700" s="364"/>
      <c r="Z4700" s="609" t="s">
        <v>4260</v>
      </c>
      <c r="AA4700" s="609" t="s">
        <v>5705</v>
      </c>
    </row>
    <row r="4701" spans="1:27" ht="18">
      <c r="A4701" s="2712"/>
      <c r="B4701" s="371">
        <v>103</v>
      </c>
      <c r="C4701" s="371" t="s">
        <v>2791</v>
      </c>
      <c r="D4701" s="2714">
        <f t="shared" si="521"/>
        <v>1</v>
      </c>
      <c r="E4701" s="2719">
        <v>1</v>
      </c>
      <c r="F4701" s="294"/>
      <c r="G4701" s="2446" t="s">
        <v>693</v>
      </c>
      <c r="H4701" s="2273">
        <v>0</v>
      </c>
      <c r="I4701" s="2294"/>
      <c r="J4701" s="291"/>
      <c r="K4701" s="291"/>
      <c r="L4701" s="291"/>
      <c r="M4701" s="291"/>
      <c r="S4701" s="364"/>
      <c r="Z4701" s="609" t="s">
        <v>4260</v>
      </c>
      <c r="AA4701" s="609" t="s">
        <v>5705</v>
      </c>
    </row>
    <row r="4702" spans="1:27" ht="18">
      <c r="A4702" s="2712"/>
      <c r="B4702" s="371">
        <v>104</v>
      </c>
      <c r="C4702" s="371" t="s">
        <v>2791</v>
      </c>
      <c r="D4702" s="2714">
        <f t="shared" si="521"/>
        <v>1</v>
      </c>
      <c r="E4702" s="2719">
        <v>1</v>
      </c>
      <c r="F4702" s="294"/>
      <c r="G4702" s="2446" t="s">
        <v>7270</v>
      </c>
      <c r="H4702" s="2273">
        <v>205862.99</v>
      </c>
      <c r="I4702" s="2294"/>
      <c r="J4702" s="291"/>
      <c r="K4702" s="291"/>
      <c r="L4702" s="291"/>
      <c r="M4702" s="291"/>
      <c r="S4702" s="364"/>
      <c r="Z4702" s="609" t="s">
        <v>4260</v>
      </c>
      <c r="AA4702" s="609" t="s">
        <v>5705</v>
      </c>
    </row>
    <row r="4703" spans="1:27" ht="18">
      <c r="A4703" s="2712"/>
      <c r="B4703" s="371">
        <v>105</v>
      </c>
      <c r="C4703" s="371" t="s">
        <v>2791</v>
      </c>
      <c r="D4703" s="2714">
        <f t="shared" si="521"/>
        <v>1</v>
      </c>
      <c r="E4703" s="2719">
        <v>1</v>
      </c>
      <c r="F4703" s="294"/>
      <c r="G4703" s="2446" t="s">
        <v>4267</v>
      </c>
      <c r="H4703" s="2273">
        <v>666811.66</v>
      </c>
      <c r="I4703" s="2294"/>
      <c r="J4703" s="291"/>
      <c r="K4703" s="291"/>
      <c r="L4703" s="291"/>
      <c r="M4703" s="291"/>
      <c r="S4703" s="364"/>
      <c r="Z4703" s="609" t="s">
        <v>4260</v>
      </c>
      <c r="AA4703" s="609" t="s">
        <v>5705</v>
      </c>
    </row>
    <row r="4704" spans="1:27" ht="18">
      <c r="A4704" s="2712"/>
      <c r="B4704" s="371">
        <v>106</v>
      </c>
      <c r="C4704" s="371" t="s">
        <v>2791</v>
      </c>
      <c r="D4704" s="2714">
        <f t="shared" si="521"/>
        <v>1</v>
      </c>
      <c r="E4704" s="2719">
        <v>1</v>
      </c>
      <c r="F4704" s="294"/>
      <c r="G4704" s="2446" t="s">
        <v>7478</v>
      </c>
      <c r="H4704" s="2273">
        <v>219774.68</v>
      </c>
      <c r="I4704" s="2294"/>
      <c r="J4704" s="291"/>
      <c r="K4704" s="291"/>
      <c r="L4704" s="291"/>
      <c r="M4704" s="291"/>
      <c r="S4704" s="364"/>
      <c r="Z4704" s="609" t="s">
        <v>4260</v>
      </c>
      <c r="AA4704" s="609" t="s">
        <v>5705</v>
      </c>
    </row>
    <row r="4705" spans="1:27" ht="18">
      <c r="A4705" s="2712"/>
      <c r="B4705" s="371">
        <v>107</v>
      </c>
      <c r="C4705" s="371" t="s">
        <v>2791</v>
      </c>
      <c r="D4705" s="2714">
        <f t="shared" si="521"/>
        <v>1</v>
      </c>
      <c r="E4705" s="2719">
        <v>1</v>
      </c>
      <c r="F4705" s="294"/>
      <c r="G4705" s="2446" t="s">
        <v>7479</v>
      </c>
      <c r="H4705" s="2273">
        <v>0</v>
      </c>
      <c r="I4705" s="2294"/>
      <c r="J4705" s="291"/>
      <c r="K4705" s="291"/>
      <c r="L4705" s="291"/>
      <c r="M4705" s="291"/>
      <c r="S4705" s="364"/>
      <c r="Z4705" s="609" t="s">
        <v>4260</v>
      </c>
      <c r="AA4705" s="609" t="s">
        <v>5705</v>
      </c>
    </row>
    <row r="4706" spans="1:27" ht="18">
      <c r="A4706" s="2712"/>
      <c r="B4706" s="371">
        <v>108</v>
      </c>
      <c r="C4706" s="371" t="s">
        <v>2791</v>
      </c>
      <c r="D4706" s="2714">
        <f t="shared" si="521"/>
        <v>1</v>
      </c>
      <c r="E4706" s="2719">
        <v>1</v>
      </c>
      <c r="F4706" s="294"/>
      <c r="G4706" s="2446" t="s">
        <v>4177</v>
      </c>
      <c r="H4706" s="2273">
        <f>12019639.4+AJE!O178-AJE!P177</f>
        <v>3399381.78</v>
      </c>
      <c r="I4706" s="2294"/>
      <c r="J4706" s="291"/>
      <c r="K4706" s="291"/>
      <c r="L4706" s="291"/>
      <c r="M4706" s="291"/>
      <c r="S4706" s="364"/>
      <c r="Z4706" s="609" t="s">
        <v>4260</v>
      </c>
      <c r="AA4706" s="609" t="s">
        <v>5705</v>
      </c>
    </row>
    <row r="4707" spans="1:27" ht="18">
      <c r="A4707" s="2712"/>
      <c r="B4707" s="371">
        <v>109</v>
      </c>
      <c r="C4707" s="371" t="s">
        <v>2791</v>
      </c>
      <c r="D4707" s="2714">
        <f t="shared" si="521"/>
        <v>1</v>
      </c>
      <c r="E4707" s="2719">
        <v>1</v>
      </c>
      <c r="F4707" s="294"/>
      <c r="G4707" s="2446" t="s">
        <v>7440</v>
      </c>
      <c r="H4707" s="2273">
        <v>60834.879999999997</v>
      </c>
      <c r="I4707" s="2294"/>
      <c r="J4707" s="291"/>
      <c r="K4707" s="291"/>
      <c r="L4707" s="291"/>
      <c r="M4707" s="291"/>
      <c r="S4707" s="364"/>
      <c r="Z4707" s="609" t="s">
        <v>4260</v>
      </c>
      <c r="AA4707" s="609" t="s">
        <v>5705</v>
      </c>
    </row>
    <row r="4708" spans="1:27" ht="18">
      <c r="A4708" s="2712"/>
      <c r="B4708" s="371">
        <v>110</v>
      </c>
      <c r="C4708" s="371" t="s">
        <v>2791</v>
      </c>
      <c r="D4708" s="2714">
        <f t="shared" si="521"/>
        <v>1</v>
      </c>
      <c r="E4708" s="2719">
        <v>1</v>
      </c>
      <c r="F4708" s="294"/>
      <c r="G4708" s="2446" t="s">
        <v>7443</v>
      </c>
      <c r="H4708" s="2273">
        <v>1352968.22</v>
      </c>
      <c r="I4708" s="2294"/>
      <c r="J4708" s="291"/>
      <c r="K4708" s="291"/>
      <c r="L4708" s="291"/>
      <c r="M4708" s="291"/>
      <c r="S4708" s="364"/>
      <c r="Z4708" s="609" t="s">
        <v>4260</v>
      </c>
      <c r="AA4708" s="609" t="s">
        <v>5705</v>
      </c>
    </row>
    <row r="4709" spans="1:27" ht="18">
      <c r="A4709" s="2712"/>
      <c r="B4709" s="371">
        <v>111</v>
      </c>
      <c r="C4709" s="371" t="s">
        <v>2791</v>
      </c>
      <c r="D4709" s="2714">
        <f t="shared" si="521"/>
        <v>1</v>
      </c>
      <c r="E4709" s="2719">
        <v>1</v>
      </c>
      <c r="F4709" s="294"/>
      <c r="G4709" s="2446" t="s">
        <v>7480</v>
      </c>
      <c r="H4709" s="2273">
        <v>0</v>
      </c>
      <c r="I4709" s="2294"/>
      <c r="J4709" s="291"/>
      <c r="K4709" s="291"/>
      <c r="L4709" s="291"/>
      <c r="M4709" s="291"/>
      <c r="S4709" s="364"/>
      <c r="Z4709" s="609" t="s">
        <v>4260</v>
      </c>
      <c r="AA4709" s="609" t="s">
        <v>5705</v>
      </c>
    </row>
    <row r="4710" spans="1:27" ht="18">
      <c r="A4710" s="2712"/>
      <c r="B4710" s="371">
        <v>112</v>
      </c>
      <c r="C4710" s="371" t="s">
        <v>2791</v>
      </c>
      <c r="D4710" s="2714">
        <f t="shared" si="521"/>
        <v>1</v>
      </c>
      <c r="E4710" s="2719">
        <v>1</v>
      </c>
      <c r="F4710" s="294"/>
      <c r="G4710" s="2446" t="s">
        <v>7481</v>
      </c>
      <c r="H4710" s="2273">
        <v>6974021.6100000003</v>
      </c>
      <c r="I4710" s="2294"/>
      <c r="J4710" s="291"/>
      <c r="K4710" s="291"/>
      <c r="L4710" s="291"/>
      <c r="M4710" s="291"/>
      <c r="S4710" s="364"/>
      <c r="Z4710" s="609" t="s">
        <v>4260</v>
      </c>
      <c r="AA4710" s="609" t="s">
        <v>5705</v>
      </c>
    </row>
    <row r="4711" spans="1:27" ht="18">
      <c r="A4711" s="2712"/>
      <c r="B4711" s="371">
        <v>113</v>
      </c>
      <c r="C4711" s="371" t="s">
        <v>2791</v>
      </c>
      <c r="D4711" s="2714">
        <f t="shared" si="521"/>
        <v>1</v>
      </c>
      <c r="E4711" s="2719">
        <v>1</v>
      </c>
      <c r="F4711" s="294"/>
      <c r="G4711" s="2446" t="s">
        <v>932</v>
      </c>
      <c r="H4711" s="2273">
        <f>991288.81+AJE!O52</f>
        <v>1038453.04</v>
      </c>
      <c r="I4711" s="2294"/>
      <c r="J4711" s="291"/>
      <c r="K4711" s="291"/>
      <c r="L4711" s="291"/>
      <c r="M4711" s="291"/>
      <c r="S4711" s="364"/>
      <c r="Z4711" s="609" t="s">
        <v>4260</v>
      </c>
      <c r="AA4711" s="609" t="s">
        <v>5705</v>
      </c>
    </row>
    <row r="4712" spans="1:27" ht="18">
      <c r="A4712" s="2712"/>
      <c r="B4712" s="371">
        <v>114</v>
      </c>
      <c r="C4712" s="371" t="s">
        <v>2791</v>
      </c>
      <c r="D4712" s="2714">
        <f t="shared" si="521"/>
        <v>1</v>
      </c>
      <c r="E4712" s="2719">
        <v>1</v>
      </c>
      <c r="F4712" s="294"/>
      <c r="G4712" s="2446" t="s">
        <v>7482</v>
      </c>
      <c r="H4712" s="2273">
        <v>0</v>
      </c>
      <c r="I4712" s="2294"/>
      <c r="J4712" s="291"/>
      <c r="K4712" s="291"/>
      <c r="L4712" s="291"/>
      <c r="M4712" s="291"/>
      <c r="S4712" s="364"/>
      <c r="Z4712" s="609" t="s">
        <v>4260</v>
      </c>
      <c r="AA4712" s="609" t="s">
        <v>5705</v>
      </c>
    </row>
    <row r="4713" spans="1:27" ht="18">
      <c r="A4713" s="2712"/>
      <c r="B4713" s="371">
        <v>115</v>
      </c>
      <c r="C4713" s="371" t="s">
        <v>2791</v>
      </c>
      <c r="D4713" s="2714">
        <f t="shared" si="521"/>
        <v>1</v>
      </c>
      <c r="E4713" s="2719">
        <v>1</v>
      </c>
      <c r="F4713" s="294"/>
      <c r="G4713" s="2446" t="s">
        <v>7370</v>
      </c>
      <c r="H4713" s="2273">
        <v>0</v>
      </c>
      <c r="I4713" s="2294"/>
      <c r="J4713" s="291"/>
      <c r="K4713" s="291"/>
      <c r="L4713" s="291"/>
      <c r="M4713" s="291"/>
      <c r="S4713" s="364"/>
      <c r="Z4713" s="609" t="s">
        <v>4260</v>
      </c>
      <c r="AA4713" s="609" t="s">
        <v>5705</v>
      </c>
    </row>
    <row r="4714" spans="1:27" ht="18.75" thickBot="1">
      <c r="A4714" s="2712"/>
      <c r="B4714" s="371"/>
      <c r="C4714" s="371"/>
      <c r="D4714" s="2714">
        <f t="shared" si="521"/>
        <v>1</v>
      </c>
      <c r="E4714" s="2719" t="s">
        <v>2751</v>
      </c>
      <c r="F4714" s="294"/>
      <c r="G4714" s="374" t="s">
        <v>2752</v>
      </c>
      <c r="H4714" s="1476">
        <f>SUMPRODUCT($E4698:$E4713,H4698:H4713)</f>
        <v>18794129.440000001</v>
      </c>
      <c r="I4714" s="1477">
        <f>SUMPRODUCT($E4698:$E4713,I4698:I4713)</f>
        <v>0</v>
      </c>
      <c r="J4714" s="291"/>
      <c r="K4714" s="291"/>
      <c r="L4714" s="291"/>
      <c r="M4714" s="291"/>
      <c r="S4714" s="364"/>
      <c r="Z4714" s="609" t="s">
        <v>4260</v>
      </c>
      <c r="AA4714" s="609" t="s">
        <v>5705</v>
      </c>
    </row>
    <row r="4715" spans="1:27" ht="18">
      <c r="A4715" s="2712"/>
      <c r="B4715" s="371"/>
      <c r="C4715" s="371" t="s">
        <v>2755</v>
      </c>
      <c r="D4715" s="371"/>
      <c r="F4715" s="294"/>
      <c r="G4715" s="301"/>
      <c r="H4715" s="315"/>
      <c r="I4715" s="315"/>
      <c r="J4715" s="291"/>
      <c r="K4715" s="291"/>
      <c r="L4715" s="291"/>
      <c r="M4715" s="291"/>
      <c r="S4715" s="364"/>
      <c r="Z4715" s="609" t="s">
        <v>4260</v>
      </c>
      <c r="AA4715" s="609" t="s">
        <v>5705</v>
      </c>
    </row>
    <row r="4716" spans="1:27" ht="18">
      <c r="A4716" s="2712" t="s">
        <v>1916</v>
      </c>
      <c r="B4716" s="371">
        <v>2</v>
      </c>
      <c r="C4716" s="371"/>
      <c r="D4716" s="2714" t="str">
        <f>VLOOKUP($A4716,Sheet_NoteList,2,0)</f>
        <v>管理费用补充资料</v>
      </c>
      <c r="E4716" s="2714" t="s">
        <v>6529</v>
      </c>
      <c r="F4716" s="294"/>
      <c r="G4716" s="307" t="str">
        <f>"("&amp;B4716&amp;")"&amp;D4716</f>
        <v>(2)管理费用补充资料</v>
      </c>
      <c r="H4716" s="1515" t="str">
        <f>$A4716</f>
        <v>6602x</v>
      </c>
      <c r="I4716" s="343" t="s">
        <v>5964</v>
      </c>
      <c r="J4716" s="301" t="s">
        <v>5984</v>
      </c>
      <c r="K4716" s="2208">
        <f>H4724</f>
        <v>0</v>
      </c>
      <c r="L4716" s="1533"/>
      <c r="M4716" s="301" t="s">
        <v>5985</v>
      </c>
      <c r="N4716" s="2208">
        <f>I4724</f>
        <v>0</v>
      </c>
      <c r="O4716" s="1533"/>
      <c r="P4716" s="301"/>
      <c r="S4716" s="364"/>
      <c r="Z4716" s="609" t="s">
        <v>4260</v>
      </c>
      <c r="AA4716" s="609" t="s">
        <v>5705</v>
      </c>
    </row>
    <row r="4717" spans="1:27" ht="0.75" customHeight="1" thickBot="1">
      <c r="A4717" s="2712"/>
      <c r="B4717" s="371"/>
      <c r="C4717" s="371"/>
      <c r="D4717" s="371"/>
      <c r="E4717" s="586"/>
      <c r="F4717" s="586"/>
      <c r="G4717" s="586" t="s">
        <v>4262</v>
      </c>
      <c r="H4717" s="371" t="s">
        <v>4223</v>
      </c>
      <c r="I4717" s="371" t="s">
        <v>4224</v>
      </c>
      <c r="J4717" s="291"/>
      <c r="K4717" s="291"/>
      <c r="L4717" s="291"/>
      <c r="M4717" s="291"/>
      <c r="S4717" s="364"/>
      <c r="Z4717" s="609" t="s">
        <v>4260</v>
      </c>
      <c r="AA4717" s="609" t="s">
        <v>5705</v>
      </c>
    </row>
    <row r="4718" spans="1:27" ht="18">
      <c r="A4718" s="2712"/>
      <c r="B4718" s="371"/>
      <c r="C4718" s="371"/>
      <c r="D4718" s="371"/>
      <c r="E4718" s="586" t="s">
        <v>2749</v>
      </c>
      <c r="F4718" s="363"/>
      <c r="G4718" s="2449" t="s">
        <v>47</v>
      </c>
      <c r="H4718" s="2445" t="s">
        <v>4242</v>
      </c>
      <c r="I4718" s="2444" t="s">
        <v>4245</v>
      </c>
      <c r="J4718" s="355" t="s">
        <v>6139</v>
      </c>
      <c r="K4718" s="291"/>
      <c r="L4718" s="291"/>
      <c r="M4718" s="291"/>
      <c r="S4718" s="364"/>
      <c r="Z4718" s="609" t="s">
        <v>4260</v>
      </c>
      <c r="AA4718" s="609" t="s">
        <v>5705</v>
      </c>
    </row>
    <row r="4719" spans="1:27" ht="18">
      <c r="A4719" s="2712"/>
      <c r="B4719" s="371">
        <v>101</v>
      </c>
      <c r="C4719" s="371" t="s">
        <v>2791</v>
      </c>
      <c r="D4719" s="2714">
        <f t="shared" ref="D4719:D4724" si="522">IF(OR(G4719="*",G4719="",G4719=0),0,COUNTIF($G$4719:$G$4724,G4719))</f>
        <v>0</v>
      </c>
      <c r="E4719" s="2719">
        <v>1</v>
      </c>
      <c r="F4719" s="294"/>
      <c r="G4719" s="2446" t="s">
        <v>2792</v>
      </c>
      <c r="H4719" s="2273"/>
      <c r="I4719" s="2294"/>
      <c r="J4719" s="579"/>
      <c r="K4719" s="291"/>
      <c r="L4719" s="291"/>
      <c r="M4719" s="291"/>
      <c r="S4719" s="364"/>
      <c r="Z4719" s="609" t="s">
        <v>4260</v>
      </c>
      <c r="AA4719" s="609" t="s">
        <v>5705</v>
      </c>
    </row>
    <row r="4720" spans="1:27" ht="18">
      <c r="A4720" s="2712"/>
      <c r="B4720" s="371">
        <v>102</v>
      </c>
      <c r="C4720" s="371" t="s">
        <v>2791</v>
      </c>
      <c r="D4720" s="2714">
        <f t="shared" si="522"/>
        <v>0</v>
      </c>
      <c r="E4720" s="2719">
        <v>1</v>
      </c>
      <c r="F4720" s="294"/>
      <c r="G4720" s="2446" t="s">
        <v>2792</v>
      </c>
      <c r="H4720" s="2273"/>
      <c r="I4720" s="2294"/>
      <c r="J4720" s="291"/>
      <c r="K4720" s="291"/>
      <c r="L4720" s="291"/>
      <c r="M4720" s="291"/>
      <c r="S4720" s="364"/>
      <c r="Z4720" s="609" t="s">
        <v>4260</v>
      </c>
      <c r="AA4720" s="609" t="s">
        <v>5705</v>
      </c>
    </row>
    <row r="4721" spans="1:27" ht="18">
      <c r="A4721" s="2712"/>
      <c r="B4721" s="371">
        <v>103</v>
      </c>
      <c r="C4721" s="371" t="s">
        <v>2791</v>
      </c>
      <c r="D4721" s="2714">
        <f t="shared" si="522"/>
        <v>0</v>
      </c>
      <c r="E4721" s="2719">
        <v>1</v>
      </c>
      <c r="F4721" s="294"/>
      <c r="G4721" s="2446" t="s">
        <v>2792</v>
      </c>
      <c r="H4721" s="2273"/>
      <c r="I4721" s="2294"/>
      <c r="J4721" s="291"/>
      <c r="K4721" s="291"/>
      <c r="L4721" s="291"/>
      <c r="M4721" s="291"/>
      <c r="S4721" s="364"/>
      <c r="Z4721" s="609" t="s">
        <v>4260</v>
      </c>
      <c r="AA4721" s="609" t="s">
        <v>5705</v>
      </c>
    </row>
    <row r="4722" spans="1:27" ht="18">
      <c r="A4722" s="2712"/>
      <c r="B4722" s="371">
        <v>104</v>
      </c>
      <c r="C4722" s="371" t="s">
        <v>2791</v>
      </c>
      <c r="D4722" s="2714">
        <f t="shared" si="522"/>
        <v>0</v>
      </c>
      <c r="E4722" s="2719">
        <v>1</v>
      </c>
      <c r="F4722" s="294"/>
      <c r="G4722" s="2446" t="s">
        <v>2792</v>
      </c>
      <c r="H4722" s="2273"/>
      <c r="I4722" s="2294"/>
      <c r="J4722" s="291"/>
      <c r="K4722" s="291"/>
      <c r="L4722" s="291"/>
      <c r="M4722" s="291"/>
      <c r="S4722" s="364"/>
      <c r="Z4722" s="609" t="s">
        <v>4260</v>
      </c>
      <c r="AA4722" s="609" t="s">
        <v>5705</v>
      </c>
    </row>
    <row r="4723" spans="1:27" ht="18">
      <c r="A4723" s="2712"/>
      <c r="B4723" s="371">
        <v>105</v>
      </c>
      <c r="C4723" s="371" t="s">
        <v>2791</v>
      </c>
      <c r="D4723" s="2714">
        <f t="shared" si="522"/>
        <v>0</v>
      </c>
      <c r="E4723" s="2719">
        <v>1</v>
      </c>
      <c r="F4723" s="294"/>
      <c r="G4723" s="2446" t="s">
        <v>2792</v>
      </c>
      <c r="H4723" s="2273"/>
      <c r="I4723" s="2294"/>
      <c r="J4723" s="291"/>
      <c r="K4723" s="291"/>
      <c r="L4723" s="291"/>
      <c r="M4723" s="291"/>
      <c r="S4723" s="364"/>
      <c r="Z4723" s="609" t="s">
        <v>4260</v>
      </c>
      <c r="AA4723" s="609" t="s">
        <v>5705</v>
      </c>
    </row>
    <row r="4724" spans="1:27" ht="18.75" thickBot="1">
      <c r="A4724" s="2712"/>
      <c r="B4724" s="371"/>
      <c r="C4724" s="371"/>
      <c r="D4724" s="2714">
        <f t="shared" si="522"/>
        <v>1</v>
      </c>
      <c r="E4724" s="2719" t="s">
        <v>2751</v>
      </c>
      <c r="F4724" s="294"/>
      <c r="G4724" s="1527" t="s">
        <v>2752</v>
      </c>
      <c r="H4724" s="1525">
        <f>SUMPRODUCT($E4718:$E4723,H4718:H4723)</f>
        <v>0</v>
      </c>
      <c r="I4724" s="1526">
        <f>SUMPRODUCT($E4718:$E4723,I4718:I4723)</f>
        <v>0</v>
      </c>
      <c r="J4724" s="291"/>
      <c r="K4724" s="291"/>
      <c r="L4724" s="291"/>
      <c r="M4724" s="291"/>
      <c r="S4724" s="364"/>
      <c r="Z4724" s="609" t="s">
        <v>4260</v>
      </c>
      <c r="AA4724" s="609" t="s">
        <v>5705</v>
      </c>
    </row>
    <row r="4725" spans="1:27" ht="18">
      <c r="A4725" s="2712"/>
      <c r="B4725" s="371"/>
      <c r="C4725" s="371" t="s">
        <v>2755</v>
      </c>
      <c r="D4725" s="371"/>
      <c r="F4725" s="294"/>
      <c r="G4725" s="301"/>
      <c r="H4725" s="315"/>
      <c r="I4725" s="315"/>
      <c r="J4725" s="291"/>
      <c r="K4725" s="291"/>
      <c r="L4725" s="291"/>
      <c r="M4725" s="291"/>
      <c r="S4725" s="364"/>
      <c r="Z4725" s="609" t="s">
        <v>4260</v>
      </c>
      <c r="AA4725" s="609" t="s">
        <v>5705</v>
      </c>
    </row>
    <row r="4726" spans="1:27" ht="17.25">
      <c r="A4726" s="2713">
        <v>6606</v>
      </c>
      <c r="B4726" s="371">
        <v>65</v>
      </c>
      <c r="C4726" s="2714" t="str">
        <f>VLOOKUP($A4726,Sheet_Items,2,0)</f>
        <v>研发费用</v>
      </c>
      <c r="D4726" s="371"/>
      <c r="E4726" s="2714" t="s">
        <v>2739</v>
      </c>
      <c r="F4726" s="371"/>
      <c r="G4726" s="305" t="str">
        <f>B4726&amp;" "&amp;C4726</f>
        <v>65 研发费用</v>
      </c>
      <c r="H4726" s="306"/>
      <c r="I4726" s="306"/>
      <c r="J4726" s="306" t="s">
        <v>4206</v>
      </c>
      <c r="K4726" s="341">
        <f>VLOOKUP($A4726,Sheet_Trialbal,6,0)</f>
        <v>0</v>
      </c>
      <c r="L4726" s="342"/>
      <c r="M4726" s="306" t="s">
        <v>4207</v>
      </c>
      <c r="N4726" s="341">
        <f>VLOOKUP($A4726,Sheet_Trialbal,10,0)</f>
        <v>0</v>
      </c>
      <c r="O4726" s="342"/>
      <c r="P4726" s="301"/>
      <c r="S4726" s="364"/>
      <c r="Z4726" s="609" t="s">
        <v>4263</v>
      </c>
      <c r="AA4726" s="609" t="s">
        <v>5706</v>
      </c>
    </row>
    <row r="4727" spans="1:27" ht="18">
      <c r="A4727" s="2712" t="s">
        <v>1924</v>
      </c>
      <c r="B4727" s="371">
        <v>1</v>
      </c>
      <c r="C4727" s="371"/>
      <c r="D4727" s="2714" t="str">
        <f>VLOOKUP($A4727,Sheet_NoteList,2,0)</f>
        <v>研发费用明细项目</v>
      </c>
      <c r="E4727" s="2714" t="s">
        <v>2742</v>
      </c>
      <c r="F4727" s="371"/>
      <c r="G4727" s="372" t="str">
        <f>"("&amp;B4727&amp;")"&amp;D4727</f>
        <v>(1)研发费用明细项目</v>
      </c>
      <c r="H4727" s="1515" t="str">
        <f>$A4727</f>
        <v>6606a</v>
      </c>
      <c r="I4727" s="343" t="s">
        <v>2743</v>
      </c>
      <c r="J4727" s="301" t="s">
        <v>4210</v>
      </c>
      <c r="K4727" s="2208">
        <f>H4736</f>
        <v>0</v>
      </c>
      <c r="L4727" s="349" t="str">
        <f>IF($I4727="适用",IF(ROUND(K$4726-K4727,2)=0,"F/S",ROUND(K$4726-K4727,2)),"#N/A")</f>
        <v>F/S</v>
      </c>
      <c r="M4727" s="301" t="s">
        <v>4211</v>
      </c>
      <c r="N4727" s="2208">
        <f>I4736</f>
        <v>0</v>
      </c>
      <c r="O4727" s="349" t="str">
        <f>IF($I4727="适用",IF(ROUND(N$4726-N4727,2)=0,"F/S",ROUND(N$4726-N4727,2)),"#N/A")</f>
        <v>F/S</v>
      </c>
      <c r="P4727" s="301"/>
      <c r="S4727" s="364"/>
      <c r="Z4727" s="609" t="s">
        <v>4263</v>
      </c>
      <c r="AA4727" s="609" t="s">
        <v>5706</v>
      </c>
    </row>
    <row r="4728" spans="1:27" ht="0.75" customHeight="1" thickBot="1">
      <c r="A4728" s="2712"/>
      <c r="B4728" s="371"/>
      <c r="C4728" s="371"/>
      <c r="D4728" s="2714"/>
      <c r="E4728" s="586"/>
      <c r="F4728" s="586"/>
      <c r="G4728" s="2222" t="s">
        <v>4264</v>
      </c>
      <c r="H4728" s="371" t="s">
        <v>4223</v>
      </c>
      <c r="I4728" s="371" t="s">
        <v>4224</v>
      </c>
      <c r="J4728" s="301"/>
      <c r="K4728" s="391"/>
      <c r="L4728" s="349"/>
      <c r="M4728" s="301"/>
      <c r="N4728" s="391"/>
      <c r="O4728" s="349"/>
      <c r="P4728" s="301"/>
      <c r="S4728" s="364"/>
      <c r="Z4728" s="609" t="s">
        <v>4263</v>
      </c>
      <c r="AA4728" s="609" t="s">
        <v>5706</v>
      </c>
    </row>
    <row r="4729" spans="1:27" ht="18">
      <c r="A4729" s="2712"/>
      <c r="B4729" s="371"/>
      <c r="C4729" s="371"/>
      <c r="D4729" s="2714"/>
      <c r="E4729" s="586" t="s">
        <v>2749</v>
      </c>
      <c r="F4729" s="586"/>
      <c r="G4729" s="2565" t="s">
        <v>47</v>
      </c>
      <c r="H4729" s="2604" t="str">
        <f>$V$4</f>
        <v>2019年度</v>
      </c>
      <c r="I4729" s="2605" t="str">
        <f>$V$5</f>
        <v>2018年度</v>
      </c>
      <c r="J4729" s="355" t="s">
        <v>5328</v>
      </c>
      <c r="K4729" s="391"/>
      <c r="L4729" s="349"/>
      <c r="M4729" s="301"/>
      <c r="N4729" s="391"/>
      <c r="O4729" s="349"/>
      <c r="P4729" s="301"/>
      <c r="S4729" s="364"/>
      <c r="Z4729" s="609" t="s">
        <v>4263</v>
      </c>
      <c r="AA4729" s="609" t="s">
        <v>5706</v>
      </c>
    </row>
    <row r="4730" spans="1:27" ht="18">
      <c r="A4730" s="2712"/>
      <c r="B4730" s="371">
        <v>101</v>
      </c>
      <c r="C4730" s="371" t="s">
        <v>2791</v>
      </c>
      <c r="D4730" s="2714">
        <f t="shared" ref="D4730:D4736" si="523">IF(OR(G4730="*",G4730="",G4730=0),0,COUNTIF($G$4730:$G$4736,G4730))</f>
        <v>1</v>
      </c>
      <c r="E4730" s="2719">
        <v>1</v>
      </c>
      <c r="F4730" s="371"/>
      <c r="G4730" s="2566" t="s">
        <v>4265</v>
      </c>
      <c r="H4730" s="2273"/>
      <c r="I4730" s="2294"/>
      <c r="J4730" s="301"/>
      <c r="K4730" s="391"/>
      <c r="L4730" s="349"/>
      <c r="M4730" s="301"/>
      <c r="N4730" s="391"/>
      <c r="O4730" s="349"/>
      <c r="P4730" s="301"/>
      <c r="S4730" s="364"/>
      <c r="Z4730" s="609" t="s">
        <v>4263</v>
      </c>
      <c r="AA4730" s="609" t="s">
        <v>5706</v>
      </c>
    </row>
    <row r="4731" spans="1:27" ht="18">
      <c r="A4731" s="2712"/>
      <c r="B4731" s="371">
        <v>102</v>
      </c>
      <c r="C4731" s="371" t="s">
        <v>2791</v>
      </c>
      <c r="D4731" s="2714">
        <f t="shared" si="523"/>
        <v>1</v>
      </c>
      <c r="E4731" s="2719">
        <v>1</v>
      </c>
      <c r="F4731" s="371"/>
      <c r="G4731" s="2566" t="s">
        <v>4266</v>
      </c>
      <c r="H4731" s="2273"/>
      <c r="I4731" s="2294"/>
      <c r="J4731" s="301"/>
      <c r="K4731" s="391"/>
      <c r="L4731" s="349"/>
      <c r="M4731" s="301"/>
      <c r="N4731" s="391"/>
      <c r="O4731" s="349"/>
      <c r="P4731" s="301"/>
      <c r="S4731" s="364"/>
      <c r="Z4731" s="609" t="s">
        <v>4263</v>
      </c>
      <c r="AA4731" s="609" t="s">
        <v>5706</v>
      </c>
    </row>
    <row r="4732" spans="1:27" ht="18">
      <c r="A4732" s="2712"/>
      <c r="B4732" s="371">
        <v>103</v>
      </c>
      <c r="C4732" s="371" t="s">
        <v>2791</v>
      </c>
      <c r="D4732" s="2714">
        <f t="shared" si="523"/>
        <v>1</v>
      </c>
      <c r="E4732" s="2719">
        <v>1</v>
      </c>
      <c r="F4732" s="371"/>
      <c r="G4732" s="2566" t="s">
        <v>4267</v>
      </c>
      <c r="H4732" s="2273"/>
      <c r="I4732" s="2294"/>
      <c r="J4732" s="301"/>
      <c r="K4732" s="391"/>
      <c r="L4732" s="349"/>
      <c r="M4732" s="301"/>
      <c r="N4732" s="391"/>
      <c r="O4732" s="349"/>
      <c r="P4732" s="301"/>
      <c r="S4732" s="364"/>
      <c r="Z4732" s="609" t="s">
        <v>4263</v>
      </c>
      <c r="AA4732" s="609" t="s">
        <v>5706</v>
      </c>
    </row>
    <row r="4733" spans="1:27" ht="18">
      <c r="A4733" s="2712"/>
      <c r="B4733" s="371">
        <v>104</v>
      </c>
      <c r="C4733" s="371" t="s">
        <v>2791</v>
      </c>
      <c r="D4733" s="2714">
        <f t="shared" si="523"/>
        <v>1</v>
      </c>
      <c r="E4733" s="2719">
        <v>1</v>
      </c>
      <c r="F4733" s="371"/>
      <c r="G4733" s="2566" t="s">
        <v>4268</v>
      </c>
      <c r="H4733" s="2273"/>
      <c r="I4733" s="2294"/>
      <c r="J4733" s="301"/>
      <c r="K4733" s="391"/>
      <c r="L4733" s="349"/>
      <c r="M4733" s="301"/>
      <c r="N4733" s="391"/>
      <c r="O4733" s="349"/>
      <c r="P4733" s="301"/>
      <c r="S4733" s="364"/>
      <c r="Z4733" s="609" t="s">
        <v>4263</v>
      </c>
      <c r="AA4733" s="609" t="s">
        <v>5706</v>
      </c>
    </row>
    <row r="4734" spans="1:27" ht="18">
      <c r="A4734" s="2712"/>
      <c r="B4734" s="371">
        <v>105</v>
      </c>
      <c r="C4734" s="371" t="s">
        <v>2791</v>
      </c>
      <c r="D4734" s="2714">
        <f t="shared" si="523"/>
        <v>0</v>
      </c>
      <c r="E4734" s="2719">
        <v>1</v>
      </c>
      <c r="F4734" s="371"/>
      <c r="G4734" s="2566" t="s">
        <v>2792</v>
      </c>
      <c r="H4734" s="2273"/>
      <c r="I4734" s="2294"/>
      <c r="J4734" s="301"/>
      <c r="K4734" s="391"/>
      <c r="L4734" s="349"/>
      <c r="M4734" s="301"/>
      <c r="N4734" s="391"/>
      <c r="O4734" s="349"/>
      <c r="P4734" s="301"/>
      <c r="S4734" s="364"/>
      <c r="Z4734" s="609" t="s">
        <v>4263</v>
      </c>
      <c r="AA4734" s="609" t="s">
        <v>5706</v>
      </c>
    </row>
    <row r="4735" spans="1:27" ht="18">
      <c r="A4735" s="2712"/>
      <c r="B4735" s="371">
        <v>106</v>
      </c>
      <c r="C4735" s="371" t="s">
        <v>2791</v>
      </c>
      <c r="D4735" s="2714">
        <f t="shared" si="523"/>
        <v>0</v>
      </c>
      <c r="E4735" s="2719">
        <v>1</v>
      </c>
      <c r="F4735" s="371"/>
      <c r="G4735" s="2566" t="s">
        <v>2792</v>
      </c>
      <c r="H4735" s="2273"/>
      <c r="I4735" s="2294"/>
      <c r="J4735" s="301"/>
      <c r="K4735" s="391"/>
      <c r="L4735" s="349"/>
      <c r="M4735" s="301"/>
      <c r="N4735" s="391"/>
      <c r="O4735" s="349"/>
      <c r="P4735" s="301"/>
      <c r="S4735" s="364"/>
      <c r="Z4735" s="609" t="s">
        <v>4263</v>
      </c>
      <c r="AA4735" s="609" t="s">
        <v>5706</v>
      </c>
    </row>
    <row r="4736" spans="1:27" ht="18.75" thickBot="1">
      <c r="A4736" s="2712"/>
      <c r="B4736" s="371"/>
      <c r="C4736" s="371"/>
      <c r="D4736" s="2714">
        <f t="shared" si="523"/>
        <v>1</v>
      </c>
      <c r="E4736" s="2719" t="s">
        <v>2751</v>
      </c>
      <c r="F4736" s="371"/>
      <c r="G4736" s="374" t="s">
        <v>2752</v>
      </c>
      <c r="H4736" s="1476">
        <f>SUMPRODUCT($E4729:$E4735,H4729:H4735)</f>
        <v>0</v>
      </c>
      <c r="I4736" s="1477">
        <f>SUMPRODUCT($E4729:$E4735,I4729:I4735)</f>
        <v>0</v>
      </c>
      <c r="J4736" s="301"/>
      <c r="K4736" s="391"/>
      <c r="L4736" s="349"/>
      <c r="M4736" s="301"/>
      <c r="N4736" s="391"/>
      <c r="O4736" s="349"/>
      <c r="P4736" s="301"/>
      <c r="S4736" s="364"/>
      <c r="Z4736" s="609" t="s">
        <v>4263</v>
      </c>
      <c r="AA4736" s="609" t="s">
        <v>5706</v>
      </c>
    </row>
    <row r="4737" spans="1:27" ht="18">
      <c r="A4737" s="2712"/>
      <c r="B4737" s="371"/>
      <c r="C4737" s="371" t="s">
        <v>2755</v>
      </c>
      <c r="D4737" s="2714"/>
      <c r="F4737" s="371"/>
      <c r="G4737" s="376"/>
      <c r="H4737" s="315"/>
      <c r="I4737" s="396"/>
      <c r="J4737" s="301"/>
      <c r="K4737" s="391"/>
      <c r="L4737" s="349"/>
      <c r="M4737" s="301"/>
      <c r="N4737" s="391"/>
      <c r="O4737" s="349"/>
      <c r="P4737" s="301"/>
      <c r="S4737" s="364"/>
      <c r="Z4737" s="609" t="s">
        <v>4263</v>
      </c>
      <c r="AA4737" s="609" t="s">
        <v>5706</v>
      </c>
    </row>
    <row r="4738" spans="1:27" ht="18">
      <c r="A4738" s="2712" t="s">
        <v>6167</v>
      </c>
      <c r="B4738" s="371">
        <v>2</v>
      </c>
      <c r="C4738" s="371"/>
      <c r="D4738" s="2714" t="str">
        <f>VLOOKUP($A4738,Sheet_NoteList,2,0)</f>
        <v>研发费用补充资料</v>
      </c>
      <c r="E4738" s="2714" t="s">
        <v>6529</v>
      </c>
      <c r="F4738" s="293"/>
      <c r="G4738" s="372" t="str">
        <f>"("&amp;B4738&amp;")"&amp;D4738</f>
        <v>(2)研发费用补充资料</v>
      </c>
      <c r="H4738" s="1515" t="str">
        <f>$A4738</f>
        <v>6606x</v>
      </c>
      <c r="I4738" s="343" t="s">
        <v>6169</v>
      </c>
      <c r="J4738" s="301" t="s">
        <v>6170</v>
      </c>
      <c r="K4738" s="2208">
        <f>H4749</f>
        <v>0</v>
      </c>
      <c r="L4738" s="349" t="str">
        <f>IF($I4738="适用",IF(ROUND(K$4726-K4738,2)=0,"F/S",ROUND(K$4726-K4738,2)),"#N/A")</f>
        <v>F/S</v>
      </c>
      <c r="M4738" s="301" t="s">
        <v>6171</v>
      </c>
      <c r="N4738" s="2208">
        <f>I4749</f>
        <v>0</v>
      </c>
      <c r="O4738" s="349" t="str">
        <f>IF($I4738="适用",IF(ROUND(N$4726-N4738,2)=0,"F/S",ROUND(N$4726-N4738,2)),"#N/A")</f>
        <v>F/S</v>
      </c>
      <c r="P4738" s="301"/>
      <c r="S4738" s="364"/>
      <c r="Z4738" s="609" t="s">
        <v>4263</v>
      </c>
      <c r="AA4738" s="609" t="s">
        <v>5706</v>
      </c>
    </row>
    <row r="4739" spans="1:27" ht="0.75" customHeight="1" thickBot="1">
      <c r="A4739" s="2712"/>
      <c r="B4739" s="371"/>
      <c r="C4739" s="371"/>
      <c r="D4739" s="2714"/>
      <c r="E4739" s="586"/>
      <c r="F4739" s="586"/>
      <c r="G4739" s="2222" t="s">
        <v>6172</v>
      </c>
      <c r="H4739" s="371" t="s">
        <v>4223</v>
      </c>
      <c r="I4739" s="371" t="s">
        <v>4224</v>
      </c>
      <c r="J4739" s="371" t="s">
        <v>6214</v>
      </c>
      <c r="K4739" s="391"/>
      <c r="L4739" s="349"/>
      <c r="M4739" s="301"/>
      <c r="N4739" s="391"/>
      <c r="O4739" s="349"/>
      <c r="P4739" s="301"/>
      <c r="S4739" s="364"/>
      <c r="Z4739" s="609" t="s">
        <v>4263</v>
      </c>
      <c r="AA4739" s="609" t="s">
        <v>5706</v>
      </c>
    </row>
    <row r="4740" spans="1:27" ht="18">
      <c r="A4740" s="2712"/>
      <c r="B4740" s="371"/>
      <c r="C4740" s="371"/>
      <c r="D4740" s="2714"/>
      <c r="E4740" s="586" t="s">
        <v>2749</v>
      </c>
      <c r="F4740" s="414"/>
      <c r="G4740" s="2581" t="s">
        <v>47</v>
      </c>
      <c r="H4740" s="2584" t="str">
        <f>$V$4</f>
        <v>2019年度</v>
      </c>
      <c r="I4740" s="2584" t="str">
        <f>$V$5</f>
        <v>2018年度</v>
      </c>
      <c r="J4740" s="2583" t="s">
        <v>6173</v>
      </c>
      <c r="K4740" s="355" t="s">
        <v>6139</v>
      </c>
      <c r="L4740" s="349"/>
      <c r="M4740" s="301"/>
      <c r="N4740" s="391"/>
      <c r="O4740" s="349"/>
      <c r="P4740" s="301"/>
      <c r="S4740" s="364"/>
      <c r="Z4740" s="609" t="s">
        <v>4263</v>
      </c>
      <c r="AA4740" s="609" t="s">
        <v>5706</v>
      </c>
    </row>
    <row r="4741" spans="1:27" ht="18">
      <c r="A4741" s="2712"/>
      <c r="B4741" s="371">
        <v>101</v>
      </c>
      <c r="C4741" s="371" t="s">
        <v>2791</v>
      </c>
      <c r="D4741" s="2714">
        <f t="shared" ref="D4741:D4749" si="524">IF(OR(G4741="*",G4741="",G4741=0),0,COUNTIF($G$4741:$G$4749,G4741))</f>
        <v>0</v>
      </c>
      <c r="E4741" s="2719">
        <v>1</v>
      </c>
      <c r="F4741" s="293"/>
      <c r="G4741" s="2587" t="s">
        <v>2792</v>
      </c>
      <c r="H4741" s="2273"/>
      <c r="I4741" s="2273"/>
      <c r="J4741" s="2274"/>
      <c r="K4741" s="391"/>
      <c r="L4741" s="349"/>
      <c r="M4741" s="301"/>
      <c r="N4741" s="391"/>
      <c r="O4741" s="349"/>
      <c r="P4741" s="301"/>
      <c r="S4741" s="364"/>
      <c r="Z4741" s="609" t="s">
        <v>4263</v>
      </c>
      <c r="AA4741" s="609" t="s">
        <v>5706</v>
      </c>
    </row>
    <row r="4742" spans="1:27" ht="18">
      <c r="A4742" s="2712"/>
      <c r="B4742" s="371">
        <v>102</v>
      </c>
      <c r="C4742" s="371" t="s">
        <v>2791</v>
      </c>
      <c r="D4742" s="2714">
        <f t="shared" si="524"/>
        <v>0</v>
      </c>
      <c r="E4742" s="2719">
        <v>1</v>
      </c>
      <c r="F4742" s="293"/>
      <c r="G4742" s="2587" t="s">
        <v>2792</v>
      </c>
      <c r="H4742" s="2273"/>
      <c r="I4742" s="2273"/>
      <c r="J4742" s="2274"/>
      <c r="K4742" s="391"/>
      <c r="L4742" s="349"/>
      <c r="M4742" s="301"/>
      <c r="N4742" s="391"/>
      <c r="O4742" s="349"/>
      <c r="P4742" s="301"/>
      <c r="S4742" s="364"/>
      <c r="Z4742" s="609" t="s">
        <v>4263</v>
      </c>
      <c r="AA4742" s="609" t="s">
        <v>5706</v>
      </c>
    </row>
    <row r="4743" spans="1:27" ht="18">
      <c r="A4743" s="2712"/>
      <c r="B4743" s="371">
        <v>103</v>
      </c>
      <c r="C4743" s="371" t="s">
        <v>2791</v>
      </c>
      <c r="D4743" s="2714">
        <f t="shared" si="524"/>
        <v>0</v>
      </c>
      <c r="E4743" s="2719">
        <v>1</v>
      </c>
      <c r="F4743" s="293"/>
      <c r="G4743" s="2587" t="s">
        <v>2792</v>
      </c>
      <c r="H4743" s="2273"/>
      <c r="I4743" s="2273"/>
      <c r="J4743" s="2274"/>
      <c r="K4743" s="391"/>
      <c r="L4743" s="349"/>
      <c r="M4743" s="301"/>
      <c r="N4743" s="391"/>
      <c r="O4743" s="349"/>
      <c r="P4743" s="301"/>
      <c r="S4743" s="364"/>
      <c r="Z4743" s="609" t="s">
        <v>4263</v>
      </c>
      <c r="AA4743" s="609" t="s">
        <v>5706</v>
      </c>
    </row>
    <row r="4744" spans="1:27" ht="18">
      <c r="A4744" s="2712"/>
      <c r="B4744" s="371">
        <v>104</v>
      </c>
      <c r="C4744" s="371" t="s">
        <v>2791</v>
      </c>
      <c r="D4744" s="2714">
        <f t="shared" si="524"/>
        <v>0</v>
      </c>
      <c r="E4744" s="2719">
        <v>1</v>
      </c>
      <c r="F4744" s="293"/>
      <c r="G4744" s="2587" t="s">
        <v>2792</v>
      </c>
      <c r="H4744" s="2273"/>
      <c r="I4744" s="2273"/>
      <c r="J4744" s="2274"/>
      <c r="K4744" s="391"/>
      <c r="L4744" s="349"/>
      <c r="M4744" s="301"/>
      <c r="N4744" s="391"/>
      <c r="O4744" s="349"/>
      <c r="P4744" s="301"/>
      <c r="S4744" s="364"/>
      <c r="Z4744" s="609" t="s">
        <v>4263</v>
      </c>
      <c r="AA4744" s="609" t="s">
        <v>5706</v>
      </c>
    </row>
    <row r="4745" spans="1:27" ht="18">
      <c r="A4745" s="2712"/>
      <c r="B4745" s="371">
        <v>105</v>
      </c>
      <c r="C4745" s="371" t="s">
        <v>2791</v>
      </c>
      <c r="D4745" s="2714">
        <f t="shared" si="524"/>
        <v>0</v>
      </c>
      <c r="E4745" s="2719">
        <v>1</v>
      </c>
      <c r="F4745" s="293"/>
      <c r="G4745" s="2587" t="s">
        <v>2792</v>
      </c>
      <c r="H4745" s="2273"/>
      <c r="I4745" s="2273"/>
      <c r="J4745" s="2274"/>
      <c r="K4745" s="391"/>
      <c r="L4745" s="349"/>
      <c r="M4745" s="301"/>
      <c r="N4745" s="391"/>
      <c r="O4745" s="349"/>
      <c r="P4745" s="301"/>
      <c r="S4745" s="364"/>
      <c r="Z4745" s="609" t="s">
        <v>4263</v>
      </c>
      <c r="AA4745" s="609" t="s">
        <v>5706</v>
      </c>
    </row>
    <row r="4746" spans="1:27" ht="18">
      <c r="A4746" s="2712"/>
      <c r="B4746" s="371">
        <v>106</v>
      </c>
      <c r="C4746" s="371" t="s">
        <v>2791</v>
      </c>
      <c r="D4746" s="2714">
        <f t="shared" si="524"/>
        <v>0</v>
      </c>
      <c r="E4746" s="2719">
        <v>1</v>
      </c>
      <c r="F4746" s="293"/>
      <c r="G4746" s="2587" t="s">
        <v>2792</v>
      </c>
      <c r="H4746" s="2273"/>
      <c r="I4746" s="2273"/>
      <c r="J4746" s="2274"/>
      <c r="K4746" s="391"/>
      <c r="L4746" s="349"/>
      <c r="M4746" s="301"/>
      <c r="N4746" s="391"/>
      <c r="O4746" s="349"/>
      <c r="P4746" s="301"/>
      <c r="S4746" s="364"/>
      <c r="Z4746" s="609" t="s">
        <v>4263</v>
      </c>
      <c r="AA4746" s="609" t="s">
        <v>5706</v>
      </c>
    </row>
    <row r="4747" spans="1:27" ht="18">
      <c r="A4747" s="2712"/>
      <c r="B4747" s="371">
        <v>107</v>
      </c>
      <c r="C4747" s="371" t="s">
        <v>2791</v>
      </c>
      <c r="D4747" s="2714">
        <f t="shared" si="524"/>
        <v>0</v>
      </c>
      <c r="E4747" s="2719">
        <v>1</v>
      </c>
      <c r="F4747" s="293"/>
      <c r="G4747" s="2587" t="s">
        <v>2792</v>
      </c>
      <c r="H4747" s="2273"/>
      <c r="I4747" s="2273"/>
      <c r="J4747" s="2274"/>
      <c r="K4747" s="391"/>
      <c r="L4747" s="349"/>
      <c r="M4747" s="301"/>
      <c r="N4747" s="391"/>
      <c r="O4747" s="349"/>
      <c r="P4747" s="301"/>
      <c r="S4747" s="364"/>
      <c r="Z4747" s="609" t="s">
        <v>4263</v>
      </c>
      <c r="AA4747" s="609" t="s">
        <v>5706</v>
      </c>
    </row>
    <row r="4748" spans="1:27" ht="18">
      <c r="A4748" s="2712"/>
      <c r="B4748" s="371">
        <v>108</v>
      </c>
      <c r="C4748" s="371" t="s">
        <v>2791</v>
      </c>
      <c r="D4748" s="2714">
        <f t="shared" si="524"/>
        <v>0</v>
      </c>
      <c r="E4748" s="2719">
        <v>1</v>
      </c>
      <c r="F4748" s="293"/>
      <c r="G4748" s="2587" t="s">
        <v>2792</v>
      </c>
      <c r="H4748" s="2273"/>
      <c r="I4748" s="2273"/>
      <c r="J4748" s="2274"/>
      <c r="K4748" s="391"/>
      <c r="L4748" s="349"/>
      <c r="M4748" s="301"/>
      <c r="N4748" s="391"/>
      <c r="O4748" s="349"/>
      <c r="P4748" s="301"/>
      <c r="S4748" s="364"/>
      <c r="Z4748" s="609" t="s">
        <v>4263</v>
      </c>
      <c r="AA4748" s="609" t="s">
        <v>5706</v>
      </c>
    </row>
    <row r="4749" spans="1:27" ht="18.75" thickBot="1">
      <c r="A4749" s="2712"/>
      <c r="B4749" s="371"/>
      <c r="C4749" s="371"/>
      <c r="D4749" s="2714">
        <f t="shared" si="524"/>
        <v>1</v>
      </c>
      <c r="E4749" s="2719" t="s">
        <v>2751</v>
      </c>
      <c r="F4749" s="293"/>
      <c r="G4749" s="1527" t="s">
        <v>2752</v>
      </c>
      <c r="H4749" s="1525">
        <f>SUMPRODUCT($E4740:$E4748,H4740:H4748)</f>
        <v>0</v>
      </c>
      <c r="I4749" s="1525">
        <f>SUMPRODUCT($E4740:$E4748,I4740:I4748)</f>
        <v>0</v>
      </c>
      <c r="J4749" s="2264"/>
      <c r="K4749" s="391"/>
      <c r="L4749" s="349"/>
      <c r="M4749" s="301"/>
      <c r="N4749" s="391"/>
      <c r="O4749" s="349"/>
      <c r="P4749" s="301"/>
      <c r="S4749" s="364"/>
      <c r="Z4749" s="609" t="s">
        <v>4263</v>
      </c>
      <c r="AA4749" s="609" t="s">
        <v>5706</v>
      </c>
    </row>
    <row r="4750" spans="1:27" ht="18">
      <c r="A4750" s="2712"/>
      <c r="B4750" s="371"/>
      <c r="C4750" s="371" t="s">
        <v>2755</v>
      </c>
      <c r="D4750" s="2714"/>
      <c r="F4750" s="293"/>
      <c r="G4750" s="376"/>
      <c r="H4750" s="1574"/>
      <c r="I4750" s="396"/>
      <c r="J4750" s="393"/>
      <c r="K4750" s="391"/>
      <c r="L4750" s="349"/>
      <c r="M4750" s="301"/>
      <c r="N4750" s="391"/>
      <c r="O4750" s="349"/>
      <c r="P4750" s="301"/>
      <c r="S4750" s="364"/>
      <c r="Z4750" s="609" t="s">
        <v>4263</v>
      </c>
      <c r="AA4750" s="609" t="s">
        <v>5706</v>
      </c>
    </row>
    <row r="4751" spans="1:27" ht="18">
      <c r="A4751" s="2712">
        <v>6603</v>
      </c>
      <c r="B4751" s="371">
        <v>66</v>
      </c>
      <c r="C4751" s="2714" t="str">
        <f>VLOOKUP($A4751,Sheet_Items,2,0)</f>
        <v>财务费用</v>
      </c>
      <c r="D4751" s="371"/>
      <c r="E4751" s="2714" t="s">
        <v>2739</v>
      </c>
      <c r="F4751" s="294"/>
      <c r="G4751" s="305" t="str">
        <f>B4751&amp;" "&amp;C4751</f>
        <v>66 财务费用</v>
      </c>
      <c r="H4751" s="306"/>
      <c r="I4751" s="306"/>
      <c r="J4751" s="306" t="s">
        <v>4206</v>
      </c>
      <c r="K4751" s="341">
        <f>VLOOKUP($A4751,Sheet_Trialbal,6,0)</f>
        <v>347671.51</v>
      </c>
      <c r="L4751" s="342"/>
      <c r="M4751" s="306" t="s">
        <v>4207</v>
      </c>
      <c r="N4751" s="341">
        <f>VLOOKUP($A4751,Sheet_Trialbal,10,0)</f>
        <v>2508278.83</v>
      </c>
      <c r="O4751" s="306"/>
      <c r="P4751" s="301"/>
      <c r="S4751" s="364"/>
      <c r="Z4751" s="609" t="s">
        <v>4269</v>
      </c>
      <c r="AA4751" s="609" t="s">
        <v>5707</v>
      </c>
    </row>
    <row r="4752" spans="1:27" ht="18">
      <c r="A4752" s="2712" t="s">
        <v>1919</v>
      </c>
      <c r="B4752" s="371">
        <v>1</v>
      </c>
      <c r="C4752" s="371"/>
      <c r="D4752" s="2714" t="str">
        <f>VLOOKUP($A4752,Sheet_NoteList,2,0)</f>
        <v>财务费用明细项目</v>
      </c>
      <c r="E4752" s="2714" t="s">
        <v>2742</v>
      </c>
      <c r="F4752" s="294"/>
      <c r="G4752" s="307" t="str">
        <f>"("&amp;B4752&amp;")"&amp;D4752</f>
        <v>(1)财务费用明细项目</v>
      </c>
      <c r="H4752" s="1515" t="str">
        <f>$A4752</f>
        <v>6603a</v>
      </c>
      <c r="I4752" s="343" t="s">
        <v>2743</v>
      </c>
      <c r="J4752" s="301" t="s">
        <v>4256</v>
      </c>
      <c r="K4752" s="2208">
        <f>H4765</f>
        <v>347671.51</v>
      </c>
      <c r="L4752" s="1533">
        <f>IF($I4752="适用",IF(ROUND(K4751-K4752,2)&gt;=0,IF(K4751&lt;&gt;0,K4752/K4751,""),"#Logical!"),"#N/A")</f>
        <v>1</v>
      </c>
      <c r="M4752" s="301" t="s">
        <v>4257</v>
      </c>
      <c r="N4752" s="2208">
        <f>I4765</f>
        <v>2508278.83</v>
      </c>
      <c r="O4752" s="1533">
        <f>IF($I4752="适用",IF(ROUND(N4751-N4752,2)&gt;=0,IF(N4751&lt;&gt;0,N4752/N4751,""),"#Logical!"),"#N/A")</f>
        <v>1</v>
      </c>
      <c r="P4752" s="301"/>
      <c r="Q4752" s="290" t="str">
        <f>IF($I4752="不适用","",IF(ROUND(SUM($H$4755:$I$4765),2)=0,"请输入",""))</f>
        <v/>
      </c>
      <c r="S4752" s="364"/>
      <c r="Z4752" s="609" t="s">
        <v>4269</v>
      </c>
      <c r="AA4752" s="609" t="s">
        <v>5707</v>
      </c>
    </row>
    <row r="4753" spans="1:27" ht="0.75" customHeight="1" thickBot="1">
      <c r="A4753" s="2712"/>
      <c r="B4753" s="371"/>
      <c r="C4753" s="371"/>
      <c r="D4753" s="371"/>
      <c r="F4753" s="371"/>
      <c r="G4753" s="371" t="s">
        <v>4270</v>
      </c>
      <c r="H4753" s="371" t="s">
        <v>4223</v>
      </c>
      <c r="I4753" s="371" t="s">
        <v>4224</v>
      </c>
      <c r="J4753" s="291"/>
      <c r="K4753" s="291"/>
      <c r="L4753" s="291"/>
      <c r="M4753" s="291"/>
      <c r="S4753" s="364"/>
      <c r="Z4753" s="609" t="s">
        <v>4269</v>
      </c>
      <c r="AA4753" s="609" t="s">
        <v>5707</v>
      </c>
    </row>
    <row r="4754" spans="1:27" ht="18">
      <c r="A4754" s="2712"/>
      <c r="B4754" s="371"/>
      <c r="C4754" s="371"/>
      <c r="D4754" s="371"/>
      <c r="E4754" s="2714" t="s">
        <v>2749</v>
      </c>
      <c r="F4754" s="294"/>
      <c r="G4754" s="378" t="s">
        <v>47</v>
      </c>
      <c r="H4754" s="398" t="str">
        <f>$V$4</f>
        <v>2019年度</v>
      </c>
      <c r="I4754" s="511" t="str">
        <f>$V$5</f>
        <v>2018年度</v>
      </c>
      <c r="J4754" s="355" t="s">
        <v>5329</v>
      </c>
      <c r="K4754" s="291"/>
      <c r="L4754" s="291"/>
      <c r="M4754" s="291"/>
      <c r="S4754" s="364"/>
      <c r="Z4754" s="609" t="s">
        <v>4269</v>
      </c>
      <c r="AA4754" s="609" t="s">
        <v>5707</v>
      </c>
    </row>
    <row r="4755" spans="1:27" ht="18">
      <c r="A4755" s="2712"/>
      <c r="B4755" s="371">
        <v>101</v>
      </c>
      <c r="C4755" s="371" t="s">
        <v>2791</v>
      </c>
      <c r="D4755" s="2714">
        <f t="shared" ref="D4755:D4765" si="525">IF(OR(G4755="*",G4755="",G4755=0),0,COUNTIF($G$4755:$G$4765,G4755))</f>
        <v>1</v>
      </c>
      <c r="E4755" s="2719">
        <v>0</v>
      </c>
      <c r="F4755" s="294"/>
      <c r="G4755" s="2610" t="s">
        <v>771</v>
      </c>
      <c r="H4755" s="383">
        <v>2094341.69</v>
      </c>
      <c r="I4755" s="401">
        <v>3327146.8</v>
      </c>
      <c r="J4755" s="291"/>
      <c r="K4755" s="291"/>
      <c r="L4755" s="291"/>
      <c r="M4755" s="291"/>
      <c r="S4755" s="364"/>
      <c r="Z4755" s="609" t="s">
        <v>4269</v>
      </c>
      <c r="AA4755" s="609" t="s">
        <v>5707</v>
      </c>
    </row>
    <row r="4756" spans="1:27" ht="18">
      <c r="A4756" s="2712"/>
      <c r="B4756" s="371">
        <v>102</v>
      </c>
      <c r="C4756" s="371" t="s">
        <v>2791</v>
      </c>
      <c r="D4756" s="2714">
        <f t="shared" si="525"/>
        <v>1</v>
      </c>
      <c r="E4756" s="2719">
        <v>0</v>
      </c>
      <c r="F4756" s="294"/>
      <c r="G4756" s="384" t="s">
        <v>4271</v>
      </c>
      <c r="H4756" s="383">
        <v>1332867.3799999999</v>
      </c>
      <c r="I4756" s="401">
        <v>85076.63</v>
      </c>
      <c r="J4756" s="291"/>
      <c r="K4756" s="291"/>
      <c r="L4756" s="291"/>
      <c r="M4756" s="291"/>
      <c r="S4756" s="364"/>
      <c r="Z4756" s="609" t="s">
        <v>4269</v>
      </c>
      <c r="AA4756" s="609" t="s">
        <v>5707</v>
      </c>
    </row>
    <row r="4757" spans="1:27" ht="18">
      <c r="A4757" s="2712"/>
      <c r="B4757" s="371">
        <v>103</v>
      </c>
      <c r="C4757" s="371" t="s">
        <v>2791</v>
      </c>
      <c r="D4757" s="2714">
        <f t="shared" si="525"/>
        <v>1</v>
      </c>
      <c r="E4757" s="2719">
        <v>1</v>
      </c>
      <c r="F4757" s="294"/>
      <c r="G4757" s="2610" t="s">
        <v>4272</v>
      </c>
      <c r="H4757" s="383">
        <f>H4755-H4756</f>
        <v>761474.31</v>
      </c>
      <c r="I4757" s="383">
        <f>I4755-I4756</f>
        <v>3242070.17</v>
      </c>
      <c r="J4757" s="291"/>
      <c r="K4757" s="291"/>
      <c r="L4757" s="291"/>
      <c r="M4757" s="291"/>
      <c r="S4757" s="364"/>
      <c r="Z4757" s="609" t="s">
        <v>4269</v>
      </c>
      <c r="AA4757" s="609" t="s">
        <v>5707</v>
      </c>
    </row>
    <row r="4758" spans="1:27" ht="18">
      <c r="A4758" s="2712"/>
      <c r="B4758" s="371">
        <v>104</v>
      </c>
      <c r="C4758" s="371" t="s">
        <v>2791</v>
      </c>
      <c r="D4758" s="2714">
        <f t="shared" si="525"/>
        <v>1</v>
      </c>
      <c r="E4758" s="2719">
        <v>0</v>
      </c>
      <c r="F4758" s="294"/>
      <c r="G4758" s="2610" t="s">
        <v>4273</v>
      </c>
      <c r="H4758" s="383"/>
      <c r="I4758" s="401"/>
      <c r="J4758" s="3276"/>
      <c r="K4758" s="291"/>
      <c r="L4758" s="291"/>
      <c r="M4758" s="291"/>
      <c r="S4758" s="364"/>
      <c r="Z4758" s="609" t="s">
        <v>4269</v>
      </c>
      <c r="AA4758" s="609" t="s">
        <v>5707</v>
      </c>
    </row>
    <row r="4759" spans="1:27" ht="18">
      <c r="A4759" s="2712"/>
      <c r="B4759" s="371">
        <v>105</v>
      </c>
      <c r="C4759" s="371" t="s">
        <v>2791</v>
      </c>
      <c r="D4759" s="2714">
        <f t="shared" si="525"/>
        <v>1</v>
      </c>
      <c r="E4759" s="2719">
        <v>0</v>
      </c>
      <c r="F4759" s="294"/>
      <c r="G4759" s="384" t="s">
        <v>4274</v>
      </c>
      <c r="H4759" s="383">
        <f>547801.09</f>
        <v>547801.09</v>
      </c>
      <c r="I4759" s="401">
        <v>1351285.91</v>
      </c>
      <c r="J4759" s="291"/>
      <c r="K4759" s="291"/>
      <c r="L4759" s="291"/>
      <c r="M4759" s="291"/>
      <c r="S4759" s="364"/>
      <c r="Z4759" s="609" t="s">
        <v>4269</v>
      </c>
      <c r="AA4759" s="609" t="s">
        <v>5707</v>
      </c>
    </row>
    <row r="4760" spans="1:27" ht="18">
      <c r="A4760" s="2712"/>
      <c r="B4760" s="371">
        <v>106</v>
      </c>
      <c r="C4760" s="371" t="s">
        <v>2791</v>
      </c>
      <c r="D4760" s="2714">
        <f t="shared" si="525"/>
        <v>1</v>
      </c>
      <c r="E4760" s="2719">
        <v>1</v>
      </c>
      <c r="F4760" s="294"/>
      <c r="G4760" s="2610" t="s">
        <v>4275</v>
      </c>
      <c r="H4760" s="383">
        <f>H4758-H4759</f>
        <v>-547801.09</v>
      </c>
      <c r="I4760" s="383">
        <f>I4758-I4759</f>
        <v>-1351285.91</v>
      </c>
      <c r="J4760" s="291"/>
      <c r="K4760" s="291"/>
      <c r="L4760" s="291"/>
      <c r="M4760" s="291"/>
      <c r="S4760" s="364"/>
      <c r="Z4760" s="609" t="s">
        <v>4269</v>
      </c>
      <c r="AA4760" s="609" t="s">
        <v>5707</v>
      </c>
    </row>
    <row r="4761" spans="1:27" ht="18">
      <c r="A4761" s="2712"/>
      <c r="B4761" s="371">
        <v>107</v>
      </c>
      <c r="C4761" s="371" t="s">
        <v>2791</v>
      </c>
      <c r="D4761" s="2714">
        <f t="shared" si="525"/>
        <v>1</v>
      </c>
      <c r="E4761" s="2719">
        <v>1</v>
      </c>
      <c r="F4761" s="294"/>
      <c r="G4761" s="409" t="s">
        <v>4276</v>
      </c>
      <c r="H4761" s="383">
        <v>133998.29</v>
      </c>
      <c r="I4761" s="401">
        <v>617494.56999999995</v>
      </c>
      <c r="J4761" s="291"/>
      <c r="K4761" s="291"/>
      <c r="L4761" s="291"/>
      <c r="M4761" s="291"/>
      <c r="S4761" s="364"/>
      <c r="Z4761" s="609" t="s">
        <v>4269</v>
      </c>
      <c r="AA4761" s="609" t="s">
        <v>5707</v>
      </c>
    </row>
    <row r="4762" spans="1:27" ht="18">
      <c r="A4762" s="2712"/>
      <c r="B4762" s="371">
        <v>108</v>
      </c>
      <c r="C4762" s="371" t="s">
        <v>2791</v>
      </c>
      <c r="D4762" s="2714">
        <f t="shared" si="525"/>
        <v>0</v>
      </c>
      <c r="E4762" s="2719">
        <v>1</v>
      </c>
      <c r="F4762" s="294"/>
      <c r="G4762" s="409" t="s">
        <v>2792</v>
      </c>
      <c r="H4762" s="383"/>
      <c r="I4762" s="401"/>
      <c r="J4762" s="291"/>
      <c r="K4762" s="291"/>
      <c r="L4762" s="291"/>
      <c r="M4762" s="291"/>
      <c r="S4762" s="364"/>
      <c r="Z4762" s="609" t="s">
        <v>4269</v>
      </c>
      <c r="AA4762" s="609" t="s">
        <v>5707</v>
      </c>
    </row>
    <row r="4763" spans="1:27" ht="18">
      <c r="A4763" s="2712"/>
      <c r="B4763" s="371">
        <v>109</v>
      </c>
      <c r="C4763" s="371" t="s">
        <v>6530</v>
      </c>
      <c r="D4763" s="2714">
        <f t="shared" si="525"/>
        <v>0</v>
      </c>
      <c r="E4763" s="2719">
        <v>1</v>
      </c>
      <c r="F4763" s="294"/>
      <c r="G4763" s="409" t="s">
        <v>2792</v>
      </c>
      <c r="H4763" s="383"/>
      <c r="I4763" s="401"/>
      <c r="J4763" s="291"/>
      <c r="K4763" s="291"/>
      <c r="L4763" s="291"/>
      <c r="M4763" s="291"/>
      <c r="S4763" s="364"/>
      <c r="Z4763" s="609" t="s">
        <v>4269</v>
      </c>
      <c r="AA4763" s="609" t="s">
        <v>5707</v>
      </c>
    </row>
    <row r="4764" spans="1:27" ht="18">
      <c r="A4764" s="2712"/>
      <c r="B4764" s="371">
        <v>110</v>
      </c>
      <c r="C4764" s="371" t="s">
        <v>2791</v>
      </c>
      <c r="D4764" s="2714">
        <f t="shared" si="525"/>
        <v>1</v>
      </c>
      <c r="E4764" s="2719">
        <v>1</v>
      </c>
      <c r="F4764" s="294"/>
      <c r="G4764" s="409" t="s">
        <v>932</v>
      </c>
      <c r="H4764" s="383"/>
      <c r="I4764" s="401"/>
      <c r="J4764" s="291"/>
      <c r="K4764" s="291"/>
      <c r="L4764" s="291"/>
      <c r="M4764" s="291"/>
      <c r="S4764" s="364"/>
      <c r="Z4764" s="609" t="s">
        <v>4269</v>
      </c>
      <c r="AA4764" s="609" t="s">
        <v>5707</v>
      </c>
    </row>
    <row r="4765" spans="1:27" ht="18.75" thickBot="1">
      <c r="A4765" s="2712"/>
      <c r="B4765" s="371"/>
      <c r="C4765" s="371"/>
      <c r="D4765" s="2714">
        <f t="shared" si="525"/>
        <v>1</v>
      </c>
      <c r="E4765" s="2719" t="s">
        <v>2751</v>
      </c>
      <c r="F4765" s="294"/>
      <c r="G4765" s="403" t="s">
        <v>2752</v>
      </c>
      <c r="H4765" s="1496">
        <f>SUMPRODUCT($E4754:$E4764,H4754:H4764)</f>
        <v>347671.51</v>
      </c>
      <c r="I4765" s="1497">
        <f>SUMPRODUCT($E4754:$E4764,I4754:I4764)</f>
        <v>2508278.83</v>
      </c>
      <c r="J4765" s="291"/>
      <c r="K4765" s="291"/>
      <c r="L4765" s="291"/>
      <c r="M4765" s="291"/>
      <c r="S4765" s="364"/>
      <c r="Z4765" s="609" t="s">
        <v>4269</v>
      </c>
      <c r="AA4765" s="609" t="s">
        <v>5707</v>
      </c>
    </row>
    <row r="4766" spans="1:27" ht="18">
      <c r="A4766" s="2712"/>
      <c r="B4766" s="371"/>
      <c r="C4766" s="371" t="s">
        <v>2755</v>
      </c>
      <c r="D4766" s="371"/>
      <c r="F4766" s="294"/>
      <c r="G4766" s="301"/>
      <c r="H4766" s="349"/>
      <c r="I4766" s="349"/>
      <c r="J4766" s="291"/>
      <c r="K4766" s="291"/>
      <c r="L4766" s="291"/>
      <c r="M4766" s="291"/>
      <c r="S4766" s="364"/>
      <c r="Z4766" s="609" t="s">
        <v>4269</v>
      </c>
      <c r="AA4766" s="609" t="s">
        <v>5707</v>
      </c>
    </row>
    <row r="4767" spans="1:27" ht="18">
      <c r="A4767" s="2712" t="s">
        <v>1922</v>
      </c>
      <c r="B4767" s="371">
        <v>2</v>
      </c>
      <c r="C4767" s="371"/>
      <c r="D4767" s="2714" t="str">
        <f>VLOOKUP($A4767,Sheet_NoteList,2,0)</f>
        <v>财务费用补充资料</v>
      </c>
      <c r="E4767" s="2714" t="s">
        <v>6529</v>
      </c>
      <c r="F4767" s="294"/>
      <c r="G4767" s="307" t="str">
        <f>"("&amp;B4767&amp;")"&amp;D4767</f>
        <v>(2)财务费用补充资料</v>
      </c>
      <c r="H4767" s="1515" t="str">
        <f>$A4767</f>
        <v>6603x</v>
      </c>
      <c r="I4767" s="343" t="s">
        <v>5972</v>
      </c>
      <c r="J4767" s="301" t="s">
        <v>5986</v>
      </c>
      <c r="K4767" s="2208">
        <f>H4775</f>
        <v>0</v>
      </c>
      <c r="L4767" s="1533"/>
      <c r="M4767" s="301" t="s">
        <v>5987</v>
      </c>
      <c r="N4767" s="2208">
        <f>I4775</f>
        <v>0</v>
      </c>
      <c r="O4767" s="1533"/>
      <c r="P4767" s="301"/>
      <c r="S4767" s="364"/>
      <c r="Z4767" s="609" t="s">
        <v>4269</v>
      </c>
      <c r="AA4767" s="609" t="s">
        <v>5707</v>
      </c>
    </row>
    <row r="4768" spans="1:27" ht="0.75" customHeight="1" thickBot="1">
      <c r="A4768" s="2712"/>
      <c r="B4768" s="371"/>
      <c r="C4768" s="371"/>
      <c r="D4768" s="371"/>
      <c r="E4768" s="586"/>
      <c r="F4768" s="586"/>
      <c r="G4768" s="586" t="s">
        <v>4277</v>
      </c>
      <c r="H4768" s="371" t="s">
        <v>4223</v>
      </c>
      <c r="I4768" s="371" t="s">
        <v>4224</v>
      </c>
      <c r="J4768" s="291"/>
      <c r="K4768" s="291"/>
      <c r="L4768" s="291"/>
      <c r="M4768" s="291"/>
      <c r="S4768" s="364"/>
      <c r="Z4768" s="609" t="s">
        <v>4269</v>
      </c>
      <c r="AA4768" s="609" t="s">
        <v>5707</v>
      </c>
    </row>
    <row r="4769" spans="1:29" ht="18">
      <c r="A4769" s="2712"/>
      <c r="B4769" s="371"/>
      <c r="C4769" s="371"/>
      <c r="D4769" s="371"/>
      <c r="E4769" s="586" t="s">
        <v>2749</v>
      </c>
      <c r="F4769" s="363"/>
      <c r="G4769" s="2449" t="s">
        <v>47</v>
      </c>
      <c r="H4769" s="2445" t="str">
        <f>$V$4</f>
        <v>2019年度</v>
      </c>
      <c r="I4769" s="2444" t="str">
        <f>$V$5</f>
        <v>2018年度</v>
      </c>
      <c r="J4769" s="355" t="s">
        <v>6139</v>
      </c>
      <c r="K4769" s="291"/>
      <c r="L4769" s="291"/>
      <c r="M4769" s="291"/>
      <c r="S4769" s="364"/>
      <c r="Z4769" s="609" t="s">
        <v>4269</v>
      </c>
      <c r="AA4769" s="609" t="s">
        <v>5707</v>
      </c>
    </row>
    <row r="4770" spans="1:29" ht="18">
      <c r="A4770" s="2712"/>
      <c r="B4770" s="371">
        <v>101</v>
      </c>
      <c r="C4770" s="371" t="s">
        <v>2791</v>
      </c>
      <c r="D4770" s="2714">
        <f t="shared" ref="D4770:D4775" si="526">IF(OR(G4770="*",G4770="",G4770=0),0,COUNTIF($G$4770:$G$4775,G4770))</f>
        <v>0</v>
      </c>
      <c r="E4770" s="2719">
        <v>1</v>
      </c>
      <c r="F4770" s="294"/>
      <c r="G4770" s="2446" t="s">
        <v>2792</v>
      </c>
      <c r="H4770" s="2273"/>
      <c r="I4770" s="2294"/>
      <c r="J4770" s="579"/>
      <c r="K4770" s="291"/>
      <c r="L4770" s="291"/>
      <c r="M4770" s="291"/>
      <c r="S4770" s="364"/>
      <c r="Z4770" s="609" t="s">
        <v>4269</v>
      </c>
      <c r="AA4770" s="609" t="s">
        <v>5707</v>
      </c>
    </row>
    <row r="4771" spans="1:29" ht="18">
      <c r="A4771" s="2712"/>
      <c r="B4771" s="371">
        <v>102</v>
      </c>
      <c r="C4771" s="371" t="s">
        <v>2791</v>
      </c>
      <c r="D4771" s="2714">
        <f t="shared" si="526"/>
        <v>0</v>
      </c>
      <c r="E4771" s="2719">
        <v>1</v>
      </c>
      <c r="F4771" s="294"/>
      <c r="G4771" s="2446" t="s">
        <v>2792</v>
      </c>
      <c r="H4771" s="2273"/>
      <c r="I4771" s="2294"/>
      <c r="J4771" s="291"/>
      <c r="K4771" s="291"/>
      <c r="L4771" s="291"/>
      <c r="M4771" s="291"/>
      <c r="S4771" s="364"/>
      <c r="Z4771" s="609" t="s">
        <v>4269</v>
      </c>
      <c r="AA4771" s="609" t="s">
        <v>5707</v>
      </c>
    </row>
    <row r="4772" spans="1:29" ht="18">
      <c r="A4772" s="2712"/>
      <c r="B4772" s="371">
        <v>103</v>
      </c>
      <c r="C4772" s="371" t="s">
        <v>2791</v>
      </c>
      <c r="D4772" s="2714">
        <f t="shared" si="526"/>
        <v>0</v>
      </c>
      <c r="E4772" s="2719">
        <v>1</v>
      </c>
      <c r="F4772" s="294"/>
      <c r="G4772" s="2446" t="s">
        <v>2792</v>
      </c>
      <c r="H4772" s="2273"/>
      <c r="I4772" s="2294"/>
      <c r="J4772" s="291"/>
      <c r="K4772" s="291"/>
      <c r="L4772" s="291"/>
      <c r="M4772" s="291"/>
      <c r="S4772" s="364"/>
      <c r="Z4772" s="609" t="s">
        <v>4269</v>
      </c>
      <c r="AA4772" s="609" t="s">
        <v>5707</v>
      </c>
    </row>
    <row r="4773" spans="1:29" ht="18">
      <c r="A4773" s="2712"/>
      <c r="B4773" s="371">
        <v>104</v>
      </c>
      <c r="C4773" s="371" t="s">
        <v>2791</v>
      </c>
      <c r="D4773" s="2714">
        <f t="shared" si="526"/>
        <v>0</v>
      </c>
      <c r="E4773" s="2719">
        <v>1</v>
      </c>
      <c r="F4773" s="294"/>
      <c r="G4773" s="2446" t="s">
        <v>2792</v>
      </c>
      <c r="H4773" s="2273"/>
      <c r="I4773" s="2294"/>
      <c r="J4773" s="291"/>
      <c r="K4773" s="291"/>
      <c r="L4773" s="291"/>
      <c r="M4773" s="291"/>
      <c r="S4773" s="364"/>
      <c r="Z4773" s="609" t="s">
        <v>4269</v>
      </c>
      <c r="AA4773" s="609" t="s">
        <v>5707</v>
      </c>
    </row>
    <row r="4774" spans="1:29" ht="18">
      <c r="A4774" s="2712"/>
      <c r="B4774" s="371">
        <v>105</v>
      </c>
      <c r="C4774" s="371" t="s">
        <v>2791</v>
      </c>
      <c r="D4774" s="2714">
        <f t="shared" si="526"/>
        <v>0</v>
      </c>
      <c r="E4774" s="2719">
        <v>1</v>
      </c>
      <c r="F4774" s="294"/>
      <c r="G4774" s="2446" t="s">
        <v>2792</v>
      </c>
      <c r="H4774" s="2273"/>
      <c r="I4774" s="2294"/>
      <c r="J4774" s="291"/>
      <c r="K4774" s="291"/>
      <c r="L4774" s="291"/>
      <c r="M4774" s="291"/>
      <c r="S4774" s="364"/>
      <c r="Z4774" s="609" t="s">
        <v>4269</v>
      </c>
      <c r="AA4774" s="609" t="s">
        <v>5707</v>
      </c>
    </row>
    <row r="4775" spans="1:29" ht="18.75" thickBot="1">
      <c r="A4775" s="2712"/>
      <c r="B4775" s="371"/>
      <c r="C4775" s="371"/>
      <c r="D4775" s="2714">
        <f t="shared" si="526"/>
        <v>1</v>
      </c>
      <c r="E4775" s="2719" t="s">
        <v>2751</v>
      </c>
      <c r="F4775" s="294"/>
      <c r="G4775" s="1527" t="s">
        <v>2752</v>
      </c>
      <c r="H4775" s="1525">
        <f>SUMPRODUCT($E4769:$E4774,H4769:H4774)</f>
        <v>0</v>
      </c>
      <c r="I4775" s="1526">
        <f>SUMPRODUCT($E4769:$E4774,I4769:I4774)</f>
        <v>0</v>
      </c>
      <c r="J4775" s="291"/>
      <c r="K4775" s="291"/>
      <c r="L4775" s="291"/>
      <c r="M4775" s="291"/>
      <c r="S4775" s="364"/>
      <c r="Z4775" s="609" t="s">
        <v>4269</v>
      </c>
      <c r="AA4775" s="609" t="s">
        <v>5707</v>
      </c>
    </row>
    <row r="4776" spans="1:29" ht="18">
      <c r="A4776" s="2712"/>
      <c r="B4776" s="371"/>
      <c r="C4776" s="371" t="s">
        <v>2755</v>
      </c>
      <c r="D4776" s="371"/>
      <c r="F4776" s="294"/>
      <c r="G4776" s="301"/>
      <c r="H4776" s="315"/>
      <c r="I4776" s="315"/>
      <c r="J4776" s="291"/>
      <c r="K4776" s="291"/>
      <c r="L4776" s="291"/>
      <c r="M4776" s="291"/>
      <c r="S4776" s="364"/>
      <c r="Z4776" s="609" t="s">
        <v>4269</v>
      </c>
      <c r="AA4776" s="609" t="s">
        <v>5707</v>
      </c>
    </row>
    <row r="4777" spans="1:29" ht="17.25">
      <c r="A4777" s="2713">
        <v>6181</v>
      </c>
      <c r="B4777" s="371">
        <v>67</v>
      </c>
      <c r="C4777" s="2714" t="str">
        <f>VLOOKUP($A4777,Sheet_Items,2,0)</f>
        <v>其他收益</v>
      </c>
      <c r="D4777" s="371"/>
      <c r="E4777" s="2714" t="s">
        <v>2739</v>
      </c>
      <c r="F4777" s="371"/>
      <c r="G4777" s="305" t="str">
        <f>B4777&amp;" "&amp;C4777</f>
        <v>67 其他收益</v>
      </c>
      <c r="H4777" s="306"/>
      <c r="I4777" s="306"/>
      <c r="J4777" s="306" t="s">
        <v>4206</v>
      </c>
      <c r="K4777" s="341">
        <f>VLOOKUP($A4777,Sheet_Trialbal,6,0)</f>
        <v>143120</v>
      </c>
      <c r="L4777" s="342"/>
      <c r="M4777" s="306" t="s">
        <v>4207</v>
      </c>
      <c r="N4777" s="341">
        <f>VLOOKUP($A4777,Sheet_Trialbal,10,0)</f>
        <v>15000</v>
      </c>
      <c r="O4777" s="342"/>
      <c r="P4777" s="301"/>
      <c r="S4777" s="364"/>
      <c r="Z4777" s="609" t="s">
        <v>4278</v>
      </c>
      <c r="AA4777" s="609" t="s">
        <v>5708</v>
      </c>
    </row>
    <row r="4778" spans="1:29" ht="18">
      <c r="A4778" s="2712" t="s">
        <v>1891</v>
      </c>
      <c r="B4778" s="371">
        <v>1</v>
      </c>
      <c r="C4778" s="371"/>
      <c r="D4778" s="2714" t="str">
        <f>VLOOKUP($A4778,Sheet_NoteList,2,0)</f>
        <v>其他收益明细项目</v>
      </c>
      <c r="E4778" s="2714" t="s">
        <v>2742</v>
      </c>
      <c r="F4778" s="371"/>
      <c r="G4778" s="372" t="str">
        <f>"("&amp;B4778&amp;")"&amp;D4778</f>
        <v>(1)其他收益明细项目</v>
      </c>
      <c r="H4778" s="1515" t="str">
        <f>$A4778</f>
        <v>6181a</v>
      </c>
      <c r="I4778" s="343" t="s">
        <v>2743</v>
      </c>
      <c r="J4778" s="301" t="s">
        <v>4210</v>
      </c>
      <c r="K4778" s="2208">
        <f>H4790</f>
        <v>143120</v>
      </c>
      <c r="L4778" s="349" t="str">
        <f>IF($I4778="适用",IF(ROUND(K$4777-K4778,2)=0,"F/S",ROUND(K$4777-K4778,2)),"#N/A")</f>
        <v>F/S</v>
      </c>
      <c r="M4778" s="301" t="s">
        <v>4211</v>
      </c>
      <c r="N4778" s="2208">
        <f>I4790</f>
        <v>15000</v>
      </c>
      <c r="O4778" s="349" t="str">
        <f>IF($I4778="适用",IF(ROUND(N$4777-N4778,2)=0,"F/S",ROUND(N$4777-N4778,2)),"#N/A")</f>
        <v>F/S</v>
      </c>
      <c r="P4778" s="301"/>
      <c r="S4778" s="364"/>
      <c r="Z4778" s="609" t="s">
        <v>4278</v>
      </c>
      <c r="AA4778" s="609" t="s">
        <v>5708</v>
      </c>
    </row>
    <row r="4779" spans="1:29" ht="0.75" customHeight="1" thickBot="1">
      <c r="A4779" s="2712"/>
      <c r="B4779" s="371"/>
      <c r="C4779" s="371"/>
      <c r="D4779" s="2714"/>
      <c r="E4779" s="586"/>
      <c r="F4779" s="586"/>
      <c r="G4779" s="2222" t="s">
        <v>4279</v>
      </c>
      <c r="H4779" s="371" t="s">
        <v>4223</v>
      </c>
      <c r="I4779" s="371" t="s">
        <v>4224</v>
      </c>
      <c r="J4779" s="371" t="s">
        <v>3671</v>
      </c>
      <c r="K4779" s="391"/>
      <c r="L4779" s="349"/>
      <c r="M4779" s="301"/>
      <c r="N4779" s="391"/>
      <c r="O4779" s="349"/>
      <c r="P4779" s="301"/>
      <c r="S4779" s="364"/>
      <c r="Z4779" s="609" t="s">
        <v>4278</v>
      </c>
      <c r="AA4779" s="609" t="s">
        <v>5708</v>
      </c>
    </row>
    <row r="4780" spans="1:29" ht="24">
      <c r="A4780" s="2712"/>
      <c r="B4780" s="371"/>
      <c r="C4780" s="371"/>
      <c r="D4780" s="2714"/>
      <c r="E4780" s="586" t="s">
        <v>2749</v>
      </c>
      <c r="F4780" s="586"/>
      <c r="G4780" s="2447" t="s">
        <v>4280</v>
      </c>
      <c r="H4780" s="2443" t="str">
        <f>$V$4</f>
        <v>2019年度</v>
      </c>
      <c r="I4780" s="2443" t="str">
        <f>$V$5</f>
        <v>2018年度</v>
      </c>
      <c r="J4780" s="2442" t="s">
        <v>6088</v>
      </c>
      <c r="K4780" s="355" t="s">
        <v>5330</v>
      </c>
      <c r="L4780" s="349"/>
      <c r="M4780" s="301"/>
      <c r="N4780" s="391"/>
      <c r="O4780" s="349"/>
      <c r="P4780" s="301"/>
      <c r="S4780" s="364"/>
      <c r="Z4780" s="609" t="s">
        <v>4278</v>
      </c>
      <c r="AA4780" s="609" t="s">
        <v>5708</v>
      </c>
    </row>
    <row r="4781" spans="1:29" ht="18">
      <c r="A4781" s="2712"/>
      <c r="B4781" s="371">
        <v>101</v>
      </c>
      <c r="C4781" s="371"/>
      <c r="D4781" s="2714">
        <f t="shared" ref="D4781:D4790" si="527">IF(OR(G4781="*",G4781="",G4781=0),0,COUNTIF($G$4781:$G$4790,G4781))</f>
        <v>1</v>
      </c>
      <c r="E4781" s="2719">
        <v>1</v>
      </c>
      <c r="F4781" s="371"/>
      <c r="G4781" s="1472" t="s">
        <v>4281</v>
      </c>
      <c r="H4781" s="1474">
        <f>SUM(H4782:H4785)</f>
        <v>143120</v>
      </c>
      <c r="I4781" s="1474">
        <f>SUM(I4782:I4785)</f>
        <v>15000</v>
      </c>
      <c r="J4781" s="2274"/>
      <c r="L4781" s="2673"/>
      <c r="M4781" s="2670" t="s">
        <v>6359</v>
      </c>
      <c r="N4781" s="2671" t="s">
        <v>6360</v>
      </c>
      <c r="O4781" s="349"/>
      <c r="P4781" s="301"/>
      <c r="S4781" s="364"/>
      <c r="Z4781" s="609" t="s">
        <v>4278</v>
      </c>
      <c r="AA4781" s="609" t="s">
        <v>5708</v>
      </c>
    </row>
    <row r="4782" spans="1:29" ht="24">
      <c r="A4782" s="2712"/>
      <c r="B4782" s="371">
        <v>102</v>
      </c>
      <c r="C4782" s="371"/>
      <c r="D4782" s="2714">
        <f t="shared" si="527"/>
        <v>1</v>
      </c>
      <c r="E4782" s="2719">
        <v>0</v>
      </c>
      <c r="F4782" s="371"/>
      <c r="G4782" s="1472" t="s">
        <v>4282</v>
      </c>
      <c r="H4782" s="2273"/>
      <c r="I4782" s="2273"/>
      <c r="J4782" s="2274" t="s">
        <v>4283</v>
      </c>
      <c r="K4782" s="1531" t="str">
        <f ca="1">HYPERLINK("#'"&amp;$G$1&amp;"'!"&amp;ADDRESS(ROW(Notes!H4794),COLUMN(Notes!H4794),4),"* 请勿删除此行！点击往勾稽单元格，F5+Enter返回")</f>
        <v>* 请勿删除此行！点击往勾稽单元格，F5+Enter返回</v>
      </c>
      <c r="L4782" s="2673"/>
      <c r="M4782" s="1602"/>
      <c r="N4782" s="2671" t="s">
        <v>6361</v>
      </c>
      <c r="O4782" s="349"/>
      <c r="P4782" s="301"/>
      <c r="S4782" s="364"/>
      <c r="Z4782" s="609" t="s">
        <v>4278</v>
      </c>
      <c r="AA4782" s="609" t="s">
        <v>5708</v>
      </c>
      <c r="AC4782" s="369" t="s">
        <v>2794</v>
      </c>
    </row>
    <row r="4783" spans="1:29" ht="24">
      <c r="A4783" s="2712"/>
      <c r="B4783" s="371">
        <v>103</v>
      </c>
      <c r="C4783" s="371"/>
      <c r="D4783" s="2714">
        <f t="shared" si="527"/>
        <v>1</v>
      </c>
      <c r="E4783" s="2719">
        <v>0</v>
      </c>
      <c r="F4783" s="371"/>
      <c r="G4783" s="603" t="s">
        <v>4284</v>
      </c>
      <c r="H4783" s="2273">
        <v>143120</v>
      </c>
      <c r="I4783" s="2273">
        <v>15000</v>
      </c>
      <c r="J4783" s="2274" t="s">
        <v>4285</v>
      </c>
      <c r="K4783" s="1531" t="str">
        <f ca="1">HYPERLINK("#'"&amp;$G$1&amp;"'!"&amp;ADDRESS(ROW(Notes!H4795),COLUMN(Notes!H4795),4),"* 请勿删除此行！点击往勾稽单元格，F5+Enter返回")</f>
        <v>* 请勿删除此行！点击往勾稽单元格，F5+Enter返回</v>
      </c>
      <c r="L4783" s="349"/>
      <c r="M4783" s="301"/>
      <c r="N4783" s="391"/>
      <c r="O4783" s="349"/>
      <c r="P4783" s="301"/>
      <c r="S4783" s="364"/>
      <c r="Z4783" s="609" t="s">
        <v>4278</v>
      </c>
      <c r="AA4783" s="609" t="s">
        <v>5708</v>
      </c>
      <c r="AC4783" s="369" t="s">
        <v>2794</v>
      </c>
    </row>
    <row r="4784" spans="1:29" ht="24">
      <c r="A4784" s="2712"/>
      <c r="B4784" s="371">
        <v>104</v>
      </c>
      <c r="C4784" s="371"/>
      <c r="D4784" s="2714">
        <f t="shared" si="527"/>
        <v>1</v>
      </c>
      <c r="E4784" s="2719">
        <v>0</v>
      </c>
      <c r="F4784" s="371"/>
      <c r="G4784" s="603" t="s">
        <v>4286</v>
      </c>
      <c r="H4784" s="2273"/>
      <c r="I4784" s="2273"/>
      <c r="J4784" s="2274"/>
      <c r="K4784" s="391"/>
      <c r="L4784" s="349"/>
      <c r="M4784" s="301"/>
      <c r="N4784" s="391"/>
      <c r="O4784" s="349"/>
      <c r="P4784" s="301"/>
      <c r="S4784" s="364"/>
      <c r="Z4784" s="609" t="s">
        <v>4278</v>
      </c>
      <c r="AA4784" s="609" t="s">
        <v>5708</v>
      </c>
    </row>
    <row r="4785" spans="1:27" ht="18">
      <c r="A4785" s="2712"/>
      <c r="B4785" s="371">
        <v>105</v>
      </c>
      <c r="C4785" s="371" t="s">
        <v>2791</v>
      </c>
      <c r="D4785" s="2714">
        <f t="shared" si="527"/>
        <v>0</v>
      </c>
      <c r="E4785" s="2719">
        <v>0</v>
      </c>
      <c r="F4785" s="371"/>
      <c r="G4785" s="2446" t="s">
        <v>2792</v>
      </c>
      <c r="H4785" s="2273"/>
      <c r="I4785" s="2273"/>
      <c r="J4785" s="2274"/>
      <c r="K4785" s="391"/>
      <c r="L4785" s="349"/>
      <c r="M4785" s="301"/>
      <c r="N4785" s="391"/>
      <c r="O4785" s="349"/>
      <c r="P4785" s="301"/>
      <c r="S4785" s="364"/>
      <c r="Z4785" s="609" t="s">
        <v>4278</v>
      </c>
      <c r="AA4785" s="609" t="s">
        <v>5708</v>
      </c>
    </row>
    <row r="4786" spans="1:27" ht="24">
      <c r="A4786" s="2712"/>
      <c r="B4786" s="371">
        <v>106</v>
      </c>
      <c r="C4786" s="371"/>
      <c r="D4786" s="2714">
        <f t="shared" si="527"/>
        <v>1</v>
      </c>
      <c r="E4786" s="2719">
        <v>1</v>
      </c>
      <c r="F4786" s="371"/>
      <c r="G4786" s="1472" t="s">
        <v>6144</v>
      </c>
      <c r="H4786" s="1474">
        <f>SUM(H4787:H4789)</f>
        <v>0</v>
      </c>
      <c r="I4786" s="1474">
        <f>SUM(I4787:I4789)</f>
        <v>0</v>
      </c>
      <c r="J4786" s="2274"/>
      <c r="K4786" s="391"/>
      <c r="L4786" s="349"/>
      <c r="M4786" s="301"/>
      <c r="N4786" s="391"/>
      <c r="O4786" s="349"/>
      <c r="P4786" s="301"/>
      <c r="S4786" s="364"/>
      <c r="Z4786" s="609" t="s">
        <v>4278</v>
      </c>
      <c r="AA4786" s="609" t="s">
        <v>5708</v>
      </c>
    </row>
    <row r="4787" spans="1:27" ht="18">
      <c r="A4787" s="2712"/>
      <c r="B4787" s="371">
        <v>107</v>
      </c>
      <c r="C4787" s="371"/>
      <c r="D4787" s="2714">
        <f t="shared" si="527"/>
        <v>1</v>
      </c>
      <c r="E4787" s="2719">
        <v>0</v>
      </c>
      <c r="F4787" s="371"/>
      <c r="G4787" s="1472" t="s">
        <v>4287</v>
      </c>
      <c r="H4787" s="2273"/>
      <c r="I4787" s="2273"/>
      <c r="J4787" s="2274"/>
      <c r="K4787" s="391"/>
      <c r="L4787" s="349"/>
      <c r="M4787" s="301"/>
      <c r="N4787" s="391"/>
      <c r="O4787" s="349"/>
      <c r="P4787" s="301"/>
      <c r="S4787" s="364"/>
      <c r="Z4787" s="609" t="s">
        <v>4278</v>
      </c>
      <c r="AA4787" s="609" t="s">
        <v>5708</v>
      </c>
    </row>
    <row r="4788" spans="1:27" ht="18">
      <c r="A4788" s="2712"/>
      <c r="B4788" s="371">
        <v>108</v>
      </c>
      <c r="C4788" s="371" t="s">
        <v>2791</v>
      </c>
      <c r="D4788" s="2714">
        <f t="shared" si="527"/>
        <v>0</v>
      </c>
      <c r="E4788" s="2719">
        <v>0</v>
      </c>
      <c r="F4788" s="371"/>
      <c r="G4788" s="2446" t="s">
        <v>2792</v>
      </c>
      <c r="H4788" s="2273"/>
      <c r="I4788" s="2273"/>
      <c r="J4788" s="2274"/>
      <c r="K4788" s="391"/>
      <c r="L4788" s="349"/>
      <c r="M4788" s="301"/>
      <c r="N4788" s="391"/>
      <c r="O4788" s="349"/>
      <c r="P4788" s="301"/>
      <c r="S4788" s="364"/>
      <c r="Z4788" s="609" t="s">
        <v>4278</v>
      </c>
      <c r="AA4788" s="609" t="s">
        <v>5708</v>
      </c>
    </row>
    <row r="4789" spans="1:27" ht="18">
      <c r="A4789" s="2712"/>
      <c r="B4789" s="371">
        <v>109</v>
      </c>
      <c r="C4789" s="371" t="s">
        <v>2791</v>
      </c>
      <c r="D4789" s="2714">
        <f t="shared" si="527"/>
        <v>0</v>
      </c>
      <c r="E4789" s="2719">
        <v>0</v>
      </c>
      <c r="F4789" s="371"/>
      <c r="G4789" s="2446" t="s">
        <v>2792</v>
      </c>
      <c r="H4789" s="2273"/>
      <c r="I4789" s="2273"/>
      <c r="J4789" s="2274"/>
      <c r="K4789" s="391"/>
      <c r="L4789" s="349"/>
      <c r="M4789" s="301"/>
      <c r="N4789" s="391"/>
      <c r="O4789" s="349"/>
      <c r="P4789" s="301"/>
      <c r="S4789" s="364"/>
      <c r="Z4789" s="609" t="s">
        <v>4278</v>
      </c>
      <c r="AA4789" s="609" t="s">
        <v>5708</v>
      </c>
    </row>
    <row r="4790" spans="1:27" ht="18.75" thickBot="1">
      <c r="A4790" s="2712"/>
      <c r="B4790" s="371"/>
      <c r="C4790" s="371"/>
      <c r="D4790" s="2714">
        <f t="shared" si="527"/>
        <v>1</v>
      </c>
      <c r="E4790" s="2719" t="s">
        <v>2751</v>
      </c>
      <c r="F4790" s="371"/>
      <c r="G4790" s="374" t="s">
        <v>2752</v>
      </c>
      <c r="H4790" s="1476">
        <f>SUMPRODUCT($E4780:$E4789,H4780:H4789)</f>
        <v>143120</v>
      </c>
      <c r="I4790" s="1476">
        <f>SUMPRODUCT($E4780:$E4789,I4780:I4789)</f>
        <v>15000</v>
      </c>
      <c r="J4790" s="2258"/>
      <c r="K4790" s="391"/>
      <c r="L4790" s="349"/>
      <c r="M4790" s="301"/>
      <c r="N4790" s="391"/>
      <c r="O4790" s="349"/>
      <c r="P4790" s="301"/>
      <c r="S4790" s="364"/>
      <c r="Z4790" s="609" t="s">
        <v>4278</v>
      </c>
      <c r="AA4790" s="609" t="s">
        <v>5708</v>
      </c>
    </row>
    <row r="4791" spans="1:27" ht="18.75" thickBot="1">
      <c r="A4791" s="2712"/>
      <c r="B4791" s="371"/>
      <c r="C4791" s="371" t="s">
        <v>2755</v>
      </c>
      <c r="D4791" s="2714"/>
      <c r="F4791" s="371"/>
      <c r="G4791" s="376"/>
      <c r="H4791" s="527" t="s">
        <v>3002</v>
      </c>
      <c r="I4791" s="2251"/>
      <c r="J4791" s="393"/>
      <c r="K4791" s="391"/>
      <c r="L4791" s="349"/>
      <c r="M4791" s="301"/>
      <c r="N4791" s="391"/>
      <c r="O4791" s="349"/>
      <c r="P4791" s="301"/>
      <c r="S4791" s="364"/>
      <c r="Z4791" s="609" t="s">
        <v>4278</v>
      </c>
      <c r="AA4791" s="609" t="s">
        <v>5708</v>
      </c>
    </row>
    <row r="4792" spans="1:27" ht="18.75" thickTop="1">
      <c r="A4792" s="2712"/>
      <c r="B4792" s="371"/>
      <c r="C4792" s="371" t="s">
        <v>2565</v>
      </c>
      <c r="D4792" s="2714"/>
      <c r="F4792" s="371"/>
      <c r="G4792" s="1547" t="s">
        <v>5365</v>
      </c>
      <c r="H4792" s="1548" t="str">
        <f>G4271</f>
        <v>(2)递延收益（涉及政府补助的项目）</v>
      </c>
      <c r="I4792" s="1550"/>
      <c r="J4792" s="1549"/>
      <c r="K4792" s="1551" t="s">
        <v>5366</v>
      </c>
      <c r="L4792" s="349"/>
      <c r="M4792" s="301"/>
      <c r="N4792" s="391"/>
      <c r="O4792" s="349"/>
      <c r="P4792" s="301"/>
      <c r="S4792" s="364"/>
      <c r="Z4792" s="609" t="s">
        <v>4278</v>
      </c>
      <c r="AA4792" s="609" t="s">
        <v>5708</v>
      </c>
    </row>
    <row r="4793" spans="1:27" ht="18">
      <c r="A4793" s="2712"/>
      <c r="B4793" s="371"/>
      <c r="C4793" s="371" t="s">
        <v>2565</v>
      </c>
      <c r="D4793" s="2714"/>
      <c r="F4793" s="371"/>
      <c r="G4793" s="604" t="str">
        <f>"注释A:"&amp; G4279</f>
        <v>注释A:合       计</v>
      </c>
      <c r="H4793" s="2250">
        <f ca="1">HYPERLINK("#'"&amp;$G$1&amp;"'!"&amp;ADDRESS(ROW(Notes!K4279),COLUMN(Notes!K4279),4),K4279)</f>
        <v>0</v>
      </c>
      <c r="I4793" s="456"/>
      <c r="J4793" s="351"/>
      <c r="K4793" s="2630" t="str">
        <f>H4271</f>
        <v>2401b</v>
      </c>
      <c r="L4793" s="349"/>
      <c r="M4793" s="301"/>
      <c r="N4793" s="391"/>
      <c r="O4793" s="349"/>
      <c r="P4793" s="301"/>
      <c r="S4793" s="364"/>
      <c r="Z4793" s="609" t="s">
        <v>4278</v>
      </c>
      <c r="AA4793" s="609" t="s">
        <v>5708</v>
      </c>
    </row>
    <row r="4794" spans="1:27" ht="36">
      <c r="A4794" s="2712"/>
      <c r="B4794" s="371"/>
      <c r="C4794" s="371" t="s">
        <v>2565</v>
      </c>
      <c r="D4794" s="2714"/>
      <c r="F4794" s="371"/>
      <c r="G4794" s="604" t="str">
        <f>"本注释B:"&amp; G4782</f>
        <v>本注释B:其中：与递延收益相关的政府补助（与资产相关）</v>
      </c>
      <c r="H4794" s="2250">
        <f ca="1">HYPERLINK("#'"&amp;$G$1&amp;"'!"&amp;ADDRESS(ROW(Notes!H4782),COLUMN(Notes!H4782),4),H4782)</f>
        <v>0</v>
      </c>
      <c r="I4794" s="456"/>
      <c r="J4794" s="351"/>
      <c r="K4794" s="2636" t="s">
        <v>1891</v>
      </c>
      <c r="L4794" s="349"/>
      <c r="M4794" s="301"/>
      <c r="N4794" s="391"/>
      <c r="O4794" s="349"/>
      <c r="P4794" s="301"/>
      <c r="S4794" s="364"/>
      <c r="Z4794" s="609" t="s">
        <v>4278</v>
      </c>
      <c r="AA4794" s="609" t="s">
        <v>5708</v>
      </c>
    </row>
    <row r="4795" spans="1:27" ht="36">
      <c r="A4795" s="2712"/>
      <c r="B4795" s="371"/>
      <c r="C4795" s="371" t="s">
        <v>2565</v>
      </c>
      <c r="D4795" s="2714"/>
      <c r="F4795" s="371"/>
      <c r="G4795" s="604" t="str">
        <f>"加：本注释B:"&amp; G4783</f>
        <v>加：本注释B:与递延收益相关的政府补助（与收益相关）</v>
      </c>
      <c r="H4795" s="2250">
        <f ca="1">HYPERLINK("#'"&amp;$G$1&amp;"'!"&amp;ADDRESS(ROW(Notes!H4783),COLUMN(Notes!H4783),4),H4783)</f>
        <v>143120</v>
      </c>
      <c r="I4795" s="456"/>
      <c r="J4795" s="351"/>
      <c r="K4795" s="2636" t="s">
        <v>1891</v>
      </c>
      <c r="L4795" s="349"/>
      <c r="M4795" s="301"/>
      <c r="N4795" s="391"/>
      <c r="O4795" s="349"/>
      <c r="P4795" s="301"/>
      <c r="S4795" s="364"/>
      <c r="Z4795" s="609" t="s">
        <v>4278</v>
      </c>
      <c r="AA4795" s="609" t="s">
        <v>5708</v>
      </c>
    </row>
    <row r="4796" spans="1:27" ht="18.75" thickBot="1">
      <c r="A4796" s="2712"/>
      <c r="B4796" s="371"/>
      <c r="C4796" s="371" t="s">
        <v>2565</v>
      </c>
      <c r="D4796" s="2714"/>
      <c r="F4796" s="371"/>
      <c r="G4796" s="1552" t="s">
        <v>2757</v>
      </c>
      <c r="H4796" s="1529">
        <f ca="1">IF(AND(H4793="",H4795=""),"",ROUND(H4793-H4795-H4794,2))</f>
        <v>-143120</v>
      </c>
      <c r="I4796" s="1529"/>
      <c r="J4796" s="1553"/>
      <c r="K4796" s="1553"/>
      <c r="L4796" s="349"/>
      <c r="M4796" s="301"/>
      <c r="N4796" s="391"/>
      <c r="O4796" s="349"/>
      <c r="P4796" s="301"/>
      <c r="S4796" s="364"/>
      <c r="Z4796" s="609" t="s">
        <v>4278</v>
      </c>
      <c r="AA4796" s="609" t="s">
        <v>5708</v>
      </c>
    </row>
    <row r="4797" spans="1:27" ht="18.75" thickTop="1">
      <c r="A4797" s="2712"/>
      <c r="B4797" s="371"/>
      <c r="C4797" s="371" t="s">
        <v>2565</v>
      </c>
      <c r="D4797" s="2714"/>
      <c r="F4797" s="371"/>
      <c r="G4797" s="1543"/>
      <c r="H4797" s="459" t="str">
        <f ca="1">IF(OR(H4796=0,H4796=""),"√","？")</f>
        <v>？</v>
      </c>
      <c r="I4797" s="461"/>
      <c r="J4797" s="317"/>
      <c r="K4797" s="317"/>
      <c r="L4797" s="349"/>
      <c r="M4797" s="301"/>
      <c r="N4797" s="391"/>
      <c r="O4797" s="349"/>
      <c r="P4797" s="301"/>
      <c r="S4797" s="364"/>
      <c r="Z4797" s="609" t="s">
        <v>4278</v>
      </c>
      <c r="AA4797" s="609" t="s">
        <v>5708</v>
      </c>
    </row>
    <row r="4798" spans="1:27" ht="18">
      <c r="A4798" s="2712"/>
      <c r="B4798" s="371"/>
      <c r="C4798" s="371" t="s">
        <v>2565</v>
      </c>
      <c r="D4798" s="2714"/>
      <c r="F4798" s="371"/>
      <c r="G4798" s="1557" t="s">
        <v>2759</v>
      </c>
      <c r="H4798" s="461"/>
      <c r="I4798" s="461"/>
      <c r="J4798" s="317"/>
      <c r="K4798" s="352">
        <f ca="1">SUMIF($H$4797:$K$4797,"&lt;&gt;√",$H$4796:$K$4796)</f>
        <v>-143120</v>
      </c>
      <c r="L4798" s="475" t="str">
        <f ca="1">IF(OR(K4798=0,K4798=""),"√","？")</f>
        <v>？</v>
      </c>
      <c r="M4798" s="301"/>
      <c r="N4798" s="391"/>
      <c r="O4798" s="349"/>
      <c r="P4798" s="301"/>
      <c r="S4798" s="364"/>
      <c r="Z4798" s="609" t="s">
        <v>4278</v>
      </c>
      <c r="AA4798" s="609" t="s">
        <v>5708</v>
      </c>
    </row>
    <row r="4799" spans="1:27" ht="18">
      <c r="A4799" s="2712"/>
      <c r="B4799" s="371"/>
      <c r="C4799" s="371" t="s">
        <v>2565</v>
      </c>
      <c r="D4799" s="2714"/>
      <c r="F4799" s="371"/>
      <c r="G4799" s="1543"/>
      <c r="H4799" s="461"/>
      <c r="I4799" s="461"/>
      <c r="J4799" s="317"/>
      <c r="K4799" s="317"/>
      <c r="L4799" s="349"/>
      <c r="M4799" s="301"/>
      <c r="N4799" s="391"/>
      <c r="O4799" s="349"/>
      <c r="P4799" s="301"/>
      <c r="S4799" s="364"/>
      <c r="Z4799" s="609" t="s">
        <v>4278</v>
      </c>
      <c r="AA4799" s="609" t="s">
        <v>5708</v>
      </c>
    </row>
    <row r="4800" spans="1:27" ht="18">
      <c r="A4800" s="2712">
        <v>6111</v>
      </c>
      <c r="B4800" s="371">
        <v>68</v>
      </c>
      <c r="C4800" s="2714" t="str">
        <f>VLOOKUP($A4800,Sheet_Items,2,0)</f>
        <v>投资收益</v>
      </c>
      <c r="D4800" s="371"/>
      <c r="E4800" s="2714" t="s">
        <v>2739</v>
      </c>
      <c r="F4800" s="294"/>
      <c r="G4800" s="305" t="str">
        <f>B4800&amp;" "&amp;C4800</f>
        <v>68 投资收益</v>
      </c>
      <c r="H4800" s="306"/>
      <c r="I4800" s="306"/>
      <c r="J4800" s="306" t="s">
        <v>4206</v>
      </c>
      <c r="K4800" s="341">
        <f>VLOOKUP($A4800,Sheet_Trialbal,6,0)</f>
        <v>0</v>
      </c>
      <c r="L4800" s="342"/>
      <c r="M4800" s="306" t="s">
        <v>4207</v>
      </c>
      <c r="N4800" s="341">
        <f>VLOOKUP($A4800,Sheet_Trialbal,10,0)</f>
        <v>300300</v>
      </c>
      <c r="O4800" s="306"/>
      <c r="P4800" s="301"/>
      <c r="S4800" s="364"/>
      <c r="Z4800" s="609" t="s">
        <v>4288</v>
      </c>
      <c r="AA4800" s="609" t="s">
        <v>5709</v>
      </c>
    </row>
    <row r="4801" spans="1:27" ht="18">
      <c r="A4801" s="2712" t="s">
        <v>1885</v>
      </c>
      <c r="B4801" s="371">
        <v>1</v>
      </c>
      <c r="C4801" s="371"/>
      <c r="D4801" s="2714" t="str">
        <f>VLOOKUP($A4801,Sheet_NoteList,2,0)</f>
        <v>投资收益明细项目</v>
      </c>
      <c r="E4801" s="2714" t="s">
        <v>2742</v>
      </c>
      <c r="F4801" s="294"/>
      <c r="G4801" s="307" t="str">
        <f>"("&amp;B4801&amp;")"&amp;D4801</f>
        <v>(1)投资收益明细项目</v>
      </c>
      <c r="H4801" s="1515" t="str">
        <f>$A4801</f>
        <v>6111a</v>
      </c>
      <c r="I4801" s="343" t="s">
        <v>2743</v>
      </c>
      <c r="J4801" s="301" t="s">
        <v>4210</v>
      </c>
      <c r="K4801" s="2208">
        <f>H4820</f>
        <v>0</v>
      </c>
      <c r="L4801" s="345" t="str">
        <f>IF($I4801="适用",IF(ROUND(K4800-K4801,2)=0,"F/S",ROUND(K4800-K4801,2)),"#N/A")</f>
        <v>F/S</v>
      </c>
      <c r="M4801" s="301" t="s">
        <v>4211</v>
      </c>
      <c r="N4801" s="2208">
        <f>I4820</f>
        <v>0</v>
      </c>
      <c r="O4801" s="345">
        <f>IF($I4801="适用",IF(ROUND(N4800-N4801,2)=0,"F/S",ROUND(N4800-N4801,2)),"#N/A")</f>
        <v>300300</v>
      </c>
      <c r="P4801" s="301"/>
      <c r="Q4801" s="290" t="str">
        <f>IF($I4801="不适用","",IF(ROUND(SUM($H$4804:$I$4820),2)=0,"请输入",""))</f>
        <v>请输入</v>
      </c>
      <c r="S4801" s="364"/>
      <c r="Z4801" s="609" t="s">
        <v>4288</v>
      </c>
      <c r="AA4801" s="609" t="s">
        <v>5709</v>
      </c>
    </row>
    <row r="4802" spans="1:27" ht="0.75" customHeight="1" thickBot="1">
      <c r="A4802" s="2712"/>
      <c r="B4802" s="371"/>
      <c r="C4802" s="371"/>
      <c r="D4802" s="371"/>
      <c r="F4802" s="294"/>
      <c r="G4802" s="294" t="s">
        <v>4289</v>
      </c>
      <c r="H4802" s="294" t="s">
        <v>4223</v>
      </c>
      <c r="I4802" s="294" t="s">
        <v>4224</v>
      </c>
      <c r="J4802" s="291"/>
      <c r="K4802" s="291"/>
      <c r="L4802" s="291"/>
      <c r="M4802" s="291"/>
      <c r="S4802" s="364"/>
      <c r="Z4802" s="609" t="s">
        <v>4288</v>
      </c>
      <c r="AA4802" s="609" t="s">
        <v>5709</v>
      </c>
    </row>
    <row r="4803" spans="1:27" ht="18">
      <c r="A4803" s="2712"/>
      <c r="B4803" s="371"/>
      <c r="C4803" s="371"/>
      <c r="D4803" s="371"/>
      <c r="E4803" s="2714" t="s">
        <v>2749</v>
      </c>
      <c r="F4803" s="294"/>
      <c r="G4803" s="378" t="s">
        <v>47</v>
      </c>
      <c r="H4803" s="398" t="str">
        <f>$V$4</f>
        <v>2019年度</v>
      </c>
      <c r="I4803" s="511" t="str">
        <f>$V$5</f>
        <v>2018年度</v>
      </c>
      <c r="J4803" s="355" t="s">
        <v>5331</v>
      </c>
      <c r="K4803" s="291"/>
      <c r="L4803" s="291"/>
      <c r="M4803" s="291"/>
      <c r="S4803" s="364"/>
      <c r="Z4803" s="609" t="s">
        <v>4288</v>
      </c>
      <c r="AA4803" s="609" t="s">
        <v>5709</v>
      </c>
    </row>
    <row r="4804" spans="1:27" ht="24">
      <c r="A4804" s="2712"/>
      <c r="B4804" s="371">
        <v>101</v>
      </c>
      <c r="C4804" s="371"/>
      <c r="D4804" s="2714">
        <f t="shared" ref="D4804:D4820" si="528">IF(OR(G4804="*",G4804="",G4804=0),0,COUNTIF($G$4804:$G$4820,G4804))</f>
        <v>1</v>
      </c>
      <c r="E4804" s="2719">
        <v>1</v>
      </c>
      <c r="F4804" s="294"/>
      <c r="G4804" s="380" t="s">
        <v>4290</v>
      </c>
      <c r="H4804" s="383"/>
      <c r="I4804" s="401"/>
      <c r="J4804" s="291"/>
      <c r="K4804" s="355" t="s">
        <v>6358</v>
      </c>
      <c r="L4804" s="2675" t="s">
        <v>6365</v>
      </c>
      <c r="M4804" s="291"/>
      <c r="S4804" s="364"/>
      <c r="Z4804" s="609" t="s">
        <v>4288</v>
      </c>
      <c r="AA4804" s="609" t="s">
        <v>5709</v>
      </c>
    </row>
    <row r="4805" spans="1:27" ht="24">
      <c r="A4805" s="2712"/>
      <c r="B4805" s="371">
        <v>102</v>
      </c>
      <c r="C4805" s="371"/>
      <c r="D4805" s="2714">
        <f t="shared" si="528"/>
        <v>1</v>
      </c>
      <c r="E4805" s="2719">
        <v>1</v>
      </c>
      <c r="F4805" s="294"/>
      <c r="G4805" s="380" t="s">
        <v>4291</v>
      </c>
      <c r="H4805" s="383"/>
      <c r="I4805" s="401"/>
      <c r="J4805" s="291"/>
      <c r="K4805" s="291"/>
      <c r="L4805" s="291"/>
      <c r="M4805" s="291"/>
      <c r="S4805" s="364"/>
      <c r="Z4805" s="609" t="s">
        <v>4288</v>
      </c>
      <c r="AA4805" s="609" t="s">
        <v>5709</v>
      </c>
    </row>
    <row r="4806" spans="1:27" ht="36">
      <c r="A4806" s="2712"/>
      <c r="B4806" s="371">
        <v>103</v>
      </c>
      <c r="C4806" s="371"/>
      <c r="D4806" s="2714">
        <f t="shared" si="528"/>
        <v>1</v>
      </c>
      <c r="E4806" s="2719">
        <v>1</v>
      </c>
      <c r="F4806" s="294"/>
      <c r="G4806" s="380" t="s">
        <v>4292</v>
      </c>
      <c r="H4806" s="2327">
        <v>0</v>
      </c>
      <c r="I4806" s="401"/>
      <c r="J4806" s="291"/>
      <c r="K4806" s="291"/>
      <c r="L4806" s="291"/>
      <c r="M4806" s="291"/>
      <c r="S4806" s="364"/>
      <c r="Z4806" s="609" t="s">
        <v>4288</v>
      </c>
      <c r="AA4806" s="609" t="s">
        <v>5709</v>
      </c>
    </row>
    <row r="4807" spans="1:27" ht="36">
      <c r="A4807" s="2712"/>
      <c r="B4807" s="371">
        <v>104</v>
      </c>
      <c r="C4807" s="371"/>
      <c r="D4807" s="2714">
        <f t="shared" si="528"/>
        <v>1</v>
      </c>
      <c r="E4807" s="2719">
        <v>1</v>
      </c>
      <c r="F4807" s="294"/>
      <c r="G4807" s="380" t="s">
        <v>4293</v>
      </c>
      <c r="H4807" s="2327">
        <v>0</v>
      </c>
      <c r="I4807" s="401"/>
      <c r="J4807" s="291"/>
      <c r="K4807" s="291"/>
      <c r="L4807" s="291"/>
      <c r="M4807" s="291"/>
      <c r="S4807" s="364"/>
      <c r="Z4807" s="609" t="s">
        <v>4288</v>
      </c>
      <c r="AA4807" s="609" t="s">
        <v>5709</v>
      </c>
    </row>
    <row r="4808" spans="1:27" ht="24">
      <c r="A4808" s="2712"/>
      <c r="B4808" s="371">
        <v>105</v>
      </c>
      <c r="C4808" s="371"/>
      <c r="D4808" s="2714">
        <f t="shared" si="528"/>
        <v>1</v>
      </c>
      <c r="E4808" s="2719">
        <v>1</v>
      </c>
      <c r="F4808" s="294"/>
      <c r="G4808" s="380" t="s">
        <v>4294</v>
      </c>
      <c r="H4808" s="2327">
        <v>0</v>
      </c>
      <c r="I4808" s="401"/>
      <c r="J4808" s="291"/>
      <c r="K4808" s="291"/>
      <c r="L4808" s="291"/>
      <c r="M4808" s="291"/>
      <c r="S4808" s="364"/>
      <c r="Z4808" s="609" t="s">
        <v>4288</v>
      </c>
      <c r="AA4808" s="609" t="s">
        <v>5709</v>
      </c>
    </row>
    <row r="4809" spans="1:27" ht="24">
      <c r="A4809" s="2712"/>
      <c r="B4809" s="371">
        <v>106</v>
      </c>
      <c r="C4809" s="371"/>
      <c r="D4809" s="2714">
        <f t="shared" si="528"/>
        <v>1</v>
      </c>
      <c r="E4809" s="2719">
        <v>1</v>
      </c>
      <c r="F4809" s="294"/>
      <c r="G4809" s="380" t="s">
        <v>4295</v>
      </c>
      <c r="H4809" s="2327">
        <v>0</v>
      </c>
      <c r="I4809" s="401"/>
      <c r="J4809" s="291"/>
      <c r="K4809" s="291"/>
      <c r="L4809" s="291"/>
      <c r="M4809" s="291"/>
      <c r="S4809" s="364"/>
      <c r="Z4809" s="609" t="s">
        <v>4288</v>
      </c>
      <c r="AA4809" s="609" t="s">
        <v>5709</v>
      </c>
    </row>
    <row r="4810" spans="1:27" ht="24">
      <c r="A4810" s="2712"/>
      <c r="B4810" s="371">
        <v>107</v>
      </c>
      <c r="C4810" s="371"/>
      <c r="D4810" s="2714">
        <f t="shared" si="528"/>
        <v>1</v>
      </c>
      <c r="E4810" s="2719">
        <v>1</v>
      </c>
      <c r="F4810" s="294"/>
      <c r="G4810" s="380" t="s">
        <v>4296</v>
      </c>
      <c r="H4810" s="2327">
        <v>0</v>
      </c>
      <c r="I4810" s="401"/>
      <c r="J4810" s="291"/>
      <c r="K4810" s="291"/>
      <c r="L4810" s="291"/>
      <c r="M4810" s="291"/>
      <c r="S4810" s="364"/>
      <c r="Z4810" s="609" t="s">
        <v>4288</v>
      </c>
      <c r="AA4810" s="609" t="s">
        <v>5709</v>
      </c>
    </row>
    <row r="4811" spans="1:27" ht="24">
      <c r="A4811" s="2712"/>
      <c r="B4811" s="371">
        <v>108</v>
      </c>
      <c r="C4811" s="371"/>
      <c r="D4811" s="2714">
        <f t="shared" si="528"/>
        <v>1</v>
      </c>
      <c r="E4811" s="2719">
        <v>1</v>
      </c>
      <c r="F4811" s="294"/>
      <c r="G4811" s="380" t="s">
        <v>4297</v>
      </c>
      <c r="H4811" s="383"/>
      <c r="I4811" s="401"/>
      <c r="J4811" s="291"/>
      <c r="K4811" s="291"/>
      <c r="L4811" s="291"/>
      <c r="M4811" s="291"/>
      <c r="S4811" s="364"/>
      <c r="Z4811" s="609" t="s">
        <v>4288</v>
      </c>
      <c r="AA4811" s="609" t="s">
        <v>5709</v>
      </c>
    </row>
    <row r="4812" spans="1:27" ht="24">
      <c r="A4812" s="2712"/>
      <c r="B4812" s="371">
        <v>109</v>
      </c>
      <c r="C4812" s="371"/>
      <c r="D4812" s="2714">
        <f t="shared" si="528"/>
        <v>1</v>
      </c>
      <c r="E4812" s="2719">
        <v>1</v>
      </c>
      <c r="F4812" s="294"/>
      <c r="G4812" s="380" t="s">
        <v>4298</v>
      </c>
      <c r="H4812" s="383"/>
      <c r="I4812" s="1498">
        <v>0</v>
      </c>
      <c r="J4812" s="291"/>
      <c r="K4812" s="291"/>
      <c r="L4812" s="291"/>
      <c r="M4812" s="291"/>
      <c r="S4812" s="364"/>
      <c r="Z4812" s="609" t="s">
        <v>4288</v>
      </c>
      <c r="AA4812" s="609" t="s">
        <v>5709</v>
      </c>
    </row>
    <row r="4813" spans="1:27" ht="24">
      <c r="A4813" s="2712"/>
      <c r="B4813" s="371">
        <v>110</v>
      </c>
      <c r="C4813" s="371"/>
      <c r="D4813" s="2714">
        <f t="shared" si="528"/>
        <v>1</v>
      </c>
      <c r="E4813" s="2719">
        <v>1</v>
      </c>
      <c r="F4813" s="294"/>
      <c r="G4813" s="409" t="s">
        <v>4299</v>
      </c>
      <c r="H4813" s="383"/>
      <c r="I4813" s="1498">
        <v>0</v>
      </c>
      <c r="J4813" s="291"/>
      <c r="K4813" s="291"/>
      <c r="L4813" s="291"/>
      <c r="M4813" s="291"/>
      <c r="S4813" s="364"/>
      <c r="Z4813" s="609" t="s">
        <v>4288</v>
      </c>
      <c r="AA4813" s="609" t="s">
        <v>5709</v>
      </c>
    </row>
    <row r="4814" spans="1:27" ht="24">
      <c r="A4814" s="2712"/>
      <c r="B4814" s="371">
        <v>111</v>
      </c>
      <c r="C4814" s="371"/>
      <c r="D4814" s="2714">
        <f t="shared" si="528"/>
        <v>1</v>
      </c>
      <c r="E4814" s="2719">
        <v>1</v>
      </c>
      <c r="F4814" s="294"/>
      <c r="G4814" s="409" t="s">
        <v>4300</v>
      </c>
      <c r="H4814" s="383"/>
      <c r="I4814" s="1498">
        <v>0</v>
      </c>
      <c r="J4814" s="291"/>
      <c r="K4814" s="291"/>
      <c r="L4814" s="291"/>
      <c r="M4814" s="291"/>
      <c r="S4814" s="364"/>
      <c r="Z4814" s="609" t="s">
        <v>4288</v>
      </c>
      <c r="AA4814" s="609" t="s">
        <v>5709</v>
      </c>
    </row>
    <row r="4815" spans="1:27" ht="24">
      <c r="A4815" s="2712"/>
      <c r="B4815" s="371">
        <v>112</v>
      </c>
      <c r="C4815" s="371"/>
      <c r="D4815" s="2714">
        <f t="shared" si="528"/>
        <v>1</v>
      </c>
      <c r="E4815" s="2719">
        <v>1</v>
      </c>
      <c r="F4815" s="294"/>
      <c r="G4815" s="409" t="s">
        <v>4301</v>
      </c>
      <c r="H4815" s="383"/>
      <c r="I4815" s="1498">
        <v>0</v>
      </c>
      <c r="J4815" s="291"/>
      <c r="K4815" s="291"/>
      <c r="L4815" s="291"/>
      <c r="M4815" s="291"/>
      <c r="S4815" s="364"/>
      <c r="Z4815" s="609" t="s">
        <v>4288</v>
      </c>
      <c r="AA4815" s="609" t="s">
        <v>5709</v>
      </c>
    </row>
    <row r="4816" spans="1:27" ht="24">
      <c r="A4816" s="2712"/>
      <c r="B4816" s="371">
        <v>113</v>
      </c>
      <c r="C4816" s="371"/>
      <c r="D4816" s="2714">
        <f t="shared" si="528"/>
        <v>1</v>
      </c>
      <c r="E4816" s="2719">
        <v>1</v>
      </c>
      <c r="F4816" s="294"/>
      <c r="G4816" s="409" t="s">
        <v>4302</v>
      </c>
      <c r="H4816" s="383"/>
      <c r="I4816" s="1498">
        <v>0</v>
      </c>
      <c r="J4816" s="291"/>
      <c r="K4816" s="291"/>
      <c r="L4816" s="291"/>
      <c r="M4816" s="291"/>
      <c r="S4816" s="364"/>
      <c r="Z4816" s="609" t="s">
        <v>4288</v>
      </c>
      <c r="AA4816" s="609" t="s">
        <v>5709</v>
      </c>
    </row>
    <row r="4817" spans="1:27" ht="24">
      <c r="A4817" s="2712"/>
      <c r="B4817" s="371">
        <v>114</v>
      </c>
      <c r="C4817" s="371"/>
      <c r="D4817" s="2714">
        <f t="shared" si="528"/>
        <v>1</v>
      </c>
      <c r="E4817" s="2719">
        <v>1</v>
      </c>
      <c r="F4817" s="294"/>
      <c r="G4817" s="380" t="s">
        <v>4303</v>
      </c>
      <c r="H4817" s="383"/>
      <c r="I4817" s="1498">
        <v>0</v>
      </c>
      <c r="J4817" s="291"/>
      <c r="K4817" s="291"/>
      <c r="L4817" s="291"/>
      <c r="M4817" s="291"/>
      <c r="S4817" s="364"/>
      <c r="Z4817" s="609" t="s">
        <v>4288</v>
      </c>
      <c r="AA4817" s="609" t="s">
        <v>5709</v>
      </c>
    </row>
    <row r="4818" spans="1:27" ht="24">
      <c r="A4818" s="2712"/>
      <c r="B4818" s="371">
        <v>115</v>
      </c>
      <c r="C4818" s="371"/>
      <c r="D4818" s="2714">
        <f t="shared" si="528"/>
        <v>1</v>
      </c>
      <c r="E4818" s="2719">
        <v>1</v>
      </c>
      <c r="F4818" s="294"/>
      <c r="G4818" s="380" t="s">
        <v>4304</v>
      </c>
      <c r="H4818" s="383"/>
      <c r="I4818" s="1498">
        <v>0</v>
      </c>
      <c r="J4818" s="291"/>
      <c r="K4818" s="291"/>
      <c r="L4818" s="291"/>
      <c r="M4818" s="291"/>
      <c r="S4818" s="364"/>
      <c r="Z4818" s="609" t="s">
        <v>4288</v>
      </c>
      <c r="AA4818" s="609" t="s">
        <v>5709</v>
      </c>
    </row>
    <row r="4819" spans="1:27" ht="18">
      <c r="A4819" s="2712"/>
      <c r="B4819" s="371">
        <v>116</v>
      </c>
      <c r="C4819" s="371" t="s">
        <v>2791</v>
      </c>
      <c r="D4819" s="2714">
        <f t="shared" si="528"/>
        <v>0</v>
      </c>
      <c r="E4819" s="2719">
        <v>1</v>
      </c>
      <c r="F4819" s="294"/>
      <c r="G4819" s="409" t="s">
        <v>2792</v>
      </c>
      <c r="H4819" s="383"/>
      <c r="I4819" s="401"/>
      <c r="J4819" s="291"/>
      <c r="K4819" s="291"/>
      <c r="L4819" s="291"/>
      <c r="M4819" s="291"/>
      <c r="S4819" s="364"/>
      <c r="Z4819" s="609" t="s">
        <v>4288</v>
      </c>
      <c r="AA4819" s="609" t="s">
        <v>5709</v>
      </c>
    </row>
    <row r="4820" spans="1:27" ht="18.75" thickBot="1">
      <c r="A4820" s="2712"/>
      <c r="B4820" s="371"/>
      <c r="C4820" s="371"/>
      <c r="D4820" s="2714">
        <f t="shared" si="528"/>
        <v>1</v>
      </c>
      <c r="E4820" s="2719" t="s">
        <v>2751</v>
      </c>
      <c r="F4820" s="294"/>
      <c r="G4820" s="403" t="s">
        <v>2752</v>
      </c>
      <c r="H4820" s="404">
        <f>SUMPRODUCT($E4803:$E4819,H4803:H4819)</f>
        <v>0</v>
      </c>
      <c r="I4820" s="413">
        <f>SUMPRODUCT($E4803:$E4819,I4803:I4819)</f>
        <v>0</v>
      </c>
      <c r="J4820" s="291"/>
      <c r="K4820" s="291"/>
      <c r="L4820" s="291"/>
      <c r="M4820" s="291"/>
      <c r="S4820" s="364"/>
      <c r="Z4820" s="609" t="s">
        <v>4288</v>
      </c>
      <c r="AA4820" s="609" t="s">
        <v>5709</v>
      </c>
    </row>
    <row r="4821" spans="1:27" ht="18">
      <c r="A4821" s="2712"/>
      <c r="B4821" s="371"/>
      <c r="C4821" s="371" t="s">
        <v>2755</v>
      </c>
      <c r="D4821" s="2714"/>
      <c r="F4821" s="293"/>
      <c r="G4821" s="376"/>
      <c r="H4821" s="315"/>
      <c r="I4821" s="396"/>
      <c r="J4821" s="425"/>
      <c r="K4821" s="426"/>
      <c r="L4821" s="427"/>
      <c r="M4821" s="425"/>
      <c r="N4821" s="426"/>
      <c r="O4821" s="427"/>
      <c r="P4821" s="425"/>
      <c r="Q4821" s="442"/>
      <c r="R4821" s="443"/>
      <c r="S4821" s="364"/>
      <c r="Z4821" s="609" t="s">
        <v>4288</v>
      </c>
      <c r="AA4821" s="609" t="s">
        <v>5709</v>
      </c>
    </row>
    <row r="4822" spans="1:27" ht="17.25">
      <c r="A4822" s="2713">
        <v>6102</v>
      </c>
      <c r="B4822" s="371">
        <v>69</v>
      </c>
      <c r="C4822" s="2714" t="str">
        <f>VLOOKUP($A4822,Sheet_Items,2,0)</f>
        <v>净敞口套期收益</v>
      </c>
      <c r="D4822" s="371"/>
      <c r="E4822" s="2714" t="s">
        <v>2739</v>
      </c>
      <c r="F4822" s="293"/>
      <c r="G4822" s="305" t="str">
        <f>B4822&amp;" "&amp;C4822</f>
        <v>69 净敞口套期收益</v>
      </c>
      <c r="H4822" s="306"/>
      <c r="I4822" s="306"/>
      <c r="J4822" s="306" t="s">
        <v>4206</v>
      </c>
      <c r="K4822" s="341">
        <f>VLOOKUP($A4822,Sheet_Trialbal,6,0)</f>
        <v>0</v>
      </c>
      <c r="L4822" s="342"/>
      <c r="M4822" s="306" t="s">
        <v>4207</v>
      </c>
      <c r="N4822" s="341">
        <f>VLOOKUP($A4822,Sheet_Trialbal,10,0)</f>
        <v>0</v>
      </c>
      <c r="O4822" s="342"/>
      <c r="P4822" s="301"/>
      <c r="S4822" s="364"/>
      <c r="Z4822" s="609" t="s">
        <v>4305</v>
      </c>
      <c r="AA4822" s="609" t="s">
        <v>4306</v>
      </c>
    </row>
    <row r="4823" spans="1:27" ht="24">
      <c r="A4823" s="2712" t="s">
        <v>1882</v>
      </c>
      <c r="B4823" s="371">
        <v>1</v>
      </c>
      <c r="C4823" s="371"/>
      <c r="D4823" s="2714" t="str">
        <f>VLOOKUP($A4823,Sheet_NoteList,2,0)</f>
        <v>净敞口套期收益明细项目</v>
      </c>
      <c r="E4823" s="2714" t="s">
        <v>2742</v>
      </c>
      <c r="F4823" s="293"/>
      <c r="G4823" s="372" t="str">
        <f>"("&amp;B4823&amp;")"&amp;D4823</f>
        <v>(1)净敞口套期收益明细项目</v>
      </c>
      <c r="H4823" s="1515" t="str">
        <f>$A4823</f>
        <v>6102a</v>
      </c>
      <c r="I4823" s="343" t="s">
        <v>2743</v>
      </c>
      <c r="J4823" s="301" t="s">
        <v>4210</v>
      </c>
      <c r="K4823" s="2208">
        <f>H4834</f>
        <v>0</v>
      </c>
      <c r="L4823" s="349" t="str">
        <f>IF($I4823="适用",IF(ROUND(K$4822-K4823,2)=0,"F/S",ROUND(K$4822-K4823,2)),"#N/A")</f>
        <v>F/S</v>
      </c>
      <c r="M4823" s="301" t="s">
        <v>4211</v>
      </c>
      <c r="N4823" s="2208">
        <f>I4834</f>
        <v>0</v>
      </c>
      <c r="O4823" s="349" t="str">
        <f>IF($I4823="适用",IF(ROUND(N$4822-N4823,2)=0,"F/S",ROUND(N$4822-N4823,2)),"#N/A")</f>
        <v>F/S</v>
      </c>
      <c r="P4823" s="301"/>
      <c r="S4823" s="364"/>
      <c r="Z4823" s="609" t="s">
        <v>4305</v>
      </c>
      <c r="AA4823" s="609" t="s">
        <v>4306</v>
      </c>
    </row>
    <row r="4824" spans="1:27" ht="0.75" customHeight="1" thickBot="1">
      <c r="A4824" s="2712"/>
      <c r="B4824" s="371"/>
      <c r="C4824" s="371"/>
      <c r="D4824" s="2714"/>
      <c r="F4824" s="371"/>
      <c r="G4824" s="405" t="s">
        <v>4307</v>
      </c>
      <c r="H4824" s="371" t="s">
        <v>2747</v>
      </c>
      <c r="I4824" s="371" t="s">
        <v>2748</v>
      </c>
      <c r="J4824" s="433"/>
      <c r="K4824" s="428"/>
      <c r="L4824" s="428"/>
      <c r="M4824" s="433"/>
      <c r="N4824" s="428"/>
      <c r="O4824" s="428"/>
      <c r="P4824" s="433"/>
      <c r="Q4824" s="442"/>
      <c r="R4824" s="443"/>
      <c r="S4824" s="364"/>
      <c r="Z4824" s="609" t="s">
        <v>4305</v>
      </c>
      <c r="AA4824" s="609" t="s">
        <v>4306</v>
      </c>
    </row>
    <row r="4825" spans="1:27" ht="18">
      <c r="A4825" s="2712"/>
      <c r="B4825" s="371"/>
      <c r="C4825" s="371"/>
      <c r="D4825" s="2714"/>
      <c r="E4825" s="2714" t="s">
        <v>2749</v>
      </c>
      <c r="F4825" s="293"/>
      <c r="G4825" s="2303" t="s">
        <v>47</v>
      </c>
      <c r="H4825" s="2289" t="str">
        <f>$V$4</f>
        <v>2019年度</v>
      </c>
      <c r="I4825" s="2291" t="str">
        <f>$V$5</f>
        <v>2018年度</v>
      </c>
      <c r="J4825" s="355" t="s">
        <v>5332</v>
      </c>
      <c r="K4825" s="434"/>
      <c r="L4825" s="434"/>
      <c r="M4825" s="435"/>
      <c r="N4825" s="434"/>
      <c r="O4825" s="434"/>
      <c r="P4825" s="435"/>
      <c r="Q4825" s="442"/>
      <c r="R4825" s="443"/>
      <c r="S4825" s="364"/>
      <c r="Z4825" s="609" t="s">
        <v>4305</v>
      </c>
      <c r="AA4825" s="609" t="s">
        <v>4306</v>
      </c>
    </row>
    <row r="4826" spans="1:27" ht="18">
      <c r="A4826" s="2712"/>
      <c r="B4826" s="371">
        <v>101</v>
      </c>
      <c r="C4826" s="371" t="s">
        <v>2791</v>
      </c>
      <c r="D4826" s="2714">
        <f t="shared" ref="D4826:D4834" si="529">IF(OR(G4826="*",G4826="",G4826=0),0,COUNTIF($G$4826:$G$4834,G4826))</f>
        <v>0</v>
      </c>
      <c r="E4826" s="2719">
        <v>1</v>
      </c>
      <c r="F4826" s="293"/>
      <c r="G4826" s="319" t="s">
        <v>2792</v>
      </c>
      <c r="H4826" s="309"/>
      <c r="I4826" s="1473">
        <v>0</v>
      </c>
      <c r="J4826" s="438"/>
      <c r="K4826" s="439"/>
      <c r="L4826" s="437"/>
      <c r="M4826" s="438"/>
      <c r="N4826" s="439"/>
      <c r="O4826" s="437"/>
      <c r="P4826" s="438"/>
      <c r="Q4826" s="442"/>
      <c r="R4826" s="443"/>
      <c r="S4826" s="364"/>
      <c r="Z4826" s="609" t="s">
        <v>4305</v>
      </c>
      <c r="AA4826" s="609" t="s">
        <v>4306</v>
      </c>
    </row>
    <row r="4827" spans="1:27" ht="18">
      <c r="A4827" s="2712"/>
      <c r="B4827" s="371">
        <v>102</v>
      </c>
      <c r="C4827" s="371" t="s">
        <v>2791</v>
      </c>
      <c r="D4827" s="2714">
        <f t="shared" si="529"/>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8">
      <c r="A4828" s="2712"/>
      <c r="B4828" s="371">
        <v>103</v>
      </c>
      <c r="C4828" s="371" t="s">
        <v>2791</v>
      </c>
      <c r="D4828" s="2714">
        <f t="shared" si="529"/>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8">
      <c r="A4829" s="2712"/>
      <c r="B4829" s="371">
        <v>104</v>
      </c>
      <c r="C4829" s="371" t="s">
        <v>2791</v>
      </c>
      <c r="D4829" s="2714">
        <f t="shared" si="529"/>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8">
      <c r="A4830" s="2712"/>
      <c r="B4830" s="371">
        <v>105</v>
      </c>
      <c r="C4830" s="371" t="s">
        <v>2791</v>
      </c>
      <c r="D4830" s="2714">
        <f t="shared" si="529"/>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106</v>
      </c>
      <c r="C4831" s="371" t="s">
        <v>2791</v>
      </c>
      <c r="D4831" s="2714">
        <f t="shared" si="529"/>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
      <c r="A4832" s="2712"/>
      <c r="B4832" s="371">
        <v>107</v>
      </c>
      <c r="C4832" s="371" t="s">
        <v>2791</v>
      </c>
      <c r="D4832" s="2714">
        <f t="shared" si="529"/>
        <v>0</v>
      </c>
      <c r="E4832" s="2719">
        <v>1</v>
      </c>
      <c r="F4832" s="293"/>
      <c r="G4832" s="319" t="s">
        <v>2792</v>
      </c>
      <c r="H4832" s="309"/>
      <c r="I4832" s="1473">
        <v>0</v>
      </c>
      <c r="J4832" s="438"/>
      <c r="K4832" s="439"/>
      <c r="L4832" s="437"/>
      <c r="M4832" s="438"/>
      <c r="N4832" s="439"/>
      <c r="O4832" s="437"/>
      <c r="P4832" s="438"/>
      <c r="Q4832" s="442"/>
      <c r="R4832" s="443"/>
      <c r="S4832" s="364"/>
      <c r="Z4832" s="609" t="s">
        <v>4305</v>
      </c>
      <c r="AA4832" s="609" t="s">
        <v>4306</v>
      </c>
    </row>
    <row r="4833" spans="1:27" ht="18">
      <c r="A4833" s="2712"/>
      <c r="B4833" s="371">
        <v>108</v>
      </c>
      <c r="C4833" s="371" t="s">
        <v>2791</v>
      </c>
      <c r="D4833" s="2714">
        <f t="shared" si="529"/>
        <v>0</v>
      </c>
      <c r="E4833" s="2719">
        <v>1</v>
      </c>
      <c r="F4833" s="293"/>
      <c r="G4833" s="319" t="s">
        <v>2792</v>
      </c>
      <c r="H4833" s="309"/>
      <c r="I4833" s="1473">
        <v>0</v>
      </c>
      <c r="J4833" s="438"/>
      <c r="K4833" s="439"/>
      <c r="L4833" s="437"/>
      <c r="M4833" s="438"/>
      <c r="N4833" s="439"/>
      <c r="O4833" s="437"/>
      <c r="P4833" s="438"/>
      <c r="Q4833" s="442"/>
      <c r="R4833" s="443"/>
      <c r="S4833" s="364"/>
      <c r="Z4833" s="609" t="s">
        <v>4305</v>
      </c>
      <c r="AA4833" s="609" t="s">
        <v>4306</v>
      </c>
    </row>
    <row r="4834" spans="1:27" ht="18.75" thickBot="1">
      <c r="A4834" s="2712"/>
      <c r="B4834" s="371"/>
      <c r="C4834" s="371"/>
      <c r="D4834" s="2714">
        <f t="shared" si="529"/>
        <v>1</v>
      </c>
      <c r="E4834" s="2719" t="s">
        <v>2751</v>
      </c>
      <c r="F4834" s="293"/>
      <c r="G4834" s="2232" t="s">
        <v>2752</v>
      </c>
      <c r="H4834" s="2323">
        <f>SUMPRODUCT($E4825:$E4833,H4825:H4833)</f>
        <v>0</v>
      </c>
      <c r="I4834" s="2340">
        <f>SUMPRODUCT($E4825:$E4833,I4825:I4833)</f>
        <v>0</v>
      </c>
      <c r="J4834" s="440"/>
      <c r="K4834" s="439"/>
      <c r="L4834" s="437"/>
      <c r="M4834" s="440"/>
      <c r="N4834" s="439"/>
      <c r="O4834" s="437"/>
      <c r="P4834" s="440"/>
      <c r="Q4834" s="442"/>
      <c r="R4834" s="443"/>
      <c r="S4834" s="364"/>
      <c r="Z4834" s="609" t="s">
        <v>4305</v>
      </c>
      <c r="AA4834" s="609" t="s">
        <v>4306</v>
      </c>
    </row>
    <row r="4835" spans="1:27" ht="18">
      <c r="A4835" s="2712"/>
      <c r="B4835" s="371"/>
      <c r="C4835" s="371" t="s">
        <v>2755</v>
      </c>
      <c r="D4835" s="2714"/>
      <c r="F4835" s="293"/>
      <c r="G4835" s="376"/>
      <c r="H4835" s="315"/>
      <c r="I4835" s="396"/>
      <c r="J4835" s="425"/>
      <c r="K4835" s="426"/>
      <c r="L4835" s="427"/>
      <c r="M4835" s="425"/>
      <c r="N4835" s="426"/>
      <c r="O4835" s="427"/>
      <c r="P4835" s="425"/>
      <c r="Q4835" s="442"/>
      <c r="R4835" s="443"/>
      <c r="S4835" s="364"/>
      <c r="Z4835" s="609" t="s">
        <v>4305</v>
      </c>
      <c r="AA4835" s="609" t="s">
        <v>4306</v>
      </c>
    </row>
    <row r="4836" spans="1:27" ht="18">
      <c r="A4836" s="2712">
        <v>6101</v>
      </c>
      <c r="B4836" s="371">
        <v>70</v>
      </c>
      <c r="C4836" s="2714" t="str">
        <f>VLOOKUP($A4836,Sheet_Items,2,0)</f>
        <v>公允价值变动收益</v>
      </c>
      <c r="D4836" s="371"/>
      <c r="E4836" s="2714" t="s">
        <v>2739</v>
      </c>
      <c r="F4836" s="294"/>
      <c r="G4836" s="305" t="str">
        <f>B4836&amp;" "&amp;C4836</f>
        <v>70 公允价值变动收益</v>
      </c>
      <c r="H4836" s="306"/>
      <c r="I4836" s="306"/>
      <c r="J4836" s="306" t="s">
        <v>4206</v>
      </c>
      <c r="K4836" s="341">
        <f>VLOOKUP($A4836,Sheet_Trialbal,6,0)</f>
        <v>0</v>
      </c>
      <c r="L4836" s="342"/>
      <c r="M4836" s="306" t="s">
        <v>4207</v>
      </c>
      <c r="N4836" s="341">
        <f>VLOOKUP($A4836,Sheet_Trialbal,10,0)</f>
        <v>0</v>
      </c>
      <c r="O4836" s="306"/>
      <c r="P4836" s="301"/>
      <c r="S4836" s="364"/>
      <c r="Z4836" s="609" t="s">
        <v>4308</v>
      </c>
      <c r="AA4836" s="609" t="s">
        <v>5711</v>
      </c>
    </row>
    <row r="4837" spans="1:27" ht="24">
      <c r="A4837" s="2712" t="s">
        <v>6089</v>
      </c>
      <c r="B4837" s="371">
        <v>1</v>
      </c>
      <c r="C4837" s="371"/>
      <c r="D4837" s="2714" t="str">
        <f>VLOOKUP($A4837,Sheet_NoteList,2,0)</f>
        <v>公允价值变动收益明细项目列示</v>
      </c>
      <c r="E4837" s="2714" t="s">
        <v>6528</v>
      </c>
      <c r="F4837" s="293"/>
      <c r="G4837" s="372" t="str">
        <f>"("&amp;B4837&amp;")"&amp;D4837</f>
        <v>(1)公允价值变动收益明细项目列示</v>
      </c>
      <c r="H4837" s="1515" t="str">
        <f>$A4837</f>
        <v>6101b</v>
      </c>
      <c r="I4837" s="343" t="s">
        <v>6091</v>
      </c>
      <c r="J4837" s="301" t="s">
        <v>6092</v>
      </c>
      <c r="K4837" s="2208">
        <f>H4848</f>
        <v>0</v>
      </c>
      <c r="L4837" s="349" t="str">
        <f>IF($I4837="适用",IF(ROUND(K$4836-K4837,2)=0,"F/S",ROUND(K$4836-K4837,2)),"#N/A")</f>
        <v>F/S</v>
      </c>
      <c r="M4837" s="301" t="s">
        <v>6093</v>
      </c>
      <c r="N4837" s="2208">
        <f>I4848</f>
        <v>0</v>
      </c>
      <c r="O4837" s="349" t="str">
        <f>IF($I4837="适用",IF(ROUND(N$4836-N4837,2)=0,"F/S",ROUND(N$4836-N4837,2)),"#N/A")</f>
        <v>F/S</v>
      </c>
      <c r="P4837" s="301"/>
      <c r="S4837" s="364"/>
      <c r="Z4837" s="609" t="s">
        <v>4308</v>
      </c>
      <c r="AA4837" s="609" t="s">
        <v>5711</v>
      </c>
    </row>
    <row r="4838" spans="1:27" ht="0.75" customHeight="1" thickBot="1">
      <c r="A4838" s="2712"/>
      <c r="B4838" s="371"/>
      <c r="C4838" s="371"/>
      <c r="D4838" s="2714"/>
      <c r="E4838" s="586"/>
      <c r="F4838" s="586"/>
      <c r="G4838" s="2222" t="s">
        <v>6094</v>
      </c>
      <c r="H4838" s="1615" t="s">
        <v>4223</v>
      </c>
      <c r="I4838" s="371" t="s">
        <v>4224</v>
      </c>
      <c r="J4838" s="301"/>
      <c r="K4838" s="391"/>
      <c r="L4838" s="349"/>
      <c r="M4838" s="301"/>
      <c r="N4838" s="391"/>
      <c r="O4838" s="349"/>
      <c r="P4838" s="301"/>
      <c r="S4838" s="364"/>
      <c r="Z4838" s="609" t="s">
        <v>4308</v>
      </c>
      <c r="AA4838" s="609" t="s">
        <v>5711</v>
      </c>
    </row>
    <row r="4839" spans="1:27" ht="18">
      <c r="A4839" s="2712"/>
      <c r="B4839" s="371"/>
      <c r="C4839" s="371"/>
      <c r="D4839" s="2714"/>
      <c r="E4839" s="586" t="s">
        <v>2749</v>
      </c>
      <c r="F4839" s="414"/>
      <c r="G4839" s="2451" t="s">
        <v>1878</v>
      </c>
      <c r="H4839" s="2521" t="str">
        <f>$V$4</f>
        <v>2019年度</v>
      </c>
      <c r="I4839" s="2522" t="str">
        <f>$V$5</f>
        <v>2018年度</v>
      </c>
      <c r="J4839" s="355" t="s">
        <v>5333</v>
      </c>
      <c r="K4839" s="391"/>
      <c r="L4839" s="349"/>
      <c r="M4839" s="301"/>
      <c r="N4839" s="391"/>
      <c r="O4839" s="349"/>
      <c r="P4839" s="301"/>
      <c r="S4839" s="364"/>
      <c r="Z4839" s="609" t="s">
        <v>4308</v>
      </c>
      <c r="AA4839" s="609" t="s">
        <v>5711</v>
      </c>
    </row>
    <row r="4840" spans="1:27" ht="18">
      <c r="A4840" s="2712"/>
      <c r="B4840" s="371">
        <v>101</v>
      </c>
      <c r="C4840" s="371"/>
      <c r="D4840" s="2714">
        <f t="shared" ref="D4840:D4848" si="530">IF(OR(G4840="*",G4840="",G4840=0),0,COUNTIF($G$4840:$G$4848,G4840))</f>
        <v>1</v>
      </c>
      <c r="E4840" s="2719">
        <v>1</v>
      </c>
      <c r="F4840" s="294"/>
      <c r="G4840" s="1472" t="s">
        <v>71</v>
      </c>
      <c r="H4840" s="2273"/>
      <c r="I4840" s="2294"/>
      <c r="J4840" s="301"/>
      <c r="K4840" s="391"/>
      <c r="L4840" s="349"/>
      <c r="M4840" s="301"/>
      <c r="N4840" s="391"/>
      <c r="O4840" s="349"/>
      <c r="P4840" s="301"/>
      <c r="S4840" s="364"/>
      <c r="Z4840" s="609" t="s">
        <v>4308</v>
      </c>
      <c r="AA4840" s="609" t="s">
        <v>5711</v>
      </c>
    </row>
    <row r="4841" spans="1:27" ht="24">
      <c r="A4841" s="2712"/>
      <c r="B4841" s="371">
        <v>102</v>
      </c>
      <c r="C4841" s="371"/>
      <c r="D4841" s="2714">
        <f t="shared" si="530"/>
        <v>1</v>
      </c>
      <c r="E4841" s="2719">
        <v>0</v>
      </c>
      <c r="F4841" s="294"/>
      <c r="G4841" s="1472" t="s">
        <v>4310</v>
      </c>
      <c r="H4841" s="2273"/>
      <c r="I4841" s="2294"/>
      <c r="J4841" s="301"/>
      <c r="K4841" s="391"/>
      <c r="L4841" s="349"/>
      <c r="M4841" s="301"/>
      <c r="N4841" s="391"/>
      <c r="O4841" s="349"/>
      <c r="P4841" s="301"/>
      <c r="S4841" s="364"/>
      <c r="Z4841" s="609" t="s">
        <v>4308</v>
      </c>
      <c r="AA4841" s="609" t="s">
        <v>5711</v>
      </c>
    </row>
    <row r="4842" spans="1:27" ht="24">
      <c r="A4842" s="2712"/>
      <c r="B4842" s="371">
        <v>103</v>
      </c>
      <c r="C4842" s="371"/>
      <c r="D4842" s="2714">
        <f t="shared" si="530"/>
        <v>1</v>
      </c>
      <c r="E4842" s="2719">
        <v>1</v>
      </c>
      <c r="F4842" s="294"/>
      <c r="G4842" s="1472" t="s">
        <v>4311</v>
      </c>
      <c r="H4842" s="2273"/>
      <c r="I4842" s="2294"/>
      <c r="J4842" s="301"/>
      <c r="K4842" s="391"/>
      <c r="L4842" s="349"/>
      <c r="M4842" s="301"/>
      <c r="N4842" s="391"/>
      <c r="O4842" s="349"/>
      <c r="P4842" s="301"/>
      <c r="S4842" s="364"/>
      <c r="Z4842" s="609" t="s">
        <v>4308</v>
      </c>
      <c r="AA4842" s="609" t="s">
        <v>5711</v>
      </c>
    </row>
    <row r="4843" spans="1:27" ht="18">
      <c r="A4843" s="2712"/>
      <c r="B4843" s="371">
        <v>104</v>
      </c>
      <c r="C4843" s="371"/>
      <c r="D4843" s="2714">
        <f t="shared" si="530"/>
        <v>1</v>
      </c>
      <c r="E4843" s="2719">
        <v>1</v>
      </c>
      <c r="F4843" s="294"/>
      <c r="G4843" s="1472" t="s">
        <v>462</v>
      </c>
      <c r="H4843" s="2273"/>
      <c r="I4843" s="2294"/>
      <c r="J4843" s="301"/>
      <c r="K4843" s="391"/>
      <c r="L4843" s="349"/>
      <c r="M4843" s="301"/>
      <c r="N4843" s="391"/>
      <c r="O4843" s="349"/>
      <c r="P4843" s="301"/>
      <c r="S4843" s="364"/>
      <c r="Z4843" s="609" t="s">
        <v>4308</v>
      </c>
      <c r="AA4843" s="609" t="s">
        <v>5711</v>
      </c>
    </row>
    <row r="4844" spans="1:27" ht="24">
      <c r="A4844" s="2712"/>
      <c r="B4844" s="371">
        <v>105</v>
      </c>
      <c r="C4844" s="371"/>
      <c r="D4844" s="2714">
        <f t="shared" si="530"/>
        <v>1</v>
      </c>
      <c r="E4844" s="2719">
        <v>0</v>
      </c>
      <c r="F4844" s="294"/>
      <c r="G4844" s="1472" t="s">
        <v>4312</v>
      </c>
      <c r="H4844" s="2273"/>
      <c r="I4844" s="2294"/>
      <c r="J4844" s="301"/>
      <c r="K4844" s="391"/>
      <c r="L4844" s="349"/>
      <c r="M4844" s="301"/>
      <c r="N4844" s="391"/>
      <c r="O4844" s="349"/>
      <c r="P4844" s="301"/>
      <c r="S4844" s="364"/>
      <c r="Z4844" s="609" t="s">
        <v>4308</v>
      </c>
      <c r="AA4844" s="609" t="s">
        <v>5711</v>
      </c>
    </row>
    <row r="4845" spans="1:27" ht="24">
      <c r="A4845" s="2712"/>
      <c r="B4845" s="371">
        <v>106</v>
      </c>
      <c r="C4845" s="371"/>
      <c r="D4845" s="2714">
        <f t="shared" si="530"/>
        <v>1</v>
      </c>
      <c r="E4845" s="2719">
        <v>1</v>
      </c>
      <c r="F4845" s="294"/>
      <c r="G4845" s="1472" t="s">
        <v>4313</v>
      </c>
      <c r="H4845" s="2273"/>
      <c r="I4845" s="2294"/>
      <c r="J4845" s="301"/>
      <c r="K4845" s="391"/>
      <c r="L4845" s="349"/>
      <c r="M4845" s="301"/>
      <c r="N4845" s="391"/>
      <c r="O4845" s="349"/>
      <c r="P4845" s="301"/>
      <c r="S4845" s="364"/>
      <c r="Z4845" s="609" t="s">
        <v>4308</v>
      </c>
      <c r="AA4845" s="609" t="s">
        <v>5711</v>
      </c>
    </row>
    <row r="4846" spans="1:27" ht="18">
      <c r="A4846" s="2712"/>
      <c r="B4846" s="371">
        <v>107</v>
      </c>
      <c r="C4846" s="371"/>
      <c r="D4846" s="2714">
        <f t="shared" si="530"/>
        <v>1</v>
      </c>
      <c r="E4846" s="2719">
        <v>1</v>
      </c>
      <c r="F4846" s="294"/>
      <c r="G4846" s="1472" t="s">
        <v>329</v>
      </c>
      <c r="H4846" s="2273"/>
      <c r="I4846" s="2294"/>
      <c r="J4846" s="301"/>
      <c r="K4846" s="391"/>
      <c r="L4846" s="349"/>
      <c r="M4846" s="301"/>
      <c r="N4846" s="391"/>
      <c r="O4846" s="349"/>
      <c r="P4846" s="301"/>
      <c r="S4846" s="364"/>
      <c r="Z4846" s="609" t="s">
        <v>4308</v>
      </c>
      <c r="AA4846" s="609" t="s">
        <v>5711</v>
      </c>
    </row>
    <row r="4847" spans="1:27" ht="18">
      <c r="A4847" s="2712"/>
      <c r="B4847" s="371">
        <v>108</v>
      </c>
      <c r="C4847" s="371" t="s">
        <v>2791</v>
      </c>
      <c r="D4847" s="2714">
        <f t="shared" si="530"/>
        <v>0</v>
      </c>
      <c r="E4847" s="2719">
        <v>1</v>
      </c>
      <c r="F4847" s="294"/>
      <c r="G4847" s="2465" t="s">
        <v>2792</v>
      </c>
      <c r="H4847" s="2273"/>
      <c r="I4847" s="2294"/>
      <c r="J4847" s="301"/>
      <c r="K4847" s="391"/>
      <c r="L4847" s="349"/>
      <c r="M4847" s="301"/>
      <c r="N4847" s="391"/>
      <c r="O4847" s="349"/>
      <c r="P4847" s="301"/>
      <c r="S4847" s="364"/>
      <c r="Z4847" s="609" t="s">
        <v>4308</v>
      </c>
      <c r="AA4847" s="609" t="s">
        <v>5711</v>
      </c>
    </row>
    <row r="4848" spans="1:27" ht="18.75" thickBot="1">
      <c r="A4848" s="2712"/>
      <c r="B4848" s="371"/>
      <c r="C4848" s="371"/>
      <c r="D4848" s="2714">
        <f t="shared" si="530"/>
        <v>1</v>
      </c>
      <c r="E4848" s="2719" t="s">
        <v>2751</v>
      </c>
      <c r="F4848" s="293"/>
      <c r="G4848" s="2232" t="s">
        <v>2752</v>
      </c>
      <c r="H4848" s="2233">
        <f>SUMPRODUCT($E4839:$E4847,H4839:H4847)</f>
        <v>0</v>
      </c>
      <c r="I4848" s="2234">
        <f>SUMPRODUCT($E4839:$E4847,I4839:I4847)</f>
        <v>0</v>
      </c>
      <c r="J4848" s="301"/>
      <c r="K4848" s="391"/>
      <c r="L4848" s="349"/>
      <c r="M4848" s="301"/>
      <c r="N4848" s="391"/>
      <c r="O4848" s="349"/>
      <c r="P4848" s="301"/>
      <c r="S4848" s="364"/>
      <c r="Z4848" s="609" t="s">
        <v>4308</v>
      </c>
      <c r="AA4848" s="609" t="s">
        <v>5711</v>
      </c>
    </row>
    <row r="4849" spans="1:31" ht="18">
      <c r="A4849" s="2712"/>
      <c r="B4849" s="371"/>
      <c r="C4849" s="371" t="s">
        <v>2755</v>
      </c>
      <c r="D4849" s="2714"/>
      <c r="F4849" s="293"/>
      <c r="G4849" s="376"/>
      <c r="H4849" s="1574"/>
      <c r="I4849" s="396"/>
      <c r="J4849" s="301"/>
      <c r="K4849" s="391"/>
      <c r="L4849" s="349"/>
      <c r="M4849" s="301"/>
      <c r="N4849" s="391"/>
      <c r="O4849" s="349"/>
      <c r="P4849" s="301"/>
      <c r="S4849" s="364"/>
      <c r="Z4849" s="609" t="s">
        <v>4308</v>
      </c>
      <c r="AA4849" s="609" t="s">
        <v>5711</v>
      </c>
    </row>
    <row r="4850" spans="1:31" ht="24" hidden="1">
      <c r="A4850" s="2712" t="s">
        <v>1876</v>
      </c>
      <c r="B4850" s="371">
        <v>1</v>
      </c>
      <c r="C4850" s="371"/>
      <c r="D4850" s="2714" t="str">
        <f>VLOOKUP($A4850,Sheet_NoteList,2,0)</f>
        <v>公允价值变动收益明细项目</v>
      </c>
      <c r="E4850" s="2714" t="s">
        <v>6629</v>
      </c>
      <c r="F4850" s="294"/>
      <c r="G4850" s="372" t="str">
        <f>"("&amp;B4850&amp;")"&amp;D4850</f>
        <v>(1)公允价值变动收益明细项目</v>
      </c>
      <c r="H4850" s="1515" t="str">
        <f>$A4850</f>
        <v>6101a</v>
      </c>
      <c r="I4850" s="343" t="s">
        <v>6628</v>
      </c>
      <c r="J4850" s="301" t="s">
        <v>6630</v>
      </c>
      <c r="K4850" s="344">
        <f>H4861</f>
        <v>0</v>
      </c>
      <c r="L4850" s="345" t="str">
        <f>IF($I4850="适用",IF(ROUND(K4836-K4850,2)=0,"F/S",ROUND(K4836-K4850,2)),"#N/A")</f>
        <v>#N/A</v>
      </c>
      <c r="M4850" s="301" t="s">
        <v>6631</v>
      </c>
      <c r="N4850" s="344">
        <f>I4861</f>
        <v>0</v>
      </c>
      <c r="O4850" s="345" t="str">
        <f>IF($I4850="适用",IF(ROUND(N4836-N4850,2)=0,"F/S",ROUND(N4836-N4850,2)),"#N/A")</f>
        <v>#N/A</v>
      </c>
      <c r="P4850" s="301"/>
      <c r="Q4850" s="290" t="str">
        <f>IF($I4850="不适用","",IF(ROUND(SUM($H$4853:$I$4861),2)=0,"请输入",""))</f>
        <v/>
      </c>
      <c r="S4850" s="364"/>
      <c r="Z4850" s="609" t="s">
        <v>4308</v>
      </c>
      <c r="AA4850" s="609" t="s">
        <v>5711</v>
      </c>
      <c r="AE4850" s="369" t="s">
        <v>2761</v>
      </c>
    </row>
    <row r="4851" spans="1:31" ht="0.75" hidden="1" customHeight="1" thickBot="1">
      <c r="A4851" s="2712"/>
      <c r="B4851" s="371"/>
      <c r="C4851" s="371"/>
      <c r="D4851" s="371"/>
      <c r="E4851" s="586"/>
      <c r="F4851" s="586"/>
      <c r="G4851" s="586" t="s">
        <v>4309</v>
      </c>
      <c r="H4851" s="371" t="s">
        <v>4223</v>
      </c>
      <c r="I4851" s="371" t="s">
        <v>4224</v>
      </c>
      <c r="J4851" s="291"/>
      <c r="K4851" s="291"/>
      <c r="L4851" s="291"/>
      <c r="M4851" s="291"/>
      <c r="S4851" s="364"/>
      <c r="Z4851" s="609" t="s">
        <v>4308</v>
      </c>
      <c r="AA4851" s="609" t="s">
        <v>5711</v>
      </c>
      <c r="AE4851" s="369" t="s">
        <v>2761</v>
      </c>
    </row>
    <row r="4852" spans="1:31" ht="18" hidden="1">
      <c r="A4852" s="2712"/>
      <c r="B4852" s="371"/>
      <c r="C4852" s="371"/>
      <c r="D4852" s="371"/>
      <c r="E4852" s="586" t="s">
        <v>2749</v>
      </c>
      <c r="F4852" s="363"/>
      <c r="G4852" s="2567" t="s">
        <v>1878</v>
      </c>
      <c r="H4852" s="2555" t="s">
        <v>4242</v>
      </c>
      <c r="I4852" s="2570" t="s">
        <v>4245</v>
      </c>
      <c r="J4852" s="2450" t="s">
        <v>5988</v>
      </c>
      <c r="K4852" s="291"/>
      <c r="L4852" s="291"/>
      <c r="M4852" s="291"/>
      <c r="S4852" s="364"/>
      <c r="Z4852" s="609" t="s">
        <v>4308</v>
      </c>
      <c r="AA4852" s="609" t="s">
        <v>5711</v>
      </c>
      <c r="AE4852" s="369" t="s">
        <v>2761</v>
      </c>
    </row>
    <row r="4853" spans="1:31" ht="24" hidden="1">
      <c r="A4853" s="2712"/>
      <c r="B4853" s="371">
        <v>101</v>
      </c>
      <c r="C4853" s="371"/>
      <c r="D4853" s="2714">
        <f t="shared" ref="D4853:D4861" si="531">IF(OR(G4853="*",G4853="",G4853=0),0,COUNTIF($G$4853:$G$4861,G4853))</f>
        <v>1</v>
      </c>
      <c r="E4853" s="2719">
        <v>1</v>
      </c>
      <c r="F4853" s="294"/>
      <c r="G4853" s="1472" t="s">
        <v>6096</v>
      </c>
      <c r="H4853" s="2273"/>
      <c r="I4853" s="2294"/>
      <c r="J4853" s="291"/>
      <c r="K4853" s="291"/>
      <c r="L4853" s="291"/>
      <c r="M4853" s="291"/>
      <c r="S4853" s="364"/>
      <c r="Z4853" s="609" t="s">
        <v>4308</v>
      </c>
      <c r="AA4853" s="609" t="s">
        <v>5711</v>
      </c>
      <c r="AE4853" s="369" t="s">
        <v>2761</v>
      </c>
    </row>
    <row r="4854" spans="1:31" ht="24" hidden="1">
      <c r="A4854" s="2712"/>
      <c r="B4854" s="371">
        <v>102</v>
      </c>
      <c r="C4854" s="371"/>
      <c r="D4854" s="2714">
        <f t="shared" si="531"/>
        <v>1</v>
      </c>
      <c r="E4854" s="2719">
        <v>0</v>
      </c>
      <c r="F4854" s="294"/>
      <c r="G4854" s="1472" t="s">
        <v>6097</v>
      </c>
      <c r="H4854" s="2273"/>
      <c r="I4854" s="2294"/>
      <c r="J4854" s="291"/>
      <c r="K4854" s="291"/>
      <c r="L4854" s="291"/>
      <c r="M4854" s="291"/>
      <c r="S4854" s="364"/>
      <c r="Z4854" s="609" t="s">
        <v>4308</v>
      </c>
      <c r="AA4854" s="609" t="s">
        <v>5711</v>
      </c>
      <c r="AE4854" s="369" t="s">
        <v>2761</v>
      </c>
    </row>
    <row r="4855" spans="1:31" ht="24" hidden="1">
      <c r="A4855" s="2712"/>
      <c r="B4855" s="371">
        <v>103</v>
      </c>
      <c r="C4855" s="371"/>
      <c r="D4855" s="2714">
        <f t="shared" si="531"/>
        <v>1</v>
      </c>
      <c r="E4855" s="2719">
        <v>1</v>
      </c>
      <c r="F4855" s="294"/>
      <c r="G4855" s="1472" t="s">
        <v>6098</v>
      </c>
      <c r="H4855" s="2273"/>
      <c r="I4855" s="2294"/>
      <c r="J4855" s="291"/>
      <c r="K4855" s="291"/>
      <c r="L4855" s="291"/>
      <c r="M4855" s="291"/>
      <c r="S4855" s="364"/>
      <c r="Z4855" s="609" t="s">
        <v>4308</v>
      </c>
      <c r="AA4855" s="609" t="s">
        <v>5711</v>
      </c>
      <c r="AE4855" s="369" t="s">
        <v>2761</v>
      </c>
    </row>
    <row r="4856" spans="1:31" ht="24" hidden="1">
      <c r="A4856" s="2712"/>
      <c r="B4856" s="371">
        <v>104</v>
      </c>
      <c r="C4856" s="371"/>
      <c r="D4856" s="2714">
        <f t="shared" si="531"/>
        <v>1</v>
      </c>
      <c r="E4856" s="2719">
        <v>1</v>
      </c>
      <c r="F4856" s="294"/>
      <c r="G4856" s="1472" t="s">
        <v>4313</v>
      </c>
      <c r="H4856" s="2273"/>
      <c r="I4856" s="2294"/>
      <c r="J4856" s="291"/>
      <c r="K4856" s="291"/>
      <c r="L4856" s="291"/>
      <c r="M4856" s="291"/>
      <c r="S4856" s="364"/>
      <c r="Z4856" s="609" t="s">
        <v>4308</v>
      </c>
      <c r="AA4856" s="609" t="s">
        <v>5711</v>
      </c>
      <c r="AE4856" s="369" t="s">
        <v>2761</v>
      </c>
    </row>
    <row r="4857" spans="1:31" ht="18" hidden="1">
      <c r="A4857" s="2712"/>
      <c r="B4857" s="371">
        <v>105</v>
      </c>
      <c r="C4857" s="371"/>
      <c r="D4857" s="2714">
        <f t="shared" si="531"/>
        <v>1</v>
      </c>
      <c r="E4857" s="2719">
        <v>1</v>
      </c>
      <c r="F4857" s="294"/>
      <c r="G4857" s="1472" t="s">
        <v>6095</v>
      </c>
      <c r="H4857" s="2273"/>
      <c r="I4857" s="2294"/>
      <c r="J4857" s="291"/>
      <c r="K4857" s="291"/>
      <c r="L4857" s="291"/>
      <c r="M4857" s="291"/>
      <c r="S4857" s="364"/>
      <c r="Z4857" s="609" t="s">
        <v>4308</v>
      </c>
      <c r="AA4857" s="609" t="s">
        <v>5711</v>
      </c>
      <c r="AE4857" s="369" t="s">
        <v>2761</v>
      </c>
    </row>
    <row r="4858" spans="1:31" ht="18" hidden="1">
      <c r="A4858" s="2712"/>
      <c r="B4858" s="371">
        <v>106</v>
      </c>
      <c r="C4858" s="371"/>
      <c r="D4858" s="2714">
        <f t="shared" si="531"/>
        <v>1</v>
      </c>
      <c r="E4858" s="2719">
        <v>1</v>
      </c>
      <c r="F4858" s="294"/>
      <c r="G4858" s="1472" t="s">
        <v>932</v>
      </c>
      <c r="H4858" s="2273"/>
      <c r="I4858" s="2294"/>
      <c r="J4858" s="291"/>
      <c r="K4858" s="291"/>
      <c r="L4858" s="291"/>
      <c r="M4858" s="291"/>
      <c r="S4858" s="364"/>
      <c r="Z4858" s="609" t="s">
        <v>4308</v>
      </c>
      <c r="AA4858" s="609" t="s">
        <v>5711</v>
      </c>
      <c r="AE4858" s="369" t="s">
        <v>2761</v>
      </c>
    </row>
    <row r="4859" spans="1:31" ht="18" hidden="1">
      <c r="A4859" s="2712"/>
      <c r="B4859" s="371">
        <v>107</v>
      </c>
      <c r="C4859" s="371" t="s">
        <v>2791</v>
      </c>
      <c r="D4859" s="2714">
        <f t="shared" si="531"/>
        <v>0</v>
      </c>
      <c r="E4859" s="2719">
        <v>1</v>
      </c>
      <c r="F4859" s="294"/>
      <c r="G4859" s="2465" t="s">
        <v>5144</v>
      </c>
      <c r="H4859" s="2273"/>
      <c r="I4859" s="2294"/>
      <c r="J4859" s="291"/>
      <c r="K4859" s="291"/>
      <c r="L4859" s="291"/>
      <c r="M4859" s="291"/>
      <c r="S4859" s="364"/>
      <c r="Z4859" s="609" t="s">
        <v>4308</v>
      </c>
      <c r="AA4859" s="609" t="s">
        <v>5711</v>
      </c>
      <c r="AE4859" s="369" t="s">
        <v>2761</v>
      </c>
    </row>
    <row r="4860" spans="1:31" ht="18" hidden="1">
      <c r="A4860" s="2712"/>
      <c r="B4860" s="371">
        <v>108</v>
      </c>
      <c r="C4860" s="371" t="s">
        <v>2791</v>
      </c>
      <c r="D4860" s="2714">
        <f t="shared" si="531"/>
        <v>0</v>
      </c>
      <c r="E4860" s="2719">
        <v>1</v>
      </c>
      <c r="F4860" s="294"/>
      <c r="G4860" s="2465" t="s">
        <v>2792</v>
      </c>
      <c r="H4860" s="2273"/>
      <c r="I4860" s="2294"/>
      <c r="J4860" s="291"/>
      <c r="K4860" s="291"/>
      <c r="L4860" s="291"/>
      <c r="M4860" s="291"/>
      <c r="S4860" s="364"/>
      <c r="Z4860" s="609" t="s">
        <v>4308</v>
      </c>
      <c r="AA4860" s="609" t="s">
        <v>5711</v>
      </c>
      <c r="AE4860" s="369" t="s">
        <v>2761</v>
      </c>
    </row>
    <row r="4861" spans="1:31" ht="18.75" hidden="1" thickBot="1">
      <c r="A4861" s="2712"/>
      <c r="B4861" s="371"/>
      <c r="C4861" s="371"/>
      <c r="D4861" s="2714">
        <f t="shared" si="531"/>
        <v>1</v>
      </c>
      <c r="E4861" s="2719" t="s">
        <v>2751</v>
      </c>
      <c r="F4861" s="294"/>
      <c r="G4861" s="310" t="s">
        <v>2752</v>
      </c>
      <c r="H4861" s="1479">
        <f>SUMPRODUCT($E4852:$E4860,H4852:H4860)</f>
        <v>0</v>
      </c>
      <c r="I4861" s="1480">
        <f>SUMPRODUCT($E4852:$E4860,I4852:I4860)</f>
        <v>0</v>
      </c>
      <c r="J4861" s="291"/>
      <c r="K4861" s="291"/>
      <c r="L4861" s="291"/>
      <c r="M4861" s="291"/>
      <c r="S4861" s="364"/>
      <c r="Z4861" s="609" t="s">
        <v>4308</v>
      </c>
      <c r="AA4861" s="609" t="s">
        <v>5711</v>
      </c>
      <c r="AE4861" s="369" t="s">
        <v>2761</v>
      </c>
    </row>
    <row r="4862" spans="1:31" ht="18" hidden="1">
      <c r="A4862" s="2712"/>
      <c r="B4862" s="371"/>
      <c r="C4862" s="371" t="s">
        <v>2755</v>
      </c>
      <c r="D4862" s="2714"/>
      <c r="F4862" s="293"/>
      <c r="G4862" s="376"/>
      <c r="H4862" s="315"/>
      <c r="I4862" s="396"/>
      <c r="J4862" s="425"/>
      <c r="K4862" s="426"/>
      <c r="L4862" s="427"/>
      <c r="M4862" s="425"/>
      <c r="N4862" s="426"/>
      <c r="O4862" s="427"/>
      <c r="P4862" s="425"/>
      <c r="Q4862" s="442"/>
      <c r="R4862" s="443"/>
      <c r="S4862" s="364"/>
      <c r="Z4862" s="609" t="s">
        <v>4308</v>
      </c>
      <c r="AA4862" s="609" t="s">
        <v>5711</v>
      </c>
      <c r="AE4862" s="369" t="s">
        <v>2761</v>
      </c>
    </row>
    <row r="4863" spans="1:31" ht="17.25">
      <c r="A4863" s="2713">
        <v>6672</v>
      </c>
      <c r="B4863" s="371">
        <v>71</v>
      </c>
      <c r="C4863" s="2714" t="str">
        <f>VLOOKUP($A4863,Sheet_Items,2,0)</f>
        <v>信用减值损失</v>
      </c>
      <c r="D4863" s="371"/>
      <c r="E4863" s="2714" t="s">
        <v>2739</v>
      </c>
      <c r="F4863" s="293"/>
      <c r="G4863" s="305" t="str">
        <f>B4863&amp;" "&amp;C4863</f>
        <v>71 信用减值损失</v>
      </c>
      <c r="H4863" s="306"/>
      <c r="I4863" s="306"/>
      <c r="J4863" s="306" t="s">
        <v>4206</v>
      </c>
      <c r="K4863" s="341">
        <f>VLOOKUP($A4863,Sheet_Trialbal,6,0)</f>
        <v>-909636.12</v>
      </c>
      <c r="L4863" s="342"/>
      <c r="M4863" s="306" t="s">
        <v>4207</v>
      </c>
      <c r="N4863" s="341">
        <f>VLOOKUP($A4863,Sheet_Trialbal,10,0)</f>
        <v>0</v>
      </c>
      <c r="O4863" s="342"/>
      <c r="P4863" s="301"/>
      <c r="S4863" s="364"/>
      <c r="Z4863" s="609" t="s">
        <v>4314</v>
      </c>
      <c r="AA4863" s="609" t="s">
        <v>4315</v>
      </c>
    </row>
    <row r="4864" spans="1:31" ht="18">
      <c r="A4864" s="2712" t="s">
        <v>1930</v>
      </c>
      <c r="B4864" s="371">
        <v>1</v>
      </c>
      <c r="C4864" s="371"/>
      <c r="D4864" s="2714" t="str">
        <f>VLOOKUP($A4864,Sheet_NoteList,2,0)</f>
        <v>信用减值损失明细项目</v>
      </c>
      <c r="E4864" s="2714" t="s">
        <v>2742</v>
      </c>
      <c r="F4864" s="293"/>
      <c r="G4864" s="372" t="str">
        <f>"("&amp;B4864&amp;")"&amp;D4864</f>
        <v>(1)信用减值损失明细项目</v>
      </c>
      <c r="H4864" s="1515" t="str">
        <f>$A4864</f>
        <v>6672a</v>
      </c>
      <c r="I4864" s="343" t="s">
        <v>2743</v>
      </c>
      <c r="J4864" s="301" t="s">
        <v>4210</v>
      </c>
      <c r="K4864" s="2208">
        <f>H4875</f>
        <v>-909636.12</v>
      </c>
      <c r="L4864" s="349" t="str">
        <f>IF($I4864="适用",IF(ROUND(K$4863-K4864,2)=0,"F/S",ROUND(K$4863-K4864,2)),"#N/A")</f>
        <v>F/S</v>
      </c>
      <c r="M4864" s="301" t="s">
        <v>4211</v>
      </c>
      <c r="N4864" s="2208">
        <f>I4875</f>
        <v>0</v>
      </c>
      <c r="O4864" s="349" t="str">
        <f>IF($I4864="适用",IF(ROUND(N$4863-N4864,2)=0,"F/S",ROUND(N$4863-N4864,2)),"#N/A")</f>
        <v>F/S</v>
      </c>
      <c r="P4864" s="301"/>
      <c r="S4864" s="364"/>
      <c r="Z4864" s="609" t="s">
        <v>4314</v>
      </c>
      <c r="AA4864" s="609" t="s">
        <v>4315</v>
      </c>
    </row>
    <row r="4865" spans="1:27" ht="0.75" customHeight="1" thickBot="1">
      <c r="A4865" s="2712"/>
      <c r="B4865" s="371"/>
      <c r="C4865" s="371"/>
      <c r="D4865" s="2714"/>
      <c r="F4865" s="371"/>
      <c r="G4865" s="405" t="s">
        <v>4316</v>
      </c>
      <c r="H4865" s="371" t="s">
        <v>2747</v>
      </c>
      <c r="I4865" s="371" t="s">
        <v>2748</v>
      </c>
      <c r="J4865" s="433"/>
      <c r="K4865" s="428"/>
      <c r="L4865" s="428"/>
      <c r="M4865" s="433"/>
      <c r="N4865" s="428"/>
      <c r="O4865" s="428"/>
      <c r="P4865" s="433"/>
      <c r="Q4865" s="442"/>
      <c r="R4865" s="443"/>
      <c r="S4865" s="364"/>
      <c r="Z4865" s="609" t="s">
        <v>4314</v>
      </c>
      <c r="AA4865" s="609" t="s">
        <v>4315</v>
      </c>
    </row>
    <row r="4866" spans="1:27" ht="18.75" thickTop="1">
      <c r="A4866" s="2712"/>
      <c r="B4866" s="371"/>
      <c r="C4866" s="371"/>
      <c r="D4866" s="2714"/>
      <c r="E4866" s="2714" t="s">
        <v>2749</v>
      </c>
      <c r="F4866" s="293"/>
      <c r="G4866" s="2303" t="s">
        <v>47</v>
      </c>
      <c r="H4866" s="2289" t="str">
        <f>$V$4</f>
        <v>2019年度</v>
      </c>
      <c r="I4866" s="2291" t="str">
        <f>$V$5</f>
        <v>2018年度</v>
      </c>
      <c r="J4866" s="355" t="s">
        <v>5334</v>
      </c>
      <c r="K4866" s="1582" t="s">
        <v>5494</v>
      </c>
      <c r="L4866" s="1582" t="s">
        <v>5495</v>
      </c>
      <c r="M4866" s="1582" t="s">
        <v>5496</v>
      </c>
      <c r="N4866" s="434"/>
      <c r="O4866" s="434"/>
      <c r="P4866" s="435"/>
      <c r="Q4866" s="442"/>
      <c r="R4866" s="443"/>
      <c r="S4866" s="364"/>
      <c r="Z4866" s="609" t="s">
        <v>4314</v>
      </c>
      <c r="AA4866" s="609" t="s">
        <v>4315</v>
      </c>
    </row>
    <row r="4867" spans="1:27" ht="18">
      <c r="A4867" s="2712"/>
      <c r="B4867" s="371">
        <v>101</v>
      </c>
      <c r="C4867" s="371"/>
      <c r="D4867" s="2714">
        <f t="shared" ref="D4867:D4875" si="532">IF(OR(G4867="*",G4867="",G4867=0),0,COUNTIF($G$4867:$G$4875,G4867))</f>
        <v>1</v>
      </c>
      <c r="E4867" s="2719">
        <v>1</v>
      </c>
      <c r="F4867" s="293"/>
      <c r="G4867" s="308" t="s">
        <v>4317</v>
      </c>
      <c r="H4867" s="309"/>
      <c r="I4867" s="1473">
        <v>0</v>
      </c>
      <c r="J4867" s="438"/>
      <c r="K4867" s="1585" t="s">
        <v>5497</v>
      </c>
      <c r="L4867" s="1586">
        <f ca="1">HYPERLINK("#'"&amp;$G$1&amp;"'!"&amp;ADDRESS(ROW(Notes!K264),COLUMN(Notes!K264),4),K264)</f>
        <v>0</v>
      </c>
      <c r="M4867" s="1542">
        <f ca="1">L4867-H4867</f>
        <v>0</v>
      </c>
      <c r="N4867" s="437"/>
      <c r="O4867" s="437"/>
      <c r="P4867" s="438"/>
      <c r="Q4867" s="442"/>
      <c r="R4867" s="443"/>
      <c r="S4867" s="364"/>
      <c r="Z4867" s="609" t="s">
        <v>4314</v>
      </c>
      <c r="AA4867" s="609" t="s">
        <v>4315</v>
      </c>
    </row>
    <row r="4868" spans="1:27" ht="18">
      <c r="A4868" s="2712"/>
      <c r="B4868" s="371">
        <v>102</v>
      </c>
      <c r="C4868" s="371"/>
      <c r="D4868" s="2714">
        <f t="shared" si="532"/>
        <v>1</v>
      </c>
      <c r="E4868" s="2719">
        <v>1</v>
      </c>
      <c r="F4868" s="293"/>
      <c r="G4868" s="308" t="s">
        <v>4318</v>
      </c>
      <c r="H4868" s="309">
        <f>-减值表!L7</f>
        <v>-655458.76</v>
      </c>
      <c r="I4868" s="1473">
        <v>0</v>
      </c>
      <c r="J4868" s="438"/>
      <c r="K4868" s="1585" t="s">
        <v>5498</v>
      </c>
      <c r="L4868" s="1586">
        <f ca="1">HYPERLINK("#'"&amp;$G$1&amp;"'!"&amp;ADDRESS(ROW(Notes!K592),COLUMN(Notes!K592),4),K592)</f>
        <v>0</v>
      </c>
      <c r="M4868" s="1542">
        <f t="shared" ref="M4868:M4873" ca="1" si="533">L4868-H4868</f>
        <v>655458.76</v>
      </c>
      <c r="N4868" s="437"/>
      <c r="O4868" s="437"/>
      <c r="P4868" s="438"/>
      <c r="Q4868" s="442"/>
      <c r="R4868" s="443"/>
      <c r="S4868" s="364"/>
      <c r="Z4868" s="609" t="s">
        <v>4314</v>
      </c>
      <c r="AA4868" s="609" t="s">
        <v>4315</v>
      </c>
    </row>
    <row r="4869" spans="1:27" ht="18">
      <c r="A4869" s="2712"/>
      <c r="B4869" s="371">
        <v>103</v>
      </c>
      <c r="C4869" s="371"/>
      <c r="D4869" s="2714">
        <f t="shared" si="532"/>
        <v>1</v>
      </c>
      <c r="E4869" s="2719">
        <v>1</v>
      </c>
      <c r="F4869" s="293"/>
      <c r="G4869" s="1472" t="s">
        <v>4319</v>
      </c>
      <c r="H4869" s="309">
        <v>-254177.36</v>
      </c>
      <c r="I4869" s="1473">
        <v>0</v>
      </c>
      <c r="J4869" s="438"/>
      <c r="K4869" s="1585" t="s">
        <v>5499</v>
      </c>
      <c r="L4869" s="1586">
        <f ca="1">HYPERLINK("#'"&amp;$G$1&amp;"'!"&amp;ADDRESS(ROW(Notes!K1484),COLUMN(Notes!K1484),4),K1484)</f>
        <v>927942.8</v>
      </c>
      <c r="M4869" s="1542">
        <f t="shared" ca="1" si="533"/>
        <v>1182120.1599999999</v>
      </c>
      <c r="N4869" s="437"/>
      <c r="O4869" s="437"/>
      <c r="P4869" s="438"/>
      <c r="Q4869" s="442"/>
      <c r="R4869" s="443"/>
      <c r="S4869" s="364"/>
      <c r="Z4869" s="609" t="s">
        <v>4314</v>
      </c>
      <c r="AA4869" s="609" t="s">
        <v>4315</v>
      </c>
    </row>
    <row r="4870" spans="1:27" ht="18">
      <c r="A4870" s="2712"/>
      <c r="B4870" s="371">
        <v>104</v>
      </c>
      <c r="C4870" s="371"/>
      <c r="D4870" s="2714">
        <f t="shared" si="532"/>
        <v>1</v>
      </c>
      <c r="E4870" s="2719">
        <v>1</v>
      </c>
      <c r="F4870" s="293"/>
      <c r="G4870" s="308" t="s">
        <v>4320</v>
      </c>
      <c r="H4870" s="309"/>
      <c r="I4870" s="1473">
        <v>0</v>
      </c>
      <c r="J4870" s="438"/>
      <c r="K4870" s="1585" t="s">
        <v>5500</v>
      </c>
      <c r="L4870" s="1586">
        <f ca="1">HYPERLINK("#'"&amp;$G$1&amp;"'!"&amp;ADDRESS(ROW(Notes!K857),COLUMN(Notes!K857),4),HYPERLINK("#'"&amp;$G$1&amp;"'!"&amp;ADDRESS(ROW(Notes!K857),COLUMN(Notes!K857),4),K857))</f>
        <v>0</v>
      </c>
      <c r="M4870" s="1542">
        <f t="shared" ca="1" si="533"/>
        <v>0</v>
      </c>
      <c r="N4870" s="437"/>
      <c r="O4870" s="437"/>
      <c r="P4870" s="438"/>
      <c r="Q4870" s="442"/>
      <c r="R4870" s="443"/>
      <c r="S4870" s="364"/>
      <c r="Z4870" s="609" t="s">
        <v>4314</v>
      </c>
      <c r="AA4870" s="609" t="s">
        <v>4315</v>
      </c>
    </row>
    <row r="4871" spans="1:27" ht="18">
      <c r="A4871" s="2712"/>
      <c r="B4871" s="371">
        <v>105</v>
      </c>
      <c r="C4871" s="371"/>
      <c r="D4871" s="2714">
        <f t="shared" si="532"/>
        <v>1</v>
      </c>
      <c r="E4871" s="2719">
        <v>1</v>
      </c>
      <c r="F4871" s="293"/>
      <c r="G4871" s="1472" t="s">
        <v>4321</v>
      </c>
      <c r="H4871" s="309"/>
      <c r="I4871" s="1473">
        <v>0</v>
      </c>
      <c r="J4871" s="438"/>
      <c r="K4871" s="2669" t="s">
        <v>6366</v>
      </c>
      <c r="L4871" s="1586">
        <f ca="1">HYPERLINK("#'"&amp;$G$1&amp;"'!"&amp;ADDRESS(ROW(Notes!K1920),COLUMN(Notes!K1920),4),K1920)</f>
        <v>0</v>
      </c>
      <c r="M4871" s="1542">
        <f t="shared" ca="1" si="533"/>
        <v>0</v>
      </c>
      <c r="N4871" s="437"/>
      <c r="O4871" s="437"/>
      <c r="P4871" s="438"/>
      <c r="Q4871" s="442"/>
      <c r="R4871" s="443"/>
      <c r="S4871" s="364"/>
      <c r="Z4871" s="609" t="s">
        <v>4314</v>
      </c>
      <c r="AA4871" s="609" t="s">
        <v>4315</v>
      </c>
    </row>
    <row r="4872" spans="1:27" ht="18">
      <c r="A4872" s="2712"/>
      <c r="B4872" s="371">
        <v>106</v>
      </c>
      <c r="C4872" s="371"/>
      <c r="D4872" s="2714">
        <f t="shared" si="532"/>
        <v>1</v>
      </c>
      <c r="E4872" s="2719">
        <v>1</v>
      </c>
      <c r="F4872" s="293"/>
      <c r="G4872" s="1472" t="s">
        <v>4322</v>
      </c>
      <c r="H4872" s="309"/>
      <c r="I4872" s="1473">
        <v>0</v>
      </c>
      <c r="J4872" s="438"/>
      <c r="K4872" s="1585" t="s">
        <v>5501</v>
      </c>
      <c r="L4872" s="1586">
        <f ca="1">HYPERLINK("#'"&amp;$G$1&amp;"'!"&amp;ADDRESS(ROW(Notes!K2130),COLUMN(Notes!K2130),4),K2130)</f>
        <v>0</v>
      </c>
      <c r="M4872" s="1542">
        <f t="shared" ca="1" si="533"/>
        <v>0</v>
      </c>
      <c r="N4872" s="437"/>
      <c r="O4872" s="437"/>
      <c r="P4872" s="438"/>
      <c r="Q4872" s="442"/>
      <c r="R4872" s="443"/>
      <c r="S4872" s="364"/>
      <c r="Z4872" s="609" t="s">
        <v>4314</v>
      </c>
      <c r="AA4872" s="609" t="s">
        <v>4315</v>
      </c>
    </row>
    <row r="4873" spans="1:27" ht="18">
      <c r="A4873" s="2712"/>
      <c r="B4873" s="371">
        <v>107</v>
      </c>
      <c r="C4873" s="371"/>
      <c r="D4873" s="2714">
        <f t="shared" si="532"/>
        <v>1</v>
      </c>
      <c r="E4873" s="2719">
        <v>1</v>
      </c>
      <c r="F4873" s="293"/>
      <c r="G4873" s="1472" t="s">
        <v>4323</v>
      </c>
      <c r="H4873" s="309"/>
      <c r="I4873" s="1473">
        <v>0</v>
      </c>
      <c r="J4873" s="438"/>
      <c r="K4873" s="1585" t="s">
        <v>5502</v>
      </c>
      <c r="L4873" s="1586">
        <f ca="1">HYPERLINK("#'"&amp;$G$1&amp;"'!"&amp;ADDRESS(ROW(Notes!K2342),COLUMN(Notes!K2342),4),K2342)</f>
        <v>0</v>
      </c>
      <c r="M4873" s="1542">
        <f t="shared" ca="1" si="533"/>
        <v>0</v>
      </c>
      <c r="N4873" s="437"/>
      <c r="O4873" s="437"/>
      <c r="P4873" s="438"/>
      <c r="Q4873" s="442"/>
      <c r="R4873" s="443"/>
      <c r="S4873" s="364"/>
      <c r="Z4873" s="609" t="s">
        <v>4314</v>
      </c>
      <c r="AA4873" s="609" t="s">
        <v>4315</v>
      </c>
    </row>
    <row r="4874" spans="1:27" ht="18">
      <c r="A4874" s="2712"/>
      <c r="B4874" s="371">
        <v>108</v>
      </c>
      <c r="C4874" s="371" t="s">
        <v>2791</v>
      </c>
      <c r="D4874" s="2714">
        <f t="shared" si="532"/>
        <v>0</v>
      </c>
      <c r="E4874" s="2719">
        <v>1</v>
      </c>
      <c r="F4874" s="293"/>
      <c r="G4874" s="319" t="s">
        <v>2792</v>
      </c>
      <c r="H4874" s="309"/>
      <c r="I4874" s="1473">
        <v>0</v>
      </c>
      <c r="J4874" s="438"/>
      <c r="M4874" s="1542"/>
      <c r="N4874" s="437"/>
      <c r="O4874" s="437"/>
      <c r="P4874" s="438"/>
      <c r="Q4874" s="442"/>
      <c r="R4874" s="443"/>
      <c r="S4874" s="364"/>
      <c r="Z4874" s="609" t="s">
        <v>4314</v>
      </c>
      <c r="AA4874" s="609" t="s">
        <v>4315</v>
      </c>
    </row>
    <row r="4875" spans="1:27" ht="18.75" thickBot="1">
      <c r="A4875" s="2712"/>
      <c r="B4875" s="371"/>
      <c r="C4875" s="371"/>
      <c r="D4875" s="2714">
        <f t="shared" si="532"/>
        <v>1</v>
      </c>
      <c r="E4875" s="2719" t="s">
        <v>2751</v>
      </c>
      <c r="F4875" s="293"/>
      <c r="G4875" s="2232" t="s">
        <v>2752</v>
      </c>
      <c r="H4875" s="2323">
        <f>SUMPRODUCT($E4866:$E4874,H4866:H4874)</f>
        <v>-909636.12</v>
      </c>
      <c r="I4875" s="2340">
        <f>SUMPRODUCT($E4866:$E4874,I4866:I4874)</f>
        <v>0</v>
      </c>
      <c r="J4875" s="440"/>
      <c r="M4875" s="1555">
        <f t="shared" ref="M4875" ca="1" si="534">SUM(M4867:M4874)</f>
        <v>1837578.92</v>
      </c>
      <c r="N4875" s="437"/>
      <c r="O4875" s="437"/>
      <c r="P4875" s="440"/>
      <c r="Q4875" s="442"/>
      <c r="R4875" s="443"/>
      <c r="S4875" s="364"/>
      <c r="Z4875" s="609" t="s">
        <v>4314</v>
      </c>
      <c r="AA4875" s="609" t="s">
        <v>4315</v>
      </c>
    </row>
    <row r="4876" spans="1:27" ht="18">
      <c r="A4876" s="2712"/>
      <c r="B4876" s="371"/>
      <c r="C4876" s="371" t="s">
        <v>2755</v>
      </c>
      <c r="D4876" s="2714"/>
      <c r="F4876" s="293"/>
      <c r="G4876" s="376"/>
      <c r="H4876" s="315"/>
      <c r="I4876" s="396"/>
      <c r="J4876" s="425"/>
      <c r="K4876" s="1583" t="s">
        <v>5493</v>
      </c>
      <c r="L4876" s="427"/>
      <c r="O4876" s="427"/>
      <c r="P4876" s="425"/>
      <c r="Q4876" s="442"/>
      <c r="R4876" s="443"/>
      <c r="S4876" s="364"/>
      <c r="Z4876" s="609" t="s">
        <v>4314</v>
      </c>
      <c r="AA4876" s="609" t="s">
        <v>4315</v>
      </c>
    </row>
    <row r="4877" spans="1:27" ht="18">
      <c r="A4877" s="2712">
        <v>6671</v>
      </c>
      <c r="B4877" s="371">
        <v>72</v>
      </c>
      <c r="C4877" s="2714" t="str">
        <f>VLOOKUP($A4877,Sheet_Items,2,0)</f>
        <v>资产减值损失</v>
      </c>
      <c r="D4877" s="371"/>
      <c r="E4877" s="2714" t="s">
        <v>2739</v>
      </c>
      <c r="F4877" s="294"/>
      <c r="G4877" s="305" t="str">
        <f>B4877&amp;" "&amp;C4877</f>
        <v>72 资产减值损失</v>
      </c>
      <c r="H4877" s="306"/>
      <c r="I4877" s="306"/>
      <c r="J4877" s="306" t="s">
        <v>4206</v>
      </c>
      <c r="K4877" s="341">
        <f>VLOOKUP($A4877,Sheet_Trialbal,6,0)</f>
        <v>-13357245.939999999</v>
      </c>
      <c r="L4877" s="342"/>
      <c r="M4877" s="306" t="s">
        <v>4207</v>
      </c>
      <c r="N4877" s="341">
        <f>VLOOKUP($A4877,Sheet_Trialbal,10,0)</f>
        <v>-9046997.6899999995</v>
      </c>
      <c r="O4877" s="306"/>
      <c r="P4877" s="301"/>
      <c r="S4877" s="364"/>
      <c r="Z4877" s="609" t="s">
        <v>4324</v>
      </c>
      <c r="AA4877" s="609" t="s">
        <v>5712</v>
      </c>
    </row>
    <row r="4878" spans="1:27" ht="18">
      <c r="A4878" s="2712" t="s">
        <v>1927</v>
      </c>
      <c r="B4878" s="371">
        <v>1</v>
      </c>
      <c r="C4878" s="371"/>
      <c r="D4878" s="2714" t="str">
        <f>VLOOKUP($A4878,Sheet_NoteList,2,0)</f>
        <v>资产减值损失明细项目</v>
      </c>
      <c r="E4878" s="2714" t="s">
        <v>2742</v>
      </c>
      <c r="F4878" s="294"/>
      <c r="G4878" s="372" t="str">
        <f>"("&amp;B4878&amp;")"&amp;D4878</f>
        <v>(1)资产减值损失明细项目</v>
      </c>
      <c r="H4878" s="1515" t="str">
        <f>$A4878</f>
        <v>6671a</v>
      </c>
      <c r="I4878" s="343" t="s">
        <v>2743</v>
      </c>
      <c r="J4878" s="301" t="s">
        <v>4210</v>
      </c>
      <c r="K4878" s="2208">
        <f>H4897</f>
        <v>-13357245.939999999</v>
      </c>
      <c r="L4878" s="345" t="str">
        <f>IF($I4878="适用",IF(ROUND(K4877-K4878,2)=0,"F/S",ROUND(K4877-K4878,2)),"#N/A")</f>
        <v>F/S</v>
      </c>
      <c r="M4878" s="301" t="s">
        <v>4211</v>
      </c>
      <c r="N4878" s="2208">
        <f>I4897</f>
        <v>0</v>
      </c>
      <c r="O4878" s="345">
        <f>IF($I4878="适用",IF(ROUND(N4877-N4878,2)=0,"F/S",ROUND(N4877-N4878,2)),"#N/A")</f>
        <v>-9046997.6899999995</v>
      </c>
      <c r="P4878" s="301"/>
      <c r="Q4878" s="290" t="str">
        <f>IF($I4878="不适用","",IF(ROUND(SUM($H$4881:$I$4897),2)=0,"请输入",""))</f>
        <v/>
      </c>
      <c r="S4878" s="364"/>
      <c r="Z4878" s="609" t="s">
        <v>4324</v>
      </c>
      <c r="AA4878" s="609" t="s">
        <v>5712</v>
      </c>
    </row>
    <row r="4879" spans="1:27" ht="0.75" customHeight="1" thickBot="1">
      <c r="A4879" s="2712"/>
      <c r="B4879" s="371"/>
      <c r="C4879" s="371"/>
      <c r="D4879" s="371"/>
      <c r="F4879" s="294"/>
      <c r="G4879" s="294" t="s">
        <v>4325</v>
      </c>
      <c r="H4879" s="294" t="s">
        <v>4223</v>
      </c>
      <c r="I4879" s="294" t="s">
        <v>4224</v>
      </c>
      <c r="J4879" s="291"/>
      <c r="K4879" s="291"/>
      <c r="L4879" s="291"/>
      <c r="M4879" s="291"/>
      <c r="S4879" s="364"/>
      <c r="Z4879" s="609" t="s">
        <v>4324</v>
      </c>
      <c r="AA4879" s="609" t="s">
        <v>5712</v>
      </c>
    </row>
    <row r="4880" spans="1:27" ht="18.75" thickTop="1">
      <c r="A4880" s="2712"/>
      <c r="B4880" s="371"/>
      <c r="C4880" s="371"/>
      <c r="D4880" s="371"/>
      <c r="E4880" s="2714" t="s">
        <v>2749</v>
      </c>
      <c r="F4880" s="294"/>
      <c r="G4880" s="2606" t="s">
        <v>47</v>
      </c>
      <c r="H4880" s="2607" t="str">
        <f>$V$4</f>
        <v>2019年度</v>
      </c>
      <c r="I4880" s="2608" t="str">
        <f>$V$5</f>
        <v>2018年度</v>
      </c>
      <c r="J4880" s="355" t="s">
        <v>5335</v>
      </c>
      <c r="K4880" s="1582" t="s">
        <v>5494</v>
      </c>
      <c r="L4880" s="1582" t="s">
        <v>5495</v>
      </c>
      <c r="M4880" s="1528" t="s">
        <v>5504</v>
      </c>
      <c r="S4880" s="364"/>
      <c r="Z4880" s="609" t="s">
        <v>4324</v>
      </c>
      <c r="AA4880" s="609" t="s">
        <v>5712</v>
      </c>
    </row>
    <row r="4881" spans="1:27" ht="18">
      <c r="A4881" s="2712"/>
      <c r="B4881" s="371">
        <v>101</v>
      </c>
      <c r="C4881" s="371"/>
      <c r="D4881" s="2714">
        <f t="shared" ref="D4881:D4897" si="535">IF(OR(G4881="*",G4881="",G4881=0),0,COUNTIF($G$4881:$G$4897,G4881))</f>
        <v>1</v>
      </c>
      <c r="E4881" s="2719">
        <v>1</v>
      </c>
      <c r="F4881" s="294"/>
      <c r="G4881" s="380" t="s">
        <v>4326</v>
      </c>
      <c r="H4881" s="2327">
        <v>0</v>
      </c>
      <c r="I4881" s="401"/>
      <c r="J4881" s="291"/>
      <c r="K4881" s="1584"/>
      <c r="L4881" s="1588"/>
      <c r="M4881" s="456"/>
      <c r="S4881" s="364"/>
      <c r="Z4881" s="609" t="s">
        <v>4324</v>
      </c>
      <c r="AA4881" s="609" t="s">
        <v>5712</v>
      </c>
    </row>
    <row r="4882" spans="1:27" ht="18">
      <c r="A4882" s="2712"/>
      <c r="B4882" s="371">
        <v>102</v>
      </c>
      <c r="C4882" s="371"/>
      <c r="D4882" s="2714">
        <f t="shared" si="535"/>
        <v>1</v>
      </c>
      <c r="E4882" s="2719">
        <v>1</v>
      </c>
      <c r="F4882" s="294"/>
      <c r="G4882" s="380" t="s">
        <v>4327</v>
      </c>
      <c r="H4882" s="383">
        <f>-减值表!L16-减值表!L30</f>
        <v>257713.75</v>
      </c>
      <c r="I4882" s="401"/>
      <c r="J4882" s="291"/>
      <c r="K4882" s="1585" t="s">
        <v>5505</v>
      </c>
      <c r="L4882" s="1586">
        <f ca="1">HYPERLINK("#'"&amp;$G$1&amp;"'!"&amp;ADDRESS(ROW(Notes!I1655),COLUMN(Notes!I1655),4),I1655)</f>
        <v>38701.93</v>
      </c>
      <c r="M4882" s="456">
        <f ca="1">L4882-H4882</f>
        <v>-219011.82</v>
      </c>
      <c r="S4882" s="364"/>
      <c r="Z4882" s="609" t="s">
        <v>4324</v>
      </c>
      <c r="AA4882" s="609" t="s">
        <v>5712</v>
      </c>
    </row>
    <row r="4883" spans="1:27" ht="24">
      <c r="A4883" s="2712"/>
      <c r="B4883" s="371">
        <v>103</v>
      </c>
      <c r="C4883" s="371"/>
      <c r="D4883" s="2714">
        <f t="shared" si="535"/>
        <v>1</v>
      </c>
      <c r="E4883" s="2719">
        <v>1</v>
      </c>
      <c r="F4883" s="294"/>
      <c r="G4883" s="380" t="s">
        <v>4328</v>
      </c>
      <c r="H4883" s="2327">
        <v>0</v>
      </c>
      <c r="I4883" s="401"/>
      <c r="J4883" s="291"/>
      <c r="K4883" s="1584"/>
      <c r="L4883" s="1588"/>
      <c r="M4883" s="456"/>
      <c r="S4883" s="364"/>
      <c r="Z4883" s="609" t="s">
        <v>4324</v>
      </c>
      <c r="AA4883" s="609" t="s">
        <v>5712</v>
      </c>
    </row>
    <row r="4884" spans="1:27" ht="18">
      <c r="A4884" s="2712"/>
      <c r="B4884" s="371">
        <v>104</v>
      </c>
      <c r="C4884" s="371"/>
      <c r="D4884" s="2714">
        <f t="shared" si="535"/>
        <v>1</v>
      </c>
      <c r="E4884" s="2719">
        <v>1</v>
      </c>
      <c r="F4884" s="294"/>
      <c r="G4884" s="380" t="s">
        <v>4329</v>
      </c>
      <c r="H4884" s="2327">
        <v>0</v>
      </c>
      <c r="I4884" s="401"/>
      <c r="J4884" s="291"/>
      <c r="K4884" s="1584"/>
      <c r="L4884" s="1588"/>
      <c r="M4884" s="456"/>
      <c r="S4884" s="364"/>
      <c r="Z4884" s="609" t="s">
        <v>4324</v>
      </c>
      <c r="AA4884" s="609" t="s">
        <v>5712</v>
      </c>
    </row>
    <row r="4885" spans="1:27" ht="18">
      <c r="A4885" s="2712"/>
      <c r="B4885" s="371">
        <v>105</v>
      </c>
      <c r="C4885" s="371"/>
      <c r="D4885" s="2714">
        <f t="shared" si="535"/>
        <v>1</v>
      </c>
      <c r="E4885" s="2719">
        <v>1</v>
      </c>
      <c r="F4885" s="294"/>
      <c r="G4885" s="380" t="s">
        <v>4330</v>
      </c>
      <c r="H4885" s="383"/>
      <c r="I4885" s="401"/>
      <c r="J4885" s="291"/>
      <c r="K4885" s="1585" t="s">
        <v>5506</v>
      </c>
      <c r="L4885" s="1586">
        <f ca="1">HYPERLINK("#'"&amp;$G$1&amp;"'!"&amp;ADDRESS(ROW(Notes!O2496),COLUMN(Notes!O2496),4),O2496)</f>
        <v>0</v>
      </c>
      <c r="M4885" s="456">
        <f t="shared" ref="M4885:M4894" ca="1" si="536">L4885-H4885</f>
        <v>0</v>
      </c>
      <c r="S4885" s="364"/>
      <c r="Z4885" s="609" t="s">
        <v>4324</v>
      </c>
      <c r="AA4885" s="609" t="s">
        <v>5712</v>
      </c>
    </row>
    <row r="4886" spans="1:27" ht="18">
      <c r="A4886" s="2712"/>
      <c r="B4886" s="371">
        <v>106</v>
      </c>
      <c r="C4886" s="371"/>
      <c r="D4886" s="2714">
        <f t="shared" si="535"/>
        <v>1</v>
      </c>
      <c r="E4886" s="2719">
        <v>1</v>
      </c>
      <c r="F4886" s="294"/>
      <c r="G4886" s="380" t="s">
        <v>4331</v>
      </c>
      <c r="H4886" s="383"/>
      <c r="I4886" s="401"/>
      <c r="J4886" s="291"/>
      <c r="K4886" s="1585" t="s">
        <v>5507</v>
      </c>
      <c r="L4886" s="1586">
        <f ca="1">HYPERLINK("#'"&amp;$G$1&amp;"'!"&amp;ADDRESS(ROW(Notes!K2589),COLUMN(Notes!K2589),4),K2589)</f>
        <v>0</v>
      </c>
      <c r="M4886" s="456">
        <f t="shared" ca="1" si="536"/>
        <v>0</v>
      </c>
      <c r="S4886" s="364"/>
      <c r="Z4886" s="609" t="s">
        <v>4324</v>
      </c>
      <c r="AA4886" s="609" t="s">
        <v>5712</v>
      </c>
    </row>
    <row r="4887" spans="1:27" ht="18">
      <c r="A4887" s="2712"/>
      <c r="B4887" s="371">
        <v>107</v>
      </c>
      <c r="C4887" s="371"/>
      <c r="D4887" s="2714">
        <f t="shared" si="535"/>
        <v>1</v>
      </c>
      <c r="E4887" s="2719">
        <v>1</v>
      </c>
      <c r="F4887" s="294"/>
      <c r="G4887" s="380" t="s">
        <v>4332</v>
      </c>
      <c r="H4887" s="383">
        <f>-AJE!O208</f>
        <v>-5883475.4900000002</v>
      </c>
      <c r="I4887" s="401"/>
      <c r="J4887" s="291"/>
      <c r="K4887" s="1585" t="s">
        <v>5508</v>
      </c>
      <c r="L4887" s="1586">
        <f ca="1">HYPERLINK("#'"&amp;$G$1&amp;"'!"&amp;ADDRESS(ROW(Notes!L2687),COLUMN(Notes!L2687),4),L2687)</f>
        <v>5883475.4900000002</v>
      </c>
      <c r="M4887" s="456">
        <f t="shared" ca="1" si="536"/>
        <v>11766950.98</v>
      </c>
      <c r="S4887" s="364"/>
      <c r="Z4887" s="609" t="s">
        <v>4324</v>
      </c>
      <c r="AA4887" s="609" t="s">
        <v>5712</v>
      </c>
    </row>
    <row r="4888" spans="1:27" ht="18">
      <c r="A4888" s="2712"/>
      <c r="B4888" s="371">
        <v>108</v>
      </c>
      <c r="C4888" s="371"/>
      <c r="D4888" s="2714">
        <f t="shared" si="535"/>
        <v>1</v>
      </c>
      <c r="E4888" s="2719">
        <v>1</v>
      </c>
      <c r="F4888" s="294"/>
      <c r="G4888" s="380" t="s">
        <v>4333</v>
      </c>
      <c r="H4888" s="383"/>
      <c r="I4888" s="401"/>
      <c r="J4888" s="291"/>
      <c r="K4888" s="2669" t="s">
        <v>6635</v>
      </c>
      <c r="L4888" s="1586">
        <f ca="1">HYPERLINK("#'"&amp;$G$1&amp;"'!"&amp;ADDRESS(ROW(Notes!I2919),COLUMN(Notes!I2919),4),I2919-L2919)</f>
        <v>0</v>
      </c>
      <c r="M4888" s="456">
        <f t="shared" ca="1" si="536"/>
        <v>0</v>
      </c>
      <c r="N4888" s="2262" t="s">
        <v>6367</v>
      </c>
      <c r="S4888" s="364"/>
      <c r="Z4888" s="609" t="s">
        <v>4324</v>
      </c>
      <c r="AA4888" s="609" t="s">
        <v>5712</v>
      </c>
    </row>
    <row r="4889" spans="1:27" ht="18">
      <c r="A4889" s="2712"/>
      <c r="B4889" s="371">
        <v>109</v>
      </c>
      <c r="C4889" s="371"/>
      <c r="D4889" s="2714">
        <f t="shared" si="535"/>
        <v>1</v>
      </c>
      <c r="E4889" s="2719">
        <v>1</v>
      </c>
      <c r="F4889" s="294"/>
      <c r="G4889" s="380" t="s">
        <v>4334</v>
      </c>
      <c r="H4889" s="383">
        <f>-AJE!O223</f>
        <v>-7731484.2000000002</v>
      </c>
      <c r="I4889" s="401"/>
      <c r="J4889" s="291"/>
      <c r="K4889" s="1585" t="s">
        <v>5509</v>
      </c>
      <c r="L4889" s="1586">
        <f ca="1">HYPERLINK("#'"&amp;$G$1&amp;"'!"&amp;ADDRESS(ROW(Notes!H2890),COLUMN(Notes!H2890),4),H2890-I2890)</f>
        <v>0</v>
      </c>
      <c r="M4889" s="456">
        <f t="shared" ca="1" si="536"/>
        <v>7731484.2000000002</v>
      </c>
      <c r="N4889" s="2262" t="s">
        <v>6367</v>
      </c>
      <c r="S4889" s="364"/>
      <c r="Z4889" s="609" t="s">
        <v>4324</v>
      </c>
      <c r="AA4889" s="609" t="s">
        <v>5712</v>
      </c>
    </row>
    <row r="4890" spans="1:27" ht="18">
      <c r="A4890" s="2712"/>
      <c r="B4890" s="371">
        <v>110</v>
      </c>
      <c r="C4890" s="371"/>
      <c r="D4890" s="2714">
        <f t="shared" si="535"/>
        <v>1</v>
      </c>
      <c r="E4890" s="2719">
        <v>1</v>
      </c>
      <c r="F4890" s="294"/>
      <c r="G4890" s="380" t="s">
        <v>4335</v>
      </c>
      <c r="H4890" s="383"/>
      <c r="I4890" s="401"/>
      <c r="J4890" s="291"/>
      <c r="K4890" s="1585" t="s">
        <v>5510</v>
      </c>
      <c r="L4890" s="1586">
        <f ca="1">HYPERLINK("#'"&amp;$G$1&amp;"'!"&amp;ADDRESS(ROW(Notes!K2968),COLUMN(Notes!K2968),4),K2968)</f>
        <v>0</v>
      </c>
      <c r="M4890" s="456">
        <f t="shared" ca="1" si="536"/>
        <v>0</v>
      </c>
      <c r="S4890" s="364"/>
      <c r="Z4890" s="609" t="s">
        <v>4324</v>
      </c>
      <c r="AA4890" s="609" t="s">
        <v>5712</v>
      </c>
    </row>
    <row r="4891" spans="1:27" ht="18">
      <c r="A4891" s="2712"/>
      <c r="B4891" s="371">
        <v>111</v>
      </c>
      <c r="C4891" s="371"/>
      <c r="D4891" s="2714">
        <f t="shared" si="535"/>
        <v>1</v>
      </c>
      <c r="E4891" s="2719">
        <v>1</v>
      </c>
      <c r="F4891" s="294"/>
      <c r="G4891" s="380" t="s">
        <v>4336</v>
      </c>
      <c r="H4891" s="383"/>
      <c r="I4891" s="401"/>
      <c r="J4891" s="291"/>
      <c r="K4891" s="1585" t="s">
        <v>5511</v>
      </c>
      <c r="L4891" s="1586">
        <f ca="1">HYPERLINK("#'"&amp;$G$1&amp;"'!"&amp;ADDRESS(ROW(Notes!L3033),COLUMN(Notes!L3033),4),L3033)</f>
        <v>0</v>
      </c>
      <c r="M4891" s="456">
        <f t="shared" ca="1" si="536"/>
        <v>0</v>
      </c>
      <c r="S4891" s="364"/>
      <c r="Z4891" s="609" t="s">
        <v>4324</v>
      </c>
      <c r="AA4891" s="609" t="s">
        <v>5712</v>
      </c>
    </row>
    <row r="4892" spans="1:27" ht="18">
      <c r="A4892" s="2712"/>
      <c r="B4892" s="371">
        <v>112</v>
      </c>
      <c r="C4892" s="371"/>
      <c r="D4892" s="2714">
        <f t="shared" si="535"/>
        <v>1</v>
      </c>
      <c r="E4892" s="2719">
        <v>1</v>
      </c>
      <c r="F4892" s="294"/>
      <c r="G4892" s="380" t="s">
        <v>4337</v>
      </c>
      <c r="H4892" s="383"/>
      <c r="I4892" s="401"/>
      <c r="J4892" s="291"/>
      <c r="K4892" s="1585" t="s">
        <v>5512</v>
      </c>
      <c r="L4892" s="1586">
        <f ca="1">HYPERLINK("#'"&amp;$G$1&amp;"'!"&amp;ADDRESS(ROW(Notes!L3091),COLUMN(Notes!L3091),4),L3091)</f>
        <v>0</v>
      </c>
      <c r="M4892" s="456">
        <f t="shared" ca="1" si="536"/>
        <v>0</v>
      </c>
      <c r="S4892" s="364"/>
      <c r="Z4892" s="609" t="s">
        <v>4324</v>
      </c>
      <c r="AA4892" s="609" t="s">
        <v>5712</v>
      </c>
    </row>
    <row r="4893" spans="1:27" ht="18">
      <c r="A4893" s="2712"/>
      <c r="B4893" s="371">
        <v>113</v>
      </c>
      <c r="C4893" s="371"/>
      <c r="D4893" s="2714">
        <f t="shared" si="535"/>
        <v>1</v>
      </c>
      <c r="E4893" s="2719">
        <v>1</v>
      </c>
      <c r="F4893" s="294"/>
      <c r="G4893" s="380" t="s">
        <v>4338</v>
      </c>
      <c r="H4893" s="383"/>
      <c r="I4893" s="401"/>
      <c r="J4893" s="291"/>
      <c r="K4893" s="1585" t="s">
        <v>5513</v>
      </c>
      <c r="L4893" s="1586">
        <f ca="1">HYPERLINK("#'"&amp;$G$1&amp;"'!"&amp;ADDRESS(ROW(Notes!I3212),COLUMN(Notes!I3212),4),I3212)</f>
        <v>0</v>
      </c>
      <c r="M4893" s="456">
        <f t="shared" ca="1" si="536"/>
        <v>0</v>
      </c>
      <c r="S4893" s="364"/>
      <c r="Z4893" s="609" t="s">
        <v>4324</v>
      </c>
      <c r="AA4893" s="609" t="s">
        <v>5712</v>
      </c>
    </row>
    <row r="4894" spans="1:27" ht="18">
      <c r="A4894" s="2712"/>
      <c r="B4894" s="371">
        <v>114</v>
      </c>
      <c r="C4894" s="371"/>
      <c r="D4894" s="2714">
        <f t="shared" si="535"/>
        <v>1</v>
      </c>
      <c r="E4894" s="2719">
        <v>1</v>
      </c>
      <c r="F4894" s="294"/>
      <c r="G4894" s="380" t="s">
        <v>4339</v>
      </c>
      <c r="H4894" s="383"/>
      <c r="I4894" s="401"/>
      <c r="J4894" s="291"/>
      <c r="K4894" s="1585" t="s">
        <v>5514</v>
      </c>
      <c r="L4894" s="1586">
        <f ca="1">HYPERLINK("#'"&amp;$G$1&amp;"'!"&amp;ADDRESS(ROW(Notes!I1789),COLUMN(Notes!I1789),4),I1789)</f>
        <v>0</v>
      </c>
      <c r="M4894" s="456">
        <f t="shared" ca="1" si="536"/>
        <v>0</v>
      </c>
      <c r="S4894" s="364"/>
      <c r="Z4894" s="609" t="s">
        <v>4324</v>
      </c>
      <c r="AA4894" s="609" t="s">
        <v>5712</v>
      </c>
    </row>
    <row r="4895" spans="1:27" ht="18">
      <c r="A4895" s="2712"/>
      <c r="B4895" s="371">
        <v>115</v>
      </c>
      <c r="C4895" s="371" t="s">
        <v>2791</v>
      </c>
      <c r="D4895" s="2714">
        <f t="shared" si="535"/>
        <v>0</v>
      </c>
      <c r="E4895" s="2719">
        <v>1</v>
      </c>
      <c r="F4895" s="294"/>
      <c r="G4895" s="409" t="s">
        <v>2792</v>
      </c>
      <c r="H4895" s="383"/>
      <c r="I4895" s="401"/>
      <c r="J4895" s="291"/>
      <c r="K4895" s="1584"/>
      <c r="L4895" s="1588"/>
      <c r="M4895" s="456"/>
      <c r="S4895" s="364"/>
      <c r="Z4895" s="609" t="s">
        <v>4324</v>
      </c>
      <c r="AA4895" s="609" t="s">
        <v>5712</v>
      </c>
    </row>
    <row r="4896" spans="1:27" ht="18">
      <c r="A4896" s="2712"/>
      <c r="B4896" s="371">
        <v>116</v>
      </c>
      <c r="C4896" s="371" t="s">
        <v>2791</v>
      </c>
      <c r="D4896" s="2714">
        <f t="shared" si="535"/>
        <v>0</v>
      </c>
      <c r="E4896" s="2719">
        <v>1</v>
      </c>
      <c r="F4896" s="294"/>
      <c r="G4896" s="409" t="s">
        <v>2792</v>
      </c>
      <c r="H4896" s="383"/>
      <c r="I4896" s="401"/>
      <c r="J4896" s="291"/>
      <c r="K4896" s="1584"/>
      <c r="L4896" s="1588"/>
      <c r="M4896" s="456"/>
      <c r="S4896" s="364"/>
      <c r="Z4896" s="609" t="s">
        <v>4324</v>
      </c>
      <c r="AA4896" s="609" t="s">
        <v>5712</v>
      </c>
    </row>
    <row r="4897" spans="1:27" ht="18.75" thickBot="1">
      <c r="A4897" s="2712"/>
      <c r="B4897" s="371"/>
      <c r="C4897" s="371"/>
      <c r="D4897" s="2714">
        <f t="shared" si="535"/>
        <v>1</v>
      </c>
      <c r="E4897" s="2719" t="s">
        <v>2751</v>
      </c>
      <c r="F4897" s="294"/>
      <c r="G4897" s="2328" t="s">
        <v>2752</v>
      </c>
      <c r="H4897" s="2329">
        <f>SUMPRODUCT($E4880:$E4896,H4880:H4896)</f>
        <v>-13357245.939999999</v>
      </c>
      <c r="I4897" s="2330">
        <f>SUMPRODUCT($E4880:$E4896,I4880:I4896)</f>
        <v>0</v>
      </c>
      <c r="J4897" s="291"/>
      <c r="M4897" s="1529">
        <f t="shared" ref="M4897" ca="1" si="537">SUM(M4881:M4896)</f>
        <v>19279423.359999999</v>
      </c>
      <c r="S4897" s="364"/>
      <c r="Z4897" s="609" t="s">
        <v>4324</v>
      </c>
      <c r="AA4897" s="609" t="s">
        <v>5712</v>
      </c>
    </row>
    <row r="4898" spans="1:27" ht="18">
      <c r="A4898" s="2712"/>
      <c r="B4898" s="371"/>
      <c r="C4898" s="371" t="s">
        <v>2755</v>
      </c>
      <c r="D4898" s="371"/>
      <c r="F4898" s="294"/>
      <c r="G4898" s="301"/>
      <c r="H4898" s="349"/>
      <c r="I4898" s="349"/>
      <c r="J4898" s="291"/>
      <c r="K4898" s="1537" t="s">
        <v>5503</v>
      </c>
      <c r="N4898" s="354"/>
      <c r="S4898" s="364"/>
      <c r="Z4898" s="609" t="s">
        <v>4324</v>
      </c>
      <c r="AA4898" s="609" t="s">
        <v>5712</v>
      </c>
    </row>
    <row r="4899" spans="1:27" ht="17.25">
      <c r="A4899" s="2713">
        <v>6171</v>
      </c>
      <c r="B4899" s="371">
        <v>73</v>
      </c>
      <c r="C4899" s="2714" t="str">
        <f>VLOOKUP($A4899,Sheet_Items,2,0)</f>
        <v>资产处置收益</v>
      </c>
      <c r="D4899" s="371"/>
      <c r="E4899" s="2714" t="s">
        <v>2739</v>
      </c>
      <c r="F4899" s="371"/>
      <c r="G4899" s="305" t="str">
        <f>B4899&amp;" "&amp;C4899</f>
        <v>73 资产处置收益</v>
      </c>
      <c r="H4899" s="306"/>
      <c r="I4899" s="306"/>
      <c r="J4899" s="306" t="s">
        <v>4206</v>
      </c>
      <c r="K4899" s="341">
        <f>VLOOKUP($A4899,Sheet_Trialbal,6,0)</f>
        <v>4370781.55</v>
      </c>
      <c r="L4899" s="342"/>
      <c r="M4899" s="306" t="s">
        <v>4207</v>
      </c>
      <c r="N4899" s="341">
        <f>VLOOKUP($A4899,Sheet_Trialbal,10,0)</f>
        <v>-1081801.72</v>
      </c>
      <c r="O4899" s="342"/>
      <c r="P4899" s="301"/>
      <c r="S4899" s="364"/>
      <c r="Z4899" s="609" t="s">
        <v>4340</v>
      </c>
      <c r="AA4899" s="609" t="s">
        <v>5713</v>
      </c>
    </row>
    <row r="4900" spans="1:27" ht="18">
      <c r="A4900" s="2712" t="s">
        <v>1888</v>
      </c>
      <c r="B4900" s="371">
        <v>1</v>
      </c>
      <c r="C4900" s="371"/>
      <c r="D4900" s="2714" t="str">
        <f>VLOOKUP($A4900,Sheet_NoteList,2,0)</f>
        <v>资产处置收益明细项目</v>
      </c>
      <c r="E4900" s="2714" t="s">
        <v>2742</v>
      </c>
      <c r="F4900" s="371"/>
      <c r="G4900" s="372" t="str">
        <f>"("&amp;B4900&amp;")"&amp;D4900</f>
        <v>(1)资产处置收益明细项目</v>
      </c>
      <c r="H4900" s="1515" t="str">
        <f>$A4900</f>
        <v>6171a</v>
      </c>
      <c r="I4900" s="343" t="s">
        <v>2743</v>
      </c>
      <c r="J4900" s="301" t="s">
        <v>4210</v>
      </c>
      <c r="K4900" s="2208">
        <f>H4912</f>
        <v>4370781.55</v>
      </c>
      <c r="L4900" s="349" t="str">
        <f>IF($I4900="适用",IF(ROUND(K$4899-K4900,2)=0,"F/S",ROUND(K$4899-K4900,2)),"#N/A")</f>
        <v>F/S</v>
      </c>
      <c r="M4900" s="301" t="s">
        <v>4211</v>
      </c>
      <c r="N4900" s="2208">
        <f>I4912</f>
        <v>-1081801.72</v>
      </c>
      <c r="O4900" s="349" t="str">
        <f>IF($I4900="适用",IF(ROUND(N$4899-N4900,2)=0,"F/S",ROUND(N$4899-N4900,2)),"#N/A")</f>
        <v>F/S</v>
      </c>
      <c r="P4900" s="301"/>
      <c r="S4900" s="364"/>
      <c r="Z4900" s="609" t="s">
        <v>4340</v>
      </c>
      <c r="AA4900" s="609" t="s">
        <v>5713</v>
      </c>
    </row>
    <row r="4901" spans="1:27" ht="0.75" customHeight="1" thickBot="1">
      <c r="A4901" s="2712"/>
      <c r="B4901" s="371"/>
      <c r="C4901" s="371"/>
      <c r="D4901" s="2714"/>
      <c r="F4901" s="371"/>
      <c r="G4901" s="405" t="s">
        <v>4341</v>
      </c>
      <c r="H4901" s="371" t="s">
        <v>4223</v>
      </c>
      <c r="I4901" s="371" t="s">
        <v>4224</v>
      </c>
      <c r="J4901" s="301"/>
      <c r="K4901" s="391"/>
      <c r="L4901" s="349"/>
      <c r="M4901" s="301"/>
      <c r="N4901" s="391"/>
      <c r="O4901" s="349"/>
      <c r="P4901" s="301"/>
      <c r="S4901" s="364"/>
      <c r="Z4901" s="609" t="s">
        <v>4340</v>
      </c>
      <c r="AA4901" s="609" t="s">
        <v>5713</v>
      </c>
    </row>
    <row r="4902" spans="1:27" ht="18">
      <c r="A4902" s="2712"/>
      <c r="B4902" s="371"/>
      <c r="C4902" s="371"/>
      <c r="D4902" s="2714"/>
      <c r="E4902" s="2714" t="s">
        <v>2749</v>
      </c>
      <c r="F4902" s="371"/>
      <c r="G4902" s="373" t="s">
        <v>47</v>
      </c>
      <c r="H4902" s="406" t="str">
        <f>$V$4</f>
        <v>2019年度</v>
      </c>
      <c r="I4902" s="417" t="str">
        <f>$V$5</f>
        <v>2018年度</v>
      </c>
      <c r="J4902" s="355" t="s">
        <v>5336</v>
      </c>
      <c r="K4902" s="391"/>
      <c r="L4902" s="349"/>
      <c r="M4902" s="301"/>
      <c r="N4902" s="391"/>
      <c r="O4902" s="349"/>
      <c r="P4902" s="301"/>
      <c r="S4902" s="364"/>
      <c r="Z4902" s="609" t="s">
        <v>4340</v>
      </c>
      <c r="AA4902" s="609" t="s">
        <v>5713</v>
      </c>
    </row>
    <row r="4903" spans="1:27" ht="60">
      <c r="A4903" s="2712"/>
      <c r="B4903" s="371">
        <v>101</v>
      </c>
      <c r="C4903" s="371"/>
      <c r="D4903" s="2714">
        <f t="shared" ref="D4903:D4912" si="538">IF(OR(G4903="*",G4903="",G4903=0),0,COUNTIF($G$4903:$G$4912,G4903))</f>
        <v>1</v>
      </c>
      <c r="E4903" s="2719">
        <v>1</v>
      </c>
      <c r="F4903" s="371"/>
      <c r="G4903" s="308" t="s">
        <v>4342</v>
      </c>
      <c r="H4903" s="309"/>
      <c r="I4903" s="394">
        <v>-1081801.72</v>
      </c>
      <c r="J4903" s="301"/>
      <c r="K4903" s="391"/>
      <c r="L4903" s="349"/>
      <c r="M4903" s="301"/>
      <c r="N4903" s="391"/>
      <c r="O4903" s="349"/>
      <c r="P4903" s="301"/>
      <c r="S4903" s="364"/>
      <c r="Z4903" s="609" t="s">
        <v>4340</v>
      </c>
      <c r="AA4903" s="609" t="s">
        <v>5713</v>
      </c>
    </row>
    <row r="4904" spans="1:27" ht="48">
      <c r="A4904" s="2712"/>
      <c r="B4904" s="371">
        <v>102</v>
      </c>
      <c r="C4904" s="371"/>
      <c r="D4904" s="2714">
        <f t="shared" si="538"/>
        <v>1</v>
      </c>
      <c r="E4904" s="2719">
        <v>1</v>
      </c>
      <c r="F4904" s="371"/>
      <c r="G4904" s="308" t="s">
        <v>4343</v>
      </c>
      <c r="H4904" s="309">
        <v>4370781.55</v>
      </c>
      <c r="I4904" s="394"/>
      <c r="J4904" s="301"/>
      <c r="K4904" s="391"/>
      <c r="L4904" s="349"/>
      <c r="M4904" s="301"/>
      <c r="N4904" s="391"/>
      <c r="O4904" s="349"/>
      <c r="P4904" s="301"/>
      <c r="S4904" s="364"/>
      <c r="Z4904" s="609" t="s">
        <v>4340</v>
      </c>
      <c r="AA4904" s="609" t="s">
        <v>5713</v>
      </c>
    </row>
    <row r="4905" spans="1:27" ht="18">
      <c r="A4905" s="2712"/>
      <c r="B4905" s="371">
        <v>103</v>
      </c>
      <c r="C4905" s="371"/>
      <c r="D4905" s="2714">
        <f t="shared" si="538"/>
        <v>1</v>
      </c>
      <c r="E4905" s="2719">
        <v>0</v>
      </c>
      <c r="F4905" s="371"/>
      <c r="G4905" s="603" t="s">
        <v>353</v>
      </c>
      <c r="H4905" s="309"/>
      <c r="I4905" s="394">
        <v>-1081801.72</v>
      </c>
      <c r="J4905" s="301"/>
      <c r="K4905" s="391"/>
      <c r="L4905" s="349"/>
      <c r="M4905" s="301"/>
      <c r="N4905" s="391"/>
      <c r="O4905" s="349"/>
      <c r="P4905" s="301"/>
      <c r="S4905" s="364"/>
      <c r="Z4905" s="609" t="s">
        <v>4340</v>
      </c>
      <c r="AA4905" s="609" t="s">
        <v>5713</v>
      </c>
    </row>
    <row r="4906" spans="1:27" ht="18">
      <c r="A4906" s="2712"/>
      <c r="B4906" s="371">
        <v>104</v>
      </c>
      <c r="C4906" s="371"/>
      <c r="D4906" s="2714">
        <f t="shared" si="538"/>
        <v>1</v>
      </c>
      <c r="E4906" s="2719">
        <v>0</v>
      </c>
      <c r="F4906" s="371"/>
      <c r="G4906" s="603" t="s">
        <v>396</v>
      </c>
      <c r="H4906" s="309">
        <f>1370781.55+AJE!P196</f>
        <v>4370781.55</v>
      </c>
      <c r="I4906" s="394"/>
      <c r="J4906" s="301"/>
      <c r="K4906" s="391"/>
      <c r="L4906" s="349"/>
      <c r="M4906" s="301"/>
      <c r="N4906" s="391"/>
      <c r="O4906" s="349"/>
      <c r="P4906" s="301"/>
      <c r="S4906" s="364"/>
      <c r="Z4906" s="609" t="s">
        <v>4340</v>
      </c>
      <c r="AA4906" s="609" t="s">
        <v>5713</v>
      </c>
    </row>
    <row r="4907" spans="1:27" ht="18">
      <c r="A4907" s="2712"/>
      <c r="B4907" s="371">
        <v>105</v>
      </c>
      <c r="C4907" s="371"/>
      <c r="D4907" s="2714">
        <f t="shared" si="538"/>
        <v>1</v>
      </c>
      <c r="E4907" s="2719">
        <v>0</v>
      </c>
      <c r="F4907" s="371"/>
      <c r="G4907" s="603" t="s">
        <v>344</v>
      </c>
      <c r="H4907" s="309"/>
      <c r="I4907" s="394"/>
      <c r="J4907" s="301"/>
      <c r="K4907" s="391"/>
      <c r="L4907" s="349"/>
      <c r="M4907" s="301"/>
      <c r="N4907" s="391"/>
      <c r="O4907" s="349"/>
      <c r="P4907" s="301"/>
      <c r="S4907" s="364"/>
      <c r="Z4907" s="609" t="s">
        <v>4340</v>
      </c>
      <c r="AA4907" s="609" t="s">
        <v>5713</v>
      </c>
    </row>
    <row r="4908" spans="1:27" ht="18">
      <c r="A4908" s="2712"/>
      <c r="B4908" s="371">
        <v>106</v>
      </c>
      <c r="C4908" s="371"/>
      <c r="D4908" s="2714">
        <f t="shared" si="538"/>
        <v>1</v>
      </c>
      <c r="E4908" s="2719">
        <v>0</v>
      </c>
      <c r="F4908" s="371"/>
      <c r="G4908" s="603" t="s">
        <v>381</v>
      </c>
      <c r="H4908" s="309"/>
      <c r="I4908" s="394"/>
      <c r="J4908" s="301"/>
      <c r="K4908" s="391"/>
      <c r="L4908" s="349"/>
      <c r="M4908" s="301"/>
      <c r="N4908" s="391"/>
      <c r="O4908" s="349"/>
      <c r="P4908" s="301"/>
      <c r="S4908" s="364"/>
      <c r="Z4908" s="609" t="s">
        <v>4340</v>
      </c>
      <c r="AA4908" s="609" t="s">
        <v>5713</v>
      </c>
    </row>
    <row r="4909" spans="1:27" ht="48">
      <c r="A4909" s="2712"/>
      <c r="B4909" s="371">
        <v>107</v>
      </c>
      <c r="C4909" s="371"/>
      <c r="D4909" s="2714">
        <f t="shared" si="538"/>
        <v>1</v>
      </c>
      <c r="E4909" s="2719">
        <v>1</v>
      </c>
      <c r="F4909" s="371"/>
      <c r="G4909" s="308" t="s">
        <v>4344</v>
      </c>
      <c r="H4909" s="309"/>
      <c r="I4909" s="394"/>
      <c r="J4909" s="301"/>
      <c r="K4909" s="391"/>
      <c r="L4909" s="349"/>
      <c r="M4909" s="301"/>
      <c r="N4909" s="391"/>
      <c r="O4909" s="349"/>
      <c r="P4909" s="301"/>
      <c r="S4909" s="364"/>
      <c r="Z4909" s="609" t="s">
        <v>4340</v>
      </c>
      <c r="AA4909" s="609" t="s">
        <v>5713</v>
      </c>
    </row>
    <row r="4910" spans="1:27" ht="48">
      <c r="A4910" s="2712"/>
      <c r="B4910" s="371">
        <v>108</v>
      </c>
      <c r="C4910" s="371"/>
      <c r="D4910" s="2714">
        <f t="shared" si="538"/>
        <v>1</v>
      </c>
      <c r="E4910" s="2719">
        <v>1</v>
      </c>
      <c r="F4910" s="371"/>
      <c r="G4910" s="319" t="s">
        <v>4345</v>
      </c>
      <c r="H4910" s="309"/>
      <c r="I4910" s="394"/>
      <c r="J4910" s="301"/>
      <c r="K4910" s="391"/>
      <c r="L4910" s="349"/>
      <c r="M4910" s="301"/>
      <c r="N4910" s="391"/>
      <c r="O4910" s="349"/>
      <c r="P4910" s="301"/>
      <c r="S4910" s="364"/>
      <c r="Z4910" s="609" t="s">
        <v>4340</v>
      </c>
      <c r="AA4910" s="609" t="s">
        <v>5713</v>
      </c>
    </row>
    <row r="4911" spans="1:27" ht="18">
      <c r="A4911" s="2712"/>
      <c r="B4911" s="371">
        <v>109</v>
      </c>
      <c r="C4911" s="371" t="s">
        <v>2791</v>
      </c>
      <c r="D4911" s="2714">
        <f t="shared" si="538"/>
        <v>0</v>
      </c>
      <c r="E4911" s="2719">
        <v>1</v>
      </c>
      <c r="F4911" s="371"/>
      <c r="G4911" s="319" t="s">
        <v>2792</v>
      </c>
      <c r="H4911" s="309"/>
      <c r="I4911" s="394"/>
      <c r="J4911" s="301"/>
      <c r="K4911" s="391"/>
      <c r="L4911" s="349"/>
      <c r="M4911" s="301"/>
      <c r="N4911" s="391"/>
      <c r="O4911" s="349"/>
      <c r="P4911" s="301"/>
      <c r="S4911" s="364"/>
      <c r="Z4911" s="609" t="s">
        <v>4340</v>
      </c>
      <c r="AA4911" s="609" t="s">
        <v>5713</v>
      </c>
    </row>
    <row r="4912" spans="1:27" ht="18.75" thickBot="1">
      <c r="A4912" s="2712"/>
      <c r="B4912" s="371"/>
      <c r="C4912" s="371"/>
      <c r="D4912" s="2714">
        <f t="shared" si="538"/>
        <v>1</v>
      </c>
      <c r="E4912" s="2719" t="s">
        <v>2751</v>
      </c>
      <c r="F4912" s="371"/>
      <c r="G4912" s="407" t="s">
        <v>2752</v>
      </c>
      <c r="H4912" s="375">
        <f>SUMPRODUCT($E4902:$E4911,H4902:H4911)</f>
        <v>4370781.55</v>
      </c>
      <c r="I4912" s="395">
        <f>SUMPRODUCT($E4902:$E4911,I4902:I4911)</f>
        <v>-1081801.72</v>
      </c>
      <c r="J4912" s="301"/>
      <c r="K4912" s="391"/>
      <c r="L4912" s="349"/>
      <c r="M4912" s="301"/>
      <c r="N4912" s="391"/>
      <c r="O4912" s="349"/>
      <c r="P4912" s="301"/>
      <c r="S4912" s="364"/>
      <c r="Z4912" s="609" t="s">
        <v>4340</v>
      </c>
      <c r="AA4912" s="609" t="s">
        <v>5713</v>
      </c>
    </row>
    <row r="4913" spans="1:29" ht="18">
      <c r="A4913" s="2712"/>
      <c r="B4913" s="371"/>
      <c r="C4913" s="371" t="s">
        <v>2755</v>
      </c>
      <c r="D4913" s="2714"/>
      <c r="F4913" s="371"/>
      <c r="G4913" s="376"/>
      <c r="H4913" s="315"/>
      <c r="I4913" s="396"/>
      <c r="J4913" s="301"/>
      <c r="K4913" s="391"/>
      <c r="L4913" s="349"/>
      <c r="M4913" s="301"/>
      <c r="N4913" s="391"/>
      <c r="O4913" s="349"/>
      <c r="P4913" s="301"/>
      <c r="S4913" s="364"/>
      <c r="Z4913" s="609" t="s">
        <v>4340</v>
      </c>
      <c r="AA4913" s="609" t="s">
        <v>5713</v>
      </c>
    </row>
    <row r="4914" spans="1:29" ht="18">
      <c r="A4914" s="2712">
        <v>6710</v>
      </c>
      <c r="B4914" s="371">
        <v>74</v>
      </c>
      <c r="C4914" s="2714" t="str">
        <f>VLOOKUP($A4914,Sheet_Items,2,0)</f>
        <v>营业外收入</v>
      </c>
      <c r="D4914" s="371"/>
      <c r="E4914" s="2714" t="s">
        <v>2739</v>
      </c>
      <c r="F4914" s="294"/>
      <c r="G4914" s="305" t="str">
        <f>B4914&amp;" "&amp;C4914</f>
        <v>74 营业外收入</v>
      </c>
      <c r="H4914" s="306"/>
      <c r="I4914" s="306"/>
      <c r="J4914" s="306" t="s">
        <v>4206</v>
      </c>
      <c r="K4914" s="341">
        <f>VLOOKUP($A4914,Sheet_Trialbal,6,0)</f>
        <v>68824.56</v>
      </c>
      <c r="L4914" s="342"/>
      <c r="M4914" s="306" t="s">
        <v>4207</v>
      </c>
      <c r="N4914" s="341">
        <f>VLOOKUP($A4914,Sheet_Trialbal,10,0)</f>
        <v>52566.02</v>
      </c>
      <c r="O4914" s="306"/>
      <c r="P4914" s="301"/>
      <c r="S4914" s="364"/>
      <c r="Z4914" s="609" t="s">
        <v>4148</v>
      </c>
      <c r="AA4914" s="609" t="s">
        <v>5714</v>
      </c>
    </row>
    <row r="4915" spans="1:29" ht="18">
      <c r="A4915" s="2712" t="s">
        <v>1933</v>
      </c>
      <c r="B4915" s="371">
        <v>1</v>
      </c>
      <c r="C4915" s="371"/>
      <c r="D4915" s="2714" t="str">
        <f>VLOOKUP($A4915,Sheet_NoteList,2,0)</f>
        <v>营业外收入明细项目</v>
      </c>
      <c r="E4915" s="2714" t="s">
        <v>2742</v>
      </c>
      <c r="F4915" s="294"/>
      <c r="G4915" s="307" t="str">
        <f>"("&amp;B4915&amp;")"&amp;D4915</f>
        <v>(1)营业外收入明细项目</v>
      </c>
      <c r="H4915" s="1515" t="str">
        <f>$A4915</f>
        <v>6710a</v>
      </c>
      <c r="I4915" s="343" t="s">
        <v>2743</v>
      </c>
      <c r="J4915" s="301" t="s">
        <v>4210</v>
      </c>
      <c r="K4915" s="2208">
        <f>H4926</f>
        <v>68824.56</v>
      </c>
      <c r="L4915" s="345" t="str">
        <f>IF($I4915="适用",IF(ROUND(K$4914-K4915,2)=0,"F/S",ROUND(K$4914-K4915,2)),"#N/A")</f>
        <v>F/S</v>
      </c>
      <c r="M4915" s="301" t="s">
        <v>4211</v>
      </c>
      <c r="N4915" s="2208">
        <f>I4926</f>
        <v>0</v>
      </c>
      <c r="O4915" s="345">
        <f>IF($I4915="适用",IF(ROUND(N$4914-N4915,2)=0,"F/S",ROUND(N$4914-N4915,2)),"#N/A")</f>
        <v>52566.02</v>
      </c>
      <c r="P4915" s="301"/>
      <c r="Q4915" s="290" t="str">
        <f>IF($I4915="不适用","",IF(ROUND(SUM($H$4918:$J$4926),2)=0,"请输入",""))</f>
        <v/>
      </c>
      <c r="S4915" s="364"/>
      <c r="Z4915" s="609" t="s">
        <v>4148</v>
      </c>
      <c r="AA4915" s="609" t="s">
        <v>5714</v>
      </c>
    </row>
    <row r="4916" spans="1:29" ht="0.75" customHeight="1" thickBot="1">
      <c r="A4916" s="2712"/>
      <c r="B4916" s="371"/>
      <c r="C4916" s="371"/>
      <c r="D4916" s="371"/>
      <c r="F4916" s="294"/>
      <c r="G4916" s="294" t="s">
        <v>4346</v>
      </c>
      <c r="H4916" s="294" t="s">
        <v>4223</v>
      </c>
      <c r="I4916" s="294" t="s">
        <v>4224</v>
      </c>
      <c r="J4916" s="294" t="s">
        <v>4347</v>
      </c>
      <c r="K4916" s="291"/>
      <c r="L4916" s="291"/>
      <c r="M4916" s="291"/>
      <c r="N4916" s="291"/>
      <c r="S4916" s="364"/>
      <c r="Z4916" s="609" t="s">
        <v>4148</v>
      </c>
      <c r="AA4916" s="609" t="s">
        <v>5714</v>
      </c>
    </row>
    <row r="4917" spans="1:29" ht="24">
      <c r="A4917" s="2712"/>
      <c r="B4917" s="371"/>
      <c r="C4917" s="371"/>
      <c r="D4917" s="371"/>
      <c r="E4917" s="2714" t="s">
        <v>2749</v>
      </c>
      <c r="F4917" s="294"/>
      <c r="G4917" s="378" t="s">
        <v>47</v>
      </c>
      <c r="H4917" s="398" t="str">
        <f>$V$4</f>
        <v>2019年度</v>
      </c>
      <c r="I4917" s="398" t="str">
        <f>$V$5</f>
        <v>2018年度</v>
      </c>
      <c r="J4917" s="511" t="s">
        <v>4348</v>
      </c>
      <c r="K4917" s="355" t="s">
        <v>5337</v>
      </c>
      <c r="L4917" s="291"/>
      <c r="M4917" s="291"/>
      <c r="N4917" s="291"/>
      <c r="S4917" s="364"/>
      <c r="Z4917" s="609" t="s">
        <v>4148</v>
      </c>
      <c r="AA4917" s="609" t="s">
        <v>5714</v>
      </c>
    </row>
    <row r="4918" spans="1:29" ht="18">
      <c r="A4918" s="2712"/>
      <c r="B4918" s="371">
        <v>101</v>
      </c>
      <c r="C4918" s="371"/>
      <c r="D4918" s="2714">
        <f t="shared" ref="D4918:D4926" si="539">IF(OR(G4918="*",G4918="",G4918=0),0,COUNTIF($G$4918:$G$4926,G4918))</f>
        <v>1</v>
      </c>
      <c r="E4918" s="2719">
        <v>1</v>
      </c>
      <c r="F4918" s="294"/>
      <c r="G4918" s="380" t="s">
        <v>4349</v>
      </c>
      <c r="H4918" s="383"/>
      <c r="I4918" s="383"/>
      <c r="J4918" s="401"/>
      <c r="K4918" s="424"/>
      <c r="L4918" s="291"/>
      <c r="M4918" s="291"/>
      <c r="N4918" s="291"/>
      <c r="S4918" s="364"/>
      <c r="Z4918" s="609" t="s">
        <v>4148</v>
      </c>
      <c r="AA4918" s="609" t="s">
        <v>5714</v>
      </c>
    </row>
    <row r="4919" spans="1:29" ht="18">
      <c r="A4919" s="2712"/>
      <c r="B4919" s="371">
        <v>102</v>
      </c>
      <c r="C4919" s="371"/>
      <c r="D4919" s="2714">
        <f t="shared" si="539"/>
        <v>1</v>
      </c>
      <c r="E4919" s="2719">
        <v>1</v>
      </c>
      <c r="F4919" s="294"/>
      <c r="G4919" s="380" t="s">
        <v>4350</v>
      </c>
      <c r="H4919" s="383"/>
      <c r="I4919" s="383"/>
      <c r="J4919" s="401"/>
      <c r="K4919" s="291"/>
      <c r="L4919" s="291"/>
      <c r="M4919" s="291"/>
      <c r="N4919" s="291"/>
      <c r="S4919" s="364"/>
      <c r="Z4919" s="609" t="s">
        <v>4148</v>
      </c>
      <c r="AA4919" s="609" t="s">
        <v>5714</v>
      </c>
    </row>
    <row r="4920" spans="1:29" ht="24">
      <c r="A4920" s="2712"/>
      <c r="B4920" s="371">
        <v>103</v>
      </c>
      <c r="C4920" s="371"/>
      <c r="D4920" s="2714">
        <f t="shared" si="539"/>
        <v>1</v>
      </c>
      <c r="E4920" s="2719">
        <v>1</v>
      </c>
      <c r="F4920" s="294"/>
      <c r="G4920" s="380" t="s">
        <v>1936</v>
      </c>
      <c r="H4920" s="383"/>
      <c r="I4920" s="383"/>
      <c r="J4920" s="401"/>
      <c r="K4920" s="1531" t="str">
        <f ca="1">HYPERLINK("#'"&amp;$G$1&amp;"'!"&amp;ADDRESS(ROW(Notes!H4939),COLUMN(Notes!H4939),4),"* 请勿删除此行！点击往勾稽单元格，F5+Enter返回")</f>
        <v>* 请勿删除此行！点击往勾稽单元格，F5+Enter返回</v>
      </c>
      <c r="L4920" s="291"/>
      <c r="M4920" s="291"/>
      <c r="N4920" s="291"/>
      <c r="S4920" s="364"/>
      <c r="Z4920" s="609" t="s">
        <v>4148</v>
      </c>
      <c r="AA4920" s="609" t="s">
        <v>5714</v>
      </c>
      <c r="AC4920" s="369" t="s">
        <v>6571</v>
      </c>
    </row>
    <row r="4921" spans="1:29" ht="18">
      <c r="A4921" s="2712"/>
      <c r="B4921" s="371">
        <v>104</v>
      </c>
      <c r="C4921" s="371"/>
      <c r="D4921" s="2714">
        <f t="shared" si="539"/>
        <v>1</v>
      </c>
      <c r="E4921" s="2719">
        <v>1</v>
      </c>
      <c r="F4921" s="294"/>
      <c r="G4921" s="380" t="s">
        <v>4351</v>
      </c>
      <c r="H4921" s="383"/>
      <c r="I4921" s="383"/>
      <c r="J4921" s="401"/>
      <c r="K4921" s="357"/>
      <c r="L4921" s="291"/>
      <c r="M4921" s="291"/>
      <c r="N4921" s="291"/>
      <c r="S4921" s="364"/>
      <c r="Z4921" s="609" t="s">
        <v>4148</v>
      </c>
      <c r="AA4921" s="609" t="s">
        <v>5714</v>
      </c>
    </row>
    <row r="4922" spans="1:29" ht="18">
      <c r="A4922" s="2712"/>
      <c r="B4922" s="371">
        <v>105</v>
      </c>
      <c r="C4922" s="371" t="s">
        <v>2791</v>
      </c>
      <c r="D4922" s="2714">
        <f t="shared" si="539"/>
        <v>1</v>
      </c>
      <c r="E4922" s="2719">
        <v>1</v>
      </c>
      <c r="F4922" s="294"/>
      <c r="G4922" s="409" t="s">
        <v>7755</v>
      </c>
      <c r="H4922" s="383">
        <v>68824.56</v>
      </c>
      <c r="I4922" s="383"/>
      <c r="J4922" s="401"/>
      <c r="K4922" s="291"/>
      <c r="L4922" s="291"/>
      <c r="M4922" s="291"/>
      <c r="N4922" s="291"/>
      <c r="S4922" s="364"/>
      <c r="Z4922" s="609" t="s">
        <v>4148</v>
      </c>
      <c r="AA4922" s="609" t="s">
        <v>5714</v>
      </c>
    </row>
    <row r="4923" spans="1:29" ht="18">
      <c r="A4923" s="2712"/>
      <c r="B4923" s="371">
        <v>106</v>
      </c>
      <c r="C4923" s="371" t="s">
        <v>2791</v>
      </c>
      <c r="D4923" s="2714">
        <f t="shared" si="539"/>
        <v>0</v>
      </c>
      <c r="E4923" s="2719">
        <v>1</v>
      </c>
      <c r="F4923" s="294"/>
      <c r="G4923" s="409" t="s">
        <v>2792</v>
      </c>
      <c r="H4923" s="383"/>
      <c r="I4923" s="383"/>
      <c r="J4923" s="401"/>
      <c r="K4923" s="291"/>
      <c r="L4923" s="291"/>
      <c r="M4923" s="291"/>
      <c r="N4923" s="291"/>
      <c r="S4923" s="364"/>
      <c r="Z4923" s="609" t="s">
        <v>4148</v>
      </c>
      <c r="AA4923" s="609" t="s">
        <v>5714</v>
      </c>
    </row>
    <row r="4924" spans="1:29" ht="18">
      <c r="A4924" s="2712"/>
      <c r="B4924" s="371">
        <v>107</v>
      </c>
      <c r="C4924" s="371" t="s">
        <v>2791</v>
      </c>
      <c r="D4924" s="2714">
        <f t="shared" si="539"/>
        <v>0</v>
      </c>
      <c r="E4924" s="2719">
        <v>1</v>
      </c>
      <c r="F4924" s="294"/>
      <c r="G4924" s="409" t="s">
        <v>2792</v>
      </c>
      <c r="H4924" s="383"/>
      <c r="I4924" s="383"/>
      <c r="J4924" s="401"/>
      <c r="K4924" s="291"/>
      <c r="L4924" s="291"/>
      <c r="M4924" s="291"/>
      <c r="N4924" s="291"/>
      <c r="S4924" s="364"/>
      <c r="Z4924" s="609" t="s">
        <v>4148</v>
      </c>
      <c r="AA4924" s="609" t="s">
        <v>5714</v>
      </c>
    </row>
    <row r="4925" spans="1:29" ht="18">
      <c r="A4925" s="2712"/>
      <c r="B4925" s="371">
        <v>109</v>
      </c>
      <c r="C4925" s="371" t="s">
        <v>2791</v>
      </c>
      <c r="D4925" s="2714">
        <f t="shared" si="539"/>
        <v>0</v>
      </c>
      <c r="E4925" s="2719">
        <v>1</v>
      </c>
      <c r="F4925" s="294"/>
      <c r="G4925" s="409" t="s">
        <v>2792</v>
      </c>
      <c r="H4925" s="383"/>
      <c r="I4925" s="383"/>
      <c r="J4925" s="401"/>
      <c r="K4925" s="291"/>
      <c r="L4925" s="291"/>
      <c r="M4925" s="291"/>
      <c r="N4925" s="291"/>
      <c r="S4925" s="364"/>
      <c r="Z4925" s="609" t="s">
        <v>4148</v>
      </c>
      <c r="AA4925" s="609" t="s">
        <v>5714</v>
      </c>
    </row>
    <row r="4926" spans="1:29" ht="18.75" thickBot="1">
      <c r="A4926" s="2712"/>
      <c r="B4926" s="371"/>
      <c r="C4926" s="371"/>
      <c r="D4926" s="2714">
        <f t="shared" si="539"/>
        <v>1</v>
      </c>
      <c r="E4926" s="2719" t="s">
        <v>2751</v>
      </c>
      <c r="F4926" s="294"/>
      <c r="G4926" s="403" t="s">
        <v>2752</v>
      </c>
      <c r="H4926" s="404">
        <f>SUMPRODUCT($E4917:$E4925,H4917:H4925)</f>
        <v>68824.56</v>
      </c>
      <c r="I4926" s="404">
        <f>SUMPRODUCT($E4917:$E4925,I4917:I4925)</f>
        <v>0</v>
      </c>
      <c r="J4926" s="413">
        <f>SUMPRODUCT($E4917:$E4925,J4917:J4925)</f>
        <v>0</v>
      </c>
      <c r="K4926" s="291"/>
      <c r="L4926" s="291"/>
      <c r="M4926" s="291"/>
      <c r="N4926" s="291"/>
      <c r="S4926" s="364"/>
      <c r="Z4926" s="609" t="s">
        <v>4148</v>
      </c>
      <c r="AA4926" s="609" t="s">
        <v>5714</v>
      </c>
    </row>
    <row r="4927" spans="1:29" ht="18">
      <c r="A4927" s="2712"/>
      <c r="B4927" s="371"/>
      <c r="C4927" s="371" t="s">
        <v>2755</v>
      </c>
      <c r="D4927" s="371"/>
      <c r="F4927" s="294"/>
      <c r="G4927" s="301"/>
      <c r="H4927" s="315"/>
      <c r="I4927" s="315"/>
      <c r="J4927" s="315"/>
      <c r="K4927" s="291"/>
      <c r="L4927" s="291"/>
      <c r="M4927" s="291"/>
      <c r="N4927" s="291"/>
      <c r="S4927" s="364"/>
      <c r="Z4927" s="609" t="s">
        <v>4148</v>
      </c>
      <c r="AA4927" s="609" t="s">
        <v>5714</v>
      </c>
    </row>
    <row r="4928" spans="1:29" ht="24">
      <c r="A4928" s="2712" t="s">
        <v>1935</v>
      </c>
      <c r="B4928" s="371">
        <v>2</v>
      </c>
      <c r="C4928" s="371"/>
      <c r="D4928" s="2714" t="str">
        <f>VLOOKUP($A4928,Sheet_NoteList,2,0)</f>
        <v>与企业日常活动无关的政府补助</v>
      </c>
      <c r="E4928" s="2714" t="s">
        <v>2742</v>
      </c>
      <c r="F4928" s="294"/>
      <c r="G4928" s="372" t="str">
        <f>"("&amp;B4928&amp;")"&amp;D4928</f>
        <v>(2)与企业日常活动无关的政府补助</v>
      </c>
      <c r="H4928" s="1515" t="str">
        <f>$A4928</f>
        <v>6710b</v>
      </c>
      <c r="I4928" s="343" t="s">
        <v>2743</v>
      </c>
      <c r="J4928" s="301" t="s">
        <v>4210</v>
      </c>
      <c r="K4928" s="2208">
        <f>H4936</f>
        <v>0</v>
      </c>
      <c r="L4928" s="345"/>
      <c r="M4928" s="301" t="s">
        <v>4211</v>
      </c>
      <c r="N4928" s="2208">
        <f>I4936</f>
        <v>0</v>
      </c>
      <c r="O4928" s="345"/>
      <c r="P4928" s="301"/>
      <c r="Q4928" s="290" t="str">
        <f>IF($I4928="不适用","",IF(ROUND(SUM($H$4931:$K$4936),2)=0,"请输入",""))</f>
        <v>请输入</v>
      </c>
      <c r="S4928" s="364"/>
      <c r="Z4928" s="609" t="s">
        <v>4148</v>
      </c>
      <c r="AA4928" s="609" t="s">
        <v>5714</v>
      </c>
    </row>
    <row r="4929" spans="1:27" ht="0.75" customHeight="1" thickBot="1">
      <c r="A4929" s="2712"/>
      <c r="B4929" s="371"/>
      <c r="C4929" s="371"/>
      <c r="D4929" s="371"/>
      <c r="E4929" s="586"/>
      <c r="F4929" s="518"/>
      <c r="G4929" s="518" t="s">
        <v>4352</v>
      </c>
      <c r="H4929" s="304" t="s">
        <v>4223</v>
      </c>
      <c r="I4929" s="304" t="s">
        <v>4224</v>
      </c>
      <c r="J4929" s="304" t="s">
        <v>3671</v>
      </c>
      <c r="K4929" s="619"/>
      <c r="L4929" s="442"/>
      <c r="M4929" s="442"/>
      <c r="N4929" s="442"/>
      <c r="O4929" s="442"/>
      <c r="P4929" s="442"/>
      <c r="Q4929" s="442"/>
      <c r="R4929" s="443"/>
      <c r="S4929" s="364"/>
      <c r="Z4929" s="609" t="s">
        <v>4148</v>
      </c>
      <c r="AA4929" s="609" t="s">
        <v>5714</v>
      </c>
    </row>
    <row r="4930" spans="1:27" ht="24">
      <c r="A4930" s="2712"/>
      <c r="B4930" s="371"/>
      <c r="C4930" s="371"/>
      <c r="D4930" s="371"/>
      <c r="E4930" s="586" t="s">
        <v>2749</v>
      </c>
      <c r="F4930" s="363"/>
      <c r="G4930" s="2455" t="s">
        <v>1628</v>
      </c>
      <c r="H4930" s="2462" t="str">
        <f>$V$4</f>
        <v>2019年度</v>
      </c>
      <c r="I4930" s="2462" t="str">
        <f>$V$5</f>
        <v>2018年度</v>
      </c>
      <c r="J4930" s="2467" t="s">
        <v>5235</v>
      </c>
      <c r="K4930" s="355" t="s">
        <v>5337</v>
      </c>
      <c r="L4930" s="442"/>
      <c r="M4930" s="442"/>
      <c r="N4930" s="442"/>
      <c r="O4930" s="442"/>
      <c r="P4930" s="442"/>
      <c r="Q4930" s="442"/>
      <c r="R4930" s="443"/>
      <c r="S4930" s="364"/>
      <c r="Z4930" s="609" t="s">
        <v>4148</v>
      </c>
      <c r="AA4930" s="609" t="s">
        <v>5714</v>
      </c>
    </row>
    <row r="4931" spans="1:27" ht="18">
      <c r="A4931" s="2712"/>
      <c r="B4931" s="371">
        <v>101</v>
      </c>
      <c r="C4931" s="371" t="s">
        <v>2791</v>
      </c>
      <c r="D4931" s="2714">
        <f t="shared" ref="D4931:D4936" si="540">IF(OR(G4931="*",G4931="",G4931=0),0,COUNTIF($G$4931:$G$4936,G4931))</f>
        <v>0</v>
      </c>
      <c r="E4931" s="2719">
        <v>1</v>
      </c>
      <c r="F4931" s="294"/>
      <c r="G4931" s="2465" t="s">
        <v>2792</v>
      </c>
      <c r="H4931" s="2273"/>
      <c r="I4931" s="2273"/>
      <c r="J4931" s="2274"/>
      <c r="K4931" s="2670" t="s">
        <v>6359</v>
      </c>
      <c r="L4931" s="2671" t="s">
        <v>6360</v>
      </c>
      <c r="M4931" s="442"/>
      <c r="N4931" s="442"/>
      <c r="O4931" s="442"/>
      <c r="P4931" s="442"/>
      <c r="Q4931" s="442"/>
      <c r="R4931" s="443"/>
      <c r="S4931" s="364"/>
      <c r="Z4931" s="609" t="s">
        <v>4148</v>
      </c>
      <c r="AA4931" s="609" t="s">
        <v>5714</v>
      </c>
    </row>
    <row r="4932" spans="1:27" ht="18">
      <c r="A4932" s="2712"/>
      <c r="B4932" s="371">
        <v>102</v>
      </c>
      <c r="C4932" s="371" t="s">
        <v>2791</v>
      </c>
      <c r="D4932" s="2714">
        <f t="shared" si="540"/>
        <v>0</v>
      </c>
      <c r="E4932" s="2719">
        <v>1</v>
      </c>
      <c r="F4932" s="294"/>
      <c r="G4932" s="2465" t="s">
        <v>2792</v>
      </c>
      <c r="H4932" s="2273"/>
      <c r="I4932" s="2273"/>
      <c r="J4932" s="2274"/>
      <c r="K4932" s="1602"/>
      <c r="L4932" s="2671" t="s">
        <v>6361</v>
      </c>
      <c r="M4932" s="442"/>
      <c r="N4932" s="442"/>
      <c r="O4932" s="442"/>
      <c r="P4932" s="442"/>
      <c r="Q4932" s="442"/>
      <c r="R4932" s="443"/>
      <c r="S4932" s="364"/>
      <c r="Z4932" s="609" t="s">
        <v>4148</v>
      </c>
      <c r="AA4932" s="609" t="s">
        <v>5714</v>
      </c>
    </row>
    <row r="4933" spans="1:27" ht="18">
      <c r="A4933" s="2712"/>
      <c r="B4933" s="371">
        <v>103</v>
      </c>
      <c r="C4933" s="371" t="s">
        <v>2791</v>
      </c>
      <c r="D4933" s="2714">
        <f t="shared" si="540"/>
        <v>0</v>
      </c>
      <c r="E4933" s="2719">
        <v>1</v>
      </c>
      <c r="F4933" s="294"/>
      <c r="G4933" s="2465" t="s">
        <v>2792</v>
      </c>
      <c r="H4933" s="2273"/>
      <c r="I4933" s="2273"/>
      <c r="J4933" s="2274"/>
      <c r="K4933" s="437"/>
      <c r="L4933" s="442"/>
      <c r="M4933" s="442"/>
      <c r="N4933" s="442"/>
      <c r="O4933" s="442"/>
      <c r="P4933" s="442"/>
      <c r="Q4933" s="442"/>
      <c r="R4933" s="443"/>
      <c r="S4933" s="364"/>
      <c r="Z4933" s="609" t="s">
        <v>4148</v>
      </c>
      <c r="AA4933" s="609" t="s">
        <v>5714</v>
      </c>
    </row>
    <row r="4934" spans="1:27" ht="18">
      <c r="A4934" s="2712"/>
      <c r="B4934" s="371">
        <v>104</v>
      </c>
      <c r="C4934" s="371" t="s">
        <v>2791</v>
      </c>
      <c r="D4934" s="2714">
        <f t="shared" si="540"/>
        <v>0</v>
      </c>
      <c r="E4934" s="2719">
        <v>1</v>
      </c>
      <c r="F4934" s="294"/>
      <c r="G4934" s="2465" t="s">
        <v>2792</v>
      </c>
      <c r="H4934" s="2273"/>
      <c r="I4934" s="2273"/>
      <c r="J4934" s="2274"/>
      <c r="K4934" s="437"/>
      <c r="L4934" s="442"/>
      <c r="M4934" s="442"/>
      <c r="N4934" s="442"/>
      <c r="O4934" s="442"/>
      <c r="P4934" s="442"/>
      <c r="Q4934" s="442"/>
      <c r="R4934" s="443"/>
      <c r="S4934" s="364"/>
      <c r="Z4934" s="609" t="s">
        <v>4148</v>
      </c>
      <c r="AA4934" s="609" t="s">
        <v>5714</v>
      </c>
    </row>
    <row r="4935" spans="1:27" ht="18">
      <c r="A4935" s="2712"/>
      <c r="B4935" s="371">
        <v>105</v>
      </c>
      <c r="C4935" s="371" t="s">
        <v>2791</v>
      </c>
      <c r="D4935" s="2714">
        <f t="shared" si="540"/>
        <v>0</v>
      </c>
      <c r="E4935" s="2719">
        <v>1</v>
      </c>
      <c r="F4935" s="294"/>
      <c r="G4935" s="2465" t="s">
        <v>2792</v>
      </c>
      <c r="H4935" s="2273"/>
      <c r="I4935" s="2273"/>
      <c r="J4935" s="2274"/>
      <c r="K4935" s="437"/>
      <c r="L4935" s="442"/>
      <c r="M4935" s="442"/>
      <c r="N4935" s="442"/>
      <c r="O4935" s="442"/>
      <c r="P4935" s="442"/>
      <c r="Q4935" s="442"/>
      <c r="R4935" s="443"/>
      <c r="S4935" s="364"/>
      <c r="Z4935" s="609" t="s">
        <v>4148</v>
      </c>
      <c r="AA4935" s="609" t="s">
        <v>5714</v>
      </c>
    </row>
    <row r="4936" spans="1:27" ht="18.75" thickBot="1">
      <c r="A4936" s="2712"/>
      <c r="B4936" s="371"/>
      <c r="C4936" s="371"/>
      <c r="D4936" s="2714">
        <f t="shared" si="540"/>
        <v>1</v>
      </c>
      <c r="E4936" s="2719" t="s">
        <v>2751</v>
      </c>
      <c r="F4936" s="294"/>
      <c r="G4936" s="374" t="s">
        <v>2752</v>
      </c>
      <c r="H4936" s="1476">
        <f>SUMPRODUCT($E4930:$E4935,H4930:H4935)</f>
        <v>0</v>
      </c>
      <c r="I4936" s="1476">
        <f>SUMPRODUCT($E4930:$E4935,I4930:I4935)</f>
        <v>0</v>
      </c>
      <c r="J4936" s="2258"/>
      <c r="K4936" s="437"/>
      <c r="L4936" s="442"/>
      <c r="M4936" s="442"/>
      <c r="N4936" s="442"/>
      <c r="O4936" s="442"/>
      <c r="P4936" s="442"/>
      <c r="Q4936" s="442"/>
      <c r="R4936" s="443"/>
      <c r="S4936" s="364"/>
      <c r="Z4936" s="609" t="s">
        <v>4148</v>
      </c>
      <c r="AA4936" s="609" t="s">
        <v>5714</v>
      </c>
    </row>
    <row r="4937" spans="1:27" ht="18.75" thickBot="1">
      <c r="A4937" s="2712"/>
      <c r="B4937" s="371"/>
      <c r="C4937" s="371" t="s">
        <v>2755</v>
      </c>
      <c r="D4937" s="371"/>
      <c r="F4937" s="294"/>
      <c r="G4937" s="301"/>
      <c r="H4937" s="315" t="s">
        <v>3002</v>
      </c>
      <c r="I4937" s="315" t="s">
        <v>3002</v>
      </c>
      <c r="J4937" s="393"/>
      <c r="K4937" s="437"/>
      <c r="L4937" s="437"/>
      <c r="M4937" s="437"/>
      <c r="N4937" s="437"/>
      <c r="O4937" s="442"/>
      <c r="P4937" s="442"/>
      <c r="Q4937" s="442"/>
      <c r="R4937" s="443"/>
      <c r="S4937" s="364"/>
      <c r="Z4937" s="609" t="s">
        <v>4148</v>
      </c>
      <c r="AA4937" s="609" t="s">
        <v>5714</v>
      </c>
    </row>
    <row r="4938" spans="1:27" ht="18.75" thickTop="1">
      <c r="A4938" s="2712"/>
      <c r="B4938" s="371"/>
      <c r="C4938" s="371" t="s">
        <v>2565</v>
      </c>
      <c r="D4938" s="371"/>
      <c r="F4938" s="294"/>
      <c r="G4938" s="454" t="s">
        <v>2756</v>
      </c>
      <c r="H4938" s="455" t="str">
        <f>G4915</f>
        <v>(1)营业外收入明细项目</v>
      </c>
      <c r="I4938" s="487"/>
      <c r="J4938" s="474"/>
      <c r="K4938" s="474"/>
      <c r="L4938" s="350"/>
      <c r="M4938" s="350"/>
      <c r="N4938" s="350"/>
      <c r="S4938" s="364"/>
      <c r="Z4938" s="609" t="s">
        <v>4148</v>
      </c>
      <c r="AA4938" s="609" t="s">
        <v>5714</v>
      </c>
    </row>
    <row r="4939" spans="1:27" ht="24">
      <c r="A4939" s="2712"/>
      <c r="B4939" s="371"/>
      <c r="C4939" s="371" t="s">
        <v>2565</v>
      </c>
      <c r="D4939" s="371"/>
      <c r="F4939" s="294"/>
      <c r="G4939" s="316" t="str">
        <f>G4920</f>
        <v>与企业日常活动无关的政府补助</v>
      </c>
      <c r="H4939" s="2250">
        <f ca="1">HYPERLINK("#'"&amp;$G$1&amp;"'!"&amp;ADDRESS(ROW(Notes!H4920),COLUMN(Notes!H4920),4),H4920)</f>
        <v>0</v>
      </c>
      <c r="I4939" s="2250">
        <f ca="1">HYPERLINK("#'"&amp;$G$1&amp;"'!"&amp;ADDRESS(ROW(Notes!I4920),COLUMN(Notes!I4920),4),I4920)</f>
        <v>0</v>
      </c>
      <c r="J4939" s="351"/>
      <c r="K4939" s="2630" t="str">
        <f>H4915</f>
        <v>6710a</v>
      </c>
      <c r="L4939" s="350"/>
      <c r="M4939" s="350"/>
      <c r="N4939" s="350"/>
      <c r="S4939" s="364"/>
      <c r="Z4939" s="609" t="s">
        <v>4148</v>
      </c>
      <c r="AA4939" s="609" t="s">
        <v>5714</v>
      </c>
    </row>
    <row r="4940" spans="1:27" ht="18">
      <c r="A4940" s="2712"/>
      <c r="B4940" s="371"/>
      <c r="C4940" s="371" t="s">
        <v>2565</v>
      </c>
      <c r="D4940" s="371"/>
      <c r="F4940" s="294"/>
      <c r="G4940" s="316" t="s">
        <v>3003</v>
      </c>
      <c r="H4940" s="456">
        <f>H4936</f>
        <v>0</v>
      </c>
      <c r="I4940" s="456">
        <f>I4936</f>
        <v>0</v>
      </c>
      <c r="J4940" s="351"/>
      <c r="K4940" s="351"/>
      <c r="L4940" s="350"/>
      <c r="M4940" s="350"/>
      <c r="N4940" s="350"/>
      <c r="S4940" s="364"/>
      <c r="Z4940" s="609" t="s">
        <v>4148</v>
      </c>
      <c r="AA4940" s="609" t="s">
        <v>5714</v>
      </c>
    </row>
    <row r="4941" spans="1:27" ht="18.75" thickBot="1">
      <c r="A4941" s="2712"/>
      <c r="B4941" s="371"/>
      <c r="C4941" s="371" t="s">
        <v>2565</v>
      </c>
      <c r="D4941" s="371"/>
      <c r="F4941" s="294"/>
      <c r="G4941" s="457" t="s">
        <v>2757</v>
      </c>
      <c r="H4941" s="458">
        <f ca="1">IF(AND(H4939="",H4940=""),"",ROUND(H4939-H4940,2))</f>
        <v>0</v>
      </c>
      <c r="I4941" s="458">
        <f ca="1">IF(AND(I4939="",I4940=""),"",ROUND(I4939-I4940,2))</f>
        <v>0</v>
      </c>
      <c r="J4941" s="356"/>
      <c r="K4941" s="356"/>
      <c r="L4941" s="350"/>
      <c r="M4941" s="350"/>
      <c r="N4941" s="350"/>
      <c r="S4941" s="364"/>
      <c r="Z4941" s="609" t="s">
        <v>4148</v>
      </c>
      <c r="AA4941" s="609" t="s">
        <v>5714</v>
      </c>
    </row>
    <row r="4942" spans="1:27" ht="18.75" thickTop="1">
      <c r="A4942" s="2712"/>
      <c r="B4942" s="371"/>
      <c r="C4942" s="371" t="s">
        <v>2565</v>
      </c>
      <c r="D4942" s="371"/>
      <c r="F4942" s="294"/>
      <c r="G4942" s="354"/>
      <c r="H4942" s="459" t="str">
        <f ca="1">IF(OR(H4941=0,H4941=""),"√","？")</f>
        <v>√</v>
      </c>
      <c r="I4942" s="459" t="str">
        <f ca="1">IF(OR(I4941=0,I4941=""),"√","？")</f>
        <v>√</v>
      </c>
      <c r="J4942" s="317"/>
      <c r="K4942" s="317"/>
      <c r="L4942" s="350"/>
      <c r="M4942" s="350"/>
      <c r="N4942" s="350"/>
      <c r="S4942" s="364"/>
      <c r="Z4942" s="609" t="s">
        <v>4148</v>
      </c>
      <c r="AA4942" s="609" t="s">
        <v>5714</v>
      </c>
    </row>
    <row r="4943" spans="1:27" ht="18">
      <c r="A4943" s="2712"/>
      <c r="B4943" s="371"/>
      <c r="C4943" s="371" t="s">
        <v>2565</v>
      </c>
      <c r="D4943" s="371"/>
      <c r="F4943" s="294"/>
      <c r="G4943" s="460" t="s">
        <v>2759</v>
      </c>
      <c r="H4943" s="461"/>
      <c r="I4943" s="461"/>
      <c r="J4943" s="317"/>
      <c r="K4943" s="352">
        <f ca="1">SUMIF($H$4942:$K$4942,"&lt;&gt;√",$H$4941:$K$4941)</f>
        <v>0</v>
      </c>
      <c r="L4943" s="353" t="str">
        <f ca="1">IF(OR(K4943=0,K4943=""),"√","？")</f>
        <v>√</v>
      </c>
      <c r="M4943" s="350"/>
      <c r="N4943" s="350"/>
      <c r="S4943" s="364"/>
      <c r="Z4943" s="609" t="s">
        <v>4148</v>
      </c>
      <c r="AA4943" s="609" t="s">
        <v>5714</v>
      </c>
    </row>
    <row r="4944" spans="1:27" ht="18">
      <c r="A4944" s="2712"/>
      <c r="B4944" s="371"/>
      <c r="C4944" s="371" t="s">
        <v>2565</v>
      </c>
      <c r="D4944" s="371"/>
      <c r="F4944" s="294"/>
      <c r="G4944" s="354"/>
      <c r="H4944" s="461"/>
      <c r="I4944" s="461"/>
      <c r="J4944" s="317"/>
      <c r="K4944" s="317"/>
      <c r="L4944" s="350"/>
      <c r="M4944" s="350"/>
      <c r="N4944" s="350"/>
      <c r="S4944" s="364"/>
      <c r="Z4944" s="609" t="s">
        <v>4148</v>
      </c>
      <c r="AA4944" s="609" t="s">
        <v>5714</v>
      </c>
    </row>
    <row r="4945" spans="1:27" ht="18">
      <c r="A4945" s="2712">
        <v>6711</v>
      </c>
      <c r="B4945" s="371">
        <v>75</v>
      </c>
      <c r="C4945" s="2714" t="str">
        <f>VLOOKUP($A4945,Sheet_Items,2,0)</f>
        <v>营业外支出</v>
      </c>
      <c r="D4945" s="371"/>
      <c r="E4945" s="2714" t="s">
        <v>2739</v>
      </c>
      <c r="F4945" s="294"/>
      <c r="G4945" s="305" t="str">
        <f>B4945&amp;" "&amp;C4945</f>
        <v>75 营业外支出</v>
      </c>
      <c r="H4945" s="306"/>
      <c r="I4945" s="306"/>
      <c r="J4945" s="306" t="s">
        <v>4206</v>
      </c>
      <c r="K4945" s="341">
        <f>VLOOKUP($A4945,Sheet_Trialbal,6,0)</f>
        <v>1812843.01</v>
      </c>
      <c r="L4945" s="342"/>
      <c r="M4945" s="306" t="s">
        <v>4207</v>
      </c>
      <c r="N4945" s="341">
        <f>VLOOKUP($A4945,Sheet_Trialbal,10,0)</f>
        <v>910205.83</v>
      </c>
      <c r="O4945" s="306"/>
      <c r="P4945" s="301"/>
      <c r="S4945" s="364"/>
      <c r="Z4945" s="609" t="s">
        <v>4353</v>
      </c>
      <c r="AA4945" s="609" t="s">
        <v>5715</v>
      </c>
    </row>
    <row r="4946" spans="1:27" ht="18">
      <c r="A4946" s="2712" t="s">
        <v>1937</v>
      </c>
      <c r="B4946" s="371">
        <v>1</v>
      </c>
      <c r="C4946" s="371"/>
      <c r="D4946" s="2714" t="str">
        <f>VLOOKUP($A4946,Sheet_NoteList,2,0)</f>
        <v>营业外支出明细项目</v>
      </c>
      <c r="E4946" s="2714" t="s">
        <v>2742</v>
      </c>
      <c r="F4946" s="294"/>
      <c r="G4946" s="307" t="str">
        <f>"("&amp;B4946&amp;")"&amp;D4946</f>
        <v>(1)营业外支出明细项目</v>
      </c>
      <c r="H4946" s="1515" t="str">
        <f>$A4946</f>
        <v>6711a</v>
      </c>
      <c r="I4946" s="343" t="s">
        <v>2743</v>
      </c>
      <c r="J4946" s="301" t="s">
        <v>4210</v>
      </c>
      <c r="K4946" s="2208">
        <f>H4956</f>
        <v>1812843.01</v>
      </c>
      <c r="L4946" s="345" t="str">
        <f>IF($I4946="适用",IF(ROUND(K4945-K4946,2)=0,"F/S",ROUND(K4945-K4946,2)),"#N/A")</f>
        <v>F/S</v>
      </c>
      <c r="M4946" s="301" t="s">
        <v>4211</v>
      </c>
      <c r="N4946" s="2208">
        <f>I4956</f>
        <v>910205.83</v>
      </c>
      <c r="O4946" s="345" t="str">
        <f>IF($I4946="适用",IF(ROUND(N4945-N4946,2)=0,"F/S",ROUND(N4945-N4946,2)),"#N/A")</f>
        <v>F/S</v>
      </c>
      <c r="P4946" s="301"/>
      <c r="Q4946" s="290" t="str">
        <f>IF($I4946="不适用","",IF(ROUND(SUM($H$4949:$J$4956),2)=0,"请输入",""))</f>
        <v/>
      </c>
      <c r="S4946" s="364"/>
      <c r="Z4946" s="609" t="s">
        <v>4353</v>
      </c>
      <c r="AA4946" s="609" t="s">
        <v>5715</v>
      </c>
    </row>
    <row r="4947" spans="1:27" ht="0.75" customHeight="1" thickBot="1">
      <c r="A4947" s="2712"/>
      <c r="B4947" s="371"/>
      <c r="C4947" s="371"/>
      <c r="D4947" s="371"/>
      <c r="E4947" s="586"/>
      <c r="F4947" s="363"/>
      <c r="G4947" s="363" t="s">
        <v>4354</v>
      </c>
      <c r="H4947" s="294" t="s">
        <v>4223</v>
      </c>
      <c r="I4947" s="294" t="s">
        <v>4224</v>
      </c>
      <c r="J4947" s="294" t="s">
        <v>4347</v>
      </c>
      <c r="K4947" s="291"/>
      <c r="L4947" s="291"/>
      <c r="M4947" s="291"/>
      <c r="N4947" s="291"/>
      <c r="S4947" s="364"/>
      <c r="Z4947" s="609" t="s">
        <v>4353</v>
      </c>
      <c r="AA4947" s="609" t="s">
        <v>5715</v>
      </c>
    </row>
    <row r="4948" spans="1:27" ht="24">
      <c r="A4948" s="2712"/>
      <c r="B4948" s="371"/>
      <c r="C4948" s="371"/>
      <c r="D4948" s="371"/>
      <c r="E4948" s="586" t="s">
        <v>2749</v>
      </c>
      <c r="F4948" s="363"/>
      <c r="G4948" s="2455" t="s">
        <v>47</v>
      </c>
      <c r="H4948" s="2462" t="str">
        <f>$V$4</f>
        <v>2019年度</v>
      </c>
      <c r="I4948" s="2462" t="str">
        <f>$V$5</f>
        <v>2018年度</v>
      </c>
      <c r="J4948" s="2467" t="s">
        <v>4348</v>
      </c>
      <c r="K4948" s="355" t="s">
        <v>5338</v>
      </c>
      <c r="L4948" s="291"/>
      <c r="M4948" s="291"/>
      <c r="N4948" s="291"/>
      <c r="S4948" s="364"/>
      <c r="Z4948" s="609" t="s">
        <v>4353</v>
      </c>
      <c r="AA4948" s="609" t="s">
        <v>5715</v>
      </c>
    </row>
    <row r="4949" spans="1:27" ht="18">
      <c r="A4949" s="2712"/>
      <c r="B4949" s="371">
        <v>101</v>
      </c>
      <c r="C4949" s="371"/>
      <c r="D4949" s="2714">
        <f t="shared" ref="D4949:D4956" si="541">IF(OR(G4949="*",G4949="",G4949=0),0,COUNTIF($G$4949:$G$4956,G4949))</f>
        <v>1</v>
      </c>
      <c r="E4949" s="2719">
        <v>1</v>
      </c>
      <c r="F4949" s="294"/>
      <c r="G4949" s="1472" t="s">
        <v>4355</v>
      </c>
      <c r="H4949" s="2273"/>
      <c r="I4949" s="2273">
        <v>30000</v>
      </c>
      <c r="J4949" s="2294"/>
      <c r="K4949" s="291"/>
      <c r="L4949" s="291"/>
      <c r="M4949" s="291"/>
      <c r="N4949" s="291"/>
      <c r="S4949" s="364"/>
      <c r="Z4949" s="609" t="s">
        <v>4353</v>
      </c>
      <c r="AA4949" s="609" t="s">
        <v>5715</v>
      </c>
    </row>
    <row r="4950" spans="1:27" ht="18">
      <c r="A4950" s="2712"/>
      <c r="B4950" s="371">
        <v>102</v>
      </c>
      <c r="C4950" s="371"/>
      <c r="D4950" s="2714">
        <f t="shared" si="541"/>
        <v>1</v>
      </c>
      <c r="E4950" s="2719">
        <v>1</v>
      </c>
      <c r="F4950" s="294"/>
      <c r="G4950" s="1472" t="s">
        <v>4356</v>
      </c>
      <c r="H4950" s="2273"/>
      <c r="I4950" s="2273"/>
      <c r="J4950" s="2294"/>
      <c r="K4950" s="291"/>
      <c r="L4950" s="291"/>
      <c r="M4950" s="291"/>
      <c r="N4950" s="291"/>
      <c r="S4950" s="364"/>
      <c r="Z4950" s="609" t="s">
        <v>4353</v>
      </c>
      <c r="AA4950" s="609" t="s">
        <v>5715</v>
      </c>
    </row>
    <row r="4951" spans="1:27" ht="18">
      <c r="A4951" s="2712"/>
      <c r="B4951" s="371">
        <v>106</v>
      </c>
      <c r="C4951" s="371"/>
      <c r="D4951" s="2714">
        <f t="shared" si="541"/>
        <v>1</v>
      </c>
      <c r="E4951" s="2719">
        <v>1</v>
      </c>
      <c r="F4951" s="294"/>
      <c r="G4951" s="1472" t="s">
        <v>4357</v>
      </c>
      <c r="H4951" s="2273"/>
      <c r="I4951" s="2273"/>
      <c r="J4951" s="2294"/>
      <c r="K4951" s="291"/>
      <c r="L4951" s="291"/>
      <c r="M4951" s="291"/>
      <c r="N4951" s="291"/>
      <c r="S4951" s="364"/>
      <c r="Z4951" s="609" t="s">
        <v>4353</v>
      </c>
      <c r="AA4951" s="609" t="s">
        <v>5715</v>
      </c>
    </row>
    <row r="4952" spans="1:27" ht="18">
      <c r="A4952" s="2712"/>
      <c r="B4952" s="371">
        <v>107</v>
      </c>
      <c r="C4952" s="371"/>
      <c r="D4952" s="2714">
        <f t="shared" si="541"/>
        <v>1</v>
      </c>
      <c r="E4952" s="2719">
        <v>1</v>
      </c>
      <c r="F4952" s="294"/>
      <c r="G4952" s="1472" t="s">
        <v>4358</v>
      </c>
      <c r="H4952" s="2273">
        <v>1573265.7</v>
      </c>
      <c r="I4952" s="2273"/>
      <c r="J4952" s="2294"/>
      <c r="K4952" s="291"/>
      <c r="L4952" s="291"/>
      <c r="M4952" s="291"/>
      <c r="N4952" s="291"/>
      <c r="S4952" s="364"/>
      <c r="Z4952" s="609" t="s">
        <v>4353</v>
      </c>
      <c r="AA4952" s="609" t="s">
        <v>5715</v>
      </c>
    </row>
    <row r="4953" spans="1:27" ht="18">
      <c r="A4953" s="2712"/>
      <c r="B4953" s="371">
        <v>108</v>
      </c>
      <c r="C4953" s="371" t="s">
        <v>2791</v>
      </c>
      <c r="D4953" s="2714">
        <f t="shared" si="541"/>
        <v>1</v>
      </c>
      <c r="E4953" s="2719">
        <v>1</v>
      </c>
      <c r="F4953" s="294"/>
      <c r="G4953" s="2465" t="s">
        <v>932</v>
      </c>
      <c r="H4953" s="2273">
        <v>169577.31</v>
      </c>
      <c r="I4953" s="2273">
        <v>583996.41</v>
      </c>
      <c r="J4953" s="2294"/>
      <c r="K4953" s="291"/>
      <c r="L4953" s="291"/>
      <c r="M4953" s="291"/>
      <c r="N4953" s="291"/>
      <c r="S4953" s="364"/>
      <c r="Z4953" s="609" t="s">
        <v>4353</v>
      </c>
      <c r="AA4953" s="609" t="s">
        <v>5715</v>
      </c>
    </row>
    <row r="4954" spans="1:27" ht="18">
      <c r="A4954" s="2712"/>
      <c r="B4954" s="371">
        <v>109</v>
      </c>
      <c r="C4954" s="371" t="s">
        <v>2791</v>
      </c>
      <c r="D4954" s="2714">
        <f t="shared" si="541"/>
        <v>1</v>
      </c>
      <c r="E4954" s="2719">
        <v>1</v>
      </c>
      <c r="F4954" s="294"/>
      <c r="G4954" s="2465" t="s">
        <v>7369</v>
      </c>
      <c r="H4954" s="2273">
        <v>70000</v>
      </c>
      <c r="I4954" s="2273">
        <v>77209.42</v>
      </c>
      <c r="J4954" s="2294"/>
      <c r="K4954" s="291"/>
      <c r="L4954" s="291"/>
      <c r="M4954" s="291"/>
      <c r="N4954" s="291"/>
      <c r="S4954" s="364"/>
      <c r="Z4954" s="609" t="s">
        <v>4353</v>
      </c>
      <c r="AA4954" s="609" t="s">
        <v>5715</v>
      </c>
    </row>
    <row r="4955" spans="1:27" ht="18">
      <c r="A4955" s="2712"/>
      <c r="B4955" s="371">
        <v>110</v>
      </c>
      <c r="C4955" s="371" t="s">
        <v>2791</v>
      </c>
      <c r="D4955" s="2714">
        <f t="shared" si="541"/>
        <v>1</v>
      </c>
      <c r="E4955" s="2719">
        <v>1</v>
      </c>
      <c r="F4955" s="294"/>
      <c r="G4955" s="2465" t="s">
        <v>7370</v>
      </c>
      <c r="H4955" s="2273"/>
      <c r="I4955" s="2273">
        <v>219000</v>
      </c>
      <c r="J4955" s="2294"/>
      <c r="K4955" s="291"/>
      <c r="L4955" s="291"/>
      <c r="M4955" s="291"/>
      <c r="N4955" s="291"/>
      <c r="S4955" s="364"/>
      <c r="Z4955" s="609" t="s">
        <v>4353</v>
      </c>
      <c r="AA4955" s="609" t="s">
        <v>5715</v>
      </c>
    </row>
    <row r="4956" spans="1:27" ht="18.75" thickBot="1">
      <c r="A4956" s="2712"/>
      <c r="B4956" s="371"/>
      <c r="C4956" s="371"/>
      <c r="D4956" s="2714">
        <f t="shared" si="541"/>
        <v>1</v>
      </c>
      <c r="E4956" s="2719" t="s">
        <v>2751</v>
      </c>
      <c r="F4956" s="294"/>
      <c r="G4956" s="374" t="s">
        <v>2752</v>
      </c>
      <c r="H4956" s="1476">
        <f>SUMPRODUCT($E4948:$E4955,H4948:H4955)</f>
        <v>1812843.01</v>
      </c>
      <c r="I4956" s="1476">
        <f>SUMPRODUCT($E4948:$E4955,I4948:I4955)</f>
        <v>910205.83</v>
      </c>
      <c r="J4956" s="1477">
        <f>SUMPRODUCT($E4948:$E4955,J4948:J4955)</f>
        <v>0</v>
      </c>
      <c r="K4956" s="291"/>
      <c r="L4956" s="291"/>
      <c r="M4956" s="291"/>
      <c r="N4956" s="291"/>
      <c r="S4956" s="364"/>
      <c r="Z4956" s="609" t="s">
        <v>4353</v>
      </c>
      <c r="AA4956" s="609" t="s">
        <v>5715</v>
      </c>
    </row>
    <row r="4957" spans="1:27" ht="18">
      <c r="A4957" s="2712"/>
      <c r="B4957" s="371"/>
      <c r="C4957" s="371" t="s">
        <v>2755</v>
      </c>
      <c r="D4957" s="371"/>
      <c r="F4957" s="294"/>
      <c r="G4957" s="301"/>
      <c r="H4957" s="315"/>
      <c r="I4957" s="315"/>
      <c r="J4957" s="315"/>
      <c r="K4957" s="291"/>
      <c r="L4957" s="291"/>
      <c r="M4957" s="291"/>
      <c r="N4957" s="291"/>
      <c r="S4957" s="364"/>
      <c r="Z4957" s="609" t="s">
        <v>4353</v>
      </c>
      <c r="AA4957" s="609" t="s">
        <v>5715</v>
      </c>
    </row>
    <row r="4958" spans="1:27" ht="18">
      <c r="A4958" s="2712">
        <v>6791</v>
      </c>
      <c r="B4958" s="371">
        <v>76</v>
      </c>
      <c r="C4958" s="2714" t="str">
        <f>VLOOKUP($A4958,Sheet_Items,2,0)</f>
        <v>所得税费用</v>
      </c>
      <c r="D4958" s="371"/>
      <c r="E4958" s="2714" t="s">
        <v>2739</v>
      </c>
      <c r="F4958" s="294"/>
      <c r="G4958" s="305" t="str">
        <f>B4958&amp;" "&amp;C4958</f>
        <v>76 所得税费用</v>
      </c>
      <c r="H4958" s="306"/>
      <c r="I4958" s="306"/>
      <c r="J4958" s="306" t="s">
        <v>4206</v>
      </c>
      <c r="K4958" s="341">
        <f>VLOOKUP($A4958,Sheet_Trialbal,6,0)</f>
        <v>-458474.61</v>
      </c>
      <c r="L4958" s="342"/>
      <c r="M4958" s="306" t="s">
        <v>4207</v>
      </c>
      <c r="N4958" s="341">
        <f>VLOOKUP($A4958,Sheet_Trialbal,10,0)</f>
        <v>1544915.31</v>
      </c>
      <c r="O4958" s="306"/>
      <c r="P4958" s="301"/>
      <c r="S4958" s="364"/>
      <c r="Z4958" s="609" t="s">
        <v>4359</v>
      </c>
      <c r="AA4958" s="609" t="s">
        <v>5716</v>
      </c>
    </row>
    <row r="4959" spans="1:27" ht="18">
      <c r="A4959" s="2712" t="s">
        <v>1939</v>
      </c>
      <c r="B4959" s="371">
        <v>1</v>
      </c>
      <c r="C4959" s="371"/>
      <c r="D4959" s="2714" t="str">
        <f>VLOOKUP($A4959,Sheet_NoteList,2,0)</f>
        <v>所得税费用的组成</v>
      </c>
      <c r="E4959" s="2714" t="s">
        <v>2742</v>
      </c>
      <c r="F4959" s="294"/>
      <c r="G4959" s="307" t="str">
        <f>"("&amp;B4959&amp;")"&amp;D4959</f>
        <v>(1)所得税费用的组成</v>
      </c>
      <c r="H4959" s="1515" t="str">
        <f>$A4959</f>
        <v>6791a</v>
      </c>
      <c r="I4959" s="343" t="s">
        <v>2743</v>
      </c>
      <c r="J4959" s="301" t="s">
        <v>4210</v>
      </c>
      <c r="K4959" s="2208">
        <f>H4965</f>
        <v>-458474.61</v>
      </c>
      <c r="L4959" s="345" t="str">
        <f>IF($I4959="适用",IF(ROUND(K$4958-K4959,2)=0,"F/S",ROUND(K$4958-K4959,2)),"#N/A")</f>
        <v>F/S</v>
      </c>
      <c r="M4959" s="301" t="s">
        <v>4211</v>
      </c>
      <c r="N4959" s="2208">
        <f>I4965</f>
        <v>0</v>
      </c>
      <c r="O4959" s="345">
        <f>IF($I4959="适用",IF(ROUND(N$4958-N4959,2)=0,"F/S",ROUND(N$4958-N4959,2)),"#N/A")</f>
        <v>1544915.31</v>
      </c>
      <c r="P4959" s="301"/>
      <c r="Q4959" s="290" t="str">
        <f>IF($I4959="不适用","",IF(ROUND(SUM($H$4962:$I$4965),2)=0,"请输入",""))</f>
        <v/>
      </c>
      <c r="S4959" s="364"/>
      <c r="Z4959" s="609" t="s">
        <v>4359</v>
      </c>
      <c r="AA4959" s="609" t="s">
        <v>5716</v>
      </c>
    </row>
    <row r="4960" spans="1:27" ht="0.75" customHeight="1" thickBot="1">
      <c r="A4960" s="2712"/>
      <c r="B4960" s="371"/>
      <c r="C4960" s="371"/>
      <c r="D4960" s="371"/>
      <c r="F4960" s="371"/>
      <c r="G4960" s="371" t="s">
        <v>4360</v>
      </c>
      <c r="H4960" s="371" t="s">
        <v>4223</v>
      </c>
      <c r="I4960" s="371" t="s">
        <v>4224</v>
      </c>
      <c r="J4960" s="291"/>
      <c r="K4960" s="291"/>
      <c r="L4960" s="291"/>
      <c r="M4960" s="291"/>
      <c r="S4960" s="364"/>
      <c r="Z4960" s="609" t="s">
        <v>4359</v>
      </c>
      <c r="AA4960" s="609" t="s">
        <v>5716</v>
      </c>
    </row>
    <row r="4961" spans="1:27" ht="18.75" thickTop="1">
      <c r="A4961" s="2712"/>
      <c r="B4961" s="371"/>
      <c r="C4961" s="371"/>
      <c r="D4961" s="371"/>
      <c r="E4961" s="2714" t="s">
        <v>2749</v>
      </c>
      <c r="F4961" s="294"/>
      <c r="G4961" s="378" t="s">
        <v>47</v>
      </c>
      <c r="H4961" s="398" t="str">
        <f>$V$4</f>
        <v>2019年度</v>
      </c>
      <c r="I4961" s="511" t="str">
        <f>$V$5</f>
        <v>2018年度</v>
      </c>
      <c r="J4961" s="355" t="s">
        <v>5339</v>
      </c>
      <c r="K4961" s="1582" t="str">
        <f>""&amp;"&gt;本期:"&amp;""</f>
        <v>&gt;本期:</v>
      </c>
      <c r="L4961" s="1582"/>
      <c r="M4961" s="2656" t="str">
        <f>""&amp;"NoteID"&amp;""</f>
        <v>NoteID</v>
      </c>
      <c r="S4961" s="364"/>
      <c r="Z4961" s="609" t="s">
        <v>4359</v>
      </c>
      <c r="AA4961" s="609" t="s">
        <v>5716</v>
      </c>
    </row>
    <row r="4962" spans="1:27" ht="18">
      <c r="A4962" s="2712"/>
      <c r="B4962" s="371">
        <v>101</v>
      </c>
      <c r="C4962" s="371"/>
      <c r="D4962" s="2714">
        <f>IF(OR(G4962="*",G4962="",G4962=0),0,COUNTIF($G$4962:$G$4965,G4962))</f>
        <v>1</v>
      </c>
      <c r="E4962" s="2719">
        <v>1</v>
      </c>
      <c r="F4962" s="294"/>
      <c r="G4962" s="380" t="s">
        <v>4361</v>
      </c>
      <c r="H4962" s="383">
        <f>所得税费用!C40</f>
        <v>670606.77</v>
      </c>
      <c r="I4962" s="401"/>
      <c r="J4962" s="291"/>
      <c r="K4962" s="2250">
        <f ca="1">HYPERLINK("#'"&amp;$G$1&amp;"'!"&amp;ADDRESS(ROW(Notes!J3734),COLUMN(Notes!J3734),4),J3734)</f>
        <v>0</v>
      </c>
      <c r="L4962" s="456"/>
      <c r="M4962" s="2663" t="str">
        <f>H3729</f>
        <v>2221a</v>
      </c>
      <c r="S4962" s="364"/>
      <c r="Z4962" s="609" t="s">
        <v>4359</v>
      </c>
      <c r="AA4962" s="609" t="s">
        <v>5716</v>
      </c>
    </row>
    <row r="4963" spans="1:27" ht="18">
      <c r="A4963" s="2712"/>
      <c r="B4963" s="371">
        <v>102</v>
      </c>
      <c r="C4963" s="371"/>
      <c r="D4963" s="2714">
        <f>IF(OR(G4963="*",G4963="",G4963=0),0,COUNTIF($G$4962:$G$4965,G4963))</f>
        <v>1</v>
      </c>
      <c r="E4963" s="2719">
        <v>1</v>
      </c>
      <c r="F4963" s="294"/>
      <c r="G4963" s="380" t="s">
        <v>4362</v>
      </c>
      <c r="H4963" s="383">
        <f>-AJE!O79</f>
        <v>-1129081.3799999999</v>
      </c>
      <c r="I4963" s="401"/>
      <c r="J4963" s="291"/>
      <c r="K4963" s="456"/>
      <c r="L4963" s="456"/>
      <c r="M4963" s="2664"/>
      <c r="S4963" s="364"/>
      <c r="Z4963" s="609" t="s">
        <v>4359</v>
      </c>
      <c r="AA4963" s="609" t="s">
        <v>5716</v>
      </c>
    </row>
    <row r="4964" spans="1:27" ht="18">
      <c r="A4964" s="2712"/>
      <c r="B4964" s="371">
        <v>103</v>
      </c>
      <c r="C4964" s="371" t="s">
        <v>2791</v>
      </c>
      <c r="D4964" s="2714">
        <f>IF(OR(G4964="*",G4964="",G4964=0),0,COUNTIF($G$4962:$G$4965,G4964))</f>
        <v>0</v>
      </c>
      <c r="E4964" s="2719">
        <v>1</v>
      </c>
      <c r="F4964" s="294"/>
      <c r="G4964" s="409" t="s">
        <v>2792</v>
      </c>
      <c r="H4964" s="383"/>
      <c r="I4964" s="401"/>
      <c r="J4964" s="291"/>
      <c r="K4964" s="456"/>
      <c r="L4964" s="456"/>
      <c r="M4964" s="2664"/>
      <c r="S4964" s="364"/>
      <c r="Z4964" s="609" t="s">
        <v>4359</v>
      </c>
      <c r="AA4964" s="609" t="s">
        <v>5716</v>
      </c>
    </row>
    <row r="4965" spans="1:27" ht="18.75" thickBot="1">
      <c r="A4965" s="2712"/>
      <c r="B4965" s="371"/>
      <c r="C4965" s="371"/>
      <c r="D4965" s="2714">
        <f>IF(OR(G4965="*",G4965="",G4965=0),0,COUNTIF($G$4962:$G$4965,G4965))</f>
        <v>1</v>
      </c>
      <c r="E4965" s="2719" t="s">
        <v>2751</v>
      </c>
      <c r="F4965" s="294"/>
      <c r="G4965" s="403" t="s">
        <v>2752</v>
      </c>
      <c r="H4965" s="503">
        <f>SUMPRODUCT($E4961:$E4964,H4961:H4964)</f>
        <v>-458474.61</v>
      </c>
      <c r="I4965" s="515">
        <f>SUMPRODUCT($E4961:$E4964,I4961:I4964)</f>
        <v>0</v>
      </c>
      <c r="J4965" s="291"/>
      <c r="K4965" s="1529">
        <f t="shared" ref="K4965:L4965" ca="1" si="542">SUM(K4962:K4964)</f>
        <v>0</v>
      </c>
      <c r="L4965" s="1529">
        <f t="shared" si="542"/>
        <v>0</v>
      </c>
      <c r="M4965" s="2665"/>
      <c r="S4965" s="364"/>
      <c r="Z4965" s="609" t="s">
        <v>4359</v>
      </c>
      <c r="AA4965" s="609" t="s">
        <v>5716</v>
      </c>
    </row>
    <row r="4966" spans="1:27" ht="18">
      <c r="A4966" s="2712"/>
      <c r="B4966" s="371"/>
      <c r="C4966" s="371" t="s">
        <v>2755</v>
      </c>
      <c r="D4966" s="371"/>
      <c r="F4966" s="294"/>
      <c r="G4966" s="301"/>
      <c r="H4966" s="349"/>
      <c r="I4966" s="349"/>
      <c r="J4966" s="291"/>
      <c r="K4966" s="1537" t="s">
        <v>5503</v>
      </c>
      <c r="L4966" s="354"/>
      <c r="M4966" s="354"/>
      <c r="S4966" s="364"/>
      <c r="Z4966" s="609" t="s">
        <v>4359</v>
      </c>
      <c r="AA4966" s="609" t="s">
        <v>5716</v>
      </c>
    </row>
    <row r="4967" spans="1:27" ht="24">
      <c r="A4967" s="2712" t="s">
        <v>1941</v>
      </c>
      <c r="B4967" s="371">
        <v>2</v>
      </c>
      <c r="C4967" s="371"/>
      <c r="D4967" s="2714" t="str">
        <f>VLOOKUP($A4967,Sheet_NoteList,2,0)</f>
        <v>会计利润与所得税费用调整过程</v>
      </c>
      <c r="E4967" s="2714" t="s">
        <v>2742</v>
      </c>
      <c r="F4967" s="294"/>
      <c r="G4967" s="372" t="str">
        <f>"("&amp;B4967&amp;")"&amp;D4967</f>
        <v>(2)会计利润与所得税费用调整过程</v>
      </c>
      <c r="H4967" s="1515" t="str">
        <f>$A4967</f>
        <v>6791b</v>
      </c>
      <c r="I4967" s="343" t="s">
        <v>2743</v>
      </c>
      <c r="J4967" s="301" t="s">
        <v>4210</v>
      </c>
      <c r="K4967" s="2208">
        <f>H4983</f>
        <v>-458474.61</v>
      </c>
      <c r="L4967" s="345" t="str">
        <f>IF($I4967="适用",IF(ROUND(K$4958-K4967,2)=0,"F/S",ROUND(K$4958-K4967,2)),"#N/A")</f>
        <v>F/S</v>
      </c>
      <c r="M4967" s="301" t="s">
        <v>4211</v>
      </c>
      <c r="N4967" s="2208">
        <f>I4983</f>
        <v>0</v>
      </c>
      <c r="O4967" s="345">
        <f>IF($I4967="适用",IF(ROUND(N$4958-N4967,2)=0,"F/S",ROUND(N$4958-N4967,2)),"#N/A")</f>
        <v>1544915.31</v>
      </c>
      <c r="P4967" s="301"/>
      <c r="Q4967" s="290" t="str">
        <f>IF($I4967="不适用","",IF(ROUND(SUM($H$4970:$I$4983),2)=0,"请输入",""))</f>
        <v/>
      </c>
      <c r="S4967" s="364"/>
      <c r="Z4967" s="609" t="s">
        <v>4359</v>
      </c>
      <c r="AA4967" s="609" t="s">
        <v>5716</v>
      </c>
    </row>
    <row r="4968" spans="1:27" ht="0.75" customHeight="1" thickBot="1">
      <c r="A4968" s="2712"/>
      <c r="B4968" s="371"/>
      <c r="C4968" s="371"/>
      <c r="D4968" s="371"/>
      <c r="E4968" s="586"/>
      <c r="F4968" s="363"/>
      <c r="G4968" s="363" t="s">
        <v>4363</v>
      </c>
      <c r="H4968" s="294" t="s">
        <v>4223</v>
      </c>
      <c r="I4968" s="294" t="s">
        <v>4224</v>
      </c>
      <c r="J4968" s="291"/>
      <c r="K4968" s="291"/>
      <c r="L4968" s="291"/>
      <c r="M4968" s="291"/>
      <c r="S4968" s="364"/>
      <c r="Z4968" s="609" t="s">
        <v>4359</v>
      </c>
      <c r="AA4968" s="609" t="s">
        <v>5716</v>
      </c>
    </row>
    <row r="4969" spans="1:27" ht="18">
      <c r="A4969" s="2712"/>
      <c r="B4969" s="371"/>
      <c r="C4969" s="371"/>
      <c r="D4969" s="371"/>
      <c r="E4969" s="586" t="s">
        <v>2749</v>
      </c>
      <c r="F4969" s="363"/>
      <c r="G4969" s="2554" t="s">
        <v>47</v>
      </c>
      <c r="H4969" s="2553" t="str">
        <f>$V$4</f>
        <v>2019年度</v>
      </c>
      <c r="I4969" s="2609" t="str">
        <f>$V$5</f>
        <v>2018年度</v>
      </c>
      <c r="J4969" s="355" t="s">
        <v>5339</v>
      </c>
      <c r="K4969" s="291"/>
      <c r="L4969" s="291"/>
      <c r="M4969" s="291"/>
      <c r="S4969" s="364"/>
      <c r="Z4969" s="609" t="s">
        <v>4359</v>
      </c>
      <c r="AA4969" s="609" t="s">
        <v>5716</v>
      </c>
    </row>
    <row r="4970" spans="1:27" ht="18">
      <c r="A4970" s="2712"/>
      <c r="B4970" s="371">
        <v>101</v>
      </c>
      <c r="C4970" s="371"/>
      <c r="D4970" s="2714">
        <f t="shared" ref="D4970:D4983" si="543">IF(OR(G4970="*",G4970="",G4970=0),0,COUNTIF($G$4970:$G$4983,G4970))</f>
        <v>1</v>
      </c>
      <c r="E4970" s="2719">
        <v>0</v>
      </c>
      <c r="F4970" s="294"/>
      <c r="G4970" s="1472" t="s">
        <v>861</v>
      </c>
      <c r="H4970" s="2273">
        <f>IS!E28</f>
        <v>-14006075.07</v>
      </c>
      <c r="I4970" s="2294"/>
      <c r="J4970" s="291"/>
      <c r="K4970" s="291"/>
      <c r="L4970" s="291"/>
      <c r="M4970" s="291"/>
      <c r="S4970" s="364"/>
      <c r="Z4970" s="609" t="s">
        <v>4359</v>
      </c>
      <c r="AA4970" s="609" t="s">
        <v>5716</v>
      </c>
    </row>
    <row r="4971" spans="1:27" ht="24">
      <c r="A4971" s="2712"/>
      <c r="B4971" s="371">
        <v>102</v>
      </c>
      <c r="C4971" s="371"/>
      <c r="D4971" s="2714">
        <f t="shared" si="543"/>
        <v>1</v>
      </c>
      <c r="E4971" s="2719">
        <v>1</v>
      </c>
      <c r="F4971" s="294"/>
      <c r="G4971" s="1472" t="s">
        <v>6145</v>
      </c>
      <c r="H4971" s="2273">
        <f>H4970*25%</f>
        <v>-3501518.77</v>
      </c>
      <c r="I4971" s="2294"/>
      <c r="J4971" s="291"/>
      <c r="K4971" s="291"/>
      <c r="L4971" s="291"/>
      <c r="M4971" s="291"/>
      <c r="S4971" s="364"/>
      <c r="Z4971" s="609" t="s">
        <v>4359</v>
      </c>
      <c r="AA4971" s="609" t="s">
        <v>5716</v>
      </c>
    </row>
    <row r="4972" spans="1:27" ht="18">
      <c r="A4972" s="2712"/>
      <c r="B4972" s="371">
        <v>103</v>
      </c>
      <c r="C4972" s="371"/>
      <c r="D4972" s="2714">
        <f t="shared" si="543"/>
        <v>1</v>
      </c>
      <c r="E4972" s="2719">
        <v>1</v>
      </c>
      <c r="F4972" s="294"/>
      <c r="G4972" s="1472" t="s">
        <v>4364</v>
      </c>
      <c r="H4972" s="2273"/>
      <c r="I4972" s="2294"/>
      <c r="J4972" s="291"/>
      <c r="K4972" s="291"/>
      <c r="L4972" s="291"/>
      <c r="M4972" s="291"/>
      <c r="S4972" s="364"/>
      <c r="Z4972" s="609" t="s">
        <v>4359</v>
      </c>
      <c r="AA4972" s="609" t="s">
        <v>5716</v>
      </c>
    </row>
    <row r="4973" spans="1:27" ht="18">
      <c r="A4973" s="2712"/>
      <c r="B4973" s="371">
        <v>104</v>
      </c>
      <c r="C4973" s="371"/>
      <c r="D4973" s="2714">
        <f t="shared" si="543"/>
        <v>1</v>
      </c>
      <c r="E4973" s="2719">
        <v>1</v>
      </c>
      <c r="F4973" s="294"/>
      <c r="G4973" s="1472" t="s">
        <v>4365</v>
      </c>
      <c r="H4973" s="2273"/>
      <c r="I4973" s="2294"/>
      <c r="J4973" s="291"/>
      <c r="K4973" s="291"/>
      <c r="L4973" s="291"/>
      <c r="M4973" s="291"/>
      <c r="S4973" s="364"/>
      <c r="Z4973" s="609" t="s">
        <v>4359</v>
      </c>
      <c r="AA4973" s="609" t="s">
        <v>5716</v>
      </c>
    </row>
    <row r="4974" spans="1:27" ht="18">
      <c r="A4974" s="2712"/>
      <c r="B4974" s="371">
        <v>105</v>
      </c>
      <c r="C4974" s="371"/>
      <c r="D4974" s="2714">
        <f t="shared" si="543"/>
        <v>1</v>
      </c>
      <c r="E4974" s="2719">
        <v>1</v>
      </c>
      <c r="F4974" s="294"/>
      <c r="G4974" s="1472" t="s">
        <v>4366</v>
      </c>
      <c r="H4974" s="2273"/>
      <c r="I4974" s="2294"/>
      <c r="J4974" s="291"/>
      <c r="K4974" s="291"/>
      <c r="L4974" s="291"/>
      <c r="M4974" s="291"/>
      <c r="S4974" s="364"/>
      <c r="Z4974" s="609" t="s">
        <v>4359</v>
      </c>
      <c r="AA4974" s="609" t="s">
        <v>5716</v>
      </c>
    </row>
    <row r="4975" spans="1:27" ht="24">
      <c r="A4975" s="2712"/>
      <c r="B4975" s="371">
        <v>106</v>
      </c>
      <c r="C4975" s="371"/>
      <c r="D4975" s="2714">
        <f t="shared" si="543"/>
        <v>1</v>
      </c>
      <c r="E4975" s="2719">
        <v>1</v>
      </c>
      <c r="F4975" s="294"/>
      <c r="G4975" s="1472" t="s">
        <v>4367</v>
      </c>
      <c r="H4975" s="2273">
        <f>所得税费用!C7*25%</f>
        <v>4172125.54</v>
      </c>
      <c r="I4975" s="2294"/>
      <c r="J4975" s="291"/>
      <c r="K4975" s="291"/>
      <c r="L4975" s="291"/>
      <c r="M4975" s="291"/>
      <c r="S4975" s="364"/>
      <c r="Z4975" s="609" t="s">
        <v>4359</v>
      </c>
      <c r="AA4975" s="609" t="s">
        <v>5716</v>
      </c>
    </row>
    <row r="4976" spans="1:27" ht="24">
      <c r="A4976" s="2712"/>
      <c r="B4976" s="371">
        <v>107</v>
      </c>
      <c r="C4976" s="371"/>
      <c r="D4976" s="2714">
        <f t="shared" si="543"/>
        <v>1</v>
      </c>
      <c r="E4976" s="2719">
        <v>1</v>
      </c>
      <c r="F4976" s="294"/>
      <c r="G4976" s="1472" t="s">
        <v>4368</v>
      </c>
      <c r="H4976" s="2273"/>
      <c r="I4976" s="2294"/>
      <c r="J4976" s="291"/>
      <c r="K4976" s="291"/>
      <c r="L4976" s="291"/>
      <c r="M4976" s="291"/>
      <c r="S4976" s="364"/>
      <c r="Z4976" s="609" t="s">
        <v>4359</v>
      </c>
      <c r="AA4976" s="609" t="s">
        <v>5716</v>
      </c>
    </row>
    <row r="4977" spans="1:27" ht="36">
      <c r="A4977" s="2712"/>
      <c r="B4977" s="371">
        <v>108</v>
      </c>
      <c r="C4977" s="371"/>
      <c r="D4977" s="2714">
        <f t="shared" si="543"/>
        <v>1</v>
      </c>
      <c r="E4977" s="2719">
        <v>1</v>
      </c>
      <c r="F4977" s="294"/>
      <c r="G4977" s="1472" t="s">
        <v>4369</v>
      </c>
      <c r="H4977" s="2273">
        <f>-AJE!P80</f>
        <v>-1129081.3799999999</v>
      </c>
      <c r="I4977" s="2294"/>
      <c r="J4977" s="291"/>
      <c r="K4977" s="291"/>
      <c r="L4977" s="291"/>
      <c r="M4977" s="291"/>
      <c r="S4977" s="364"/>
      <c r="Z4977" s="609" t="s">
        <v>4359</v>
      </c>
      <c r="AA4977" s="609" t="s">
        <v>5716</v>
      </c>
    </row>
    <row r="4978" spans="1:27" ht="18">
      <c r="A4978" s="2712"/>
      <c r="B4978" s="371">
        <v>109</v>
      </c>
      <c r="C4978" s="371"/>
      <c r="D4978" s="2714">
        <f t="shared" si="543"/>
        <v>1</v>
      </c>
      <c r="E4978" s="2719">
        <v>1</v>
      </c>
      <c r="F4978" s="294"/>
      <c r="G4978" s="1472" t="s">
        <v>4370</v>
      </c>
      <c r="H4978" s="2273"/>
      <c r="I4978" s="2294"/>
      <c r="J4978" s="291"/>
      <c r="K4978" s="291"/>
      <c r="L4978" s="291"/>
      <c r="M4978" s="291"/>
      <c r="S4978" s="364"/>
      <c r="Z4978" s="609" t="s">
        <v>4359</v>
      </c>
      <c r="AA4978" s="609" t="s">
        <v>5716</v>
      </c>
    </row>
    <row r="4979" spans="1:27" ht="18">
      <c r="A4979" s="2712"/>
      <c r="B4979" s="371">
        <v>110</v>
      </c>
      <c r="C4979" s="371" t="s">
        <v>2791</v>
      </c>
      <c r="D4979" s="2714">
        <f t="shared" si="543"/>
        <v>0</v>
      </c>
      <c r="E4979" s="2719">
        <v>1</v>
      </c>
      <c r="F4979" s="294"/>
      <c r="G4979" s="2566" t="s">
        <v>2792</v>
      </c>
      <c r="H4979" s="2273"/>
      <c r="I4979" s="2294"/>
      <c r="J4979" s="291"/>
      <c r="K4979" s="291"/>
      <c r="L4979" s="291"/>
      <c r="M4979" s="291"/>
      <c r="S4979" s="364"/>
      <c r="Z4979" s="609" t="s">
        <v>4359</v>
      </c>
      <c r="AA4979" s="609" t="s">
        <v>5716</v>
      </c>
    </row>
    <row r="4980" spans="1:27" ht="18">
      <c r="A4980" s="2712"/>
      <c r="B4980" s="371">
        <v>111</v>
      </c>
      <c r="C4980" s="371" t="s">
        <v>2791</v>
      </c>
      <c r="D4980" s="2714">
        <f t="shared" si="543"/>
        <v>0</v>
      </c>
      <c r="E4980" s="2719">
        <v>1</v>
      </c>
      <c r="F4980" s="294"/>
      <c r="G4980" s="2566" t="s">
        <v>2792</v>
      </c>
      <c r="H4980" s="2273"/>
      <c r="I4980" s="2294"/>
      <c r="J4980" s="291"/>
      <c r="K4980" s="291"/>
      <c r="L4980" s="291"/>
      <c r="M4980" s="291"/>
      <c r="S4980" s="364"/>
      <c r="Z4980" s="609" t="s">
        <v>4359</v>
      </c>
      <c r="AA4980" s="609" t="s">
        <v>5716</v>
      </c>
    </row>
    <row r="4981" spans="1:27" ht="18">
      <c r="A4981" s="2712"/>
      <c r="B4981" s="371">
        <v>112</v>
      </c>
      <c r="C4981" s="371" t="s">
        <v>2791</v>
      </c>
      <c r="D4981" s="2714">
        <f t="shared" si="543"/>
        <v>0</v>
      </c>
      <c r="E4981" s="2719">
        <v>1</v>
      </c>
      <c r="F4981" s="294"/>
      <c r="G4981" s="2566" t="s">
        <v>2792</v>
      </c>
      <c r="H4981" s="2273"/>
      <c r="I4981" s="2294"/>
      <c r="J4981" s="291"/>
      <c r="K4981" s="291"/>
      <c r="L4981" s="291"/>
      <c r="M4981" s="291"/>
      <c r="S4981" s="364"/>
      <c r="Z4981" s="609" t="s">
        <v>4359</v>
      </c>
      <c r="AA4981" s="609" t="s">
        <v>5716</v>
      </c>
    </row>
    <row r="4982" spans="1:27" ht="18">
      <c r="A4982" s="2712"/>
      <c r="B4982" s="371">
        <v>113</v>
      </c>
      <c r="C4982" s="371" t="s">
        <v>2791</v>
      </c>
      <c r="D4982" s="2714">
        <f t="shared" si="543"/>
        <v>0</v>
      </c>
      <c r="E4982" s="2719">
        <v>1</v>
      </c>
      <c r="F4982" s="294"/>
      <c r="G4982" s="2566" t="s">
        <v>2792</v>
      </c>
      <c r="H4982" s="2273"/>
      <c r="I4982" s="2294"/>
      <c r="J4982" s="291"/>
      <c r="K4982" s="291"/>
      <c r="L4982" s="291"/>
      <c r="M4982" s="291"/>
      <c r="S4982" s="364"/>
      <c r="Z4982" s="609" t="s">
        <v>4359</v>
      </c>
      <c r="AA4982" s="609" t="s">
        <v>5716</v>
      </c>
    </row>
    <row r="4983" spans="1:27" ht="18.75" thickBot="1">
      <c r="A4983" s="2712"/>
      <c r="B4983" s="371"/>
      <c r="C4983" s="371"/>
      <c r="D4983" s="2714">
        <f t="shared" si="543"/>
        <v>1</v>
      </c>
      <c r="E4983" s="2719" t="s">
        <v>2751</v>
      </c>
      <c r="F4983" s="294"/>
      <c r="G4983" s="2232" t="s">
        <v>717</v>
      </c>
      <c r="H4983" s="2428">
        <f>SUMPRODUCT($E4969:$E4982,H4969:H4982)</f>
        <v>-458474.61</v>
      </c>
      <c r="I4983" s="2429">
        <f>SUMPRODUCT($E4969:$E4982,I4969:I4982)</f>
        <v>0</v>
      </c>
      <c r="J4983" s="355"/>
      <c r="K4983" s="291"/>
      <c r="L4983" s="291"/>
      <c r="M4983" s="291"/>
      <c r="S4983" s="364"/>
      <c r="Z4983" s="609" t="s">
        <v>4359</v>
      </c>
      <c r="AA4983" s="609" t="s">
        <v>5716</v>
      </c>
    </row>
    <row r="4984" spans="1:27" ht="18">
      <c r="A4984" s="2712"/>
      <c r="B4984" s="371"/>
      <c r="C4984" s="371" t="s">
        <v>2755</v>
      </c>
      <c r="D4984" s="371"/>
      <c r="F4984" s="294"/>
      <c r="G4984" s="301"/>
      <c r="H4984" s="315"/>
      <c r="I4984" s="315"/>
      <c r="J4984" s="291"/>
      <c r="K4984" s="291"/>
      <c r="L4984" s="291"/>
      <c r="M4984" s="291"/>
      <c r="S4984" s="364"/>
      <c r="Z4984" s="609" t="s">
        <v>4359</v>
      </c>
      <c r="AA4984" s="609" t="s">
        <v>5716</v>
      </c>
    </row>
    <row r="4985" spans="1:27" ht="18">
      <c r="A4985" s="2712">
        <v>9690</v>
      </c>
      <c r="B4985" s="371">
        <v>9000</v>
      </c>
      <c r="C4985" s="2714" t="str">
        <f>VLOOKUP($A4985,Sheet_Items,2,0)</f>
        <v>补充资料</v>
      </c>
      <c r="D4985" s="371"/>
      <c r="E4985" s="2714" t="s">
        <v>2739</v>
      </c>
      <c r="F4985" s="294"/>
      <c r="G4985" s="305" t="str">
        <f>B4985&amp;" "&amp;C4985</f>
        <v>9000 补充资料</v>
      </c>
      <c r="H4985" s="306"/>
      <c r="I4985" s="306"/>
      <c r="J4985" s="306"/>
      <c r="K4985" s="539"/>
      <c r="L4985" s="342"/>
      <c r="M4985" s="306"/>
      <c r="N4985" s="539"/>
      <c r="O4985" s="306"/>
      <c r="P4985" s="301"/>
      <c r="S4985" s="364"/>
      <c r="Z4985" s="609" t="s">
        <v>2195</v>
      </c>
      <c r="AA4985" s="371"/>
    </row>
    <row r="4986" spans="1:27" ht="24">
      <c r="A4986" s="2712" t="s">
        <v>2193</v>
      </c>
      <c r="B4986" s="371">
        <v>1</v>
      </c>
      <c r="C4986" s="371"/>
      <c r="D4986" s="2714" t="str">
        <f>VLOOKUP($A4986,Sheet_NoteList,2,0)</f>
        <v>费用按性质分类的补充资料</v>
      </c>
      <c r="E4986" s="2714" t="s">
        <v>6528</v>
      </c>
      <c r="F4986" s="294"/>
      <c r="G4986" s="372" t="str">
        <f>"("&amp;B4986&amp;")"&amp;D4986</f>
        <v>(1)费用按性质分类的补充资料</v>
      </c>
      <c r="H4986" s="1515" t="str">
        <f>$A4986</f>
        <v>9690a</v>
      </c>
      <c r="I4986" s="343" t="s">
        <v>5122</v>
      </c>
      <c r="J4986" s="301" t="s">
        <v>5489</v>
      </c>
      <c r="K4986" s="2208">
        <f>H4998</f>
        <v>0</v>
      </c>
      <c r="L4986" s="345"/>
      <c r="M4986" s="301" t="s">
        <v>5490</v>
      </c>
      <c r="N4986" s="2208">
        <f>I4998</f>
        <v>0</v>
      </c>
      <c r="O4986" s="345"/>
      <c r="P4986" s="301"/>
      <c r="S4986" s="364"/>
      <c r="Z4986" s="609" t="s">
        <v>2195</v>
      </c>
      <c r="AA4986" s="609"/>
    </row>
    <row r="4987" spans="1:27" ht="0.75" customHeight="1" thickBot="1">
      <c r="A4987" s="2712"/>
      <c r="B4987" s="371"/>
      <c r="C4987" s="371"/>
      <c r="D4987" s="371"/>
      <c r="F4987" s="371"/>
      <c r="G4987" s="371" t="s">
        <v>4371</v>
      </c>
      <c r="H4987" s="371" t="s">
        <v>4223</v>
      </c>
      <c r="I4987" s="371" t="s">
        <v>4224</v>
      </c>
      <c r="J4987" s="291"/>
      <c r="K4987" s="291"/>
      <c r="L4987" s="291"/>
      <c r="M4987" s="291"/>
      <c r="S4987" s="364"/>
      <c r="Z4987" s="609" t="s">
        <v>2195</v>
      </c>
      <c r="AA4987" s="609"/>
    </row>
    <row r="4988" spans="1:27" ht="18">
      <c r="A4988" s="2712"/>
      <c r="B4988" s="371"/>
      <c r="C4988" s="371"/>
      <c r="D4988" s="371"/>
      <c r="E4988" s="2714" t="s">
        <v>2749</v>
      </c>
      <c r="F4988" s="294"/>
      <c r="G4988" s="1580" t="s">
        <v>47</v>
      </c>
      <c r="H4988" s="1578" t="str">
        <f>$V$4</f>
        <v>2019年度</v>
      </c>
      <c r="I4988" s="1579" t="str">
        <f>$V$5</f>
        <v>2018年度</v>
      </c>
      <c r="J4988" s="424" t="s">
        <v>4372</v>
      </c>
      <c r="K4988" s="291"/>
      <c r="L4988" s="291"/>
      <c r="M4988" s="291"/>
      <c r="S4988" s="364"/>
      <c r="Z4988" s="609" t="s">
        <v>2195</v>
      </c>
      <c r="AA4988" s="609"/>
    </row>
    <row r="4989" spans="1:27" ht="18">
      <c r="A4989" s="2712"/>
      <c r="B4989" s="371">
        <v>101</v>
      </c>
      <c r="C4989" s="371"/>
      <c r="D4989" s="2714">
        <f t="shared" ref="D4989:D4998" si="544">IF(OR(G4989="*",G4989="",G4989=0),0,COUNTIF($G$4989:$G$4998,G4989))</f>
        <v>1</v>
      </c>
      <c r="E4989" s="2719">
        <v>1</v>
      </c>
      <c r="F4989" s="294"/>
      <c r="G4989" s="308" t="s">
        <v>4373</v>
      </c>
      <c r="H4989" s="309"/>
      <c r="I4989" s="346"/>
      <c r="J4989" s="579"/>
      <c r="K4989" s="291"/>
      <c r="L4989" s="291"/>
      <c r="M4989" s="291"/>
      <c r="S4989" s="364"/>
      <c r="Z4989" s="609" t="s">
        <v>2195</v>
      </c>
      <c r="AA4989" s="609"/>
    </row>
    <row r="4990" spans="1:27" ht="18">
      <c r="A4990" s="2712"/>
      <c r="B4990" s="371">
        <v>102</v>
      </c>
      <c r="C4990" s="371"/>
      <c r="D4990" s="2714">
        <f t="shared" si="544"/>
        <v>1</v>
      </c>
      <c r="E4990" s="2719">
        <v>1</v>
      </c>
      <c r="F4990" s="294"/>
      <c r="G4990" s="308" t="s">
        <v>4374</v>
      </c>
      <c r="H4990" s="309"/>
      <c r="I4990" s="346"/>
      <c r="J4990" s="291"/>
      <c r="K4990" s="291"/>
      <c r="L4990" s="291"/>
      <c r="M4990" s="291"/>
      <c r="S4990" s="364"/>
      <c r="Z4990" s="609" t="s">
        <v>2195</v>
      </c>
      <c r="AA4990" s="609"/>
    </row>
    <row r="4991" spans="1:27" ht="18">
      <c r="A4991" s="2712"/>
      <c r="B4991" s="371">
        <v>103</v>
      </c>
      <c r="C4991" s="371"/>
      <c r="D4991" s="2714">
        <f t="shared" si="544"/>
        <v>1</v>
      </c>
      <c r="E4991" s="2719">
        <v>1</v>
      </c>
      <c r="F4991" s="294"/>
      <c r="G4991" s="308" t="s">
        <v>4375</v>
      </c>
      <c r="H4991" s="309"/>
      <c r="I4991" s="346"/>
      <c r="J4991" s="291"/>
      <c r="K4991" s="291"/>
      <c r="L4991" s="291"/>
      <c r="M4991" s="291"/>
      <c r="S4991" s="364"/>
      <c r="Z4991" s="609" t="s">
        <v>2195</v>
      </c>
      <c r="AA4991" s="609"/>
    </row>
    <row r="4992" spans="1:27" ht="18">
      <c r="A4992" s="2712"/>
      <c r="B4992" s="371">
        <v>104</v>
      </c>
      <c r="C4992" s="371"/>
      <c r="D4992" s="2714">
        <f t="shared" si="544"/>
        <v>1</v>
      </c>
      <c r="E4992" s="2719">
        <v>1</v>
      </c>
      <c r="F4992" s="294"/>
      <c r="G4992" s="308" t="s">
        <v>4376</v>
      </c>
      <c r="H4992" s="309"/>
      <c r="I4992" s="346"/>
      <c r="J4992" s="291"/>
      <c r="K4992" s="291"/>
      <c r="L4992" s="291"/>
      <c r="M4992" s="291"/>
      <c r="S4992" s="364"/>
      <c r="Z4992" s="609" t="s">
        <v>2195</v>
      </c>
      <c r="AA4992" s="609"/>
    </row>
    <row r="4993" spans="1:27" ht="18">
      <c r="A4993" s="2712"/>
      <c r="B4993" s="371">
        <v>105</v>
      </c>
      <c r="C4993" s="371"/>
      <c r="D4993" s="2714">
        <f t="shared" si="544"/>
        <v>1</v>
      </c>
      <c r="E4993" s="2719">
        <v>1</v>
      </c>
      <c r="F4993" s="294"/>
      <c r="G4993" s="308" t="s">
        <v>4377</v>
      </c>
      <c r="H4993" s="309"/>
      <c r="I4993" s="346"/>
      <c r="J4993" s="291"/>
      <c r="K4993" s="291"/>
      <c r="L4993" s="291"/>
      <c r="M4993" s="291"/>
      <c r="S4993" s="364"/>
      <c r="Z4993" s="609" t="s">
        <v>2195</v>
      </c>
      <c r="AA4993" s="609"/>
    </row>
    <row r="4994" spans="1:27" ht="18">
      <c r="A4994" s="2712"/>
      <c r="B4994" s="371">
        <v>106</v>
      </c>
      <c r="C4994" s="371"/>
      <c r="D4994" s="2714">
        <f t="shared" si="544"/>
        <v>1</v>
      </c>
      <c r="E4994" s="2719">
        <v>1</v>
      </c>
      <c r="F4994" s="294"/>
      <c r="G4994" s="308" t="s">
        <v>4378</v>
      </c>
      <c r="H4994" s="309"/>
      <c r="I4994" s="346"/>
      <c r="J4994" s="291"/>
      <c r="K4994" s="291"/>
      <c r="L4994" s="291"/>
      <c r="M4994" s="291"/>
      <c r="S4994" s="364"/>
      <c r="Z4994" s="609" t="s">
        <v>2195</v>
      </c>
      <c r="AA4994" s="609"/>
    </row>
    <row r="4995" spans="1:27" ht="18">
      <c r="A4995" s="2712"/>
      <c r="B4995" s="371">
        <v>107</v>
      </c>
      <c r="C4995" s="371"/>
      <c r="D4995" s="2714">
        <f t="shared" si="544"/>
        <v>1</v>
      </c>
      <c r="E4995" s="2719">
        <v>1</v>
      </c>
      <c r="F4995" s="294"/>
      <c r="G4995" s="308" t="s">
        <v>689</v>
      </c>
      <c r="H4995" s="309"/>
      <c r="I4995" s="346"/>
      <c r="J4995" s="291"/>
      <c r="K4995" s="291"/>
      <c r="L4995" s="291"/>
      <c r="M4995" s="291"/>
      <c r="S4995" s="364"/>
      <c r="Z4995" s="609" t="s">
        <v>2195</v>
      </c>
      <c r="AA4995" s="609"/>
    </row>
    <row r="4996" spans="1:27" ht="18">
      <c r="A4996" s="2712"/>
      <c r="B4996" s="371">
        <v>108</v>
      </c>
      <c r="C4996" s="371"/>
      <c r="D4996" s="2714">
        <f t="shared" si="544"/>
        <v>1</v>
      </c>
      <c r="E4996" s="2719">
        <v>1</v>
      </c>
      <c r="F4996" s="294"/>
      <c r="G4996" s="308" t="s">
        <v>4379</v>
      </c>
      <c r="H4996" s="309"/>
      <c r="I4996" s="346"/>
      <c r="J4996" s="291"/>
      <c r="K4996" s="291"/>
      <c r="L4996" s="291"/>
      <c r="M4996" s="291"/>
      <c r="S4996" s="364"/>
      <c r="Z4996" s="609" t="s">
        <v>2195</v>
      </c>
      <c r="AA4996" s="609"/>
    </row>
    <row r="4997" spans="1:27" ht="18">
      <c r="A4997" s="2712"/>
      <c r="B4997" s="371">
        <v>109</v>
      </c>
      <c r="C4997" s="371" t="s">
        <v>2791</v>
      </c>
      <c r="D4997" s="2714">
        <f t="shared" si="544"/>
        <v>0</v>
      </c>
      <c r="E4997" s="2719">
        <v>1</v>
      </c>
      <c r="F4997" s="294"/>
      <c r="G4997" s="1581" t="s">
        <v>2792</v>
      </c>
      <c r="H4997" s="309"/>
      <c r="I4997" s="346"/>
      <c r="J4997" s="291"/>
      <c r="K4997" s="291"/>
      <c r="L4997" s="291"/>
      <c r="M4997" s="291"/>
      <c r="S4997" s="364"/>
      <c r="Z4997" s="609" t="s">
        <v>2195</v>
      </c>
      <c r="AA4997" s="609"/>
    </row>
    <row r="4998" spans="1:27" ht="18.75" thickBot="1">
      <c r="A4998" s="2712"/>
      <c r="B4998" s="371"/>
      <c r="C4998" s="371"/>
      <c r="D4998" s="2714">
        <f t="shared" si="544"/>
        <v>1</v>
      </c>
      <c r="E4998" s="2719" t="s">
        <v>2751</v>
      </c>
      <c r="F4998" s="294"/>
      <c r="G4998" s="1527" t="s">
        <v>2752</v>
      </c>
      <c r="H4998" s="1525">
        <f>SUMPRODUCT($E4988:$E4997,H4988:H4997)</f>
        <v>0</v>
      </c>
      <c r="I4998" s="1526">
        <f>SUMPRODUCT($E4988:$E4997,I4988:I4997)</f>
        <v>0</v>
      </c>
      <c r="J4998" s="291"/>
      <c r="K4998" s="291"/>
      <c r="L4998" s="291"/>
      <c r="M4998" s="291"/>
      <c r="S4998" s="364"/>
      <c r="Z4998" s="609" t="s">
        <v>2195</v>
      </c>
      <c r="AA4998" s="609"/>
    </row>
    <row r="4999" spans="1:27" ht="18">
      <c r="A4999" s="2712"/>
      <c r="B4999" s="371"/>
      <c r="C4999" s="371" t="s">
        <v>2755</v>
      </c>
      <c r="D4999" s="371"/>
      <c r="F4999" s="294"/>
      <c r="G4999" s="301"/>
      <c r="H4999" s="315"/>
      <c r="I4999" s="315"/>
      <c r="J4999" s="291"/>
      <c r="K4999" s="291"/>
      <c r="L4999" s="291"/>
      <c r="M4999" s="291"/>
      <c r="S4999" s="364"/>
      <c r="Z4999" s="609" t="s">
        <v>2195</v>
      </c>
      <c r="AA4999" s="609"/>
    </row>
    <row r="5000" spans="1:27" ht="18">
      <c r="A5000" s="2712" t="s">
        <v>2197</v>
      </c>
      <c r="B5000" s="371">
        <v>2</v>
      </c>
      <c r="C5000" s="371"/>
      <c r="D5000" s="2714" t="str">
        <f>VLOOKUP($A5000,Sheet_NoteList,2,0)</f>
        <v>补充资料（一）</v>
      </c>
      <c r="E5000" s="2714" t="s">
        <v>6529</v>
      </c>
      <c r="F5000" s="294"/>
      <c r="G5000" s="307" t="str">
        <f>"("&amp;B5000&amp;")"&amp;D5000</f>
        <v>(2)补充资料（一）</v>
      </c>
      <c r="H5000" s="1515" t="str">
        <f>$A5000</f>
        <v>9690b</v>
      </c>
      <c r="I5000" s="343" t="s">
        <v>5967</v>
      </c>
      <c r="J5000" s="301"/>
      <c r="K5000" s="391"/>
      <c r="L5000" s="345"/>
      <c r="M5000" s="301"/>
      <c r="N5000" s="391"/>
      <c r="O5000" s="345"/>
      <c r="P5000" s="301"/>
      <c r="S5000" s="364"/>
      <c r="Z5000" s="609" t="s">
        <v>2195</v>
      </c>
      <c r="AA5000" s="609"/>
    </row>
    <row r="5001" spans="1:27" ht="0.75" customHeight="1" thickBot="1">
      <c r="A5001" s="2712"/>
      <c r="B5001" s="371"/>
      <c r="C5001" s="371"/>
      <c r="D5001" s="371"/>
      <c r="E5001" s="586"/>
      <c r="F5001" s="586"/>
      <c r="G5001" s="586" t="s">
        <v>4380</v>
      </c>
      <c r="H5001" s="371" t="s">
        <v>2904</v>
      </c>
      <c r="I5001" s="371" t="s">
        <v>3255</v>
      </c>
      <c r="J5001" s="371" t="s">
        <v>3256</v>
      </c>
      <c r="K5001" s="371" t="s">
        <v>3241</v>
      </c>
      <c r="L5001" s="371" t="s">
        <v>3267</v>
      </c>
      <c r="M5001" s="371" t="s">
        <v>3268</v>
      </c>
      <c r="N5001" s="371" t="s">
        <v>3269</v>
      </c>
      <c r="O5001" s="371" t="s">
        <v>3270</v>
      </c>
      <c r="P5001" s="371" t="s">
        <v>3271</v>
      </c>
      <c r="Q5001" s="543" t="s">
        <v>3272</v>
      </c>
      <c r="S5001" s="364"/>
      <c r="Z5001" s="609" t="s">
        <v>2195</v>
      </c>
      <c r="AA5001" s="609"/>
    </row>
    <row r="5002" spans="1:27" ht="18">
      <c r="A5002" s="2712"/>
      <c r="B5002" s="371"/>
      <c r="C5002" s="371"/>
      <c r="D5002" s="371"/>
      <c r="E5002" s="586" t="s">
        <v>2749</v>
      </c>
      <c r="F5002" s="363"/>
      <c r="G5002" s="2456" t="s">
        <v>47</v>
      </c>
      <c r="H5002" s="2457" t="s">
        <v>3273</v>
      </c>
      <c r="I5002" s="2457" t="s">
        <v>3274</v>
      </c>
      <c r="J5002" s="2457" t="s">
        <v>3275</v>
      </c>
      <c r="K5002" s="2457" t="s">
        <v>3276</v>
      </c>
      <c r="L5002" s="2457" t="s">
        <v>2544</v>
      </c>
      <c r="M5002" s="2457" t="s">
        <v>2549</v>
      </c>
      <c r="N5002" s="2457" t="s">
        <v>3277</v>
      </c>
      <c r="O5002" s="2457" t="s">
        <v>3278</v>
      </c>
      <c r="P5002" s="2457" t="s">
        <v>3279</v>
      </c>
      <c r="Q5002" s="2458" t="s">
        <v>3280</v>
      </c>
      <c r="R5002" s="544" t="s">
        <v>4381</v>
      </c>
      <c r="S5002" s="364"/>
      <c r="Z5002" s="609" t="s">
        <v>2195</v>
      </c>
      <c r="AA5002" s="609"/>
    </row>
    <row r="5003" spans="1:27" ht="18">
      <c r="A5003" s="2712"/>
      <c r="B5003" s="371">
        <v>101</v>
      </c>
      <c r="C5003" s="371" t="s">
        <v>2791</v>
      </c>
      <c r="D5003" s="2714">
        <f t="shared" ref="D5003:D5008" si="545">IF(OR(G5003="*",G5003="",G5003=0),0,COUNTIF($G$5003:$G$5008,G5003))</f>
        <v>0</v>
      </c>
      <c r="E5003" s="2719">
        <v>1</v>
      </c>
      <c r="F5003" s="294"/>
      <c r="G5003" s="2465" t="s">
        <v>2792</v>
      </c>
      <c r="H5003" s="2273"/>
      <c r="I5003" s="2273"/>
      <c r="J5003" s="2273"/>
      <c r="K5003" s="1474">
        <f>H5003+I5003-J5003</f>
        <v>0</v>
      </c>
      <c r="L5003" s="2273"/>
      <c r="M5003" s="2273"/>
      <c r="N5003" s="2273"/>
      <c r="O5003" s="2296"/>
      <c r="P5003" s="2296"/>
      <c r="Q5003" s="2274"/>
      <c r="R5003" s="544" t="s">
        <v>3282</v>
      </c>
      <c r="S5003" s="364"/>
      <c r="Z5003" s="609" t="s">
        <v>2195</v>
      </c>
      <c r="AA5003" s="609"/>
    </row>
    <row r="5004" spans="1:27" ht="18">
      <c r="A5004" s="2712"/>
      <c r="B5004" s="371">
        <v>102</v>
      </c>
      <c r="C5004" s="371" t="s">
        <v>2791</v>
      </c>
      <c r="D5004" s="2714">
        <f t="shared" si="545"/>
        <v>0</v>
      </c>
      <c r="E5004" s="2719">
        <v>1</v>
      </c>
      <c r="F5004" s="294"/>
      <c r="G5004" s="2465" t="s">
        <v>2792</v>
      </c>
      <c r="H5004" s="2273"/>
      <c r="I5004" s="2273"/>
      <c r="J5004" s="2273"/>
      <c r="K5004" s="1474">
        <f>H5004+I5004-J5004</f>
        <v>0</v>
      </c>
      <c r="L5004" s="2273"/>
      <c r="M5004" s="2273"/>
      <c r="N5004" s="2273"/>
      <c r="O5004" s="2296"/>
      <c r="P5004" s="2296"/>
      <c r="Q5004" s="2274"/>
      <c r="S5004" s="364"/>
      <c r="Z5004" s="609" t="s">
        <v>2195</v>
      </c>
      <c r="AA5004" s="609"/>
    </row>
    <row r="5005" spans="1:27" ht="18">
      <c r="A5005" s="2712"/>
      <c r="B5005" s="371">
        <v>103</v>
      </c>
      <c r="C5005" s="371" t="s">
        <v>2791</v>
      </c>
      <c r="D5005" s="2714">
        <f t="shared" si="545"/>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8">
      <c r="A5006" s="2712"/>
      <c r="B5006" s="371">
        <v>104</v>
      </c>
      <c r="C5006" s="371" t="s">
        <v>2791</v>
      </c>
      <c r="D5006" s="2714">
        <f t="shared" si="545"/>
        <v>0</v>
      </c>
      <c r="E5006" s="2719">
        <v>1</v>
      </c>
      <c r="F5006" s="294"/>
      <c r="G5006" s="2465" t="s">
        <v>2792</v>
      </c>
      <c r="H5006" s="2273"/>
      <c r="I5006" s="2273"/>
      <c r="J5006" s="2273"/>
      <c r="K5006" s="1474">
        <f>H5006+I5006-J5006</f>
        <v>0</v>
      </c>
      <c r="L5006" s="2273"/>
      <c r="M5006" s="2273"/>
      <c r="N5006" s="2273"/>
      <c r="O5006" s="2296"/>
      <c r="P5006" s="2296"/>
      <c r="Q5006" s="2274"/>
      <c r="S5006" s="364"/>
      <c r="Z5006" s="609" t="s">
        <v>2195</v>
      </c>
      <c r="AA5006" s="609"/>
    </row>
    <row r="5007" spans="1:27" ht="18">
      <c r="A5007" s="2712"/>
      <c r="B5007" s="371">
        <v>105</v>
      </c>
      <c r="C5007" s="371" t="s">
        <v>2791</v>
      </c>
      <c r="D5007" s="2714">
        <f t="shared" si="545"/>
        <v>0</v>
      </c>
      <c r="E5007" s="2719">
        <v>1</v>
      </c>
      <c r="F5007" s="294"/>
      <c r="G5007" s="2465" t="s">
        <v>2792</v>
      </c>
      <c r="H5007" s="2273"/>
      <c r="I5007" s="2273"/>
      <c r="J5007" s="2273"/>
      <c r="K5007" s="1474">
        <f>H5007+I5007-J5007</f>
        <v>0</v>
      </c>
      <c r="L5007" s="2273"/>
      <c r="M5007" s="2273"/>
      <c r="N5007" s="2273"/>
      <c r="O5007" s="2296"/>
      <c r="P5007" s="2296"/>
      <c r="Q5007" s="2274"/>
      <c r="S5007" s="364"/>
      <c r="Z5007" s="609" t="s">
        <v>2195</v>
      </c>
      <c r="AA5007" s="609"/>
    </row>
    <row r="5008" spans="1:27" ht="18.75" thickBot="1">
      <c r="A5008" s="2712"/>
      <c r="B5008" s="371"/>
      <c r="C5008" s="371"/>
      <c r="D5008" s="2714">
        <f t="shared" si="545"/>
        <v>1</v>
      </c>
      <c r="E5008" s="2719" t="s">
        <v>2751</v>
      </c>
      <c r="F5008" s="294"/>
      <c r="G5008" s="1527" t="s">
        <v>2752</v>
      </c>
      <c r="H5008" s="1525">
        <f t="shared" ref="H5008:N5008" si="546">SUMPRODUCT($E5002:$E5007,H5002:H5007)</f>
        <v>0</v>
      </c>
      <c r="I5008" s="1525">
        <f t="shared" si="546"/>
        <v>0</v>
      </c>
      <c r="J5008" s="1525">
        <f t="shared" si="546"/>
        <v>0</v>
      </c>
      <c r="K5008" s="1525">
        <f t="shared" si="546"/>
        <v>0</v>
      </c>
      <c r="L5008" s="1525">
        <f t="shared" si="546"/>
        <v>0</v>
      </c>
      <c r="M5008" s="1525">
        <f t="shared" si="546"/>
        <v>0</v>
      </c>
      <c r="N5008" s="1525">
        <f t="shared" si="546"/>
        <v>0</v>
      </c>
      <c r="O5008" s="2314"/>
      <c r="P5008" s="2314"/>
      <c r="Q5008" s="2264"/>
      <c r="S5008" s="364"/>
      <c r="Z5008" s="609" t="s">
        <v>2195</v>
      </c>
      <c r="AA5008" s="609"/>
    </row>
    <row r="5009" spans="1:27" ht="18">
      <c r="A5009" s="2712"/>
      <c r="B5009" s="371"/>
      <c r="C5009" s="371" t="s">
        <v>2755</v>
      </c>
      <c r="D5009" s="371"/>
      <c r="F5009" s="294"/>
      <c r="G5009" s="301"/>
      <c r="H5009" s="315"/>
      <c r="I5009" s="315"/>
      <c r="J5009" s="315"/>
      <c r="K5009" s="315"/>
      <c r="L5009" s="315"/>
      <c r="M5009" s="315"/>
      <c r="N5009" s="315"/>
      <c r="O5009" s="393"/>
      <c r="P5009" s="393"/>
      <c r="Q5009" s="545"/>
      <c r="S5009" s="364"/>
      <c r="Z5009" s="609" t="s">
        <v>2195</v>
      </c>
      <c r="AA5009" s="609"/>
    </row>
    <row r="5010" spans="1:27" ht="18">
      <c r="A5010" s="2712" t="s">
        <v>2200</v>
      </c>
      <c r="B5010" s="371">
        <v>3</v>
      </c>
      <c r="C5010" s="371"/>
      <c r="D5010" s="2714" t="str">
        <f>VLOOKUP($A5010,Sheet_NoteList,2,0)</f>
        <v>补充资料（二）</v>
      </c>
      <c r="E5010" s="2714" t="s">
        <v>6529</v>
      </c>
      <c r="F5010" s="294"/>
      <c r="G5010" s="307" t="str">
        <f>"("&amp;B5010&amp;")"&amp;D5010</f>
        <v>(3)补充资料（二）</v>
      </c>
      <c r="H5010" s="1515" t="str">
        <f>$A5010</f>
        <v>9690c</v>
      </c>
      <c r="I5010" s="343" t="s">
        <v>5972</v>
      </c>
      <c r="J5010" s="301"/>
      <c r="K5010" s="391"/>
      <c r="L5010" s="345"/>
      <c r="M5010" s="301"/>
      <c r="N5010" s="391"/>
      <c r="O5010" s="345"/>
      <c r="P5010" s="301"/>
      <c r="S5010" s="364"/>
      <c r="Z5010" s="609" t="s">
        <v>2195</v>
      </c>
      <c r="AA5010" s="609"/>
    </row>
    <row r="5011" spans="1:27" ht="0.75" customHeight="1" thickBot="1">
      <c r="A5011" s="2712"/>
      <c r="B5011" s="371"/>
      <c r="C5011" s="371"/>
      <c r="D5011" s="371"/>
      <c r="E5011" s="586"/>
      <c r="F5011" s="586"/>
      <c r="G5011" s="586" t="s">
        <v>4382</v>
      </c>
      <c r="H5011" s="371" t="s">
        <v>4223</v>
      </c>
      <c r="I5011" s="371" t="s">
        <v>4224</v>
      </c>
      <c r="J5011" s="371" t="s">
        <v>3267</v>
      </c>
      <c r="K5011" s="371" t="s">
        <v>3268</v>
      </c>
      <c r="L5011" s="371" t="s">
        <v>3269</v>
      </c>
      <c r="M5011" s="371" t="s">
        <v>3270</v>
      </c>
      <c r="N5011" s="371" t="s">
        <v>3271</v>
      </c>
      <c r="O5011" s="543" t="s">
        <v>3272</v>
      </c>
      <c r="S5011" s="364"/>
      <c r="Z5011" s="609" t="s">
        <v>2195</v>
      </c>
      <c r="AA5011" s="609"/>
    </row>
    <row r="5012" spans="1:27" ht="18">
      <c r="A5012" s="2712"/>
      <c r="B5012" s="371"/>
      <c r="C5012" s="371"/>
      <c r="D5012" s="371"/>
      <c r="E5012" s="586" t="s">
        <v>2749</v>
      </c>
      <c r="F5012" s="363"/>
      <c r="G5012" s="2456" t="s">
        <v>47</v>
      </c>
      <c r="H5012" s="2457" t="s">
        <v>4242</v>
      </c>
      <c r="I5012" s="2457" t="s">
        <v>4245</v>
      </c>
      <c r="J5012" s="2457" t="s">
        <v>2544</v>
      </c>
      <c r="K5012" s="2457" t="s">
        <v>2549</v>
      </c>
      <c r="L5012" s="2457" t="s">
        <v>3277</v>
      </c>
      <c r="M5012" s="2457" t="s">
        <v>3278</v>
      </c>
      <c r="N5012" s="2457" t="s">
        <v>3279</v>
      </c>
      <c r="O5012" s="2458" t="s">
        <v>3280</v>
      </c>
      <c r="P5012" s="544" t="s">
        <v>4381</v>
      </c>
      <c r="S5012" s="364"/>
      <c r="Z5012" s="609" t="s">
        <v>2195</v>
      </c>
      <c r="AA5012" s="609"/>
    </row>
    <row r="5013" spans="1:27" ht="18">
      <c r="A5013" s="2712"/>
      <c r="B5013" s="371">
        <v>101</v>
      </c>
      <c r="C5013" s="371" t="s">
        <v>2791</v>
      </c>
      <c r="D5013" s="2714">
        <f t="shared" ref="D5013:D5018" si="547">IF(OR(G5013="*",G5013="",G5013=0),0,COUNTIF($G$5013:$G$5018,G5013))</f>
        <v>0</v>
      </c>
      <c r="E5013" s="2719">
        <v>1</v>
      </c>
      <c r="F5013" s="294"/>
      <c r="G5013" s="2465" t="s">
        <v>2792</v>
      </c>
      <c r="H5013" s="2273"/>
      <c r="I5013" s="2273"/>
      <c r="J5013" s="2273"/>
      <c r="K5013" s="2273"/>
      <c r="L5013" s="2273"/>
      <c r="M5013" s="2296"/>
      <c r="N5013" s="2296"/>
      <c r="O5013" s="2274"/>
      <c r="P5013" s="544" t="s">
        <v>3282</v>
      </c>
      <c r="S5013" s="364"/>
      <c r="Z5013" s="609" t="s">
        <v>2195</v>
      </c>
      <c r="AA5013" s="609"/>
    </row>
    <row r="5014" spans="1:27" ht="18">
      <c r="A5014" s="2712"/>
      <c r="B5014" s="371">
        <v>102</v>
      </c>
      <c r="C5014" s="371" t="s">
        <v>2791</v>
      </c>
      <c r="D5014" s="2714">
        <f t="shared" si="547"/>
        <v>0</v>
      </c>
      <c r="E5014" s="2719">
        <v>1</v>
      </c>
      <c r="F5014" s="294"/>
      <c r="G5014" s="2465" t="s">
        <v>2792</v>
      </c>
      <c r="H5014" s="2273"/>
      <c r="I5014" s="2273"/>
      <c r="J5014" s="2273"/>
      <c r="K5014" s="2273"/>
      <c r="L5014" s="2273"/>
      <c r="M5014" s="2296"/>
      <c r="N5014" s="2296"/>
      <c r="O5014" s="2274"/>
      <c r="S5014" s="364"/>
      <c r="Z5014" s="609" t="s">
        <v>2195</v>
      </c>
      <c r="AA5014" s="609"/>
    </row>
    <row r="5015" spans="1:27" ht="18">
      <c r="A5015" s="2712"/>
      <c r="B5015" s="371">
        <v>103</v>
      </c>
      <c r="C5015" s="371" t="s">
        <v>2791</v>
      </c>
      <c r="D5015" s="2714">
        <f t="shared" si="547"/>
        <v>0</v>
      </c>
      <c r="E5015" s="2719">
        <v>1</v>
      </c>
      <c r="F5015" s="294"/>
      <c r="G5015" s="2465" t="s">
        <v>2792</v>
      </c>
      <c r="H5015" s="2273"/>
      <c r="I5015" s="2273"/>
      <c r="J5015" s="2273"/>
      <c r="K5015" s="2273"/>
      <c r="L5015" s="2273"/>
      <c r="M5015" s="2296"/>
      <c r="N5015" s="2296"/>
      <c r="O5015" s="2274"/>
      <c r="S5015" s="364"/>
      <c r="Z5015" s="609" t="s">
        <v>2195</v>
      </c>
      <c r="AA5015" s="609"/>
    </row>
    <row r="5016" spans="1:27" ht="18">
      <c r="A5016" s="2712"/>
      <c r="B5016" s="371">
        <v>104</v>
      </c>
      <c r="C5016" s="371" t="s">
        <v>2791</v>
      </c>
      <c r="D5016" s="2714">
        <f t="shared" si="547"/>
        <v>0</v>
      </c>
      <c r="E5016" s="2719">
        <v>1</v>
      </c>
      <c r="F5016" s="294"/>
      <c r="G5016" s="2465" t="s">
        <v>2792</v>
      </c>
      <c r="H5016" s="2273"/>
      <c r="I5016" s="2273"/>
      <c r="J5016" s="2273"/>
      <c r="K5016" s="2273"/>
      <c r="L5016" s="2273"/>
      <c r="M5016" s="2296"/>
      <c r="N5016" s="2296"/>
      <c r="O5016" s="2274"/>
      <c r="S5016" s="364"/>
      <c r="Z5016" s="609" t="s">
        <v>2195</v>
      </c>
      <c r="AA5016" s="609"/>
    </row>
    <row r="5017" spans="1:27" ht="18">
      <c r="A5017" s="2712"/>
      <c r="B5017" s="371">
        <v>105</v>
      </c>
      <c r="C5017" s="371" t="s">
        <v>2791</v>
      </c>
      <c r="D5017" s="2714">
        <f t="shared" si="547"/>
        <v>0</v>
      </c>
      <c r="E5017" s="2719">
        <v>1</v>
      </c>
      <c r="F5017" s="294"/>
      <c r="G5017" s="2465" t="s">
        <v>2792</v>
      </c>
      <c r="H5017" s="2273"/>
      <c r="I5017" s="2273"/>
      <c r="J5017" s="2273"/>
      <c r="K5017" s="2273"/>
      <c r="L5017" s="2273"/>
      <c r="M5017" s="2296"/>
      <c r="N5017" s="2296"/>
      <c r="O5017" s="2274"/>
      <c r="S5017" s="364"/>
      <c r="Z5017" s="609" t="s">
        <v>2195</v>
      </c>
      <c r="AA5017" s="609"/>
    </row>
    <row r="5018" spans="1:27" ht="18.75" thickBot="1">
      <c r="A5018" s="2712"/>
      <c r="B5018" s="371"/>
      <c r="C5018" s="371"/>
      <c r="D5018" s="2714">
        <f t="shared" si="547"/>
        <v>1</v>
      </c>
      <c r="E5018" s="2719" t="s">
        <v>2751</v>
      </c>
      <c r="F5018" s="294"/>
      <c r="G5018" s="1527" t="s">
        <v>2752</v>
      </c>
      <c r="H5018" s="1525">
        <f>SUMPRODUCT($E5012:$E5017,H5012:H5017)</f>
        <v>0</v>
      </c>
      <c r="I5018" s="1525">
        <f>SUMPRODUCT($E5012:$E5017,I5012:I5017)</f>
        <v>0</v>
      </c>
      <c r="J5018" s="1525">
        <f>SUMPRODUCT($E5012:$E5017,J5012:J5017)</f>
        <v>0</v>
      </c>
      <c r="K5018" s="1525">
        <f>SUMPRODUCT($E5012:$E5017,K5012:K5017)</f>
        <v>0</v>
      </c>
      <c r="L5018" s="1525">
        <f>SUMPRODUCT($E5012:$E5017,L5012:L5017)</f>
        <v>0</v>
      </c>
      <c r="M5018" s="2314"/>
      <c r="N5018" s="2314"/>
      <c r="O5018" s="2264"/>
      <c r="S5018" s="364"/>
      <c r="Z5018" s="609" t="s">
        <v>2195</v>
      </c>
      <c r="AA5018" s="609"/>
    </row>
    <row r="5019" spans="1:27" ht="18">
      <c r="A5019" s="2712"/>
      <c r="B5019" s="371"/>
      <c r="C5019" s="371" t="s">
        <v>2755</v>
      </c>
      <c r="D5019" s="371"/>
      <c r="F5019" s="294"/>
      <c r="G5019" s="301"/>
      <c r="H5019" s="315"/>
      <c r="I5019" s="315"/>
      <c r="J5019" s="315"/>
      <c r="K5019" s="315"/>
      <c r="L5019" s="315"/>
      <c r="M5019" s="393"/>
      <c r="N5019" s="393"/>
      <c r="O5019" s="393"/>
      <c r="S5019" s="364"/>
      <c r="Z5019" s="609" t="s">
        <v>2195</v>
      </c>
      <c r="AA5019" s="609"/>
    </row>
    <row r="5020" spans="1:27" ht="18">
      <c r="A5020" s="2712">
        <v>7400</v>
      </c>
      <c r="B5020" s="371">
        <v>78</v>
      </c>
      <c r="C5020" s="2714" t="str">
        <f>VLOOKUP($A5020,Sheet_Items,2,0)</f>
        <v>现金流量表项目注释</v>
      </c>
      <c r="D5020" s="371"/>
      <c r="E5020" s="2714" t="s">
        <v>2739</v>
      </c>
      <c r="F5020" s="294"/>
      <c r="G5020" s="305" t="str">
        <f>B5020&amp;" "&amp;C5020</f>
        <v>78 现金流量表项目注释</v>
      </c>
      <c r="H5020" s="306"/>
      <c r="I5020" s="306"/>
      <c r="J5020" s="306"/>
      <c r="K5020" s="539"/>
      <c r="L5020" s="342"/>
      <c r="M5020" s="306"/>
      <c r="N5020" s="539"/>
      <c r="O5020" s="306"/>
      <c r="P5020" s="301"/>
      <c r="S5020" s="364"/>
      <c r="Z5020" s="609" t="s">
        <v>4383</v>
      </c>
      <c r="AA5020" s="371"/>
    </row>
    <row r="5021" spans="1:27" ht="18">
      <c r="A5021" s="2712">
        <v>7046</v>
      </c>
      <c r="B5021" s="371">
        <v>78.099999999999994</v>
      </c>
      <c r="C5021" s="2714" t="str">
        <f>VLOOKUP($A5021,Sheet_Items,2,0)</f>
        <v>收到其他与经营活动有关的现金</v>
      </c>
      <c r="D5021" s="371"/>
      <c r="E5021" s="2714" t="s">
        <v>2739</v>
      </c>
      <c r="F5021" s="294"/>
      <c r="G5021" s="536" t="str">
        <f>B5021&amp;" "&amp;C5021</f>
        <v>78.1 收到其他与经营活动有关的现金</v>
      </c>
      <c r="H5021" s="322"/>
      <c r="I5021" s="322"/>
      <c r="J5021" s="306" t="s">
        <v>4206</v>
      </c>
      <c r="K5021" s="341">
        <f>VLOOKUP($A5021,Sheet_Trialbal,6,0)</f>
        <v>1544811.94</v>
      </c>
      <c r="L5021" s="342"/>
      <c r="M5021" s="306" t="s">
        <v>4207</v>
      </c>
      <c r="N5021" s="341">
        <f>VLOOKUP($A5021,Sheet_Trialbal,10,0)</f>
        <v>76489.33</v>
      </c>
      <c r="O5021" s="325"/>
      <c r="P5021" s="301"/>
      <c r="S5021" s="364"/>
      <c r="Z5021" s="609" t="s">
        <v>4384</v>
      </c>
      <c r="AA5021" s="609"/>
    </row>
    <row r="5022" spans="1:27" ht="24">
      <c r="A5022" s="2712" t="s">
        <v>1946</v>
      </c>
      <c r="B5022" s="371">
        <v>1</v>
      </c>
      <c r="C5022" s="371"/>
      <c r="D5022" s="2714" t="str">
        <f>VLOOKUP($A5022,Sheet_NoteList,2,0)</f>
        <v>收到的其他与经营活动有关的现金</v>
      </c>
      <c r="E5022" s="2714" t="s">
        <v>2742</v>
      </c>
      <c r="F5022" s="294"/>
      <c r="G5022" s="372" t="str">
        <f>"("&amp;B5022&amp;")"&amp;D5022</f>
        <v>(1)收到的其他与经营活动有关的现金</v>
      </c>
      <c r="H5022" s="1515" t="str">
        <f>$A5022</f>
        <v>7046a</v>
      </c>
      <c r="I5022" s="343" t="s">
        <v>2743</v>
      </c>
      <c r="J5022" s="301" t="s">
        <v>4256</v>
      </c>
      <c r="K5022" s="2208">
        <f>H5035</f>
        <v>1544811.94</v>
      </c>
      <c r="L5022" s="1533">
        <f>IF($I5022="适用",IF(ROUND(K5021-K5022,2)&gt;=0,IF(K5021&lt;&gt;0,K5022/K5021,""),"#Logical!"),"#N/A")</f>
        <v>1</v>
      </c>
      <c r="M5022" s="301" t="s">
        <v>4257</v>
      </c>
      <c r="N5022" s="2208">
        <f>I5035</f>
        <v>0</v>
      </c>
      <c r="O5022" s="1533">
        <f>IF($I5022="适用",IF(ROUND(N5021-N5022,2)&gt;=0,IF(N5021&lt;&gt;0,N5022/N5021,""),"#Logical!"),"#N/A")</f>
        <v>0</v>
      </c>
      <c r="P5022" s="301"/>
      <c r="Q5022" s="290" t="str">
        <f>IF($I5022="不适用","",IF(ROUND(SUM($H$5025:$I$5035),2)=0,"请输入",""))</f>
        <v/>
      </c>
      <c r="S5022" s="364"/>
      <c r="Z5022" s="609" t="s">
        <v>4384</v>
      </c>
      <c r="AA5022" s="609"/>
    </row>
    <row r="5023" spans="1:27" ht="0.75" customHeight="1" thickBot="1">
      <c r="A5023" s="2712"/>
      <c r="B5023" s="371"/>
      <c r="C5023" s="371"/>
      <c r="D5023" s="371"/>
      <c r="E5023" s="586"/>
      <c r="F5023" s="363"/>
      <c r="G5023" s="363" t="s">
        <v>4385</v>
      </c>
      <c r="H5023" s="294" t="s">
        <v>4223</v>
      </c>
      <c r="I5023" s="294" t="s">
        <v>4224</v>
      </c>
      <c r="J5023" s="291"/>
      <c r="K5023" s="291"/>
      <c r="L5023" s="291"/>
      <c r="M5023" s="291"/>
      <c r="S5023" s="364"/>
      <c r="Z5023" s="609" t="s">
        <v>4384</v>
      </c>
      <c r="AA5023" s="609"/>
    </row>
    <row r="5024" spans="1:27" ht="18">
      <c r="A5024" s="2712"/>
      <c r="B5024" s="371"/>
      <c r="C5024" s="371"/>
      <c r="D5024" s="371"/>
      <c r="E5024" s="586" t="s">
        <v>2749</v>
      </c>
      <c r="F5024" s="363"/>
      <c r="G5024" s="2451" t="s">
        <v>47</v>
      </c>
      <c r="H5024" s="2459" t="str">
        <f>$V$4</f>
        <v>2019年度</v>
      </c>
      <c r="I5024" s="2460" t="str">
        <f>$V$5</f>
        <v>2018年度</v>
      </c>
      <c r="J5024" s="355" t="s">
        <v>5340</v>
      </c>
      <c r="K5024" s="291"/>
      <c r="L5024" s="291"/>
      <c r="M5024" s="291"/>
      <c r="S5024" s="364"/>
      <c r="Z5024" s="609" t="s">
        <v>4384</v>
      </c>
      <c r="AA5024" s="609"/>
    </row>
    <row r="5025" spans="1:27" ht="18">
      <c r="A5025" s="2712"/>
      <c r="B5025" s="371">
        <v>101</v>
      </c>
      <c r="C5025" s="371" t="s">
        <v>2791</v>
      </c>
      <c r="D5025" s="2714">
        <f t="shared" ref="D5025:D5035" si="548">IF(OR(G5025="*",G5025="",G5025=0),0,COUNTIF($G$5025:$G$5035,G5025))</f>
        <v>1</v>
      </c>
      <c r="E5025" s="2719">
        <v>1</v>
      </c>
      <c r="F5025" s="294"/>
      <c r="G5025" s="2465" t="s">
        <v>7811</v>
      </c>
      <c r="H5025" s="2273">
        <v>143120</v>
      </c>
      <c r="I5025" s="2294"/>
      <c r="J5025" s="291"/>
      <c r="K5025" s="291"/>
      <c r="L5025" s="291"/>
      <c r="M5025" s="291"/>
      <c r="S5025" s="364"/>
      <c r="Z5025" s="609" t="s">
        <v>4384</v>
      </c>
      <c r="AA5025" s="609"/>
    </row>
    <row r="5026" spans="1:27" ht="18">
      <c r="A5026" s="2712"/>
      <c r="B5026" s="371">
        <v>102</v>
      </c>
      <c r="C5026" s="371" t="s">
        <v>2791</v>
      </c>
      <c r="D5026" s="2714">
        <f t="shared" si="548"/>
        <v>1</v>
      </c>
      <c r="E5026" s="2719">
        <v>1</v>
      </c>
      <c r="F5026" s="294"/>
      <c r="G5026" s="2465" t="s">
        <v>932</v>
      </c>
      <c r="H5026" s="2273">
        <v>68824.56</v>
      </c>
      <c r="I5026" s="2294"/>
      <c r="J5026" s="291"/>
      <c r="K5026" s="291"/>
      <c r="L5026" s="291"/>
      <c r="M5026" s="291"/>
      <c r="S5026" s="364"/>
      <c r="Z5026" s="609" t="s">
        <v>4384</v>
      </c>
      <c r="AA5026" s="609"/>
    </row>
    <row r="5027" spans="1:27" ht="18">
      <c r="A5027" s="2712"/>
      <c r="B5027" s="371">
        <v>103</v>
      </c>
      <c r="C5027" s="371" t="s">
        <v>2791</v>
      </c>
      <c r="D5027" s="2714">
        <f t="shared" si="548"/>
        <v>1</v>
      </c>
      <c r="E5027" s="2719">
        <v>1</v>
      </c>
      <c r="F5027" s="294"/>
      <c r="G5027" s="2465" t="s">
        <v>7833</v>
      </c>
      <c r="H5027" s="2273">
        <f>CF底稿!E30</f>
        <v>1332867.3799999999</v>
      </c>
      <c r="I5027" s="2294"/>
      <c r="J5027" s="291"/>
      <c r="K5027" s="291"/>
      <c r="L5027" s="291"/>
      <c r="M5027" s="291"/>
      <c r="S5027" s="364"/>
      <c r="Z5027" s="609" t="s">
        <v>4384</v>
      </c>
      <c r="AA5027" s="609"/>
    </row>
    <row r="5028" spans="1:27" ht="18">
      <c r="A5028" s="2712"/>
      <c r="B5028" s="371">
        <v>104</v>
      </c>
      <c r="C5028" s="371" t="s">
        <v>2791</v>
      </c>
      <c r="D5028" s="2714">
        <f t="shared" si="548"/>
        <v>0</v>
      </c>
      <c r="E5028" s="2719">
        <v>1</v>
      </c>
      <c r="F5028" s="294"/>
      <c r="G5028" s="2465" t="s">
        <v>2792</v>
      </c>
      <c r="H5028" s="2273"/>
      <c r="I5028" s="2294"/>
      <c r="J5028" s="291"/>
      <c r="K5028" s="291"/>
      <c r="L5028" s="291"/>
      <c r="M5028" s="291"/>
      <c r="S5028" s="364"/>
      <c r="Z5028" s="609" t="s">
        <v>4384</v>
      </c>
      <c r="AA5028" s="609"/>
    </row>
    <row r="5029" spans="1:27" ht="18">
      <c r="A5029" s="2712"/>
      <c r="B5029" s="371">
        <v>105</v>
      </c>
      <c r="C5029" s="371" t="s">
        <v>2791</v>
      </c>
      <c r="D5029" s="2714">
        <f t="shared" si="548"/>
        <v>0</v>
      </c>
      <c r="E5029" s="2719">
        <v>1</v>
      </c>
      <c r="F5029" s="294"/>
      <c r="G5029" s="2465" t="s">
        <v>2792</v>
      </c>
      <c r="H5029" s="2273"/>
      <c r="I5029" s="2294"/>
      <c r="J5029" s="291"/>
      <c r="K5029" s="291"/>
      <c r="L5029" s="291"/>
      <c r="M5029" s="291"/>
      <c r="S5029" s="364"/>
      <c r="Z5029" s="609" t="s">
        <v>4384</v>
      </c>
      <c r="AA5029" s="609"/>
    </row>
    <row r="5030" spans="1:27" ht="18">
      <c r="A5030" s="2712"/>
      <c r="B5030" s="371">
        <v>106</v>
      </c>
      <c r="C5030" s="371" t="s">
        <v>2791</v>
      </c>
      <c r="D5030" s="2714">
        <f t="shared" si="548"/>
        <v>0</v>
      </c>
      <c r="E5030" s="2719">
        <v>1</v>
      </c>
      <c r="F5030" s="294"/>
      <c r="G5030" s="2465" t="s">
        <v>2792</v>
      </c>
      <c r="H5030" s="2273"/>
      <c r="I5030" s="2294"/>
      <c r="J5030" s="291"/>
      <c r="K5030" s="291"/>
      <c r="L5030" s="291"/>
      <c r="M5030" s="291"/>
      <c r="S5030" s="364"/>
      <c r="Z5030" s="609" t="s">
        <v>4384</v>
      </c>
      <c r="AA5030" s="609"/>
    </row>
    <row r="5031" spans="1:27" ht="18">
      <c r="A5031" s="2712"/>
      <c r="B5031" s="371">
        <v>107</v>
      </c>
      <c r="C5031" s="371" t="s">
        <v>2791</v>
      </c>
      <c r="D5031" s="2714">
        <f t="shared" si="548"/>
        <v>0</v>
      </c>
      <c r="E5031" s="2719">
        <v>1</v>
      </c>
      <c r="F5031" s="294"/>
      <c r="G5031" s="2465" t="s">
        <v>2792</v>
      </c>
      <c r="H5031" s="2273"/>
      <c r="I5031" s="2294"/>
      <c r="J5031" s="291"/>
      <c r="K5031" s="291"/>
      <c r="L5031" s="291"/>
      <c r="M5031" s="291"/>
      <c r="S5031" s="364"/>
      <c r="Z5031" s="609" t="s">
        <v>4384</v>
      </c>
      <c r="AA5031" s="609"/>
    </row>
    <row r="5032" spans="1:27" ht="18">
      <c r="A5032" s="2712"/>
      <c r="B5032" s="371">
        <v>108</v>
      </c>
      <c r="C5032" s="371" t="s">
        <v>2791</v>
      </c>
      <c r="D5032" s="2714">
        <f t="shared" si="548"/>
        <v>0</v>
      </c>
      <c r="E5032" s="2719">
        <v>1</v>
      </c>
      <c r="F5032" s="294"/>
      <c r="G5032" s="2465" t="s">
        <v>2792</v>
      </c>
      <c r="H5032" s="2273"/>
      <c r="I5032" s="2294"/>
      <c r="J5032" s="291"/>
      <c r="K5032" s="291"/>
      <c r="L5032" s="291"/>
      <c r="M5032" s="291"/>
      <c r="S5032" s="364"/>
      <c r="Z5032" s="609" t="s">
        <v>4384</v>
      </c>
      <c r="AA5032" s="609"/>
    </row>
    <row r="5033" spans="1:27" ht="18">
      <c r="A5033" s="2712"/>
      <c r="B5033" s="371">
        <v>109</v>
      </c>
      <c r="C5033" s="371" t="s">
        <v>2791</v>
      </c>
      <c r="D5033" s="2714">
        <f t="shared" si="548"/>
        <v>0</v>
      </c>
      <c r="E5033" s="2719">
        <v>1</v>
      </c>
      <c r="F5033" s="294"/>
      <c r="G5033" s="2465" t="s">
        <v>2792</v>
      </c>
      <c r="H5033" s="2273"/>
      <c r="I5033" s="2294"/>
      <c r="J5033" s="291"/>
      <c r="K5033" s="291"/>
      <c r="L5033" s="291"/>
      <c r="M5033" s="291"/>
      <c r="S5033" s="364"/>
      <c r="Z5033" s="609" t="s">
        <v>4384</v>
      </c>
      <c r="AA5033" s="609"/>
    </row>
    <row r="5034" spans="1:27" ht="18">
      <c r="A5034" s="2712"/>
      <c r="B5034" s="371">
        <v>110</v>
      </c>
      <c r="C5034" s="371" t="s">
        <v>2791</v>
      </c>
      <c r="D5034" s="2714">
        <f t="shared" si="548"/>
        <v>0</v>
      </c>
      <c r="E5034" s="2719">
        <v>1</v>
      </c>
      <c r="F5034" s="294"/>
      <c r="G5034" s="2465" t="s">
        <v>2792</v>
      </c>
      <c r="H5034" s="2273"/>
      <c r="I5034" s="2294"/>
      <c r="J5034" s="291"/>
      <c r="K5034" s="291"/>
      <c r="L5034" s="291"/>
      <c r="M5034" s="291"/>
      <c r="S5034" s="364"/>
      <c r="Z5034" s="609" t="s">
        <v>4384</v>
      </c>
      <c r="AA5034" s="609"/>
    </row>
    <row r="5035" spans="1:27" ht="18.75" thickBot="1">
      <c r="A5035" s="2712"/>
      <c r="B5035" s="371"/>
      <c r="C5035" s="371"/>
      <c r="D5035" s="2714">
        <f t="shared" si="548"/>
        <v>1</v>
      </c>
      <c r="E5035" s="2719" t="s">
        <v>2751</v>
      </c>
      <c r="F5035" s="294"/>
      <c r="G5035" s="2232" t="s">
        <v>2752</v>
      </c>
      <c r="H5035" s="2233">
        <f>SUMPRODUCT($E5024:$E5034,H5024:H5034)</f>
        <v>1544811.94</v>
      </c>
      <c r="I5035" s="2234">
        <f>SUMPRODUCT($E5024:$E5034,I5024:I5034)</f>
        <v>0</v>
      </c>
      <c r="J5035" s="291"/>
      <c r="K5035" s="291"/>
      <c r="L5035" s="291"/>
      <c r="M5035" s="291"/>
      <c r="S5035" s="364"/>
      <c r="Z5035" s="609" t="s">
        <v>4384</v>
      </c>
      <c r="AA5035" s="609"/>
    </row>
    <row r="5036" spans="1:27" ht="18">
      <c r="A5036" s="2712"/>
      <c r="B5036" s="371"/>
      <c r="C5036" s="371" t="s">
        <v>2755</v>
      </c>
      <c r="D5036" s="371"/>
      <c r="F5036" s="294"/>
      <c r="G5036" s="301"/>
      <c r="H5036" s="315"/>
      <c r="I5036" s="315"/>
      <c r="J5036" s="291"/>
      <c r="K5036" s="291"/>
      <c r="L5036" s="291"/>
      <c r="M5036" s="291"/>
      <c r="O5036" s="290"/>
      <c r="S5036" s="364"/>
      <c r="Z5036" s="609" t="s">
        <v>4384</v>
      </c>
      <c r="AA5036" s="609"/>
    </row>
    <row r="5037" spans="1:27" ht="18">
      <c r="A5037" s="2712">
        <v>7096</v>
      </c>
      <c r="B5037" s="371">
        <v>78.2</v>
      </c>
      <c r="C5037" s="2714" t="str">
        <f>VLOOKUP($A5037,Sheet_Items,2,0)</f>
        <v>支付其他与经营活动有关的现金</v>
      </c>
      <c r="D5037" s="371"/>
      <c r="E5037" s="2714" t="s">
        <v>2739</v>
      </c>
      <c r="F5037" s="294"/>
      <c r="G5037" s="536" t="str">
        <f>B5037&amp;" "&amp;C5037</f>
        <v>78.2 支付其他与经营活动有关的现金</v>
      </c>
      <c r="H5037" s="322"/>
      <c r="I5037" s="322"/>
      <c r="J5037" s="306" t="s">
        <v>4206</v>
      </c>
      <c r="K5037" s="341">
        <f>VLOOKUP($A5037,Sheet_Trialbal,6,0)</f>
        <v>29188633.84</v>
      </c>
      <c r="L5037" s="342"/>
      <c r="M5037" s="306" t="s">
        <v>4207</v>
      </c>
      <c r="N5037" s="341">
        <f>VLOOKUP($A5037,Sheet_Trialbal,10,0)</f>
        <v>121285508.67</v>
      </c>
      <c r="O5037" s="306"/>
      <c r="P5037" s="301"/>
      <c r="S5037" s="364"/>
      <c r="Z5037" s="609" t="s">
        <v>4386</v>
      </c>
      <c r="AA5037" s="609"/>
    </row>
    <row r="5038" spans="1:27" ht="24">
      <c r="A5038" s="2712" t="s">
        <v>1957</v>
      </c>
      <c r="B5038" s="371">
        <v>1</v>
      </c>
      <c r="C5038" s="371"/>
      <c r="D5038" s="2714" t="str">
        <f>VLOOKUP($A5038,Sheet_NoteList,2,0)</f>
        <v>支付的其他与经营活动有关的现金</v>
      </c>
      <c r="E5038" s="2714" t="s">
        <v>2742</v>
      </c>
      <c r="F5038" s="294"/>
      <c r="G5038" s="372" t="str">
        <f>"("&amp;B5038&amp;")"&amp;D5038</f>
        <v>(1)支付的其他与经营活动有关的现金</v>
      </c>
      <c r="H5038" s="1515" t="str">
        <f>$A5038</f>
        <v>7096a</v>
      </c>
      <c r="I5038" s="343" t="s">
        <v>2743</v>
      </c>
      <c r="J5038" s="301" t="s">
        <v>4256</v>
      </c>
      <c r="K5038" s="2208">
        <f>H5051</f>
        <v>29188633.84</v>
      </c>
      <c r="L5038" s="1533">
        <f>IF($I5038="适用",IF(ROUND(K5037-K5038,2)&gt;=0,IF(K5037&lt;&gt;0,K5038/K5037,""),"#Logical!"),"#N/A")</f>
        <v>1</v>
      </c>
      <c r="M5038" s="301" t="s">
        <v>4257</v>
      </c>
      <c r="N5038" s="2208">
        <f>I5051</f>
        <v>0</v>
      </c>
      <c r="O5038" s="1533">
        <f>IF($I5038="适用",IF(ROUND(N5037-N5038,2)&gt;=0,IF(N5037&lt;&gt;0,N5038/N5037,""),"#Logical!"),"#N/A")</f>
        <v>0</v>
      </c>
      <c r="P5038" s="301"/>
      <c r="Q5038" s="290" t="str">
        <f>IF($I5038="不适用","",IF(ROUND(SUM($H$5041:$I$5051),2)=0,"请输入",""))</f>
        <v/>
      </c>
      <c r="S5038" s="364"/>
      <c r="Z5038" s="609" t="s">
        <v>4386</v>
      </c>
      <c r="AA5038" s="609"/>
    </row>
    <row r="5039" spans="1:27" ht="0.75" customHeight="1" thickBot="1">
      <c r="A5039" s="2712"/>
      <c r="B5039" s="371"/>
      <c r="C5039" s="371"/>
      <c r="D5039" s="371"/>
      <c r="E5039" s="586"/>
      <c r="F5039" s="363"/>
      <c r="G5039" s="363" t="s">
        <v>4387</v>
      </c>
      <c r="H5039" s="294" t="s">
        <v>4223</v>
      </c>
      <c r="I5039" s="294" t="s">
        <v>4224</v>
      </c>
      <c r="J5039" s="291"/>
      <c r="K5039" s="291"/>
      <c r="L5039" s="291"/>
      <c r="M5039" s="291"/>
      <c r="S5039" s="364"/>
      <c r="Z5039" s="609" t="s">
        <v>4386</v>
      </c>
      <c r="AA5039" s="609"/>
    </row>
    <row r="5040" spans="1:27" ht="18">
      <c r="A5040" s="2712"/>
      <c r="B5040" s="371"/>
      <c r="C5040" s="371"/>
      <c r="D5040" s="371"/>
      <c r="E5040" s="586" t="s">
        <v>2749</v>
      </c>
      <c r="F5040" s="363"/>
      <c r="G5040" s="2451" t="s">
        <v>47</v>
      </c>
      <c r="H5040" s="2459" t="str">
        <f>$V$4</f>
        <v>2019年度</v>
      </c>
      <c r="I5040" s="2460" t="str">
        <f>$V$5</f>
        <v>2018年度</v>
      </c>
      <c r="J5040" s="355" t="s">
        <v>5340</v>
      </c>
      <c r="K5040" s="291"/>
      <c r="L5040" s="291"/>
      <c r="M5040" s="291"/>
      <c r="S5040" s="364"/>
      <c r="Z5040" s="609" t="s">
        <v>4386</v>
      </c>
      <c r="AA5040" s="609"/>
    </row>
    <row r="5041" spans="1:27" ht="18">
      <c r="A5041" s="2712"/>
      <c r="B5041" s="371">
        <v>101</v>
      </c>
      <c r="C5041" s="371" t="s">
        <v>2791</v>
      </c>
      <c r="D5041" s="2714">
        <f t="shared" ref="D5041:D5051" si="549">IF(OR(G5041="*",G5041="",G5041=0),0,COUNTIF($G$5041:$G$5051,G5041))</f>
        <v>1</v>
      </c>
      <c r="E5041" s="2719">
        <v>1</v>
      </c>
      <c r="F5041" s="294"/>
      <c r="G5041" s="2465" t="s">
        <v>7812</v>
      </c>
      <c r="H5041" s="2273">
        <f>K5037-H5042</f>
        <v>29054635.550000001</v>
      </c>
      <c r="I5041" s="2294"/>
      <c r="J5041" s="291"/>
      <c r="K5041" s="291"/>
      <c r="L5041" s="291"/>
      <c r="M5041" s="291"/>
      <c r="S5041" s="364"/>
      <c r="Z5041" s="609" t="s">
        <v>4386</v>
      </c>
      <c r="AA5041" s="609"/>
    </row>
    <row r="5042" spans="1:27" ht="18">
      <c r="A5042" s="2712"/>
      <c r="B5042" s="371">
        <v>102</v>
      </c>
      <c r="C5042" s="371" t="s">
        <v>2791</v>
      </c>
      <c r="D5042" s="2714">
        <f t="shared" si="549"/>
        <v>1</v>
      </c>
      <c r="E5042" s="2719">
        <v>1</v>
      </c>
      <c r="F5042" s="294"/>
      <c r="G5042" s="2465" t="s">
        <v>7821</v>
      </c>
      <c r="H5042" s="2273">
        <f>H4761</f>
        <v>133998.29</v>
      </c>
      <c r="I5042" s="2294"/>
      <c r="J5042" s="291"/>
      <c r="K5042" s="291"/>
      <c r="L5042" s="291"/>
      <c r="M5042" s="291"/>
      <c r="S5042" s="364"/>
      <c r="Z5042" s="609" t="s">
        <v>4386</v>
      </c>
      <c r="AA5042" s="609"/>
    </row>
    <row r="5043" spans="1:27" ht="18">
      <c r="A5043" s="2712"/>
      <c r="B5043" s="371">
        <v>103</v>
      </c>
      <c r="C5043" s="371" t="s">
        <v>2791</v>
      </c>
      <c r="D5043" s="2714">
        <f t="shared" si="549"/>
        <v>0</v>
      </c>
      <c r="E5043" s="2719">
        <v>1</v>
      </c>
      <c r="F5043" s="294"/>
      <c r="G5043" s="2465" t="s">
        <v>2792</v>
      </c>
      <c r="H5043" s="2273"/>
      <c r="I5043" s="2294"/>
      <c r="J5043" s="291"/>
      <c r="K5043" s="291"/>
      <c r="L5043" s="291"/>
      <c r="M5043" s="291"/>
      <c r="S5043" s="364"/>
      <c r="Z5043" s="609" t="s">
        <v>4386</v>
      </c>
      <c r="AA5043" s="609"/>
    </row>
    <row r="5044" spans="1:27" ht="18">
      <c r="A5044" s="2712"/>
      <c r="B5044" s="371">
        <v>104</v>
      </c>
      <c r="C5044" s="371" t="s">
        <v>2791</v>
      </c>
      <c r="D5044" s="2714">
        <f t="shared" si="549"/>
        <v>0</v>
      </c>
      <c r="E5044" s="2719">
        <v>1</v>
      </c>
      <c r="F5044" s="294"/>
      <c r="G5044" s="2465" t="s">
        <v>2792</v>
      </c>
      <c r="H5044" s="2273"/>
      <c r="I5044" s="2294"/>
      <c r="J5044" s="291"/>
      <c r="K5044" s="291"/>
      <c r="L5044" s="291"/>
      <c r="M5044" s="291"/>
      <c r="S5044" s="364"/>
      <c r="Z5044" s="609" t="s">
        <v>4386</v>
      </c>
      <c r="AA5044" s="609"/>
    </row>
    <row r="5045" spans="1:27" ht="18">
      <c r="A5045" s="2712"/>
      <c r="B5045" s="371">
        <v>105</v>
      </c>
      <c r="C5045" s="371" t="s">
        <v>2791</v>
      </c>
      <c r="D5045" s="2714">
        <f t="shared" si="549"/>
        <v>0</v>
      </c>
      <c r="E5045" s="2719">
        <v>1</v>
      </c>
      <c r="F5045" s="294"/>
      <c r="G5045" s="2465" t="s">
        <v>2792</v>
      </c>
      <c r="H5045" s="2273"/>
      <c r="I5045" s="2294"/>
      <c r="J5045" s="291"/>
      <c r="K5045" s="291"/>
      <c r="L5045" s="291"/>
      <c r="M5045" s="291"/>
      <c r="S5045" s="364"/>
      <c r="Z5045" s="609" t="s">
        <v>4386</v>
      </c>
      <c r="AA5045" s="609"/>
    </row>
    <row r="5046" spans="1:27" ht="18">
      <c r="A5046" s="2712"/>
      <c r="B5046" s="371">
        <v>106</v>
      </c>
      <c r="C5046" s="371" t="s">
        <v>2791</v>
      </c>
      <c r="D5046" s="2714">
        <f t="shared" si="549"/>
        <v>0</v>
      </c>
      <c r="E5046" s="2719">
        <v>1</v>
      </c>
      <c r="F5046" s="294"/>
      <c r="G5046" s="2465" t="s">
        <v>2792</v>
      </c>
      <c r="H5046" s="2273"/>
      <c r="I5046" s="2294"/>
      <c r="J5046" s="291"/>
      <c r="K5046" s="291"/>
      <c r="L5046" s="291"/>
      <c r="M5046" s="291"/>
      <c r="S5046" s="364"/>
      <c r="Z5046" s="609" t="s">
        <v>4386</v>
      </c>
      <c r="AA5046" s="609"/>
    </row>
    <row r="5047" spans="1:27" ht="18">
      <c r="A5047" s="2712"/>
      <c r="B5047" s="371">
        <v>107</v>
      </c>
      <c r="C5047" s="371" t="s">
        <v>2791</v>
      </c>
      <c r="D5047" s="2714">
        <f t="shared" si="549"/>
        <v>0</v>
      </c>
      <c r="E5047" s="2719">
        <v>1</v>
      </c>
      <c r="F5047" s="294"/>
      <c r="G5047" s="2465" t="s">
        <v>2792</v>
      </c>
      <c r="H5047" s="2273"/>
      <c r="I5047" s="2294"/>
      <c r="J5047" s="291"/>
      <c r="K5047" s="291"/>
      <c r="L5047" s="291"/>
      <c r="M5047" s="291"/>
      <c r="S5047" s="364"/>
      <c r="Z5047" s="609" t="s">
        <v>4386</v>
      </c>
      <c r="AA5047" s="609"/>
    </row>
    <row r="5048" spans="1:27" ht="18">
      <c r="A5048" s="2712"/>
      <c r="B5048" s="371">
        <v>108</v>
      </c>
      <c r="C5048" s="371" t="s">
        <v>2791</v>
      </c>
      <c r="D5048" s="2714">
        <f t="shared" si="549"/>
        <v>0</v>
      </c>
      <c r="E5048" s="2719">
        <v>1</v>
      </c>
      <c r="F5048" s="294"/>
      <c r="G5048" s="2465" t="s">
        <v>2792</v>
      </c>
      <c r="H5048" s="2273"/>
      <c r="I5048" s="2294"/>
      <c r="J5048" s="291"/>
      <c r="K5048" s="291"/>
      <c r="L5048" s="291"/>
      <c r="M5048" s="291"/>
      <c r="S5048" s="364"/>
      <c r="Z5048" s="609" t="s">
        <v>4386</v>
      </c>
      <c r="AA5048" s="609"/>
    </row>
    <row r="5049" spans="1:27" ht="18">
      <c r="A5049" s="2712"/>
      <c r="B5049" s="371">
        <v>109</v>
      </c>
      <c r="C5049" s="371" t="s">
        <v>2791</v>
      </c>
      <c r="D5049" s="2714">
        <f t="shared" si="549"/>
        <v>0</v>
      </c>
      <c r="E5049" s="2719">
        <v>1</v>
      </c>
      <c r="F5049" s="294"/>
      <c r="G5049" s="2465" t="s">
        <v>2792</v>
      </c>
      <c r="H5049" s="2273"/>
      <c r="I5049" s="2294"/>
      <c r="J5049" s="291"/>
      <c r="K5049" s="291"/>
      <c r="L5049" s="291"/>
      <c r="M5049" s="291"/>
      <c r="S5049" s="364"/>
      <c r="Z5049" s="609" t="s">
        <v>4386</v>
      </c>
      <c r="AA5049" s="609"/>
    </row>
    <row r="5050" spans="1:27" ht="18">
      <c r="A5050" s="2712"/>
      <c r="B5050" s="371">
        <v>110</v>
      </c>
      <c r="C5050" s="371" t="s">
        <v>2791</v>
      </c>
      <c r="D5050" s="2714">
        <f t="shared" si="549"/>
        <v>0</v>
      </c>
      <c r="E5050" s="2719">
        <v>1</v>
      </c>
      <c r="F5050" s="294"/>
      <c r="G5050" s="2465" t="s">
        <v>2792</v>
      </c>
      <c r="H5050" s="2273"/>
      <c r="I5050" s="2294"/>
      <c r="J5050" s="291"/>
      <c r="K5050" s="291"/>
      <c r="L5050" s="291"/>
      <c r="M5050" s="291"/>
      <c r="S5050" s="364"/>
      <c r="Z5050" s="609" t="s">
        <v>4386</v>
      </c>
      <c r="AA5050" s="609"/>
    </row>
    <row r="5051" spans="1:27" ht="18.75" thickBot="1">
      <c r="A5051" s="2712"/>
      <c r="B5051" s="371"/>
      <c r="C5051" s="371"/>
      <c r="D5051" s="2714">
        <f t="shared" si="549"/>
        <v>1</v>
      </c>
      <c r="E5051" s="2719" t="s">
        <v>2751</v>
      </c>
      <c r="F5051" s="294"/>
      <c r="G5051" s="2232" t="s">
        <v>2752</v>
      </c>
      <c r="H5051" s="2233">
        <f>SUMPRODUCT($E5040:$E5050,H5040:H5050)</f>
        <v>29188633.84</v>
      </c>
      <c r="I5051" s="2234">
        <f>SUMPRODUCT($E5040:$E5050,I5040:I5050)</f>
        <v>0</v>
      </c>
      <c r="J5051" s="291"/>
      <c r="K5051" s="291"/>
      <c r="L5051" s="291"/>
      <c r="M5051" s="291"/>
      <c r="S5051" s="364"/>
      <c r="Z5051" s="609" t="s">
        <v>4386</v>
      </c>
      <c r="AA5051" s="609"/>
    </row>
    <row r="5052" spans="1:27" ht="18">
      <c r="A5052" s="2712"/>
      <c r="B5052" s="371"/>
      <c r="C5052" s="371" t="s">
        <v>2755</v>
      </c>
      <c r="D5052" s="371"/>
      <c r="F5052" s="294"/>
      <c r="G5052" s="301"/>
      <c r="H5052" s="315"/>
      <c r="I5052" s="315"/>
      <c r="J5052" s="291"/>
      <c r="K5052" s="291"/>
      <c r="L5052" s="291"/>
      <c r="M5052" s="291"/>
      <c r="S5052" s="364"/>
      <c r="Z5052" s="609" t="s">
        <v>4386</v>
      </c>
      <c r="AA5052" s="609"/>
    </row>
    <row r="5053" spans="1:27" ht="18">
      <c r="A5053" s="2712">
        <v>7146</v>
      </c>
      <c r="B5053" s="371">
        <v>78.3</v>
      </c>
      <c r="C5053" s="2714" t="str">
        <f>VLOOKUP($A5053,Sheet_Items,2,0)</f>
        <v>收到其他与投资活动有关的现金</v>
      </c>
      <c r="D5053" s="371"/>
      <c r="E5053" s="2714" t="s">
        <v>2739</v>
      </c>
      <c r="F5053" s="294"/>
      <c r="G5053" s="536" t="str">
        <f>B5053&amp;" "&amp;C5053</f>
        <v>78.3 收到其他与投资活动有关的现金</v>
      </c>
      <c r="H5053" s="322"/>
      <c r="I5053" s="322"/>
      <c r="J5053" s="306" t="s">
        <v>4206</v>
      </c>
      <c r="K5053" s="341">
        <f>VLOOKUP($A5053,Sheet_Trialbal,6,0)</f>
        <v>0</v>
      </c>
      <c r="L5053" s="342"/>
      <c r="M5053" s="306" t="s">
        <v>4207</v>
      </c>
      <c r="N5053" s="341">
        <f>VLOOKUP($A5053,Sheet_Trialbal,10,0)</f>
        <v>0</v>
      </c>
      <c r="O5053" s="306"/>
      <c r="P5053" s="301"/>
      <c r="S5053" s="364"/>
      <c r="Z5053" s="609" t="s">
        <v>4388</v>
      </c>
      <c r="AA5053" s="609"/>
    </row>
    <row r="5054" spans="1:27" ht="24">
      <c r="A5054" s="2712" t="s">
        <v>1971</v>
      </c>
      <c r="B5054" s="371">
        <v>1</v>
      </c>
      <c r="C5054" s="371"/>
      <c r="D5054" s="2714" t="str">
        <f>VLOOKUP($A5054,Sheet_NoteList,2,0)</f>
        <v>收到的其他与投资活动有关的现金</v>
      </c>
      <c r="E5054" s="2714" t="s">
        <v>2742</v>
      </c>
      <c r="F5054" s="294"/>
      <c r="G5054" s="372" t="str">
        <f>"("&amp;B5054&amp;")"&amp;D5054</f>
        <v>(1)收到的其他与投资活动有关的现金</v>
      </c>
      <c r="H5054" s="1515" t="str">
        <f>$A5054</f>
        <v>7146a</v>
      </c>
      <c r="I5054" s="343" t="s">
        <v>2743</v>
      </c>
      <c r="J5054" s="301" t="s">
        <v>4256</v>
      </c>
      <c r="K5054" s="2208">
        <f>H5062</f>
        <v>0</v>
      </c>
      <c r="L5054" s="1533" t="str">
        <f>IF($I5054="适用",IF(ROUND(K5053-K5054,2)&gt;=0,IF(K5053&lt;&gt;0,K5054/K5053,""),"#Logical!"),"#N/A")</f>
        <v/>
      </c>
      <c r="M5054" s="301" t="s">
        <v>4257</v>
      </c>
      <c r="N5054" s="2208">
        <f>I5062</f>
        <v>0</v>
      </c>
      <c r="O5054" s="1533" t="str">
        <f>IF($I5054="适用",IF(ROUND(N5053-N5054,2)&gt;=0,IF(N5053&lt;&gt;0,N5054/N5053,""),"#Logical!"),"#N/A")</f>
        <v/>
      </c>
      <c r="P5054" s="301"/>
      <c r="Q5054" s="290" t="str">
        <f>IF($I5054="不适用","",IF(ROUND(SUM($H$5057:$I$5062),2)=0,"请输入",""))</f>
        <v>请输入</v>
      </c>
      <c r="S5054" s="364"/>
      <c r="Z5054" s="609" t="s">
        <v>4388</v>
      </c>
      <c r="AA5054" s="609"/>
    </row>
    <row r="5055" spans="1:27" ht="0.75" customHeight="1" thickBot="1">
      <c r="A5055" s="2712"/>
      <c r="B5055" s="371"/>
      <c r="C5055" s="371"/>
      <c r="D5055" s="371"/>
      <c r="E5055" s="586"/>
      <c r="F5055" s="363"/>
      <c r="G5055" s="363" t="s">
        <v>4389</v>
      </c>
      <c r="H5055" s="294" t="s">
        <v>4223</v>
      </c>
      <c r="I5055" s="294" t="s">
        <v>4224</v>
      </c>
      <c r="J5055" s="291"/>
      <c r="K5055" s="291"/>
      <c r="L5055" s="291"/>
      <c r="M5055" s="291"/>
      <c r="S5055" s="364"/>
      <c r="Z5055" s="609" t="s">
        <v>4388</v>
      </c>
      <c r="AA5055" s="609"/>
    </row>
    <row r="5056" spans="1:27" ht="18">
      <c r="A5056" s="2712"/>
      <c r="B5056" s="371"/>
      <c r="C5056" s="371"/>
      <c r="D5056" s="371"/>
      <c r="E5056" s="586" t="s">
        <v>2749</v>
      </c>
      <c r="F5056" s="363"/>
      <c r="G5056" s="2451" t="s">
        <v>47</v>
      </c>
      <c r="H5056" s="2459" t="str">
        <f>$V$4</f>
        <v>2019年度</v>
      </c>
      <c r="I5056" s="2460" t="str">
        <f>$V$5</f>
        <v>2018年度</v>
      </c>
      <c r="J5056" s="355" t="s">
        <v>5340</v>
      </c>
      <c r="K5056" s="291"/>
      <c r="L5056" s="291"/>
      <c r="M5056" s="291"/>
      <c r="S5056" s="364"/>
      <c r="Z5056" s="609" t="s">
        <v>4388</v>
      </c>
      <c r="AA5056" s="609"/>
    </row>
    <row r="5057" spans="1:27" ht="18">
      <c r="A5057" s="2712"/>
      <c r="B5057" s="371">
        <v>101</v>
      </c>
      <c r="C5057" s="371" t="s">
        <v>2791</v>
      </c>
      <c r="D5057" s="2714">
        <f t="shared" ref="D5057:D5062" si="550">IF(OR(G5057="*",G5057="",G5057=0),0,COUNTIF($G$5057:$G$5062,G5057))</f>
        <v>0</v>
      </c>
      <c r="E5057" s="2719">
        <v>1</v>
      </c>
      <c r="F5057" s="294"/>
      <c r="G5057" s="2465" t="s">
        <v>2792</v>
      </c>
      <c r="H5057" s="2273"/>
      <c r="I5057" s="2294"/>
      <c r="J5057" s="291"/>
      <c r="K5057" s="291"/>
      <c r="L5057" s="291"/>
      <c r="M5057" s="291"/>
      <c r="S5057" s="364"/>
      <c r="Z5057" s="609" t="s">
        <v>4388</v>
      </c>
      <c r="AA5057" s="609"/>
    </row>
    <row r="5058" spans="1:27" ht="18">
      <c r="A5058" s="2712"/>
      <c r="B5058" s="371">
        <v>102</v>
      </c>
      <c r="C5058" s="371" t="s">
        <v>2791</v>
      </c>
      <c r="D5058" s="2714">
        <f t="shared" si="550"/>
        <v>0</v>
      </c>
      <c r="E5058" s="2719">
        <v>1</v>
      </c>
      <c r="F5058" s="294"/>
      <c r="G5058" s="2465" t="s">
        <v>2792</v>
      </c>
      <c r="H5058" s="2273"/>
      <c r="I5058" s="2294"/>
      <c r="J5058" s="291"/>
      <c r="K5058" s="291"/>
      <c r="L5058" s="291"/>
      <c r="M5058" s="291"/>
      <c r="S5058" s="364"/>
      <c r="Z5058" s="609" t="s">
        <v>4388</v>
      </c>
      <c r="AA5058" s="609"/>
    </row>
    <row r="5059" spans="1:27" ht="18">
      <c r="A5059" s="2712"/>
      <c r="B5059" s="371">
        <v>103</v>
      </c>
      <c r="C5059" s="371" t="s">
        <v>2791</v>
      </c>
      <c r="D5059" s="2714">
        <f t="shared" si="550"/>
        <v>0</v>
      </c>
      <c r="E5059" s="2719">
        <v>1</v>
      </c>
      <c r="F5059" s="294"/>
      <c r="G5059" s="2465" t="s">
        <v>2792</v>
      </c>
      <c r="H5059" s="2273"/>
      <c r="I5059" s="2294"/>
      <c r="J5059" s="291"/>
      <c r="K5059" s="291"/>
      <c r="L5059" s="291"/>
      <c r="M5059" s="291"/>
      <c r="S5059" s="364"/>
      <c r="Z5059" s="609" t="s">
        <v>4388</v>
      </c>
      <c r="AA5059" s="609"/>
    </row>
    <row r="5060" spans="1:27" ht="18">
      <c r="A5060" s="2712"/>
      <c r="B5060" s="371">
        <v>104</v>
      </c>
      <c r="C5060" s="371" t="s">
        <v>2791</v>
      </c>
      <c r="D5060" s="2714">
        <f t="shared" si="550"/>
        <v>0</v>
      </c>
      <c r="E5060" s="2719">
        <v>1</v>
      </c>
      <c r="F5060" s="294"/>
      <c r="G5060" s="2465" t="s">
        <v>2792</v>
      </c>
      <c r="H5060" s="2273"/>
      <c r="I5060" s="2294"/>
      <c r="J5060" s="291"/>
      <c r="K5060" s="291"/>
      <c r="L5060" s="291"/>
      <c r="M5060" s="291"/>
      <c r="S5060" s="364"/>
      <c r="Z5060" s="609" t="s">
        <v>4388</v>
      </c>
      <c r="AA5060" s="609"/>
    </row>
    <row r="5061" spans="1:27" ht="18">
      <c r="A5061" s="2712"/>
      <c r="B5061" s="371">
        <v>105</v>
      </c>
      <c r="C5061" s="371" t="s">
        <v>2791</v>
      </c>
      <c r="D5061" s="2714">
        <f t="shared" si="550"/>
        <v>0</v>
      </c>
      <c r="E5061" s="2719">
        <v>1</v>
      </c>
      <c r="F5061" s="294"/>
      <c r="G5061" s="2465" t="s">
        <v>2792</v>
      </c>
      <c r="H5061" s="2273"/>
      <c r="I5061" s="2294"/>
      <c r="J5061" s="291"/>
      <c r="K5061" s="291"/>
      <c r="L5061" s="291"/>
      <c r="M5061" s="291"/>
      <c r="S5061" s="364"/>
      <c r="Z5061" s="609" t="s">
        <v>4388</v>
      </c>
      <c r="AA5061" s="609"/>
    </row>
    <row r="5062" spans="1:27" ht="18.75" thickBot="1">
      <c r="A5062" s="2712"/>
      <c r="B5062" s="371"/>
      <c r="C5062" s="371"/>
      <c r="D5062" s="2714">
        <f t="shared" si="550"/>
        <v>1</v>
      </c>
      <c r="E5062" s="2719" t="s">
        <v>2751</v>
      </c>
      <c r="F5062" s="294"/>
      <c r="G5062" s="2232" t="s">
        <v>2752</v>
      </c>
      <c r="H5062" s="2233">
        <f>SUMPRODUCT($E5056:$E5061,H5056:H5061)</f>
        <v>0</v>
      </c>
      <c r="I5062" s="2234">
        <f>SUMPRODUCT($E5056:$E5061,I5056:I5061)</f>
        <v>0</v>
      </c>
      <c r="J5062" s="291"/>
      <c r="K5062" s="291"/>
      <c r="L5062" s="291"/>
      <c r="M5062" s="291"/>
      <c r="S5062" s="364"/>
      <c r="Z5062" s="609" t="s">
        <v>4388</v>
      </c>
      <c r="AA5062" s="609"/>
    </row>
    <row r="5063" spans="1:27" ht="18">
      <c r="A5063" s="2712"/>
      <c r="B5063" s="371"/>
      <c r="C5063" s="371" t="s">
        <v>2755</v>
      </c>
      <c r="D5063" s="371"/>
      <c r="F5063" s="294"/>
      <c r="G5063" s="301"/>
      <c r="H5063" s="315"/>
      <c r="I5063" s="315"/>
      <c r="J5063" s="291"/>
      <c r="K5063" s="291"/>
      <c r="L5063" s="291"/>
      <c r="M5063" s="291"/>
      <c r="S5063" s="364"/>
      <c r="Z5063" s="609" t="s">
        <v>4388</v>
      </c>
      <c r="AA5063" s="609"/>
    </row>
    <row r="5064" spans="1:27" ht="18">
      <c r="A5064" s="2712">
        <v>7196</v>
      </c>
      <c r="B5064" s="371">
        <v>78.400000000000006</v>
      </c>
      <c r="C5064" s="2714" t="str">
        <f>VLOOKUP($A5064,Sheet_Items,2,0)</f>
        <v>支付其他与投资活动有关的现金</v>
      </c>
      <c r="D5064" s="371"/>
      <c r="E5064" s="2714" t="s">
        <v>2739</v>
      </c>
      <c r="F5064" s="294"/>
      <c r="G5064" s="536" t="str">
        <f>B5064&amp;" "&amp;C5064</f>
        <v>78.4 支付其他与投资活动有关的现金</v>
      </c>
      <c r="H5064" s="322"/>
      <c r="I5064" s="322"/>
      <c r="J5064" s="306" t="s">
        <v>4206</v>
      </c>
      <c r="K5064" s="341">
        <f>VLOOKUP($A5064,Sheet_Trialbal,6,0)</f>
        <v>0</v>
      </c>
      <c r="L5064" s="342"/>
      <c r="M5064" s="306" t="s">
        <v>4207</v>
      </c>
      <c r="N5064" s="341">
        <f>VLOOKUP($A5064,Sheet_Trialbal,10,0)</f>
        <v>0</v>
      </c>
      <c r="O5064" s="306"/>
      <c r="P5064" s="301"/>
      <c r="S5064" s="364"/>
      <c r="Z5064" s="609" t="s">
        <v>4390</v>
      </c>
      <c r="AA5064" s="609"/>
    </row>
    <row r="5065" spans="1:27" ht="24">
      <c r="A5065" s="2712" t="s">
        <v>1978</v>
      </c>
      <c r="B5065" s="371">
        <v>1</v>
      </c>
      <c r="C5065" s="371"/>
      <c r="D5065" s="2714" t="str">
        <f>VLOOKUP($A5065,Sheet_NoteList,2,0)</f>
        <v>支付的其他与投资活动有关的现金</v>
      </c>
      <c r="E5065" s="2714" t="s">
        <v>2742</v>
      </c>
      <c r="F5065" s="294"/>
      <c r="G5065" s="372" t="str">
        <f>"("&amp;B5065&amp;")"&amp;D5065</f>
        <v>(1)支付的其他与投资活动有关的现金</v>
      </c>
      <c r="H5065" s="1515" t="str">
        <f>$A5065</f>
        <v>7196a</v>
      </c>
      <c r="I5065" s="343" t="s">
        <v>2743</v>
      </c>
      <c r="J5065" s="301" t="s">
        <v>4256</v>
      </c>
      <c r="K5065" s="2208">
        <f>H5073</f>
        <v>0</v>
      </c>
      <c r="L5065" s="1533" t="str">
        <f>IF($I5065="适用",IF(ROUND(K5064-K5065,2)&gt;=0,IF(K5064&lt;&gt;0,K5065/K5064,""),"#Logical!"),"#N/A")</f>
        <v/>
      </c>
      <c r="M5065" s="301" t="s">
        <v>4257</v>
      </c>
      <c r="N5065" s="2208">
        <f>I5073</f>
        <v>0</v>
      </c>
      <c r="O5065" s="1533" t="str">
        <f>IF($I5065="适用",IF(ROUND(N5064-N5065,2)&gt;=0,IF(N5064&lt;&gt;0,N5065/N5064,""),"#Logical!"),"#N/A")</f>
        <v/>
      </c>
      <c r="P5065" s="301"/>
      <c r="Q5065" s="290" t="str">
        <f>IF($I5065="不适用","",IF(ROUND(SUM($H$5068:$I$5073),2)=0,"请输入",""))</f>
        <v>请输入</v>
      </c>
      <c r="S5065" s="364"/>
      <c r="Z5065" s="609" t="s">
        <v>4390</v>
      </c>
      <c r="AA5065" s="609"/>
    </row>
    <row r="5066" spans="1:27" ht="0.75" customHeight="1" thickBot="1">
      <c r="A5066" s="2712"/>
      <c r="B5066" s="371"/>
      <c r="C5066" s="371"/>
      <c r="D5066" s="371"/>
      <c r="E5066" s="586"/>
      <c r="F5066" s="363"/>
      <c r="G5066" s="363" t="s">
        <v>4391</v>
      </c>
      <c r="H5066" s="294" t="s">
        <v>4223</v>
      </c>
      <c r="I5066" s="294" t="s">
        <v>4224</v>
      </c>
      <c r="J5066" s="291"/>
      <c r="K5066" s="291"/>
      <c r="L5066" s="291"/>
      <c r="M5066" s="291"/>
      <c r="S5066" s="364"/>
      <c r="Z5066" s="609" t="s">
        <v>4390</v>
      </c>
      <c r="AA5066" s="609"/>
    </row>
    <row r="5067" spans="1:27" ht="18">
      <c r="A5067" s="2712"/>
      <c r="B5067" s="371"/>
      <c r="C5067" s="371"/>
      <c r="D5067" s="371"/>
      <c r="E5067" s="586" t="s">
        <v>2749</v>
      </c>
      <c r="F5067" s="363"/>
      <c r="G5067" s="2451" t="s">
        <v>47</v>
      </c>
      <c r="H5067" s="2459" t="str">
        <f>$V$4</f>
        <v>2019年度</v>
      </c>
      <c r="I5067" s="2460" t="str">
        <f>$V$5</f>
        <v>2018年度</v>
      </c>
      <c r="J5067" s="355" t="s">
        <v>5340</v>
      </c>
      <c r="K5067" s="291"/>
      <c r="L5067" s="291"/>
      <c r="M5067" s="291"/>
      <c r="S5067" s="364"/>
      <c r="Z5067" s="609" t="s">
        <v>4390</v>
      </c>
      <c r="AA5067" s="609"/>
    </row>
    <row r="5068" spans="1:27" ht="18">
      <c r="A5068" s="2712"/>
      <c r="B5068" s="371">
        <v>101</v>
      </c>
      <c r="C5068" s="371" t="s">
        <v>2791</v>
      </c>
      <c r="D5068" s="2714">
        <f t="shared" ref="D5068:D5073" si="551">IF(OR(G5068="*",G5068="",G5068=0),0,COUNTIF($G$5068:$G$5073,G5068))</f>
        <v>0</v>
      </c>
      <c r="E5068" s="2719">
        <v>1</v>
      </c>
      <c r="F5068" s="294"/>
      <c r="G5068" s="2465" t="s">
        <v>2792</v>
      </c>
      <c r="H5068" s="2273"/>
      <c r="I5068" s="2294"/>
      <c r="J5068" s="291"/>
      <c r="K5068" s="291"/>
      <c r="L5068" s="291"/>
      <c r="M5068" s="291"/>
      <c r="S5068" s="364"/>
      <c r="Z5068" s="609" t="s">
        <v>4390</v>
      </c>
      <c r="AA5068" s="609"/>
    </row>
    <row r="5069" spans="1:27" ht="18">
      <c r="A5069" s="2712"/>
      <c r="B5069" s="371">
        <v>102</v>
      </c>
      <c r="C5069" s="371" t="s">
        <v>2791</v>
      </c>
      <c r="D5069" s="2714">
        <f t="shared" si="551"/>
        <v>0</v>
      </c>
      <c r="E5069" s="2719">
        <v>1</v>
      </c>
      <c r="F5069" s="294"/>
      <c r="G5069" s="2465" t="s">
        <v>2792</v>
      </c>
      <c r="H5069" s="2273"/>
      <c r="I5069" s="2294"/>
      <c r="J5069" s="291"/>
      <c r="K5069" s="291"/>
      <c r="L5069" s="291"/>
      <c r="M5069" s="291"/>
      <c r="S5069" s="364"/>
      <c r="Z5069" s="609" t="s">
        <v>4390</v>
      </c>
      <c r="AA5069" s="609"/>
    </row>
    <row r="5070" spans="1:27" ht="18">
      <c r="A5070" s="2712"/>
      <c r="B5070" s="371">
        <v>103</v>
      </c>
      <c r="C5070" s="371" t="s">
        <v>2791</v>
      </c>
      <c r="D5070" s="2714">
        <f t="shared" si="551"/>
        <v>0</v>
      </c>
      <c r="E5070" s="2719">
        <v>1</v>
      </c>
      <c r="F5070" s="294"/>
      <c r="G5070" s="2465" t="s">
        <v>2792</v>
      </c>
      <c r="H5070" s="2273"/>
      <c r="I5070" s="2294"/>
      <c r="J5070" s="291"/>
      <c r="K5070" s="291"/>
      <c r="L5070" s="291"/>
      <c r="M5070" s="291"/>
      <c r="S5070" s="364"/>
      <c r="Z5070" s="609" t="s">
        <v>4390</v>
      </c>
      <c r="AA5070" s="609"/>
    </row>
    <row r="5071" spans="1:27" ht="18">
      <c r="A5071" s="2712"/>
      <c r="B5071" s="371">
        <v>104</v>
      </c>
      <c r="C5071" s="371" t="s">
        <v>2791</v>
      </c>
      <c r="D5071" s="2714">
        <f t="shared" si="551"/>
        <v>0</v>
      </c>
      <c r="E5071" s="2719">
        <v>1</v>
      </c>
      <c r="F5071" s="294"/>
      <c r="G5071" s="2465" t="s">
        <v>2792</v>
      </c>
      <c r="H5071" s="2273"/>
      <c r="I5071" s="2294"/>
      <c r="J5071" s="291"/>
      <c r="K5071" s="291"/>
      <c r="L5071" s="291"/>
      <c r="M5071" s="291"/>
      <c r="S5071" s="364"/>
      <c r="Z5071" s="609" t="s">
        <v>4390</v>
      </c>
      <c r="AA5071" s="609"/>
    </row>
    <row r="5072" spans="1:27" ht="18">
      <c r="A5072" s="2712"/>
      <c r="B5072" s="371">
        <v>105</v>
      </c>
      <c r="C5072" s="371" t="s">
        <v>2791</v>
      </c>
      <c r="D5072" s="2714">
        <f t="shared" si="551"/>
        <v>0</v>
      </c>
      <c r="E5072" s="2719">
        <v>1</v>
      </c>
      <c r="F5072" s="294"/>
      <c r="G5072" s="2465" t="s">
        <v>2792</v>
      </c>
      <c r="H5072" s="2273"/>
      <c r="I5072" s="2294"/>
      <c r="J5072" s="291"/>
      <c r="K5072" s="291"/>
      <c r="L5072" s="291"/>
      <c r="M5072" s="291"/>
      <c r="S5072" s="364"/>
      <c r="Z5072" s="609" t="s">
        <v>4390</v>
      </c>
      <c r="AA5072" s="609"/>
    </row>
    <row r="5073" spans="1:27" ht="18.75" thickBot="1">
      <c r="A5073" s="2712"/>
      <c r="B5073" s="371"/>
      <c r="C5073" s="371"/>
      <c r="D5073" s="2714">
        <f t="shared" si="551"/>
        <v>1</v>
      </c>
      <c r="E5073" s="2719" t="s">
        <v>2751</v>
      </c>
      <c r="F5073" s="294"/>
      <c r="G5073" s="2232" t="s">
        <v>2752</v>
      </c>
      <c r="H5073" s="2233">
        <f>SUMPRODUCT($E5067:$E5072,H5067:H5072)</f>
        <v>0</v>
      </c>
      <c r="I5073" s="2234">
        <f>SUMPRODUCT($E5067:$E5072,I5067:I5072)</f>
        <v>0</v>
      </c>
      <c r="J5073" s="291"/>
      <c r="K5073" s="291"/>
      <c r="L5073" s="291"/>
      <c r="M5073" s="291"/>
      <c r="S5073" s="364"/>
      <c r="Z5073" s="609" t="s">
        <v>4390</v>
      </c>
      <c r="AA5073" s="609"/>
    </row>
    <row r="5074" spans="1:27" ht="18">
      <c r="A5074" s="2712"/>
      <c r="B5074" s="371"/>
      <c r="C5074" s="371" t="s">
        <v>2755</v>
      </c>
      <c r="D5074" s="371"/>
      <c r="F5074" s="294"/>
      <c r="G5074" s="301"/>
      <c r="H5074" s="315"/>
      <c r="I5074" s="315"/>
      <c r="J5074" s="291"/>
      <c r="K5074" s="291"/>
      <c r="L5074" s="291"/>
      <c r="M5074" s="291"/>
      <c r="S5074" s="364"/>
      <c r="Z5074" s="609" t="s">
        <v>4390</v>
      </c>
      <c r="AA5074" s="609"/>
    </row>
    <row r="5075" spans="1:27" ht="18">
      <c r="A5075" s="2712">
        <v>7246</v>
      </c>
      <c r="B5075" s="371">
        <v>78.5</v>
      </c>
      <c r="C5075" s="2714" t="str">
        <f>VLOOKUP($A5075,Sheet_Items,2,0)</f>
        <v>收到其他与筹资活动有关的现金</v>
      </c>
      <c r="D5075" s="371"/>
      <c r="E5075" s="2714" t="s">
        <v>2739</v>
      </c>
      <c r="F5075" s="294"/>
      <c r="G5075" s="536" t="str">
        <f>B5075&amp;" "&amp;C5075</f>
        <v>78.5 收到其他与筹资活动有关的现金</v>
      </c>
      <c r="H5075" s="322"/>
      <c r="I5075" s="322"/>
      <c r="J5075" s="306" t="s">
        <v>4206</v>
      </c>
      <c r="K5075" s="341">
        <f>VLOOKUP($A5075,Sheet_Trialbal,6,0)</f>
        <v>44850015</v>
      </c>
      <c r="L5075" s="342"/>
      <c r="M5075" s="306" t="s">
        <v>4207</v>
      </c>
      <c r="N5075" s="341">
        <f>VLOOKUP($A5075,Sheet_Trialbal,10,0)</f>
        <v>0</v>
      </c>
      <c r="O5075" s="306"/>
      <c r="P5075" s="301"/>
      <c r="S5075" s="364"/>
      <c r="Z5075" s="609" t="s">
        <v>4392</v>
      </c>
      <c r="AA5075" s="609"/>
    </row>
    <row r="5076" spans="1:27" ht="24">
      <c r="A5076" s="2712" t="s">
        <v>1983</v>
      </c>
      <c r="B5076" s="371">
        <v>1</v>
      </c>
      <c r="C5076" s="371"/>
      <c r="D5076" s="2714" t="str">
        <f>VLOOKUP($A5076,Sheet_NoteList,2,0)</f>
        <v>收到的其他与筹资活动有关的现金</v>
      </c>
      <c r="E5076" s="2714" t="s">
        <v>2742</v>
      </c>
      <c r="F5076" s="294"/>
      <c r="G5076" s="372" t="str">
        <f>"("&amp;B5076&amp;")"&amp;D5076</f>
        <v>(1)收到的其他与筹资活动有关的现金</v>
      </c>
      <c r="H5076" s="1515" t="str">
        <f>$A5076</f>
        <v>7246a</v>
      </c>
      <c r="I5076" s="343" t="s">
        <v>2743</v>
      </c>
      <c r="J5076" s="301" t="s">
        <v>4256</v>
      </c>
      <c r="K5076" s="2208">
        <f>H5084</f>
        <v>44850015</v>
      </c>
      <c r="L5076" s="1533">
        <f>IF($I5076="适用",IF(ROUND(K5075-K5076,2)&gt;=0,IF(K5075&lt;&gt;0,K5076/K5075,""),"#Logical!"),"#N/A")</f>
        <v>1</v>
      </c>
      <c r="M5076" s="301" t="s">
        <v>4257</v>
      </c>
      <c r="N5076" s="2208">
        <f>I5084</f>
        <v>0</v>
      </c>
      <c r="O5076" s="1533" t="str">
        <f>IF($I5076="适用",IF(ROUND(N5075-N5076,2)&gt;=0,IF(N5075&lt;&gt;0,N5076/N5075,""),"#Logical!"),"#N/A")</f>
        <v/>
      </c>
      <c r="P5076" s="301"/>
      <c r="Q5076" s="290" t="str">
        <f>IF($I5076="不适用","",IF(ROUND(SUM($H$5079:$I$5084),2)=0,"请输入",""))</f>
        <v/>
      </c>
      <c r="S5076" s="364"/>
      <c r="Z5076" s="609" t="s">
        <v>4392</v>
      </c>
      <c r="AA5076" s="609"/>
    </row>
    <row r="5077" spans="1:27" ht="0.75" customHeight="1" thickBot="1">
      <c r="A5077" s="2712"/>
      <c r="B5077" s="371"/>
      <c r="C5077" s="371"/>
      <c r="D5077" s="371"/>
      <c r="E5077" s="586"/>
      <c r="F5077" s="363"/>
      <c r="G5077" s="363" t="s">
        <v>4393</v>
      </c>
      <c r="H5077" s="294" t="s">
        <v>4223</v>
      </c>
      <c r="I5077" s="294" t="s">
        <v>4224</v>
      </c>
      <c r="J5077" s="291"/>
      <c r="K5077" s="291"/>
      <c r="L5077" s="291"/>
      <c r="M5077" s="291"/>
      <c r="S5077" s="364"/>
      <c r="Z5077" s="609" t="s">
        <v>4392</v>
      </c>
      <c r="AA5077" s="609"/>
    </row>
    <row r="5078" spans="1:27" ht="18">
      <c r="A5078" s="2712"/>
      <c r="B5078" s="371"/>
      <c r="C5078" s="371"/>
      <c r="D5078" s="371"/>
      <c r="E5078" s="586" t="s">
        <v>2749</v>
      </c>
      <c r="F5078" s="363"/>
      <c r="G5078" s="2451" t="s">
        <v>47</v>
      </c>
      <c r="H5078" s="2459" t="str">
        <f>$V$4</f>
        <v>2019年度</v>
      </c>
      <c r="I5078" s="2460" t="str">
        <f>$V$5</f>
        <v>2018年度</v>
      </c>
      <c r="J5078" s="355" t="s">
        <v>5340</v>
      </c>
      <c r="K5078" s="291"/>
      <c r="L5078" s="291"/>
      <c r="M5078" s="291"/>
      <c r="S5078" s="364"/>
      <c r="Z5078" s="609" t="s">
        <v>4392</v>
      </c>
      <c r="AA5078" s="609"/>
    </row>
    <row r="5079" spans="1:27" ht="18">
      <c r="A5079" s="2712"/>
      <c r="B5079" s="371">
        <v>101</v>
      </c>
      <c r="C5079" s="371" t="s">
        <v>2791</v>
      </c>
      <c r="D5079" s="2714">
        <f t="shared" ref="D5079:D5084" si="552">IF(OR(G5079="*",G5079="",G5079=0),0,COUNTIF($G$5079:$G$5084,G5079))</f>
        <v>1</v>
      </c>
      <c r="E5079" s="2719">
        <v>1</v>
      </c>
      <c r="F5079" s="294"/>
      <c r="G5079" s="3406" t="s">
        <v>7814</v>
      </c>
      <c r="H5079" s="2273">
        <v>44850015</v>
      </c>
      <c r="I5079" s="2294"/>
      <c r="J5079" s="291"/>
      <c r="K5079" s="291"/>
      <c r="L5079" s="291"/>
      <c r="M5079" s="291"/>
      <c r="S5079" s="364"/>
      <c r="Z5079" s="609" t="s">
        <v>4392</v>
      </c>
      <c r="AA5079" s="609"/>
    </row>
    <row r="5080" spans="1:27" ht="18">
      <c r="A5080" s="2712"/>
      <c r="B5080" s="371">
        <v>102</v>
      </c>
      <c r="C5080" s="371" t="s">
        <v>2791</v>
      </c>
      <c r="D5080" s="2714">
        <f t="shared" si="552"/>
        <v>0</v>
      </c>
      <c r="E5080" s="2719">
        <v>1</v>
      </c>
      <c r="F5080" s="294"/>
      <c r="G5080" s="2465"/>
      <c r="H5080" s="2273"/>
      <c r="I5080" s="2294"/>
      <c r="J5080" s="291"/>
      <c r="K5080" s="291"/>
      <c r="L5080" s="291"/>
      <c r="M5080" s="291"/>
      <c r="S5080" s="364"/>
      <c r="Z5080" s="609" t="s">
        <v>4392</v>
      </c>
      <c r="AA5080" s="609"/>
    </row>
    <row r="5081" spans="1:27" ht="18">
      <c r="A5081" s="2712"/>
      <c r="B5081" s="371">
        <v>103</v>
      </c>
      <c r="C5081" s="371" t="s">
        <v>2791</v>
      </c>
      <c r="D5081" s="2714">
        <f t="shared" si="552"/>
        <v>0</v>
      </c>
      <c r="E5081" s="2719">
        <v>1</v>
      </c>
      <c r="F5081" s="294"/>
      <c r="G5081" s="2465" t="s">
        <v>2792</v>
      </c>
      <c r="H5081" s="2273"/>
      <c r="I5081" s="2294"/>
      <c r="J5081" s="291"/>
      <c r="K5081" s="291"/>
      <c r="L5081" s="291"/>
      <c r="M5081" s="291"/>
      <c r="S5081" s="364"/>
      <c r="Z5081" s="609" t="s">
        <v>4392</v>
      </c>
      <c r="AA5081" s="609"/>
    </row>
    <row r="5082" spans="1:27" ht="18">
      <c r="A5082" s="2712"/>
      <c r="B5082" s="371">
        <v>104</v>
      </c>
      <c r="C5082" s="371" t="s">
        <v>2791</v>
      </c>
      <c r="D5082" s="2714">
        <f t="shared" si="552"/>
        <v>0</v>
      </c>
      <c r="E5082" s="2719">
        <v>1</v>
      </c>
      <c r="F5082" s="294"/>
      <c r="G5082" s="2465" t="s">
        <v>2792</v>
      </c>
      <c r="H5082" s="2273"/>
      <c r="I5082" s="2294"/>
      <c r="J5082" s="291"/>
      <c r="K5082" s="291"/>
      <c r="L5082" s="291"/>
      <c r="M5082" s="291"/>
      <c r="S5082" s="364"/>
      <c r="Z5082" s="609" t="s">
        <v>4392</v>
      </c>
      <c r="AA5082" s="609"/>
    </row>
    <row r="5083" spans="1:27" ht="18">
      <c r="A5083" s="2712"/>
      <c r="B5083" s="371">
        <v>105</v>
      </c>
      <c r="C5083" s="371" t="s">
        <v>2791</v>
      </c>
      <c r="D5083" s="2714">
        <f t="shared" si="552"/>
        <v>0</v>
      </c>
      <c r="E5083" s="2719">
        <v>1</v>
      </c>
      <c r="F5083" s="294"/>
      <c r="G5083" s="2465" t="s">
        <v>2792</v>
      </c>
      <c r="H5083" s="2273"/>
      <c r="I5083" s="2294"/>
      <c r="J5083" s="291"/>
      <c r="K5083" s="291"/>
      <c r="L5083" s="291"/>
      <c r="M5083" s="291"/>
      <c r="S5083" s="364"/>
      <c r="Z5083" s="609" t="s">
        <v>4392</v>
      </c>
      <c r="AA5083" s="609"/>
    </row>
    <row r="5084" spans="1:27" ht="18.75" thickBot="1">
      <c r="A5084" s="2712"/>
      <c r="B5084" s="371"/>
      <c r="C5084" s="371"/>
      <c r="D5084" s="2714">
        <f t="shared" si="552"/>
        <v>1</v>
      </c>
      <c r="E5084" s="2719" t="s">
        <v>2751</v>
      </c>
      <c r="F5084" s="294"/>
      <c r="G5084" s="2232" t="s">
        <v>2752</v>
      </c>
      <c r="H5084" s="2233">
        <f>SUMPRODUCT($E5078:$E5083,H5078:H5083)</f>
        <v>44850015</v>
      </c>
      <c r="I5084" s="2234">
        <f>SUMPRODUCT($E5078:$E5083,I5078:I5083)</f>
        <v>0</v>
      </c>
      <c r="J5084" s="291"/>
      <c r="K5084" s="291"/>
      <c r="L5084" s="291"/>
      <c r="M5084" s="291"/>
      <c r="S5084" s="364"/>
      <c r="Z5084" s="609" t="s">
        <v>4392</v>
      </c>
      <c r="AA5084" s="609"/>
    </row>
    <row r="5085" spans="1:27" ht="18">
      <c r="A5085" s="2712"/>
      <c r="B5085" s="371"/>
      <c r="C5085" s="371" t="s">
        <v>2755</v>
      </c>
      <c r="D5085" s="371"/>
      <c r="F5085" s="294"/>
      <c r="G5085" s="301"/>
      <c r="H5085" s="315"/>
      <c r="I5085" s="315"/>
      <c r="J5085" s="291"/>
      <c r="K5085" s="291"/>
      <c r="L5085" s="291"/>
      <c r="M5085" s="291"/>
      <c r="S5085" s="364"/>
      <c r="Z5085" s="609" t="s">
        <v>4392</v>
      </c>
      <c r="AA5085" s="609"/>
    </row>
    <row r="5086" spans="1:27" ht="18">
      <c r="A5086" s="2712">
        <v>7296</v>
      </c>
      <c r="B5086" s="371">
        <v>78.599999999999994</v>
      </c>
      <c r="C5086" s="2714" t="str">
        <f>VLOOKUP($A5086,Sheet_Items,2,0)</f>
        <v>支付其他与筹资活动有关的现金</v>
      </c>
      <c r="D5086" s="371"/>
      <c r="E5086" s="2714" t="s">
        <v>2739</v>
      </c>
      <c r="F5086" s="294"/>
      <c r="G5086" s="536" t="str">
        <f>B5086&amp;" "&amp;C5086</f>
        <v>78.6 支付其他与筹资活动有关的现金</v>
      </c>
      <c r="H5086" s="322"/>
      <c r="I5086" s="322"/>
      <c r="J5086" s="306" t="s">
        <v>4206</v>
      </c>
      <c r="K5086" s="341">
        <f>VLOOKUP($A5086,Sheet_Trialbal,6,0)</f>
        <v>92712502.170000002</v>
      </c>
      <c r="L5086" s="342"/>
      <c r="M5086" s="306" t="s">
        <v>4207</v>
      </c>
      <c r="N5086" s="341">
        <f>VLOOKUP($A5086,Sheet_Trialbal,10,0)</f>
        <v>43726400</v>
      </c>
      <c r="O5086" s="306"/>
      <c r="P5086" s="301"/>
      <c r="S5086" s="364"/>
      <c r="Z5086" s="609" t="s">
        <v>4394</v>
      </c>
      <c r="AA5086" s="609"/>
    </row>
    <row r="5087" spans="1:27" ht="24">
      <c r="A5087" s="2712" t="s">
        <v>1990</v>
      </c>
      <c r="B5087" s="371">
        <v>1</v>
      </c>
      <c r="C5087" s="371"/>
      <c r="D5087" s="2714" t="str">
        <f>VLOOKUP($A5087,Sheet_NoteList,2,0)</f>
        <v>支付的其他与筹资活动有关的现金</v>
      </c>
      <c r="E5087" s="2714" t="s">
        <v>2742</v>
      </c>
      <c r="F5087" s="294"/>
      <c r="G5087" s="372" t="str">
        <f>"("&amp;B5087&amp;")"&amp;D5087</f>
        <v>(1)支付的其他与筹资活动有关的现金</v>
      </c>
      <c r="H5087" s="1515" t="str">
        <f>$A5087</f>
        <v>7296a</v>
      </c>
      <c r="I5087" s="343" t="s">
        <v>2743</v>
      </c>
      <c r="J5087" s="301" t="s">
        <v>4256</v>
      </c>
      <c r="K5087" s="2208">
        <f>H5095</f>
        <v>92712502.170000002</v>
      </c>
      <c r="L5087" s="1533">
        <f>IF($I5087="适用",IF(ROUND(K5086-K5087,2)&gt;=0,IF(K5086&lt;&gt;0,K5087/K5086,""),"#Logical!"),"#N/A")</f>
        <v>1</v>
      </c>
      <c r="M5087" s="301" t="s">
        <v>4257</v>
      </c>
      <c r="N5087" s="2208">
        <f>I5095</f>
        <v>0</v>
      </c>
      <c r="O5087" s="1533">
        <f>IF($I5087="适用",IF(ROUND(N5086-N5087,2)&gt;=0,IF(N5086&lt;&gt;0,N5087/N5086,""),"#Logical!"),"#N/A")</f>
        <v>0</v>
      </c>
      <c r="P5087" s="301"/>
      <c r="Q5087" s="290" t="str">
        <f>IF($I5087="不适用","",IF(ROUND(SUM($H$5090:$I$5095),2)=0,"请输入",""))</f>
        <v/>
      </c>
      <c r="S5087" s="364"/>
      <c r="Z5087" s="609" t="s">
        <v>4394</v>
      </c>
      <c r="AA5087" s="609"/>
    </row>
    <row r="5088" spans="1:27" ht="0.75" customHeight="1" thickBot="1">
      <c r="A5088" s="2712"/>
      <c r="B5088" s="371"/>
      <c r="C5088" s="371"/>
      <c r="D5088" s="371"/>
      <c r="E5088" s="586"/>
      <c r="F5088" s="363"/>
      <c r="G5088" s="363" t="s">
        <v>4395</v>
      </c>
      <c r="H5088" s="294" t="s">
        <v>4223</v>
      </c>
      <c r="I5088" s="294" t="s">
        <v>4224</v>
      </c>
      <c r="J5088" s="291"/>
      <c r="K5088" s="291"/>
      <c r="L5088" s="291"/>
      <c r="M5088" s="291"/>
      <c r="S5088" s="364"/>
      <c r="Z5088" s="609" t="s">
        <v>4394</v>
      </c>
      <c r="AA5088" s="609"/>
    </row>
    <row r="5089" spans="1:27" ht="18">
      <c r="A5089" s="2712"/>
      <c r="B5089" s="371"/>
      <c r="C5089" s="371"/>
      <c r="D5089" s="371"/>
      <c r="E5089" s="586" t="s">
        <v>2749</v>
      </c>
      <c r="F5089" s="363"/>
      <c r="G5089" s="2451" t="s">
        <v>47</v>
      </c>
      <c r="H5089" s="2459" t="str">
        <f>$V$4</f>
        <v>2019年度</v>
      </c>
      <c r="I5089" s="2460" t="str">
        <f>$V$5</f>
        <v>2018年度</v>
      </c>
      <c r="J5089" s="355" t="s">
        <v>5340</v>
      </c>
      <c r="K5089" s="291"/>
      <c r="L5089" s="291"/>
      <c r="M5089" s="291"/>
      <c r="S5089" s="364"/>
      <c r="Z5089" s="609" t="s">
        <v>4394</v>
      </c>
      <c r="AA5089" s="609"/>
    </row>
    <row r="5090" spans="1:27" ht="18">
      <c r="A5090" s="2712"/>
      <c r="B5090" s="371">
        <v>101</v>
      </c>
      <c r="C5090" s="371" t="s">
        <v>2791</v>
      </c>
      <c r="D5090" s="2714">
        <f t="shared" ref="D5090:D5095" si="553">IF(OR(G5090="*",G5090="",G5090=0),0,COUNTIF($G$5090:$G$5095,G5090))</f>
        <v>1</v>
      </c>
      <c r="E5090" s="2719">
        <v>1</v>
      </c>
      <c r="F5090" s="294"/>
      <c r="G5090" s="2465" t="s">
        <v>7813</v>
      </c>
      <c r="H5090" s="2273">
        <v>92712502.170000002</v>
      </c>
      <c r="I5090" s="2294"/>
      <c r="J5090" s="291"/>
      <c r="K5090" s="291"/>
      <c r="L5090" s="291"/>
      <c r="M5090" s="291"/>
      <c r="S5090" s="364"/>
      <c r="Z5090" s="609" t="s">
        <v>4394</v>
      </c>
      <c r="AA5090" s="609"/>
    </row>
    <row r="5091" spans="1:27" ht="18">
      <c r="A5091" s="2712"/>
      <c r="B5091" s="371">
        <v>102</v>
      </c>
      <c r="C5091" s="371" t="s">
        <v>2791</v>
      </c>
      <c r="D5091" s="2714">
        <f t="shared" si="553"/>
        <v>0</v>
      </c>
      <c r="E5091" s="2719">
        <v>1</v>
      </c>
      <c r="F5091" s="294"/>
      <c r="G5091" s="2465" t="s">
        <v>2792</v>
      </c>
      <c r="H5091" s="2273"/>
      <c r="I5091" s="2294"/>
      <c r="J5091" s="291"/>
      <c r="K5091" s="291"/>
      <c r="L5091" s="291"/>
      <c r="M5091" s="291"/>
      <c r="S5091" s="364"/>
      <c r="Z5091" s="609" t="s">
        <v>4394</v>
      </c>
      <c r="AA5091" s="609"/>
    </row>
    <row r="5092" spans="1:27" ht="18">
      <c r="A5092" s="2712"/>
      <c r="B5092" s="371">
        <v>103</v>
      </c>
      <c r="C5092" s="371" t="s">
        <v>2791</v>
      </c>
      <c r="D5092" s="2714">
        <f t="shared" si="553"/>
        <v>0</v>
      </c>
      <c r="E5092" s="2719">
        <v>1</v>
      </c>
      <c r="F5092" s="294"/>
      <c r="G5092" s="2465" t="s">
        <v>2792</v>
      </c>
      <c r="H5092" s="2273"/>
      <c r="I5092" s="2294"/>
      <c r="J5092" s="291"/>
      <c r="K5092" s="291"/>
      <c r="L5092" s="291"/>
      <c r="M5092" s="291"/>
      <c r="S5092" s="364"/>
      <c r="Z5092" s="609" t="s">
        <v>4394</v>
      </c>
      <c r="AA5092" s="609"/>
    </row>
    <row r="5093" spans="1:27" ht="18">
      <c r="A5093" s="2712"/>
      <c r="B5093" s="371">
        <v>104</v>
      </c>
      <c r="C5093" s="371" t="s">
        <v>2791</v>
      </c>
      <c r="D5093" s="2714">
        <f t="shared" si="553"/>
        <v>0</v>
      </c>
      <c r="E5093" s="2719">
        <v>1</v>
      </c>
      <c r="F5093" s="294"/>
      <c r="G5093" s="2465" t="s">
        <v>2792</v>
      </c>
      <c r="H5093" s="2273"/>
      <c r="I5093" s="2294"/>
      <c r="J5093" s="291"/>
      <c r="K5093" s="291"/>
      <c r="L5093" s="291"/>
      <c r="M5093" s="291"/>
      <c r="S5093" s="364"/>
      <c r="Z5093" s="609" t="s">
        <v>4394</v>
      </c>
      <c r="AA5093" s="609"/>
    </row>
    <row r="5094" spans="1:27" ht="18">
      <c r="A5094" s="2712"/>
      <c r="B5094" s="371">
        <v>105</v>
      </c>
      <c r="C5094" s="371" t="s">
        <v>2791</v>
      </c>
      <c r="D5094" s="2714">
        <f t="shared" si="553"/>
        <v>0</v>
      </c>
      <c r="E5094" s="2719">
        <v>1</v>
      </c>
      <c r="F5094" s="294"/>
      <c r="G5094" s="2465" t="s">
        <v>2792</v>
      </c>
      <c r="H5094" s="2273"/>
      <c r="I5094" s="2294"/>
      <c r="J5094" s="291"/>
      <c r="K5094" s="291"/>
      <c r="L5094" s="291"/>
      <c r="M5094" s="291"/>
      <c r="S5094" s="364"/>
      <c r="Z5094" s="609" t="s">
        <v>4394</v>
      </c>
      <c r="AA5094" s="609"/>
    </row>
    <row r="5095" spans="1:27" ht="18.75" thickBot="1">
      <c r="A5095" s="2712"/>
      <c r="B5095" s="371"/>
      <c r="C5095" s="371"/>
      <c r="D5095" s="2714">
        <f t="shared" si="553"/>
        <v>1</v>
      </c>
      <c r="E5095" s="2719" t="s">
        <v>2751</v>
      </c>
      <c r="F5095" s="294"/>
      <c r="G5095" s="2232" t="s">
        <v>2752</v>
      </c>
      <c r="H5095" s="2233">
        <f>SUMPRODUCT($E5089:$E5094,H5089:H5094)</f>
        <v>92712502.170000002</v>
      </c>
      <c r="I5095" s="2234">
        <f>SUMPRODUCT($E5089:$E5094,I5089:I5094)</f>
        <v>0</v>
      </c>
      <c r="J5095" s="291"/>
      <c r="K5095" s="291"/>
      <c r="L5095" s="291"/>
      <c r="M5095" s="291"/>
      <c r="S5095" s="364"/>
      <c r="Z5095" s="609" t="s">
        <v>4394</v>
      </c>
      <c r="AA5095" s="609"/>
    </row>
    <row r="5096" spans="1:27" ht="18">
      <c r="A5096" s="2712"/>
      <c r="B5096" s="371"/>
      <c r="C5096" s="371" t="s">
        <v>2755</v>
      </c>
      <c r="D5096" s="371"/>
      <c r="F5096" s="294"/>
      <c r="G5096" s="301"/>
      <c r="H5096" s="315"/>
      <c r="I5096" s="315"/>
      <c r="J5096" s="291"/>
      <c r="K5096" s="291"/>
      <c r="L5096" s="291"/>
      <c r="M5096" s="291"/>
      <c r="S5096" s="364"/>
      <c r="Z5096" s="609" t="s">
        <v>4394</v>
      </c>
      <c r="AA5096" s="609"/>
    </row>
    <row r="5097" spans="1:27" ht="18">
      <c r="A5097" s="2712">
        <v>7500</v>
      </c>
      <c r="B5097" s="371">
        <v>79</v>
      </c>
      <c r="C5097" s="2714" t="str">
        <f>VLOOKUP($A5097,Sheet_Items,2,0)</f>
        <v>现金流量表补充资料</v>
      </c>
      <c r="D5097" s="371"/>
      <c r="E5097" s="2714" t="s">
        <v>2739</v>
      </c>
      <c r="F5097" s="294"/>
      <c r="G5097" s="305" t="str">
        <f>B5097&amp;" "&amp;C5097</f>
        <v>79 现金流量表补充资料</v>
      </c>
      <c r="H5097" s="306"/>
      <c r="I5097" s="306"/>
      <c r="J5097" s="306"/>
      <c r="K5097" s="539"/>
      <c r="L5097" s="342"/>
      <c r="M5097" s="306"/>
      <c r="N5097" s="539"/>
      <c r="O5097" s="306"/>
      <c r="P5097" s="301"/>
      <c r="S5097" s="364"/>
      <c r="Z5097" s="609" t="s">
        <v>1995</v>
      </c>
      <c r="AA5097" s="609"/>
    </row>
    <row r="5098" spans="1:27" ht="24">
      <c r="A5098" s="2712" t="s">
        <v>1993</v>
      </c>
      <c r="B5098" s="371">
        <v>1</v>
      </c>
      <c r="C5098" s="371"/>
      <c r="D5098" s="2714" t="str">
        <f>VLOOKUP($A5098,Sheet_NoteList,2,0)</f>
        <v>将净利润调节为经营活动现金流量</v>
      </c>
      <c r="E5098" s="2714" t="s">
        <v>2742</v>
      </c>
      <c r="F5098" s="294"/>
      <c r="G5098" s="372" t="str">
        <f>"("&amp;B5098&amp;")"&amp;D5098</f>
        <v>(1)将净利润调节为经营活动现金流量</v>
      </c>
      <c r="H5098" s="1515" t="str">
        <f>$A5098</f>
        <v>7500a</v>
      </c>
      <c r="I5098" s="343" t="s">
        <v>2743</v>
      </c>
      <c r="J5098" s="301"/>
      <c r="K5098" s="3083"/>
      <c r="L5098" s="315"/>
      <c r="M5098" s="301"/>
      <c r="N5098" s="3083"/>
      <c r="O5098" s="315"/>
      <c r="P5098" s="301"/>
      <c r="Q5098" s="290" t="str">
        <f>IF($I5098="不适用","",IF(ROUND(SUM($H$5101:$I$5118),2)=0,"请输入",""))</f>
        <v/>
      </c>
      <c r="S5098" s="364"/>
      <c r="Z5098" s="609" t="s">
        <v>1995</v>
      </c>
      <c r="AA5098" s="609"/>
    </row>
    <row r="5099" spans="1:27" ht="0.75" customHeight="1" thickBot="1">
      <c r="A5099" s="2712"/>
      <c r="B5099" s="371"/>
      <c r="C5099" s="371"/>
      <c r="D5099" s="371"/>
      <c r="F5099" s="371" t="s">
        <v>5810</v>
      </c>
      <c r="G5099" s="371" t="s">
        <v>4396</v>
      </c>
      <c r="H5099" s="371" t="s">
        <v>3472</v>
      </c>
      <c r="I5099" s="371" t="s">
        <v>3473</v>
      </c>
      <c r="J5099" s="291"/>
      <c r="K5099" s="291"/>
      <c r="L5099" s="291"/>
      <c r="M5099" s="291"/>
      <c r="S5099" s="364"/>
      <c r="Z5099" s="609" t="s">
        <v>1995</v>
      </c>
      <c r="AA5099" s="609"/>
    </row>
    <row r="5100" spans="1:27" ht="18">
      <c r="A5100" s="2712"/>
      <c r="B5100" s="371"/>
      <c r="C5100" s="371"/>
      <c r="D5100" s="371"/>
      <c r="E5100" s="2714" t="s">
        <v>2749</v>
      </c>
      <c r="F5100" s="294"/>
      <c r="G5100" s="1501" t="s">
        <v>918</v>
      </c>
      <c r="H5100" s="1499" t="str">
        <f>$V$4</f>
        <v>2019年度</v>
      </c>
      <c r="I5100" s="593" t="str">
        <f>$V$5</f>
        <v>2018年度</v>
      </c>
      <c r="J5100" s="355" t="s">
        <v>5341</v>
      </c>
      <c r="K5100" s="291"/>
      <c r="L5100" s="291"/>
      <c r="M5100" s="291"/>
      <c r="S5100" s="364"/>
      <c r="Z5100" s="609" t="s">
        <v>1995</v>
      </c>
      <c r="AA5100" s="609"/>
    </row>
    <row r="5101" spans="1:27" ht="18">
      <c r="A5101" s="2712"/>
      <c r="B5101" s="371">
        <v>7502</v>
      </c>
      <c r="C5101" s="371"/>
      <c r="D5101" s="2714">
        <f t="shared" ref="D5101:D5118" si="554">IF(OR(G5101="*",G5101="",G5101=0),0,COUNTIF($G$5101:$G$5118,G5101))</f>
        <v>1</v>
      </c>
      <c r="E5101" s="2719">
        <v>1</v>
      </c>
      <c r="F5101" s="294"/>
      <c r="G5101" s="1500" t="str">
        <f t="shared" ref="G5101:G5117" si="555">VLOOKUP($B5101,Sheet_Items,6,0)</f>
        <v>净利润</v>
      </c>
      <c r="H5101" s="1474">
        <f t="shared" ref="H5101:H5117" si="556">VLOOKUP($B5101,Sheet_CF7,4,0)</f>
        <v>-13547600.460000001</v>
      </c>
      <c r="I5101" s="1475">
        <f t="shared" ref="I5101:I5117" si="557">VLOOKUP($B5101,Sheet_CF7,5,0)</f>
        <v>27366351.41</v>
      </c>
      <c r="J5101" s="291"/>
      <c r="K5101" s="291"/>
      <c r="L5101" s="291"/>
      <c r="M5101" s="291"/>
      <c r="S5101" s="364"/>
      <c r="Z5101" s="609" t="s">
        <v>1995</v>
      </c>
      <c r="AA5101" s="609"/>
    </row>
    <row r="5102" spans="1:27" ht="18">
      <c r="A5102" s="2712"/>
      <c r="B5102" s="371">
        <v>7503</v>
      </c>
      <c r="C5102" s="371"/>
      <c r="D5102" s="2714">
        <f t="shared" si="554"/>
        <v>1</v>
      </c>
      <c r="E5102" s="2719">
        <v>1</v>
      </c>
      <c r="F5102" s="294"/>
      <c r="G5102" s="1500" t="str">
        <f>VLOOKUP($B5102,Sheet_Items,6,0)</f>
        <v>加：资产减值准备</v>
      </c>
      <c r="H5102" s="1474">
        <f t="shared" si="556"/>
        <v>13357245.939999999</v>
      </c>
      <c r="I5102" s="1475">
        <f t="shared" si="557"/>
        <v>9046997.6899999995</v>
      </c>
      <c r="J5102" s="291"/>
      <c r="K5102" s="291"/>
      <c r="L5102" s="291"/>
      <c r="M5102" s="291"/>
      <c r="S5102" s="364"/>
      <c r="Z5102" s="609" t="s">
        <v>1995</v>
      </c>
      <c r="AA5102" s="609"/>
    </row>
    <row r="5103" spans="1:27" ht="18">
      <c r="A5103" s="2712"/>
      <c r="B5103" s="371">
        <v>7504</v>
      </c>
      <c r="C5103" s="371" t="s">
        <v>2791</v>
      </c>
      <c r="D5103" s="2714">
        <f t="shared" ref="D5103" si="558">IF(OR(G5103="*",G5103="",G5103=0),0,COUNTIF($G$5101:$G$5118,G5103))</f>
        <v>1</v>
      </c>
      <c r="E5103" s="2719">
        <v>1</v>
      </c>
      <c r="F5103" s="294"/>
      <c r="G5103" s="1500" t="str">
        <f t="shared" si="555"/>
        <v>信用减值损失</v>
      </c>
      <c r="H5103" s="1474">
        <f t="shared" si="556"/>
        <v>909636.12</v>
      </c>
      <c r="I5103" s="1475">
        <f t="shared" si="557"/>
        <v>0</v>
      </c>
      <c r="J5103" s="291"/>
      <c r="K5103" s="291"/>
      <c r="L5103" s="291"/>
      <c r="M5103" s="291"/>
      <c r="S5103" s="364"/>
      <c r="Z5103" s="609" t="s">
        <v>1995</v>
      </c>
      <c r="AA5103" s="609"/>
    </row>
    <row r="5104" spans="1:27" ht="36">
      <c r="A5104" s="2712"/>
      <c r="B5104" s="371">
        <v>7505</v>
      </c>
      <c r="C5104" s="371"/>
      <c r="D5104" s="2714">
        <f t="shared" si="554"/>
        <v>1</v>
      </c>
      <c r="E5104" s="2719">
        <v>1</v>
      </c>
      <c r="F5104" s="294"/>
      <c r="G5104" s="1500" t="str">
        <f t="shared" si="555"/>
        <v>固定资产折旧、投资性房地产折旧、油气资产折耗、生产性生物资产折旧</v>
      </c>
      <c r="H5104" s="1474">
        <f t="shared" si="556"/>
        <v>18205614.109999999</v>
      </c>
      <c r="I5104" s="1475">
        <f t="shared" si="557"/>
        <v>20918935.469999999</v>
      </c>
      <c r="J5104" s="291"/>
      <c r="K5104" s="291"/>
      <c r="L5104" s="291"/>
      <c r="M5104" s="291"/>
      <c r="S5104" s="364"/>
      <c r="Z5104" s="609" t="s">
        <v>1995</v>
      </c>
      <c r="AA5104" s="609"/>
    </row>
    <row r="5105" spans="1:27" ht="18">
      <c r="A5105" s="2712"/>
      <c r="B5105" s="371">
        <v>7506</v>
      </c>
      <c r="C5105" s="371"/>
      <c r="D5105" s="2714">
        <f t="shared" si="554"/>
        <v>1</v>
      </c>
      <c r="E5105" s="2719">
        <v>1</v>
      </c>
      <c r="F5105" s="294"/>
      <c r="G5105" s="1500" t="str">
        <f t="shared" si="555"/>
        <v>无形资产摊销</v>
      </c>
      <c r="H5105" s="1474">
        <f t="shared" si="556"/>
        <v>507056.61</v>
      </c>
      <c r="I5105" s="1475">
        <f t="shared" si="557"/>
        <v>518597.8</v>
      </c>
      <c r="J5105" s="291"/>
      <c r="K5105" s="291"/>
      <c r="L5105" s="291"/>
      <c r="M5105" s="291"/>
      <c r="S5105" s="364"/>
      <c r="Z5105" s="609" t="s">
        <v>1995</v>
      </c>
      <c r="AA5105" s="609"/>
    </row>
    <row r="5106" spans="1:27" ht="18">
      <c r="A5106" s="2712"/>
      <c r="B5106" s="371">
        <v>7507</v>
      </c>
      <c r="C5106" s="371"/>
      <c r="D5106" s="2714">
        <f t="shared" si="554"/>
        <v>1</v>
      </c>
      <c r="E5106" s="2719">
        <v>1</v>
      </c>
      <c r="F5106" s="294"/>
      <c r="G5106" s="1500" t="str">
        <f t="shared" si="555"/>
        <v>长期待摊费用摊销</v>
      </c>
      <c r="H5106" s="1474">
        <f t="shared" si="556"/>
        <v>991288.81</v>
      </c>
      <c r="I5106" s="1475">
        <f t="shared" si="557"/>
        <v>418055.56</v>
      </c>
      <c r="J5106" s="291"/>
      <c r="K5106" s="291"/>
      <c r="L5106" s="291"/>
      <c r="M5106" s="291"/>
      <c r="S5106" s="364"/>
      <c r="Z5106" s="609" t="s">
        <v>1995</v>
      </c>
      <c r="AA5106" s="609"/>
    </row>
    <row r="5107" spans="1:27" ht="36">
      <c r="A5107" s="2712"/>
      <c r="B5107" s="371">
        <v>7508</v>
      </c>
      <c r="C5107" s="371"/>
      <c r="D5107" s="2714">
        <f t="shared" si="554"/>
        <v>1</v>
      </c>
      <c r="E5107" s="2719">
        <v>1</v>
      </c>
      <c r="F5107" s="294"/>
      <c r="G5107" s="1500" t="str">
        <f t="shared" si="555"/>
        <v>处置固定资产、无形资产和其他长期资产的损失（收益以“－”号填列）</v>
      </c>
      <c r="H5107" s="1474">
        <f t="shared" si="556"/>
        <v>-4370781.55</v>
      </c>
      <c r="I5107" s="1475">
        <f t="shared" si="557"/>
        <v>1081801.72</v>
      </c>
      <c r="J5107" s="291"/>
      <c r="K5107" s="291"/>
      <c r="L5107" s="291"/>
      <c r="M5107" s="291"/>
      <c r="S5107" s="364"/>
      <c r="Z5107" s="609" t="s">
        <v>1995</v>
      </c>
      <c r="AA5107" s="609"/>
    </row>
    <row r="5108" spans="1:27" ht="24">
      <c r="A5108" s="2712"/>
      <c r="B5108" s="371">
        <v>7509</v>
      </c>
      <c r="C5108" s="371"/>
      <c r="D5108" s="2714">
        <f t="shared" si="554"/>
        <v>1</v>
      </c>
      <c r="E5108" s="2719">
        <v>1</v>
      </c>
      <c r="F5108" s="294"/>
      <c r="G5108" s="1500" t="str">
        <f t="shared" si="555"/>
        <v>固定资产报废损失（收益以“－”号填列）</v>
      </c>
      <c r="H5108" s="1474">
        <f t="shared" si="556"/>
        <v>1573265.7</v>
      </c>
      <c r="I5108" s="1475">
        <f t="shared" si="557"/>
        <v>583996.41</v>
      </c>
      <c r="J5108" s="291"/>
      <c r="K5108" s="291"/>
      <c r="L5108" s="291"/>
      <c r="M5108" s="291"/>
      <c r="S5108" s="364"/>
      <c r="Z5108" s="609" t="s">
        <v>1995</v>
      </c>
      <c r="AA5108" s="609"/>
    </row>
    <row r="5109" spans="1:27" ht="24">
      <c r="A5109" s="2712"/>
      <c r="B5109" s="371">
        <v>7510</v>
      </c>
      <c r="C5109" s="371"/>
      <c r="D5109" s="2714">
        <f t="shared" si="554"/>
        <v>1</v>
      </c>
      <c r="E5109" s="2719">
        <v>1</v>
      </c>
      <c r="F5109" s="294"/>
      <c r="G5109" s="1500" t="str">
        <f t="shared" si="555"/>
        <v>公允价值变动损失（收益以“－”号填列）</v>
      </c>
      <c r="H5109" s="1474">
        <f t="shared" si="556"/>
        <v>0</v>
      </c>
      <c r="I5109" s="1475">
        <f t="shared" si="557"/>
        <v>0</v>
      </c>
      <c r="J5109" s="291"/>
      <c r="K5109" s="291"/>
      <c r="L5109" s="291"/>
      <c r="M5109" s="291"/>
      <c r="S5109" s="364"/>
      <c r="Z5109" s="609" t="s">
        <v>1995</v>
      </c>
      <c r="AA5109" s="609"/>
    </row>
    <row r="5110" spans="1:27" ht="24">
      <c r="A5110" s="2712"/>
      <c r="B5110" s="371">
        <v>7511</v>
      </c>
      <c r="C5110" s="371"/>
      <c r="D5110" s="2714">
        <f t="shared" si="554"/>
        <v>1</v>
      </c>
      <c r="E5110" s="2719">
        <v>1</v>
      </c>
      <c r="F5110" s="294"/>
      <c r="G5110" s="1500" t="str">
        <f t="shared" si="555"/>
        <v>财务费用（收益以“－”号填列）</v>
      </c>
      <c r="H5110" s="1474">
        <f t="shared" si="556"/>
        <v>2758672.02</v>
      </c>
      <c r="I5110" s="1475">
        <f t="shared" si="557"/>
        <v>3569013.08</v>
      </c>
      <c r="J5110" s="291"/>
      <c r="K5110" s="291"/>
      <c r="L5110" s="291"/>
      <c r="M5110" s="291"/>
      <c r="S5110" s="364"/>
      <c r="Z5110" s="609" t="s">
        <v>1995</v>
      </c>
      <c r="AA5110" s="609"/>
    </row>
    <row r="5111" spans="1:27" ht="24">
      <c r="A5111" s="2712"/>
      <c r="B5111" s="371">
        <v>7512</v>
      </c>
      <c r="C5111" s="371"/>
      <c r="D5111" s="2714">
        <f t="shared" si="554"/>
        <v>1</v>
      </c>
      <c r="E5111" s="2719">
        <v>1</v>
      </c>
      <c r="F5111" s="294"/>
      <c r="G5111" s="1500" t="str">
        <f t="shared" si="555"/>
        <v>投资损失（收益以“－”号填列）</v>
      </c>
      <c r="H5111" s="1474">
        <f t="shared" si="556"/>
        <v>0</v>
      </c>
      <c r="I5111" s="1475">
        <f t="shared" si="557"/>
        <v>-300300</v>
      </c>
      <c r="J5111" s="291"/>
      <c r="K5111" s="291"/>
      <c r="L5111" s="291"/>
      <c r="M5111" s="291"/>
      <c r="S5111" s="364"/>
      <c r="Z5111" s="609" t="s">
        <v>1995</v>
      </c>
      <c r="AA5111" s="609"/>
    </row>
    <row r="5112" spans="1:27" ht="24">
      <c r="A5112" s="2712"/>
      <c r="B5112" s="371">
        <v>7515</v>
      </c>
      <c r="C5112" s="371"/>
      <c r="D5112" s="2714">
        <f t="shared" si="554"/>
        <v>1</v>
      </c>
      <c r="E5112" s="2719">
        <v>1</v>
      </c>
      <c r="F5112" s="294"/>
      <c r="G5112" s="1500" t="str">
        <f t="shared" si="555"/>
        <v>递延所得税资产减少（增加以“－”号填列）</v>
      </c>
      <c r="H5112" s="1474">
        <f t="shared" si="556"/>
        <v>-1147332.1499999999</v>
      </c>
      <c r="I5112" s="1475">
        <f t="shared" si="557"/>
        <v>-2030493.73</v>
      </c>
      <c r="J5112" s="291"/>
      <c r="K5112" s="291"/>
      <c r="L5112" s="291"/>
      <c r="M5112" s="291"/>
      <c r="S5112" s="364"/>
      <c r="Z5112" s="609" t="s">
        <v>1995</v>
      </c>
      <c r="AA5112" s="609"/>
    </row>
    <row r="5113" spans="1:27" ht="24">
      <c r="A5113" s="2712"/>
      <c r="B5113" s="371">
        <v>7516</v>
      </c>
      <c r="C5113" s="371"/>
      <c r="D5113" s="2714">
        <f t="shared" si="554"/>
        <v>1</v>
      </c>
      <c r="E5113" s="2719">
        <v>1</v>
      </c>
      <c r="F5113" s="294"/>
      <c r="G5113" s="1500" t="str">
        <f t="shared" si="555"/>
        <v>递延所得税负债增加（减少以“－”号填列）</v>
      </c>
      <c r="H5113" s="1474">
        <f t="shared" si="556"/>
        <v>0</v>
      </c>
      <c r="I5113" s="1475">
        <f t="shared" si="557"/>
        <v>0</v>
      </c>
      <c r="J5113" s="291"/>
      <c r="K5113" s="291"/>
      <c r="L5113" s="291"/>
      <c r="M5113" s="291"/>
      <c r="S5113" s="364"/>
      <c r="Z5113" s="609" t="s">
        <v>1995</v>
      </c>
      <c r="AA5113" s="609"/>
    </row>
    <row r="5114" spans="1:27" ht="24">
      <c r="A5114" s="2712"/>
      <c r="B5114" s="371">
        <v>7517</v>
      </c>
      <c r="C5114" s="371"/>
      <c r="D5114" s="2714">
        <f t="shared" si="554"/>
        <v>1</v>
      </c>
      <c r="E5114" s="2719">
        <v>1</v>
      </c>
      <c r="F5114" s="294"/>
      <c r="G5114" s="1500" t="str">
        <f t="shared" si="555"/>
        <v>存货的减少（增加以“－”号填列）</v>
      </c>
      <c r="H5114" s="1474">
        <f t="shared" si="556"/>
        <v>12779747.49</v>
      </c>
      <c r="I5114" s="1475">
        <f t="shared" si="557"/>
        <v>-18584625.84</v>
      </c>
      <c r="J5114" s="291"/>
      <c r="K5114" s="291"/>
      <c r="L5114" s="291"/>
      <c r="M5114" s="291"/>
      <c r="S5114" s="364"/>
      <c r="Z5114" s="609" t="s">
        <v>1995</v>
      </c>
      <c r="AA5114" s="609"/>
    </row>
    <row r="5115" spans="1:27" ht="24">
      <c r="A5115" s="2712"/>
      <c r="B5115" s="371">
        <v>7518</v>
      </c>
      <c r="C5115" s="371"/>
      <c r="D5115" s="2714">
        <f t="shared" si="554"/>
        <v>1</v>
      </c>
      <c r="E5115" s="2719">
        <v>1</v>
      </c>
      <c r="F5115" s="294"/>
      <c r="G5115" s="1500" t="str">
        <f t="shared" si="555"/>
        <v>经营性应收项目的减少（增加以“－”号填列）</v>
      </c>
      <c r="H5115" s="1474">
        <f t="shared" si="556"/>
        <v>-20087869.739999998</v>
      </c>
      <c r="I5115" s="1475">
        <f t="shared" si="557"/>
        <v>82970816.75</v>
      </c>
      <c r="J5115" s="291"/>
      <c r="K5115" s="291"/>
      <c r="L5115" s="291"/>
      <c r="M5115" s="291"/>
      <c r="S5115" s="364"/>
      <c r="Z5115" s="609" t="s">
        <v>1995</v>
      </c>
      <c r="AA5115" s="609"/>
    </row>
    <row r="5116" spans="1:27" ht="24">
      <c r="A5116" s="2712"/>
      <c r="B5116" s="371">
        <v>7519</v>
      </c>
      <c r="C5116" s="371"/>
      <c r="D5116" s="2714">
        <f t="shared" si="554"/>
        <v>1</v>
      </c>
      <c r="E5116" s="2719">
        <v>1</v>
      </c>
      <c r="F5116" s="294"/>
      <c r="G5116" s="1500" t="str">
        <f t="shared" si="555"/>
        <v>经营性应付项目的增加（减少以“－”号填列）</v>
      </c>
      <c r="H5116" s="1474">
        <f t="shared" si="556"/>
        <v>22638982.079999998</v>
      </c>
      <c r="I5116" s="1475">
        <f t="shared" si="557"/>
        <v>-47532373.100000001</v>
      </c>
      <c r="J5116" s="291"/>
      <c r="K5116" s="291"/>
      <c r="L5116" s="291"/>
      <c r="M5116" s="291"/>
      <c r="S5116" s="364"/>
      <c r="Z5116" s="609" t="s">
        <v>1995</v>
      </c>
      <c r="AA5116" s="609"/>
    </row>
    <row r="5117" spans="1:27" ht="18">
      <c r="A5117" s="2712"/>
      <c r="B5117" s="371">
        <v>7523</v>
      </c>
      <c r="C5117" s="371"/>
      <c r="D5117" s="2714">
        <f t="shared" si="554"/>
        <v>1</v>
      </c>
      <c r="E5117" s="2719">
        <v>1</v>
      </c>
      <c r="F5117" s="294"/>
      <c r="G5117" s="1500" t="str">
        <f t="shared" si="555"/>
        <v>其他</v>
      </c>
      <c r="H5117" s="1474">
        <f t="shared" si="556"/>
        <v>-3833037.43</v>
      </c>
      <c r="I5117" s="1475">
        <f t="shared" si="557"/>
        <v>1748583.41</v>
      </c>
      <c r="J5117" s="343"/>
      <c r="K5117" s="291"/>
      <c r="L5117" s="291"/>
      <c r="M5117" s="291"/>
      <c r="S5117" s="364"/>
      <c r="Z5117" s="609" t="s">
        <v>1995</v>
      </c>
      <c r="AA5117" s="609"/>
    </row>
    <row r="5118" spans="1:27" ht="18.75" thickBot="1">
      <c r="A5118" s="2712"/>
      <c r="B5118" s="371"/>
      <c r="C5118" s="371"/>
      <c r="D5118" s="2714">
        <f t="shared" si="554"/>
        <v>1</v>
      </c>
      <c r="E5118" s="2719" t="s">
        <v>3032</v>
      </c>
      <c r="F5118" s="294"/>
      <c r="G5118" s="374" t="s">
        <v>2247</v>
      </c>
      <c r="H5118" s="1476">
        <f>SUMPRODUCT($E5100:$E5117,H5100:H5117)</f>
        <v>30734887.550000001</v>
      </c>
      <c r="I5118" s="1477">
        <f>SUMPRODUCT($E5100:$E5117,I5100:I5117)</f>
        <v>79775356.629999995</v>
      </c>
      <c r="J5118" s="291"/>
      <c r="K5118" s="291"/>
      <c r="L5118" s="291"/>
      <c r="M5118" s="291"/>
      <c r="S5118" s="364"/>
      <c r="Z5118" s="609" t="s">
        <v>1995</v>
      </c>
      <c r="AA5118" s="609"/>
    </row>
    <row r="5119" spans="1:27" ht="24.75" thickBot="1">
      <c r="A5119" s="2712"/>
      <c r="B5119" s="371">
        <v>901</v>
      </c>
      <c r="C5119" s="371"/>
      <c r="D5119" s="371"/>
      <c r="E5119" s="2714" t="s">
        <v>2753</v>
      </c>
      <c r="F5119" s="294"/>
      <c r="G5119" s="1505" t="s">
        <v>4397</v>
      </c>
      <c r="H5119" s="313"/>
      <c r="I5119" s="348"/>
      <c r="J5119" s="343"/>
      <c r="K5119" s="349"/>
      <c r="L5119" s="349"/>
      <c r="M5119" s="291"/>
      <c r="N5119" s="291"/>
      <c r="O5119" s="291"/>
      <c r="P5119" s="291"/>
      <c r="S5119" s="364"/>
      <c r="Z5119" s="609" t="s">
        <v>1995</v>
      </c>
      <c r="AA5119" s="609"/>
    </row>
    <row r="5120" spans="1:27" ht="18">
      <c r="A5120" s="2712"/>
      <c r="B5120" s="371"/>
      <c r="C5120" s="371" t="s">
        <v>2755</v>
      </c>
      <c r="D5120" s="371"/>
      <c r="F5120" s="294"/>
      <c r="G5120" s="301"/>
      <c r="H5120" s="315"/>
      <c r="I5120" s="315"/>
      <c r="J5120" s="291"/>
      <c r="K5120" s="291"/>
      <c r="L5120" s="291"/>
      <c r="M5120" s="291"/>
      <c r="S5120" s="364"/>
      <c r="Z5120" s="609" t="s">
        <v>1995</v>
      </c>
      <c r="AA5120" s="609"/>
    </row>
    <row r="5121" spans="1:27" ht="24">
      <c r="A5121" s="2712" t="s">
        <v>1996</v>
      </c>
      <c r="B5121" s="371">
        <v>2</v>
      </c>
      <c r="C5121" s="371"/>
      <c r="D5121" s="2714" t="str">
        <f>VLOOKUP($A5121,Sheet_NoteList,2,0)</f>
        <v>不涉及现金收支的重大投资和筹资活动</v>
      </c>
      <c r="E5121" s="2714" t="s">
        <v>2742</v>
      </c>
      <c r="F5121" s="294"/>
      <c r="G5121" s="372" t="str">
        <f>"("&amp;B5121&amp;")"&amp;D5121</f>
        <v>(2)不涉及现金收支的重大投资和筹资活动</v>
      </c>
      <c r="H5121" s="1515" t="str">
        <f>$A5121</f>
        <v>7500b</v>
      </c>
      <c r="I5121" s="343" t="s">
        <v>2743</v>
      </c>
      <c r="J5121" s="301"/>
      <c r="K5121" s="3083"/>
      <c r="L5121" s="315"/>
      <c r="M5121" s="301"/>
      <c r="N5121" s="3083"/>
      <c r="O5121" s="315"/>
      <c r="P5121" s="301"/>
      <c r="S5121" s="364"/>
      <c r="Z5121" s="609" t="s">
        <v>1995</v>
      </c>
      <c r="AA5121" s="609"/>
    </row>
    <row r="5122" spans="1:27" ht="0.75" customHeight="1" thickBot="1">
      <c r="A5122" s="2712"/>
      <c r="B5122" s="371"/>
      <c r="C5122" s="371"/>
      <c r="D5122" s="371"/>
      <c r="F5122" s="294" t="s">
        <v>5810</v>
      </c>
      <c r="G5122" s="294" t="s">
        <v>4398</v>
      </c>
      <c r="H5122" s="294" t="s">
        <v>3472</v>
      </c>
      <c r="I5122" s="294" t="s">
        <v>3473</v>
      </c>
      <c r="J5122" s="291"/>
      <c r="K5122" s="291"/>
      <c r="L5122" s="291"/>
      <c r="M5122" s="291"/>
      <c r="S5122" s="364"/>
      <c r="Z5122" s="609" t="s">
        <v>1995</v>
      </c>
      <c r="AA5122" s="609"/>
    </row>
    <row r="5123" spans="1:27" ht="18">
      <c r="A5123" s="2712"/>
      <c r="B5123" s="371"/>
      <c r="C5123" s="371"/>
      <c r="D5123" s="371"/>
      <c r="E5123" s="2714" t="s">
        <v>2749</v>
      </c>
      <c r="F5123" s="294"/>
      <c r="G5123" s="1501" t="s">
        <v>918</v>
      </c>
      <c r="H5123" s="1499" t="str">
        <f>$V$4</f>
        <v>2019年度</v>
      </c>
      <c r="I5123" s="593" t="str">
        <f>$V$5</f>
        <v>2018年度</v>
      </c>
      <c r="J5123" s="355" t="s">
        <v>5341</v>
      </c>
      <c r="K5123" s="291"/>
      <c r="L5123" s="291"/>
      <c r="M5123" s="291"/>
      <c r="S5123" s="364"/>
      <c r="Z5123" s="609" t="s">
        <v>1995</v>
      </c>
      <c r="AA5123" s="609"/>
    </row>
    <row r="5124" spans="1:27" ht="18">
      <c r="A5124" s="2712"/>
      <c r="B5124" s="371">
        <v>7527</v>
      </c>
      <c r="C5124" s="371"/>
      <c r="D5124" s="2714">
        <f>IF(OR(G5124="*",G5124="",G5124=0),0,COUNTIF($G$5124:$G$5127,G5124))</f>
        <v>1</v>
      </c>
      <c r="E5124" s="2719">
        <v>1</v>
      </c>
      <c r="F5124" s="294"/>
      <c r="G5124" s="1500" t="str">
        <f>VLOOKUP($B5124,Sheet_Items,6,0)</f>
        <v>债务转为资本</v>
      </c>
      <c r="H5124" s="1474">
        <f>VLOOKUP($B5124,Sheet_CF7,4,0)</f>
        <v>0</v>
      </c>
      <c r="I5124" s="1475">
        <f>VLOOKUP($B5124,Sheet_CF7,5,0)</f>
        <v>0</v>
      </c>
      <c r="J5124" s="291"/>
      <c r="K5124" s="291"/>
      <c r="L5124" s="291"/>
      <c r="M5124" s="291"/>
      <c r="S5124" s="364"/>
      <c r="Z5124" s="609" t="s">
        <v>1995</v>
      </c>
      <c r="AA5124" s="609"/>
    </row>
    <row r="5125" spans="1:27" ht="18">
      <c r="A5125" s="2712"/>
      <c r="B5125" s="371">
        <v>7528</v>
      </c>
      <c r="C5125" s="371"/>
      <c r="D5125" s="2714">
        <f>IF(OR(G5125="*",G5125="",G5125=0),0,COUNTIF($G$5124:$G$5127,G5125))</f>
        <v>1</v>
      </c>
      <c r="E5125" s="2719">
        <v>1</v>
      </c>
      <c r="F5125" s="294"/>
      <c r="G5125" s="1500" t="str">
        <f>VLOOKUP($B5125,Sheet_Items,6,0)</f>
        <v>一年内到期的可转换公司债券</v>
      </c>
      <c r="H5125" s="1474">
        <f>VLOOKUP($B5125,Sheet_CF7,4,0)</f>
        <v>0</v>
      </c>
      <c r="I5125" s="1475">
        <f>VLOOKUP($B5125,Sheet_CF7,5,0)</f>
        <v>0</v>
      </c>
      <c r="J5125" s="291"/>
      <c r="K5125" s="291"/>
      <c r="L5125" s="291"/>
      <c r="M5125" s="291"/>
      <c r="S5125" s="364"/>
      <c r="Z5125" s="609" t="s">
        <v>1995</v>
      </c>
      <c r="AA5125" s="609"/>
    </row>
    <row r="5126" spans="1:27" ht="18">
      <c r="A5126" s="2712"/>
      <c r="B5126" s="371">
        <v>7529</v>
      </c>
      <c r="C5126" s="371"/>
      <c r="D5126" s="2714">
        <f>IF(OR(G5126="*",G5126="",G5126=0),0,COUNTIF($G$5124:$G$5127,G5126))</f>
        <v>1</v>
      </c>
      <c r="E5126" s="2719">
        <v>1</v>
      </c>
      <c r="F5126" s="294"/>
      <c r="G5126" s="1500" t="str">
        <f>VLOOKUP($B5126,Sheet_Items,6,0)</f>
        <v>融资租入固定资产</v>
      </c>
      <c r="H5126" s="1474">
        <f>VLOOKUP($B5126,Sheet_CF7,4,0)</f>
        <v>0</v>
      </c>
      <c r="I5126" s="1475">
        <f>VLOOKUP($B5126,Sheet_CF7,5,0)</f>
        <v>0</v>
      </c>
      <c r="J5126" s="291"/>
      <c r="K5126" s="291"/>
      <c r="L5126" s="291"/>
      <c r="M5126" s="291"/>
      <c r="S5126" s="364"/>
      <c r="Z5126" s="609" t="s">
        <v>1995</v>
      </c>
      <c r="AA5126" s="609"/>
    </row>
    <row r="5127" spans="1:27" ht="18.75" thickBot="1">
      <c r="A5127" s="2712"/>
      <c r="B5127" s="371"/>
      <c r="C5127" s="371"/>
      <c r="D5127" s="2714">
        <f>IF(OR(G5127="*",G5127="",G5127=0),0,COUNTIF($G$5124:$G$5127,G5127))</f>
        <v>0</v>
      </c>
      <c r="E5127" s="2719" t="s">
        <v>3595</v>
      </c>
      <c r="F5127" s="294"/>
      <c r="G5127" s="2379"/>
      <c r="H5127" s="2678"/>
      <c r="I5127" s="2679"/>
      <c r="J5127" s="291"/>
      <c r="K5127" s="291"/>
      <c r="L5127" s="291"/>
      <c r="M5127" s="291"/>
      <c r="S5127" s="364"/>
      <c r="Z5127" s="609" t="s">
        <v>1995</v>
      </c>
      <c r="AA5127" s="609"/>
    </row>
    <row r="5128" spans="1:27" ht="18">
      <c r="A5128" s="2712"/>
      <c r="B5128" s="371"/>
      <c r="C5128" s="371" t="s">
        <v>2755</v>
      </c>
      <c r="D5128" s="371"/>
      <c r="F5128" s="294"/>
      <c r="G5128" s="301"/>
      <c r="H5128" s="315"/>
      <c r="I5128" s="315"/>
      <c r="J5128" s="291"/>
      <c r="K5128" s="291"/>
      <c r="L5128" s="291"/>
      <c r="M5128" s="291"/>
      <c r="S5128" s="364"/>
      <c r="Z5128" s="609" t="s">
        <v>1995</v>
      </c>
      <c r="AA5128" s="609"/>
    </row>
    <row r="5129" spans="1:27" ht="24">
      <c r="A5129" s="2712" t="s">
        <v>1998</v>
      </c>
      <c r="B5129" s="371">
        <v>3</v>
      </c>
      <c r="C5129" s="371"/>
      <c r="D5129" s="2714" t="str">
        <f>VLOOKUP($A5129,Sheet_NoteList,2,0)</f>
        <v>现金及现金等价物净变动情况</v>
      </c>
      <c r="E5129" s="2714" t="s">
        <v>2742</v>
      </c>
      <c r="F5129" s="294"/>
      <c r="G5129" s="372" t="str">
        <f>"("&amp;B5129&amp;")"&amp;D5129</f>
        <v>(3)现金及现金等价物净变动情况</v>
      </c>
      <c r="H5129" s="1515" t="str">
        <f>$A5129</f>
        <v>7500c</v>
      </c>
      <c r="I5129" s="343" t="s">
        <v>2743</v>
      </c>
      <c r="J5129" s="301"/>
      <c r="K5129" s="3083"/>
      <c r="L5129" s="315"/>
      <c r="M5129" s="301"/>
      <c r="N5129" s="3083"/>
      <c r="O5129" s="315"/>
      <c r="P5129" s="301"/>
      <c r="Q5129" s="290" t="str">
        <f>IF($I5129="不适用","",IF(ROUND(SUM($H$5132:$I$5136),2)=0,"请输入",""))</f>
        <v/>
      </c>
      <c r="S5129" s="364"/>
      <c r="Z5129" s="609" t="s">
        <v>1995</v>
      </c>
      <c r="AA5129" s="609"/>
    </row>
    <row r="5130" spans="1:27" ht="0.75" customHeight="1" thickBot="1">
      <c r="A5130" s="2712"/>
      <c r="B5130" s="371"/>
      <c r="C5130" s="371"/>
      <c r="D5130" s="371"/>
      <c r="F5130" s="304" t="s">
        <v>5810</v>
      </c>
      <c r="G5130" s="304" t="s">
        <v>4399</v>
      </c>
      <c r="H5130" s="304" t="s">
        <v>3472</v>
      </c>
      <c r="I5130" s="304" t="s">
        <v>3473</v>
      </c>
      <c r="J5130" s="291"/>
      <c r="K5130" s="291"/>
      <c r="L5130" s="291"/>
      <c r="M5130" s="291"/>
      <c r="S5130" s="364"/>
      <c r="Z5130" s="609" t="s">
        <v>1995</v>
      </c>
      <c r="AA5130" s="609"/>
    </row>
    <row r="5131" spans="1:27" ht="18">
      <c r="A5131" s="2712"/>
      <c r="B5131" s="371"/>
      <c r="C5131" s="371"/>
      <c r="D5131" s="371"/>
      <c r="E5131" s="2714" t="s">
        <v>2749</v>
      </c>
      <c r="F5131" s="294"/>
      <c r="G5131" s="378" t="s">
        <v>918</v>
      </c>
      <c r="H5131" s="398" t="str">
        <f>$V$4</f>
        <v>2019年度</v>
      </c>
      <c r="I5131" s="511" t="str">
        <f>$V$5</f>
        <v>2018年度</v>
      </c>
      <c r="J5131" s="355" t="s">
        <v>5341</v>
      </c>
      <c r="K5131" s="291"/>
      <c r="L5131" s="291"/>
      <c r="M5131" s="291"/>
      <c r="S5131" s="364"/>
      <c r="Z5131" s="609" t="s">
        <v>1995</v>
      </c>
      <c r="AA5131" s="609"/>
    </row>
    <row r="5132" spans="1:27" ht="18">
      <c r="A5132" s="2712"/>
      <c r="B5132" s="371">
        <v>7535</v>
      </c>
      <c r="C5132" s="371"/>
      <c r="D5132" s="2714">
        <f>IF(OR(G5132="*",G5132="",G5132=0),0,COUNTIF($G$5132:$G$5136,G5132))</f>
        <v>1</v>
      </c>
      <c r="E5132" s="2719">
        <v>1</v>
      </c>
      <c r="F5132" s="294"/>
      <c r="G5132" s="380" t="str">
        <f>VLOOKUP($B5132,Sheet_Items,6,0)</f>
        <v>现金的期末余额</v>
      </c>
      <c r="H5132" s="383">
        <f>VLOOKUP($B5132,Sheet_CF7,4,0)</f>
        <v>6681834.9100000001</v>
      </c>
      <c r="I5132" s="401">
        <f>VLOOKUP($B5132,Sheet_CF7,5,0)</f>
        <v>35726503</v>
      </c>
      <c r="J5132" s="291"/>
      <c r="K5132" s="291"/>
      <c r="L5132" s="291"/>
      <c r="M5132" s="291"/>
      <c r="S5132" s="364"/>
      <c r="Z5132" s="609" t="s">
        <v>1995</v>
      </c>
      <c r="AA5132" s="609"/>
    </row>
    <row r="5133" spans="1:27" ht="18">
      <c r="A5133" s="2712"/>
      <c r="B5133" s="371">
        <v>7536</v>
      </c>
      <c r="C5133" s="371"/>
      <c r="D5133" s="2714">
        <f>IF(OR(G5133="*",G5133="",G5133=0),0,COUNTIF($G$5132:$G$5136,G5133))</f>
        <v>1</v>
      </c>
      <c r="E5133" s="2719">
        <v>-1</v>
      </c>
      <c r="F5133" s="294"/>
      <c r="G5133" s="380" t="str">
        <f>VLOOKUP($B5133,Sheet_Items,6,0)</f>
        <v>减：现金的年初余额</v>
      </c>
      <c r="H5133" s="383">
        <f>VLOOKUP($B5133,Sheet_CF7,4,0)</f>
        <v>35726503</v>
      </c>
      <c r="I5133" s="401">
        <f>VLOOKUP($B5133,Sheet_CF7,5,0)</f>
        <v>8096082.1600000001</v>
      </c>
      <c r="J5133" s="291"/>
      <c r="K5133" s="291"/>
      <c r="L5133" s="291"/>
      <c r="M5133" s="291"/>
      <c r="S5133" s="364"/>
      <c r="Z5133" s="609" t="s">
        <v>1995</v>
      </c>
      <c r="AA5133" s="609"/>
    </row>
    <row r="5134" spans="1:27" ht="18">
      <c r="A5134" s="2712"/>
      <c r="B5134" s="371">
        <v>7537</v>
      </c>
      <c r="C5134" s="371"/>
      <c r="D5134" s="2714">
        <f>IF(OR(G5134="*",G5134="",G5134=0),0,COUNTIF($G$5132:$G$5136,G5134))</f>
        <v>1</v>
      </c>
      <c r="E5134" s="2719">
        <v>1</v>
      </c>
      <c r="F5134" s="294"/>
      <c r="G5134" s="380" t="str">
        <f>VLOOKUP($B5134,Sheet_Items,6,0)</f>
        <v>加：现金等价物的期末余额</v>
      </c>
      <c r="H5134" s="383">
        <f>VLOOKUP($B5134,Sheet_CF7,4,0)</f>
        <v>0</v>
      </c>
      <c r="I5134" s="401">
        <f>VLOOKUP($B5134,Sheet_CF7,5,0)</f>
        <v>0</v>
      </c>
      <c r="J5134" s="291"/>
      <c r="K5134" s="291"/>
      <c r="L5134" s="291"/>
      <c r="M5134" s="291"/>
      <c r="S5134" s="364"/>
      <c r="Z5134" s="609" t="s">
        <v>1995</v>
      </c>
      <c r="AA5134" s="609"/>
    </row>
    <row r="5135" spans="1:27" ht="18">
      <c r="A5135" s="2712"/>
      <c r="B5135" s="371">
        <v>7538</v>
      </c>
      <c r="C5135" s="371"/>
      <c r="D5135" s="2714">
        <f>IF(OR(G5135="*",G5135="",G5135=0),0,COUNTIF($G$5132:$G$5136,G5135))</f>
        <v>1</v>
      </c>
      <c r="E5135" s="2719">
        <v>-1</v>
      </c>
      <c r="F5135" s="294"/>
      <c r="G5135" s="380" t="str">
        <f>VLOOKUP($B5135,Sheet_Items,6,0)</f>
        <v>减：现金等价物的年初余额</v>
      </c>
      <c r="H5135" s="383">
        <f>VLOOKUP($B5135,Sheet_CF7,4,0)</f>
        <v>0</v>
      </c>
      <c r="I5135" s="401">
        <f>VLOOKUP($B5135,Sheet_CF7,5,0)</f>
        <v>0</v>
      </c>
      <c r="J5135" s="291"/>
      <c r="K5135" s="291"/>
      <c r="L5135" s="291"/>
      <c r="M5135" s="291"/>
      <c r="S5135" s="364"/>
      <c r="Z5135" s="609" t="s">
        <v>1995</v>
      </c>
      <c r="AA5135" s="609"/>
    </row>
    <row r="5136" spans="1:27" ht="18.75" thickBot="1">
      <c r="A5136" s="2712"/>
      <c r="B5136" s="371"/>
      <c r="C5136" s="371"/>
      <c r="D5136" s="2714">
        <f>IF(OR(G5136="*",G5136="",G5136=0),0,COUNTIF($G$5132:$G$5136,G5136))</f>
        <v>1</v>
      </c>
      <c r="E5136" s="2719" t="s">
        <v>3032</v>
      </c>
      <c r="F5136" s="294"/>
      <c r="G5136" s="403" t="s">
        <v>2269</v>
      </c>
      <c r="H5136" s="503">
        <f>SUMPRODUCT($E5131:$E5135,H5131:H5135)</f>
        <v>-29044668.09</v>
      </c>
      <c r="I5136" s="515">
        <f>SUMPRODUCT($E5131:$E5135,I5131:I5135)</f>
        <v>27630420.84</v>
      </c>
      <c r="J5136" s="291"/>
      <c r="K5136" s="291"/>
      <c r="L5136" s="291"/>
      <c r="M5136" s="291"/>
      <c r="S5136" s="364"/>
      <c r="Z5136" s="609" t="s">
        <v>1995</v>
      </c>
      <c r="AA5136" s="609"/>
    </row>
    <row r="5137" spans="1:27" ht="18">
      <c r="A5137" s="2712"/>
      <c r="B5137" s="371"/>
      <c r="C5137" s="371" t="s">
        <v>2755</v>
      </c>
      <c r="D5137" s="371"/>
      <c r="F5137" s="294"/>
      <c r="G5137" s="301"/>
      <c r="H5137" s="349"/>
      <c r="I5137" s="349"/>
      <c r="J5137" s="291"/>
      <c r="K5137" s="291"/>
      <c r="L5137" s="291"/>
      <c r="M5137" s="291"/>
      <c r="S5137" s="364"/>
      <c r="Z5137" s="609" t="s">
        <v>1995</v>
      </c>
      <c r="AA5137" s="609"/>
    </row>
    <row r="5138" spans="1:27" ht="24">
      <c r="A5138" s="2712" t="s">
        <v>2008</v>
      </c>
      <c r="B5138" s="371">
        <v>4</v>
      </c>
      <c r="C5138" s="371"/>
      <c r="D5138" s="2714" t="str">
        <f>VLOOKUP($A5138,Sheet_NoteList,2,0)</f>
        <v>本期支付的取得子公司的现金净额</v>
      </c>
      <c r="E5138" s="2714" t="s">
        <v>2742</v>
      </c>
      <c r="F5138" s="294"/>
      <c r="G5138" s="372" t="str">
        <f>"("&amp;B5138&amp;")"&amp;D5138</f>
        <v>(4)本期支付的取得子公司的现金净额</v>
      </c>
      <c r="H5138" s="1515" t="str">
        <f>$A5138</f>
        <v>7500g</v>
      </c>
      <c r="I5138" s="343" t="s">
        <v>2743</v>
      </c>
      <c r="J5138" s="301"/>
      <c r="K5138" s="3083"/>
      <c r="L5138" s="315"/>
      <c r="M5138" s="301"/>
      <c r="N5138" s="3083"/>
      <c r="O5138" s="315"/>
      <c r="P5138" s="301"/>
      <c r="S5138" s="364"/>
      <c r="Z5138" s="609" t="s">
        <v>1995</v>
      </c>
      <c r="AA5138" s="609"/>
    </row>
    <row r="5139" spans="1:27" ht="0.75" customHeight="1" thickBot="1">
      <c r="A5139" s="2712"/>
      <c r="B5139" s="371"/>
      <c r="C5139" s="371"/>
      <c r="D5139" s="371"/>
      <c r="F5139" s="304"/>
      <c r="G5139" s="304" t="s">
        <v>4400</v>
      </c>
      <c r="H5139" s="304" t="s">
        <v>3472</v>
      </c>
      <c r="I5139" s="291"/>
      <c r="J5139" s="291"/>
      <c r="K5139" s="291"/>
      <c r="L5139" s="291"/>
      <c r="M5139" s="291"/>
      <c r="S5139" s="364"/>
      <c r="Z5139" s="609" t="s">
        <v>1995</v>
      </c>
      <c r="AA5139" s="609"/>
    </row>
    <row r="5140" spans="1:27" ht="18">
      <c r="A5140" s="2712"/>
      <c r="B5140" s="371"/>
      <c r="C5140" s="371"/>
      <c r="D5140" s="371"/>
      <c r="E5140" s="2714" t="s">
        <v>2749</v>
      </c>
      <c r="F5140" s="294"/>
      <c r="G5140" s="2611" t="s">
        <v>47</v>
      </c>
      <c r="H5140" s="2612" t="s">
        <v>4242</v>
      </c>
      <c r="I5140" s="355" t="s">
        <v>5341</v>
      </c>
      <c r="J5140" s="291"/>
      <c r="K5140" s="291"/>
      <c r="L5140" s="291"/>
      <c r="M5140" s="291"/>
      <c r="S5140" s="364"/>
      <c r="Z5140" s="609" t="s">
        <v>1995</v>
      </c>
      <c r="AA5140" s="609"/>
    </row>
    <row r="5141" spans="1:27" ht="24">
      <c r="A5141" s="2712"/>
      <c r="B5141" s="371">
        <v>101</v>
      </c>
      <c r="C5141" s="371"/>
      <c r="D5141" s="2714">
        <f t="shared" ref="D5141:D5146" si="559">IF(OR(G5141="*",G5141="",G5141=0),0,COUNTIF($G$5141:$G$5146,G5141))</f>
        <v>1</v>
      </c>
      <c r="E5141" s="2719">
        <v>1</v>
      </c>
      <c r="F5141" s="294"/>
      <c r="G5141" s="380" t="s">
        <v>4401</v>
      </c>
      <c r="H5141" s="401"/>
      <c r="I5141" s="291"/>
      <c r="J5141" s="291"/>
      <c r="K5141" s="291"/>
      <c r="L5141" s="291"/>
      <c r="M5141" s="291"/>
      <c r="S5141" s="364"/>
      <c r="Z5141" s="609" t="s">
        <v>1995</v>
      </c>
      <c r="AA5141" s="609"/>
    </row>
    <row r="5142" spans="1:27" ht="24">
      <c r="A5142" s="2712"/>
      <c r="B5142" s="371">
        <v>102</v>
      </c>
      <c r="C5142" s="371"/>
      <c r="D5142" s="2714">
        <f t="shared" si="559"/>
        <v>1</v>
      </c>
      <c r="E5142" s="2719">
        <v>-1</v>
      </c>
      <c r="F5142" s="294"/>
      <c r="G5142" s="380" t="s">
        <v>4402</v>
      </c>
      <c r="H5142" s="401"/>
      <c r="I5142" s="291"/>
      <c r="J5142" s="291"/>
      <c r="K5142" s="291"/>
      <c r="L5142" s="291"/>
      <c r="M5142" s="291"/>
      <c r="S5142" s="364"/>
      <c r="Z5142" s="609" t="s">
        <v>1995</v>
      </c>
      <c r="AA5142" s="609"/>
    </row>
    <row r="5143" spans="1:27" ht="18">
      <c r="A5143" s="2712"/>
      <c r="B5143" s="371">
        <v>103</v>
      </c>
      <c r="C5143" s="371" t="s">
        <v>2791</v>
      </c>
      <c r="D5143" s="2714">
        <f t="shared" si="559"/>
        <v>0</v>
      </c>
      <c r="E5143" s="2719">
        <v>-1</v>
      </c>
      <c r="F5143" s="294"/>
      <c r="G5143" s="409" t="s">
        <v>2792</v>
      </c>
      <c r="H5143" s="401"/>
      <c r="I5143" s="291"/>
      <c r="J5143" s="291"/>
      <c r="K5143" s="291"/>
      <c r="L5143" s="291"/>
      <c r="M5143" s="291"/>
      <c r="S5143" s="364"/>
      <c r="Z5143" s="609" t="s">
        <v>1995</v>
      </c>
      <c r="AA5143" s="609"/>
    </row>
    <row r="5144" spans="1:27" ht="36">
      <c r="A5144" s="2712"/>
      <c r="B5144" s="371">
        <v>104</v>
      </c>
      <c r="C5144" s="371"/>
      <c r="D5144" s="2714">
        <f t="shared" si="559"/>
        <v>1</v>
      </c>
      <c r="E5144" s="2719">
        <v>1</v>
      </c>
      <c r="F5144" s="294"/>
      <c r="G5144" s="380" t="s">
        <v>4403</v>
      </c>
      <c r="H5144" s="401"/>
      <c r="I5144" s="291"/>
      <c r="J5144" s="291"/>
      <c r="K5144" s="291"/>
      <c r="L5144" s="291"/>
      <c r="M5144" s="291"/>
      <c r="S5144" s="364"/>
      <c r="Z5144" s="609" t="s">
        <v>1995</v>
      </c>
      <c r="AA5144" s="609"/>
    </row>
    <row r="5145" spans="1:27" ht="18">
      <c r="A5145" s="2712"/>
      <c r="B5145" s="371">
        <v>105</v>
      </c>
      <c r="C5145" s="371" t="s">
        <v>2791</v>
      </c>
      <c r="D5145" s="2714">
        <f t="shared" si="559"/>
        <v>0</v>
      </c>
      <c r="E5145" s="2719">
        <v>1</v>
      </c>
      <c r="F5145" s="294"/>
      <c r="G5145" s="409" t="s">
        <v>2792</v>
      </c>
      <c r="H5145" s="401"/>
      <c r="I5145" s="291"/>
      <c r="J5145" s="291"/>
      <c r="K5145" s="291"/>
      <c r="L5145" s="291"/>
      <c r="M5145" s="291"/>
      <c r="S5145" s="364"/>
      <c r="Z5145" s="609" t="s">
        <v>1995</v>
      </c>
      <c r="AA5145" s="609"/>
    </row>
    <row r="5146" spans="1:27" ht="18.75" thickBot="1">
      <c r="A5146" s="2712"/>
      <c r="B5146" s="371"/>
      <c r="C5146" s="371"/>
      <c r="D5146" s="2714">
        <f t="shared" si="559"/>
        <v>1</v>
      </c>
      <c r="E5146" s="2719" t="s">
        <v>3032</v>
      </c>
      <c r="F5146" s="294"/>
      <c r="G5146" s="2613" t="s">
        <v>4404</v>
      </c>
      <c r="H5146" s="2614">
        <f>SUMPRODUCT($E5140:$E5145,H5140:H5145)</f>
        <v>0</v>
      </c>
      <c r="I5146" s="291"/>
      <c r="J5146" s="291"/>
      <c r="K5146" s="291"/>
      <c r="L5146" s="291"/>
      <c r="M5146" s="291"/>
      <c r="S5146" s="364"/>
      <c r="Z5146" s="609" t="s">
        <v>1995</v>
      </c>
      <c r="AA5146" s="609"/>
    </row>
    <row r="5147" spans="1:27" ht="18">
      <c r="A5147" s="2712"/>
      <c r="B5147" s="371"/>
      <c r="C5147" s="371" t="s">
        <v>2755</v>
      </c>
      <c r="D5147" s="371"/>
      <c r="F5147" s="294"/>
      <c r="G5147" s="301"/>
      <c r="H5147" s="315"/>
      <c r="I5147" s="349"/>
      <c r="J5147" s="291"/>
      <c r="K5147" s="291"/>
      <c r="L5147" s="291"/>
      <c r="M5147" s="291"/>
      <c r="S5147" s="364"/>
      <c r="Z5147" s="609" t="s">
        <v>1995</v>
      </c>
      <c r="AA5147" s="609"/>
    </row>
    <row r="5148" spans="1:27" ht="24">
      <c r="A5148" s="2712" t="s">
        <v>2010</v>
      </c>
      <c r="B5148" s="371">
        <v>5</v>
      </c>
      <c r="C5148" s="371"/>
      <c r="D5148" s="2714" t="str">
        <f>VLOOKUP($A5148,Sheet_NoteList,2,0)</f>
        <v>本期收到的处置子公司的现金净额</v>
      </c>
      <c r="E5148" s="2714" t="s">
        <v>2742</v>
      </c>
      <c r="F5148" s="294"/>
      <c r="G5148" s="372" t="str">
        <f>"("&amp;B5148&amp;")"&amp;D5148</f>
        <v>(5)本期收到的处置子公司的现金净额</v>
      </c>
      <c r="H5148" s="1515" t="str">
        <f>$A5148</f>
        <v>7500h</v>
      </c>
      <c r="I5148" s="343" t="s">
        <v>2743</v>
      </c>
      <c r="J5148" s="301"/>
      <c r="K5148" s="3083"/>
      <c r="L5148" s="315"/>
      <c r="M5148" s="301"/>
      <c r="N5148" s="3083"/>
      <c r="O5148" s="315"/>
      <c r="P5148" s="301"/>
      <c r="S5148" s="364"/>
      <c r="Z5148" s="609" t="s">
        <v>1995</v>
      </c>
      <c r="AA5148" s="609"/>
    </row>
    <row r="5149" spans="1:27" ht="0.75" customHeight="1" thickBot="1">
      <c r="A5149" s="2712"/>
      <c r="B5149" s="371"/>
      <c r="C5149" s="371"/>
      <c r="D5149" s="371"/>
      <c r="F5149" s="304"/>
      <c r="G5149" s="304" t="s">
        <v>4405</v>
      </c>
      <c r="H5149" s="304" t="s">
        <v>3472</v>
      </c>
      <c r="I5149" s="291"/>
      <c r="J5149" s="291"/>
      <c r="K5149" s="291"/>
      <c r="L5149" s="291"/>
      <c r="M5149" s="291"/>
      <c r="S5149" s="364"/>
      <c r="Z5149" s="609" t="s">
        <v>1995</v>
      </c>
      <c r="AA5149" s="609"/>
    </row>
    <row r="5150" spans="1:27" ht="18">
      <c r="A5150" s="2712"/>
      <c r="B5150" s="371"/>
      <c r="C5150" s="371"/>
      <c r="D5150" s="371"/>
      <c r="E5150" s="2714" t="s">
        <v>2749</v>
      </c>
      <c r="F5150" s="294"/>
      <c r="G5150" s="2611" t="s">
        <v>47</v>
      </c>
      <c r="H5150" s="2612" t="s">
        <v>4242</v>
      </c>
      <c r="I5150" s="355" t="s">
        <v>5341</v>
      </c>
      <c r="J5150" s="291"/>
      <c r="K5150" s="291"/>
      <c r="L5150" s="291"/>
      <c r="M5150" s="291"/>
      <c r="S5150" s="364"/>
      <c r="Z5150" s="609" t="s">
        <v>1995</v>
      </c>
      <c r="AA5150" s="609"/>
    </row>
    <row r="5151" spans="1:27" ht="24">
      <c r="A5151" s="2712"/>
      <c r="B5151" s="371">
        <v>101</v>
      </c>
      <c r="C5151" s="371"/>
      <c r="D5151" s="2714">
        <f t="shared" ref="D5151:D5156" si="560">IF(OR(G5151="*",G5151="",G5151=0),0,COUNTIF($G$5151:$G$5156,G5151))</f>
        <v>1</v>
      </c>
      <c r="E5151" s="2719">
        <v>1</v>
      </c>
      <c r="F5151" s="294"/>
      <c r="G5151" s="380" t="s">
        <v>4406</v>
      </c>
      <c r="H5151" s="401"/>
      <c r="I5151" s="291"/>
      <c r="J5151" s="291"/>
      <c r="K5151" s="291"/>
      <c r="L5151" s="291"/>
      <c r="M5151" s="291"/>
      <c r="S5151" s="364"/>
      <c r="Z5151" s="609" t="s">
        <v>1995</v>
      </c>
      <c r="AA5151" s="609"/>
    </row>
    <row r="5152" spans="1:27" ht="24">
      <c r="A5152" s="2712"/>
      <c r="B5152" s="371">
        <v>102</v>
      </c>
      <c r="C5152" s="371"/>
      <c r="D5152" s="2714">
        <f t="shared" si="560"/>
        <v>1</v>
      </c>
      <c r="E5152" s="2719">
        <v>-1</v>
      </c>
      <c r="F5152" s="294"/>
      <c r="G5152" s="380" t="s">
        <v>4407</v>
      </c>
      <c r="H5152" s="401"/>
      <c r="I5152" s="291"/>
      <c r="J5152" s="291"/>
      <c r="K5152" s="291"/>
      <c r="L5152" s="291"/>
      <c r="M5152" s="291"/>
      <c r="S5152" s="364"/>
      <c r="Z5152" s="609" t="s">
        <v>1995</v>
      </c>
      <c r="AA5152" s="609"/>
    </row>
    <row r="5153" spans="1:27" ht="18">
      <c r="A5153" s="2712"/>
      <c r="B5153" s="371">
        <v>103</v>
      </c>
      <c r="C5153" s="371" t="s">
        <v>2791</v>
      </c>
      <c r="D5153" s="2714">
        <f t="shared" si="560"/>
        <v>0</v>
      </c>
      <c r="E5153" s="2719">
        <v>-1</v>
      </c>
      <c r="F5153" s="294"/>
      <c r="G5153" s="409" t="s">
        <v>2792</v>
      </c>
      <c r="H5153" s="401"/>
      <c r="I5153" s="291"/>
      <c r="J5153" s="291"/>
      <c r="K5153" s="291"/>
      <c r="L5153" s="291"/>
      <c r="M5153" s="291"/>
      <c r="S5153" s="364"/>
      <c r="Z5153" s="609" t="s">
        <v>1995</v>
      </c>
      <c r="AA5153" s="609"/>
    </row>
    <row r="5154" spans="1:27" ht="24">
      <c r="A5154" s="2712"/>
      <c r="B5154" s="371">
        <v>104</v>
      </c>
      <c r="C5154" s="371"/>
      <c r="D5154" s="2714">
        <f t="shared" si="560"/>
        <v>1</v>
      </c>
      <c r="E5154" s="2719">
        <v>1</v>
      </c>
      <c r="F5154" s="294"/>
      <c r="G5154" s="380" t="s">
        <v>4408</v>
      </c>
      <c r="H5154" s="401"/>
      <c r="I5154" s="291"/>
      <c r="J5154" s="291"/>
      <c r="K5154" s="291"/>
      <c r="L5154" s="291"/>
      <c r="M5154" s="291"/>
      <c r="S5154" s="364"/>
      <c r="Z5154" s="609" t="s">
        <v>1995</v>
      </c>
      <c r="AA5154" s="609"/>
    </row>
    <row r="5155" spans="1:27" ht="18">
      <c r="A5155" s="2712"/>
      <c r="B5155" s="371">
        <v>105</v>
      </c>
      <c r="C5155" s="371" t="s">
        <v>2791</v>
      </c>
      <c r="D5155" s="2714">
        <f t="shared" si="560"/>
        <v>0</v>
      </c>
      <c r="E5155" s="2719">
        <v>1</v>
      </c>
      <c r="F5155" s="294"/>
      <c r="G5155" s="409" t="s">
        <v>2792</v>
      </c>
      <c r="H5155" s="401"/>
      <c r="I5155" s="291"/>
      <c r="J5155" s="291"/>
      <c r="K5155" s="291"/>
      <c r="L5155" s="291"/>
      <c r="M5155" s="291"/>
      <c r="S5155" s="364"/>
      <c r="Z5155" s="609" t="s">
        <v>1995</v>
      </c>
      <c r="AA5155" s="609"/>
    </row>
    <row r="5156" spans="1:27" ht="18.75" thickBot="1">
      <c r="A5156" s="2712"/>
      <c r="B5156" s="371"/>
      <c r="C5156" s="371"/>
      <c r="D5156" s="2714">
        <f t="shared" si="560"/>
        <v>1</v>
      </c>
      <c r="E5156" s="2719" t="s">
        <v>3032</v>
      </c>
      <c r="F5156" s="294"/>
      <c r="G5156" s="2613" t="s">
        <v>4409</v>
      </c>
      <c r="H5156" s="2614">
        <f>SUMPRODUCT($E5150:$E5155,H5150:H5155)</f>
        <v>0</v>
      </c>
      <c r="I5156" s="291"/>
      <c r="J5156" s="291"/>
      <c r="K5156" s="291"/>
      <c r="L5156" s="291"/>
      <c r="M5156" s="291"/>
      <c r="S5156" s="364"/>
      <c r="Z5156" s="609" t="s">
        <v>1995</v>
      </c>
      <c r="AA5156" s="609"/>
    </row>
    <row r="5157" spans="1:27" ht="18">
      <c r="A5157" s="2712"/>
      <c r="B5157" s="371"/>
      <c r="C5157" s="371" t="s">
        <v>2755</v>
      </c>
      <c r="D5157" s="371"/>
      <c r="F5157" s="294"/>
      <c r="G5157" s="301"/>
      <c r="H5157" s="315"/>
      <c r="I5157" s="349"/>
      <c r="J5157" s="291"/>
      <c r="K5157" s="291"/>
      <c r="L5157" s="291"/>
      <c r="M5157" s="291"/>
      <c r="S5157" s="364"/>
      <c r="Z5157" s="609" t="s">
        <v>1995</v>
      </c>
      <c r="AA5157" s="609"/>
    </row>
    <row r="5158" spans="1:27" ht="24">
      <c r="A5158" s="2712" t="s">
        <v>2003</v>
      </c>
      <c r="B5158" s="371">
        <v>6</v>
      </c>
      <c r="C5158" s="371"/>
      <c r="D5158" s="2714" t="str">
        <f>VLOOKUP($A5158,Sheet_NoteList,2,0)</f>
        <v>现金及现金等价物的构成</v>
      </c>
      <c r="E5158" s="2714" t="s">
        <v>2742</v>
      </c>
      <c r="F5158" s="294"/>
      <c r="G5158" s="372" t="str">
        <f>"("&amp;B5158&amp;")"&amp;D5158</f>
        <v>(6)现金及现金等价物的构成</v>
      </c>
      <c r="H5158" s="1515" t="str">
        <f>$A5158</f>
        <v>7500e</v>
      </c>
      <c r="I5158" s="343" t="s">
        <v>2743</v>
      </c>
      <c r="J5158" s="301"/>
      <c r="K5158" s="3083"/>
      <c r="L5158" s="315"/>
      <c r="M5158" s="301"/>
      <c r="N5158" s="3083"/>
      <c r="O5158" s="315"/>
      <c r="P5158" s="301"/>
      <c r="Q5158" s="290" t="str">
        <f ca="1">IF($I5158="不适用","",IF(ROUND(SUM($H$5161:$I$5172),2)=0,"请输入",""))</f>
        <v>请输入</v>
      </c>
      <c r="S5158" s="364"/>
      <c r="Z5158" s="609" t="s">
        <v>1995</v>
      </c>
      <c r="AA5158" s="609"/>
    </row>
    <row r="5159" spans="1:27" ht="0.75" customHeight="1" thickBot="1">
      <c r="A5159" s="2712"/>
      <c r="B5159" s="371"/>
      <c r="C5159" s="371"/>
      <c r="D5159" s="371"/>
      <c r="F5159" s="371"/>
      <c r="G5159" s="371" t="s">
        <v>4410</v>
      </c>
      <c r="H5159" s="371" t="s">
        <v>3472</v>
      </c>
      <c r="I5159" s="371" t="s">
        <v>3473</v>
      </c>
      <c r="J5159" s="291"/>
      <c r="K5159" s="291"/>
      <c r="L5159" s="291"/>
      <c r="M5159" s="291"/>
      <c r="S5159" s="364"/>
      <c r="Z5159" s="609" t="s">
        <v>1995</v>
      </c>
      <c r="AA5159" s="609"/>
    </row>
    <row r="5160" spans="1:27" ht="18">
      <c r="A5160" s="2712"/>
      <c r="B5160" s="371"/>
      <c r="C5160" s="371"/>
      <c r="D5160" s="371"/>
      <c r="E5160" s="2714" t="s">
        <v>2749</v>
      </c>
      <c r="F5160" s="294"/>
      <c r="G5160" s="378" t="s">
        <v>47</v>
      </c>
      <c r="H5160" s="2471" t="str">
        <f>$V$2</f>
        <v>2019年12月31日</v>
      </c>
      <c r="I5160" s="1454" t="str">
        <f>$V$3</f>
        <v>2018年12月31日</v>
      </c>
      <c r="J5160" s="355" t="s">
        <v>5341</v>
      </c>
      <c r="K5160" s="291"/>
      <c r="L5160" s="291"/>
      <c r="M5160" s="291"/>
      <c r="S5160" s="364"/>
      <c r="Z5160" s="609" t="s">
        <v>1995</v>
      </c>
      <c r="AA5160" s="609"/>
    </row>
    <row r="5161" spans="1:27" ht="18">
      <c r="A5161" s="2712"/>
      <c r="B5161" s="371">
        <v>101</v>
      </c>
      <c r="C5161" s="371" t="s">
        <v>2793</v>
      </c>
      <c r="D5161" s="2714">
        <f t="shared" ref="D5161:D5172" si="561">IF(OR(G5161="*",G5161="",G5161=0),0,COUNTIF($G$5161:$G$5172,G5161))</f>
        <v>1</v>
      </c>
      <c r="E5161" s="2719">
        <v>1</v>
      </c>
      <c r="F5161" s="294"/>
      <c r="G5161" s="380" t="s">
        <v>4411</v>
      </c>
      <c r="H5161" s="561">
        <f ca="1">SUMIF($E$5161:$E$5172,$G5161,H$5161:H$5170)</f>
        <v>0</v>
      </c>
      <c r="I5161" s="562">
        <f ca="1">SUMIF($E$5161:$E$5172,$G5161,I$5161:I$5170)</f>
        <v>0</v>
      </c>
      <c r="J5161" s="291"/>
      <c r="K5161" s="291"/>
      <c r="L5161" s="291"/>
      <c r="M5161" s="291"/>
      <c r="S5161" s="364"/>
      <c r="Z5161" s="609" t="s">
        <v>1995</v>
      </c>
      <c r="AA5161" s="609"/>
    </row>
    <row r="5162" spans="1:27" ht="18">
      <c r="A5162" s="2712"/>
      <c r="B5162" s="371">
        <v>101.001</v>
      </c>
      <c r="C5162" s="371"/>
      <c r="D5162" s="2714">
        <f t="shared" si="561"/>
        <v>1</v>
      </c>
      <c r="E5162" s="2719" t="s">
        <v>4411</v>
      </c>
      <c r="F5162" s="294"/>
      <c r="G5162" s="380" t="s">
        <v>4412</v>
      </c>
      <c r="H5162" s="383"/>
      <c r="I5162" s="401"/>
      <c r="J5162" s="291"/>
      <c r="K5162" s="291"/>
      <c r="L5162" s="291"/>
      <c r="M5162" s="291"/>
      <c r="S5162" s="364"/>
      <c r="Z5162" s="609" t="s">
        <v>1995</v>
      </c>
      <c r="AA5162" s="609"/>
    </row>
    <row r="5163" spans="1:27" ht="18">
      <c r="A5163" s="2712"/>
      <c r="B5163" s="371">
        <v>101.002</v>
      </c>
      <c r="C5163" s="371"/>
      <c r="D5163" s="2714">
        <f t="shared" si="561"/>
        <v>1</v>
      </c>
      <c r="E5163" s="2719" t="s">
        <v>4411</v>
      </c>
      <c r="F5163" s="294"/>
      <c r="G5163" s="380" t="s">
        <v>4413</v>
      </c>
      <c r="H5163" s="383"/>
      <c r="I5163" s="401"/>
      <c r="J5163" s="291"/>
      <c r="K5163" s="291"/>
      <c r="L5163" s="291"/>
      <c r="M5163" s="291"/>
      <c r="S5163" s="364"/>
      <c r="Z5163" s="609" t="s">
        <v>1995</v>
      </c>
      <c r="AA5163" s="609"/>
    </row>
    <row r="5164" spans="1:27" ht="24">
      <c r="A5164" s="2712"/>
      <c r="B5164" s="371">
        <v>101.003</v>
      </c>
      <c r="C5164" s="371"/>
      <c r="D5164" s="2714">
        <f t="shared" si="561"/>
        <v>1</v>
      </c>
      <c r="E5164" s="2719" t="s">
        <v>4411</v>
      </c>
      <c r="F5164" s="294"/>
      <c r="G5164" s="380" t="s">
        <v>4414</v>
      </c>
      <c r="H5164" s="383"/>
      <c r="I5164" s="401"/>
      <c r="J5164" s="291"/>
      <c r="K5164" s="291"/>
      <c r="L5164" s="291"/>
      <c r="M5164" s="291"/>
      <c r="S5164" s="364"/>
      <c r="Z5164" s="609" t="s">
        <v>1995</v>
      </c>
      <c r="AA5164" s="609"/>
    </row>
    <row r="5165" spans="1:27" ht="24">
      <c r="A5165" s="2712"/>
      <c r="B5165" s="371">
        <v>101.004</v>
      </c>
      <c r="C5165" s="371"/>
      <c r="D5165" s="2714">
        <f t="shared" si="561"/>
        <v>1</v>
      </c>
      <c r="E5165" s="2719" t="s">
        <v>4411</v>
      </c>
      <c r="F5165" s="294"/>
      <c r="G5165" s="380" t="s">
        <v>4415</v>
      </c>
      <c r="H5165" s="383"/>
      <c r="I5165" s="401"/>
      <c r="J5165" s="291"/>
      <c r="K5165" s="291"/>
      <c r="L5165" s="291"/>
      <c r="M5165" s="291"/>
      <c r="S5165" s="364"/>
      <c r="Z5165" s="609" t="s">
        <v>1995</v>
      </c>
      <c r="AA5165" s="609"/>
    </row>
    <row r="5166" spans="1:27" ht="18">
      <c r="A5166" s="2712"/>
      <c r="B5166" s="371">
        <v>101.005</v>
      </c>
      <c r="C5166" s="371"/>
      <c r="D5166" s="2714">
        <f t="shared" si="561"/>
        <v>1</v>
      </c>
      <c r="E5166" s="2719" t="s">
        <v>4411</v>
      </c>
      <c r="F5166" s="294"/>
      <c r="G5166" s="380" t="s">
        <v>4416</v>
      </c>
      <c r="H5166" s="383"/>
      <c r="I5166" s="401"/>
      <c r="J5166" s="291"/>
      <c r="K5166" s="291"/>
      <c r="L5166" s="291"/>
      <c r="M5166" s="291"/>
      <c r="S5166" s="364"/>
      <c r="Z5166" s="609" t="s">
        <v>1995</v>
      </c>
      <c r="AA5166" s="609"/>
    </row>
    <row r="5167" spans="1:27" ht="18">
      <c r="A5167" s="2712"/>
      <c r="B5167" s="371">
        <v>101.006</v>
      </c>
      <c r="C5167" s="371"/>
      <c r="D5167" s="2714">
        <f t="shared" si="561"/>
        <v>1</v>
      </c>
      <c r="E5167" s="2719" t="s">
        <v>4411</v>
      </c>
      <c r="F5167" s="294"/>
      <c r="G5167" s="380" t="s">
        <v>4417</v>
      </c>
      <c r="H5167" s="383"/>
      <c r="I5167" s="401"/>
      <c r="J5167" s="291"/>
      <c r="K5167" s="291"/>
      <c r="L5167" s="291"/>
      <c r="M5167" s="291"/>
      <c r="S5167" s="364"/>
      <c r="Z5167" s="609" t="s">
        <v>1995</v>
      </c>
      <c r="AA5167" s="609"/>
    </row>
    <row r="5168" spans="1:27" ht="18">
      <c r="A5168" s="2712"/>
      <c r="B5168" s="371">
        <v>102</v>
      </c>
      <c r="C5168" s="371"/>
      <c r="D5168" s="2714">
        <f t="shared" si="561"/>
        <v>1</v>
      </c>
      <c r="E5168" s="2719">
        <v>0</v>
      </c>
      <c r="F5168" s="294"/>
      <c r="G5168" s="380" t="s">
        <v>4418</v>
      </c>
      <c r="H5168" s="383"/>
      <c r="I5168" s="401"/>
      <c r="J5168" s="291"/>
      <c r="K5168" s="291"/>
      <c r="L5168" s="291"/>
      <c r="M5168" s="291"/>
      <c r="S5168" s="364"/>
      <c r="Z5168" s="609" t="s">
        <v>1995</v>
      </c>
      <c r="AA5168" s="609"/>
    </row>
    <row r="5169" spans="1:27" ht="24">
      <c r="A5169" s="2712"/>
      <c r="B5169" s="371">
        <v>103</v>
      </c>
      <c r="C5169" s="371"/>
      <c r="D5169" s="2714">
        <f t="shared" si="561"/>
        <v>1</v>
      </c>
      <c r="E5169" s="2719">
        <v>0</v>
      </c>
      <c r="F5169" s="294"/>
      <c r="G5169" s="380" t="s">
        <v>4419</v>
      </c>
      <c r="H5169" s="383"/>
      <c r="I5169" s="401"/>
      <c r="J5169" s="291"/>
      <c r="K5169" s="291"/>
      <c r="L5169" s="291"/>
      <c r="M5169" s="291"/>
      <c r="S5169" s="364"/>
      <c r="Z5169" s="609" t="s">
        <v>1995</v>
      </c>
      <c r="AA5169" s="609"/>
    </row>
    <row r="5170" spans="1:27" ht="24">
      <c r="A5170" s="2712"/>
      <c r="B5170" s="371">
        <v>104</v>
      </c>
      <c r="C5170" s="371"/>
      <c r="D5170" s="2714">
        <f t="shared" si="561"/>
        <v>1</v>
      </c>
      <c r="E5170" s="2719">
        <v>0</v>
      </c>
      <c r="F5170" s="294"/>
      <c r="G5170" s="380" t="s">
        <v>4420</v>
      </c>
      <c r="H5170" s="561">
        <f ca="1">H5161+H5168</f>
        <v>0</v>
      </c>
      <c r="I5170" s="562">
        <f ca="1">I5161+I5168</f>
        <v>0</v>
      </c>
      <c r="J5170" s="291"/>
      <c r="K5170" s="291"/>
      <c r="L5170" s="291"/>
      <c r="M5170" s="291"/>
      <c r="S5170" s="364"/>
      <c r="Z5170" s="609" t="s">
        <v>1995</v>
      </c>
      <c r="AA5170" s="609"/>
    </row>
    <row r="5171" spans="1:27" ht="36">
      <c r="A5171" s="2712"/>
      <c r="B5171" s="371">
        <v>105</v>
      </c>
      <c r="C5171" s="371"/>
      <c r="D5171" s="2714">
        <f t="shared" si="561"/>
        <v>1</v>
      </c>
      <c r="E5171" s="2719">
        <v>0</v>
      </c>
      <c r="F5171" s="294"/>
      <c r="G5171" s="620" t="s">
        <v>4421</v>
      </c>
      <c r="H5171" s="621"/>
      <c r="I5171" s="622"/>
      <c r="J5171" s="291"/>
      <c r="K5171" s="291"/>
      <c r="L5171" s="291"/>
      <c r="M5171" s="291"/>
      <c r="S5171" s="364"/>
      <c r="Z5171" s="609" t="s">
        <v>1995</v>
      </c>
      <c r="AA5171" s="609"/>
    </row>
    <row r="5172" spans="1:27" ht="18.75" thickBot="1">
      <c r="A5172" s="2712"/>
      <c r="B5172" s="371"/>
      <c r="C5172" s="371"/>
      <c r="D5172" s="2714">
        <f t="shared" si="561"/>
        <v>0</v>
      </c>
      <c r="E5172" s="2719" t="s">
        <v>3595</v>
      </c>
      <c r="F5172" s="294"/>
      <c r="G5172" s="2680"/>
      <c r="H5172" s="2681"/>
      <c r="I5172" s="2682"/>
      <c r="J5172" s="291"/>
      <c r="K5172" s="291"/>
      <c r="L5172" s="291"/>
      <c r="M5172" s="291"/>
      <c r="S5172" s="364"/>
      <c r="Z5172" s="609" t="s">
        <v>1995</v>
      </c>
      <c r="AA5172" s="609"/>
    </row>
    <row r="5173" spans="1:27" ht="18">
      <c r="A5173" s="2712"/>
      <c r="B5173" s="371"/>
      <c r="C5173" s="371" t="s">
        <v>2755</v>
      </c>
      <c r="D5173" s="371"/>
      <c r="F5173" s="294"/>
      <c r="G5173" s="301"/>
      <c r="H5173" s="349"/>
      <c r="I5173" s="349"/>
      <c r="J5173" s="291"/>
      <c r="K5173" s="291"/>
      <c r="L5173" s="291"/>
      <c r="M5173" s="291"/>
      <c r="S5173" s="364"/>
      <c r="Z5173" s="609" t="s">
        <v>1995</v>
      </c>
      <c r="AA5173" s="609"/>
    </row>
    <row r="5174" spans="1:27" ht="24">
      <c r="A5174" s="2712" t="s">
        <v>2006</v>
      </c>
      <c r="B5174" s="371">
        <v>7</v>
      </c>
      <c r="C5174" s="371"/>
      <c r="D5174" s="2714" t="str">
        <f>VLOOKUP($A5174,Sheet_NoteList,2,0)</f>
        <v>货币资金与现金及现金等价物的调节</v>
      </c>
      <c r="E5174" s="2714" t="s">
        <v>6529</v>
      </c>
      <c r="F5174" s="294"/>
      <c r="G5174" s="372" t="str">
        <f>"("&amp;B5174&amp;")"&amp;D5174</f>
        <v>(7)货币资金与现金及现金等价物的调节</v>
      </c>
      <c r="H5174" s="1515" t="str">
        <f>$A5174</f>
        <v>7500f</v>
      </c>
      <c r="I5174" s="343" t="s">
        <v>5972</v>
      </c>
      <c r="J5174" s="301"/>
      <c r="K5174" s="3083"/>
      <c r="L5174" s="315"/>
      <c r="M5174" s="301"/>
      <c r="N5174" s="3083"/>
      <c r="O5174" s="315"/>
      <c r="P5174" s="301"/>
      <c r="S5174" s="364"/>
      <c r="Z5174" s="609" t="s">
        <v>1995</v>
      </c>
      <c r="AA5174" s="609"/>
    </row>
    <row r="5175" spans="1:27" ht="0.75" customHeight="1" thickBot="1">
      <c r="A5175" s="2712"/>
      <c r="B5175" s="371"/>
      <c r="C5175" s="371"/>
      <c r="D5175" s="371"/>
      <c r="E5175" s="586"/>
      <c r="F5175" s="586"/>
      <c r="G5175" s="586" t="s">
        <v>4422</v>
      </c>
      <c r="H5175" s="371" t="s">
        <v>3472</v>
      </c>
      <c r="I5175" s="291"/>
      <c r="J5175" s="291"/>
      <c r="K5175" s="291"/>
      <c r="L5175" s="291"/>
      <c r="M5175" s="291"/>
      <c r="S5175" s="364"/>
      <c r="Z5175" s="609" t="s">
        <v>1995</v>
      </c>
      <c r="AA5175" s="609"/>
    </row>
    <row r="5176" spans="1:27" ht="18">
      <c r="A5176" s="2712"/>
      <c r="B5176" s="371"/>
      <c r="C5176" s="371"/>
      <c r="D5176" s="371"/>
      <c r="E5176" s="586" t="s">
        <v>2749</v>
      </c>
      <c r="F5176" s="363"/>
      <c r="G5176" s="2456" t="s">
        <v>47</v>
      </c>
      <c r="H5176" s="2458" t="s">
        <v>2887</v>
      </c>
      <c r="I5176" s="343" t="s">
        <v>4423</v>
      </c>
      <c r="J5176" s="291"/>
      <c r="K5176" s="291"/>
      <c r="L5176" s="291"/>
      <c r="M5176" s="291"/>
      <c r="S5176" s="364"/>
      <c r="Z5176" s="609" t="s">
        <v>1995</v>
      </c>
      <c r="AA5176" s="609"/>
    </row>
    <row r="5177" spans="1:27" ht="18">
      <c r="A5177" s="2712"/>
      <c r="B5177" s="371">
        <v>101</v>
      </c>
      <c r="C5177" s="371"/>
      <c r="D5177" s="2714">
        <f t="shared" ref="D5177:D5182" si="562">IF(OR(G5177="*",G5177="",G5177=0),0,COUNTIF($G$5177:$G$5182,G5177))</f>
        <v>1</v>
      </c>
      <c r="E5177" s="2719">
        <v>1</v>
      </c>
      <c r="F5177" s="294"/>
      <c r="G5177" s="1472" t="s">
        <v>4424</v>
      </c>
      <c r="H5177" s="2294"/>
      <c r="I5177" s="579"/>
      <c r="J5177" s="291"/>
      <c r="K5177" s="291"/>
      <c r="L5177" s="291"/>
      <c r="M5177" s="291"/>
      <c r="S5177" s="364"/>
      <c r="Z5177" s="609" t="s">
        <v>1995</v>
      </c>
      <c r="AA5177" s="609"/>
    </row>
    <row r="5178" spans="1:27" ht="18">
      <c r="A5178" s="2712"/>
      <c r="B5178" s="371">
        <v>102</v>
      </c>
      <c r="C5178" s="371"/>
      <c r="D5178" s="2714">
        <f t="shared" si="562"/>
        <v>1</v>
      </c>
      <c r="E5178" s="2719">
        <v>-1</v>
      </c>
      <c r="F5178" s="294"/>
      <c r="G5178" s="1472" t="s">
        <v>4425</v>
      </c>
      <c r="H5178" s="2294"/>
      <c r="I5178" s="291"/>
      <c r="J5178" s="291"/>
      <c r="K5178" s="291"/>
      <c r="L5178" s="291"/>
      <c r="M5178" s="291"/>
      <c r="S5178" s="364"/>
      <c r="Z5178" s="609" t="s">
        <v>1995</v>
      </c>
      <c r="AA5178" s="609"/>
    </row>
    <row r="5179" spans="1:27" ht="18">
      <c r="A5179" s="2712"/>
      <c r="B5179" s="371">
        <v>103</v>
      </c>
      <c r="C5179" s="371" t="s">
        <v>2791</v>
      </c>
      <c r="D5179" s="2714">
        <f t="shared" si="562"/>
        <v>0</v>
      </c>
      <c r="E5179" s="2719">
        <v>-1</v>
      </c>
      <c r="F5179" s="294"/>
      <c r="G5179" s="2465" t="s">
        <v>2792</v>
      </c>
      <c r="H5179" s="2294"/>
      <c r="I5179" s="291"/>
      <c r="J5179" s="291"/>
      <c r="K5179" s="291"/>
      <c r="L5179" s="291"/>
      <c r="M5179" s="291"/>
      <c r="S5179" s="364"/>
      <c r="Z5179" s="609" t="s">
        <v>1995</v>
      </c>
      <c r="AA5179" s="609"/>
    </row>
    <row r="5180" spans="1:27" ht="24">
      <c r="A5180" s="2712"/>
      <c r="B5180" s="371">
        <v>104</v>
      </c>
      <c r="C5180" s="371"/>
      <c r="D5180" s="2714">
        <f t="shared" si="562"/>
        <v>1</v>
      </c>
      <c r="E5180" s="2719">
        <v>1</v>
      </c>
      <c r="F5180" s="294"/>
      <c r="G5180" s="1472" t="s">
        <v>4426</v>
      </c>
      <c r="H5180" s="2294"/>
      <c r="I5180" s="291"/>
      <c r="J5180" s="291"/>
      <c r="K5180" s="291"/>
      <c r="L5180" s="291"/>
      <c r="M5180" s="291"/>
      <c r="S5180" s="364"/>
      <c r="Z5180" s="609" t="s">
        <v>1995</v>
      </c>
      <c r="AA5180" s="609"/>
    </row>
    <row r="5181" spans="1:27" ht="18">
      <c r="A5181" s="2712"/>
      <c r="B5181" s="371">
        <v>105</v>
      </c>
      <c r="C5181" s="371" t="s">
        <v>2791</v>
      </c>
      <c r="D5181" s="2714">
        <f t="shared" si="562"/>
        <v>0</v>
      </c>
      <c r="E5181" s="2719">
        <v>1</v>
      </c>
      <c r="F5181" s="294"/>
      <c r="G5181" s="2465" t="s">
        <v>2792</v>
      </c>
      <c r="H5181" s="2294"/>
      <c r="I5181" s="291"/>
      <c r="J5181" s="291"/>
      <c r="K5181" s="291"/>
      <c r="L5181" s="291"/>
      <c r="M5181" s="291"/>
      <c r="S5181" s="364"/>
      <c r="Z5181" s="609" t="s">
        <v>1995</v>
      </c>
      <c r="AA5181" s="609"/>
    </row>
    <row r="5182" spans="1:27" ht="18.75" thickBot="1">
      <c r="A5182" s="2712"/>
      <c r="B5182" s="371"/>
      <c r="C5182" s="371"/>
      <c r="D5182" s="2714">
        <f t="shared" si="562"/>
        <v>1</v>
      </c>
      <c r="E5182" s="2719" t="s">
        <v>3032</v>
      </c>
      <c r="F5182" s="294"/>
      <c r="G5182" s="1527" t="s">
        <v>2272</v>
      </c>
      <c r="H5182" s="1526">
        <f>SUMPRODUCT($E5176:$E5181,H5176:H5181)</f>
        <v>0</v>
      </c>
      <c r="I5182" s="291"/>
      <c r="J5182" s="291"/>
      <c r="K5182" s="291"/>
      <c r="L5182" s="291"/>
      <c r="M5182" s="291"/>
      <c r="S5182" s="364"/>
      <c r="Z5182" s="609" t="s">
        <v>1995</v>
      </c>
      <c r="AA5182" s="609"/>
    </row>
    <row r="5183" spans="1:27" ht="18">
      <c r="A5183" s="2712"/>
      <c r="B5183" s="371"/>
      <c r="C5183" s="371" t="s">
        <v>2755</v>
      </c>
      <c r="D5183" s="371"/>
      <c r="F5183" s="294"/>
      <c r="G5183" s="301"/>
      <c r="H5183" s="315"/>
      <c r="I5183" s="291"/>
      <c r="J5183" s="291"/>
      <c r="K5183" s="291"/>
      <c r="L5183" s="291"/>
      <c r="M5183" s="291"/>
      <c r="S5183" s="364"/>
      <c r="Z5183" s="609" t="s">
        <v>1995</v>
      </c>
      <c r="AA5183" s="609"/>
    </row>
    <row r="5184" spans="1:27" ht="24">
      <c r="A5184" s="2712">
        <v>9314</v>
      </c>
      <c r="B5184" s="371">
        <v>80</v>
      </c>
      <c r="C5184" s="2714" t="str">
        <f>VLOOKUP($A5184,Sheet_Items,2,0)</f>
        <v>所有者权益变动表项目注释</v>
      </c>
      <c r="D5184" s="371"/>
      <c r="E5184" s="2714" t="s">
        <v>2739</v>
      </c>
      <c r="F5184" s="294"/>
      <c r="G5184" s="305" t="str">
        <f>B5184&amp;" "&amp;C5184</f>
        <v>80 所有者权益变动表项目注释</v>
      </c>
      <c r="H5184" s="306"/>
      <c r="I5184" s="306"/>
      <c r="J5184" s="306"/>
      <c r="K5184" s="539"/>
      <c r="L5184" s="342"/>
      <c r="M5184" s="306"/>
      <c r="N5184" s="539"/>
      <c r="O5184" s="306"/>
      <c r="P5184" s="301"/>
      <c r="S5184" s="364"/>
      <c r="Z5184" s="609" t="s">
        <v>2101</v>
      </c>
      <c r="AA5184" s="609"/>
    </row>
    <row r="5185" spans="1:27" ht="24">
      <c r="A5185" s="2712" t="s">
        <v>2100</v>
      </c>
      <c r="B5185" s="371">
        <v>1</v>
      </c>
      <c r="C5185" s="371"/>
      <c r="D5185" s="2714" t="str">
        <f>VLOOKUP($A5185,Sheet_NoteList,2,0)</f>
        <v>所有者权益变动表项目注释</v>
      </c>
      <c r="E5185" s="2714" t="s">
        <v>2742</v>
      </c>
      <c r="F5185" s="294"/>
      <c r="G5185" s="372" t="str">
        <f>"("&amp;B5185&amp;")"&amp;D5185</f>
        <v>(1)所有者权益变动表项目注释</v>
      </c>
      <c r="H5185" s="1515" t="str">
        <f>$A5185</f>
        <v>9314a</v>
      </c>
      <c r="I5185" s="343" t="s">
        <v>2743</v>
      </c>
      <c r="J5185" s="301"/>
      <c r="K5185" s="3083"/>
      <c r="L5185" s="315"/>
      <c r="M5185" s="301"/>
      <c r="N5185" s="3083"/>
      <c r="O5185" s="315"/>
      <c r="P5185" s="301"/>
      <c r="S5185" s="364"/>
      <c r="Z5185" s="609" t="s">
        <v>2101</v>
      </c>
      <c r="AA5185" s="609"/>
    </row>
    <row r="5186" spans="1:27" ht="0.75" customHeight="1" thickBot="1">
      <c r="A5186" s="2712"/>
      <c r="B5186" s="371"/>
      <c r="C5186" s="371"/>
      <c r="D5186" s="371"/>
      <c r="E5186" s="586"/>
      <c r="F5186" s="518"/>
      <c r="G5186" s="518" t="s">
        <v>4427</v>
      </c>
      <c r="H5186" s="304" t="s">
        <v>2849</v>
      </c>
      <c r="I5186" s="304" t="s">
        <v>3235</v>
      </c>
      <c r="M5186" s="291"/>
      <c r="N5186" s="291"/>
      <c r="O5186" s="291"/>
      <c r="P5186" s="291"/>
      <c r="S5186" s="364"/>
      <c r="Z5186" s="609" t="s">
        <v>2101</v>
      </c>
      <c r="AA5186" s="609"/>
    </row>
    <row r="5187" spans="1:27" ht="18">
      <c r="A5187" s="2712"/>
      <c r="B5187" s="371"/>
      <c r="C5187" s="371"/>
      <c r="D5187" s="371"/>
      <c r="E5187" s="586" t="s">
        <v>2749</v>
      </c>
      <c r="F5187" s="363"/>
      <c r="G5187" s="2568" t="s">
        <v>47</v>
      </c>
      <c r="H5187" s="2564" t="s">
        <v>2887</v>
      </c>
      <c r="I5187" s="2563" t="s">
        <v>2758</v>
      </c>
      <c r="J5187" s="355" t="s">
        <v>5342</v>
      </c>
      <c r="M5187" s="291"/>
      <c r="N5187" s="291"/>
      <c r="O5187" s="291"/>
      <c r="P5187" s="291"/>
      <c r="S5187" s="364"/>
      <c r="Z5187" s="609" t="s">
        <v>2101</v>
      </c>
      <c r="AA5187" s="609"/>
    </row>
    <row r="5188" spans="1:27" ht="24">
      <c r="A5188" s="2712"/>
      <c r="B5188" s="371">
        <v>101</v>
      </c>
      <c r="C5188" s="371" t="s">
        <v>2791</v>
      </c>
      <c r="D5188" s="2714">
        <f t="shared" ref="D5188:D5193" si="563">IF(OR(G5188="*",G5188="",G5188=0),0,COUNTIF($G$5188:$G$5193,G5188))</f>
        <v>1</v>
      </c>
      <c r="E5188" s="2719">
        <v>1</v>
      </c>
      <c r="F5188" s="294"/>
      <c r="G5188" s="2566" t="s">
        <v>4428</v>
      </c>
      <c r="H5188" s="2273"/>
      <c r="I5188" s="2274"/>
      <c r="J5188" s="355" t="s">
        <v>6139</v>
      </c>
      <c r="M5188" s="291"/>
      <c r="N5188" s="291"/>
      <c r="O5188" s="291"/>
      <c r="P5188" s="291"/>
      <c r="S5188" s="364"/>
      <c r="Z5188" s="609" t="s">
        <v>2101</v>
      </c>
      <c r="AA5188" s="609"/>
    </row>
    <row r="5189" spans="1:27" ht="18">
      <c r="A5189" s="2712"/>
      <c r="B5189" s="371">
        <v>102</v>
      </c>
      <c r="C5189" s="371" t="s">
        <v>2791</v>
      </c>
      <c r="D5189" s="2714">
        <f t="shared" si="563"/>
        <v>0</v>
      </c>
      <c r="E5189" s="2719">
        <v>1</v>
      </c>
      <c r="F5189" s="294"/>
      <c r="G5189" s="2566" t="s">
        <v>2792</v>
      </c>
      <c r="H5189" s="2273"/>
      <c r="I5189" s="2274"/>
      <c r="M5189" s="291"/>
      <c r="N5189" s="291"/>
      <c r="O5189" s="291"/>
      <c r="P5189" s="291"/>
      <c r="S5189" s="364"/>
      <c r="Z5189" s="609" t="s">
        <v>2101</v>
      </c>
      <c r="AA5189" s="609"/>
    </row>
    <row r="5190" spans="1:27" ht="18">
      <c r="A5190" s="2712"/>
      <c r="B5190" s="371">
        <v>103</v>
      </c>
      <c r="C5190" s="371" t="s">
        <v>2791</v>
      </c>
      <c r="D5190" s="2714">
        <f t="shared" si="563"/>
        <v>0</v>
      </c>
      <c r="E5190" s="2719">
        <v>1</v>
      </c>
      <c r="F5190" s="294"/>
      <c r="G5190" s="2566" t="s">
        <v>2792</v>
      </c>
      <c r="H5190" s="2273"/>
      <c r="I5190" s="2274"/>
      <c r="M5190" s="291"/>
      <c r="N5190" s="291"/>
      <c r="O5190" s="291"/>
      <c r="P5190" s="291"/>
      <c r="S5190" s="364"/>
      <c r="Z5190" s="609" t="s">
        <v>2101</v>
      </c>
      <c r="AA5190" s="609"/>
    </row>
    <row r="5191" spans="1:27" ht="18">
      <c r="A5191" s="2712"/>
      <c r="B5191" s="371">
        <v>104</v>
      </c>
      <c r="C5191" s="371" t="s">
        <v>2791</v>
      </c>
      <c r="D5191" s="2714">
        <f t="shared" si="563"/>
        <v>0</v>
      </c>
      <c r="E5191" s="2719">
        <v>1</v>
      </c>
      <c r="F5191" s="294"/>
      <c r="G5191" s="2566" t="s">
        <v>2792</v>
      </c>
      <c r="H5191" s="2273"/>
      <c r="I5191" s="2274"/>
      <c r="M5191" s="291"/>
      <c r="N5191" s="291"/>
      <c r="O5191" s="291"/>
      <c r="P5191" s="291"/>
      <c r="S5191" s="364"/>
      <c r="Z5191" s="609" t="s">
        <v>2101</v>
      </c>
      <c r="AA5191" s="609"/>
    </row>
    <row r="5192" spans="1:27" ht="18">
      <c r="A5192" s="2712"/>
      <c r="B5192" s="371">
        <v>105</v>
      </c>
      <c r="C5192" s="371" t="s">
        <v>2791</v>
      </c>
      <c r="D5192" s="2714">
        <f t="shared" si="563"/>
        <v>0</v>
      </c>
      <c r="E5192" s="2719">
        <v>1</v>
      </c>
      <c r="F5192" s="294"/>
      <c r="G5192" s="2566" t="s">
        <v>2792</v>
      </c>
      <c r="H5192" s="2273"/>
      <c r="I5192" s="2274"/>
      <c r="M5192" s="291"/>
      <c r="N5192" s="291"/>
      <c r="O5192" s="291"/>
      <c r="P5192" s="291"/>
      <c r="S5192" s="364"/>
      <c r="Z5192" s="609" t="s">
        <v>2101</v>
      </c>
      <c r="AA5192" s="609"/>
    </row>
    <row r="5193" spans="1:27" ht="18.75" thickBot="1">
      <c r="A5193" s="2712"/>
      <c r="B5193" s="371"/>
      <c r="C5193" s="371"/>
      <c r="D5193" s="2714">
        <f t="shared" si="563"/>
        <v>1</v>
      </c>
      <c r="E5193" s="2719" t="s">
        <v>3032</v>
      </c>
      <c r="F5193" s="294"/>
      <c r="G5193" s="1527" t="s">
        <v>2752</v>
      </c>
      <c r="H5193" s="1525">
        <f>SUMPRODUCT($E5187:$E5192,H5187:H5192)</f>
        <v>0</v>
      </c>
      <c r="I5193" s="2264"/>
      <c r="M5193" s="291"/>
      <c r="N5193" s="291"/>
      <c r="O5193" s="291"/>
      <c r="P5193" s="291"/>
      <c r="S5193" s="364"/>
      <c r="Z5193" s="609" t="s">
        <v>2101</v>
      </c>
      <c r="AA5193" s="609"/>
    </row>
    <row r="5194" spans="1:27" ht="18">
      <c r="A5194" s="2712"/>
      <c r="B5194" s="371"/>
      <c r="C5194" s="371" t="s">
        <v>2755</v>
      </c>
      <c r="D5194" s="371"/>
      <c r="F5194" s="294"/>
      <c r="G5194" s="301"/>
      <c r="H5194" s="315"/>
      <c r="I5194" s="393"/>
      <c r="J5194" s="349"/>
      <c r="K5194" s="349"/>
      <c r="L5194" s="350"/>
      <c r="M5194" s="291"/>
      <c r="N5194" s="291"/>
      <c r="O5194" s="291"/>
      <c r="P5194" s="291"/>
      <c r="S5194" s="364"/>
      <c r="Z5194" s="609" t="s">
        <v>2101</v>
      </c>
      <c r="AA5194" s="609"/>
    </row>
    <row r="5195" spans="1:27" ht="24">
      <c r="A5195" s="2712">
        <v>1997</v>
      </c>
      <c r="B5195" s="371">
        <v>81</v>
      </c>
      <c r="C5195" s="2714" t="str">
        <f>VLOOKUP($A5195,Sheet_Items,2,0)</f>
        <v>所有权或使用权受到限制的资产</v>
      </c>
      <c r="D5195" s="371"/>
      <c r="E5195" s="2714" t="s">
        <v>2739</v>
      </c>
      <c r="F5195" s="294"/>
      <c r="G5195" s="305" t="str">
        <f>B5195&amp;" "&amp;C5195</f>
        <v>81 所有权或使用权受到限制的资产</v>
      </c>
      <c r="H5195" s="306"/>
      <c r="I5195" s="306"/>
      <c r="J5195" s="306"/>
      <c r="K5195" s="539"/>
      <c r="L5195" s="342"/>
      <c r="M5195" s="306"/>
      <c r="N5195" s="539"/>
      <c r="O5195" s="306"/>
      <c r="P5195" s="301"/>
      <c r="S5195" s="364"/>
      <c r="Z5195" s="609" t="s">
        <v>4429</v>
      </c>
      <c r="AA5195" s="609"/>
    </row>
    <row r="5196" spans="1:27" ht="24">
      <c r="A5196" s="2712" t="s">
        <v>1351</v>
      </c>
      <c r="B5196" s="371">
        <v>1</v>
      </c>
      <c r="C5196" s="371"/>
      <c r="D5196" s="2714" t="str">
        <f>VLOOKUP($A5196,Sheet_NoteList,2,0)</f>
        <v>所有权或使用权受到限制的资产明细项目</v>
      </c>
      <c r="E5196" s="2714" t="s">
        <v>2742</v>
      </c>
      <c r="F5196" s="294"/>
      <c r="G5196" s="372" t="str">
        <f>"("&amp;B5196&amp;")"&amp;D5196</f>
        <v>(1)所有权或使用权受到限制的资产明细项目</v>
      </c>
      <c r="H5196" s="1515" t="str">
        <f>$A5196</f>
        <v>1997a</v>
      </c>
      <c r="I5196" s="343" t="s">
        <v>2743</v>
      </c>
      <c r="J5196" s="301"/>
      <c r="K5196" s="3083"/>
      <c r="L5196" s="315"/>
      <c r="M5196" s="301"/>
      <c r="N5196" s="3083"/>
      <c r="O5196" s="315"/>
      <c r="P5196" s="301"/>
      <c r="S5196" s="364"/>
      <c r="Z5196" s="609" t="s">
        <v>4429</v>
      </c>
      <c r="AA5196" s="609"/>
    </row>
    <row r="5197" spans="1:27" ht="0.75" customHeight="1" thickBot="1">
      <c r="A5197" s="2712"/>
      <c r="B5197" s="371"/>
      <c r="C5197" s="371"/>
      <c r="D5197" s="371"/>
      <c r="E5197" s="586"/>
      <c r="F5197" s="518"/>
      <c r="G5197" s="518" t="s">
        <v>4430</v>
      </c>
      <c r="H5197" s="304" t="s">
        <v>2849</v>
      </c>
      <c r="I5197" s="304" t="s">
        <v>4431</v>
      </c>
      <c r="M5197" s="291"/>
      <c r="N5197" s="291"/>
      <c r="O5197" s="291"/>
      <c r="P5197" s="291"/>
      <c r="S5197" s="364"/>
      <c r="Z5197" s="609" t="s">
        <v>4429</v>
      </c>
      <c r="AA5197" s="609"/>
    </row>
    <row r="5198" spans="1:27" ht="24">
      <c r="A5198" s="2712"/>
      <c r="B5198" s="371"/>
      <c r="C5198" s="371"/>
      <c r="D5198" s="371"/>
      <c r="E5198" s="586" t="s">
        <v>2749</v>
      </c>
      <c r="F5198" s="363"/>
      <c r="G5198" s="2455" t="s">
        <v>47</v>
      </c>
      <c r="H5198" s="2462" t="str">
        <f>$W$2&amp;"账面价值"</f>
        <v>2019年12月31日账面价值</v>
      </c>
      <c r="I5198" s="2467" t="s">
        <v>4432</v>
      </c>
      <c r="J5198" s="355" t="s">
        <v>5343</v>
      </c>
      <c r="M5198" s="291"/>
      <c r="N5198" s="291"/>
      <c r="O5198" s="291"/>
      <c r="P5198" s="291"/>
      <c r="S5198" s="364"/>
      <c r="Z5198" s="609" t="s">
        <v>4429</v>
      </c>
      <c r="AA5198" s="609"/>
    </row>
    <row r="5199" spans="1:27" ht="18">
      <c r="A5199" s="2712"/>
      <c r="B5199" s="371">
        <v>101</v>
      </c>
      <c r="C5199" s="371"/>
      <c r="D5199" s="2714">
        <f t="shared" ref="D5199:D5207" si="564">IF(OR(G5199="*",G5199="",G5199=0),0,COUNTIF($G$5199:$G$5207,G5199))</f>
        <v>1</v>
      </c>
      <c r="E5199" s="2719">
        <v>1</v>
      </c>
      <c r="F5199" s="294"/>
      <c r="G5199" s="1472" t="s">
        <v>10</v>
      </c>
      <c r="H5199" s="2273"/>
      <c r="I5199" s="2274"/>
      <c r="M5199" s="291"/>
      <c r="N5199" s="291"/>
      <c r="O5199" s="291"/>
      <c r="P5199" s="291"/>
      <c r="S5199" s="364"/>
      <c r="Z5199" s="609" t="s">
        <v>4429</v>
      </c>
      <c r="AA5199" s="609"/>
    </row>
    <row r="5200" spans="1:27" ht="18">
      <c r="A5200" s="2712"/>
      <c r="B5200" s="371">
        <v>102</v>
      </c>
      <c r="C5200" s="371"/>
      <c r="D5200" s="2714">
        <f t="shared" si="564"/>
        <v>1</v>
      </c>
      <c r="E5200" s="2719">
        <v>1</v>
      </c>
      <c r="F5200" s="294"/>
      <c r="G5200" s="1472" t="s">
        <v>109</v>
      </c>
      <c r="H5200" s="2273"/>
      <c r="I5200" s="2274"/>
      <c r="M5200" s="291"/>
      <c r="N5200" s="291"/>
      <c r="O5200" s="291"/>
      <c r="P5200" s="291"/>
      <c r="S5200" s="364"/>
      <c r="Z5200" s="609" t="s">
        <v>4429</v>
      </c>
      <c r="AA5200" s="609"/>
    </row>
    <row r="5201" spans="1:27" ht="18">
      <c r="A5201" s="2712"/>
      <c r="B5201" s="371">
        <v>103</v>
      </c>
      <c r="C5201" s="371"/>
      <c r="D5201" s="2714">
        <f t="shared" si="564"/>
        <v>1</v>
      </c>
      <c r="E5201" s="2719">
        <v>1</v>
      </c>
      <c r="F5201" s="294"/>
      <c r="G5201" s="1472" t="s">
        <v>229</v>
      </c>
      <c r="H5201" s="2273"/>
      <c r="I5201" s="2274"/>
      <c r="M5201" s="291"/>
      <c r="N5201" s="291"/>
      <c r="O5201" s="291"/>
      <c r="P5201" s="291"/>
      <c r="S5201" s="364"/>
      <c r="Z5201" s="609" t="s">
        <v>4429</v>
      </c>
      <c r="AA5201" s="609"/>
    </row>
    <row r="5202" spans="1:27" ht="18">
      <c r="A5202" s="2712"/>
      <c r="B5202" s="371">
        <v>104</v>
      </c>
      <c r="C5202" s="371"/>
      <c r="D5202" s="2714">
        <f t="shared" si="564"/>
        <v>1</v>
      </c>
      <c r="E5202" s="2719">
        <v>1</v>
      </c>
      <c r="F5202" s="294"/>
      <c r="G5202" s="1472" t="s">
        <v>337</v>
      </c>
      <c r="H5202" s="2273"/>
      <c r="I5202" s="2274"/>
      <c r="M5202" s="291"/>
      <c r="N5202" s="291"/>
      <c r="O5202" s="291"/>
      <c r="P5202" s="291"/>
      <c r="S5202" s="364"/>
      <c r="Z5202" s="609" t="s">
        <v>4429</v>
      </c>
      <c r="AA5202" s="609"/>
    </row>
    <row r="5203" spans="1:27" ht="18">
      <c r="A5203" s="2712"/>
      <c r="B5203" s="371">
        <v>105</v>
      </c>
      <c r="C5203" s="371"/>
      <c r="D5203" s="2714">
        <f t="shared" si="564"/>
        <v>1</v>
      </c>
      <c r="E5203" s="2719">
        <v>1</v>
      </c>
      <c r="F5203" s="294"/>
      <c r="G5203" s="1472" t="s">
        <v>396</v>
      </c>
      <c r="H5203" s="2273"/>
      <c r="I5203" s="2274"/>
      <c r="M5203" s="291"/>
      <c r="N5203" s="291"/>
      <c r="O5203" s="291"/>
      <c r="P5203" s="291"/>
      <c r="S5203" s="364"/>
      <c r="Z5203" s="609" t="s">
        <v>4429</v>
      </c>
      <c r="AA5203" s="609"/>
    </row>
    <row r="5204" spans="1:27" ht="18">
      <c r="A5204" s="2712"/>
      <c r="B5204" s="371">
        <v>106</v>
      </c>
      <c r="C5204" s="371" t="s">
        <v>2791</v>
      </c>
      <c r="D5204" s="2714">
        <f t="shared" si="564"/>
        <v>0</v>
      </c>
      <c r="E5204" s="2719">
        <v>1</v>
      </c>
      <c r="F5204" s="294"/>
      <c r="G5204" s="2465" t="s">
        <v>2792</v>
      </c>
      <c r="H5204" s="2273"/>
      <c r="I5204" s="2274"/>
      <c r="M5204" s="291"/>
      <c r="N5204" s="291"/>
      <c r="O5204" s="291"/>
      <c r="P5204" s="291"/>
      <c r="S5204" s="364"/>
      <c r="Z5204" s="609" t="s">
        <v>4429</v>
      </c>
      <c r="AA5204" s="609"/>
    </row>
    <row r="5205" spans="1:27" ht="18">
      <c r="A5205" s="2712"/>
      <c r="B5205" s="371">
        <v>107</v>
      </c>
      <c r="C5205" s="371" t="s">
        <v>2791</v>
      </c>
      <c r="D5205" s="2714">
        <f t="shared" si="564"/>
        <v>0</v>
      </c>
      <c r="E5205" s="2719">
        <v>1</v>
      </c>
      <c r="F5205" s="294"/>
      <c r="G5205" s="2465" t="s">
        <v>2792</v>
      </c>
      <c r="H5205" s="2273"/>
      <c r="I5205" s="2274"/>
      <c r="M5205" s="291"/>
      <c r="N5205" s="291"/>
      <c r="O5205" s="291"/>
      <c r="P5205" s="291"/>
      <c r="S5205" s="364"/>
      <c r="Z5205" s="609" t="s">
        <v>4429</v>
      </c>
      <c r="AA5205" s="609"/>
    </row>
    <row r="5206" spans="1:27" ht="18">
      <c r="A5206" s="2712"/>
      <c r="B5206" s="371">
        <v>108</v>
      </c>
      <c r="C5206" s="371" t="s">
        <v>2791</v>
      </c>
      <c r="D5206" s="2714">
        <f t="shared" si="564"/>
        <v>0</v>
      </c>
      <c r="E5206" s="2719">
        <v>1</v>
      </c>
      <c r="F5206" s="294"/>
      <c r="G5206" s="2465" t="s">
        <v>2792</v>
      </c>
      <c r="H5206" s="2273"/>
      <c r="I5206" s="2274"/>
      <c r="M5206" s="291"/>
      <c r="N5206" s="291"/>
      <c r="O5206" s="291"/>
      <c r="P5206" s="291"/>
      <c r="S5206" s="364"/>
      <c r="Z5206" s="609" t="s">
        <v>4429</v>
      </c>
      <c r="AA5206" s="609"/>
    </row>
    <row r="5207" spans="1:27" ht="18.75" thickBot="1">
      <c r="A5207" s="2712"/>
      <c r="B5207" s="371"/>
      <c r="C5207" s="371"/>
      <c r="D5207" s="2714">
        <f t="shared" si="564"/>
        <v>1</v>
      </c>
      <c r="E5207" s="2719" t="s">
        <v>3032</v>
      </c>
      <c r="F5207" s="294"/>
      <c r="G5207" s="374" t="s">
        <v>2752</v>
      </c>
      <c r="H5207" s="1476">
        <f>SUMPRODUCT($E5198:$E5206,H5198:H5206)</f>
        <v>0</v>
      </c>
      <c r="I5207" s="2258"/>
      <c r="M5207" s="291"/>
      <c r="N5207" s="291"/>
      <c r="O5207" s="291"/>
      <c r="P5207" s="291"/>
      <c r="S5207" s="364"/>
      <c r="Z5207" s="609" t="s">
        <v>4429</v>
      </c>
      <c r="AA5207" s="609"/>
    </row>
    <row r="5208" spans="1:27" ht="18">
      <c r="A5208" s="2712"/>
      <c r="B5208" s="371"/>
      <c r="C5208" s="371" t="s">
        <v>2755</v>
      </c>
      <c r="D5208" s="371"/>
      <c r="F5208" s="294"/>
      <c r="G5208" s="301"/>
      <c r="H5208" s="315"/>
      <c r="I5208" s="393"/>
      <c r="J5208" s="349"/>
      <c r="K5208" s="349"/>
      <c r="L5208" s="350"/>
      <c r="M5208" s="291"/>
      <c r="N5208" s="291"/>
      <c r="O5208" s="291"/>
      <c r="P5208" s="291"/>
      <c r="S5208" s="364"/>
      <c r="Z5208" s="609" t="s">
        <v>4429</v>
      </c>
      <c r="AA5208" s="609"/>
    </row>
    <row r="5209" spans="1:27" ht="18">
      <c r="A5209" s="2712">
        <v>1704</v>
      </c>
      <c r="B5209" s="371">
        <v>82</v>
      </c>
      <c r="C5209" s="2714" t="str">
        <f>VLOOKUP($A5209,Sheet_Items,2,0)</f>
        <v>外币货币性项目</v>
      </c>
      <c r="D5209" s="371"/>
      <c r="E5209" s="2714" t="s">
        <v>2739</v>
      </c>
      <c r="F5209" s="294"/>
      <c r="G5209" s="305" t="str">
        <f>B5209&amp;" "&amp;C5209</f>
        <v>82 外币货币性项目</v>
      </c>
      <c r="H5209" s="306"/>
      <c r="I5209" s="306"/>
      <c r="J5209" s="306"/>
      <c r="K5209" s="539"/>
      <c r="L5209" s="342"/>
      <c r="M5209" s="306"/>
      <c r="N5209" s="539"/>
      <c r="O5209" s="306"/>
      <c r="P5209" s="301"/>
      <c r="S5209" s="364"/>
      <c r="Z5209" s="609" t="s">
        <v>4433</v>
      </c>
      <c r="AA5209" s="609"/>
    </row>
    <row r="5210" spans="1:27" ht="18">
      <c r="A5210" s="2712" t="s">
        <v>1347</v>
      </c>
      <c r="B5210" s="371">
        <v>1</v>
      </c>
      <c r="C5210" s="371"/>
      <c r="D5210" s="2714" t="str">
        <f>VLOOKUP($A5210,Sheet_NoteList,2,0)</f>
        <v>外币货币性项目明细</v>
      </c>
      <c r="E5210" s="2714" t="s">
        <v>2742</v>
      </c>
      <c r="F5210" s="294"/>
      <c r="G5210" s="307" t="str">
        <f>"("&amp;B5210&amp;")"&amp;D5210</f>
        <v>(1)外币货币性项目明细</v>
      </c>
      <c r="H5210" s="1515" t="str">
        <f>$A5210</f>
        <v>1704a</v>
      </c>
      <c r="I5210" s="343" t="s">
        <v>2743</v>
      </c>
      <c r="J5210" s="301"/>
      <c r="K5210" s="3083"/>
      <c r="L5210" s="315"/>
      <c r="M5210" s="301"/>
      <c r="N5210" s="3083"/>
      <c r="O5210" s="315"/>
      <c r="P5210" s="301"/>
      <c r="S5210" s="364"/>
      <c r="Z5210" s="609" t="s">
        <v>4433</v>
      </c>
      <c r="AA5210" s="609"/>
    </row>
    <row r="5211" spans="1:27" ht="0.75" customHeight="1" thickBot="1">
      <c r="A5211" s="2712"/>
      <c r="B5211" s="371"/>
      <c r="C5211" s="371"/>
      <c r="D5211" s="371"/>
      <c r="F5211" s="371"/>
      <c r="G5211" s="371" t="s">
        <v>4434</v>
      </c>
      <c r="H5211" s="371" t="s">
        <v>3073</v>
      </c>
      <c r="I5211" s="371" t="s">
        <v>3074</v>
      </c>
      <c r="J5211" s="371" t="s">
        <v>3075</v>
      </c>
      <c r="M5211" s="291"/>
      <c r="N5211" s="291"/>
      <c r="O5211" s="291"/>
      <c r="P5211" s="291"/>
      <c r="S5211" s="364"/>
      <c r="Z5211" s="609" t="s">
        <v>4433</v>
      </c>
      <c r="AA5211" s="609"/>
    </row>
    <row r="5212" spans="1:27" ht="24">
      <c r="A5212" s="2712"/>
      <c r="B5212" s="371"/>
      <c r="C5212" s="371"/>
      <c r="D5212" s="371"/>
      <c r="E5212" s="2714" t="s">
        <v>2749</v>
      </c>
      <c r="F5212" s="294"/>
      <c r="G5212" s="2480" t="s">
        <v>47</v>
      </c>
      <c r="H5212" s="2481" t="str">
        <f>$W$2&amp;"外币余额"</f>
        <v>2019年12月31日外币余额</v>
      </c>
      <c r="I5212" s="2481" t="s">
        <v>3077</v>
      </c>
      <c r="J5212" s="2482" t="str">
        <f>$W$2&amp;"折算人民币余额"</f>
        <v>2019年12月31日折算人民币余额</v>
      </c>
      <c r="K5212" s="355" t="s">
        <v>5344</v>
      </c>
      <c r="M5212" s="291"/>
      <c r="N5212" s="291"/>
      <c r="O5212" s="291"/>
      <c r="P5212" s="291"/>
      <c r="S5212" s="364"/>
      <c r="Z5212" s="609" t="s">
        <v>4433</v>
      </c>
      <c r="AA5212" s="609"/>
    </row>
    <row r="5213" spans="1:27" ht="18">
      <c r="A5213" s="2712"/>
      <c r="B5213" s="371">
        <v>101</v>
      </c>
      <c r="C5213" s="371"/>
      <c r="D5213" s="2714">
        <f t="shared" ref="D5213:D5244" si="565">IF(OR(G5213="*",G5213="",G5213=0),0,COUNTIF($G$5213:$G$5274,G5213))</f>
        <v>1</v>
      </c>
      <c r="E5213" s="2719" t="s">
        <v>41</v>
      </c>
      <c r="F5213" s="294"/>
      <c r="G5213" s="308" t="s">
        <v>5259</v>
      </c>
      <c r="H5213" s="309"/>
      <c r="I5213" s="360"/>
      <c r="J5213" s="346"/>
      <c r="K5213" s="1585" t="s">
        <v>45</v>
      </c>
      <c r="M5213" s="291"/>
      <c r="N5213" s="291"/>
      <c r="O5213" s="291"/>
      <c r="P5213" s="291"/>
      <c r="S5213" s="364"/>
      <c r="Z5213" s="609" t="s">
        <v>4433</v>
      </c>
      <c r="AA5213" s="609"/>
    </row>
    <row r="5214" spans="1:27" ht="18">
      <c r="A5214" s="2712"/>
      <c r="B5214" s="371">
        <v>102</v>
      </c>
      <c r="C5214" s="371" t="s">
        <v>2791</v>
      </c>
      <c r="D5214" s="2714">
        <f t="shared" si="565"/>
        <v>1</v>
      </c>
      <c r="E5214" s="2719">
        <v>1</v>
      </c>
      <c r="F5214" s="294"/>
      <c r="G5214" s="1495" t="str">
        <f>"其中："&amp;G5213&amp;"（美元）"</f>
        <v>其中：货币资金（美元）</v>
      </c>
      <c r="H5214" s="309"/>
      <c r="I5214" s="360"/>
      <c r="J5214" s="346"/>
      <c r="M5214" s="291"/>
      <c r="N5214" s="291"/>
      <c r="O5214" s="291"/>
      <c r="P5214" s="291"/>
      <c r="S5214" s="364"/>
      <c r="Z5214" s="609" t="s">
        <v>4433</v>
      </c>
      <c r="AA5214" s="609"/>
    </row>
    <row r="5215" spans="1:27" ht="18">
      <c r="A5215" s="2712"/>
      <c r="B5215" s="371">
        <v>103</v>
      </c>
      <c r="C5215" s="371" t="s">
        <v>2791</v>
      </c>
      <c r="D5215" s="2714">
        <f t="shared" si="565"/>
        <v>1</v>
      </c>
      <c r="E5215" s="2719">
        <v>1</v>
      </c>
      <c r="F5215" s="294"/>
      <c r="G5215" s="1495" t="str">
        <f>G5213&amp;"（欧元）"</f>
        <v>货币资金（欧元）</v>
      </c>
      <c r="H5215" s="309"/>
      <c r="I5215" s="360"/>
      <c r="J5215" s="346"/>
      <c r="M5215" s="291"/>
      <c r="N5215" s="291"/>
      <c r="O5215" s="291"/>
      <c r="P5215" s="291"/>
      <c r="S5215" s="364"/>
      <c r="Z5215" s="609" t="s">
        <v>4433</v>
      </c>
      <c r="AA5215" s="609"/>
    </row>
    <row r="5216" spans="1:27" ht="18">
      <c r="A5216" s="2712"/>
      <c r="B5216" s="371">
        <v>104</v>
      </c>
      <c r="C5216" s="371" t="s">
        <v>2791</v>
      </c>
      <c r="D5216" s="2714">
        <f t="shared" si="565"/>
        <v>1</v>
      </c>
      <c r="E5216" s="2719">
        <v>1</v>
      </c>
      <c r="F5216" s="294"/>
      <c r="G5216" s="1495" t="str">
        <f>G5213&amp;"（港币）"</f>
        <v>货币资金（港币）</v>
      </c>
      <c r="H5216" s="309"/>
      <c r="I5216" s="360"/>
      <c r="J5216" s="346"/>
      <c r="M5216" s="291"/>
      <c r="N5216" s="291"/>
      <c r="O5216" s="291"/>
      <c r="P5216" s="291"/>
      <c r="S5216" s="364"/>
      <c r="Z5216" s="609" t="s">
        <v>4433</v>
      </c>
      <c r="AA5216" s="609"/>
    </row>
    <row r="5217" spans="1:27" ht="18">
      <c r="A5217" s="2712"/>
      <c r="B5217" s="371">
        <v>105</v>
      </c>
      <c r="C5217" s="371" t="s">
        <v>2791</v>
      </c>
      <c r="D5217" s="2714">
        <f t="shared" si="565"/>
        <v>0</v>
      </c>
      <c r="E5217" s="2719">
        <v>1</v>
      </c>
      <c r="F5217" s="294"/>
      <c r="G5217" s="1502" t="s">
        <v>2792</v>
      </c>
      <c r="H5217" s="309"/>
      <c r="I5217" s="360"/>
      <c r="J5217" s="346"/>
      <c r="M5217" s="291"/>
      <c r="N5217" s="291"/>
      <c r="O5217" s="291"/>
      <c r="P5217" s="291"/>
      <c r="S5217" s="364"/>
      <c r="Z5217" s="609" t="s">
        <v>4433</v>
      </c>
      <c r="AA5217" s="609"/>
    </row>
    <row r="5218" spans="1:27" ht="18">
      <c r="A5218" s="2712"/>
      <c r="B5218" s="371">
        <v>106</v>
      </c>
      <c r="C5218" s="371"/>
      <c r="D5218" s="2714">
        <f t="shared" si="565"/>
        <v>1</v>
      </c>
      <c r="E5218" s="2719" t="s">
        <v>41</v>
      </c>
      <c r="F5218" s="294"/>
      <c r="G5218" s="308" t="s">
        <v>5252</v>
      </c>
      <c r="H5218" s="309"/>
      <c r="I5218" s="360"/>
      <c r="J5218" s="346"/>
      <c r="K5218" s="1585" t="s">
        <v>5583</v>
      </c>
      <c r="M5218" s="291"/>
      <c r="N5218" s="291"/>
      <c r="O5218" s="291"/>
      <c r="P5218" s="291"/>
      <c r="S5218" s="364"/>
      <c r="Z5218" s="609" t="s">
        <v>4433</v>
      </c>
      <c r="AA5218" s="609"/>
    </row>
    <row r="5219" spans="1:27" ht="18">
      <c r="A5219" s="2712"/>
      <c r="B5219" s="371">
        <v>107</v>
      </c>
      <c r="C5219" s="371" t="s">
        <v>2791</v>
      </c>
      <c r="D5219" s="2714">
        <f t="shared" si="565"/>
        <v>1</v>
      </c>
      <c r="E5219" s="2719">
        <v>1</v>
      </c>
      <c r="F5219" s="294"/>
      <c r="G5219" s="1634" t="str">
        <f>"其中："&amp;G5218&amp;"（美元）"</f>
        <v>其中：应收票据（美元）</v>
      </c>
      <c r="H5219" s="309"/>
      <c r="I5219" s="360"/>
      <c r="J5219" s="346"/>
      <c r="M5219" s="291"/>
      <c r="N5219" s="291"/>
      <c r="O5219" s="291"/>
      <c r="P5219" s="291"/>
      <c r="S5219" s="364"/>
      <c r="Z5219" s="609" t="s">
        <v>4433</v>
      </c>
      <c r="AA5219" s="609"/>
    </row>
    <row r="5220" spans="1:27" ht="18">
      <c r="A5220" s="2712"/>
      <c r="B5220" s="371">
        <v>108</v>
      </c>
      <c r="C5220" s="371" t="s">
        <v>2791</v>
      </c>
      <c r="D5220" s="2714">
        <f t="shared" si="565"/>
        <v>1</v>
      </c>
      <c r="E5220" s="2719">
        <v>1</v>
      </c>
      <c r="F5220" s="294"/>
      <c r="G5220" s="1634" t="str">
        <f>G5218&amp;"（欧元）"</f>
        <v>应收票据（欧元）</v>
      </c>
      <c r="H5220" s="309"/>
      <c r="I5220" s="360"/>
      <c r="J5220" s="346"/>
      <c r="M5220" s="291"/>
      <c r="N5220" s="291"/>
      <c r="O5220" s="291"/>
      <c r="P5220" s="291"/>
      <c r="S5220" s="364"/>
      <c r="Z5220" s="609" t="s">
        <v>4433</v>
      </c>
      <c r="AA5220" s="609"/>
    </row>
    <row r="5221" spans="1:27" ht="18">
      <c r="A5221" s="2712"/>
      <c r="B5221" s="371">
        <v>109</v>
      </c>
      <c r="C5221" s="371" t="s">
        <v>2791</v>
      </c>
      <c r="D5221" s="2714">
        <f t="shared" si="565"/>
        <v>1</v>
      </c>
      <c r="E5221" s="2719">
        <v>1</v>
      </c>
      <c r="F5221" s="294"/>
      <c r="G5221" s="1634" t="str">
        <f>G5218&amp;"（港币）"</f>
        <v>应收票据（港币）</v>
      </c>
      <c r="H5221" s="309"/>
      <c r="I5221" s="1636"/>
      <c r="J5221" s="346"/>
      <c r="M5221" s="291"/>
      <c r="N5221" s="291"/>
      <c r="O5221" s="291"/>
      <c r="P5221" s="291"/>
      <c r="S5221" s="364"/>
      <c r="Z5221" s="609" t="s">
        <v>4433</v>
      </c>
      <c r="AA5221" s="609"/>
    </row>
    <row r="5222" spans="1:27" ht="18">
      <c r="A5222" s="2712"/>
      <c r="B5222" s="371">
        <v>110</v>
      </c>
      <c r="C5222" s="371" t="s">
        <v>2791</v>
      </c>
      <c r="D5222" s="2714">
        <f t="shared" si="565"/>
        <v>0</v>
      </c>
      <c r="E5222" s="2719">
        <v>1</v>
      </c>
      <c r="F5222" s="294"/>
      <c r="G5222" s="1502" t="s">
        <v>2792</v>
      </c>
      <c r="H5222" s="309"/>
      <c r="I5222" s="360"/>
      <c r="J5222" s="346"/>
      <c r="M5222" s="291"/>
      <c r="N5222" s="291"/>
      <c r="O5222" s="291"/>
      <c r="P5222" s="291"/>
      <c r="S5222" s="364"/>
      <c r="Z5222" s="609" t="s">
        <v>4433</v>
      </c>
      <c r="AA5222" s="609"/>
    </row>
    <row r="5223" spans="1:27" ht="18">
      <c r="A5223" s="2712"/>
      <c r="B5223" s="371">
        <v>111</v>
      </c>
      <c r="C5223" s="371"/>
      <c r="D5223" s="2714">
        <f t="shared" si="565"/>
        <v>1</v>
      </c>
      <c r="E5223" s="2719" t="s">
        <v>41</v>
      </c>
      <c r="F5223" s="294"/>
      <c r="G5223" s="308" t="s">
        <v>5260</v>
      </c>
      <c r="H5223" s="309"/>
      <c r="I5223" s="360"/>
      <c r="J5223" s="346"/>
      <c r="K5223" s="1585" t="s">
        <v>419</v>
      </c>
      <c r="M5223" s="291"/>
      <c r="N5223" s="291"/>
      <c r="O5223" s="291"/>
      <c r="P5223" s="291"/>
      <c r="S5223" s="364"/>
      <c r="Z5223" s="609" t="s">
        <v>4433</v>
      </c>
      <c r="AA5223" s="609"/>
    </row>
    <row r="5224" spans="1:27" ht="18">
      <c r="A5224" s="2712"/>
      <c r="B5224" s="371">
        <v>112</v>
      </c>
      <c r="C5224" s="371" t="s">
        <v>2791</v>
      </c>
      <c r="D5224" s="2714">
        <f t="shared" si="565"/>
        <v>1</v>
      </c>
      <c r="E5224" s="2719">
        <v>1</v>
      </c>
      <c r="F5224" s="294"/>
      <c r="G5224" s="1495" t="str">
        <f>"其中："&amp;G5223&amp;"（美元）"</f>
        <v>其中：应收账款（美元）</v>
      </c>
      <c r="H5224" s="309"/>
      <c r="I5224" s="360"/>
      <c r="J5224" s="346"/>
      <c r="M5224" s="291"/>
      <c r="N5224" s="291"/>
      <c r="O5224" s="291"/>
      <c r="P5224" s="291"/>
      <c r="S5224" s="364"/>
      <c r="Z5224" s="609" t="s">
        <v>4433</v>
      </c>
      <c r="AA5224" s="609"/>
    </row>
    <row r="5225" spans="1:27" ht="18">
      <c r="A5225" s="2712"/>
      <c r="B5225" s="371">
        <v>113</v>
      </c>
      <c r="C5225" s="371" t="s">
        <v>2791</v>
      </c>
      <c r="D5225" s="2714">
        <f t="shared" si="565"/>
        <v>1</v>
      </c>
      <c r="E5225" s="2719">
        <v>1</v>
      </c>
      <c r="F5225" s="294"/>
      <c r="G5225" s="1495" t="str">
        <f>G5223&amp;"（欧元）"</f>
        <v>应收账款（欧元）</v>
      </c>
      <c r="H5225" s="309"/>
      <c r="I5225" s="360"/>
      <c r="J5225" s="346"/>
      <c r="M5225" s="291"/>
      <c r="N5225" s="291"/>
      <c r="O5225" s="291"/>
      <c r="P5225" s="291"/>
      <c r="S5225" s="364"/>
      <c r="Z5225" s="609" t="s">
        <v>4433</v>
      </c>
      <c r="AA5225" s="609"/>
    </row>
    <row r="5226" spans="1:27" ht="18">
      <c r="A5226" s="2712"/>
      <c r="B5226" s="371">
        <v>114</v>
      </c>
      <c r="C5226" s="371" t="s">
        <v>2791</v>
      </c>
      <c r="D5226" s="2714">
        <f t="shared" si="565"/>
        <v>1</v>
      </c>
      <c r="E5226" s="2719">
        <v>1</v>
      </c>
      <c r="F5226" s="294"/>
      <c r="G5226" s="1495" t="str">
        <f>G5223&amp;"（港币）"</f>
        <v>应收账款（港币）</v>
      </c>
      <c r="H5226" s="309"/>
      <c r="I5226" s="360"/>
      <c r="J5226" s="346"/>
      <c r="M5226" s="291"/>
      <c r="N5226" s="291"/>
      <c r="O5226" s="291"/>
      <c r="P5226" s="291"/>
      <c r="S5226" s="364"/>
      <c r="Z5226" s="609" t="s">
        <v>4433</v>
      </c>
      <c r="AA5226" s="609"/>
    </row>
    <row r="5227" spans="1:27" ht="18">
      <c r="A5227" s="2712"/>
      <c r="B5227" s="371">
        <v>115</v>
      </c>
      <c r="C5227" s="371" t="s">
        <v>2791</v>
      </c>
      <c r="D5227" s="2714">
        <f t="shared" si="565"/>
        <v>0</v>
      </c>
      <c r="E5227" s="2719">
        <v>1</v>
      </c>
      <c r="F5227" s="294"/>
      <c r="G5227" s="1502" t="s">
        <v>2792</v>
      </c>
      <c r="H5227" s="309"/>
      <c r="I5227" s="360"/>
      <c r="J5227" s="346"/>
      <c r="M5227" s="291"/>
      <c r="N5227" s="291"/>
      <c r="O5227" s="291"/>
      <c r="P5227" s="291"/>
      <c r="S5227" s="364"/>
      <c r="Z5227" s="609" t="s">
        <v>4433</v>
      </c>
      <c r="AA5227" s="609"/>
    </row>
    <row r="5228" spans="1:27" ht="18">
      <c r="A5228" s="2712"/>
      <c r="B5228" s="371">
        <v>116</v>
      </c>
      <c r="C5228" s="371"/>
      <c r="D5228" s="2714">
        <f t="shared" si="565"/>
        <v>1</v>
      </c>
      <c r="E5228" s="2719" t="s">
        <v>41</v>
      </c>
      <c r="F5228" s="294"/>
      <c r="G5228" s="308" t="s">
        <v>5613</v>
      </c>
      <c r="H5228" s="309"/>
      <c r="I5228" s="360"/>
      <c r="J5228" s="346"/>
      <c r="K5228" s="1585" t="s">
        <v>629</v>
      </c>
      <c r="M5228" s="291"/>
      <c r="N5228" s="291"/>
      <c r="O5228" s="291"/>
      <c r="P5228" s="291"/>
      <c r="S5228" s="364"/>
      <c r="Z5228" s="609" t="s">
        <v>4433</v>
      </c>
      <c r="AA5228" s="609"/>
    </row>
    <row r="5229" spans="1:27" ht="18">
      <c r="A5229" s="2712"/>
      <c r="B5229" s="371">
        <v>117</v>
      </c>
      <c r="C5229" s="371" t="s">
        <v>2791</v>
      </c>
      <c r="D5229" s="2714">
        <f t="shared" si="565"/>
        <v>1</v>
      </c>
      <c r="E5229" s="2719">
        <v>1</v>
      </c>
      <c r="F5229" s="294"/>
      <c r="G5229" s="1495" t="str">
        <f>"其中："&amp;G5228&amp;"（美元）"</f>
        <v>其中：其他应收款（美元）</v>
      </c>
      <c r="H5229" s="309"/>
      <c r="I5229" s="360"/>
      <c r="J5229" s="346"/>
      <c r="M5229" s="291"/>
      <c r="N5229" s="291"/>
      <c r="O5229" s="291"/>
      <c r="P5229" s="291"/>
      <c r="S5229" s="364"/>
      <c r="Z5229" s="609" t="s">
        <v>4433</v>
      </c>
      <c r="AA5229" s="609"/>
    </row>
    <row r="5230" spans="1:27" ht="18">
      <c r="A5230" s="2712"/>
      <c r="B5230" s="371">
        <v>118</v>
      </c>
      <c r="C5230" s="371" t="s">
        <v>2791</v>
      </c>
      <c r="D5230" s="2714">
        <f t="shared" si="565"/>
        <v>1</v>
      </c>
      <c r="E5230" s="2719">
        <v>1</v>
      </c>
      <c r="F5230" s="294"/>
      <c r="G5230" s="1495" t="str">
        <f>G5228&amp;"（欧元）"</f>
        <v>其他应收款（欧元）</v>
      </c>
      <c r="H5230" s="309"/>
      <c r="I5230" s="360"/>
      <c r="J5230" s="346"/>
      <c r="M5230" s="291"/>
      <c r="N5230" s="291"/>
      <c r="O5230" s="291"/>
      <c r="P5230" s="291"/>
      <c r="S5230" s="364"/>
      <c r="Z5230" s="609" t="s">
        <v>4433</v>
      </c>
      <c r="AA5230" s="609"/>
    </row>
    <row r="5231" spans="1:27" ht="18">
      <c r="A5231" s="2712"/>
      <c r="B5231" s="371">
        <v>119</v>
      </c>
      <c r="C5231" s="371" t="s">
        <v>2791</v>
      </c>
      <c r="D5231" s="2714">
        <f t="shared" si="565"/>
        <v>1</v>
      </c>
      <c r="E5231" s="2719">
        <v>1</v>
      </c>
      <c r="F5231" s="294"/>
      <c r="G5231" s="1495" t="str">
        <f>G5228&amp;"（港币）"</f>
        <v>其他应收款（港币）</v>
      </c>
      <c r="H5231" s="309"/>
      <c r="I5231" s="360"/>
      <c r="J5231" s="346"/>
      <c r="M5231" s="291"/>
      <c r="N5231" s="291"/>
      <c r="O5231" s="291"/>
      <c r="P5231" s="291"/>
      <c r="S5231" s="364"/>
      <c r="Z5231" s="609" t="s">
        <v>4433</v>
      </c>
      <c r="AA5231" s="609"/>
    </row>
    <row r="5232" spans="1:27" ht="18">
      <c r="A5232" s="2712"/>
      <c r="B5232" s="371">
        <v>120</v>
      </c>
      <c r="C5232" s="371" t="s">
        <v>2791</v>
      </c>
      <c r="D5232" s="2714">
        <f t="shared" si="565"/>
        <v>0</v>
      </c>
      <c r="E5232" s="2719">
        <v>1</v>
      </c>
      <c r="F5232" s="294"/>
      <c r="G5232" s="1502" t="s">
        <v>2792</v>
      </c>
      <c r="H5232" s="309"/>
      <c r="I5232" s="360"/>
      <c r="J5232" s="346"/>
      <c r="M5232" s="291"/>
      <c r="N5232" s="291"/>
      <c r="O5232" s="291"/>
      <c r="P5232" s="291"/>
      <c r="S5232" s="364"/>
      <c r="Z5232" s="609" t="s">
        <v>4433</v>
      </c>
      <c r="AA5232" s="609"/>
    </row>
    <row r="5233" spans="1:27" ht="18">
      <c r="A5233" s="2712"/>
      <c r="B5233" s="371">
        <v>121</v>
      </c>
      <c r="C5233" s="371"/>
      <c r="D5233" s="2714">
        <f t="shared" si="565"/>
        <v>1</v>
      </c>
      <c r="E5233" s="2719" t="s">
        <v>41</v>
      </c>
      <c r="F5233" s="294"/>
      <c r="G5233" s="308" t="s">
        <v>5253</v>
      </c>
      <c r="H5233" s="2327">
        <v>0</v>
      </c>
      <c r="I5233" s="360"/>
      <c r="J5233" s="2692">
        <v>0</v>
      </c>
      <c r="K5233" s="1585" t="s">
        <v>5585</v>
      </c>
      <c r="M5233" s="291"/>
      <c r="N5233" s="291"/>
      <c r="O5233" s="291"/>
      <c r="P5233" s="291"/>
      <c r="S5233" s="364"/>
      <c r="Z5233" s="609" t="s">
        <v>4433</v>
      </c>
      <c r="AA5233" s="609"/>
    </row>
    <row r="5234" spans="1:27" ht="24">
      <c r="A5234" s="2712"/>
      <c r="B5234" s="371">
        <v>122</v>
      </c>
      <c r="C5234" s="371" t="s">
        <v>2791</v>
      </c>
      <c r="D5234" s="2714">
        <f t="shared" si="565"/>
        <v>1</v>
      </c>
      <c r="E5234" s="2719">
        <v>1</v>
      </c>
      <c r="F5234" s="294"/>
      <c r="G5234" s="1495" t="str">
        <f>"其中："&amp;G5233&amp;"（美元）"</f>
        <v>其中：持有至到期投资（美元）</v>
      </c>
      <c r="H5234" s="2327">
        <v>0</v>
      </c>
      <c r="I5234" s="360"/>
      <c r="J5234" s="2693">
        <v>0</v>
      </c>
      <c r="M5234" s="291"/>
      <c r="N5234" s="291"/>
      <c r="O5234" s="291"/>
      <c r="P5234" s="291"/>
      <c r="S5234" s="364"/>
      <c r="Z5234" s="609" t="s">
        <v>4433</v>
      </c>
      <c r="AA5234" s="609"/>
    </row>
    <row r="5235" spans="1:27" ht="18">
      <c r="A5235" s="2712"/>
      <c r="B5235" s="371">
        <v>123</v>
      </c>
      <c r="C5235" s="371" t="s">
        <v>2791</v>
      </c>
      <c r="D5235" s="2714">
        <f t="shared" si="565"/>
        <v>1</v>
      </c>
      <c r="E5235" s="2719">
        <v>1</v>
      </c>
      <c r="F5235" s="294"/>
      <c r="G5235" s="1495" t="str">
        <f>G5233&amp;"（欧元）"</f>
        <v>持有至到期投资（欧元）</v>
      </c>
      <c r="H5235" s="2327">
        <v>0</v>
      </c>
      <c r="I5235" s="360"/>
      <c r="J5235" s="2693">
        <v>0</v>
      </c>
      <c r="M5235" s="291"/>
      <c r="N5235" s="291"/>
      <c r="O5235" s="291"/>
      <c r="P5235" s="291"/>
      <c r="S5235" s="364"/>
      <c r="Z5235" s="609" t="s">
        <v>4433</v>
      </c>
      <c r="AA5235" s="609"/>
    </row>
    <row r="5236" spans="1:27" ht="18">
      <c r="A5236" s="2712"/>
      <c r="B5236" s="371">
        <v>124</v>
      </c>
      <c r="C5236" s="371" t="s">
        <v>6530</v>
      </c>
      <c r="D5236" s="2714">
        <f t="shared" si="565"/>
        <v>1</v>
      </c>
      <c r="E5236" s="2719">
        <v>1</v>
      </c>
      <c r="F5236" s="294"/>
      <c r="G5236" s="1495" t="str">
        <f>G5233&amp;"（港币）"</f>
        <v>持有至到期投资（港币）</v>
      </c>
      <c r="H5236" s="2327">
        <v>0</v>
      </c>
      <c r="I5236" s="360"/>
      <c r="J5236" s="2693">
        <v>0</v>
      </c>
      <c r="M5236" s="291"/>
      <c r="N5236" s="291"/>
      <c r="O5236" s="291"/>
      <c r="P5236" s="291"/>
      <c r="S5236" s="364"/>
      <c r="Z5236" s="609" t="s">
        <v>4433</v>
      </c>
      <c r="AA5236" s="609"/>
    </row>
    <row r="5237" spans="1:27" ht="18">
      <c r="A5237" s="2712"/>
      <c r="B5237" s="371">
        <v>125</v>
      </c>
      <c r="C5237" s="371" t="s">
        <v>2791</v>
      </c>
      <c r="D5237" s="2714">
        <f t="shared" si="565"/>
        <v>0</v>
      </c>
      <c r="E5237" s="2719">
        <v>1</v>
      </c>
      <c r="F5237" s="294"/>
      <c r="G5237" s="1502" t="s">
        <v>2792</v>
      </c>
      <c r="H5237" s="2327">
        <v>0</v>
      </c>
      <c r="I5237" s="360"/>
      <c r="J5237" s="2694">
        <v>0</v>
      </c>
      <c r="M5237" s="291"/>
      <c r="N5237" s="291"/>
      <c r="O5237" s="291"/>
      <c r="P5237" s="291"/>
      <c r="S5237" s="364"/>
      <c r="Z5237" s="609" t="s">
        <v>4433</v>
      </c>
      <c r="AA5237" s="609"/>
    </row>
    <row r="5238" spans="1:27" ht="18">
      <c r="A5238" s="2712"/>
      <c r="B5238" s="371">
        <v>126</v>
      </c>
      <c r="C5238" s="371"/>
      <c r="D5238" s="2714">
        <f t="shared" si="565"/>
        <v>1</v>
      </c>
      <c r="E5238" s="2719" t="s">
        <v>41</v>
      </c>
      <c r="F5238" s="294"/>
      <c r="G5238" s="2587" t="s">
        <v>6175</v>
      </c>
      <c r="H5238" s="309"/>
      <c r="I5238" s="360"/>
      <c r="J5238" s="346"/>
      <c r="K5238" s="1585" t="s">
        <v>977</v>
      </c>
      <c r="M5238" s="291"/>
      <c r="N5238" s="291"/>
      <c r="O5238" s="291"/>
      <c r="P5238" s="291"/>
      <c r="S5238" s="364"/>
      <c r="Z5238" s="609" t="s">
        <v>4433</v>
      </c>
      <c r="AA5238" s="609"/>
    </row>
    <row r="5239" spans="1:27" ht="18">
      <c r="A5239" s="2712"/>
      <c r="B5239" s="371">
        <v>127</v>
      </c>
      <c r="C5239" s="371" t="s">
        <v>2791</v>
      </c>
      <c r="D5239" s="2714">
        <f t="shared" si="565"/>
        <v>1</v>
      </c>
      <c r="E5239" s="2719">
        <v>1</v>
      </c>
      <c r="F5239" s="294"/>
      <c r="G5239" s="1502" t="str">
        <f>"其中："&amp;G5238&amp;"（美元）"</f>
        <v>其中：长期应收款（美元）</v>
      </c>
      <c r="H5239" s="309"/>
      <c r="I5239" s="360"/>
      <c r="J5239" s="346"/>
      <c r="M5239" s="291"/>
      <c r="N5239" s="291"/>
      <c r="O5239" s="291"/>
      <c r="P5239" s="291"/>
      <c r="S5239" s="364"/>
      <c r="Z5239" s="609" t="s">
        <v>4433</v>
      </c>
      <c r="AA5239" s="609"/>
    </row>
    <row r="5240" spans="1:27" ht="18">
      <c r="A5240" s="2712"/>
      <c r="B5240" s="371">
        <v>128</v>
      </c>
      <c r="C5240" s="371" t="s">
        <v>2791</v>
      </c>
      <c r="D5240" s="2714">
        <f t="shared" si="565"/>
        <v>1</v>
      </c>
      <c r="E5240" s="2719">
        <v>1</v>
      </c>
      <c r="F5240" s="294"/>
      <c r="G5240" s="1502" t="str">
        <f>G5238&amp;"（欧元）"</f>
        <v>长期应收款（欧元）</v>
      </c>
      <c r="H5240" s="309"/>
      <c r="I5240" s="360"/>
      <c r="J5240" s="346"/>
      <c r="M5240" s="291"/>
      <c r="N5240" s="291"/>
      <c r="O5240" s="291"/>
      <c r="P5240" s="291"/>
      <c r="S5240" s="364"/>
      <c r="Z5240" s="609" t="s">
        <v>4433</v>
      </c>
      <c r="AA5240" s="609"/>
    </row>
    <row r="5241" spans="1:27" ht="18">
      <c r="A5241" s="2712"/>
      <c r="B5241" s="371">
        <v>129</v>
      </c>
      <c r="C5241" s="371" t="s">
        <v>2791</v>
      </c>
      <c r="D5241" s="2714">
        <f t="shared" si="565"/>
        <v>1</v>
      </c>
      <c r="E5241" s="2719">
        <v>1</v>
      </c>
      <c r="F5241" s="294"/>
      <c r="G5241" s="1502" t="str">
        <f>G5238&amp;"（港币）"</f>
        <v>长期应收款（港币）</v>
      </c>
      <c r="H5241" s="309"/>
      <c r="I5241" s="360"/>
      <c r="J5241" s="346"/>
      <c r="M5241" s="291"/>
      <c r="N5241" s="291"/>
      <c r="O5241" s="291"/>
      <c r="P5241" s="291"/>
      <c r="S5241" s="364"/>
      <c r="Z5241" s="609" t="s">
        <v>4433</v>
      </c>
      <c r="AA5241" s="609"/>
    </row>
    <row r="5242" spans="1:27" ht="18">
      <c r="A5242" s="2712"/>
      <c r="B5242" s="371">
        <v>130</v>
      </c>
      <c r="C5242" s="371" t="s">
        <v>2791</v>
      </c>
      <c r="D5242" s="2714">
        <f t="shared" si="565"/>
        <v>0</v>
      </c>
      <c r="E5242" s="2719">
        <v>1</v>
      </c>
      <c r="F5242" s="294"/>
      <c r="G5242" s="1502" t="s">
        <v>2792</v>
      </c>
      <c r="H5242" s="309"/>
      <c r="I5242" s="360"/>
      <c r="J5242" s="346"/>
      <c r="M5242" s="291"/>
      <c r="N5242" s="291"/>
      <c r="O5242" s="291"/>
      <c r="P5242" s="291"/>
      <c r="S5242" s="364"/>
      <c r="Z5242" s="609" t="s">
        <v>4433</v>
      </c>
      <c r="AA5242" s="609"/>
    </row>
    <row r="5243" spans="1:27" ht="18">
      <c r="A5243" s="2712"/>
      <c r="B5243" s="371">
        <v>132</v>
      </c>
      <c r="C5243" s="371"/>
      <c r="D5243" s="2714">
        <f t="shared" si="565"/>
        <v>1</v>
      </c>
      <c r="E5243" s="2719" t="s">
        <v>41</v>
      </c>
      <c r="F5243" s="294"/>
      <c r="G5243" s="308" t="s">
        <v>5254</v>
      </c>
      <c r="H5243" s="309"/>
      <c r="I5243" s="360"/>
      <c r="J5243" s="346"/>
      <c r="K5243" s="1585" t="s">
        <v>1437</v>
      </c>
      <c r="M5243" s="291"/>
      <c r="N5243" s="291"/>
      <c r="O5243" s="291"/>
      <c r="P5243" s="291"/>
      <c r="S5243" s="364"/>
      <c r="Z5243" s="609" t="s">
        <v>4433</v>
      </c>
      <c r="AA5243" s="609"/>
    </row>
    <row r="5244" spans="1:27" ht="18">
      <c r="A5244" s="2712"/>
      <c r="B5244" s="371">
        <v>133</v>
      </c>
      <c r="C5244" s="371" t="s">
        <v>2791</v>
      </c>
      <c r="D5244" s="2714">
        <f t="shared" si="565"/>
        <v>1</v>
      </c>
      <c r="E5244" s="2719">
        <v>1</v>
      </c>
      <c r="F5244" s="294"/>
      <c r="G5244" s="1495" t="str">
        <f>"其中："&amp;G5243&amp;"（美元）"</f>
        <v>其中：应付账款（美元）</v>
      </c>
      <c r="H5244" s="309"/>
      <c r="I5244" s="360"/>
      <c r="J5244" s="346"/>
      <c r="M5244" s="291"/>
      <c r="N5244" s="291"/>
      <c r="O5244" s="291"/>
      <c r="P5244" s="291"/>
      <c r="S5244" s="364"/>
      <c r="Z5244" s="609" t="s">
        <v>4433</v>
      </c>
      <c r="AA5244" s="609"/>
    </row>
    <row r="5245" spans="1:27" ht="18">
      <c r="A5245" s="2712"/>
      <c r="B5245" s="371">
        <v>134</v>
      </c>
      <c r="C5245" s="371" t="s">
        <v>2791</v>
      </c>
      <c r="D5245" s="2714">
        <f t="shared" ref="D5245:D5274" si="566">IF(OR(G5245="*",G5245="",G5245=0),0,COUNTIF($G$5213:$G$5274,G5245))</f>
        <v>1</v>
      </c>
      <c r="E5245" s="2719">
        <v>1</v>
      </c>
      <c r="F5245" s="294"/>
      <c r="G5245" s="1495" t="str">
        <f>G5243&amp;"（欧元）"</f>
        <v>应付账款（欧元）</v>
      </c>
      <c r="H5245" s="309"/>
      <c r="I5245" s="360"/>
      <c r="J5245" s="346"/>
      <c r="M5245" s="291"/>
      <c r="N5245" s="291"/>
      <c r="O5245" s="291"/>
      <c r="P5245" s="291"/>
      <c r="S5245" s="364"/>
      <c r="Z5245" s="609" t="s">
        <v>4433</v>
      </c>
      <c r="AA5245" s="609"/>
    </row>
    <row r="5246" spans="1:27" ht="18">
      <c r="A5246" s="2712"/>
      <c r="B5246" s="371">
        <v>135</v>
      </c>
      <c r="C5246" s="371" t="s">
        <v>2791</v>
      </c>
      <c r="D5246" s="2714">
        <f t="shared" si="566"/>
        <v>1</v>
      </c>
      <c r="E5246" s="2719">
        <v>1</v>
      </c>
      <c r="F5246" s="294"/>
      <c r="G5246" s="1495" t="str">
        <f>G5243&amp;"（港币）"</f>
        <v>应付账款（港币）</v>
      </c>
      <c r="H5246" s="309"/>
      <c r="I5246" s="360"/>
      <c r="J5246" s="346"/>
      <c r="M5246" s="291"/>
      <c r="N5246" s="291"/>
      <c r="O5246" s="291"/>
      <c r="P5246" s="291"/>
      <c r="S5246" s="364"/>
      <c r="Z5246" s="609" t="s">
        <v>4433</v>
      </c>
      <c r="AA5246" s="609"/>
    </row>
    <row r="5247" spans="1:27" ht="18">
      <c r="A5247" s="2712"/>
      <c r="B5247" s="371">
        <v>136</v>
      </c>
      <c r="C5247" s="371" t="s">
        <v>2791</v>
      </c>
      <c r="D5247" s="2714">
        <f t="shared" si="566"/>
        <v>0</v>
      </c>
      <c r="E5247" s="2719">
        <v>1</v>
      </c>
      <c r="F5247" s="294"/>
      <c r="G5247" s="1502" t="s">
        <v>2792</v>
      </c>
      <c r="H5247" s="309"/>
      <c r="I5247" s="360"/>
      <c r="J5247" s="346"/>
      <c r="M5247" s="291"/>
      <c r="N5247" s="291"/>
      <c r="O5247" s="291"/>
      <c r="P5247" s="291"/>
      <c r="S5247" s="364"/>
      <c r="Z5247" s="609" t="s">
        <v>4433</v>
      </c>
      <c r="AA5247" s="609"/>
    </row>
    <row r="5248" spans="1:27" ht="18">
      <c r="A5248" s="2712"/>
      <c r="B5248" s="371">
        <v>137</v>
      </c>
      <c r="C5248" s="371"/>
      <c r="D5248" s="2714">
        <f t="shared" si="566"/>
        <v>1</v>
      </c>
      <c r="E5248" s="2719" t="s">
        <v>41</v>
      </c>
      <c r="F5248" s="294"/>
      <c r="G5248" s="308" t="s">
        <v>5255</v>
      </c>
      <c r="H5248" s="309"/>
      <c r="I5248" s="360"/>
      <c r="J5248" s="346"/>
      <c r="K5248" s="1585" t="s">
        <v>1584</v>
      </c>
      <c r="M5248" s="291"/>
      <c r="N5248" s="291"/>
      <c r="O5248" s="291"/>
      <c r="P5248" s="291"/>
      <c r="S5248" s="364"/>
      <c r="Z5248" s="609" t="s">
        <v>4433</v>
      </c>
      <c r="AA5248" s="609"/>
    </row>
    <row r="5249" spans="1:27" ht="18">
      <c r="A5249" s="2712"/>
      <c r="B5249" s="371">
        <v>138</v>
      </c>
      <c r="C5249" s="371" t="s">
        <v>2791</v>
      </c>
      <c r="D5249" s="2714">
        <f t="shared" si="566"/>
        <v>1</v>
      </c>
      <c r="E5249" s="2719">
        <v>1</v>
      </c>
      <c r="F5249" s="294"/>
      <c r="G5249" s="1495" t="str">
        <f>"其中："&amp;G5248&amp;"（美元）"</f>
        <v>其中：其他应付款（美元）</v>
      </c>
      <c r="H5249" s="309"/>
      <c r="I5249" s="360"/>
      <c r="J5249" s="346"/>
      <c r="M5249" s="291"/>
      <c r="N5249" s="291"/>
      <c r="O5249" s="291"/>
      <c r="P5249" s="291"/>
      <c r="S5249" s="364"/>
      <c r="Z5249" s="609" t="s">
        <v>4433</v>
      </c>
      <c r="AA5249" s="609"/>
    </row>
    <row r="5250" spans="1:27" ht="18">
      <c r="A5250" s="2712"/>
      <c r="B5250" s="371">
        <v>139</v>
      </c>
      <c r="C5250" s="371" t="s">
        <v>2791</v>
      </c>
      <c r="D5250" s="2714">
        <f t="shared" si="566"/>
        <v>1</v>
      </c>
      <c r="E5250" s="2719">
        <v>1</v>
      </c>
      <c r="F5250" s="294"/>
      <c r="G5250" s="1495" t="str">
        <f>G5248&amp;"（欧元）"</f>
        <v>其他应付款（欧元）</v>
      </c>
      <c r="H5250" s="309"/>
      <c r="I5250" s="360"/>
      <c r="J5250" s="346"/>
      <c r="M5250" s="291"/>
      <c r="N5250" s="291"/>
      <c r="O5250" s="291"/>
      <c r="P5250" s="291"/>
      <c r="S5250" s="364"/>
      <c r="Z5250" s="609" t="s">
        <v>4433</v>
      </c>
      <c r="AA5250" s="609"/>
    </row>
    <row r="5251" spans="1:27" ht="18">
      <c r="A5251" s="2712"/>
      <c r="B5251" s="371">
        <v>140</v>
      </c>
      <c r="C5251" s="371" t="s">
        <v>2791</v>
      </c>
      <c r="D5251" s="2714">
        <f t="shared" si="566"/>
        <v>1</v>
      </c>
      <c r="E5251" s="2719">
        <v>1</v>
      </c>
      <c r="F5251" s="294"/>
      <c r="G5251" s="1495" t="str">
        <f>G5248&amp;"（港币）"</f>
        <v>其他应付款（港币）</v>
      </c>
      <c r="H5251" s="309"/>
      <c r="I5251" s="360"/>
      <c r="J5251" s="346"/>
      <c r="M5251" s="291"/>
      <c r="N5251" s="291"/>
      <c r="O5251" s="291"/>
      <c r="P5251" s="291"/>
      <c r="S5251" s="364"/>
      <c r="Z5251" s="609" t="s">
        <v>4433</v>
      </c>
      <c r="AA5251" s="609"/>
    </row>
    <row r="5252" spans="1:27" ht="18">
      <c r="A5252" s="2712"/>
      <c r="B5252" s="371">
        <v>141</v>
      </c>
      <c r="C5252" s="371" t="s">
        <v>2791</v>
      </c>
      <c r="D5252" s="2714">
        <f t="shared" si="566"/>
        <v>0</v>
      </c>
      <c r="E5252" s="2719">
        <v>1</v>
      </c>
      <c r="F5252" s="294"/>
      <c r="G5252" s="1502" t="s">
        <v>2792</v>
      </c>
      <c r="H5252" s="309"/>
      <c r="I5252" s="360"/>
      <c r="J5252" s="346"/>
      <c r="M5252" s="291"/>
      <c r="N5252" s="291"/>
      <c r="O5252" s="291"/>
      <c r="P5252" s="291"/>
      <c r="S5252" s="364"/>
      <c r="Z5252" s="609" t="s">
        <v>4433</v>
      </c>
      <c r="AA5252" s="609"/>
    </row>
    <row r="5253" spans="1:27" ht="18">
      <c r="A5253" s="2712"/>
      <c r="B5253" s="371">
        <v>142</v>
      </c>
      <c r="C5253" s="371"/>
      <c r="D5253" s="2714">
        <f t="shared" si="566"/>
        <v>1</v>
      </c>
      <c r="E5253" s="2719" t="s">
        <v>41</v>
      </c>
      <c r="F5253" s="294"/>
      <c r="G5253" s="308" t="s">
        <v>5256</v>
      </c>
      <c r="H5253" s="309"/>
      <c r="I5253" s="360"/>
      <c r="J5253" s="346"/>
      <c r="K5253" s="1585" t="s">
        <v>1385</v>
      </c>
      <c r="M5253" s="291"/>
      <c r="N5253" s="291"/>
      <c r="O5253" s="291"/>
      <c r="P5253" s="291"/>
      <c r="S5253" s="364"/>
      <c r="Z5253" s="609" t="s">
        <v>4433</v>
      </c>
      <c r="AA5253" s="609"/>
    </row>
    <row r="5254" spans="1:27" ht="18">
      <c r="A5254" s="2712"/>
      <c r="B5254" s="371">
        <v>143</v>
      </c>
      <c r="C5254" s="371" t="s">
        <v>2791</v>
      </c>
      <c r="D5254" s="2714">
        <f t="shared" si="566"/>
        <v>1</v>
      </c>
      <c r="E5254" s="2719">
        <v>1</v>
      </c>
      <c r="F5254" s="294"/>
      <c r="G5254" s="1495" t="str">
        <f>"其中："&amp;G5253&amp;"（美元）"</f>
        <v>其中：短期借款（美元）</v>
      </c>
      <c r="H5254" s="309"/>
      <c r="I5254" s="360"/>
      <c r="J5254" s="346"/>
      <c r="M5254" s="291"/>
      <c r="N5254" s="291"/>
      <c r="O5254" s="291"/>
      <c r="P5254" s="291"/>
      <c r="S5254" s="364"/>
      <c r="Z5254" s="609" t="s">
        <v>4433</v>
      </c>
      <c r="AA5254" s="609"/>
    </row>
    <row r="5255" spans="1:27" ht="18">
      <c r="A5255" s="2712"/>
      <c r="B5255" s="371">
        <v>144</v>
      </c>
      <c r="C5255" s="371" t="s">
        <v>2791</v>
      </c>
      <c r="D5255" s="2714">
        <f t="shared" si="566"/>
        <v>1</v>
      </c>
      <c r="E5255" s="2719">
        <v>1</v>
      </c>
      <c r="F5255" s="294"/>
      <c r="G5255" s="1495" t="str">
        <f>G5253&amp;"（欧元）"</f>
        <v>短期借款（欧元）</v>
      </c>
      <c r="H5255" s="309"/>
      <c r="I5255" s="360"/>
      <c r="J5255" s="346"/>
      <c r="M5255" s="291"/>
      <c r="N5255" s="291"/>
      <c r="O5255" s="291"/>
      <c r="P5255" s="291"/>
      <c r="S5255" s="364"/>
      <c r="Z5255" s="609" t="s">
        <v>4433</v>
      </c>
      <c r="AA5255" s="609"/>
    </row>
    <row r="5256" spans="1:27" ht="18">
      <c r="A5256" s="2712"/>
      <c r="B5256" s="371">
        <v>145</v>
      </c>
      <c r="C5256" s="371" t="s">
        <v>2791</v>
      </c>
      <c r="D5256" s="2714">
        <f t="shared" si="566"/>
        <v>1</v>
      </c>
      <c r="E5256" s="2719">
        <v>1</v>
      </c>
      <c r="F5256" s="294"/>
      <c r="G5256" s="1495" t="str">
        <f>G5253&amp;"（港币）"</f>
        <v>短期借款（港币）</v>
      </c>
      <c r="H5256" s="309"/>
      <c r="I5256" s="360"/>
      <c r="J5256" s="346"/>
      <c r="M5256" s="291"/>
      <c r="N5256" s="291"/>
      <c r="O5256" s="291"/>
      <c r="P5256" s="291"/>
      <c r="S5256" s="364"/>
      <c r="Z5256" s="609" t="s">
        <v>4433</v>
      </c>
      <c r="AA5256" s="609"/>
    </row>
    <row r="5257" spans="1:27" ht="18">
      <c r="A5257" s="2712"/>
      <c r="B5257" s="371">
        <v>146</v>
      </c>
      <c r="C5257" s="371" t="s">
        <v>6530</v>
      </c>
      <c r="D5257" s="2714">
        <f t="shared" si="566"/>
        <v>0</v>
      </c>
      <c r="E5257" s="2719">
        <v>1</v>
      </c>
      <c r="F5257" s="294"/>
      <c r="G5257" s="1502" t="s">
        <v>2792</v>
      </c>
      <c r="H5257" s="309"/>
      <c r="I5257" s="360"/>
      <c r="J5257" s="346"/>
      <c r="M5257" s="291"/>
      <c r="N5257" s="291"/>
      <c r="O5257" s="291"/>
      <c r="P5257" s="291"/>
      <c r="S5257" s="364"/>
      <c r="Z5257" s="609" t="s">
        <v>4433</v>
      </c>
      <c r="AA5257" s="609"/>
    </row>
    <row r="5258" spans="1:27" ht="18">
      <c r="A5258" s="2712"/>
      <c r="B5258" s="371">
        <v>147</v>
      </c>
      <c r="C5258" s="371"/>
      <c r="D5258" s="2714">
        <f t="shared" si="566"/>
        <v>1</v>
      </c>
      <c r="E5258" s="2719" t="s">
        <v>41</v>
      </c>
      <c r="F5258" s="294"/>
      <c r="G5258" s="308" t="s">
        <v>5257</v>
      </c>
      <c r="H5258" s="309"/>
      <c r="I5258" s="360"/>
      <c r="J5258" s="346"/>
      <c r="K5258" s="1585" t="s">
        <v>5587</v>
      </c>
      <c r="M5258" s="291"/>
      <c r="N5258" s="291"/>
      <c r="O5258" s="291"/>
      <c r="P5258" s="291"/>
      <c r="S5258" s="364"/>
      <c r="Z5258" s="609" t="s">
        <v>4433</v>
      </c>
      <c r="AA5258" s="609"/>
    </row>
    <row r="5259" spans="1:27" ht="18">
      <c r="A5259" s="2712"/>
      <c r="B5259" s="371">
        <v>148</v>
      </c>
      <c r="C5259" s="371" t="s">
        <v>2791</v>
      </c>
      <c r="D5259" s="2714">
        <f t="shared" si="566"/>
        <v>1</v>
      </c>
      <c r="E5259" s="2719">
        <v>1</v>
      </c>
      <c r="F5259" s="294"/>
      <c r="G5259" s="1495" t="str">
        <f>"其中："&amp;G5258&amp;"（美元）"</f>
        <v>其中：应付债券（美元）</v>
      </c>
      <c r="H5259" s="309"/>
      <c r="I5259" s="360"/>
      <c r="J5259" s="346"/>
      <c r="M5259" s="291"/>
      <c r="N5259" s="291"/>
      <c r="O5259" s="291"/>
      <c r="P5259" s="291"/>
      <c r="S5259" s="364"/>
      <c r="Z5259" s="609" t="s">
        <v>4433</v>
      </c>
      <c r="AA5259" s="609"/>
    </row>
    <row r="5260" spans="1:27" ht="18">
      <c r="A5260" s="2712"/>
      <c r="B5260" s="371">
        <v>149</v>
      </c>
      <c r="C5260" s="371" t="s">
        <v>2791</v>
      </c>
      <c r="D5260" s="2714">
        <f t="shared" si="566"/>
        <v>1</v>
      </c>
      <c r="E5260" s="2719">
        <v>1</v>
      </c>
      <c r="F5260" s="294"/>
      <c r="G5260" s="1495" t="str">
        <f>G5258&amp;"（欧元）"</f>
        <v>应付债券（欧元）</v>
      </c>
      <c r="H5260" s="309"/>
      <c r="I5260" s="360"/>
      <c r="J5260" s="346"/>
      <c r="M5260" s="291"/>
      <c r="N5260" s="291"/>
      <c r="O5260" s="291"/>
      <c r="P5260" s="291"/>
      <c r="S5260" s="364"/>
      <c r="Z5260" s="609" t="s">
        <v>4433</v>
      </c>
      <c r="AA5260" s="609"/>
    </row>
    <row r="5261" spans="1:27" ht="18">
      <c r="A5261" s="2712"/>
      <c r="B5261" s="371">
        <v>150</v>
      </c>
      <c r="C5261" s="371" t="s">
        <v>2791</v>
      </c>
      <c r="D5261" s="2714">
        <f t="shared" si="566"/>
        <v>1</v>
      </c>
      <c r="E5261" s="2719">
        <v>1</v>
      </c>
      <c r="F5261" s="294"/>
      <c r="G5261" s="1495" t="str">
        <f>G5258&amp;"（港币）"</f>
        <v>应付债券（港币）</v>
      </c>
      <c r="H5261" s="309"/>
      <c r="I5261" s="360"/>
      <c r="J5261" s="346"/>
      <c r="M5261" s="291"/>
      <c r="N5261" s="291"/>
      <c r="O5261" s="291"/>
      <c r="P5261" s="291"/>
      <c r="S5261" s="364"/>
      <c r="Z5261" s="609" t="s">
        <v>4433</v>
      </c>
      <c r="AA5261" s="609"/>
    </row>
    <row r="5262" spans="1:27" ht="18">
      <c r="A5262" s="2712"/>
      <c r="B5262" s="371">
        <v>151</v>
      </c>
      <c r="C5262" s="371" t="s">
        <v>2791</v>
      </c>
      <c r="D5262" s="2714">
        <f t="shared" si="566"/>
        <v>0</v>
      </c>
      <c r="E5262" s="2719">
        <v>1</v>
      </c>
      <c r="F5262" s="294"/>
      <c r="G5262" s="1502" t="s">
        <v>2792</v>
      </c>
      <c r="H5262" s="309"/>
      <c r="I5262" s="360"/>
      <c r="J5262" s="346"/>
      <c r="M5262" s="291"/>
      <c r="N5262" s="291"/>
      <c r="O5262" s="291"/>
      <c r="P5262" s="291"/>
      <c r="S5262" s="364"/>
      <c r="Z5262" s="609" t="s">
        <v>4433</v>
      </c>
      <c r="AA5262" s="609"/>
    </row>
    <row r="5263" spans="1:27" ht="18">
      <c r="A5263" s="2712"/>
      <c r="B5263" s="371">
        <v>152</v>
      </c>
      <c r="C5263" s="371"/>
      <c r="D5263" s="2714">
        <f t="shared" si="566"/>
        <v>1</v>
      </c>
      <c r="E5263" s="2719" t="s">
        <v>41</v>
      </c>
      <c r="F5263" s="294"/>
      <c r="G5263" s="1503" t="s">
        <v>546</v>
      </c>
      <c r="H5263" s="309"/>
      <c r="I5263" s="360"/>
      <c r="J5263" s="346"/>
      <c r="K5263" s="1585" t="s">
        <v>1657</v>
      </c>
      <c r="M5263" s="291"/>
      <c r="N5263" s="291"/>
      <c r="O5263" s="291"/>
      <c r="P5263" s="291"/>
      <c r="S5263" s="364"/>
      <c r="Z5263" s="609" t="s">
        <v>4433</v>
      </c>
      <c r="AA5263" s="609"/>
    </row>
    <row r="5264" spans="1:27" ht="18">
      <c r="A5264" s="2712"/>
      <c r="B5264" s="371">
        <v>153</v>
      </c>
      <c r="C5264" s="371" t="s">
        <v>2791</v>
      </c>
      <c r="D5264" s="2714">
        <f t="shared" si="566"/>
        <v>1</v>
      </c>
      <c r="E5264" s="2719">
        <v>1</v>
      </c>
      <c r="F5264" s="294"/>
      <c r="G5264" s="1495" t="str">
        <f>"其中："&amp;G5263&amp;"（美元）"</f>
        <v>其中：长期借款（美元）</v>
      </c>
      <c r="H5264" s="309"/>
      <c r="I5264" s="360"/>
      <c r="J5264" s="346"/>
      <c r="M5264" s="291"/>
      <c r="N5264" s="291"/>
      <c r="O5264" s="291"/>
      <c r="P5264" s="291"/>
      <c r="S5264" s="364"/>
      <c r="Z5264" s="609" t="s">
        <v>4433</v>
      </c>
      <c r="AA5264" s="609"/>
    </row>
    <row r="5265" spans="1:27" ht="18">
      <c r="A5265" s="2712"/>
      <c r="B5265" s="371">
        <v>154</v>
      </c>
      <c r="C5265" s="371" t="s">
        <v>2791</v>
      </c>
      <c r="D5265" s="2714">
        <f t="shared" si="566"/>
        <v>1</v>
      </c>
      <c r="E5265" s="2719">
        <v>1</v>
      </c>
      <c r="F5265" s="294"/>
      <c r="G5265" s="1495" t="str">
        <f>G5263&amp;"（欧元）"</f>
        <v>长期借款（欧元）</v>
      </c>
      <c r="H5265" s="309"/>
      <c r="I5265" s="360"/>
      <c r="J5265" s="346"/>
      <c r="M5265" s="291"/>
      <c r="N5265" s="291"/>
      <c r="O5265" s="291"/>
      <c r="P5265" s="291"/>
      <c r="S5265" s="364"/>
      <c r="Z5265" s="609" t="s">
        <v>4433</v>
      </c>
      <c r="AA5265" s="609"/>
    </row>
    <row r="5266" spans="1:27" ht="18">
      <c r="A5266" s="2712"/>
      <c r="B5266" s="371">
        <v>155</v>
      </c>
      <c r="C5266" s="371" t="s">
        <v>2791</v>
      </c>
      <c r="D5266" s="2714">
        <f t="shared" si="566"/>
        <v>1</v>
      </c>
      <c r="E5266" s="2719">
        <v>1</v>
      </c>
      <c r="F5266" s="294"/>
      <c r="G5266" s="1495" t="str">
        <f>G5263&amp;"（港币）"</f>
        <v>长期借款（港币）</v>
      </c>
      <c r="H5266" s="309"/>
      <c r="I5266" s="360"/>
      <c r="J5266" s="346"/>
      <c r="M5266" s="291"/>
      <c r="N5266" s="291"/>
      <c r="O5266" s="291"/>
      <c r="P5266" s="291"/>
      <c r="S5266" s="364"/>
      <c r="Z5266" s="609" t="s">
        <v>4433</v>
      </c>
      <c r="AA5266" s="609"/>
    </row>
    <row r="5267" spans="1:27" ht="18">
      <c r="A5267" s="2712"/>
      <c r="B5267" s="371">
        <v>156</v>
      </c>
      <c r="C5267" s="371" t="s">
        <v>2791</v>
      </c>
      <c r="D5267" s="2714">
        <f t="shared" si="566"/>
        <v>0</v>
      </c>
      <c r="E5267" s="2719">
        <v>1</v>
      </c>
      <c r="F5267" s="294"/>
      <c r="G5267" s="1502" t="s">
        <v>2792</v>
      </c>
      <c r="H5267" s="309"/>
      <c r="I5267" s="360"/>
      <c r="J5267" s="346"/>
      <c r="M5267" s="291"/>
      <c r="N5267" s="291"/>
      <c r="O5267" s="291"/>
      <c r="P5267" s="291"/>
      <c r="S5267" s="364"/>
      <c r="Z5267" s="609" t="s">
        <v>4433</v>
      </c>
      <c r="AA5267" s="609"/>
    </row>
    <row r="5268" spans="1:27" ht="18">
      <c r="A5268" s="2712"/>
      <c r="B5268" s="371">
        <v>157</v>
      </c>
      <c r="C5268" s="371"/>
      <c r="D5268" s="2714">
        <f t="shared" si="566"/>
        <v>1</v>
      </c>
      <c r="E5268" s="2719" t="s">
        <v>41</v>
      </c>
      <c r="F5268" s="294"/>
      <c r="G5268" s="308" t="s">
        <v>5258</v>
      </c>
      <c r="H5268" s="309"/>
      <c r="I5268" s="360"/>
      <c r="J5268" s="346"/>
      <c r="K5268" s="1585" t="s">
        <v>1692</v>
      </c>
      <c r="M5268" s="291"/>
      <c r="N5268" s="291"/>
      <c r="O5268" s="291"/>
      <c r="P5268" s="291"/>
      <c r="S5268" s="364"/>
      <c r="Z5268" s="609" t="s">
        <v>4433</v>
      </c>
      <c r="AA5268" s="609"/>
    </row>
    <row r="5269" spans="1:27" ht="18">
      <c r="A5269" s="2712"/>
      <c r="B5269" s="371">
        <v>158</v>
      </c>
      <c r="C5269" s="371" t="s">
        <v>2791</v>
      </c>
      <c r="D5269" s="2714">
        <f t="shared" si="566"/>
        <v>1</v>
      </c>
      <c r="E5269" s="2719">
        <v>1</v>
      </c>
      <c r="F5269" s="294"/>
      <c r="G5269" s="1495" t="str">
        <f>"其中："&amp;G5268&amp;"（美元）"</f>
        <v>其中：长期应付款（美元）</v>
      </c>
      <c r="H5269" s="309"/>
      <c r="I5269" s="360"/>
      <c r="J5269" s="346"/>
      <c r="M5269" s="291"/>
      <c r="N5269" s="291"/>
      <c r="O5269" s="291"/>
      <c r="P5269" s="291"/>
      <c r="S5269" s="364"/>
      <c r="Z5269" s="609" t="s">
        <v>4433</v>
      </c>
      <c r="AA5269" s="609"/>
    </row>
    <row r="5270" spans="1:27" ht="18">
      <c r="A5270" s="2712"/>
      <c r="B5270" s="371">
        <v>159</v>
      </c>
      <c r="C5270" s="371" t="s">
        <v>2791</v>
      </c>
      <c r="D5270" s="2714">
        <f t="shared" si="566"/>
        <v>1</v>
      </c>
      <c r="E5270" s="2719">
        <v>1</v>
      </c>
      <c r="F5270" s="294"/>
      <c r="G5270" s="1495" t="str">
        <f>G5268&amp;"（欧元）"</f>
        <v>长期应付款（欧元）</v>
      </c>
      <c r="H5270" s="309"/>
      <c r="I5270" s="360"/>
      <c r="J5270" s="346"/>
      <c r="M5270" s="291"/>
      <c r="N5270" s="291"/>
      <c r="O5270" s="291"/>
      <c r="P5270" s="291"/>
      <c r="S5270" s="364"/>
      <c r="Z5270" s="609" t="s">
        <v>4433</v>
      </c>
      <c r="AA5270" s="609"/>
    </row>
    <row r="5271" spans="1:27" ht="18">
      <c r="A5271" s="2712"/>
      <c r="B5271" s="371">
        <v>160</v>
      </c>
      <c r="C5271" s="371" t="s">
        <v>2791</v>
      </c>
      <c r="D5271" s="2714">
        <f t="shared" si="566"/>
        <v>1</v>
      </c>
      <c r="E5271" s="2719">
        <v>1</v>
      </c>
      <c r="F5271" s="294"/>
      <c r="G5271" s="1495" t="str">
        <f>G5268&amp;"（港币）"</f>
        <v>长期应付款（港币）</v>
      </c>
      <c r="H5271" s="309"/>
      <c r="I5271" s="360"/>
      <c r="J5271" s="346"/>
      <c r="M5271" s="291"/>
      <c r="N5271" s="291"/>
      <c r="O5271" s="291"/>
      <c r="P5271" s="291"/>
      <c r="S5271" s="364"/>
      <c r="Z5271" s="609" t="s">
        <v>4433</v>
      </c>
      <c r="AA5271" s="609"/>
    </row>
    <row r="5272" spans="1:27" ht="18">
      <c r="A5272" s="2712"/>
      <c r="B5272" s="371">
        <v>161</v>
      </c>
      <c r="C5272" s="371" t="s">
        <v>2791</v>
      </c>
      <c r="D5272" s="2714">
        <f t="shared" si="566"/>
        <v>0</v>
      </c>
      <c r="E5272" s="2719">
        <v>1</v>
      </c>
      <c r="F5272" s="294"/>
      <c r="G5272" s="1502" t="s">
        <v>2792</v>
      </c>
      <c r="H5272" s="309"/>
      <c r="I5272" s="360"/>
      <c r="J5272" s="346"/>
      <c r="M5272" s="291"/>
      <c r="N5272" s="291"/>
      <c r="O5272" s="291"/>
      <c r="P5272" s="291"/>
      <c r="S5272" s="364"/>
      <c r="Z5272" s="609" t="s">
        <v>4433</v>
      </c>
      <c r="AA5272" s="609"/>
    </row>
    <row r="5273" spans="1:27" ht="18">
      <c r="A5273" s="2712"/>
      <c r="B5273" s="371">
        <v>162</v>
      </c>
      <c r="C5273" s="371" t="s">
        <v>6530</v>
      </c>
      <c r="D5273" s="2714">
        <f t="shared" si="566"/>
        <v>0</v>
      </c>
      <c r="E5273" s="2719">
        <v>1</v>
      </c>
      <c r="F5273" s="294"/>
      <c r="G5273" s="1495" t="s">
        <v>2792</v>
      </c>
      <c r="H5273" s="309"/>
      <c r="I5273" s="360"/>
      <c r="J5273" s="346"/>
      <c r="M5273" s="291"/>
      <c r="N5273" s="291"/>
      <c r="O5273" s="291"/>
      <c r="P5273" s="291"/>
      <c r="S5273" s="364"/>
      <c r="Z5273" s="609" t="s">
        <v>4433</v>
      </c>
      <c r="AA5273" s="609"/>
    </row>
    <row r="5274" spans="1:27" ht="18.75" thickBot="1">
      <c r="A5274" s="2712"/>
      <c r="B5274" s="371"/>
      <c r="C5274" s="371"/>
      <c r="D5274" s="2714">
        <f t="shared" si="566"/>
        <v>0</v>
      </c>
      <c r="E5274" s="2719" t="s">
        <v>6565</v>
      </c>
      <c r="F5274" s="294"/>
      <c r="G5274" s="2427"/>
      <c r="H5274" s="2483"/>
      <c r="I5274" s="2484"/>
      <c r="J5274" s="2485"/>
      <c r="M5274" s="291"/>
      <c r="N5274" s="291"/>
      <c r="O5274" s="291"/>
      <c r="P5274" s="291"/>
      <c r="S5274" s="364"/>
      <c r="Z5274" s="609" t="s">
        <v>4433</v>
      </c>
      <c r="AA5274" s="609"/>
    </row>
    <row r="5275" spans="1:27" ht="18">
      <c r="A5275" s="2712"/>
      <c r="B5275" s="371"/>
      <c r="C5275" s="371" t="s">
        <v>2755</v>
      </c>
      <c r="D5275" s="371"/>
      <c r="F5275" s="294"/>
      <c r="G5275" s="301"/>
      <c r="H5275" s="315"/>
      <c r="I5275" s="393"/>
      <c r="J5275" s="315"/>
      <c r="K5275" s="349"/>
      <c r="L5275" s="350"/>
      <c r="M5275" s="291"/>
      <c r="N5275" s="291"/>
      <c r="O5275" s="291"/>
      <c r="P5275" s="291"/>
      <c r="S5275" s="364"/>
      <c r="Z5275" s="609" t="s">
        <v>4433</v>
      </c>
      <c r="AA5275" s="609"/>
    </row>
    <row r="5276" spans="1:27" ht="17.25">
      <c r="A5276" s="2713">
        <v>9371</v>
      </c>
      <c r="B5276" s="371">
        <v>84</v>
      </c>
      <c r="C5276" s="2714" t="str">
        <f>VLOOKUP($A5276,Sheet_Items,2,0)</f>
        <v>政府补助</v>
      </c>
      <c r="D5276" s="371"/>
      <c r="E5276" s="2714" t="s">
        <v>2739</v>
      </c>
      <c r="F5276" s="371"/>
      <c r="G5276" s="305" t="str">
        <f>B5276&amp;" "&amp;C5276</f>
        <v>84 政府补助</v>
      </c>
      <c r="H5276" s="306"/>
      <c r="I5276" s="306"/>
      <c r="J5276" s="306"/>
      <c r="K5276" s="341"/>
      <c r="L5276" s="342"/>
      <c r="M5276" s="306"/>
      <c r="N5276" s="341"/>
      <c r="O5276" s="342"/>
      <c r="P5276" s="301"/>
      <c r="S5276" s="364"/>
      <c r="Z5276" s="609" t="s">
        <v>2158</v>
      </c>
      <c r="AA5276" s="609" t="s">
        <v>19</v>
      </c>
    </row>
    <row r="5277" spans="1:27" ht="18">
      <c r="A5277" s="2712" t="s">
        <v>2156</v>
      </c>
      <c r="B5277" s="371">
        <v>1</v>
      </c>
      <c r="C5277" s="371"/>
      <c r="D5277" s="2714" t="str">
        <f>VLOOKUP($A5277,Sheet_NoteList,2,0)</f>
        <v>与资产相关的政府补助</v>
      </c>
      <c r="E5277" s="2714" t="s">
        <v>2742</v>
      </c>
      <c r="F5277" s="293"/>
      <c r="G5277" s="372" t="str">
        <f>"("&amp;B5277&amp;")"&amp;D5277</f>
        <v>(1)与资产相关的政府补助</v>
      </c>
      <c r="H5277" s="1515" t="str">
        <f>$A5277</f>
        <v>9371h</v>
      </c>
      <c r="I5277" s="343" t="s">
        <v>2743</v>
      </c>
      <c r="J5277" s="301" t="s">
        <v>2744</v>
      </c>
      <c r="K5277" s="2208">
        <f>J5290</f>
        <v>0</v>
      </c>
      <c r="L5277" s="349"/>
      <c r="M5277" s="301" t="s">
        <v>2745</v>
      </c>
      <c r="N5277" s="2208">
        <f>K5290</f>
        <v>0</v>
      </c>
      <c r="O5277" s="349"/>
      <c r="P5277" s="301"/>
      <c r="S5277" s="364"/>
      <c r="Z5277" s="609" t="s">
        <v>2158</v>
      </c>
      <c r="AA5277" s="609" t="s">
        <v>19</v>
      </c>
    </row>
    <row r="5278" spans="1:27" ht="0.75" customHeight="1">
      <c r="A5278" s="2712"/>
      <c r="B5278" s="371"/>
      <c r="C5278" s="371"/>
      <c r="D5278" s="2714"/>
      <c r="F5278" s="371"/>
      <c r="G5278" s="405" t="s">
        <v>4648</v>
      </c>
      <c r="H5278" s="371" t="s">
        <v>2747</v>
      </c>
      <c r="I5278" s="371" t="s">
        <v>2821</v>
      </c>
      <c r="J5278" s="371" t="s">
        <v>2948</v>
      </c>
      <c r="K5278" s="371" t="s">
        <v>3359</v>
      </c>
      <c r="L5278" s="547" t="s">
        <v>4649</v>
      </c>
      <c r="M5278" s="433"/>
      <c r="N5278" s="428"/>
      <c r="O5278" s="428"/>
      <c r="P5278" s="433"/>
      <c r="Q5278" s="442"/>
      <c r="R5278" s="443"/>
      <c r="S5278" s="364"/>
      <c r="Z5278" s="609" t="s">
        <v>2158</v>
      </c>
      <c r="AA5278" s="609" t="s">
        <v>19</v>
      </c>
    </row>
    <row r="5279" spans="1:27" ht="0.75" customHeight="1" thickBot="1">
      <c r="A5279" s="2712"/>
      <c r="B5279" s="371"/>
      <c r="C5279" s="371"/>
      <c r="D5279" s="2714"/>
      <c r="F5279" s="371"/>
      <c r="G5279" s="405"/>
      <c r="H5279" s="371" t="s">
        <v>4650</v>
      </c>
      <c r="I5279" s="371" t="s">
        <v>4651</v>
      </c>
      <c r="J5279" s="371" t="s">
        <v>4652</v>
      </c>
      <c r="K5279" s="547" t="s">
        <v>4653</v>
      </c>
      <c r="L5279" s="547" t="s">
        <v>4654</v>
      </c>
      <c r="M5279" s="433"/>
      <c r="N5279" s="428"/>
      <c r="O5279" s="428"/>
      <c r="P5279" s="433"/>
      <c r="Q5279" s="442"/>
      <c r="R5279" s="443"/>
      <c r="S5279" s="364"/>
      <c r="Z5279" s="609" t="s">
        <v>2158</v>
      </c>
      <c r="AA5279" s="609" t="s">
        <v>19</v>
      </c>
    </row>
    <row r="5280" spans="1:27" ht="25.5" customHeight="1">
      <c r="A5280" s="2712"/>
      <c r="B5280" s="371"/>
      <c r="C5280" s="371"/>
      <c r="D5280" s="2714"/>
      <c r="E5280" s="2714" t="s">
        <v>2749</v>
      </c>
      <c r="F5280" s="293"/>
      <c r="G5280" s="3541" t="s">
        <v>5492</v>
      </c>
      <c r="H5280" s="3519" t="s">
        <v>2887</v>
      </c>
      <c r="I5280" s="3519" t="s">
        <v>4655</v>
      </c>
      <c r="J5280" s="3519" t="s">
        <v>4656</v>
      </c>
      <c r="K5280" s="3519"/>
      <c r="L5280" s="3574" t="s">
        <v>4657</v>
      </c>
      <c r="M5280" s="2670" t="s">
        <v>5345</v>
      </c>
      <c r="N5280" s="428"/>
      <c r="O5280" s="428"/>
      <c r="P5280" s="433"/>
      <c r="Q5280" s="442"/>
      <c r="R5280" s="443"/>
      <c r="S5280" s="364"/>
      <c r="Z5280" s="609" t="s">
        <v>2158</v>
      </c>
      <c r="AA5280" s="609" t="s">
        <v>19</v>
      </c>
    </row>
    <row r="5281" spans="1:27" ht="28.5" customHeight="1">
      <c r="A5281" s="2712"/>
      <c r="B5281" s="371"/>
      <c r="C5281" s="371"/>
      <c r="D5281" s="2714"/>
      <c r="E5281" s="2714" t="s">
        <v>2749</v>
      </c>
      <c r="F5281" s="293"/>
      <c r="G5281" s="3542"/>
      <c r="H5281" s="3520"/>
      <c r="I5281" s="3520"/>
      <c r="J5281" s="408" t="str">
        <f>$V$4</f>
        <v>2019年度</v>
      </c>
      <c r="K5281" s="420" t="str">
        <f>$V$5</f>
        <v>2018年度</v>
      </c>
      <c r="L5281" s="3575"/>
      <c r="M5281" s="1509"/>
      <c r="N5281" s="434"/>
      <c r="O5281" s="434"/>
      <c r="P5281" s="1509"/>
      <c r="Q5281" s="442"/>
      <c r="R5281" s="443"/>
      <c r="S5281" s="364"/>
      <c r="Z5281" s="609" t="s">
        <v>2158</v>
      </c>
      <c r="AA5281" s="609" t="s">
        <v>19</v>
      </c>
    </row>
    <row r="5282" spans="1:27" ht="18">
      <c r="A5282" s="2712"/>
      <c r="B5282" s="371">
        <v>101</v>
      </c>
      <c r="C5282" s="371" t="s">
        <v>2791</v>
      </c>
      <c r="D5282" s="2714">
        <f t="shared" ref="D5282:D5290" si="567">IF(OR(G5282="*",G5282="",G5282=0),0,COUNTIF($G$5282:$G$5290,G5282))</f>
        <v>0</v>
      </c>
      <c r="E5282" s="2719">
        <v>1</v>
      </c>
      <c r="F5282" s="293"/>
      <c r="G5282" s="319" t="s">
        <v>2792</v>
      </c>
      <c r="H5282" s="309"/>
      <c r="I5282" s="430"/>
      <c r="J5282" s="309"/>
      <c r="K5282" s="320"/>
      <c r="L5282" s="388"/>
      <c r="M5282" s="2670" t="s">
        <v>6363</v>
      </c>
      <c r="N5282" s="2672" t="s">
        <v>6362</v>
      </c>
      <c r="O5282" s="437"/>
      <c r="P5282" s="438"/>
      <c r="Q5282" s="442"/>
      <c r="R5282" s="443"/>
      <c r="S5282" s="364"/>
      <c r="Z5282" s="609" t="s">
        <v>2158</v>
      </c>
      <c r="AA5282" s="609" t="s">
        <v>19</v>
      </c>
    </row>
    <row r="5283" spans="1:27" ht="18">
      <c r="A5283" s="2712"/>
      <c r="B5283" s="371">
        <v>102</v>
      </c>
      <c r="C5283" s="371" t="s">
        <v>2791</v>
      </c>
      <c r="D5283" s="2714">
        <f t="shared" si="567"/>
        <v>0</v>
      </c>
      <c r="E5283" s="2719">
        <v>1</v>
      </c>
      <c r="F5283" s="293"/>
      <c r="G5283" s="319" t="s">
        <v>2792</v>
      </c>
      <c r="H5283" s="309"/>
      <c r="I5283" s="430"/>
      <c r="J5283" s="309"/>
      <c r="K5283" s="320"/>
      <c r="L5283" s="388"/>
      <c r="M5283" s="438"/>
      <c r="N5283" s="2672" t="s">
        <v>1935</v>
      </c>
      <c r="O5283" s="437"/>
      <c r="P5283" s="438"/>
      <c r="Q5283" s="442"/>
      <c r="R5283" s="443"/>
      <c r="S5283" s="364"/>
      <c r="Z5283" s="609" t="s">
        <v>2158</v>
      </c>
      <c r="AA5283" s="609" t="s">
        <v>19</v>
      </c>
    </row>
    <row r="5284" spans="1:27" ht="18">
      <c r="A5284" s="2712"/>
      <c r="B5284" s="371">
        <v>103</v>
      </c>
      <c r="C5284" s="371" t="s">
        <v>2791</v>
      </c>
      <c r="D5284" s="2714">
        <f t="shared" si="567"/>
        <v>0</v>
      </c>
      <c r="E5284" s="2719">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2"/>
      <c r="B5285" s="371">
        <v>104</v>
      </c>
      <c r="C5285" s="371" t="s">
        <v>2791</v>
      </c>
      <c r="D5285" s="2714">
        <f t="shared" si="567"/>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2"/>
      <c r="B5286" s="371">
        <v>105</v>
      </c>
      <c r="C5286" s="371" t="s">
        <v>2791</v>
      </c>
      <c r="D5286" s="2714">
        <f t="shared" si="567"/>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2"/>
      <c r="B5287" s="371">
        <v>106</v>
      </c>
      <c r="C5287" s="371" t="s">
        <v>2791</v>
      </c>
      <c r="D5287" s="2714">
        <f t="shared" si="567"/>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
      <c r="A5288" s="2712"/>
      <c r="B5288" s="371">
        <v>107</v>
      </c>
      <c r="C5288" s="371" t="s">
        <v>2791</v>
      </c>
      <c r="D5288" s="2714">
        <f t="shared" si="567"/>
        <v>0</v>
      </c>
      <c r="E5288" s="2719">
        <v>1</v>
      </c>
      <c r="F5288" s="293"/>
      <c r="G5288" s="319" t="s">
        <v>2792</v>
      </c>
      <c r="H5288" s="309"/>
      <c r="I5288" s="430"/>
      <c r="J5288" s="309"/>
      <c r="K5288" s="320"/>
      <c r="L5288" s="388"/>
      <c r="M5288" s="438"/>
      <c r="N5288" s="439"/>
      <c r="O5288" s="437"/>
      <c r="P5288" s="438"/>
      <c r="Q5288" s="442"/>
      <c r="R5288" s="443"/>
      <c r="S5288" s="364"/>
      <c r="Z5288" s="609" t="s">
        <v>2158</v>
      </c>
      <c r="AA5288" s="609" t="s">
        <v>19</v>
      </c>
    </row>
    <row r="5289" spans="1:27" ht="18">
      <c r="A5289" s="2712"/>
      <c r="B5289" s="371">
        <v>108</v>
      </c>
      <c r="C5289" s="371" t="s">
        <v>2791</v>
      </c>
      <c r="D5289" s="2714">
        <f t="shared" si="567"/>
        <v>0</v>
      </c>
      <c r="E5289" s="2719">
        <v>1</v>
      </c>
      <c r="F5289" s="293"/>
      <c r="G5289" s="319" t="s">
        <v>2792</v>
      </c>
      <c r="H5289" s="309"/>
      <c r="I5289" s="430"/>
      <c r="J5289" s="309"/>
      <c r="K5289" s="320"/>
      <c r="L5289" s="388"/>
      <c r="M5289" s="438"/>
      <c r="N5289" s="439"/>
      <c r="O5289" s="437"/>
      <c r="P5289" s="438"/>
      <c r="Q5289" s="442"/>
      <c r="R5289" s="443"/>
      <c r="S5289" s="364"/>
      <c r="Z5289" s="609" t="s">
        <v>2158</v>
      </c>
      <c r="AA5289" s="609" t="s">
        <v>19</v>
      </c>
    </row>
    <row r="5290" spans="1:27" ht="18.75" thickBot="1">
      <c r="A5290" s="2712"/>
      <c r="B5290" s="371"/>
      <c r="C5290" s="371"/>
      <c r="D5290" s="2714">
        <f t="shared" si="567"/>
        <v>1</v>
      </c>
      <c r="E5290" s="2719" t="s">
        <v>2751</v>
      </c>
      <c r="F5290" s="293"/>
      <c r="G5290" s="374" t="s">
        <v>5491</v>
      </c>
      <c r="H5290" s="375">
        <f>SUMPRODUCT($E5281:$E5289,H5281:H5289)</f>
        <v>0</v>
      </c>
      <c r="I5290" s="551">
        <f>SUMPRODUCT($E5281:$E5289,I5281:I5289)</f>
        <v>0</v>
      </c>
      <c r="J5290" s="375">
        <f>SUMPRODUCT($E5281:$E5289,J5281:J5289)</f>
        <v>0</v>
      </c>
      <c r="K5290" s="375">
        <f>SUMPRODUCT($E5281:$E5289,K5281:K5289)</f>
        <v>0</v>
      </c>
      <c r="L5290" s="550"/>
      <c r="M5290" s="440"/>
      <c r="N5290" s="439"/>
      <c r="O5290" s="437"/>
      <c r="P5290" s="440"/>
      <c r="Q5290" s="442"/>
      <c r="R5290" s="443"/>
      <c r="S5290" s="364"/>
      <c r="Z5290" s="609" t="s">
        <v>2158</v>
      </c>
      <c r="AA5290" s="609" t="s">
        <v>19</v>
      </c>
    </row>
    <row r="5291" spans="1:27" ht="18">
      <c r="A5291" s="2712"/>
      <c r="B5291" s="371"/>
      <c r="C5291" s="371" t="s">
        <v>2755</v>
      </c>
      <c r="D5291" s="2714"/>
      <c r="F5291" s="293"/>
      <c r="G5291" s="376"/>
      <c r="H5291" s="315"/>
      <c r="I5291" s="432"/>
      <c r="J5291" s="315"/>
      <c r="K5291" s="423"/>
      <c r="L5291" s="393"/>
      <c r="M5291" s="425"/>
      <c r="N5291" s="426"/>
      <c r="O5291" s="427"/>
      <c r="P5291" s="425"/>
      <c r="Q5291" s="442"/>
      <c r="R5291" s="443"/>
      <c r="S5291" s="364"/>
      <c r="Z5291" s="609" t="s">
        <v>2158</v>
      </c>
      <c r="AA5291" s="609" t="s">
        <v>19</v>
      </c>
    </row>
    <row r="5292" spans="1:27" ht="18">
      <c r="A5292" s="2712" t="s">
        <v>2176</v>
      </c>
      <c r="B5292" s="371">
        <v>2</v>
      </c>
      <c r="C5292" s="371"/>
      <c r="D5292" s="2714" t="str">
        <f>VLOOKUP($A5292,Sheet_NoteList,2,0)</f>
        <v>与收益相关的政府补助</v>
      </c>
      <c r="E5292" s="2714" t="s">
        <v>2742</v>
      </c>
      <c r="F5292" s="293"/>
      <c r="G5292" s="372" t="str">
        <f>"("&amp;B5292&amp;")"&amp;D5292</f>
        <v>(2)与收益相关的政府补助</v>
      </c>
      <c r="H5292" s="1515" t="str">
        <f>$A5292</f>
        <v>9371i</v>
      </c>
      <c r="I5292" s="343" t="s">
        <v>2743</v>
      </c>
      <c r="J5292" s="301" t="s">
        <v>2744</v>
      </c>
      <c r="K5292" s="2208">
        <f>J5305</f>
        <v>0</v>
      </c>
      <c r="L5292" s="349"/>
      <c r="M5292" s="301" t="s">
        <v>2745</v>
      </c>
      <c r="N5292" s="2208">
        <f>K5305</f>
        <v>0</v>
      </c>
      <c r="O5292" s="349"/>
      <c r="P5292" s="301"/>
      <c r="S5292" s="364"/>
      <c r="Z5292" s="609" t="s">
        <v>2158</v>
      </c>
      <c r="AA5292" s="609" t="s">
        <v>19</v>
      </c>
    </row>
    <row r="5293" spans="1:27" ht="0.75" customHeight="1">
      <c r="A5293" s="2712"/>
      <c r="B5293" s="371"/>
      <c r="C5293" s="371"/>
      <c r="D5293" s="2714"/>
      <c r="F5293" s="371"/>
      <c r="G5293" s="405" t="s">
        <v>4658</v>
      </c>
      <c r="H5293" s="371" t="s">
        <v>2747</v>
      </c>
      <c r="I5293" s="371" t="s">
        <v>2821</v>
      </c>
      <c r="J5293" s="371" t="s">
        <v>2948</v>
      </c>
      <c r="K5293" s="547" t="s">
        <v>3034</v>
      </c>
      <c r="L5293" s="547" t="s">
        <v>4649</v>
      </c>
      <c r="M5293" s="433"/>
      <c r="N5293" s="428"/>
      <c r="O5293" s="428"/>
      <c r="P5293" s="433"/>
      <c r="Q5293" s="442"/>
      <c r="R5293" s="443"/>
      <c r="S5293" s="364"/>
      <c r="Z5293" s="609" t="s">
        <v>2158</v>
      </c>
      <c r="AA5293" s="609" t="s">
        <v>19</v>
      </c>
    </row>
    <row r="5294" spans="1:27" ht="0.75" customHeight="1" thickBot="1">
      <c r="A5294" s="2712"/>
      <c r="B5294" s="371"/>
      <c r="C5294" s="371"/>
      <c r="D5294" s="2714"/>
      <c r="F5294" s="371"/>
      <c r="G5294" s="405"/>
      <c r="H5294" s="371" t="s">
        <v>4650</v>
      </c>
      <c r="I5294" s="371" t="s">
        <v>4651</v>
      </c>
      <c r="J5294" s="371" t="s">
        <v>4652</v>
      </c>
      <c r="K5294" s="547" t="s">
        <v>4653</v>
      </c>
      <c r="L5294" s="547" t="s">
        <v>4654</v>
      </c>
      <c r="M5294" s="433"/>
      <c r="N5294" s="428"/>
      <c r="O5294" s="428"/>
      <c r="P5294" s="433"/>
      <c r="Q5294" s="442"/>
      <c r="R5294" s="443"/>
      <c r="S5294" s="364"/>
      <c r="Z5294" s="609" t="s">
        <v>2158</v>
      </c>
      <c r="AA5294" s="609" t="s">
        <v>19</v>
      </c>
    </row>
    <row r="5295" spans="1:27" ht="25.5" customHeight="1">
      <c r="A5295" s="2712"/>
      <c r="B5295" s="371"/>
      <c r="C5295" s="371"/>
      <c r="D5295" s="2714"/>
      <c r="E5295" s="2714" t="s">
        <v>2749</v>
      </c>
      <c r="F5295" s="293"/>
      <c r="G5295" s="3541" t="s">
        <v>5492</v>
      </c>
      <c r="H5295" s="3519" t="s">
        <v>2887</v>
      </c>
      <c r="I5295" s="3519" t="s">
        <v>4655</v>
      </c>
      <c r="J5295" s="3519" t="s">
        <v>4656</v>
      </c>
      <c r="K5295" s="3519"/>
      <c r="L5295" s="3574" t="s">
        <v>4657</v>
      </c>
      <c r="M5295" s="355" t="s">
        <v>5345</v>
      </c>
      <c r="N5295" s="428"/>
      <c r="O5295" s="428"/>
      <c r="P5295" s="433"/>
      <c r="Q5295" s="442"/>
      <c r="R5295" s="443"/>
      <c r="S5295" s="364"/>
      <c r="Z5295" s="609" t="s">
        <v>2158</v>
      </c>
      <c r="AA5295" s="609" t="s">
        <v>19</v>
      </c>
    </row>
    <row r="5296" spans="1:27" ht="26.25" customHeight="1">
      <c r="A5296" s="2712"/>
      <c r="B5296" s="371"/>
      <c r="C5296" s="371"/>
      <c r="D5296" s="2714"/>
      <c r="E5296" s="2714" t="s">
        <v>2749</v>
      </c>
      <c r="F5296" s="293"/>
      <c r="G5296" s="3542"/>
      <c r="H5296" s="3520"/>
      <c r="I5296" s="3520"/>
      <c r="J5296" s="408" t="str">
        <f>$V$4</f>
        <v>2019年度</v>
      </c>
      <c r="K5296" s="2237" t="str">
        <f>$V$5</f>
        <v>2018年度</v>
      </c>
      <c r="L5296" s="3575"/>
      <c r="M5296" s="435"/>
      <c r="N5296" s="434"/>
      <c r="O5296" s="434"/>
      <c r="P5296" s="435"/>
      <c r="Q5296" s="442"/>
      <c r="R5296" s="443"/>
      <c r="S5296" s="364"/>
      <c r="Z5296" s="609" t="s">
        <v>2158</v>
      </c>
      <c r="AA5296" s="609" t="s">
        <v>19</v>
      </c>
    </row>
    <row r="5297" spans="1:27" ht="18">
      <c r="A5297" s="2712"/>
      <c r="B5297" s="371">
        <v>101</v>
      </c>
      <c r="C5297" s="371" t="s">
        <v>2791</v>
      </c>
      <c r="D5297" s="2714">
        <f t="shared" ref="D5297:D5305" si="568">IF(OR(G5297="*",G5297="",G5297=0),0,COUNTIF($G$5297:$G$5305,G5297))</f>
        <v>0</v>
      </c>
      <c r="E5297" s="2719">
        <v>1</v>
      </c>
      <c r="F5297" s="293"/>
      <c r="G5297" s="319" t="s">
        <v>2792</v>
      </c>
      <c r="H5297" s="309"/>
      <c r="I5297" s="430"/>
      <c r="J5297" s="309"/>
      <c r="K5297" s="320"/>
      <c r="L5297" s="388"/>
      <c r="M5297" s="2670" t="s">
        <v>6363</v>
      </c>
      <c r="N5297" s="2672" t="s">
        <v>6362</v>
      </c>
      <c r="O5297" s="437"/>
      <c r="P5297" s="438"/>
      <c r="Q5297" s="442"/>
      <c r="R5297" s="443"/>
      <c r="S5297" s="364"/>
      <c r="Z5297" s="609" t="s">
        <v>2158</v>
      </c>
      <c r="AA5297" s="609" t="s">
        <v>19</v>
      </c>
    </row>
    <row r="5298" spans="1:27" ht="18">
      <c r="A5298" s="2712"/>
      <c r="B5298" s="371">
        <v>102</v>
      </c>
      <c r="C5298" s="371" t="s">
        <v>2791</v>
      </c>
      <c r="D5298" s="2714">
        <f t="shared" si="568"/>
        <v>0</v>
      </c>
      <c r="E5298" s="2719">
        <v>1</v>
      </c>
      <c r="F5298" s="293"/>
      <c r="G5298" s="319" t="s">
        <v>2792</v>
      </c>
      <c r="H5298" s="309"/>
      <c r="I5298" s="430"/>
      <c r="J5298" s="309"/>
      <c r="K5298" s="320"/>
      <c r="L5298" s="388"/>
      <c r="M5298" s="438"/>
      <c r="N5298" s="2672" t="s">
        <v>1935</v>
      </c>
      <c r="O5298" s="437"/>
      <c r="P5298" s="438"/>
      <c r="Q5298" s="442"/>
      <c r="R5298" s="443"/>
      <c r="S5298" s="364"/>
      <c r="Z5298" s="609" t="s">
        <v>2158</v>
      </c>
      <c r="AA5298" s="609" t="s">
        <v>19</v>
      </c>
    </row>
    <row r="5299" spans="1:27" ht="18">
      <c r="A5299" s="2712"/>
      <c r="B5299" s="371">
        <v>103</v>
      </c>
      <c r="C5299" s="371" t="s">
        <v>2791</v>
      </c>
      <c r="D5299" s="2714">
        <f t="shared" si="568"/>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2"/>
      <c r="B5300" s="371">
        <v>104</v>
      </c>
      <c r="C5300" s="371" t="s">
        <v>2791</v>
      </c>
      <c r="D5300" s="2714">
        <f t="shared" si="568"/>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2"/>
      <c r="B5301" s="371">
        <v>105</v>
      </c>
      <c r="C5301" s="371" t="s">
        <v>2791</v>
      </c>
      <c r="D5301" s="2714">
        <f t="shared" si="568"/>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2"/>
      <c r="B5302" s="371">
        <v>106</v>
      </c>
      <c r="C5302" s="371" t="s">
        <v>2791</v>
      </c>
      <c r="D5302" s="2714">
        <f t="shared" si="568"/>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
      <c r="A5303" s="2712"/>
      <c r="B5303" s="371">
        <v>107</v>
      </c>
      <c r="C5303" s="371" t="s">
        <v>2791</v>
      </c>
      <c r="D5303" s="2714">
        <f t="shared" si="568"/>
        <v>0</v>
      </c>
      <c r="E5303" s="2719">
        <v>1</v>
      </c>
      <c r="F5303" s="293"/>
      <c r="G5303" s="319" t="s">
        <v>2792</v>
      </c>
      <c r="H5303" s="309"/>
      <c r="I5303" s="430"/>
      <c r="J5303" s="309"/>
      <c r="K5303" s="320"/>
      <c r="L5303" s="388"/>
      <c r="M5303" s="438"/>
      <c r="N5303" s="439"/>
      <c r="O5303" s="437"/>
      <c r="P5303" s="438"/>
      <c r="Q5303" s="442"/>
      <c r="R5303" s="443"/>
      <c r="S5303" s="364"/>
      <c r="Z5303" s="609" t="s">
        <v>2158</v>
      </c>
      <c r="AA5303" s="609" t="s">
        <v>19</v>
      </c>
    </row>
    <row r="5304" spans="1:27" ht="18">
      <c r="A5304" s="2712"/>
      <c r="B5304" s="371">
        <v>108</v>
      </c>
      <c r="C5304" s="371" t="s">
        <v>2791</v>
      </c>
      <c r="D5304" s="2714">
        <f t="shared" si="568"/>
        <v>0</v>
      </c>
      <c r="E5304" s="2719">
        <v>1</v>
      </c>
      <c r="F5304" s="293"/>
      <c r="G5304" s="319" t="s">
        <v>2792</v>
      </c>
      <c r="H5304" s="309"/>
      <c r="I5304" s="430"/>
      <c r="J5304" s="309"/>
      <c r="K5304" s="320"/>
      <c r="L5304" s="388"/>
      <c r="M5304" s="438"/>
      <c r="N5304" s="439"/>
      <c r="O5304" s="437"/>
      <c r="P5304" s="438"/>
      <c r="Q5304" s="442"/>
      <c r="R5304" s="443"/>
      <c r="S5304" s="364"/>
      <c r="Z5304" s="609" t="s">
        <v>2158</v>
      </c>
      <c r="AA5304" s="609" t="s">
        <v>19</v>
      </c>
    </row>
    <row r="5305" spans="1:27" ht="18.75" thickBot="1">
      <c r="A5305" s="2712"/>
      <c r="B5305" s="371"/>
      <c r="C5305" s="371"/>
      <c r="D5305" s="2714">
        <f t="shared" si="568"/>
        <v>1</v>
      </c>
      <c r="E5305" s="2719" t="s">
        <v>2751</v>
      </c>
      <c r="F5305" s="293"/>
      <c r="G5305" s="374" t="s">
        <v>2752</v>
      </c>
      <c r="H5305" s="375">
        <f>SUMPRODUCT($E5296:$E5304,H5296:H5304)</f>
        <v>0</v>
      </c>
      <c r="I5305" s="551">
        <f>SUMPRODUCT($E5296:$E5304,I5296:I5304)</f>
        <v>0</v>
      </c>
      <c r="J5305" s="375">
        <f>SUMPRODUCT($E5296:$E5304,J5296:J5304)</f>
        <v>0</v>
      </c>
      <c r="K5305" s="2323">
        <f>SUMPRODUCT($E5296:$E5304,K5296:K5304)</f>
        <v>0</v>
      </c>
      <c r="L5305" s="550"/>
      <c r="M5305" s="440"/>
      <c r="N5305" s="439"/>
      <c r="O5305" s="437"/>
      <c r="P5305" s="440"/>
      <c r="Q5305" s="442"/>
      <c r="R5305" s="443"/>
      <c r="S5305" s="364"/>
      <c r="Z5305" s="609" t="s">
        <v>2158</v>
      </c>
      <c r="AA5305" s="609" t="s">
        <v>19</v>
      </c>
    </row>
    <row r="5306" spans="1:27" ht="18">
      <c r="A5306" s="2712"/>
      <c r="B5306" s="371"/>
      <c r="C5306" s="371" t="s">
        <v>2755</v>
      </c>
      <c r="D5306" s="2714"/>
      <c r="F5306" s="293"/>
      <c r="G5306" s="376"/>
      <c r="H5306" s="315"/>
      <c r="I5306" s="432"/>
      <c r="J5306" s="315"/>
      <c r="K5306" s="423"/>
      <c r="L5306" s="393"/>
      <c r="M5306" s="425"/>
      <c r="N5306" s="426"/>
      <c r="O5306" s="427"/>
      <c r="P5306" s="425"/>
      <c r="Q5306" s="442"/>
      <c r="R5306" s="443"/>
      <c r="S5306" s="364"/>
      <c r="Z5306" s="609" t="s">
        <v>2158</v>
      </c>
      <c r="AA5306" s="609" t="s">
        <v>19</v>
      </c>
    </row>
    <row r="5307" spans="1:27" ht="18">
      <c r="A5307" s="2712" t="s">
        <v>2178</v>
      </c>
      <c r="B5307" s="371">
        <v>3</v>
      </c>
      <c r="C5307" s="371"/>
      <c r="D5307" s="2714" t="str">
        <f>VLOOKUP($A5307,Sheet_NoteList,2,0)</f>
        <v>政府补助退回情况</v>
      </c>
      <c r="E5307" s="2714" t="s">
        <v>2742</v>
      </c>
      <c r="F5307" s="293"/>
      <c r="G5307" s="372" t="str">
        <f>"("&amp;B5307&amp;")"&amp;D5307</f>
        <v>(3)政府补助退回情况</v>
      </c>
      <c r="H5307" s="1515" t="str">
        <f>$A5307</f>
        <v>9371j</v>
      </c>
      <c r="I5307" s="343" t="s">
        <v>2743</v>
      </c>
      <c r="J5307" s="301" t="s">
        <v>2744</v>
      </c>
      <c r="K5307" s="2208">
        <f>H5318</f>
        <v>0</v>
      </c>
      <c r="L5307" s="349"/>
      <c r="M5307" s="301" t="s">
        <v>2745</v>
      </c>
      <c r="N5307" s="2208">
        <f>I5318</f>
        <v>0</v>
      </c>
      <c r="O5307" s="349"/>
      <c r="P5307" s="301"/>
      <c r="S5307" s="364"/>
      <c r="Z5307" s="609" t="s">
        <v>2158</v>
      </c>
      <c r="AA5307" s="609" t="s">
        <v>19</v>
      </c>
    </row>
    <row r="5308" spans="1:27" ht="0.75" customHeight="1" thickBot="1">
      <c r="A5308" s="2712"/>
      <c r="B5308" s="371"/>
      <c r="C5308" s="371"/>
      <c r="D5308" s="2714"/>
      <c r="F5308" s="371"/>
      <c r="G5308" s="405" t="s">
        <v>4659</v>
      </c>
      <c r="H5308" s="371" t="s">
        <v>2747</v>
      </c>
      <c r="I5308" s="371" t="s">
        <v>2821</v>
      </c>
      <c r="J5308" s="433"/>
      <c r="K5308" s="428"/>
      <c r="L5308" s="428"/>
      <c r="M5308" s="433"/>
      <c r="N5308" s="428"/>
      <c r="O5308" s="428"/>
      <c r="P5308" s="433"/>
      <c r="Q5308" s="442"/>
      <c r="R5308" s="443"/>
      <c r="S5308" s="364"/>
      <c r="Z5308" s="609" t="s">
        <v>2158</v>
      </c>
      <c r="AA5308" s="609" t="s">
        <v>19</v>
      </c>
    </row>
    <row r="5309" spans="1:27" ht="18">
      <c r="A5309" s="2712"/>
      <c r="B5309" s="371"/>
      <c r="C5309" s="371"/>
      <c r="D5309" s="2714"/>
      <c r="E5309" s="2714" t="s">
        <v>2749</v>
      </c>
      <c r="F5309" s="293"/>
      <c r="G5309" s="373" t="s">
        <v>47</v>
      </c>
      <c r="H5309" s="406" t="s">
        <v>2887</v>
      </c>
      <c r="I5309" s="417" t="s">
        <v>4660</v>
      </c>
      <c r="J5309" s="355" t="s">
        <v>5345</v>
      </c>
      <c r="K5309" s="434"/>
      <c r="L5309" s="434"/>
      <c r="M5309" s="435"/>
      <c r="N5309" s="434"/>
      <c r="O5309" s="434"/>
      <c r="P5309" s="435"/>
      <c r="Q5309" s="442"/>
      <c r="R5309" s="443"/>
      <c r="S5309" s="364"/>
      <c r="Z5309" s="609" t="s">
        <v>2158</v>
      </c>
      <c r="AA5309" s="609" t="s">
        <v>19</v>
      </c>
    </row>
    <row r="5310" spans="1:27" ht="18">
      <c r="A5310" s="2712"/>
      <c r="B5310" s="371">
        <v>101</v>
      </c>
      <c r="C5310" s="371" t="s">
        <v>2791</v>
      </c>
      <c r="D5310" s="2714">
        <f t="shared" ref="D5310:D5318" si="569">IF(OR(G5310="*",G5310="",G5310=0),0,COUNTIF($G$5310:$G$5318,G5310))</f>
        <v>0</v>
      </c>
      <c r="E5310" s="2719">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2"/>
      <c r="B5311" s="371">
        <v>102</v>
      </c>
      <c r="C5311" s="371" t="s">
        <v>2791</v>
      </c>
      <c r="D5311" s="2714">
        <f t="shared" si="569"/>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2"/>
      <c r="B5312" s="371">
        <v>103</v>
      </c>
      <c r="C5312" s="371" t="s">
        <v>2791</v>
      </c>
      <c r="D5312" s="2714">
        <f t="shared" si="569"/>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2"/>
      <c r="B5313" s="371">
        <v>104</v>
      </c>
      <c r="C5313" s="371" t="s">
        <v>2791</v>
      </c>
      <c r="D5313" s="2714">
        <f t="shared" si="569"/>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2"/>
      <c r="B5314" s="371">
        <v>105</v>
      </c>
      <c r="C5314" s="371" t="s">
        <v>2791</v>
      </c>
      <c r="D5314" s="2714">
        <f t="shared" si="569"/>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2"/>
      <c r="B5315" s="371">
        <v>106</v>
      </c>
      <c r="C5315" s="371" t="s">
        <v>2791</v>
      </c>
      <c r="D5315" s="2714">
        <f t="shared" si="569"/>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
      <c r="A5316" s="2712"/>
      <c r="B5316" s="371">
        <v>107</v>
      </c>
      <c r="C5316" s="371" t="s">
        <v>2791</v>
      </c>
      <c r="D5316" s="2714">
        <f t="shared" si="569"/>
        <v>0</v>
      </c>
      <c r="E5316" s="2719">
        <v>1</v>
      </c>
      <c r="F5316" s="293"/>
      <c r="G5316" s="319" t="s">
        <v>2792</v>
      </c>
      <c r="H5316" s="309"/>
      <c r="I5316" s="444"/>
      <c r="J5316" s="438"/>
      <c r="K5316" s="439"/>
      <c r="L5316" s="437"/>
      <c r="M5316" s="438"/>
      <c r="N5316" s="439"/>
      <c r="O5316" s="437"/>
      <c r="P5316" s="438"/>
      <c r="Q5316" s="442"/>
      <c r="R5316" s="443"/>
      <c r="S5316" s="364"/>
      <c r="Z5316" s="609" t="s">
        <v>2158</v>
      </c>
      <c r="AA5316" s="609" t="s">
        <v>19</v>
      </c>
    </row>
    <row r="5317" spans="1:27" ht="18">
      <c r="A5317" s="2712"/>
      <c r="B5317" s="371">
        <v>108</v>
      </c>
      <c r="C5317" s="371" t="s">
        <v>2791</v>
      </c>
      <c r="D5317" s="2714">
        <f t="shared" si="569"/>
        <v>0</v>
      </c>
      <c r="E5317" s="2719">
        <v>1</v>
      </c>
      <c r="F5317" s="293"/>
      <c r="G5317" s="319" t="s">
        <v>2792</v>
      </c>
      <c r="H5317" s="309"/>
      <c r="I5317" s="444"/>
      <c r="J5317" s="438"/>
      <c r="K5317" s="439"/>
      <c r="L5317" s="437"/>
      <c r="M5317" s="438"/>
      <c r="N5317" s="439"/>
      <c r="O5317" s="437"/>
      <c r="P5317" s="438"/>
      <c r="Q5317" s="442"/>
      <c r="R5317" s="443"/>
      <c r="S5317" s="364"/>
      <c r="Z5317" s="609" t="s">
        <v>2158</v>
      </c>
      <c r="AA5317" s="609" t="s">
        <v>19</v>
      </c>
    </row>
    <row r="5318" spans="1:27" ht="18.75" thickBot="1">
      <c r="A5318" s="2712"/>
      <c r="B5318" s="371"/>
      <c r="C5318" s="371"/>
      <c r="D5318" s="2714">
        <f t="shared" si="569"/>
        <v>1</v>
      </c>
      <c r="E5318" s="2719" t="s">
        <v>2751</v>
      </c>
      <c r="F5318" s="293"/>
      <c r="G5318" s="374" t="s">
        <v>2752</v>
      </c>
      <c r="H5318" s="375">
        <f>SUMPRODUCT($E5309:$E5317,H5309:H5317)</f>
        <v>0</v>
      </c>
      <c r="I5318" s="552">
        <f>SUMPRODUCT($E5309:$E5317,I5309:I5317)</f>
        <v>0</v>
      </c>
      <c r="J5318" s="440"/>
      <c r="K5318" s="439"/>
      <c r="L5318" s="437"/>
      <c r="M5318" s="440"/>
      <c r="N5318" s="439"/>
      <c r="O5318" s="437"/>
      <c r="P5318" s="440"/>
      <c r="Q5318" s="442"/>
      <c r="R5318" s="443"/>
      <c r="S5318" s="364"/>
      <c r="Z5318" s="609" t="s">
        <v>2158</v>
      </c>
      <c r="AA5318" s="609" t="s">
        <v>19</v>
      </c>
    </row>
    <row r="5319" spans="1:27" ht="18">
      <c r="A5319" s="2712"/>
      <c r="B5319" s="371"/>
      <c r="C5319" s="371" t="s">
        <v>2755</v>
      </c>
      <c r="D5319" s="2714"/>
      <c r="F5319" s="293"/>
      <c r="G5319" s="376"/>
      <c r="H5319" s="315"/>
      <c r="I5319" s="432"/>
      <c r="J5319" s="425"/>
      <c r="K5319" s="426"/>
      <c r="L5319" s="427"/>
      <c r="M5319" s="425"/>
      <c r="N5319" s="426"/>
      <c r="O5319" s="427"/>
      <c r="P5319" s="425"/>
      <c r="Q5319" s="442"/>
      <c r="R5319" s="443"/>
      <c r="S5319" s="364"/>
      <c r="Z5319" s="609" t="s">
        <v>2158</v>
      </c>
      <c r="AA5319" s="609" t="s">
        <v>19</v>
      </c>
    </row>
    <row r="5320" spans="1:27" ht="18">
      <c r="A5320" s="2712">
        <v>9325</v>
      </c>
      <c r="B5320" s="371" t="s">
        <v>6566</v>
      </c>
      <c r="C5320" s="2714" t="str">
        <f>VLOOKUP($A5320,Sheet_Items,2,0)</f>
        <v>与金融工具相关的风险</v>
      </c>
      <c r="D5320" s="371"/>
      <c r="E5320" s="2714" t="s">
        <v>2739</v>
      </c>
      <c r="F5320" s="294"/>
      <c r="G5320" s="305" t="str">
        <f>B5320&amp;" "&amp;C5320</f>
        <v>八 与金融工具相关的风险</v>
      </c>
      <c r="H5320" s="306"/>
      <c r="I5320" s="306"/>
      <c r="J5320" s="306"/>
      <c r="K5320" s="539"/>
      <c r="L5320" s="342"/>
      <c r="M5320" s="306"/>
      <c r="N5320" s="539"/>
      <c r="O5320" s="306"/>
      <c r="P5320" s="301"/>
      <c r="S5320" s="364"/>
      <c r="Z5320" s="609" t="s">
        <v>2105</v>
      </c>
      <c r="AA5320" s="609"/>
    </row>
    <row r="5321" spans="1:27" ht="24">
      <c r="A5321" s="2712" t="s">
        <v>2111</v>
      </c>
      <c r="B5321" s="371">
        <v>1</v>
      </c>
      <c r="C5321" s="371"/>
      <c r="D5321" s="2714" t="str">
        <f>VLOOKUP($A5321,Sheet_NoteList,2,0)</f>
        <v>本期末金融负债到期期限</v>
      </c>
      <c r="E5321" s="2714" t="s">
        <v>2742</v>
      </c>
      <c r="F5321" s="293"/>
      <c r="G5321" s="372" t="str">
        <f>"("&amp;B5321&amp;")"&amp;D5321</f>
        <v>(1)本期末金融负债到期期限</v>
      </c>
      <c r="H5321" s="1515" t="str">
        <f>$A5321</f>
        <v>9325g</v>
      </c>
      <c r="I5321" s="343" t="s">
        <v>2743</v>
      </c>
      <c r="J5321" s="301" t="s">
        <v>2744</v>
      </c>
      <c r="K5321" s="2208">
        <f>H5336</f>
        <v>0</v>
      </c>
      <c r="L5321" s="349"/>
      <c r="M5321" s="301" t="s">
        <v>2745</v>
      </c>
      <c r="N5321" s="2208">
        <f>I5336</f>
        <v>0</v>
      </c>
      <c r="O5321" s="349"/>
      <c r="P5321" s="301"/>
      <c r="S5321" s="364"/>
      <c r="Z5321" s="609" t="s">
        <v>2105</v>
      </c>
      <c r="AA5321" s="609" t="s">
        <v>19</v>
      </c>
    </row>
    <row r="5322" spans="1:27" ht="0.75" customHeight="1">
      <c r="A5322" s="2712"/>
      <c r="B5322" s="371"/>
      <c r="C5322" s="371"/>
      <c r="D5322" s="2714"/>
      <c r="F5322" s="371"/>
      <c r="G5322" s="405" t="s">
        <v>4485</v>
      </c>
      <c r="H5322" s="371" t="s">
        <v>2747</v>
      </c>
      <c r="I5322" s="371" t="s">
        <v>2748</v>
      </c>
      <c r="J5322" s="371" t="s">
        <v>2948</v>
      </c>
      <c r="K5322" s="547" t="s">
        <v>3034</v>
      </c>
      <c r="L5322" s="547" t="s">
        <v>3035</v>
      </c>
      <c r="M5322" s="433"/>
      <c r="N5322" s="428"/>
      <c r="O5322" s="428"/>
      <c r="P5322" s="433"/>
      <c r="Q5322" s="442"/>
      <c r="R5322" s="443"/>
      <c r="S5322" s="364"/>
      <c r="Z5322" s="609" t="s">
        <v>2105</v>
      </c>
      <c r="AA5322" s="609" t="s">
        <v>19</v>
      </c>
    </row>
    <row r="5323" spans="1:27" ht="0.75" customHeight="1" thickBot="1">
      <c r="A5323" s="2712"/>
      <c r="B5323" s="371"/>
      <c r="C5323" s="371"/>
      <c r="D5323" s="2714"/>
      <c r="F5323" s="371"/>
      <c r="G5323" s="405"/>
      <c r="H5323" s="371" t="s">
        <v>4486</v>
      </c>
      <c r="I5323" s="371" t="s">
        <v>4487</v>
      </c>
      <c r="J5323" s="371" t="s">
        <v>4488</v>
      </c>
      <c r="K5323" s="547" t="s">
        <v>4489</v>
      </c>
      <c r="L5323" s="547" t="s">
        <v>4490</v>
      </c>
      <c r="M5323" s="433"/>
      <c r="N5323" s="428"/>
      <c r="O5323" s="428"/>
      <c r="P5323" s="433"/>
      <c r="Q5323" s="442"/>
      <c r="R5323" s="443"/>
      <c r="S5323" s="364"/>
      <c r="Z5323" s="609" t="s">
        <v>2105</v>
      </c>
      <c r="AA5323" s="609" t="s">
        <v>19</v>
      </c>
    </row>
    <row r="5324" spans="1:27" ht="18" customHeight="1" thickTop="1">
      <c r="A5324" s="2712"/>
      <c r="B5324" s="371"/>
      <c r="C5324" s="371"/>
      <c r="D5324" s="2714"/>
      <c r="E5324" s="2714" t="s">
        <v>2749</v>
      </c>
      <c r="F5324" s="293"/>
      <c r="G5324" s="3478" t="s">
        <v>47</v>
      </c>
      <c r="H5324" s="3459" t="str">
        <f>$V$2</f>
        <v>2019年12月31日</v>
      </c>
      <c r="I5324" s="3518"/>
      <c r="J5324" s="3518"/>
      <c r="K5324" s="3518"/>
      <c r="L5324" s="3518"/>
      <c r="M5324" s="355" t="s">
        <v>5346</v>
      </c>
      <c r="N5324" s="1534" t="s">
        <v>5539</v>
      </c>
      <c r="O5324" s="1534" t="s">
        <v>5540</v>
      </c>
      <c r="P5324" s="433"/>
      <c r="Q5324" s="442"/>
      <c r="R5324" s="443"/>
      <c r="S5324" s="364"/>
      <c r="Z5324" s="609" t="s">
        <v>2105</v>
      </c>
      <c r="AA5324" s="609" t="s">
        <v>19</v>
      </c>
    </row>
    <row r="5325" spans="1:27" ht="18">
      <c r="A5325" s="2712"/>
      <c r="B5325" s="371"/>
      <c r="C5325" s="371"/>
      <c r="D5325" s="2714"/>
      <c r="E5325" s="2714" t="s">
        <v>2749</v>
      </c>
      <c r="F5325" s="293"/>
      <c r="G5325" s="3479"/>
      <c r="H5325" s="2488" t="s">
        <v>4491</v>
      </c>
      <c r="I5325" s="2488" t="s">
        <v>4492</v>
      </c>
      <c r="J5325" s="2488" t="s">
        <v>2962</v>
      </c>
      <c r="K5325" s="2489" t="s">
        <v>2963</v>
      </c>
      <c r="L5325" s="2490" t="s">
        <v>3108</v>
      </c>
      <c r="M5325" s="435"/>
      <c r="N5325" s="1609"/>
      <c r="O5325" s="1609"/>
      <c r="P5325" s="435"/>
      <c r="Q5325" s="442"/>
      <c r="R5325" s="443"/>
      <c r="S5325" s="364"/>
      <c r="Z5325" s="609" t="s">
        <v>2105</v>
      </c>
      <c r="AA5325" s="609" t="s">
        <v>19</v>
      </c>
    </row>
    <row r="5326" spans="1:27" ht="18">
      <c r="A5326" s="2712"/>
      <c r="B5326" s="371">
        <v>101</v>
      </c>
      <c r="C5326" s="371"/>
      <c r="D5326" s="2714">
        <f t="shared" ref="D5326:D5336" si="570">IF(OR(G5326="*",G5326="",G5326=0),0,COUNTIF($G$5326:$G$5336,G5326))</f>
        <v>1</v>
      </c>
      <c r="E5326" s="2719">
        <v>1</v>
      </c>
      <c r="F5326" s="293"/>
      <c r="G5326" s="308" t="s">
        <v>454</v>
      </c>
      <c r="H5326" s="309"/>
      <c r="I5326" s="422"/>
      <c r="J5326" s="309"/>
      <c r="K5326" s="320"/>
      <c r="L5326" s="346"/>
      <c r="M5326" s="438"/>
      <c r="N5326" s="1586">
        <f ca="1">HYPERLINK("#'"&amp;$G$1&amp;"'!"&amp;ADDRESS(ROW(Notes!H3329),COLUMN(Notes!H3329),4),H3329)</f>
        <v>0</v>
      </c>
      <c r="O5326" s="1542">
        <f ca="1">N5326-SUM(H5326:L5326)</f>
        <v>0</v>
      </c>
      <c r="P5326" s="438"/>
      <c r="Q5326" s="442"/>
      <c r="R5326" s="443"/>
      <c r="S5326" s="364"/>
      <c r="Z5326" s="609" t="s">
        <v>2105</v>
      </c>
      <c r="AA5326" s="609" t="s">
        <v>19</v>
      </c>
    </row>
    <row r="5327" spans="1:27" ht="18">
      <c r="A5327" s="2712"/>
      <c r="B5327" s="371">
        <v>102</v>
      </c>
      <c r="C5327" s="371"/>
      <c r="D5327" s="2714">
        <f t="shared" si="570"/>
        <v>1</v>
      </c>
      <c r="E5327" s="2719">
        <v>1</v>
      </c>
      <c r="F5327" s="293"/>
      <c r="G5327" s="308" t="s">
        <v>462</v>
      </c>
      <c r="H5327" s="309"/>
      <c r="I5327" s="422"/>
      <c r="J5327" s="309"/>
      <c r="K5327" s="320"/>
      <c r="L5327" s="346"/>
      <c r="M5327" s="438"/>
      <c r="N5327" s="1586">
        <f ca="1">HYPERLINK("#'"&amp;$G$1&amp;"'!"&amp;ADDRESS(ROW(Notes!K3394),COLUMN(Notes!K3394),4),K3394)</f>
        <v>0</v>
      </c>
      <c r="O5327" s="1542">
        <f t="shared" ref="O5327:O5334" ca="1" si="571">N5327-SUM(H5327:L5327)</f>
        <v>0</v>
      </c>
      <c r="P5327" s="438"/>
      <c r="Q5327" s="442"/>
      <c r="R5327" s="443"/>
      <c r="S5327" s="364"/>
      <c r="Z5327" s="609" t="s">
        <v>2105</v>
      </c>
      <c r="AA5327" s="609" t="s">
        <v>19</v>
      </c>
    </row>
    <row r="5328" spans="1:27" ht="18">
      <c r="A5328" s="2712"/>
      <c r="B5328" s="371">
        <v>103</v>
      </c>
      <c r="C5328" s="371"/>
      <c r="D5328" s="2714">
        <f t="shared" si="570"/>
        <v>1</v>
      </c>
      <c r="E5328" s="2719">
        <v>1</v>
      </c>
      <c r="F5328" s="293"/>
      <c r="G5328" s="308" t="s">
        <v>471</v>
      </c>
      <c r="H5328" s="309"/>
      <c r="I5328" s="422"/>
      <c r="J5328" s="309"/>
      <c r="K5328" s="320"/>
      <c r="L5328" s="346"/>
      <c r="M5328" s="438"/>
      <c r="N5328" s="1586">
        <f ca="1">HYPERLINK("#'"&amp;$G$1&amp;"'!"&amp;ADDRESS(ROW(Notes!H3441),COLUMN(Notes!H3441),4),H3441)</f>
        <v>0</v>
      </c>
      <c r="O5328" s="1542">
        <f t="shared" ca="1" si="571"/>
        <v>0</v>
      </c>
      <c r="P5328" s="438"/>
      <c r="Q5328" s="442"/>
      <c r="R5328" s="443"/>
      <c r="S5328" s="364"/>
      <c r="Z5328" s="609" t="s">
        <v>2105</v>
      </c>
      <c r="AA5328" s="609" t="s">
        <v>19</v>
      </c>
    </row>
    <row r="5329" spans="1:27" ht="18">
      <c r="A5329" s="2712"/>
      <c r="B5329" s="371">
        <v>104</v>
      </c>
      <c r="C5329" s="371"/>
      <c r="D5329" s="2714">
        <f t="shared" si="570"/>
        <v>1</v>
      </c>
      <c r="E5329" s="2719">
        <v>1</v>
      </c>
      <c r="F5329" s="293"/>
      <c r="G5329" s="308" t="s">
        <v>476</v>
      </c>
      <c r="H5329" s="309"/>
      <c r="I5329" s="422"/>
      <c r="J5329" s="309"/>
      <c r="K5329" s="320"/>
      <c r="L5329" s="346"/>
      <c r="M5329" s="438"/>
      <c r="N5329" s="1586">
        <f ca="1">HYPERLINK("#'"&amp;$G$1&amp;"'!"&amp;ADDRESS(ROW(Notes!H3454),COLUMN(Notes!H3454),4),H3454)</f>
        <v>60014311.829999998</v>
      </c>
      <c r="O5329" s="1542">
        <f t="shared" ca="1" si="571"/>
        <v>60014311.829999998</v>
      </c>
      <c r="P5329" s="438"/>
      <c r="Q5329" s="442"/>
      <c r="R5329" s="443"/>
      <c r="S5329" s="364"/>
      <c r="Z5329" s="609" t="s">
        <v>2105</v>
      </c>
      <c r="AA5329" s="609" t="s">
        <v>19</v>
      </c>
    </row>
    <row r="5330" spans="1:27" ht="18">
      <c r="A5330" s="2712"/>
      <c r="B5330" s="371">
        <v>105</v>
      </c>
      <c r="C5330" s="371"/>
      <c r="D5330" s="2714">
        <f t="shared" si="570"/>
        <v>1</v>
      </c>
      <c r="E5330" s="2719">
        <v>1</v>
      </c>
      <c r="F5330" s="293"/>
      <c r="G5330" s="308" t="s">
        <v>499</v>
      </c>
      <c r="H5330" s="309"/>
      <c r="I5330" s="422"/>
      <c r="J5330" s="309"/>
      <c r="K5330" s="320"/>
      <c r="L5330" s="346"/>
      <c r="M5330" s="438"/>
      <c r="N5330" s="1586">
        <f ca="1">HYPERLINK("#'"&amp;$G$1&amp;"'!"&amp;ADDRESS(ROW(Notes!H3790),COLUMN(Notes!H3790),4),H3790)</f>
        <v>0</v>
      </c>
      <c r="O5330" s="1542">
        <f t="shared" ca="1" si="571"/>
        <v>0</v>
      </c>
      <c r="P5330" s="438"/>
      <c r="Q5330" s="442"/>
      <c r="R5330" s="443"/>
      <c r="S5330" s="364"/>
      <c r="Z5330" s="609" t="s">
        <v>2105</v>
      </c>
      <c r="AA5330" s="609" t="s">
        <v>19</v>
      </c>
    </row>
    <row r="5331" spans="1:27" ht="18">
      <c r="A5331" s="2712"/>
      <c r="B5331" s="371">
        <v>106</v>
      </c>
      <c r="C5331" s="371"/>
      <c r="D5331" s="2714">
        <f t="shared" si="570"/>
        <v>1</v>
      </c>
      <c r="E5331" s="2719">
        <v>1</v>
      </c>
      <c r="F5331" s="293"/>
      <c r="G5331" s="308" t="s">
        <v>513</v>
      </c>
      <c r="H5331" s="309"/>
      <c r="I5331" s="422"/>
      <c r="J5331" s="309"/>
      <c r="K5331" s="320"/>
      <c r="L5331" s="346"/>
      <c r="M5331" s="438"/>
      <c r="N5331" s="1586">
        <f ca="1">HYPERLINK("#'"&amp;$G$1&amp;"'!"&amp;ADDRESS(ROW(Notes!H3839),COLUMN(Notes!H3839),4),H3839)</f>
        <v>11058441.74</v>
      </c>
      <c r="O5331" s="1542">
        <f t="shared" ca="1" si="571"/>
        <v>11058441.74</v>
      </c>
      <c r="P5331" s="438"/>
      <c r="Q5331" s="442"/>
      <c r="R5331" s="443"/>
      <c r="S5331" s="364"/>
      <c r="Z5331" s="609" t="s">
        <v>2105</v>
      </c>
      <c r="AA5331" s="609" t="s">
        <v>19</v>
      </c>
    </row>
    <row r="5332" spans="1:27" ht="18">
      <c r="A5332" s="2712"/>
      <c r="B5332" s="371">
        <v>107</v>
      </c>
      <c r="C5332" s="371"/>
      <c r="D5332" s="2714">
        <f t="shared" si="570"/>
        <v>1</v>
      </c>
      <c r="E5332" s="2719">
        <v>1</v>
      </c>
      <c r="F5332" s="293"/>
      <c r="G5332" s="308" t="s">
        <v>546</v>
      </c>
      <c r="H5332" s="309"/>
      <c r="I5332" s="422"/>
      <c r="J5332" s="309"/>
      <c r="K5332" s="320"/>
      <c r="L5332" s="346"/>
      <c r="M5332" s="438"/>
      <c r="N5332" s="1586">
        <f ca="1">HYPERLINK("#'"&amp;$G$1&amp;"'!"&amp;ADDRESS(ROW(Notes!H4010),COLUMN(Notes!H4010),4),H4010)</f>
        <v>0</v>
      </c>
      <c r="O5332" s="1542">
        <f t="shared" ca="1" si="571"/>
        <v>0</v>
      </c>
      <c r="P5332" s="438"/>
      <c r="Q5332" s="442"/>
      <c r="R5332" s="443"/>
      <c r="S5332" s="364"/>
      <c r="Z5332" s="609" t="s">
        <v>2105</v>
      </c>
      <c r="AA5332" s="609" t="s">
        <v>19</v>
      </c>
    </row>
    <row r="5333" spans="1:27" ht="18">
      <c r="A5333" s="2712"/>
      <c r="B5333" s="371">
        <v>108</v>
      </c>
      <c r="C5333" s="371"/>
      <c r="D5333" s="2714">
        <f t="shared" si="570"/>
        <v>1</v>
      </c>
      <c r="E5333" s="2719">
        <v>1</v>
      </c>
      <c r="F5333" s="293"/>
      <c r="G5333" s="308" t="s">
        <v>550</v>
      </c>
      <c r="H5333" s="309"/>
      <c r="I5333" s="422"/>
      <c r="J5333" s="309"/>
      <c r="K5333" s="320"/>
      <c r="L5333" s="346"/>
      <c r="M5333" s="438"/>
      <c r="N5333" s="1586">
        <f ca="1">HYPERLINK("#'"&amp;$G$1&amp;"'!"&amp;ADDRESS(ROW(Notes!H4061),COLUMN(Notes!H4061),4),H4061)</f>
        <v>0</v>
      </c>
      <c r="O5333" s="1542">
        <f t="shared" ca="1" si="571"/>
        <v>0</v>
      </c>
      <c r="P5333" s="438"/>
      <c r="Q5333" s="442"/>
      <c r="R5333" s="443"/>
      <c r="S5333" s="364"/>
      <c r="Z5333" s="609" t="s">
        <v>2105</v>
      </c>
      <c r="AA5333" s="609" t="s">
        <v>19</v>
      </c>
    </row>
    <row r="5334" spans="1:27" ht="18">
      <c r="A5334" s="2712"/>
      <c r="B5334" s="371">
        <v>109</v>
      </c>
      <c r="C5334" s="371"/>
      <c r="D5334" s="2714">
        <f t="shared" si="570"/>
        <v>1</v>
      </c>
      <c r="E5334" s="2719">
        <v>1</v>
      </c>
      <c r="F5334" s="293"/>
      <c r="G5334" s="308" t="s">
        <v>554</v>
      </c>
      <c r="H5334" s="309"/>
      <c r="I5334" s="422"/>
      <c r="J5334" s="309"/>
      <c r="K5334" s="320"/>
      <c r="L5334" s="346"/>
      <c r="M5334" s="438"/>
      <c r="N5334" s="1586">
        <f ca="1">HYPERLINK("#'"&amp;$G$1&amp;"'!"&amp;ADDRESS(ROW(Notes!H4129),COLUMN(Notes!H4129),4),H4129)</f>
        <v>0</v>
      </c>
      <c r="O5334" s="1542">
        <f t="shared" ca="1" si="571"/>
        <v>0</v>
      </c>
      <c r="P5334" s="438"/>
      <c r="Q5334" s="442"/>
      <c r="R5334" s="443"/>
      <c r="S5334" s="364"/>
      <c r="Z5334" s="609" t="s">
        <v>2105</v>
      </c>
      <c r="AA5334" s="609" t="s">
        <v>19</v>
      </c>
    </row>
    <row r="5335" spans="1:27" ht="18">
      <c r="A5335" s="2712"/>
      <c r="B5335" s="371">
        <v>110</v>
      </c>
      <c r="C5335" s="371" t="s">
        <v>6533</v>
      </c>
      <c r="D5335" s="2714">
        <f t="shared" si="570"/>
        <v>0</v>
      </c>
      <c r="E5335" s="2719">
        <v>1</v>
      </c>
      <c r="F5335" s="293"/>
      <c r="G5335" s="1482" t="s">
        <v>2792</v>
      </c>
      <c r="H5335" s="309"/>
      <c r="I5335" s="422"/>
      <c r="J5335" s="309"/>
      <c r="K5335" s="320"/>
      <c r="L5335" s="346"/>
      <c r="M5335" s="438"/>
      <c r="O5335" s="1542"/>
      <c r="P5335" s="438"/>
      <c r="Q5335" s="442"/>
      <c r="R5335" s="443"/>
      <c r="S5335" s="364"/>
      <c r="Z5335" s="609" t="s">
        <v>2105</v>
      </c>
      <c r="AA5335" s="609" t="s">
        <v>19</v>
      </c>
    </row>
    <row r="5336" spans="1:27" ht="18.75" thickBot="1">
      <c r="A5336" s="2712"/>
      <c r="B5336" s="371"/>
      <c r="C5336" s="371"/>
      <c r="D5336" s="2714">
        <f t="shared" si="570"/>
        <v>1</v>
      </c>
      <c r="E5336" s="2719" t="s">
        <v>2751</v>
      </c>
      <c r="F5336" s="293"/>
      <c r="G5336" s="2232" t="s">
        <v>2752</v>
      </c>
      <c r="H5336" s="2233">
        <f>SUMPRODUCT($E5325:$E5335,H5325:H5335)</f>
        <v>0</v>
      </c>
      <c r="I5336" s="2233">
        <f>SUMPRODUCT($E5325:$E5335,I5325:I5335)</f>
        <v>0</v>
      </c>
      <c r="J5336" s="2233">
        <f>SUMPRODUCT($E5325:$E5335,J5325:J5335)</f>
        <v>0</v>
      </c>
      <c r="K5336" s="2233">
        <f>SUMPRODUCT($E5325:$E5335,K5325:K5335)</f>
        <v>0</v>
      </c>
      <c r="L5336" s="2234">
        <f>SUMPRODUCT($E5325:$E5335,L5325:L5335)</f>
        <v>0</v>
      </c>
      <c r="M5336" s="440"/>
      <c r="O5336" s="1555">
        <f ca="1">SUM(O5326:O5335)</f>
        <v>71072753.569999993</v>
      </c>
      <c r="P5336" s="440"/>
      <c r="Q5336" s="442"/>
      <c r="R5336" s="443"/>
      <c r="S5336" s="364"/>
      <c r="Z5336" s="609" t="s">
        <v>2105</v>
      </c>
      <c r="AA5336" s="609" t="s">
        <v>19</v>
      </c>
    </row>
    <row r="5337" spans="1:27" ht="18">
      <c r="A5337" s="2712"/>
      <c r="B5337" s="371"/>
      <c r="C5337" s="371" t="s">
        <v>2755</v>
      </c>
      <c r="D5337" s="2714"/>
      <c r="F5337" s="293"/>
      <c r="G5337" s="376"/>
      <c r="H5337" s="315"/>
      <c r="I5337" s="396"/>
      <c r="J5337" s="315"/>
      <c r="K5337" s="423"/>
      <c r="L5337" s="315"/>
      <c r="M5337" s="425"/>
      <c r="N5337" s="1583" t="s">
        <v>5493</v>
      </c>
      <c r="O5337" s="427"/>
      <c r="P5337" s="425"/>
      <c r="Q5337" s="442"/>
      <c r="R5337" s="443"/>
      <c r="S5337" s="364"/>
      <c r="Z5337" s="609" t="s">
        <v>2105</v>
      </c>
      <c r="AA5337" s="609" t="s">
        <v>19</v>
      </c>
    </row>
    <row r="5338" spans="1:27" ht="24">
      <c r="A5338" s="2712" t="s">
        <v>2113</v>
      </c>
      <c r="B5338" s="371">
        <v>2</v>
      </c>
      <c r="C5338" s="371"/>
      <c r="D5338" s="2714" t="str">
        <f>VLOOKUP($A5338,Sheet_NoteList,2,0)</f>
        <v>上期末金融负债到期期限</v>
      </c>
      <c r="E5338" s="2714" t="s">
        <v>2742</v>
      </c>
      <c r="F5338" s="293"/>
      <c r="G5338" s="372" t="str">
        <f>"("&amp;B5338&amp;")"&amp;D5338</f>
        <v>(2)上期末金融负债到期期限</v>
      </c>
      <c r="H5338" s="1515" t="str">
        <f>$A5338</f>
        <v>9325h</v>
      </c>
      <c r="I5338" s="343" t="s">
        <v>2743</v>
      </c>
      <c r="J5338" s="301" t="s">
        <v>2744</v>
      </c>
      <c r="K5338" s="2208">
        <f>H5353</f>
        <v>0</v>
      </c>
      <c r="L5338" s="349"/>
      <c r="M5338" s="301" t="s">
        <v>2745</v>
      </c>
      <c r="N5338" s="2208">
        <f>I5353</f>
        <v>0</v>
      </c>
      <c r="O5338" s="349"/>
      <c r="P5338" s="301"/>
      <c r="S5338" s="364"/>
      <c r="Z5338" s="609" t="s">
        <v>2105</v>
      </c>
      <c r="AA5338" s="609" t="s">
        <v>19</v>
      </c>
    </row>
    <row r="5339" spans="1:27" ht="0.75" customHeight="1">
      <c r="A5339" s="2712"/>
      <c r="B5339" s="371"/>
      <c r="C5339" s="371"/>
      <c r="D5339" s="2714"/>
      <c r="F5339" s="371"/>
      <c r="G5339" s="405" t="s">
        <v>4493</v>
      </c>
      <c r="H5339" s="371" t="s">
        <v>2747</v>
      </c>
      <c r="I5339" s="371" t="s">
        <v>2748</v>
      </c>
      <c r="J5339" s="371" t="s">
        <v>2948</v>
      </c>
      <c r="K5339" s="547" t="s">
        <v>3034</v>
      </c>
      <c r="L5339" s="547" t="s">
        <v>3035</v>
      </c>
      <c r="M5339" s="433"/>
      <c r="N5339" s="428"/>
      <c r="O5339" s="428"/>
      <c r="P5339" s="433"/>
      <c r="Q5339" s="442"/>
      <c r="R5339" s="443"/>
      <c r="S5339" s="364"/>
      <c r="Z5339" s="609" t="s">
        <v>2105</v>
      </c>
      <c r="AA5339" s="609" t="s">
        <v>19</v>
      </c>
    </row>
    <row r="5340" spans="1:27" ht="0.75" customHeight="1" thickBot="1">
      <c r="A5340" s="2712"/>
      <c r="B5340" s="371"/>
      <c r="C5340" s="371"/>
      <c r="D5340" s="2714"/>
      <c r="F5340" s="371"/>
      <c r="G5340" s="405"/>
      <c r="H5340" s="371" t="s">
        <v>4494</v>
      </c>
      <c r="I5340" s="371" t="s">
        <v>4495</v>
      </c>
      <c r="J5340" s="371" t="s">
        <v>4496</v>
      </c>
      <c r="K5340" s="547" t="s">
        <v>4497</v>
      </c>
      <c r="L5340" s="547" t="s">
        <v>4498</v>
      </c>
      <c r="M5340" s="433"/>
      <c r="N5340" s="428"/>
      <c r="O5340" s="428"/>
      <c r="P5340" s="433"/>
      <c r="Q5340" s="442"/>
      <c r="R5340" s="443"/>
      <c r="S5340" s="364"/>
      <c r="Z5340" s="609" t="s">
        <v>2105</v>
      </c>
      <c r="AA5340" s="609" t="s">
        <v>19</v>
      </c>
    </row>
    <row r="5341" spans="1:27" ht="18" customHeight="1" thickTop="1">
      <c r="A5341" s="2712"/>
      <c r="B5341" s="371"/>
      <c r="C5341" s="371"/>
      <c r="D5341" s="2714"/>
      <c r="E5341" s="2714" t="s">
        <v>2749</v>
      </c>
      <c r="F5341" s="293"/>
      <c r="G5341" s="3478" t="s">
        <v>47</v>
      </c>
      <c r="H5341" s="3459" t="str">
        <f>$V$3</f>
        <v>2018年12月31日</v>
      </c>
      <c r="I5341" s="3518"/>
      <c r="J5341" s="3518"/>
      <c r="K5341" s="3518"/>
      <c r="L5341" s="3518"/>
      <c r="M5341" s="355" t="s">
        <v>5346</v>
      </c>
      <c r="N5341" s="1534" t="s">
        <v>5541</v>
      </c>
      <c r="O5341" s="1534" t="s">
        <v>5540</v>
      </c>
      <c r="P5341" s="435"/>
      <c r="Q5341" s="442"/>
      <c r="R5341" s="443"/>
      <c r="S5341" s="364"/>
      <c r="Z5341" s="609" t="s">
        <v>2105</v>
      </c>
      <c r="AA5341" s="609" t="s">
        <v>19</v>
      </c>
    </row>
    <row r="5342" spans="1:27" ht="18">
      <c r="A5342" s="2712"/>
      <c r="B5342" s="371"/>
      <c r="C5342" s="371"/>
      <c r="D5342" s="2714"/>
      <c r="E5342" s="2714" t="s">
        <v>2749</v>
      </c>
      <c r="F5342" s="293"/>
      <c r="G5342" s="3479"/>
      <c r="H5342" s="2488" t="s">
        <v>4491</v>
      </c>
      <c r="I5342" s="2488" t="s">
        <v>4492</v>
      </c>
      <c r="J5342" s="2488" t="s">
        <v>2962</v>
      </c>
      <c r="K5342" s="2489" t="s">
        <v>2963</v>
      </c>
      <c r="L5342" s="2490" t="s">
        <v>3108</v>
      </c>
      <c r="M5342" s="435"/>
      <c r="N5342" s="1609"/>
      <c r="O5342" s="1609"/>
      <c r="P5342" s="435"/>
      <c r="Q5342" s="442"/>
      <c r="R5342" s="443"/>
      <c r="S5342" s="364"/>
      <c r="Z5342" s="609" t="s">
        <v>2105</v>
      </c>
      <c r="AA5342" s="609" t="s">
        <v>19</v>
      </c>
    </row>
    <row r="5343" spans="1:27" ht="18">
      <c r="A5343" s="2712"/>
      <c r="B5343" s="371">
        <v>101</v>
      </c>
      <c r="C5343" s="371"/>
      <c r="D5343" s="2714">
        <f t="shared" ref="D5343:D5353" si="572">IF(OR(G5343="*",G5343="",G5343=0),0,COUNTIF($G$5343:$G$5353,G5343))</f>
        <v>1</v>
      </c>
      <c r="E5343" s="2719">
        <v>1</v>
      </c>
      <c r="F5343" s="293"/>
      <c r="G5343" s="319" t="s">
        <v>454</v>
      </c>
      <c r="H5343" s="309"/>
      <c r="I5343" s="422"/>
      <c r="J5343" s="309"/>
      <c r="K5343" s="320"/>
      <c r="L5343" s="346"/>
      <c r="M5343" s="438"/>
      <c r="N5343" s="1586">
        <f ca="1">HYPERLINK("#'"&amp;$G$1&amp;"'!"&amp;ADDRESS(ROW(Notes!I3329),COLUMN(Notes!I3329),4),I3329)</f>
        <v>0</v>
      </c>
      <c r="O5343" s="1542">
        <f ca="1">N5343-SUM(H5343:L5343)</f>
        <v>0</v>
      </c>
      <c r="P5343" s="438"/>
      <c r="Q5343" s="442"/>
      <c r="R5343" s="443"/>
      <c r="S5343" s="364"/>
      <c r="Z5343" s="609" t="s">
        <v>2105</v>
      </c>
      <c r="AA5343" s="609" t="s">
        <v>19</v>
      </c>
    </row>
    <row r="5344" spans="1:27" ht="18">
      <c r="A5344" s="2712"/>
      <c r="B5344" s="371">
        <v>102</v>
      </c>
      <c r="C5344" s="371"/>
      <c r="D5344" s="2714">
        <f t="shared" si="572"/>
        <v>1</v>
      </c>
      <c r="E5344" s="2719">
        <v>1</v>
      </c>
      <c r="F5344" s="293"/>
      <c r="G5344" s="319" t="s">
        <v>471</v>
      </c>
      <c r="H5344" s="309"/>
      <c r="I5344" s="422"/>
      <c r="J5344" s="309"/>
      <c r="K5344" s="320"/>
      <c r="L5344" s="346"/>
      <c r="M5344" s="438"/>
      <c r="N5344" s="1586">
        <f ca="1">HYPERLINK("#'"&amp;$G$1&amp;"'!"&amp;ADDRESS(ROW(Notes!I3441),COLUMN(Notes!I3441),4),I3441)</f>
        <v>42762500</v>
      </c>
      <c r="O5344" s="1542">
        <f t="shared" ref="O5344:O5350" ca="1" si="573">N5344-SUM(H5344:L5344)</f>
        <v>42762500</v>
      </c>
      <c r="P5344" s="438"/>
      <c r="Q5344" s="442"/>
      <c r="R5344" s="443"/>
      <c r="S5344" s="364"/>
      <c r="Z5344" s="609" t="s">
        <v>2105</v>
      </c>
      <c r="AA5344" s="609" t="s">
        <v>19</v>
      </c>
    </row>
    <row r="5345" spans="1:27" ht="18">
      <c r="A5345" s="2712"/>
      <c r="B5345" s="371">
        <v>103</v>
      </c>
      <c r="C5345" s="371"/>
      <c r="D5345" s="2714">
        <f t="shared" si="572"/>
        <v>1</v>
      </c>
      <c r="E5345" s="2719">
        <v>1</v>
      </c>
      <c r="F5345" s="293"/>
      <c r="G5345" s="319" t="s">
        <v>476</v>
      </c>
      <c r="H5345" s="309"/>
      <c r="I5345" s="422"/>
      <c r="J5345" s="309"/>
      <c r="K5345" s="320"/>
      <c r="L5345" s="346"/>
      <c r="M5345" s="438"/>
      <c r="N5345" s="1586">
        <f ca="1">HYPERLINK("#'"&amp;$G$1&amp;"'!"&amp;ADDRESS(ROW(Notes!I3454),COLUMN(Notes!I3454),4),I3454)</f>
        <v>35943625.149999999</v>
      </c>
      <c r="O5345" s="1542">
        <f t="shared" ca="1" si="573"/>
        <v>35943625.149999999</v>
      </c>
      <c r="P5345" s="438"/>
      <c r="Q5345" s="442"/>
      <c r="R5345" s="443"/>
      <c r="S5345" s="364"/>
      <c r="Z5345" s="609" t="s">
        <v>2105</v>
      </c>
      <c r="AA5345" s="609" t="s">
        <v>19</v>
      </c>
    </row>
    <row r="5346" spans="1:27" ht="18">
      <c r="A5346" s="2712"/>
      <c r="B5346" s="371">
        <v>104</v>
      </c>
      <c r="C5346" s="371"/>
      <c r="D5346" s="2714">
        <f t="shared" si="572"/>
        <v>1</v>
      </c>
      <c r="E5346" s="2719">
        <v>1</v>
      </c>
      <c r="F5346" s="293"/>
      <c r="G5346" s="319" t="s">
        <v>499</v>
      </c>
      <c r="H5346" s="309"/>
      <c r="I5346" s="422"/>
      <c r="J5346" s="309"/>
      <c r="K5346" s="320"/>
      <c r="L5346" s="346"/>
      <c r="M5346" s="438"/>
      <c r="N5346" s="1586">
        <f ca="1">HYPERLINK("#'"&amp;$G$1&amp;"'!"&amp;ADDRESS(ROW(Notes!I3790),COLUMN(Notes!I3790),4),I3790)</f>
        <v>0</v>
      </c>
      <c r="O5346" s="1542">
        <f t="shared" ca="1" si="573"/>
        <v>0</v>
      </c>
      <c r="P5346" s="438"/>
      <c r="Q5346" s="442"/>
      <c r="R5346" s="443"/>
      <c r="S5346" s="364"/>
      <c r="Z5346" s="609" t="s">
        <v>2105</v>
      </c>
      <c r="AA5346" s="609" t="s">
        <v>19</v>
      </c>
    </row>
    <row r="5347" spans="1:27" ht="18">
      <c r="A5347" s="2712"/>
      <c r="B5347" s="371">
        <v>105</v>
      </c>
      <c r="C5347" s="371"/>
      <c r="D5347" s="2714">
        <f t="shared" si="572"/>
        <v>1</v>
      </c>
      <c r="E5347" s="2719">
        <v>1</v>
      </c>
      <c r="F5347" s="293"/>
      <c r="G5347" s="319" t="s">
        <v>513</v>
      </c>
      <c r="H5347" s="309"/>
      <c r="I5347" s="422"/>
      <c r="J5347" s="309"/>
      <c r="K5347" s="320"/>
      <c r="L5347" s="346"/>
      <c r="M5347" s="438"/>
      <c r="N5347" s="1586">
        <f ca="1">HYPERLINK("#'"&amp;$G$1&amp;"'!"&amp;ADDRESS(ROW(Notes!I3839),COLUMN(Notes!I3839),4),I3839)</f>
        <v>61340818.75</v>
      </c>
      <c r="O5347" s="1542">
        <f t="shared" ca="1" si="573"/>
        <v>61340818.75</v>
      </c>
      <c r="P5347" s="438"/>
      <c r="Q5347" s="442"/>
      <c r="R5347" s="443"/>
      <c r="S5347" s="364"/>
      <c r="Z5347" s="609" t="s">
        <v>2105</v>
      </c>
      <c r="AA5347" s="609" t="s">
        <v>19</v>
      </c>
    </row>
    <row r="5348" spans="1:27" ht="18">
      <c r="A5348" s="2712"/>
      <c r="B5348" s="371">
        <v>106</v>
      </c>
      <c r="C5348" s="371"/>
      <c r="D5348" s="2714">
        <f t="shared" si="572"/>
        <v>1</v>
      </c>
      <c r="E5348" s="2719">
        <v>1</v>
      </c>
      <c r="F5348" s="293"/>
      <c r="G5348" s="319" t="s">
        <v>546</v>
      </c>
      <c r="H5348" s="309"/>
      <c r="I5348" s="422"/>
      <c r="J5348" s="309"/>
      <c r="K5348" s="320"/>
      <c r="L5348" s="346"/>
      <c r="M5348" s="438"/>
      <c r="N5348" s="1586">
        <f ca="1">HYPERLINK("#'"&amp;$G$1&amp;"'!"&amp;ADDRESS(ROW(Notes!I4010),COLUMN(Notes!I4010),4),I4010)</f>
        <v>0</v>
      </c>
      <c r="O5348" s="1542">
        <f t="shared" ca="1" si="573"/>
        <v>0</v>
      </c>
      <c r="P5348" s="438"/>
      <c r="Q5348" s="442"/>
      <c r="R5348" s="443"/>
      <c r="S5348" s="364"/>
      <c r="Z5348" s="609" t="s">
        <v>2105</v>
      </c>
      <c r="AA5348" s="609" t="s">
        <v>19</v>
      </c>
    </row>
    <row r="5349" spans="1:27" ht="18">
      <c r="A5349" s="2712"/>
      <c r="B5349" s="371">
        <v>107</v>
      </c>
      <c r="C5349" s="371"/>
      <c r="D5349" s="2714">
        <f t="shared" si="572"/>
        <v>1</v>
      </c>
      <c r="E5349" s="2719">
        <v>1</v>
      </c>
      <c r="F5349" s="293"/>
      <c r="G5349" s="319" t="s">
        <v>550</v>
      </c>
      <c r="H5349" s="309"/>
      <c r="I5349" s="422"/>
      <c r="J5349" s="309"/>
      <c r="K5349" s="320"/>
      <c r="L5349" s="346"/>
      <c r="M5349" s="438"/>
      <c r="N5349" s="1586">
        <f ca="1">HYPERLINK("#'"&amp;$G$1&amp;"'!"&amp;ADDRESS(ROW(Notes!I4061),COLUMN(Notes!I4061),4),I4061)</f>
        <v>0</v>
      </c>
      <c r="O5349" s="1542">
        <f t="shared" ca="1" si="573"/>
        <v>0</v>
      </c>
      <c r="P5349" s="438"/>
      <c r="Q5349" s="442"/>
      <c r="R5349" s="443"/>
      <c r="S5349" s="364"/>
      <c r="Z5349" s="609" t="s">
        <v>2105</v>
      </c>
      <c r="AA5349" s="609" t="s">
        <v>19</v>
      </c>
    </row>
    <row r="5350" spans="1:27" ht="18">
      <c r="A5350" s="2712"/>
      <c r="B5350" s="371">
        <v>108</v>
      </c>
      <c r="C5350" s="371"/>
      <c r="D5350" s="2714">
        <f t="shared" si="572"/>
        <v>1</v>
      </c>
      <c r="E5350" s="2719">
        <v>1</v>
      </c>
      <c r="F5350" s="293"/>
      <c r="G5350" s="319" t="s">
        <v>554</v>
      </c>
      <c r="H5350" s="309"/>
      <c r="I5350" s="422"/>
      <c r="J5350" s="309"/>
      <c r="K5350" s="320"/>
      <c r="L5350" s="346"/>
      <c r="M5350" s="438"/>
      <c r="N5350" s="1586">
        <f ca="1">HYPERLINK("#'"&amp;$G$1&amp;"'!"&amp;ADDRESS(ROW(Notes!I4129),COLUMN(Notes!I4129),4),I4129)</f>
        <v>0</v>
      </c>
      <c r="O5350" s="1542">
        <f t="shared" ca="1" si="573"/>
        <v>0</v>
      </c>
      <c r="P5350" s="438"/>
      <c r="Q5350" s="442"/>
      <c r="R5350" s="443"/>
      <c r="S5350" s="364"/>
      <c r="Z5350" s="609" t="s">
        <v>2105</v>
      </c>
      <c r="AA5350" s="609" t="s">
        <v>19</v>
      </c>
    </row>
    <row r="5351" spans="1:27" ht="18">
      <c r="A5351" s="2712"/>
      <c r="B5351" s="371">
        <v>109</v>
      </c>
      <c r="C5351" s="371" t="s">
        <v>2791</v>
      </c>
      <c r="D5351" s="2714">
        <f t="shared" si="572"/>
        <v>0</v>
      </c>
      <c r="E5351" s="2719">
        <v>1</v>
      </c>
      <c r="F5351" s="293"/>
      <c r="G5351" s="319" t="s">
        <v>2792</v>
      </c>
      <c r="H5351" s="309"/>
      <c r="I5351" s="422"/>
      <c r="J5351" s="309"/>
      <c r="K5351" s="320"/>
      <c r="L5351" s="346"/>
      <c r="M5351" s="438"/>
      <c r="O5351" s="1542"/>
      <c r="P5351" s="438"/>
      <c r="Q5351" s="442"/>
      <c r="R5351" s="443"/>
      <c r="S5351" s="364"/>
      <c r="Z5351" s="609" t="s">
        <v>2105</v>
      </c>
      <c r="AA5351" s="609" t="s">
        <v>19</v>
      </c>
    </row>
    <row r="5352" spans="1:27" ht="18">
      <c r="A5352" s="2712"/>
      <c r="B5352" s="371">
        <v>110</v>
      </c>
      <c r="C5352" s="371" t="s">
        <v>2791</v>
      </c>
      <c r="D5352" s="2714">
        <f t="shared" si="572"/>
        <v>0</v>
      </c>
      <c r="E5352" s="2719">
        <v>1</v>
      </c>
      <c r="F5352" s="293"/>
      <c r="G5352" s="319" t="s">
        <v>2792</v>
      </c>
      <c r="H5352" s="309"/>
      <c r="I5352" s="422"/>
      <c r="J5352" s="309"/>
      <c r="K5352" s="320"/>
      <c r="L5352" s="346"/>
      <c r="M5352" s="438"/>
      <c r="O5352" s="1542"/>
      <c r="P5352" s="438"/>
      <c r="Q5352" s="442"/>
      <c r="R5352" s="443"/>
      <c r="S5352" s="364"/>
      <c r="Z5352" s="609" t="s">
        <v>2105</v>
      </c>
      <c r="AA5352" s="609" t="s">
        <v>19</v>
      </c>
    </row>
    <row r="5353" spans="1:27" ht="18.75" thickBot="1">
      <c r="A5353" s="2712"/>
      <c r="B5353" s="371"/>
      <c r="C5353" s="371"/>
      <c r="D5353" s="2714">
        <f t="shared" si="572"/>
        <v>1</v>
      </c>
      <c r="E5353" s="2719" t="s">
        <v>2751</v>
      </c>
      <c r="F5353" s="293"/>
      <c r="G5353" s="2232" t="s">
        <v>2752</v>
      </c>
      <c r="H5353" s="2323">
        <f>SUMPRODUCT($E5342:$E5352,H5342:H5352)</f>
        <v>0</v>
      </c>
      <c r="I5353" s="2323">
        <f>SUMPRODUCT($E5342:$E5352,I5342:I5352)</f>
        <v>0</v>
      </c>
      <c r="J5353" s="2323">
        <f>SUMPRODUCT($E5342:$E5352,J5342:J5352)</f>
        <v>0</v>
      </c>
      <c r="K5353" s="2323">
        <f>SUMPRODUCT($E5342:$E5352,K5342:K5352)</f>
        <v>0</v>
      </c>
      <c r="L5353" s="2340">
        <f>SUMPRODUCT($E5342:$E5352,L5342:L5352)</f>
        <v>0</v>
      </c>
      <c r="M5353" s="440"/>
      <c r="O5353" s="1555">
        <f ca="1">SUM(O5343:O5352)</f>
        <v>140046943.90000001</v>
      </c>
      <c r="P5353" s="440"/>
      <c r="Q5353" s="442"/>
      <c r="R5353" s="443"/>
      <c r="S5353" s="364"/>
      <c r="Z5353" s="609" t="s">
        <v>2105</v>
      </c>
      <c r="AA5353" s="609" t="s">
        <v>19</v>
      </c>
    </row>
    <row r="5354" spans="1:27" ht="18">
      <c r="A5354" s="2712"/>
      <c r="B5354" s="371"/>
      <c r="C5354" s="371" t="s">
        <v>2755</v>
      </c>
      <c r="D5354" s="2714"/>
      <c r="F5354" s="293"/>
      <c r="G5354" s="376"/>
      <c r="H5354" s="315"/>
      <c r="I5354" s="396"/>
      <c r="J5354" s="315"/>
      <c r="K5354" s="423"/>
      <c r="L5354" s="315"/>
      <c r="M5354" s="425"/>
      <c r="N5354" s="1583" t="s">
        <v>5493</v>
      </c>
      <c r="O5354" s="427"/>
      <c r="P5354" s="425"/>
      <c r="Q5354" s="442"/>
      <c r="R5354" s="443"/>
      <c r="S5354" s="364"/>
      <c r="Z5354" s="609" t="s">
        <v>2105</v>
      </c>
      <c r="AA5354" s="609" t="s">
        <v>19</v>
      </c>
    </row>
    <row r="5355" spans="1:27" ht="24">
      <c r="A5355" s="2712" t="s">
        <v>2115</v>
      </c>
      <c r="B5355" s="371">
        <v>3</v>
      </c>
      <c r="C5355" s="371"/>
      <c r="D5355" s="2714" t="str">
        <f>VLOOKUP($A5355,Sheet_NoteList,2,0)</f>
        <v>本期末金融资产的到期期限分析</v>
      </c>
      <c r="E5355" s="2714" t="s">
        <v>2742</v>
      </c>
      <c r="F5355" s="293"/>
      <c r="G5355" s="372" t="str">
        <f>"("&amp;B5355&amp;")"&amp;D5355</f>
        <v>(3)本期末金融资产的到期期限分析</v>
      </c>
      <c r="H5355" s="1515" t="str">
        <f>$A5355</f>
        <v>9325i</v>
      </c>
      <c r="I5355" s="343" t="s">
        <v>2743</v>
      </c>
      <c r="J5355" s="301" t="s">
        <v>2744</v>
      </c>
      <c r="K5355" s="2208">
        <f>H5369</f>
        <v>0</v>
      </c>
      <c r="L5355" s="349"/>
      <c r="M5355" s="301" t="s">
        <v>2745</v>
      </c>
      <c r="N5355" s="2208">
        <f>I5369</f>
        <v>0</v>
      </c>
      <c r="O5355" s="349"/>
      <c r="P5355" s="301"/>
      <c r="S5355" s="364"/>
      <c r="Z5355" s="609" t="s">
        <v>2105</v>
      </c>
      <c r="AA5355" s="609" t="s">
        <v>19</v>
      </c>
    </row>
    <row r="5356" spans="1:27" ht="0.75" customHeight="1">
      <c r="A5356" s="2712"/>
      <c r="B5356" s="371"/>
      <c r="C5356" s="371"/>
      <c r="D5356" s="2714"/>
      <c r="F5356" s="371"/>
      <c r="G5356" s="405" t="s">
        <v>4499</v>
      </c>
      <c r="H5356" s="371" t="s">
        <v>2747</v>
      </c>
      <c r="I5356" s="371" t="s">
        <v>2748</v>
      </c>
      <c r="J5356" s="371" t="s">
        <v>2948</v>
      </c>
      <c r="K5356" s="547" t="s">
        <v>3034</v>
      </c>
      <c r="L5356" s="547" t="s">
        <v>3035</v>
      </c>
      <c r="M5356" s="371" t="s">
        <v>3036</v>
      </c>
      <c r="N5356" s="428"/>
      <c r="O5356" s="428"/>
      <c r="P5356" s="433"/>
      <c r="Q5356" s="442"/>
      <c r="R5356" s="443"/>
      <c r="S5356" s="364"/>
      <c r="Z5356" s="609" t="s">
        <v>2105</v>
      </c>
      <c r="AA5356" s="609" t="s">
        <v>19</v>
      </c>
    </row>
    <row r="5357" spans="1:27" ht="0.75" customHeight="1" thickBot="1">
      <c r="A5357" s="2712"/>
      <c r="B5357" s="371"/>
      <c r="C5357" s="371"/>
      <c r="D5357" s="2714"/>
      <c r="F5357" s="371"/>
      <c r="G5357" s="405"/>
      <c r="H5357" s="371" t="s">
        <v>4500</v>
      </c>
      <c r="I5357" s="371" t="s">
        <v>4501</v>
      </c>
      <c r="J5357" s="371" t="s">
        <v>4502</v>
      </c>
      <c r="K5357" s="547" t="s">
        <v>4503</v>
      </c>
      <c r="L5357" s="547" t="s">
        <v>4504</v>
      </c>
      <c r="M5357" s="371" t="s">
        <v>4505</v>
      </c>
      <c r="N5357" s="428"/>
      <c r="O5357" s="428"/>
      <c r="P5357" s="433"/>
      <c r="Q5357" s="442"/>
      <c r="R5357" s="443"/>
      <c r="S5357" s="364"/>
      <c r="Z5357" s="609" t="s">
        <v>2105</v>
      </c>
      <c r="AA5357" s="609" t="s">
        <v>19</v>
      </c>
    </row>
    <row r="5358" spans="1:27" ht="18" customHeight="1" thickTop="1">
      <c r="A5358" s="2712"/>
      <c r="B5358" s="371"/>
      <c r="C5358" s="371"/>
      <c r="D5358" s="2714"/>
      <c r="E5358" s="2714" t="s">
        <v>2749</v>
      </c>
      <c r="F5358" s="293"/>
      <c r="G5358" s="3478" t="s">
        <v>47</v>
      </c>
      <c r="H5358" s="3459" t="str">
        <f>$V$2</f>
        <v>2019年12月31日</v>
      </c>
      <c r="I5358" s="3518"/>
      <c r="J5358" s="3518"/>
      <c r="K5358" s="3518"/>
      <c r="L5358" s="3518"/>
      <c r="M5358" s="3518"/>
      <c r="N5358" s="355" t="s">
        <v>5346</v>
      </c>
      <c r="O5358" s="1534" t="s">
        <v>5539</v>
      </c>
      <c r="P5358" s="1534" t="s">
        <v>5540</v>
      </c>
      <c r="Q5358" s="442"/>
      <c r="R5358" s="443"/>
      <c r="S5358" s="364"/>
      <c r="Z5358" s="609" t="s">
        <v>2105</v>
      </c>
      <c r="AA5358" s="609" t="s">
        <v>19</v>
      </c>
    </row>
    <row r="5359" spans="1:27" ht="18">
      <c r="A5359" s="2712"/>
      <c r="B5359" s="371"/>
      <c r="C5359" s="371"/>
      <c r="D5359" s="2714"/>
      <c r="E5359" s="2714" t="s">
        <v>2749</v>
      </c>
      <c r="F5359" s="293"/>
      <c r="G5359" s="3479"/>
      <c r="H5359" s="2488" t="s">
        <v>4506</v>
      </c>
      <c r="I5359" s="2488" t="s">
        <v>4507</v>
      </c>
      <c r="J5359" s="2488" t="s">
        <v>4508</v>
      </c>
      <c r="K5359" s="2489" t="s">
        <v>4509</v>
      </c>
      <c r="L5359" s="2489" t="s">
        <v>2944</v>
      </c>
      <c r="M5359" s="2491" t="s">
        <v>3351</v>
      </c>
      <c r="N5359" s="434"/>
      <c r="O5359" s="1609"/>
      <c r="P5359" s="1609"/>
      <c r="Q5359" s="442"/>
      <c r="R5359" s="443"/>
      <c r="S5359" s="364"/>
      <c r="Z5359" s="609" t="s">
        <v>2105</v>
      </c>
      <c r="AA5359" s="609" t="s">
        <v>19</v>
      </c>
    </row>
    <row r="5360" spans="1:27" ht="18">
      <c r="A5360" s="2712"/>
      <c r="B5360" s="371">
        <v>101</v>
      </c>
      <c r="C5360" s="371"/>
      <c r="D5360" s="2714">
        <f t="shared" ref="D5360:D5369" si="574">IF(OR(G5360="*",G5360="",G5360=0),0,COUNTIF($G$5360:$G$5369,G5360))</f>
        <v>1</v>
      </c>
      <c r="E5360" s="2719">
        <v>1</v>
      </c>
      <c r="F5360" s="293"/>
      <c r="G5360" s="319" t="s">
        <v>10</v>
      </c>
      <c r="H5360" s="309"/>
      <c r="I5360" s="422"/>
      <c r="J5360" s="309"/>
      <c r="K5360" s="320"/>
      <c r="L5360" s="309"/>
      <c r="M5360" s="346"/>
      <c r="N5360" s="439"/>
      <c r="O5360" s="1586">
        <f ca="1">HYPERLINK("#'"&amp;$G$1&amp;"'!"&amp;ADDRESS(ROW(Notes!H17),COLUMN(Notes!H17),4),H17)</f>
        <v>7894317.0800000001</v>
      </c>
      <c r="P5360" s="1542">
        <f ca="1">O5360-M5360</f>
        <v>7894317.0800000001</v>
      </c>
      <c r="Q5360" s="442"/>
      <c r="R5360" s="443"/>
      <c r="S5360" s="364"/>
      <c r="Z5360" s="609" t="s">
        <v>2105</v>
      </c>
      <c r="AA5360" s="609" t="s">
        <v>19</v>
      </c>
    </row>
    <row r="5361" spans="1:27" ht="18">
      <c r="A5361" s="2712"/>
      <c r="B5361" s="371">
        <v>102</v>
      </c>
      <c r="C5361" s="371"/>
      <c r="D5361" s="2714">
        <f t="shared" si="574"/>
        <v>1</v>
      </c>
      <c r="E5361" s="2719">
        <v>1</v>
      </c>
      <c r="F5361" s="293"/>
      <c r="G5361" s="319" t="s">
        <v>109</v>
      </c>
      <c r="H5361" s="309"/>
      <c r="I5361" s="422"/>
      <c r="J5361" s="309"/>
      <c r="K5361" s="320"/>
      <c r="L5361" s="309"/>
      <c r="M5361" s="346"/>
      <c r="N5361" s="439"/>
      <c r="O5361" s="1586">
        <f ca="1">HYPERLINK("#'"&amp;$G$1&amp;"'!"&amp;ADDRESS(ROW(Notes!J128),COLUMN(Notes!J128),4),J128)</f>
        <v>0</v>
      </c>
      <c r="P5361" s="1542">
        <f t="shared" ref="P5361:P5367" ca="1" si="575">O5361-M5361</f>
        <v>0</v>
      </c>
      <c r="Q5361" s="442"/>
      <c r="R5361" s="443"/>
      <c r="S5361" s="364"/>
      <c r="Z5361" s="609" t="s">
        <v>2105</v>
      </c>
      <c r="AA5361" s="609" t="s">
        <v>19</v>
      </c>
    </row>
    <row r="5362" spans="1:27" ht="18">
      <c r="A5362" s="2712"/>
      <c r="B5362" s="371">
        <v>103</v>
      </c>
      <c r="C5362" s="371"/>
      <c r="D5362" s="2714">
        <f t="shared" si="574"/>
        <v>1</v>
      </c>
      <c r="E5362" s="2719">
        <v>1</v>
      </c>
      <c r="F5362" s="293"/>
      <c r="G5362" s="319" t="s">
        <v>124</v>
      </c>
      <c r="H5362" s="309"/>
      <c r="I5362" s="422"/>
      <c r="J5362" s="309"/>
      <c r="K5362" s="320"/>
      <c r="L5362" s="309"/>
      <c r="M5362" s="346"/>
      <c r="N5362" s="439"/>
      <c r="O5362" s="1586">
        <f ca="1">HYPERLINK("#'"&amp;$G$1&amp;"'!"&amp;ADDRESS(ROW(Notes!H332),COLUMN(Notes!H332),4),H332)</f>
        <v>52079975.609999999</v>
      </c>
      <c r="P5362" s="1542">
        <f t="shared" ca="1" si="575"/>
        <v>52079975.609999999</v>
      </c>
      <c r="Q5362" s="442"/>
      <c r="R5362" s="443"/>
      <c r="S5362" s="364"/>
      <c r="Z5362" s="609" t="s">
        <v>2105</v>
      </c>
      <c r="AA5362" s="609" t="s">
        <v>19</v>
      </c>
    </row>
    <row r="5363" spans="1:27" ht="18">
      <c r="A5363" s="2712"/>
      <c r="B5363" s="371">
        <v>104</v>
      </c>
      <c r="C5363" s="371"/>
      <c r="D5363" s="2714">
        <f t="shared" si="574"/>
        <v>1</v>
      </c>
      <c r="E5363" s="2719">
        <v>1</v>
      </c>
      <c r="F5363" s="293"/>
      <c r="G5363" s="319" t="s">
        <v>201</v>
      </c>
      <c r="H5363" s="309"/>
      <c r="I5363" s="422"/>
      <c r="J5363" s="309"/>
      <c r="K5363" s="320"/>
      <c r="L5363" s="309"/>
      <c r="M5363" s="346"/>
      <c r="N5363" s="439"/>
      <c r="O5363" s="1586">
        <f ca="1">HYPERLINK("#'"&amp;$G$1&amp;"'!"&amp;ADDRESS(ROW(Notes!H1005),COLUMN(Notes!H1005),4),H1005)</f>
        <v>8760929.7400000002</v>
      </c>
      <c r="P5363" s="1542">
        <f t="shared" ca="1" si="575"/>
        <v>8760929.7400000002</v>
      </c>
      <c r="Q5363" s="442"/>
      <c r="R5363" s="443"/>
      <c r="S5363" s="364"/>
      <c r="Z5363" s="609" t="s">
        <v>2105</v>
      </c>
      <c r="AA5363" s="609" t="s">
        <v>19</v>
      </c>
    </row>
    <row r="5364" spans="1:27" ht="18">
      <c r="A5364" s="2712"/>
      <c r="B5364" s="371">
        <v>105</v>
      </c>
      <c r="C5364" s="371"/>
      <c r="D5364" s="2714">
        <f t="shared" si="574"/>
        <v>1</v>
      </c>
      <c r="E5364" s="2719">
        <v>1</v>
      </c>
      <c r="F5364" s="293"/>
      <c r="G5364" s="319" t="s">
        <v>317</v>
      </c>
      <c r="H5364" s="309"/>
      <c r="I5364" s="422"/>
      <c r="J5364" s="309"/>
      <c r="K5364" s="320"/>
      <c r="L5364" s="309"/>
      <c r="M5364" s="346"/>
      <c r="N5364" s="439"/>
      <c r="O5364" s="1586">
        <f ca="1">HYPERLINK("#'"&amp;$G$1&amp;"'!"&amp;ADDRESS(ROW(Notes!J2218),COLUMN(Notes!J2218),4),J2218)</f>
        <v>0</v>
      </c>
      <c r="P5364" s="1542">
        <f t="shared" ca="1" si="575"/>
        <v>0</v>
      </c>
      <c r="Q5364" s="442"/>
      <c r="R5364" s="443"/>
      <c r="S5364" s="364"/>
      <c r="Z5364" s="609" t="s">
        <v>2105</v>
      </c>
      <c r="AA5364" s="609" t="s">
        <v>19</v>
      </c>
    </row>
    <row r="5365" spans="1:27" ht="18">
      <c r="A5365" s="2712"/>
      <c r="B5365" s="371">
        <v>106</v>
      </c>
      <c r="C5365" s="371"/>
      <c r="D5365" s="2714">
        <f t="shared" si="574"/>
        <v>1</v>
      </c>
      <c r="E5365" s="2719">
        <v>1</v>
      </c>
      <c r="F5365" s="293"/>
      <c r="G5365" s="319" t="s">
        <v>247</v>
      </c>
      <c r="H5365" s="309"/>
      <c r="I5365" s="422"/>
      <c r="J5365" s="309"/>
      <c r="K5365" s="320"/>
      <c r="L5365" s="309"/>
      <c r="M5365" s="346"/>
      <c r="N5365" s="439"/>
      <c r="O5365" s="1586">
        <f ca="1">HYPERLINK("#'"&amp;$G$1&amp;"'!"&amp;ADDRESS(ROW(Notes!H1822),COLUMN(Notes!H1822),4),H1822)</f>
        <v>0</v>
      </c>
      <c r="P5365" s="1542">
        <f t="shared" ca="1" si="575"/>
        <v>0</v>
      </c>
      <c r="Q5365" s="442"/>
      <c r="R5365" s="443"/>
      <c r="S5365" s="364"/>
      <c r="Z5365" s="609" t="s">
        <v>2105</v>
      </c>
      <c r="AA5365" s="609" t="s">
        <v>19</v>
      </c>
    </row>
    <row r="5366" spans="1:27" ht="18">
      <c r="A5366" s="2712"/>
      <c r="B5366" s="371">
        <v>107</v>
      </c>
      <c r="C5366" s="371"/>
      <c r="D5366" s="2714">
        <f t="shared" si="574"/>
        <v>1</v>
      </c>
      <c r="E5366" s="2719">
        <v>1</v>
      </c>
      <c r="F5366" s="293"/>
      <c r="G5366" s="319" t="s">
        <v>237</v>
      </c>
      <c r="H5366" s="309"/>
      <c r="I5366" s="422"/>
      <c r="J5366" s="309"/>
      <c r="K5366" s="320"/>
      <c r="L5366" s="309"/>
      <c r="M5366" s="346"/>
      <c r="N5366" s="439"/>
      <c r="O5366" s="1586">
        <f ca="1">HYPERLINK("#'"&amp;$G$1&amp;"'!"&amp;ADDRESS(ROW(Notes!H1799),COLUMN(Notes!H1799),4),H1799)</f>
        <v>0</v>
      </c>
      <c r="P5366" s="1542">
        <f t="shared" ca="1" si="575"/>
        <v>0</v>
      </c>
      <c r="Q5366" s="442"/>
      <c r="R5366" s="443"/>
      <c r="S5366" s="364"/>
      <c r="Z5366" s="609" t="s">
        <v>2105</v>
      </c>
      <c r="AA5366" s="609" t="s">
        <v>19</v>
      </c>
    </row>
    <row r="5367" spans="1:27" ht="18">
      <c r="A5367" s="2712"/>
      <c r="B5367" s="371">
        <v>108</v>
      </c>
      <c r="C5367" s="371"/>
      <c r="D5367" s="2714">
        <f t="shared" si="574"/>
        <v>1</v>
      </c>
      <c r="E5367" s="2719">
        <v>1</v>
      </c>
      <c r="F5367" s="293"/>
      <c r="G5367" s="319" t="s">
        <v>429</v>
      </c>
      <c r="H5367" s="309"/>
      <c r="I5367" s="422"/>
      <c r="J5367" s="309"/>
      <c r="K5367" s="320"/>
      <c r="L5367" s="309"/>
      <c r="M5367" s="346"/>
      <c r="N5367" s="439"/>
      <c r="O5367" s="1586">
        <f ca="1">HYPERLINK("#'"&amp;$G$1&amp;"'!"&amp;ADDRESS(ROW(Notes!H3318),COLUMN(Notes!H3318),4),H3318)</f>
        <v>443012.47</v>
      </c>
      <c r="P5367" s="1542">
        <f t="shared" ca="1" si="575"/>
        <v>443012.47</v>
      </c>
      <c r="Q5367" s="442"/>
      <c r="R5367" s="443"/>
      <c r="S5367" s="364"/>
      <c r="Z5367" s="609" t="s">
        <v>2105</v>
      </c>
      <c r="AA5367" s="609" t="s">
        <v>19</v>
      </c>
    </row>
    <row r="5368" spans="1:27" ht="18">
      <c r="A5368" s="2712"/>
      <c r="B5368" s="371">
        <v>109</v>
      </c>
      <c r="C5368" s="371" t="s">
        <v>2791</v>
      </c>
      <c r="D5368" s="2714">
        <f t="shared" si="574"/>
        <v>0</v>
      </c>
      <c r="E5368" s="2719">
        <v>1</v>
      </c>
      <c r="F5368" s="293"/>
      <c r="G5368" s="319" t="s">
        <v>2792</v>
      </c>
      <c r="H5368" s="309"/>
      <c r="I5368" s="422"/>
      <c r="J5368" s="309"/>
      <c r="K5368" s="320"/>
      <c r="L5368" s="309"/>
      <c r="M5368" s="346"/>
      <c r="N5368" s="439"/>
      <c r="P5368" s="1542"/>
      <c r="Q5368" s="442"/>
      <c r="R5368" s="443"/>
      <c r="S5368" s="364"/>
      <c r="Z5368" s="609" t="s">
        <v>2105</v>
      </c>
      <c r="AA5368" s="609" t="s">
        <v>19</v>
      </c>
    </row>
    <row r="5369" spans="1:27" ht="18.75" thickBot="1">
      <c r="A5369" s="2712"/>
      <c r="B5369" s="371"/>
      <c r="C5369" s="371"/>
      <c r="D5369" s="2714">
        <f t="shared" si="574"/>
        <v>1</v>
      </c>
      <c r="E5369" s="2719" t="s">
        <v>2751</v>
      </c>
      <c r="F5369" s="293"/>
      <c r="G5369" s="2232" t="s">
        <v>2752</v>
      </c>
      <c r="H5369" s="2323">
        <f t="shared" ref="H5369:M5369" si="576">SUMPRODUCT($E5359:$E5368,H5359:H5368)</f>
        <v>0</v>
      </c>
      <c r="I5369" s="2323">
        <f t="shared" si="576"/>
        <v>0</v>
      </c>
      <c r="J5369" s="2323">
        <f t="shared" si="576"/>
        <v>0</v>
      </c>
      <c r="K5369" s="2323">
        <f t="shared" si="576"/>
        <v>0</v>
      </c>
      <c r="L5369" s="2323">
        <f t="shared" si="576"/>
        <v>0</v>
      </c>
      <c r="M5369" s="2340">
        <f t="shared" si="576"/>
        <v>0</v>
      </c>
      <c r="N5369" s="439"/>
      <c r="P5369" s="1555">
        <f ca="1">SUM(P5360:P5368)</f>
        <v>69178234.900000006</v>
      </c>
      <c r="Q5369" s="442"/>
      <c r="R5369" s="443"/>
      <c r="S5369" s="364"/>
      <c r="Z5369" s="609" t="s">
        <v>2105</v>
      </c>
      <c r="AA5369" s="609" t="s">
        <v>19</v>
      </c>
    </row>
    <row r="5370" spans="1:27" ht="18">
      <c r="A5370" s="2712"/>
      <c r="B5370" s="371"/>
      <c r="C5370" s="371" t="s">
        <v>2755</v>
      </c>
      <c r="D5370" s="2714"/>
      <c r="F5370" s="293"/>
      <c r="G5370" s="376"/>
      <c r="H5370" s="315"/>
      <c r="I5370" s="396"/>
      <c r="J5370" s="315"/>
      <c r="K5370" s="423"/>
      <c r="L5370" s="315"/>
      <c r="M5370" s="315"/>
      <c r="N5370" s="426"/>
      <c r="O5370" s="1583" t="s">
        <v>5493</v>
      </c>
      <c r="P5370" s="425"/>
      <c r="Q5370" s="442"/>
      <c r="R5370" s="443"/>
      <c r="S5370" s="364"/>
      <c r="Z5370" s="609" t="s">
        <v>2105</v>
      </c>
      <c r="AA5370" s="609" t="s">
        <v>19</v>
      </c>
    </row>
    <row r="5371" spans="1:27" ht="24">
      <c r="A5371" s="2712" t="s">
        <v>2117</v>
      </c>
      <c r="B5371" s="371">
        <v>4</v>
      </c>
      <c r="C5371" s="371"/>
      <c r="D5371" s="2714" t="str">
        <f>VLOOKUP($A5371,Sheet_NoteList,2,0)</f>
        <v>上期末金融资产的到期期限分析</v>
      </c>
      <c r="E5371" s="2714" t="s">
        <v>2742</v>
      </c>
      <c r="F5371" s="293"/>
      <c r="G5371" s="372" t="str">
        <f>"("&amp;B5371&amp;")"&amp;D5371</f>
        <v>(4)上期末金融资产的到期期限分析</v>
      </c>
      <c r="H5371" s="1515" t="str">
        <f>$A5371</f>
        <v>9325j</v>
      </c>
      <c r="I5371" s="343" t="s">
        <v>2743</v>
      </c>
      <c r="J5371" s="301" t="s">
        <v>2744</v>
      </c>
      <c r="K5371" s="2208">
        <f>H5385</f>
        <v>0</v>
      </c>
      <c r="L5371" s="349"/>
      <c r="M5371" s="301" t="s">
        <v>2745</v>
      </c>
      <c r="N5371" s="2208">
        <f>I5385</f>
        <v>0</v>
      </c>
      <c r="O5371" s="349"/>
      <c r="P5371" s="301"/>
      <c r="S5371" s="364"/>
      <c r="Z5371" s="609" t="s">
        <v>2105</v>
      </c>
      <c r="AA5371" s="609" t="s">
        <v>19</v>
      </c>
    </row>
    <row r="5372" spans="1:27" ht="0.75" customHeight="1">
      <c r="A5372" s="2712"/>
      <c r="B5372" s="371"/>
      <c r="C5372" s="371"/>
      <c r="D5372" s="2714"/>
      <c r="F5372" s="371"/>
      <c r="G5372" s="405" t="s">
        <v>4510</v>
      </c>
      <c r="H5372" s="371" t="s">
        <v>2747</v>
      </c>
      <c r="I5372" s="371" t="s">
        <v>2748</v>
      </c>
      <c r="J5372" s="371" t="s">
        <v>2948</v>
      </c>
      <c r="K5372" s="547" t="s">
        <v>3034</v>
      </c>
      <c r="L5372" s="547" t="s">
        <v>3035</v>
      </c>
      <c r="M5372" s="371" t="s">
        <v>3036</v>
      </c>
      <c r="N5372" s="428"/>
      <c r="O5372" s="428"/>
      <c r="P5372" s="433"/>
      <c r="Q5372" s="442"/>
      <c r="R5372" s="443"/>
      <c r="S5372" s="364"/>
      <c r="Z5372" s="609" t="s">
        <v>2105</v>
      </c>
      <c r="AA5372" s="609" t="s">
        <v>19</v>
      </c>
    </row>
    <row r="5373" spans="1:27" ht="0.75" customHeight="1" thickBot="1">
      <c r="A5373" s="2712"/>
      <c r="B5373" s="371"/>
      <c r="C5373" s="371"/>
      <c r="D5373" s="2714"/>
      <c r="F5373" s="371"/>
      <c r="G5373" s="405"/>
      <c r="H5373" s="371" t="s">
        <v>4511</v>
      </c>
      <c r="I5373" s="371" t="s">
        <v>4512</v>
      </c>
      <c r="J5373" s="371" t="s">
        <v>4513</v>
      </c>
      <c r="K5373" s="547" t="s">
        <v>4514</v>
      </c>
      <c r="L5373" s="547" t="s">
        <v>4515</v>
      </c>
      <c r="M5373" s="371" t="s">
        <v>4516</v>
      </c>
      <c r="N5373" s="428"/>
      <c r="O5373" s="428"/>
      <c r="P5373" s="433"/>
      <c r="Q5373" s="442"/>
      <c r="R5373" s="443"/>
      <c r="S5373" s="364"/>
      <c r="Z5373" s="609" t="s">
        <v>2105</v>
      </c>
      <c r="AA5373" s="609" t="s">
        <v>19</v>
      </c>
    </row>
    <row r="5374" spans="1:27" ht="18" customHeight="1" thickTop="1">
      <c r="A5374" s="2712"/>
      <c r="B5374" s="371"/>
      <c r="C5374" s="371"/>
      <c r="D5374" s="2714"/>
      <c r="E5374" s="2714" t="s">
        <v>2749</v>
      </c>
      <c r="F5374" s="293"/>
      <c r="G5374" s="3478" t="s">
        <v>47</v>
      </c>
      <c r="H5374" s="3459" t="str">
        <f>$V$3</f>
        <v>2018年12月31日</v>
      </c>
      <c r="I5374" s="3518"/>
      <c r="J5374" s="3518"/>
      <c r="K5374" s="3518"/>
      <c r="L5374" s="3518"/>
      <c r="M5374" s="3518"/>
      <c r="N5374" s="355" t="s">
        <v>5346</v>
      </c>
      <c r="O5374" s="1534" t="s">
        <v>5541</v>
      </c>
      <c r="P5374" s="1534" t="s">
        <v>5540</v>
      </c>
      <c r="Q5374" s="442"/>
      <c r="R5374" s="443"/>
      <c r="S5374" s="364"/>
      <c r="Z5374" s="609" t="s">
        <v>2105</v>
      </c>
      <c r="AA5374" s="609" t="s">
        <v>19</v>
      </c>
    </row>
    <row r="5375" spans="1:27" ht="18">
      <c r="A5375" s="2712"/>
      <c r="B5375" s="371"/>
      <c r="C5375" s="371"/>
      <c r="D5375" s="2714"/>
      <c r="E5375" s="2714" t="s">
        <v>2749</v>
      </c>
      <c r="F5375" s="293"/>
      <c r="G5375" s="3479"/>
      <c r="H5375" s="2488" t="s">
        <v>4506</v>
      </c>
      <c r="I5375" s="2488" t="s">
        <v>4507</v>
      </c>
      <c r="J5375" s="2488" t="s">
        <v>4508</v>
      </c>
      <c r="K5375" s="2489" t="s">
        <v>4509</v>
      </c>
      <c r="L5375" s="2489" t="s">
        <v>2944</v>
      </c>
      <c r="M5375" s="2491" t="s">
        <v>3351</v>
      </c>
      <c r="N5375" s="434"/>
      <c r="O5375" s="1609"/>
      <c r="P5375" s="1609"/>
      <c r="Q5375" s="442"/>
      <c r="R5375" s="443"/>
      <c r="S5375" s="364"/>
      <c r="Z5375" s="609" t="s">
        <v>2105</v>
      </c>
      <c r="AA5375" s="609" t="s">
        <v>19</v>
      </c>
    </row>
    <row r="5376" spans="1:27" ht="18">
      <c r="A5376" s="2712"/>
      <c r="B5376" s="371">
        <v>101</v>
      </c>
      <c r="C5376" s="371"/>
      <c r="D5376" s="2714">
        <f t="shared" ref="D5376:D5385" si="577">IF(OR(G5376="*",G5376="",G5376=0),0,COUNTIF($G$5376:$G$5385,G5376))</f>
        <v>1</v>
      </c>
      <c r="E5376" s="2719">
        <v>1</v>
      </c>
      <c r="F5376" s="293"/>
      <c r="G5376" s="319" t="s">
        <v>10</v>
      </c>
      <c r="H5376" s="309"/>
      <c r="I5376" s="422"/>
      <c r="J5376" s="309"/>
      <c r="K5376" s="320"/>
      <c r="L5376" s="309"/>
      <c r="M5376" s="346"/>
      <c r="N5376" s="439"/>
      <c r="O5376" s="1586">
        <f ca="1">HYPERLINK("#'"&amp;$G$1&amp;"'!"&amp;ADDRESS(ROW(Notes!I17),COLUMN(Notes!I17),4),I17)</f>
        <v>79452903</v>
      </c>
      <c r="P5376" s="1542">
        <f ca="1">O5376-M5376</f>
        <v>79452903</v>
      </c>
      <c r="Q5376" s="442"/>
      <c r="R5376" s="443"/>
      <c r="S5376" s="364"/>
      <c r="Z5376" s="609" t="s">
        <v>2105</v>
      </c>
      <c r="AA5376" s="609" t="s">
        <v>19</v>
      </c>
    </row>
    <row r="5377" spans="1:27" ht="18">
      <c r="A5377" s="2712"/>
      <c r="B5377" s="371">
        <v>102</v>
      </c>
      <c r="C5377" s="371"/>
      <c r="D5377" s="2714">
        <f t="shared" si="577"/>
        <v>1</v>
      </c>
      <c r="E5377" s="2719">
        <v>1</v>
      </c>
      <c r="F5377" s="293"/>
      <c r="G5377" s="319" t="s">
        <v>109</v>
      </c>
      <c r="H5377" s="309"/>
      <c r="I5377" s="422"/>
      <c r="J5377" s="309"/>
      <c r="K5377" s="320"/>
      <c r="L5377" s="309"/>
      <c r="M5377" s="346"/>
      <c r="N5377" s="439"/>
      <c r="O5377" s="1586">
        <f ca="1">HYPERLINK("#'"&amp;$G$1&amp;"'!"&amp;ADDRESS(ROW(Notes!M128),COLUMN(Notes!M128),4),M128)</f>
        <v>2024958.1</v>
      </c>
      <c r="P5377" s="1542">
        <f t="shared" ref="P5377:P5383" ca="1" si="578">O5377-M5377</f>
        <v>2024958.1</v>
      </c>
      <c r="Q5377" s="442"/>
      <c r="R5377" s="443"/>
      <c r="S5377" s="364"/>
      <c r="Z5377" s="609" t="s">
        <v>2105</v>
      </c>
      <c r="AA5377" s="609" t="s">
        <v>19</v>
      </c>
    </row>
    <row r="5378" spans="1:27" ht="18">
      <c r="A5378" s="2712"/>
      <c r="B5378" s="371">
        <v>103</v>
      </c>
      <c r="C5378" s="371"/>
      <c r="D5378" s="2714">
        <f t="shared" si="577"/>
        <v>1</v>
      </c>
      <c r="E5378" s="2719">
        <v>1</v>
      </c>
      <c r="F5378" s="293"/>
      <c r="G5378" s="319" t="s">
        <v>124</v>
      </c>
      <c r="H5378" s="309"/>
      <c r="I5378" s="422"/>
      <c r="J5378" s="309"/>
      <c r="K5378" s="320"/>
      <c r="L5378" s="309"/>
      <c r="M5378" s="346"/>
      <c r="N5378" s="439"/>
      <c r="O5378" s="1586">
        <f ca="1">HYPERLINK("#'"&amp;$G$1&amp;"'!"&amp;ADDRESS(ROW(Notes!I332),COLUMN(Notes!I332),4),I332)</f>
        <v>43055207.170000002</v>
      </c>
      <c r="P5378" s="1542">
        <f t="shared" ca="1" si="578"/>
        <v>43055207.170000002</v>
      </c>
      <c r="Q5378" s="442"/>
      <c r="R5378" s="443"/>
      <c r="S5378" s="364"/>
      <c r="Z5378" s="609" t="s">
        <v>2105</v>
      </c>
      <c r="AA5378" s="609" t="s">
        <v>19</v>
      </c>
    </row>
    <row r="5379" spans="1:27" ht="18">
      <c r="A5379" s="2712"/>
      <c r="B5379" s="371">
        <v>104</v>
      </c>
      <c r="C5379" s="371"/>
      <c r="D5379" s="2714">
        <f t="shared" si="577"/>
        <v>1</v>
      </c>
      <c r="E5379" s="2719">
        <v>1</v>
      </c>
      <c r="F5379" s="293"/>
      <c r="G5379" s="319" t="s">
        <v>201</v>
      </c>
      <c r="H5379" s="309"/>
      <c r="I5379" s="422"/>
      <c r="J5379" s="309"/>
      <c r="K5379" s="320"/>
      <c r="L5379" s="309"/>
      <c r="M5379" s="346"/>
      <c r="N5379" s="439"/>
      <c r="O5379" s="1586">
        <f ca="1">HYPERLINK("#'"&amp;$G$1&amp;"'!"&amp;ADDRESS(ROW(Notes!I1005),COLUMN(Notes!I1005),4),I1005)</f>
        <v>1111613.68</v>
      </c>
      <c r="P5379" s="1542">
        <f t="shared" ca="1" si="578"/>
        <v>1111613.68</v>
      </c>
      <c r="Q5379" s="442"/>
      <c r="R5379" s="443"/>
      <c r="S5379" s="364"/>
      <c r="Z5379" s="609" t="s">
        <v>2105</v>
      </c>
      <c r="AA5379" s="609" t="s">
        <v>19</v>
      </c>
    </row>
    <row r="5380" spans="1:27" ht="18">
      <c r="A5380" s="2712"/>
      <c r="B5380" s="371">
        <v>105</v>
      </c>
      <c r="C5380" s="371"/>
      <c r="D5380" s="2714">
        <f t="shared" si="577"/>
        <v>1</v>
      </c>
      <c r="E5380" s="2719">
        <v>1</v>
      </c>
      <c r="F5380" s="293"/>
      <c r="G5380" s="319" t="s">
        <v>317</v>
      </c>
      <c r="H5380" s="309"/>
      <c r="I5380" s="422"/>
      <c r="J5380" s="309"/>
      <c r="K5380" s="320"/>
      <c r="L5380" s="309"/>
      <c r="M5380" s="346"/>
      <c r="N5380" s="439"/>
      <c r="O5380" s="1586">
        <f ca="1">HYPERLINK("#'"&amp;$G$1&amp;"'!"&amp;ADDRESS(ROW(Notes!M2218),COLUMN(Notes!M2218),4),M2218)</f>
        <v>0</v>
      </c>
      <c r="P5380" s="1542">
        <f t="shared" ca="1" si="578"/>
        <v>0</v>
      </c>
      <c r="Q5380" s="442"/>
      <c r="R5380" s="443"/>
      <c r="S5380" s="364"/>
      <c r="Z5380" s="609" t="s">
        <v>2105</v>
      </c>
      <c r="AA5380" s="609" t="s">
        <v>19</v>
      </c>
    </row>
    <row r="5381" spans="1:27" ht="18">
      <c r="A5381" s="2712"/>
      <c r="B5381" s="371">
        <v>106</v>
      </c>
      <c r="C5381" s="371"/>
      <c r="D5381" s="2714">
        <f t="shared" si="577"/>
        <v>1</v>
      </c>
      <c r="E5381" s="2719">
        <v>1</v>
      </c>
      <c r="F5381" s="293"/>
      <c r="G5381" s="319" t="s">
        <v>247</v>
      </c>
      <c r="H5381" s="309"/>
      <c r="I5381" s="422"/>
      <c r="J5381" s="309"/>
      <c r="K5381" s="320"/>
      <c r="L5381" s="309"/>
      <c r="M5381" s="346"/>
      <c r="N5381" s="439"/>
      <c r="O5381" s="1586">
        <f ca="1">HYPERLINK("#'"&amp;$G$1&amp;"'!"&amp;ADDRESS(ROW(Notes!I1822),COLUMN(Notes!I1822),4),I1822)</f>
        <v>0</v>
      </c>
      <c r="P5381" s="1542">
        <f t="shared" ca="1" si="578"/>
        <v>0</v>
      </c>
      <c r="Q5381" s="442"/>
      <c r="R5381" s="443"/>
      <c r="S5381" s="364"/>
      <c r="Z5381" s="609" t="s">
        <v>2105</v>
      </c>
      <c r="AA5381" s="609" t="s">
        <v>19</v>
      </c>
    </row>
    <row r="5382" spans="1:27" ht="18">
      <c r="A5382" s="2712"/>
      <c r="B5382" s="371">
        <v>107</v>
      </c>
      <c r="C5382" s="371"/>
      <c r="D5382" s="2714">
        <f t="shared" si="577"/>
        <v>1</v>
      </c>
      <c r="E5382" s="2719">
        <v>1</v>
      </c>
      <c r="F5382" s="293"/>
      <c r="G5382" s="319" t="s">
        <v>237</v>
      </c>
      <c r="H5382" s="309"/>
      <c r="I5382" s="422"/>
      <c r="J5382" s="309"/>
      <c r="K5382" s="320"/>
      <c r="L5382" s="309"/>
      <c r="M5382" s="346"/>
      <c r="N5382" s="439"/>
      <c r="O5382" s="1586">
        <f ca="1">HYPERLINK("#'"&amp;$G$1&amp;"'!"&amp;ADDRESS(ROW(Notes!I1799),COLUMN(Notes!I1799),4),I1799)</f>
        <v>0</v>
      </c>
      <c r="P5382" s="1542">
        <f t="shared" ca="1" si="578"/>
        <v>0</v>
      </c>
      <c r="Q5382" s="442"/>
      <c r="R5382" s="443"/>
      <c r="S5382" s="364"/>
      <c r="Z5382" s="609" t="s">
        <v>2105</v>
      </c>
      <c r="AA5382" s="609" t="s">
        <v>19</v>
      </c>
    </row>
    <row r="5383" spans="1:27" ht="18">
      <c r="A5383" s="2712"/>
      <c r="B5383" s="371">
        <v>108</v>
      </c>
      <c r="C5383" s="371"/>
      <c r="D5383" s="2714">
        <f t="shared" si="577"/>
        <v>1</v>
      </c>
      <c r="E5383" s="2719">
        <v>1</v>
      </c>
      <c r="F5383" s="293"/>
      <c r="G5383" s="319" t="s">
        <v>429</v>
      </c>
      <c r="H5383" s="309"/>
      <c r="I5383" s="422"/>
      <c r="J5383" s="309"/>
      <c r="K5383" s="320"/>
      <c r="L5383" s="309"/>
      <c r="M5383" s="346"/>
      <c r="N5383" s="439"/>
      <c r="O5383" s="1586">
        <f ca="1">HYPERLINK("#'"&amp;$G$1&amp;"'!"&amp;ADDRESS(ROW(Notes!I3318),COLUMN(Notes!I3318),4),I3318)</f>
        <v>3483445.9</v>
      </c>
      <c r="P5383" s="1542">
        <f t="shared" ca="1" si="578"/>
        <v>3483445.9</v>
      </c>
      <c r="Q5383" s="442"/>
      <c r="R5383" s="443"/>
      <c r="S5383" s="364"/>
      <c r="Z5383" s="609" t="s">
        <v>2105</v>
      </c>
      <c r="AA5383" s="609" t="s">
        <v>19</v>
      </c>
    </row>
    <row r="5384" spans="1:27" ht="18">
      <c r="A5384" s="2712"/>
      <c r="B5384" s="371">
        <v>109</v>
      </c>
      <c r="C5384" s="371" t="s">
        <v>2791</v>
      </c>
      <c r="D5384" s="2714">
        <f t="shared" si="577"/>
        <v>0</v>
      </c>
      <c r="E5384" s="2719">
        <v>1</v>
      </c>
      <c r="F5384" s="293"/>
      <c r="G5384" s="319" t="s">
        <v>2792</v>
      </c>
      <c r="H5384" s="309"/>
      <c r="I5384" s="422"/>
      <c r="J5384" s="309"/>
      <c r="K5384" s="320"/>
      <c r="L5384" s="309"/>
      <c r="M5384" s="346"/>
      <c r="N5384" s="439"/>
      <c r="P5384" s="1542"/>
      <c r="Q5384" s="442"/>
      <c r="R5384" s="443"/>
      <c r="S5384" s="364"/>
      <c r="Z5384" s="609" t="s">
        <v>2105</v>
      </c>
      <c r="AA5384" s="609" t="s">
        <v>19</v>
      </c>
    </row>
    <row r="5385" spans="1:27" ht="18.75" thickBot="1">
      <c r="A5385" s="2712"/>
      <c r="B5385" s="371"/>
      <c r="C5385" s="371"/>
      <c r="D5385" s="2714">
        <f t="shared" si="577"/>
        <v>1</v>
      </c>
      <c r="E5385" s="2719" t="s">
        <v>2751</v>
      </c>
      <c r="F5385" s="293"/>
      <c r="G5385" s="2232" t="s">
        <v>2752</v>
      </c>
      <c r="H5385" s="2323">
        <f t="shared" ref="H5385:M5385" si="579">SUMPRODUCT($E5375:$E5384,H5375:H5384)</f>
        <v>0</v>
      </c>
      <c r="I5385" s="2323">
        <f t="shared" si="579"/>
        <v>0</v>
      </c>
      <c r="J5385" s="2323">
        <f t="shared" si="579"/>
        <v>0</v>
      </c>
      <c r="K5385" s="2323">
        <f t="shared" si="579"/>
        <v>0</v>
      </c>
      <c r="L5385" s="2323">
        <f t="shared" si="579"/>
        <v>0</v>
      </c>
      <c r="M5385" s="2340">
        <f t="shared" si="579"/>
        <v>0</v>
      </c>
      <c r="N5385" s="439"/>
      <c r="P5385" s="1555">
        <f ca="1">SUM(P5376:P5384)</f>
        <v>129128127.84999999</v>
      </c>
      <c r="Q5385" s="442"/>
      <c r="R5385" s="443"/>
      <c r="S5385" s="364"/>
      <c r="Z5385" s="609" t="s">
        <v>2105</v>
      </c>
      <c r="AA5385" s="609" t="s">
        <v>19</v>
      </c>
    </row>
    <row r="5386" spans="1:27" ht="18">
      <c r="A5386" s="2712"/>
      <c r="B5386" s="371"/>
      <c r="C5386" s="371" t="s">
        <v>2755</v>
      </c>
      <c r="D5386" s="2714"/>
      <c r="F5386" s="293"/>
      <c r="G5386" s="376"/>
      <c r="H5386" s="315"/>
      <c r="I5386" s="396"/>
      <c r="J5386" s="315"/>
      <c r="K5386" s="423"/>
      <c r="L5386" s="315"/>
      <c r="M5386" s="315"/>
      <c r="N5386" s="426"/>
      <c r="O5386" s="1583" t="s">
        <v>5493</v>
      </c>
      <c r="P5386" s="425"/>
      <c r="Q5386" s="442"/>
      <c r="R5386" s="443"/>
      <c r="S5386" s="364"/>
      <c r="Z5386" s="609" t="s">
        <v>2105</v>
      </c>
      <c r="AA5386" s="609" t="s">
        <v>19</v>
      </c>
    </row>
    <row r="5387" spans="1:27" ht="24">
      <c r="A5387" s="2712" t="s">
        <v>2120</v>
      </c>
      <c r="B5387" s="371">
        <v>5</v>
      </c>
      <c r="C5387" s="371"/>
      <c r="D5387" s="2714" t="str">
        <f>VLOOKUP($A5387,Sheet_NoteList,2,0)</f>
        <v>本期末各外币资产负债项目的主要外汇风险敞口</v>
      </c>
      <c r="E5387" s="2714" t="s">
        <v>2742</v>
      </c>
      <c r="F5387" s="293"/>
      <c r="G5387" s="372" t="str">
        <f>"("&amp;B5387&amp;")"&amp;D5387</f>
        <v>(5)本期末各外币资产负债项目的主要外汇风险敞口</v>
      </c>
      <c r="H5387" s="1515" t="str">
        <f>$A5387</f>
        <v>9325k</v>
      </c>
      <c r="I5387" s="343" t="s">
        <v>2743</v>
      </c>
      <c r="J5387" s="301" t="s">
        <v>2744</v>
      </c>
      <c r="K5387" s="2208">
        <f>H5419</f>
        <v>0</v>
      </c>
      <c r="L5387" s="349"/>
      <c r="M5387" s="301" t="s">
        <v>2745</v>
      </c>
      <c r="N5387" s="2208">
        <f>I5419</f>
        <v>0</v>
      </c>
      <c r="O5387" s="349"/>
      <c r="P5387" s="301"/>
      <c r="S5387" s="364"/>
      <c r="Z5387" s="609" t="s">
        <v>2105</v>
      </c>
      <c r="AA5387" s="609" t="s">
        <v>19</v>
      </c>
    </row>
    <row r="5388" spans="1:27" ht="0.75" customHeight="1">
      <c r="A5388" s="2712"/>
      <c r="B5388" s="371"/>
      <c r="C5388" s="371"/>
      <c r="D5388" s="2714"/>
      <c r="F5388" s="371"/>
      <c r="G5388" s="405" t="s">
        <v>4517</v>
      </c>
      <c r="H5388" s="371" t="s">
        <v>5386</v>
      </c>
      <c r="I5388" s="371" t="s">
        <v>5528</v>
      </c>
      <c r="J5388" s="612" t="s">
        <v>5529</v>
      </c>
      <c r="K5388" s="1602"/>
      <c r="L5388" s="1602"/>
      <c r="M5388" s="1602"/>
      <c r="N5388" s="1602"/>
      <c r="O5388" s="1602"/>
      <c r="P5388" s="1602"/>
      <c r="Q5388" s="1602"/>
      <c r="R5388" s="1602"/>
      <c r="S5388" s="364"/>
      <c r="Z5388" s="609" t="s">
        <v>2105</v>
      </c>
      <c r="AA5388" s="609" t="s">
        <v>19</v>
      </c>
    </row>
    <row r="5389" spans="1:27" ht="0.75" customHeight="1" thickBot="1">
      <c r="A5389" s="2712"/>
      <c r="B5389" s="371"/>
      <c r="C5389" s="371"/>
      <c r="D5389" s="2714"/>
      <c r="F5389" s="371"/>
      <c r="G5389" s="405"/>
      <c r="H5389" s="371" t="s">
        <v>5460</v>
      </c>
      <c r="I5389" s="371" t="s">
        <v>5526</v>
      </c>
      <c r="J5389" s="612" t="s">
        <v>5527</v>
      </c>
      <c r="K5389" s="1602"/>
      <c r="L5389" s="1602"/>
      <c r="M5389" s="1602"/>
      <c r="N5389" s="1602"/>
      <c r="O5389" s="1602"/>
      <c r="P5389" s="1602"/>
      <c r="Q5389" s="1602"/>
      <c r="R5389" s="1602"/>
      <c r="S5389" s="364"/>
      <c r="Z5389" s="609" t="s">
        <v>2105</v>
      </c>
      <c r="AA5389" s="609" t="s">
        <v>19</v>
      </c>
    </row>
    <row r="5390" spans="1:27" ht="18" customHeight="1">
      <c r="A5390" s="2712"/>
      <c r="B5390" s="371"/>
      <c r="C5390" s="371"/>
      <c r="D5390" s="2714"/>
      <c r="E5390" s="2714" t="s">
        <v>2749</v>
      </c>
      <c r="F5390" s="293"/>
      <c r="G5390" s="3478" t="s">
        <v>47</v>
      </c>
      <c r="H5390" s="3494" t="str">
        <f>$W$2&amp;"余额"</f>
        <v>2019年12月31日余额</v>
      </c>
      <c r="I5390" s="3523"/>
      <c r="J5390" s="3523"/>
      <c r="K5390" s="355" t="s">
        <v>5346</v>
      </c>
      <c r="L5390" s="1602"/>
      <c r="M5390" s="1602"/>
      <c r="N5390" s="1602"/>
      <c r="O5390" s="1602"/>
      <c r="P5390" s="1602"/>
      <c r="Q5390" s="1602"/>
      <c r="R5390" s="1602"/>
      <c r="S5390" s="364"/>
      <c r="Z5390" s="609" t="s">
        <v>2105</v>
      </c>
      <c r="AA5390" s="609" t="s">
        <v>19</v>
      </c>
    </row>
    <row r="5391" spans="1:27" ht="18">
      <c r="A5391" s="2712"/>
      <c r="B5391" s="371"/>
      <c r="C5391" s="371"/>
      <c r="D5391" s="2714"/>
      <c r="E5391" s="2714" t="s">
        <v>2749</v>
      </c>
      <c r="F5391" s="293"/>
      <c r="G5391" s="3479"/>
      <c r="H5391" s="2461" t="s">
        <v>4518</v>
      </c>
      <c r="I5391" s="2461" t="s">
        <v>2459</v>
      </c>
      <c r="J5391" s="1601" t="s">
        <v>5523</v>
      </c>
      <c r="K5391" s="355" t="s">
        <v>5530</v>
      </c>
      <c r="L5391" s="1602"/>
      <c r="M5391" s="1602"/>
      <c r="N5391" s="1602"/>
      <c r="O5391" s="1602"/>
      <c r="P5391" s="1602"/>
      <c r="Q5391" s="1602"/>
      <c r="R5391" s="1602"/>
      <c r="S5391" s="364"/>
      <c r="Z5391" s="609" t="s">
        <v>2105</v>
      </c>
      <c r="AA5391" s="609" t="s">
        <v>19</v>
      </c>
    </row>
    <row r="5392" spans="1:27" ht="18">
      <c r="A5392" s="2712"/>
      <c r="B5392" s="371">
        <v>101</v>
      </c>
      <c r="C5392" s="371"/>
      <c r="D5392" s="2714">
        <f t="shared" ref="D5392:D5419" si="580">IF(OR(G5392="*",G5392="",G5392=0),0,COUNTIF($G$5392:$G$5419,G5392))</f>
        <v>1</v>
      </c>
      <c r="E5392" s="2719" t="s">
        <v>41</v>
      </c>
      <c r="F5392" s="293"/>
      <c r="G5392" s="308" t="s">
        <v>10</v>
      </c>
      <c r="H5392" s="309"/>
      <c r="I5392" s="422"/>
      <c r="J5392" s="388"/>
      <c r="K5392" s="1602"/>
      <c r="L5392" s="1602"/>
      <c r="M5392" s="1602"/>
      <c r="N5392" s="1602"/>
      <c r="O5392" s="1602"/>
      <c r="P5392" s="1602"/>
      <c r="Q5392" s="1602"/>
      <c r="R5392" s="1602"/>
      <c r="S5392" s="364"/>
      <c r="Z5392" s="609" t="s">
        <v>2105</v>
      </c>
      <c r="AA5392" s="609" t="s">
        <v>19</v>
      </c>
    </row>
    <row r="5393" spans="1:27" ht="18">
      <c r="A5393" s="2712"/>
      <c r="B5393" s="371">
        <v>102</v>
      </c>
      <c r="C5393" s="371" t="s">
        <v>2791</v>
      </c>
      <c r="D5393" s="2714">
        <f t="shared" si="580"/>
        <v>1</v>
      </c>
      <c r="E5393" s="2719">
        <v>1</v>
      </c>
      <c r="F5393" s="293"/>
      <c r="G5393" s="1589" t="str">
        <f>"其中："&amp;G5392&amp;"（美元）"</f>
        <v>其中：货币资金（美元）</v>
      </c>
      <c r="H5393" s="309"/>
      <c r="I5393" s="422"/>
      <c r="J5393" s="388"/>
      <c r="K5393" s="1602"/>
      <c r="L5393" s="1602"/>
      <c r="M5393" s="1602"/>
      <c r="N5393" s="1602"/>
      <c r="O5393" s="1602"/>
      <c r="P5393" s="1602"/>
      <c r="Q5393" s="1602"/>
      <c r="R5393" s="1602"/>
      <c r="S5393" s="364"/>
      <c r="Z5393" s="609" t="s">
        <v>2105</v>
      </c>
      <c r="AA5393" s="609" t="s">
        <v>19</v>
      </c>
    </row>
    <row r="5394" spans="1:27" ht="18">
      <c r="A5394" s="2712"/>
      <c r="B5394" s="371">
        <v>103</v>
      </c>
      <c r="C5394" s="371" t="s">
        <v>2791</v>
      </c>
      <c r="D5394" s="2714">
        <f t="shared" si="580"/>
        <v>1</v>
      </c>
      <c r="E5394" s="2719">
        <v>1</v>
      </c>
      <c r="F5394" s="293"/>
      <c r="G5394" s="1589" t="str">
        <f>G5392&amp;"（欧元）"</f>
        <v>货币资金（欧元）</v>
      </c>
      <c r="H5394" s="309"/>
      <c r="I5394" s="422"/>
      <c r="J5394" s="388"/>
      <c r="K5394" s="1602"/>
      <c r="L5394" s="1602"/>
      <c r="M5394" s="1602"/>
      <c r="N5394" s="1602"/>
      <c r="O5394" s="1602"/>
      <c r="P5394" s="1602"/>
      <c r="Q5394" s="1602"/>
      <c r="R5394" s="1602"/>
      <c r="S5394" s="364"/>
      <c r="Z5394" s="609" t="s">
        <v>2105</v>
      </c>
      <c r="AA5394" s="609" t="s">
        <v>19</v>
      </c>
    </row>
    <row r="5395" spans="1:27" ht="18">
      <c r="A5395" s="2712"/>
      <c r="B5395" s="371">
        <v>104</v>
      </c>
      <c r="C5395" s="371" t="s">
        <v>2791</v>
      </c>
      <c r="D5395" s="2714">
        <f t="shared" si="580"/>
        <v>1</v>
      </c>
      <c r="E5395" s="2719">
        <v>1</v>
      </c>
      <c r="F5395" s="293"/>
      <c r="G5395" s="1589" t="str">
        <f>G5392&amp;"（港币）"</f>
        <v>货币资金（港币）</v>
      </c>
      <c r="H5395" s="309"/>
      <c r="I5395" s="422"/>
      <c r="J5395" s="388"/>
      <c r="K5395" s="1602"/>
      <c r="L5395" s="1602"/>
      <c r="M5395" s="1602"/>
      <c r="N5395" s="1602"/>
      <c r="O5395" s="1602"/>
      <c r="P5395" s="1602"/>
      <c r="Q5395" s="1602"/>
      <c r="R5395" s="1602"/>
      <c r="S5395" s="364"/>
      <c r="Z5395" s="609" t="s">
        <v>2105</v>
      </c>
      <c r="AA5395" s="609" t="s">
        <v>19</v>
      </c>
    </row>
    <row r="5396" spans="1:27" ht="18">
      <c r="A5396" s="2712"/>
      <c r="B5396" s="371">
        <v>105</v>
      </c>
      <c r="C5396" s="371" t="s">
        <v>2791</v>
      </c>
      <c r="D5396" s="2714">
        <f t="shared" si="580"/>
        <v>0</v>
      </c>
      <c r="E5396" s="2719">
        <v>1</v>
      </c>
      <c r="F5396" s="293"/>
      <c r="G5396" s="1502" t="s">
        <v>2792</v>
      </c>
      <c r="H5396" s="309"/>
      <c r="I5396" s="422"/>
      <c r="J5396" s="388"/>
      <c r="K5396" s="1602"/>
      <c r="L5396" s="1602"/>
      <c r="M5396" s="1602"/>
      <c r="N5396" s="1602"/>
      <c r="O5396" s="1602"/>
      <c r="P5396" s="1602"/>
      <c r="Q5396" s="1602"/>
      <c r="R5396" s="1602"/>
      <c r="S5396" s="364"/>
      <c r="Z5396" s="609" t="s">
        <v>2105</v>
      </c>
      <c r="AA5396" s="609" t="s">
        <v>19</v>
      </c>
    </row>
    <row r="5397" spans="1:27" ht="18">
      <c r="A5397" s="2712"/>
      <c r="B5397" s="371">
        <v>106</v>
      </c>
      <c r="C5397" s="371"/>
      <c r="D5397" s="2714">
        <f t="shared" si="580"/>
        <v>1</v>
      </c>
      <c r="E5397" s="2719" t="s">
        <v>41</v>
      </c>
      <c r="F5397" s="293"/>
      <c r="G5397" s="308" t="s">
        <v>124</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107</v>
      </c>
      <c r="C5398" s="371" t="s">
        <v>2791</v>
      </c>
      <c r="D5398" s="2714">
        <f t="shared" si="580"/>
        <v>1</v>
      </c>
      <c r="E5398" s="2719">
        <v>1</v>
      </c>
      <c r="F5398" s="293"/>
      <c r="G5398" s="1589" t="str">
        <f>"其中："&amp;G5397&amp;"（美元）"</f>
        <v>其中：应收账款（美元）</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108</v>
      </c>
      <c r="C5399" s="371" t="s">
        <v>2791</v>
      </c>
      <c r="D5399" s="2714">
        <f t="shared" si="580"/>
        <v>1</v>
      </c>
      <c r="E5399" s="2719">
        <v>1</v>
      </c>
      <c r="F5399" s="293"/>
      <c r="G5399" s="1589" t="str">
        <f>G5397&amp;"（欧元）"</f>
        <v>应收账款（欧元）</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109</v>
      </c>
      <c r="C5400" s="371" t="s">
        <v>2791</v>
      </c>
      <c r="D5400" s="2714">
        <f t="shared" si="580"/>
        <v>1</v>
      </c>
      <c r="E5400" s="2719">
        <v>1</v>
      </c>
      <c r="F5400" s="293"/>
      <c r="G5400" s="1589" t="str">
        <f>G5397&amp;"（港币）"</f>
        <v>应收账款（港币）</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110</v>
      </c>
      <c r="C5401" s="371" t="s">
        <v>2791</v>
      </c>
      <c r="D5401" s="2714">
        <f t="shared" si="580"/>
        <v>0</v>
      </c>
      <c r="E5401" s="2719">
        <v>1</v>
      </c>
      <c r="F5401" s="293"/>
      <c r="G5401" s="1502" t="s">
        <v>2792</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111</v>
      </c>
      <c r="C5402" s="371"/>
      <c r="D5402" s="2714">
        <f t="shared" si="580"/>
        <v>1</v>
      </c>
      <c r="E5402" s="2719" t="s">
        <v>41</v>
      </c>
      <c r="F5402" s="293"/>
      <c r="G5402" s="308" t="s">
        <v>201</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112</v>
      </c>
      <c r="C5403" s="371" t="s">
        <v>2791</v>
      </c>
      <c r="D5403" s="2714">
        <f t="shared" si="580"/>
        <v>1</v>
      </c>
      <c r="E5403" s="2719">
        <v>1</v>
      </c>
      <c r="F5403" s="293"/>
      <c r="G5403" s="1589" t="str">
        <f>"其中："&amp;G5402&amp;"（美元）"</f>
        <v>其中：其他应收款（美元）</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113</v>
      </c>
      <c r="C5404" s="371" t="s">
        <v>2791</v>
      </c>
      <c r="D5404" s="2714">
        <f t="shared" si="580"/>
        <v>1</v>
      </c>
      <c r="E5404" s="2719">
        <v>1</v>
      </c>
      <c r="F5404" s="293"/>
      <c r="G5404" s="1589" t="str">
        <f>G5402&amp;"（欧元）"</f>
        <v>其他应收款（欧元）</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114</v>
      </c>
      <c r="C5405" s="371" t="s">
        <v>2791</v>
      </c>
      <c r="D5405" s="2714">
        <f t="shared" si="580"/>
        <v>1</v>
      </c>
      <c r="E5405" s="2719">
        <v>1</v>
      </c>
      <c r="F5405" s="293"/>
      <c r="G5405" s="1589" t="str">
        <f>G5402&amp;"（港币）"</f>
        <v>其他应收款（港币）</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115</v>
      </c>
      <c r="C5406" s="371" t="s">
        <v>2791</v>
      </c>
      <c r="D5406" s="2714">
        <f t="shared" si="580"/>
        <v>0</v>
      </c>
      <c r="E5406" s="2719">
        <v>1</v>
      </c>
      <c r="F5406" s="293"/>
      <c r="G5406" s="1502" t="s">
        <v>2792</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116</v>
      </c>
      <c r="C5407" s="371"/>
      <c r="D5407" s="2714">
        <f t="shared" si="580"/>
        <v>1</v>
      </c>
      <c r="E5407" s="2719" t="s">
        <v>41</v>
      </c>
      <c r="F5407" s="293"/>
      <c r="G5407" s="308" t="s">
        <v>546</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117</v>
      </c>
      <c r="C5408" s="371" t="s">
        <v>2791</v>
      </c>
      <c r="D5408" s="2714">
        <f t="shared" si="580"/>
        <v>1</v>
      </c>
      <c r="E5408" s="2719">
        <v>1</v>
      </c>
      <c r="F5408" s="293"/>
      <c r="G5408" s="1589" t="str">
        <f>"其中："&amp;G5407&amp;"（美元）"</f>
        <v>其中：长期借款（美元）</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118</v>
      </c>
      <c r="C5409" s="371" t="s">
        <v>2791</v>
      </c>
      <c r="D5409" s="2714">
        <f t="shared" si="580"/>
        <v>1</v>
      </c>
      <c r="E5409" s="2719">
        <v>1</v>
      </c>
      <c r="F5409" s="293"/>
      <c r="G5409" s="1589" t="str">
        <f>G5407&amp;"（欧元）"</f>
        <v>长期借款（欧元）</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119</v>
      </c>
      <c r="C5410" s="371" t="s">
        <v>2791</v>
      </c>
      <c r="D5410" s="2714">
        <f t="shared" si="580"/>
        <v>1</v>
      </c>
      <c r="E5410" s="2719">
        <v>1</v>
      </c>
      <c r="F5410" s="293"/>
      <c r="G5410" s="1589" t="str">
        <f>G5407&amp;"（港币）"</f>
        <v>长期借款（港币）</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120</v>
      </c>
      <c r="C5411" s="371" t="s">
        <v>2791</v>
      </c>
      <c r="D5411" s="2714">
        <f t="shared" si="580"/>
        <v>0</v>
      </c>
      <c r="E5411" s="2719">
        <v>1</v>
      </c>
      <c r="F5411" s="293"/>
      <c r="G5411" s="1502" t="s">
        <v>2792</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121</v>
      </c>
      <c r="C5412" s="371"/>
      <c r="D5412" s="2714">
        <f t="shared" si="580"/>
        <v>1</v>
      </c>
      <c r="E5412" s="2719" t="s">
        <v>41</v>
      </c>
      <c r="F5412" s="293"/>
      <c r="G5412" s="308" t="s">
        <v>550</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122</v>
      </c>
      <c r="C5413" s="371" t="s">
        <v>2791</v>
      </c>
      <c r="D5413" s="2714">
        <f t="shared" si="580"/>
        <v>1</v>
      </c>
      <c r="E5413" s="2719">
        <v>1</v>
      </c>
      <c r="F5413" s="293"/>
      <c r="G5413" s="1589" t="str">
        <f>"其中："&amp;G5412&amp;"（美元）"</f>
        <v>其中：应付债券（美元）</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123</v>
      </c>
      <c r="C5414" s="371" t="s">
        <v>2791</v>
      </c>
      <c r="D5414" s="2714">
        <f t="shared" si="580"/>
        <v>1</v>
      </c>
      <c r="E5414" s="2719">
        <v>1</v>
      </c>
      <c r="F5414" s="293"/>
      <c r="G5414" s="1589" t="str">
        <f>G5412&amp;"（欧元）"</f>
        <v>应付债券（欧元）</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124</v>
      </c>
      <c r="C5415" s="371" t="s">
        <v>2791</v>
      </c>
      <c r="D5415" s="2714">
        <f t="shared" si="580"/>
        <v>1</v>
      </c>
      <c r="E5415" s="2719">
        <v>1</v>
      </c>
      <c r="F5415" s="293"/>
      <c r="G5415" s="1589" t="str">
        <f>G5412&amp;"（港币）"</f>
        <v>应付债券（港币）</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125</v>
      </c>
      <c r="C5416" s="371" t="s">
        <v>2791</v>
      </c>
      <c r="D5416" s="2714">
        <f t="shared" si="580"/>
        <v>0</v>
      </c>
      <c r="E5416" s="2719">
        <v>1</v>
      </c>
      <c r="F5416" s="293"/>
      <c r="G5416" s="1502" t="s">
        <v>2792</v>
      </c>
      <c r="H5416" s="309"/>
      <c r="I5416" s="422"/>
      <c r="J5416" s="388"/>
      <c r="K5416" s="1602"/>
      <c r="L5416" s="1602"/>
      <c r="M5416" s="1602"/>
      <c r="N5416" s="1602"/>
      <c r="O5416" s="1602"/>
      <c r="P5416" s="1602"/>
      <c r="Q5416" s="1602"/>
      <c r="R5416" s="1602"/>
      <c r="S5416" s="364"/>
      <c r="Z5416" s="609" t="s">
        <v>2105</v>
      </c>
      <c r="AA5416" s="609" t="s">
        <v>19</v>
      </c>
    </row>
    <row r="5417" spans="1:27" ht="18">
      <c r="A5417" s="2712"/>
      <c r="B5417" s="371">
        <v>126</v>
      </c>
      <c r="C5417" s="371" t="s">
        <v>2791</v>
      </c>
      <c r="D5417" s="2714">
        <f t="shared" si="580"/>
        <v>0</v>
      </c>
      <c r="E5417" s="2719">
        <v>1</v>
      </c>
      <c r="F5417" s="293"/>
      <c r="G5417" s="1589" t="s">
        <v>2792</v>
      </c>
      <c r="H5417" s="309"/>
      <c r="I5417" s="422"/>
      <c r="J5417" s="388"/>
      <c r="K5417" s="1602"/>
      <c r="L5417" s="1602"/>
      <c r="M5417" s="1602"/>
      <c r="N5417" s="1602"/>
      <c r="O5417" s="1602"/>
      <c r="P5417" s="1602"/>
      <c r="Q5417" s="1602"/>
      <c r="R5417" s="1602"/>
      <c r="S5417" s="364"/>
      <c r="Z5417" s="609" t="s">
        <v>2105</v>
      </c>
      <c r="AA5417" s="609" t="s">
        <v>19</v>
      </c>
    </row>
    <row r="5418" spans="1:27" ht="18">
      <c r="A5418" s="2712"/>
      <c r="B5418" s="371">
        <v>127</v>
      </c>
      <c r="C5418" s="371" t="s">
        <v>6530</v>
      </c>
      <c r="D5418" s="2714">
        <f t="shared" si="580"/>
        <v>0</v>
      </c>
      <c r="E5418" s="2719">
        <v>1</v>
      </c>
      <c r="F5418" s="293"/>
      <c r="G5418" s="1589" t="s">
        <v>5144</v>
      </c>
      <c r="H5418" s="309"/>
      <c r="I5418" s="422"/>
      <c r="J5418" s="388"/>
      <c r="K5418" s="1602"/>
      <c r="L5418" s="1602"/>
      <c r="M5418" s="1602"/>
      <c r="N5418" s="1602"/>
      <c r="O5418" s="1602"/>
      <c r="P5418" s="1602"/>
      <c r="Q5418" s="1602"/>
      <c r="R5418" s="1602"/>
      <c r="S5418" s="364"/>
      <c r="Z5418" s="609" t="s">
        <v>2105</v>
      </c>
      <c r="AA5418" s="609" t="s">
        <v>19</v>
      </c>
    </row>
    <row r="5419" spans="1:27" ht="18.75" thickBot="1">
      <c r="A5419" s="2712"/>
      <c r="B5419" s="371"/>
      <c r="C5419" s="371"/>
      <c r="D5419" s="2714">
        <f t="shared" si="580"/>
        <v>1</v>
      </c>
      <c r="E5419" s="2719" t="s">
        <v>2751</v>
      </c>
      <c r="F5419" s="293"/>
      <c r="G5419" s="2232" t="s">
        <v>2752</v>
      </c>
      <c r="H5419" s="2428"/>
      <c r="I5419" s="2233">
        <f>SUMPRODUCT($E5391:$E5418,I5391:I5418)</f>
        <v>0</v>
      </c>
      <c r="J5419" s="2486"/>
      <c r="K5419" s="1602"/>
      <c r="L5419" s="1602"/>
      <c r="M5419" s="1602"/>
      <c r="N5419" s="1602"/>
      <c r="O5419" s="1602"/>
      <c r="P5419" s="1602"/>
      <c r="Q5419" s="1602"/>
      <c r="R5419" s="1602"/>
      <c r="S5419" s="364"/>
      <c r="Z5419" s="609" t="s">
        <v>2105</v>
      </c>
      <c r="AA5419" s="609" t="s">
        <v>19</v>
      </c>
    </row>
    <row r="5420" spans="1:27" ht="18">
      <c r="A5420" s="2712"/>
      <c r="B5420" s="371"/>
      <c r="C5420" s="371" t="s">
        <v>2755</v>
      </c>
      <c r="D5420" s="2714"/>
      <c r="F5420" s="293"/>
      <c r="G5420" s="376"/>
      <c r="H5420" s="315"/>
      <c r="I5420" s="396"/>
      <c r="J5420" s="427"/>
      <c r="K5420" s="1602"/>
      <c r="L5420" s="1602"/>
      <c r="M5420" s="1602"/>
      <c r="N5420" s="1602"/>
      <c r="O5420" s="1602"/>
      <c r="P5420" s="1602"/>
      <c r="Q5420" s="1602"/>
      <c r="R5420" s="1602"/>
      <c r="S5420" s="364"/>
      <c r="Z5420" s="609" t="s">
        <v>2105</v>
      </c>
      <c r="AA5420" s="609" t="s">
        <v>19</v>
      </c>
    </row>
    <row r="5421" spans="1:27" ht="24">
      <c r="A5421" s="2712" t="s">
        <v>2125</v>
      </c>
      <c r="B5421" s="371">
        <v>5</v>
      </c>
      <c r="C5421" s="371"/>
      <c r="D5421" s="2714" t="str">
        <f>VLOOKUP($A5421,Sheet_NoteList,2,0)</f>
        <v>上期末各外币资产负债项目的主要外汇风险敞口</v>
      </c>
      <c r="E5421" s="2714" t="s">
        <v>2742</v>
      </c>
      <c r="F5421" s="293"/>
      <c r="G5421" s="372" t="str">
        <f>"("&amp;B5421&amp;")"&amp;D5421</f>
        <v>(5)上期末各外币资产负债项目的主要外汇风险敞口</v>
      </c>
      <c r="H5421" s="1515" t="str">
        <f>$A5421</f>
        <v>9325m</v>
      </c>
      <c r="I5421" s="343" t="s">
        <v>2743</v>
      </c>
      <c r="J5421" s="301" t="s">
        <v>2744</v>
      </c>
      <c r="K5421" s="2208">
        <f>H5453</f>
        <v>0</v>
      </c>
      <c r="L5421" s="349"/>
      <c r="M5421" s="301" t="s">
        <v>2745</v>
      </c>
      <c r="N5421" s="2208">
        <f>I5453</f>
        <v>0</v>
      </c>
      <c r="O5421" s="349"/>
      <c r="P5421" s="301"/>
      <c r="S5421" s="364"/>
      <c r="Z5421" s="609" t="s">
        <v>2105</v>
      </c>
      <c r="AA5421" s="609" t="s">
        <v>19</v>
      </c>
    </row>
    <row r="5422" spans="1:27" ht="0.75" customHeight="1">
      <c r="A5422" s="2712"/>
      <c r="B5422" s="371"/>
      <c r="C5422" s="371"/>
      <c r="D5422" s="2714"/>
      <c r="F5422" s="371"/>
      <c r="G5422" s="405" t="s">
        <v>4519</v>
      </c>
      <c r="H5422" s="371" t="s">
        <v>5535</v>
      </c>
      <c r="I5422" s="371" t="s">
        <v>5532</v>
      </c>
      <c r="J5422" s="612" t="s">
        <v>5533</v>
      </c>
      <c r="K5422" s="428"/>
      <c r="L5422" s="428"/>
      <c r="M5422" s="433"/>
      <c r="N5422" s="428"/>
      <c r="O5422" s="428"/>
      <c r="P5422" s="433"/>
      <c r="Q5422" s="442"/>
      <c r="R5422" s="443"/>
      <c r="S5422" s="364"/>
      <c r="Z5422" s="609" t="s">
        <v>2105</v>
      </c>
      <c r="AA5422" s="609" t="s">
        <v>19</v>
      </c>
    </row>
    <row r="5423" spans="1:27" ht="0.75" customHeight="1" thickBot="1">
      <c r="A5423" s="2712"/>
      <c r="B5423" s="371"/>
      <c r="C5423" s="371"/>
      <c r="D5423" s="2714"/>
      <c r="F5423" s="371"/>
      <c r="G5423" s="405"/>
      <c r="H5423" s="371" t="s">
        <v>5524</v>
      </c>
      <c r="I5423" s="371" t="s">
        <v>5525</v>
      </c>
      <c r="J5423" s="612" t="s">
        <v>5531</v>
      </c>
      <c r="K5423" s="428"/>
      <c r="L5423" s="428"/>
      <c r="M5423" s="433"/>
      <c r="N5423" s="428"/>
      <c r="O5423" s="428"/>
      <c r="P5423" s="433"/>
      <c r="Q5423" s="442"/>
      <c r="R5423" s="443"/>
      <c r="S5423" s="364"/>
      <c r="Z5423" s="609" t="s">
        <v>2105</v>
      </c>
      <c r="AA5423" s="609" t="s">
        <v>19</v>
      </c>
    </row>
    <row r="5424" spans="1:27" ht="18" customHeight="1">
      <c r="A5424" s="2712"/>
      <c r="B5424" s="371"/>
      <c r="C5424" s="371"/>
      <c r="D5424" s="2714"/>
      <c r="E5424" s="2714" t="s">
        <v>2749</v>
      </c>
      <c r="F5424" s="293"/>
      <c r="G5424" s="3478" t="s">
        <v>47</v>
      </c>
      <c r="H5424" s="3494" t="str">
        <f>$W$3&amp;"余额"</f>
        <v>2018年12月31日余额</v>
      </c>
      <c r="I5424" s="3523"/>
      <c r="J5424" s="3523"/>
      <c r="K5424" s="355" t="s">
        <v>5346</v>
      </c>
      <c r="L5424" s="1510"/>
      <c r="M5424" s="1510"/>
      <c r="N5424" s="428"/>
      <c r="O5424" s="428"/>
      <c r="P5424" s="433"/>
      <c r="Q5424" s="442"/>
      <c r="R5424" s="443"/>
      <c r="S5424" s="364"/>
      <c r="Z5424" s="609" t="s">
        <v>2105</v>
      </c>
      <c r="AA5424" s="609" t="s">
        <v>19</v>
      </c>
    </row>
    <row r="5425" spans="1:27" ht="18">
      <c r="A5425" s="2712"/>
      <c r="B5425" s="371"/>
      <c r="C5425" s="371"/>
      <c r="D5425" s="2714"/>
      <c r="E5425" s="2714" t="s">
        <v>2749</v>
      </c>
      <c r="F5425" s="293"/>
      <c r="G5425" s="3479"/>
      <c r="H5425" s="2461" t="s">
        <v>4518</v>
      </c>
      <c r="I5425" s="2461" t="s">
        <v>2459</v>
      </c>
      <c r="J5425" s="1601" t="s">
        <v>5534</v>
      </c>
      <c r="K5425" s="355" t="s">
        <v>5530</v>
      </c>
      <c r="L5425" s="434"/>
      <c r="M5425" s="1509"/>
      <c r="N5425" s="434"/>
      <c r="O5425" s="434"/>
      <c r="P5425" s="435"/>
      <c r="Q5425" s="442"/>
      <c r="R5425" s="443"/>
      <c r="S5425" s="364"/>
      <c r="Z5425" s="609" t="s">
        <v>2105</v>
      </c>
      <c r="AA5425" s="609" t="s">
        <v>19</v>
      </c>
    </row>
    <row r="5426" spans="1:27" ht="18">
      <c r="A5426" s="2712"/>
      <c r="B5426" s="371">
        <v>101</v>
      </c>
      <c r="C5426" s="371"/>
      <c r="D5426" s="2714">
        <f t="shared" ref="D5426:D5453" si="581">IF(OR(G5426="*",G5426="",G5426=0),0,COUNTIF($G$5426:$G$5453,G5426))</f>
        <v>1</v>
      </c>
      <c r="E5426" s="2719" t="s">
        <v>41</v>
      </c>
      <c r="F5426" s="293"/>
      <c r="G5426" s="308" t="s">
        <v>10</v>
      </c>
      <c r="H5426" s="309"/>
      <c r="I5426" s="422"/>
      <c r="J5426" s="388"/>
      <c r="L5426" s="438"/>
      <c r="M5426" s="438"/>
      <c r="N5426" s="439"/>
      <c r="O5426" s="437"/>
      <c r="P5426" s="438"/>
      <c r="Q5426" s="442"/>
      <c r="R5426" s="443"/>
      <c r="S5426" s="364"/>
      <c r="Z5426" s="609" t="s">
        <v>2105</v>
      </c>
      <c r="AA5426" s="609" t="s">
        <v>19</v>
      </c>
    </row>
    <row r="5427" spans="1:27" ht="18">
      <c r="A5427" s="2712"/>
      <c r="B5427" s="371">
        <v>102</v>
      </c>
      <c r="C5427" s="371" t="s">
        <v>2791</v>
      </c>
      <c r="D5427" s="2714">
        <f t="shared" si="581"/>
        <v>1</v>
      </c>
      <c r="E5427" s="2719">
        <v>1</v>
      </c>
      <c r="F5427" s="293"/>
      <c r="G5427" s="1597" t="str">
        <f>"其中："&amp;G5426&amp;"（美元）"</f>
        <v>其中：货币资金（美元）</v>
      </c>
      <c r="H5427" s="309"/>
      <c r="I5427" s="422"/>
      <c r="J5427" s="388"/>
      <c r="K5427" s="520"/>
      <c r="L5427" s="438"/>
      <c r="M5427" s="438"/>
      <c r="N5427" s="439"/>
      <c r="O5427" s="437"/>
      <c r="P5427" s="438"/>
      <c r="Q5427" s="442"/>
      <c r="R5427" s="443"/>
      <c r="S5427" s="364"/>
      <c r="Z5427" s="609" t="s">
        <v>2105</v>
      </c>
      <c r="AA5427" s="609" t="s">
        <v>19</v>
      </c>
    </row>
    <row r="5428" spans="1:27" ht="18">
      <c r="A5428" s="2712"/>
      <c r="B5428" s="371">
        <v>103</v>
      </c>
      <c r="C5428" s="371" t="s">
        <v>2791</v>
      </c>
      <c r="D5428" s="2714">
        <f t="shared" si="581"/>
        <v>1</v>
      </c>
      <c r="E5428" s="2719">
        <v>1</v>
      </c>
      <c r="F5428" s="293"/>
      <c r="G5428" s="1597" t="str">
        <f>G5426&amp;"（欧元）"</f>
        <v>货币资金（欧元）</v>
      </c>
      <c r="H5428" s="309"/>
      <c r="I5428" s="422"/>
      <c r="J5428" s="388"/>
      <c r="K5428" s="520"/>
      <c r="L5428" s="438"/>
      <c r="M5428" s="438"/>
      <c r="N5428" s="439"/>
      <c r="O5428" s="437"/>
      <c r="P5428" s="438"/>
      <c r="Q5428" s="442"/>
      <c r="R5428" s="443"/>
      <c r="S5428" s="364"/>
      <c r="Z5428" s="609" t="s">
        <v>2105</v>
      </c>
      <c r="AA5428" s="609" t="s">
        <v>19</v>
      </c>
    </row>
    <row r="5429" spans="1:27" ht="18">
      <c r="A5429" s="2712"/>
      <c r="B5429" s="371">
        <v>104</v>
      </c>
      <c r="C5429" s="371" t="s">
        <v>2791</v>
      </c>
      <c r="D5429" s="2714">
        <f t="shared" si="581"/>
        <v>1</v>
      </c>
      <c r="E5429" s="2719">
        <v>1</v>
      </c>
      <c r="F5429" s="293"/>
      <c r="G5429" s="1597" t="str">
        <f>G5426&amp;"（港币）"</f>
        <v>货币资金（港币）</v>
      </c>
      <c r="H5429" s="309"/>
      <c r="I5429" s="422"/>
      <c r="J5429" s="388"/>
      <c r="K5429" s="520"/>
      <c r="L5429" s="438"/>
      <c r="M5429" s="438"/>
      <c r="N5429" s="439"/>
      <c r="O5429" s="437"/>
      <c r="P5429" s="438"/>
      <c r="Q5429" s="442"/>
      <c r="R5429" s="443"/>
      <c r="S5429" s="364"/>
      <c r="Z5429" s="609" t="s">
        <v>2105</v>
      </c>
      <c r="AA5429" s="609" t="s">
        <v>19</v>
      </c>
    </row>
    <row r="5430" spans="1:27" ht="18">
      <c r="A5430" s="2712"/>
      <c r="B5430" s="371">
        <v>105</v>
      </c>
      <c r="C5430" s="371" t="s">
        <v>2791</v>
      </c>
      <c r="D5430" s="2714">
        <f t="shared" si="581"/>
        <v>0</v>
      </c>
      <c r="E5430" s="2719">
        <v>1</v>
      </c>
      <c r="F5430" s="293"/>
      <c r="G5430" s="1502" t="s">
        <v>2792</v>
      </c>
      <c r="H5430" s="309"/>
      <c r="I5430" s="422"/>
      <c r="J5430" s="388"/>
      <c r="K5430" s="520"/>
      <c r="L5430" s="438"/>
      <c r="M5430" s="438"/>
      <c r="N5430" s="439"/>
      <c r="O5430" s="437"/>
      <c r="P5430" s="438"/>
      <c r="Q5430" s="442"/>
      <c r="R5430" s="443"/>
      <c r="S5430" s="364"/>
      <c r="Z5430" s="609" t="s">
        <v>2105</v>
      </c>
      <c r="AA5430" s="609" t="s">
        <v>19</v>
      </c>
    </row>
    <row r="5431" spans="1:27" ht="18">
      <c r="A5431" s="2712"/>
      <c r="B5431" s="371">
        <v>106</v>
      </c>
      <c r="C5431" s="371"/>
      <c r="D5431" s="2714">
        <f t="shared" si="581"/>
        <v>1</v>
      </c>
      <c r="E5431" s="2719" t="s">
        <v>41</v>
      </c>
      <c r="F5431" s="293"/>
      <c r="G5431" s="308" t="s">
        <v>124</v>
      </c>
      <c r="H5431" s="309"/>
      <c r="I5431" s="422"/>
      <c r="J5431" s="388"/>
      <c r="K5431" s="520"/>
      <c r="L5431" s="438"/>
      <c r="M5431" s="438"/>
      <c r="N5431" s="439"/>
      <c r="O5431" s="437"/>
      <c r="P5431" s="438"/>
      <c r="Q5431" s="442"/>
      <c r="R5431" s="443"/>
      <c r="S5431" s="364"/>
      <c r="Z5431" s="609" t="s">
        <v>2105</v>
      </c>
      <c r="AA5431" s="609" t="s">
        <v>19</v>
      </c>
    </row>
    <row r="5432" spans="1:27" ht="18">
      <c r="A5432" s="2712"/>
      <c r="B5432" s="371">
        <v>107</v>
      </c>
      <c r="C5432" s="371" t="s">
        <v>2791</v>
      </c>
      <c r="D5432" s="2714">
        <f t="shared" si="581"/>
        <v>1</v>
      </c>
      <c r="E5432" s="2719">
        <v>1</v>
      </c>
      <c r="F5432" s="293"/>
      <c r="G5432" s="1597" t="str">
        <f>"其中："&amp;G5431&amp;"（美元）"</f>
        <v>其中：应收账款（美元）</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108</v>
      </c>
      <c r="C5433" s="371" t="s">
        <v>2791</v>
      </c>
      <c r="D5433" s="2714">
        <f t="shared" si="581"/>
        <v>1</v>
      </c>
      <c r="E5433" s="2719">
        <v>1</v>
      </c>
      <c r="F5433" s="293"/>
      <c r="G5433" s="1597" t="str">
        <f>G5431&amp;"（欧元）"</f>
        <v>应收账款（欧元）</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109</v>
      </c>
      <c r="C5434" s="371" t="s">
        <v>2791</v>
      </c>
      <c r="D5434" s="2714">
        <f t="shared" si="581"/>
        <v>1</v>
      </c>
      <c r="E5434" s="2719">
        <v>1</v>
      </c>
      <c r="F5434" s="293"/>
      <c r="G5434" s="1597" t="str">
        <f>G5431&amp;"（港币）"</f>
        <v>应收账款（港币）</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110</v>
      </c>
      <c r="C5435" s="371" t="s">
        <v>2791</v>
      </c>
      <c r="D5435" s="2714">
        <f t="shared" si="581"/>
        <v>0</v>
      </c>
      <c r="E5435" s="2719">
        <v>1</v>
      </c>
      <c r="F5435" s="293"/>
      <c r="G5435" s="1502" t="s">
        <v>2792</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111</v>
      </c>
      <c r="C5436" s="371"/>
      <c r="D5436" s="2714">
        <f t="shared" si="581"/>
        <v>1</v>
      </c>
      <c r="E5436" s="2719" t="s">
        <v>41</v>
      </c>
      <c r="F5436" s="293"/>
      <c r="G5436" s="308" t="s">
        <v>201</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112</v>
      </c>
      <c r="C5437" s="371" t="s">
        <v>2791</v>
      </c>
      <c r="D5437" s="2714">
        <f t="shared" si="581"/>
        <v>1</v>
      </c>
      <c r="E5437" s="2719">
        <v>1</v>
      </c>
      <c r="F5437" s="293"/>
      <c r="G5437" s="1597" t="str">
        <f>"其中："&amp;G5436&amp;"（美元）"</f>
        <v>其中：其他应收款（美元）</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113</v>
      </c>
      <c r="C5438" s="371" t="s">
        <v>2791</v>
      </c>
      <c r="D5438" s="2714">
        <f t="shared" si="581"/>
        <v>1</v>
      </c>
      <c r="E5438" s="2719">
        <v>1</v>
      </c>
      <c r="F5438" s="293"/>
      <c r="G5438" s="1597" t="str">
        <f>G5436&amp;"（欧元）"</f>
        <v>其他应收款（欧元）</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114</v>
      </c>
      <c r="C5439" s="371" t="s">
        <v>2791</v>
      </c>
      <c r="D5439" s="2714">
        <f t="shared" si="581"/>
        <v>1</v>
      </c>
      <c r="E5439" s="2719">
        <v>1</v>
      </c>
      <c r="F5439" s="293"/>
      <c r="G5439" s="1597" t="str">
        <f>G5436&amp;"（港币）"</f>
        <v>其他应收款（港币）</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115</v>
      </c>
      <c r="C5440" s="371" t="s">
        <v>2791</v>
      </c>
      <c r="D5440" s="2714">
        <f t="shared" si="581"/>
        <v>0</v>
      </c>
      <c r="E5440" s="2719">
        <v>1</v>
      </c>
      <c r="F5440" s="293"/>
      <c r="G5440" s="1502" t="s">
        <v>2792</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116</v>
      </c>
      <c r="C5441" s="371"/>
      <c r="D5441" s="2714">
        <f t="shared" si="581"/>
        <v>1</v>
      </c>
      <c r="E5441" s="2719" t="s">
        <v>41</v>
      </c>
      <c r="F5441" s="293"/>
      <c r="G5441" s="308" t="s">
        <v>546</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117</v>
      </c>
      <c r="C5442" s="371" t="s">
        <v>2791</v>
      </c>
      <c r="D5442" s="2714">
        <f t="shared" si="581"/>
        <v>1</v>
      </c>
      <c r="E5442" s="2719">
        <v>1</v>
      </c>
      <c r="F5442" s="293"/>
      <c r="G5442" s="1597" t="str">
        <f>"其中："&amp;G5441&amp;"（美元）"</f>
        <v>其中：长期借款（美元）</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118</v>
      </c>
      <c r="C5443" s="371" t="s">
        <v>2791</v>
      </c>
      <c r="D5443" s="2714">
        <f t="shared" si="581"/>
        <v>1</v>
      </c>
      <c r="E5443" s="2719">
        <v>1</v>
      </c>
      <c r="F5443" s="293"/>
      <c r="G5443" s="1597" t="str">
        <f>G5441&amp;"（欧元）"</f>
        <v>长期借款（欧元）</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119</v>
      </c>
      <c r="C5444" s="371" t="s">
        <v>2791</v>
      </c>
      <c r="D5444" s="2714">
        <f t="shared" si="581"/>
        <v>1</v>
      </c>
      <c r="E5444" s="2719">
        <v>1</v>
      </c>
      <c r="F5444" s="293"/>
      <c r="G5444" s="1597" t="str">
        <f>G5441&amp;"（港币）"</f>
        <v>长期借款（港币）</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120</v>
      </c>
      <c r="C5445" s="371" t="s">
        <v>2791</v>
      </c>
      <c r="D5445" s="2714">
        <f t="shared" si="581"/>
        <v>0</v>
      </c>
      <c r="E5445" s="2719">
        <v>1</v>
      </c>
      <c r="F5445" s="293"/>
      <c r="G5445" s="1502" t="s">
        <v>2792</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121</v>
      </c>
      <c r="C5446" s="371"/>
      <c r="D5446" s="2714">
        <f t="shared" si="581"/>
        <v>1</v>
      </c>
      <c r="E5446" s="2719" t="s">
        <v>41</v>
      </c>
      <c r="F5446" s="293"/>
      <c r="G5446" s="308" t="s">
        <v>550</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122</v>
      </c>
      <c r="C5447" s="371" t="s">
        <v>2791</v>
      </c>
      <c r="D5447" s="2714">
        <f t="shared" si="581"/>
        <v>1</v>
      </c>
      <c r="E5447" s="2719">
        <v>1</v>
      </c>
      <c r="F5447" s="293"/>
      <c r="G5447" s="1597" t="str">
        <f>"其中："&amp;G5446&amp;"（美元）"</f>
        <v>其中：应付债券（美元）</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123</v>
      </c>
      <c r="C5448" s="371" t="s">
        <v>2791</v>
      </c>
      <c r="D5448" s="2714">
        <f t="shared" si="581"/>
        <v>1</v>
      </c>
      <c r="E5448" s="2719">
        <v>1</v>
      </c>
      <c r="F5448" s="293"/>
      <c r="G5448" s="1597" t="str">
        <f>G5446&amp;"（欧元）"</f>
        <v>应付债券（欧元）</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124</v>
      </c>
      <c r="C5449" s="371" t="s">
        <v>2791</v>
      </c>
      <c r="D5449" s="2714">
        <f t="shared" si="581"/>
        <v>1</v>
      </c>
      <c r="E5449" s="2719">
        <v>1</v>
      </c>
      <c r="F5449" s="293"/>
      <c r="G5449" s="1597" t="str">
        <f>G5446&amp;"（港币）"</f>
        <v>应付债券（港币）</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125</v>
      </c>
      <c r="C5450" s="371" t="s">
        <v>2791</v>
      </c>
      <c r="D5450" s="2714">
        <f t="shared" si="581"/>
        <v>0</v>
      </c>
      <c r="E5450" s="2719">
        <v>1</v>
      </c>
      <c r="F5450" s="293"/>
      <c r="G5450" s="1502" t="s">
        <v>2792</v>
      </c>
      <c r="H5450" s="309"/>
      <c r="I5450" s="422"/>
      <c r="J5450" s="388"/>
      <c r="K5450" s="520"/>
      <c r="L5450" s="438"/>
      <c r="M5450" s="438"/>
      <c r="N5450" s="439"/>
      <c r="O5450" s="437"/>
      <c r="P5450" s="438"/>
      <c r="Q5450" s="442"/>
      <c r="R5450" s="443"/>
      <c r="S5450" s="364"/>
      <c r="Z5450" s="609" t="s">
        <v>2105</v>
      </c>
      <c r="AA5450" s="609" t="s">
        <v>19</v>
      </c>
    </row>
    <row r="5451" spans="1:27" ht="18">
      <c r="A5451" s="2712"/>
      <c r="B5451" s="371">
        <v>126</v>
      </c>
      <c r="C5451" s="371" t="s">
        <v>2791</v>
      </c>
      <c r="D5451" s="2714">
        <f t="shared" si="581"/>
        <v>0</v>
      </c>
      <c r="E5451" s="2719">
        <v>1</v>
      </c>
      <c r="F5451" s="293"/>
      <c r="G5451" s="1597" t="s">
        <v>2792</v>
      </c>
      <c r="H5451" s="309"/>
      <c r="I5451" s="422"/>
      <c r="J5451" s="388"/>
      <c r="K5451" s="520"/>
      <c r="L5451" s="438"/>
      <c r="M5451" s="438"/>
      <c r="N5451" s="439"/>
      <c r="O5451" s="437"/>
      <c r="P5451" s="438"/>
      <c r="Q5451" s="442"/>
      <c r="R5451" s="443"/>
      <c r="S5451" s="364"/>
      <c r="Z5451" s="609" t="s">
        <v>2105</v>
      </c>
      <c r="AA5451" s="609" t="s">
        <v>19</v>
      </c>
    </row>
    <row r="5452" spans="1:27" ht="18">
      <c r="A5452" s="2712"/>
      <c r="B5452" s="371">
        <v>127</v>
      </c>
      <c r="C5452" s="371" t="s">
        <v>6530</v>
      </c>
      <c r="D5452" s="2714">
        <f t="shared" si="581"/>
        <v>0</v>
      </c>
      <c r="E5452" s="2719">
        <v>1</v>
      </c>
      <c r="F5452" s="293"/>
      <c r="G5452" s="1597" t="s">
        <v>5144</v>
      </c>
      <c r="H5452" s="309"/>
      <c r="I5452" s="422"/>
      <c r="J5452" s="388"/>
      <c r="K5452" s="520"/>
      <c r="L5452" s="438"/>
      <c r="M5452" s="438"/>
      <c r="N5452" s="439"/>
      <c r="O5452" s="437"/>
      <c r="P5452" s="438"/>
      <c r="Q5452" s="442"/>
      <c r="R5452" s="443"/>
      <c r="S5452" s="364"/>
      <c r="Z5452" s="609" t="s">
        <v>2105</v>
      </c>
      <c r="AA5452" s="609" t="s">
        <v>19</v>
      </c>
    </row>
    <row r="5453" spans="1:27" ht="18.75" thickBot="1">
      <c r="A5453" s="2712"/>
      <c r="B5453" s="371"/>
      <c r="C5453" s="371"/>
      <c r="D5453" s="2714">
        <f t="shared" si="581"/>
        <v>1</v>
      </c>
      <c r="E5453" s="2719" t="s">
        <v>2751</v>
      </c>
      <c r="F5453" s="293"/>
      <c r="G5453" s="2232" t="s">
        <v>2752</v>
      </c>
      <c r="H5453" s="2428"/>
      <c r="I5453" s="2233">
        <f>SUMPRODUCT($E5425:$E5452,I5425:I5452)</f>
        <v>0</v>
      </c>
      <c r="J5453" s="2487"/>
      <c r="K5453" s="1506"/>
      <c r="L5453" s="1506"/>
      <c r="M5453" s="1506"/>
      <c r="N5453" s="439"/>
      <c r="O5453" s="437"/>
      <c r="P5453" s="440"/>
      <c r="Q5453" s="442"/>
      <c r="R5453" s="443"/>
      <c r="S5453" s="364"/>
      <c r="Z5453" s="609" t="s">
        <v>2105</v>
      </c>
      <c r="AA5453" s="609" t="s">
        <v>19</v>
      </c>
    </row>
    <row r="5454" spans="1:27" ht="18">
      <c r="A5454" s="2712"/>
      <c r="B5454" s="371"/>
      <c r="C5454" s="371" t="s">
        <v>2755</v>
      </c>
      <c r="D5454" s="2714"/>
      <c r="F5454" s="293"/>
      <c r="G5454" s="376"/>
      <c r="H5454" s="315"/>
      <c r="I5454" s="396"/>
      <c r="J5454" s="427"/>
      <c r="K5454" s="577"/>
      <c r="L5454" s="425"/>
      <c r="M5454" s="425"/>
      <c r="N5454" s="426"/>
      <c r="O5454" s="427"/>
      <c r="P5454" s="425"/>
      <c r="Q5454" s="442"/>
      <c r="R5454" s="443"/>
      <c r="S5454" s="364"/>
      <c r="Z5454" s="609" t="s">
        <v>2105</v>
      </c>
      <c r="AA5454" s="609" t="s">
        <v>19</v>
      </c>
    </row>
    <row r="5455" spans="1:27" ht="18">
      <c r="A5455" s="2712">
        <v>9331</v>
      </c>
      <c r="B5455" s="371" t="s">
        <v>6567</v>
      </c>
      <c r="C5455" s="2714" t="str">
        <f>VLOOKUP($A5455,Sheet_Items,2,0)</f>
        <v>公允价值的披露</v>
      </c>
      <c r="D5455" s="371"/>
      <c r="E5455" s="2714" t="s">
        <v>2739</v>
      </c>
      <c r="F5455" s="294"/>
      <c r="G5455" s="305" t="str">
        <f>B5455&amp;" "&amp;C5455</f>
        <v>九 公允价值的披露</v>
      </c>
      <c r="H5455" s="306"/>
      <c r="I5455" s="306"/>
      <c r="J5455" s="306"/>
      <c r="K5455" s="539"/>
      <c r="L5455" s="342"/>
      <c r="M5455" s="306"/>
      <c r="N5455" s="539"/>
      <c r="O5455" s="306"/>
      <c r="P5455" s="301"/>
      <c r="S5455" s="364"/>
      <c r="Z5455" s="609" t="s">
        <v>2129</v>
      </c>
      <c r="AA5455" s="609"/>
    </row>
    <row r="5456" spans="1:27" ht="24">
      <c r="A5456" s="2712" t="s">
        <v>2127</v>
      </c>
      <c r="B5456" s="371">
        <v>1</v>
      </c>
      <c r="C5456" s="371"/>
      <c r="D5456" s="2714" t="str">
        <f>VLOOKUP($A5456,Sheet_NoteList,2,0)</f>
        <v>以公允价值计量的资产和负债的公允价值</v>
      </c>
      <c r="E5456" s="2714" t="s">
        <v>2742</v>
      </c>
      <c r="F5456" s="294"/>
      <c r="G5456" s="372" t="str">
        <f>"("&amp;B5456&amp;")"&amp;D5456</f>
        <v>(1)以公允价值计量的资产和负债的公允价值</v>
      </c>
      <c r="H5456" s="1515" t="str">
        <f>$A5456</f>
        <v>9331a</v>
      </c>
      <c r="I5456" s="343" t="s">
        <v>2743</v>
      </c>
      <c r="J5456" s="301"/>
      <c r="K5456" s="3083"/>
      <c r="L5456" s="315"/>
      <c r="M5456" s="301"/>
      <c r="N5456" s="3083"/>
      <c r="O5456" s="315"/>
      <c r="P5456" s="301"/>
      <c r="S5456" s="364"/>
      <c r="Z5456" s="609" t="s">
        <v>2129</v>
      </c>
      <c r="AA5456" s="609"/>
    </row>
    <row r="5457" spans="1:27" ht="0.75" customHeight="1">
      <c r="A5457" s="2712"/>
      <c r="B5457" s="371"/>
      <c r="C5457" s="371"/>
      <c r="D5457" s="371"/>
      <c r="E5457" s="586"/>
      <c r="F5457" s="586"/>
      <c r="G5457" s="586" t="s">
        <v>4523</v>
      </c>
      <c r="H5457" s="371" t="s">
        <v>2833</v>
      </c>
      <c r="I5457" s="371" t="s">
        <v>4524</v>
      </c>
      <c r="J5457" s="371" t="s">
        <v>4525</v>
      </c>
      <c r="K5457" s="371" t="s">
        <v>4526</v>
      </c>
      <c r="M5457" s="291"/>
      <c r="N5457" s="291"/>
      <c r="O5457" s="291"/>
      <c r="P5457" s="291"/>
      <c r="S5457" s="364"/>
      <c r="Z5457" s="609" t="s">
        <v>2129</v>
      </c>
      <c r="AA5457" s="609"/>
    </row>
    <row r="5458" spans="1:27" ht="0.75" customHeight="1" thickBot="1">
      <c r="A5458" s="2712"/>
      <c r="B5458" s="371"/>
      <c r="C5458" s="371"/>
      <c r="D5458" s="371"/>
      <c r="E5458" s="586"/>
      <c r="F5458" s="586"/>
      <c r="G5458" s="586"/>
      <c r="H5458" s="371" t="s">
        <v>4527</v>
      </c>
      <c r="I5458" s="371" t="s">
        <v>4528</v>
      </c>
      <c r="J5458" s="371" t="s">
        <v>4529</v>
      </c>
      <c r="K5458" s="371" t="s">
        <v>4530</v>
      </c>
      <c r="M5458" s="291"/>
      <c r="N5458" s="291"/>
      <c r="O5458" s="291"/>
      <c r="P5458" s="291"/>
      <c r="S5458" s="364"/>
      <c r="Z5458" s="609" t="s">
        <v>2129</v>
      </c>
      <c r="AA5458" s="609"/>
    </row>
    <row r="5459" spans="1:27" ht="24" customHeight="1">
      <c r="A5459" s="2712"/>
      <c r="B5459" s="371"/>
      <c r="C5459" s="371"/>
      <c r="D5459" s="371"/>
      <c r="E5459" s="586" t="s">
        <v>2749</v>
      </c>
      <c r="F5459" s="414"/>
      <c r="G5459" s="3462" t="s">
        <v>47</v>
      </c>
      <c r="H5459" s="3524" t="str">
        <f>$W$2&amp;"公允价值"</f>
        <v>2019年12月31日公允价值</v>
      </c>
      <c r="I5459" s="3524"/>
      <c r="J5459" s="3524"/>
      <c r="K5459" s="3525"/>
      <c r="L5459" s="355" t="s">
        <v>5347</v>
      </c>
      <c r="M5459" s="291"/>
      <c r="N5459" s="291"/>
      <c r="O5459" s="291"/>
      <c r="P5459" s="291"/>
      <c r="S5459" s="364"/>
      <c r="Z5459" s="609" t="s">
        <v>2129</v>
      </c>
      <c r="AA5459" s="609"/>
    </row>
    <row r="5460" spans="1:27" ht="24">
      <c r="A5460" s="2712"/>
      <c r="B5460" s="371"/>
      <c r="C5460" s="371"/>
      <c r="D5460" s="371"/>
      <c r="E5460" s="586" t="s">
        <v>2749</v>
      </c>
      <c r="F5460" s="363"/>
      <c r="G5460" s="3463"/>
      <c r="H5460" s="2582" t="s">
        <v>4531</v>
      </c>
      <c r="I5460" s="2582" t="s">
        <v>4532</v>
      </c>
      <c r="J5460" s="2582" t="s">
        <v>4533</v>
      </c>
      <c r="K5460" s="2586" t="s">
        <v>3351</v>
      </c>
      <c r="M5460" s="291"/>
      <c r="N5460" s="291"/>
      <c r="O5460" s="291"/>
      <c r="P5460" s="291"/>
      <c r="S5460" s="364"/>
      <c r="Z5460" s="609" t="s">
        <v>2129</v>
      </c>
      <c r="AA5460" s="609"/>
    </row>
    <row r="5461" spans="1:27" ht="18">
      <c r="A5461" s="2712"/>
      <c r="B5461" s="371">
        <v>101</v>
      </c>
      <c r="C5461" s="371"/>
      <c r="D5461" s="2714">
        <f t="shared" ref="D5461:D5500" si="582">IF(OR(G5461="*",G5461="",G5461=0),0,COUNTIF($G$5461:$G$5500,G5461))</f>
        <v>1</v>
      </c>
      <c r="E5461" s="2719" t="s">
        <v>41</v>
      </c>
      <c r="F5461" s="294"/>
      <c r="G5461" s="632" t="s">
        <v>4534</v>
      </c>
      <c r="H5461" s="2273"/>
      <c r="I5461" s="2273"/>
      <c r="J5461" s="2273"/>
      <c r="K5461" s="2294"/>
      <c r="M5461" s="291"/>
      <c r="N5461" s="291"/>
      <c r="O5461" s="291"/>
      <c r="P5461" s="291"/>
      <c r="S5461" s="364"/>
      <c r="Z5461" s="609" t="s">
        <v>2129</v>
      </c>
      <c r="AA5461" s="609"/>
    </row>
    <row r="5462" spans="1:27" ht="18">
      <c r="A5462" s="2712"/>
      <c r="B5462" s="371">
        <v>102</v>
      </c>
      <c r="C5462" s="371"/>
      <c r="D5462" s="2714">
        <f t="shared" si="582"/>
        <v>1</v>
      </c>
      <c r="E5462" s="2719">
        <v>1</v>
      </c>
      <c r="F5462" s="294"/>
      <c r="G5462" s="1472" t="s">
        <v>4535</v>
      </c>
      <c r="H5462" s="1474">
        <f>SUM(H5463,H5468)</f>
        <v>0</v>
      </c>
      <c r="I5462" s="1474">
        <f>SUM(I5463,I5468)</f>
        <v>0</v>
      </c>
      <c r="J5462" s="1474">
        <f>SUM(J5463,J5468)</f>
        <v>0</v>
      </c>
      <c r="K5462" s="1475">
        <f>SUM(H5462:J5462)</f>
        <v>0</v>
      </c>
      <c r="M5462" s="291"/>
      <c r="N5462" s="291"/>
      <c r="O5462" s="291"/>
      <c r="P5462" s="291"/>
      <c r="S5462" s="364"/>
      <c r="Z5462" s="609" t="s">
        <v>2129</v>
      </c>
      <c r="AA5462" s="609"/>
    </row>
    <row r="5463" spans="1:27" ht="24">
      <c r="A5463" s="2712"/>
      <c r="B5463" s="371">
        <v>103</v>
      </c>
      <c r="C5463" s="371"/>
      <c r="D5463" s="2714">
        <f t="shared" si="582"/>
        <v>1</v>
      </c>
      <c r="E5463" s="2719">
        <v>1</v>
      </c>
      <c r="F5463" s="294"/>
      <c r="G5463" s="1472" t="s">
        <v>4536</v>
      </c>
      <c r="H5463" s="1474">
        <f>SUM(H5464:H5467)</f>
        <v>0</v>
      </c>
      <c r="I5463" s="1474">
        <f>SUM(I5464:I5467)</f>
        <v>0</v>
      </c>
      <c r="J5463" s="1474">
        <f>SUM(J5464:J5467)</f>
        <v>0</v>
      </c>
      <c r="K5463" s="1475">
        <f t="shared" ref="K5463:K5499" si="583">SUM(H5463:J5463)</f>
        <v>0</v>
      </c>
      <c r="M5463" s="291"/>
      <c r="N5463" s="291"/>
      <c r="O5463" s="291"/>
      <c r="P5463" s="291"/>
      <c r="S5463" s="364"/>
      <c r="Z5463" s="609" t="s">
        <v>2129</v>
      </c>
      <c r="AA5463" s="609"/>
    </row>
    <row r="5464" spans="1:27" ht="18">
      <c r="A5464" s="2712"/>
      <c r="B5464" s="371">
        <v>104</v>
      </c>
      <c r="C5464" s="371"/>
      <c r="D5464" s="2714">
        <f t="shared" si="582"/>
        <v>1</v>
      </c>
      <c r="E5464" s="2719">
        <v>1</v>
      </c>
      <c r="F5464" s="294"/>
      <c r="G5464" s="1472" t="s">
        <v>6159</v>
      </c>
      <c r="H5464" s="2273"/>
      <c r="I5464" s="2273"/>
      <c r="J5464" s="2273"/>
      <c r="K5464" s="1475">
        <f t="shared" si="583"/>
        <v>0</v>
      </c>
      <c r="M5464" s="291"/>
      <c r="N5464" s="291"/>
      <c r="O5464" s="291"/>
      <c r="P5464" s="291"/>
      <c r="S5464" s="364"/>
      <c r="Z5464" s="609" t="s">
        <v>2129</v>
      </c>
      <c r="AA5464" s="609"/>
    </row>
    <row r="5465" spans="1:27" ht="18">
      <c r="A5465" s="2712"/>
      <c r="B5465" s="371">
        <v>105</v>
      </c>
      <c r="C5465" s="371"/>
      <c r="D5465" s="2714">
        <f t="shared" si="582"/>
        <v>1</v>
      </c>
      <c r="E5465" s="2719">
        <v>1</v>
      </c>
      <c r="F5465" s="294"/>
      <c r="G5465" s="1472" t="s">
        <v>4537</v>
      </c>
      <c r="H5465" s="2273"/>
      <c r="I5465" s="2273"/>
      <c r="J5465" s="2273"/>
      <c r="K5465" s="1475">
        <f t="shared" si="583"/>
        <v>0</v>
      </c>
      <c r="M5465" s="291"/>
      <c r="N5465" s="291"/>
      <c r="O5465" s="291"/>
      <c r="P5465" s="291"/>
      <c r="S5465" s="364"/>
      <c r="Z5465" s="609" t="s">
        <v>2129</v>
      </c>
      <c r="AA5465" s="609"/>
    </row>
    <row r="5466" spans="1:27" ht="18">
      <c r="A5466" s="2712"/>
      <c r="B5466" s="371">
        <v>106</v>
      </c>
      <c r="C5466" s="371"/>
      <c r="D5466" s="2714">
        <f t="shared" si="582"/>
        <v>1</v>
      </c>
      <c r="E5466" s="2719">
        <v>1</v>
      </c>
      <c r="F5466" s="294"/>
      <c r="G5466" s="1472" t="s">
        <v>4538</v>
      </c>
      <c r="H5466" s="2273"/>
      <c r="I5466" s="2273"/>
      <c r="J5466" s="2273"/>
      <c r="K5466" s="1475">
        <f t="shared" ref="K5466" si="584">SUM(H5466:J5466)</f>
        <v>0</v>
      </c>
      <c r="M5466" s="291"/>
      <c r="N5466" s="291"/>
      <c r="O5466" s="291"/>
      <c r="P5466" s="291"/>
      <c r="S5466" s="364"/>
      <c r="Z5466" s="609" t="s">
        <v>2129</v>
      </c>
      <c r="AA5466" s="609"/>
    </row>
    <row r="5467" spans="1:27" ht="18">
      <c r="A5467" s="2712"/>
      <c r="B5467" s="371">
        <v>107</v>
      </c>
      <c r="C5467" s="371" t="s">
        <v>2791</v>
      </c>
      <c r="D5467" s="2714">
        <f t="shared" si="582"/>
        <v>0</v>
      </c>
      <c r="E5467" s="2719">
        <v>1</v>
      </c>
      <c r="F5467" s="294"/>
      <c r="G5467" s="2587" t="s">
        <v>6166</v>
      </c>
      <c r="H5467" s="2273"/>
      <c r="I5467" s="2273"/>
      <c r="J5467" s="2273"/>
      <c r="K5467" s="1475">
        <f t="shared" si="583"/>
        <v>0</v>
      </c>
      <c r="M5467" s="291"/>
      <c r="N5467" s="291"/>
      <c r="O5467" s="291"/>
      <c r="P5467" s="291"/>
      <c r="S5467" s="364"/>
      <c r="Z5467" s="609" t="s">
        <v>2129</v>
      </c>
      <c r="AA5467" s="609"/>
    </row>
    <row r="5468" spans="1:27" ht="24">
      <c r="A5468" s="2712"/>
      <c r="B5468" s="371">
        <v>108</v>
      </c>
      <c r="C5468" s="371"/>
      <c r="D5468" s="2714">
        <f t="shared" si="582"/>
        <v>1</v>
      </c>
      <c r="E5468" s="2719">
        <v>1</v>
      </c>
      <c r="F5468" s="294"/>
      <c r="G5468" s="1472" t="s">
        <v>4539</v>
      </c>
      <c r="H5468" s="1474">
        <f>SUM(H5469:H5471)</f>
        <v>0</v>
      </c>
      <c r="I5468" s="1474">
        <f>SUM(I5469:I5471)</f>
        <v>0</v>
      </c>
      <c r="J5468" s="1474">
        <f>SUM(J5469:J5471)</f>
        <v>0</v>
      </c>
      <c r="K5468" s="1475">
        <f t="shared" si="583"/>
        <v>0</v>
      </c>
      <c r="M5468" s="291"/>
      <c r="N5468" s="291"/>
      <c r="O5468" s="291"/>
      <c r="P5468" s="291"/>
      <c r="S5468" s="364"/>
      <c r="Z5468" s="609" t="s">
        <v>2129</v>
      </c>
      <c r="AA5468" s="609"/>
    </row>
    <row r="5469" spans="1:27" ht="18">
      <c r="A5469" s="2712"/>
      <c r="B5469" s="371">
        <v>109</v>
      </c>
      <c r="C5469" s="371"/>
      <c r="D5469" s="2714">
        <f t="shared" si="582"/>
        <v>1</v>
      </c>
      <c r="E5469" s="2719">
        <v>1</v>
      </c>
      <c r="F5469" s="294"/>
      <c r="G5469" s="1472" t="s">
        <v>6160</v>
      </c>
      <c r="H5469" s="2273"/>
      <c r="I5469" s="2273"/>
      <c r="J5469" s="2273"/>
      <c r="K5469" s="1475">
        <f t="shared" si="583"/>
        <v>0</v>
      </c>
      <c r="M5469" s="291"/>
      <c r="N5469" s="291"/>
      <c r="O5469" s="291"/>
      <c r="P5469" s="291"/>
      <c r="S5469" s="364"/>
      <c r="Z5469" s="609" t="s">
        <v>2129</v>
      </c>
      <c r="AA5469" s="609"/>
    </row>
    <row r="5470" spans="1:27" ht="18">
      <c r="A5470" s="2712"/>
      <c r="B5470" s="371">
        <v>110</v>
      </c>
      <c r="C5470" s="371"/>
      <c r="D5470" s="2714">
        <f t="shared" si="582"/>
        <v>1</v>
      </c>
      <c r="E5470" s="2719">
        <v>1</v>
      </c>
      <c r="F5470" s="294"/>
      <c r="G5470" s="1472" t="s">
        <v>4540</v>
      </c>
      <c r="H5470" s="2273"/>
      <c r="I5470" s="2273"/>
      <c r="J5470" s="2273"/>
      <c r="K5470" s="1475">
        <f t="shared" ref="K5470" si="585">SUM(H5470:J5470)</f>
        <v>0</v>
      </c>
      <c r="M5470" s="291"/>
      <c r="N5470" s="291"/>
      <c r="O5470" s="291"/>
      <c r="P5470" s="291"/>
      <c r="S5470" s="364"/>
      <c r="Z5470" s="609" t="s">
        <v>2129</v>
      </c>
      <c r="AA5470" s="609"/>
    </row>
    <row r="5471" spans="1:27" ht="18">
      <c r="A5471" s="2712"/>
      <c r="B5471" s="371">
        <v>111</v>
      </c>
      <c r="C5471" s="371" t="s">
        <v>2791</v>
      </c>
      <c r="D5471" s="2714">
        <f t="shared" si="582"/>
        <v>0</v>
      </c>
      <c r="E5471" s="2719">
        <v>1</v>
      </c>
      <c r="F5471" s="294"/>
      <c r="G5471" s="2587" t="s">
        <v>6166</v>
      </c>
      <c r="H5471" s="2273"/>
      <c r="I5471" s="2273"/>
      <c r="J5471" s="2273"/>
      <c r="K5471" s="1475">
        <f t="shared" si="583"/>
        <v>0</v>
      </c>
      <c r="M5471" s="291"/>
      <c r="N5471" s="291"/>
      <c r="O5471" s="291"/>
      <c r="P5471" s="291"/>
      <c r="S5471" s="364"/>
      <c r="Z5471" s="609" t="s">
        <v>2129</v>
      </c>
      <c r="AA5471" s="609"/>
    </row>
    <row r="5472" spans="1:27" ht="18">
      <c r="A5472" s="2712"/>
      <c r="B5472" s="371">
        <v>112</v>
      </c>
      <c r="C5472" s="371"/>
      <c r="D5472" s="2714">
        <f t="shared" si="582"/>
        <v>1</v>
      </c>
      <c r="E5472" s="2719">
        <v>1</v>
      </c>
      <c r="F5472" s="294"/>
      <c r="G5472" s="1472" t="s">
        <v>4541</v>
      </c>
      <c r="H5472" s="2273"/>
      <c r="I5472" s="2273"/>
      <c r="J5472" s="2273"/>
      <c r="K5472" s="1475">
        <f t="shared" si="583"/>
        <v>0</v>
      </c>
      <c r="M5472" s="291"/>
      <c r="N5472" s="291"/>
      <c r="O5472" s="291"/>
      <c r="P5472" s="291"/>
      <c r="S5472" s="364"/>
      <c r="Z5472" s="609" t="s">
        <v>2129</v>
      </c>
      <c r="AA5472" s="609"/>
    </row>
    <row r="5473" spans="1:27" ht="18">
      <c r="A5473" s="2712"/>
      <c r="B5473" s="371">
        <v>113</v>
      </c>
      <c r="C5473" s="371"/>
      <c r="D5473" s="2714">
        <f t="shared" si="582"/>
        <v>1</v>
      </c>
      <c r="E5473" s="2719">
        <v>1</v>
      </c>
      <c r="F5473" s="294"/>
      <c r="G5473" s="1472" t="s">
        <v>4542</v>
      </c>
      <c r="H5473" s="2273"/>
      <c r="I5473" s="2273"/>
      <c r="J5473" s="2273"/>
      <c r="K5473" s="1475">
        <f t="shared" si="583"/>
        <v>0</v>
      </c>
      <c r="M5473" s="291"/>
      <c r="N5473" s="291"/>
      <c r="O5473" s="291"/>
      <c r="P5473" s="291"/>
      <c r="S5473" s="364"/>
      <c r="Z5473" s="609" t="s">
        <v>2129</v>
      </c>
      <c r="AA5473" s="609"/>
    </row>
    <row r="5474" spans="1:27" ht="18">
      <c r="A5474" s="2712"/>
      <c r="B5474" s="371">
        <v>114</v>
      </c>
      <c r="C5474" s="371"/>
      <c r="D5474" s="2714">
        <f t="shared" si="582"/>
        <v>1</v>
      </c>
      <c r="E5474" s="2719">
        <v>1</v>
      </c>
      <c r="F5474" s="294"/>
      <c r="G5474" s="1472" t="s">
        <v>4543</v>
      </c>
      <c r="H5474" s="2273"/>
      <c r="I5474" s="2273"/>
      <c r="J5474" s="2273"/>
      <c r="K5474" s="1475">
        <f t="shared" si="583"/>
        <v>0</v>
      </c>
      <c r="M5474" s="291"/>
      <c r="N5474" s="291"/>
      <c r="O5474" s="291"/>
      <c r="P5474" s="291"/>
      <c r="S5474" s="364"/>
      <c r="Z5474" s="609" t="s">
        <v>2129</v>
      </c>
      <c r="AA5474" s="609"/>
    </row>
    <row r="5475" spans="1:27" ht="18">
      <c r="A5475" s="2712"/>
      <c r="B5475" s="371">
        <v>115</v>
      </c>
      <c r="C5475" s="371"/>
      <c r="D5475" s="2714">
        <f t="shared" si="582"/>
        <v>1</v>
      </c>
      <c r="E5475" s="2719">
        <v>1</v>
      </c>
      <c r="F5475" s="294"/>
      <c r="G5475" s="1472" t="s">
        <v>4544</v>
      </c>
      <c r="H5475" s="1474">
        <f>SUM(H5476:H5479)</f>
        <v>0</v>
      </c>
      <c r="I5475" s="1474">
        <f t="shared" ref="I5475:J5475" si="586">SUM(I5476:I5479)</f>
        <v>0</v>
      </c>
      <c r="J5475" s="1474">
        <f t="shared" si="586"/>
        <v>0</v>
      </c>
      <c r="K5475" s="1475">
        <f t="shared" si="583"/>
        <v>0</v>
      </c>
      <c r="M5475" s="291"/>
      <c r="N5475" s="291"/>
      <c r="O5475" s="291"/>
      <c r="P5475" s="291"/>
      <c r="S5475" s="364"/>
      <c r="Z5475" s="609" t="s">
        <v>2129</v>
      </c>
      <c r="AA5475" s="609"/>
    </row>
    <row r="5476" spans="1:27" ht="18">
      <c r="A5476" s="2712"/>
      <c r="B5476" s="371">
        <v>116</v>
      </c>
      <c r="C5476" s="371"/>
      <c r="D5476" s="2714">
        <f t="shared" si="582"/>
        <v>1</v>
      </c>
      <c r="E5476" s="2719">
        <v>1</v>
      </c>
      <c r="F5476" s="294"/>
      <c r="G5476" s="1472" t="s">
        <v>4545</v>
      </c>
      <c r="H5476" s="2273"/>
      <c r="I5476" s="2273"/>
      <c r="J5476" s="2273"/>
      <c r="K5476" s="1475">
        <f t="shared" si="583"/>
        <v>0</v>
      </c>
      <c r="M5476" s="291"/>
      <c r="N5476" s="291"/>
      <c r="O5476" s="291"/>
      <c r="P5476" s="291"/>
      <c r="S5476" s="364"/>
      <c r="Z5476" s="609" t="s">
        <v>2129</v>
      </c>
      <c r="AA5476" s="609"/>
    </row>
    <row r="5477" spans="1:27" ht="18">
      <c r="A5477" s="2712"/>
      <c r="B5477" s="371">
        <v>117</v>
      </c>
      <c r="C5477" s="371"/>
      <c r="D5477" s="2714">
        <f t="shared" si="582"/>
        <v>1</v>
      </c>
      <c r="E5477" s="2719">
        <v>1</v>
      </c>
      <c r="F5477" s="294"/>
      <c r="G5477" s="1472" t="s">
        <v>4546</v>
      </c>
      <c r="H5477" s="2273"/>
      <c r="I5477" s="2273"/>
      <c r="J5477" s="2273"/>
      <c r="K5477" s="1475">
        <f t="shared" si="583"/>
        <v>0</v>
      </c>
      <c r="M5477" s="291"/>
      <c r="N5477" s="291"/>
      <c r="O5477" s="291"/>
      <c r="P5477" s="291"/>
      <c r="S5477" s="364"/>
      <c r="Z5477" s="609" t="s">
        <v>2129</v>
      </c>
      <c r="AA5477" s="609"/>
    </row>
    <row r="5478" spans="1:27" ht="24">
      <c r="A5478" s="2712"/>
      <c r="B5478" s="371">
        <v>118</v>
      </c>
      <c r="C5478" s="371"/>
      <c r="D5478" s="2714">
        <f t="shared" si="582"/>
        <v>1</v>
      </c>
      <c r="E5478" s="2719">
        <v>1</v>
      </c>
      <c r="F5478" s="294"/>
      <c r="G5478" s="1472" t="s">
        <v>4547</v>
      </c>
      <c r="H5478" s="2273"/>
      <c r="I5478" s="2273"/>
      <c r="J5478" s="2273"/>
      <c r="K5478" s="1475">
        <f t="shared" ref="K5478" si="587">SUM(H5478:J5478)</f>
        <v>0</v>
      </c>
      <c r="M5478" s="291"/>
      <c r="N5478" s="291"/>
      <c r="O5478" s="291"/>
      <c r="P5478" s="291"/>
      <c r="S5478" s="364"/>
      <c r="Z5478" s="609" t="s">
        <v>2129</v>
      </c>
      <c r="AA5478" s="609"/>
    </row>
    <row r="5479" spans="1:27" ht="18">
      <c r="A5479" s="2712"/>
      <c r="B5479" s="371">
        <v>119</v>
      </c>
      <c r="C5479" s="371" t="s">
        <v>2791</v>
      </c>
      <c r="D5479" s="2714">
        <f t="shared" si="582"/>
        <v>0</v>
      </c>
      <c r="E5479" s="2719">
        <v>1</v>
      </c>
      <c r="F5479" s="294"/>
      <c r="G5479" s="2587" t="s">
        <v>6166</v>
      </c>
      <c r="H5479" s="2273"/>
      <c r="I5479" s="2273"/>
      <c r="J5479" s="2273"/>
      <c r="K5479" s="1475">
        <f t="shared" si="583"/>
        <v>0</v>
      </c>
      <c r="M5479" s="291"/>
      <c r="N5479" s="291"/>
      <c r="O5479" s="291"/>
      <c r="P5479" s="291"/>
      <c r="S5479" s="364"/>
      <c r="Z5479" s="609" t="s">
        <v>2129</v>
      </c>
      <c r="AA5479" s="609"/>
    </row>
    <row r="5480" spans="1:27" ht="18">
      <c r="A5480" s="2712"/>
      <c r="B5480" s="371">
        <v>120</v>
      </c>
      <c r="C5480" s="371"/>
      <c r="D5480" s="2714">
        <f t="shared" si="582"/>
        <v>1</v>
      </c>
      <c r="E5480" s="2719">
        <v>1</v>
      </c>
      <c r="F5480" s="294"/>
      <c r="G5480" s="1472" t="s">
        <v>4548</v>
      </c>
      <c r="H5480" s="1474">
        <f>SUM(H5481:H5482)</f>
        <v>0</v>
      </c>
      <c r="I5480" s="1474">
        <f t="shared" ref="I5480:J5480" si="588">SUM(I5481:I5482)</f>
        <v>0</v>
      </c>
      <c r="J5480" s="1474">
        <f t="shared" si="588"/>
        <v>0</v>
      </c>
      <c r="K5480" s="1475">
        <f t="shared" si="583"/>
        <v>0</v>
      </c>
      <c r="M5480" s="291"/>
      <c r="N5480" s="291"/>
      <c r="O5480" s="291"/>
      <c r="P5480" s="291"/>
      <c r="S5480" s="364"/>
      <c r="Z5480" s="609" t="s">
        <v>2129</v>
      </c>
      <c r="AA5480" s="609"/>
    </row>
    <row r="5481" spans="1:27" ht="18">
      <c r="A5481" s="2712"/>
      <c r="B5481" s="371">
        <v>121</v>
      </c>
      <c r="C5481" s="371"/>
      <c r="D5481" s="2714">
        <f t="shared" si="582"/>
        <v>1</v>
      </c>
      <c r="E5481" s="2719">
        <v>1</v>
      </c>
      <c r="F5481" s="294"/>
      <c r="G5481" s="1472" t="s">
        <v>4549</v>
      </c>
      <c r="H5481" s="2273"/>
      <c r="I5481" s="2273"/>
      <c r="J5481" s="2273"/>
      <c r="K5481" s="1475">
        <f t="shared" si="583"/>
        <v>0</v>
      </c>
      <c r="M5481" s="291"/>
      <c r="N5481" s="291"/>
      <c r="O5481" s="291"/>
      <c r="P5481" s="291"/>
      <c r="S5481" s="364"/>
      <c r="Z5481" s="609" t="s">
        <v>2129</v>
      </c>
      <c r="AA5481" s="609"/>
    </row>
    <row r="5482" spans="1:27" ht="18">
      <c r="A5482" s="2712"/>
      <c r="B5482" s="371">
        <v>122</v>
      </c>
      <c r="C5482" s="371"/>
      <c r="D5482" s="2714">
        <f t="shared" si="582"/>
        <v>1</v>
      </c>
      <c r="E5482" s="2719">
        <v>1</v>
      </c>
      <c r="F5482" s="294"/>
      <c r="G5482" s="1472" t="s">
        <v>4550</v>
      </c>
      <c r="H5482" s="2273"/>
      <c r="I5482" s="2273"/>
      <c r="J5482" s="2273"/>
      <c r="K5482" s="1475">
        <f t="shared" si="583"/>
        <v>0</v>
      </c>
      <c r="M5482" s="291"/>
      <c r="N5482" s="291"/>
      <c r="O5482" s="291"/>
      <c r="P5482" s="291"/>
      <c r="S5482" s="364"/>
      <c r="Z5482" s="609" t="s">
        <v>2129</v>
      </c>
      <c r="AA5482" s="609"/>
    </row>
    <row r="5483" spans="1:27" ht="18">
      <c r="A5483" s="2712"/>
      <c r="B5483" s="371">
        <v>123</v>
      </c>
      <c r="C5483" s="371" t="s">
        <v>2791</v>
      </c>
      <c r="D5483" s="2714">
        <f t="shared" si="582"/>
        <v>0</v>
      </c>
      <c r="E5483" s="2719">
        <v>1</v>
      </c>
      <c r="F5483" s="294"/>
      <c r="G5483" s="2587" t="s">
        <v>2792</v>
      </c>
      <c r="H5483" s="2273"/>
      <c r="I5483" s="2273"/>
      <c r="J5483" s="2273"/>
      <c r="K5483" s="1475">
        <f t="shared" si="583"/>
        <v>0</v>
      </c>
      <c r="M5483" s="291"/>
      <c r="N5483" s="291"/>
      <c r="O5483" s="291"/>
      <c r="P5483" s="291"/>
      <c r="S5483" s="364"/>
      <c r="Z5483" s="609" t="s">
        <v>2129</v>
      </c>
      <c r="AA5483" s="609"/>
    </row>
    <row r="5484" spans="1:27" ht="24">
      <c r="A5484" s="2712"/>
      <c r="B5484" s="371">
        <v>124</v>
      </c>
      <c r="C5484" s="371"/>
      <c r="D5484" s="2714">
        <f t="shared" si="582"/>
        <v>1</v>
      </c>
      <c r="E5484" s="2719">
        <v>1</v>
      </c>
      <c r="F5484" s="294"/>
      <c r="G5484" s="1472" t="s">
        <v>4551</v>
      </c>
      <c r="H5484" s="1474">
        <f>SUM(H5480,H5475,H5462,H5472,H5473,H5474)</f>
        <v>0</v>
      </c>
      <c r="I5484" s="1474">
        <f t="shared" ref="I5484:J5484" si="589">SUM(I5480,I5475,I5462,I5472,I5473,I5474)</f>
        <v>0</v>
      </c>
      <c r="J5484" s="1474">
        <f t="shared" si="589"/>
        <v>0</v>
      </c>
      <c r="K5484" s="1475">
        <f t="shared" si="583"/>
        <v>0</v>
      </c>
      <c r="M5484" s="291"/>
      <c r="N5484" s="291"/>
      <c r="O5484" s="291"/>
      <c r="P5484" s="291"/>
      <c r="S5484" s="364"/>
      <c r="Z5484" s="609" t="s">
        <v>2129</v>
      </c>
      <c r="AA5484" s="609"/>
    </row>
    <row r="5485" spans="1:27" ht="18">
      <c r="A5485" s="2712"/>
      <c r="B5485" s="371">
        <v>125</v>
      </c>
      <c r="C5485" s="371"/>
      <c r="D5485" s="2714">
        <f t="shared" si="582"/>
        <v>1</v>
      </c>
      <c r="E5485" s="2719">
        <v>1</v>
      </c>
      <c r="F5485" s="294"/>
      <c r="G5485" s="1472" t="s">
        <v>4552</v>
      </c>
      <c r="H5485" s="1474">
        <f>SUM(H5486:H5489)</f>
        <v>0</v>
      </c>
      <c r="I5485" s="1474">
        <f t="shared" ref="I5485:J5485" si="590">SUM(I5486:I5489)</f>
        <v>0</v>
      </c>
      <c r="J5485" s="1474">
        <f t="shared" si="590"/>
        <v>0</v>
      </c>
      <c r="K5485" s="1475">
        <f t="shared" si="583"/>
        <v>0</v>
      </c>
      <c r="M5485" s="291"/>
      <c r="N5485" s="291"/>
      <c r="O5485" s="291"/>
      <c r="P5485" s="291"/>
      <c r="S5485" s="364"/>
      <c r="Z5485" s="609" t="s">
        <v>2129</v>
      </c>
      <c r="AA5485" s="609"/>
    </row>
    <row r="5486" spans="1:27" ht="18">
      <c r="A5486" s="2712"/>
      <c r="B5486" s="371">
        <v>126</v>
      </c>
      <c r="C5486" s="371"/>
      <c r="D5486" s="2714">
        <f t="shared" si="582"/>
        <v>1</v>
      </c>
      <c r="E5486" s="2719">
        <v>1</v>
      </c>
      <c r="F5486" s="294"/>
      <c r="G5486" s="1472" t="s">
        <v>4553</v>
      </c>
      <c r="H5486" s="2273"/>
      <c r="I5486" s="2273"/>
      <c r="J5486" s="2273"/>
      <c r="K5486" s="1475">
        <f t="shared" si="583"/>
        <v>0</v>
      </c>
      <c r="M5486" s="291"/>
      <c r="N5486" s="291"/>
      <c r="O5486" s="291"/>
      <c r="P5486" s="291"/>
      <c r="S5486" s="364"/>
      <c r="Z5486" s="609" t="s">
        <v>2129</v>
      </c>
      <c r="AA5486" s="609"/>
    </row>
    <row r="5487" spans="1:27" ht="18">
      <c r="A5487" s="2712"/>
      <c r="B5487" s="371">
        <v>127</v>
      </c>
      <c r="C5487" s="371"/>
      <c r="D5487" s="2714">
        <f t="shared" si="582"/>
        <v>1</v>
      </c>
      <c r="E5487" s="2719">
        <v>1</v>
      </c>
      <c r="F5487" s="294"/>
      <c r="G5487" s="1472" t="s">
        <v>4554</v>
      </c>
      <c r="H5487" s="2273"/>
      <c r="I5487" s="2273"/>
      <c r="J5487" s="2273"/>
      <c r="K5487" s="1475">
        <f t="shared" si="583"/>
        <v>0</v>
      </c>
      <c r="M5487" s="291"/>
      <c r="N5487" s="291"/>
      <c r="O5487" s="291"/>
      <c r="P5487" s="291"/>
      <c r="S5487" s="364"/>
      <c r="Z5487" s="609" t="s">
        <v>2129</v>
      </c>
      <c r="AA5487" s="609"/>
    </row>
    <row r="5488" spans="1:27" ht="18">
      <c r="A5488" s="2712"/>
      <c r="B5488" s="371">
        <v>128</v>
      </c>
      <c r="C5488" s="371"/>
      <c r="D5488" s="2714">
        <f t="shared" si="582"/>
        <v>1</v>
      </c>
      <c r="E5488" s="2719">
        <v>1</v>
      </c>
      <c r="F5488" s="294"/>
      <c r="G5488" s="1472" t="s">
        <v>4555</v>
      </c>
      <c r="H5488" s="2273"/>
      <c r="I5488" s="2273"/>
      <c r="J5488" s="2273"/>
      <c r="K5488" s="1475">
        <f t="shared" ref="K5488" si="591">SUM(H5488:J5488)</f>
        <v>0</v>
      </c>
      <c r="M5488" s="291"/>
      <c r="N5488" s="291"/>
      <c r="O5488" s="291"/>
      <c r="P5488" s="291"/>
      <c r="S5488" s="364"/>
      <c r="Z5488" s="609" t="s">
        <v>2129</v>
      </c>
      <c r="AA5488" s="609"/>
    </row>
    <row r="5489" spans="1:31" ht="18">
      <c r="A5489" s="2712"/>
      <c r="B5489" s="371">
        <v>129</v>
      </c>
      <c r="C5489" s="371" t="s">
        <v>2791</v>
      </c>
      <c r="D5489" s="2714">
        <f t="shared" si="582"/>
        <v>0</v>
      </c>
      <c r="E5489" s="2719">
        <v>1</v>
      </c>
      <c r="F5489" s="294"/>
      <c r="G5489" s="2587" t="s">
        <v>2792</v>
      </c>
      <c r="H5489" s="2273"/>
      <c r="I5489" s="2273"/>
      <c r="J5489" s="2273"/>
      <c r="K5489" s="1475">
        <f t="shared" si="583"/>
        <v>0</v>
      </c>
      <c r="M5489" s="291"/>
      <c r="N5489" s="291"/>
      <c r="O5489" s="291"/>
      <c r="P5489" s="291"/>
      <c r="S5489" s="364"/>
      <c r="Z5489" s="609" t="s">
        <v>2129</v>
      </c>
      <c r="AA5489" s="609"/>
    </row>
    <row r="5490" spans="1:31" ht="36">
      <c r="A5490" s="2712"/>
      <c r="B5490" s="371">
        <v>130</v>
      </c>
      <c r="C5490" s="371"/>
      <c r="D5490" s="2714">
        <f t="shared" si="582"/>
        <v>1</v>
      </c>
      <c r="E5490" s="2719">
        <v>1</v>
      </c>
      <c r="F5490" s="294"/>
      <c r="G5490" s="1472" t="s">
        <v>4556</v>
      </c>
      <c r="H5490" s="2273"/>
      <c r="I5490" s="2273"/>
      <c r="J5490" s="2273"/>
      <c r="K5490" s="1475">
        <f t="shared" si="583"/>
        <v>0</v>
      </c>
      <c r="M5490" s="291"/>
      <c r="N5490" s="291"/>
      <c r="O5490" s="291"/>
      <c r="P5490" s="291"/>
      <c r="S5490" s="364"/>
      <c r="Z5490" s="609" t="s">
        <v>2129</v>
      </c>
      <c r="AA5490" s="609"/>
    </row>
    <row r="5491" spans="1:31" ht="18">
      <c r="A5491" s="2712"/>
      <c r="B5491" s="371">
        <v>131</v>
      </c>
      <c r="C5491" s="371" t="s">
        <v>2791</v>
      </c>
      <c r="D5491" s="2714">
        <f t="shared" si="582"/>
        <v>0</v>
      </c>
      <c r="E5491" s="2719">
        <v>1</v>
      </c>
      <c r="F5491" s="294"/>
      <c r="G5491" s="2587" t="s">
        <v>2792</v>
      </c>
      <c r="H5491" s="2273"/>
      <c r="I5491" s="2273"/>
      <c r="J5491" s="2273"/>
      <c r="K5491" s="1475">
        <f t="shared" si="583"/>
        <v>0</v>
      </c>
      <c r="M5491" s="291"/>
      <c r="N5491" s="291"/>
      <c r="O5491" s="291"/>
      <c r="P5491" s="291"/>
      <c r="S5491" s="364"/>
      <c r="Z5491" s="609" t="s">
        <v>2129</v>
      </c>
      <c r="AA5491" s="609"/>
    </row>
    <row r="5492" spans="1:31" ht="24">
      <c r="A5492" s="2712"/>
      <c r="B5492" s="371">
        <v>132</v>
      </c>
      <c r="C5492" s="371"/>
      <c r="D5492" s="2714">
        <f t="shared" si="582"/>
        <v>1</v>
      </c>
      <c r="E5492" s="2719">
        <v>1</v>
      </c>
      <c r="F5492" s="294"/>
      <c r="G5492" s="1472" t="s">
        <v>4557</v>
      </c>
      <c r="H5492" s="1474">
        <f>SUM(H5485,H5490,H5491)</f>
        <v>0</v>
      </c>
      <c r="I5492" s="1474">
        <f t="shared" ref="I5492:J5492" si="592">SUM(I5485,I5490,I5491)</f>
        <v>0</v>
      </c>
      <c r="J5492" s="1474">
        <f t="shared" si="592"/>
        <v>0</v>
      </c>
      <c r="K5492" s="1475">
        <f t="shared" si="583"/>
        <v>0</v>
      </c>
      <c r="M5492" s="291"/>
      <c r="N5492" s="291"/>
      <c r="O5492" s="291"/>
      <c r="P5492" s="291"/>
      <c r="S5492" s="364"/>
      <c r="Z5492" s="609" t="s">
        <v>2129</v>
      </c>
      <c r="AA5492" s="609"/>
    </row>
    <row r="5493" spans="1:31" ht="18">
      <c r="A5493" s="2712"/>
      <c r="B5493" s="371">
        <v>133</v>
      </c>
      <c r="C5493" s="371"/>
      <c r="D5493" s="2714">
        <f t="shared" si="582"/>
        <v>1</v>
      </c>
      <c r="E5493" s="2719" t="s">
        <v>41</v>
      </c>
      <c r="F5493" s="294"/>
      <c r="G5493" s="632" t="s">
        <v>4558</v>
      </c>
      <c r="H5493" s="2273"/>
      <c r="I5493" s="2273"/>
      <c r="J5493" s="2273"/>
      <c r="K5493" s="2294"/>
      <c r="M5493" s="291"/>
      <c r="N5493" s="291"/>
      <c r="O5493" s="291"/>
      <c r="P5493" s="291"/>
      <c r="S5493" s="364"/>
      <c r="Z5493" s="609" t="s">
        <v>2129</v>
      </c>
      <c r="AA5493" s="609"/>
    </row>
    <row r="5494" spans="1:31" ht="18">
      <c r="A5494" s="2712"/>
      <c r="B5494" s="371">
        <v>134</v>
      </c>
      <c r="C5494" s="371"/>
      <c r="D5494" s="2714">
        <f t="shared" si="582"/>
        <v>1</v>
      </c>
      <c r="E5494" s="2719">
        <v>1</v>
      </c>
      <c r="F5494" s="294"/>
      <c r="G5494" s="1472" t="s">
        <v>4559</v>
      </c>
      <c r="H5494" s="2273"/>
      <c r="I5494" s="2273"/>
      <c r="J5494" s="2273"/>
      <c r="K5494" s="1475">
        <f t="shared" si="583"/>
        <v>0</v>
      </c>
      <c r="M5494" s="291"/>
      <c r="N5494" s="291"/>
      <c r="O5494" s="291"/>
      <c r="P5494" s="291"/>
      <c r="S5494" s="364"/>
      <c r="Z5494" s="609" t="s">
        <v>2129</v>
      </c>
      <c r="AA5494" s="609"/>
    </row>
    <row r="5495" spans="1:31" ht="18">
      <c r="A5495" s="2712"/>
      <c r="B5495" s="371">
        <v>135</v>
      </c>
      <c r="C5495" s="371" t="s">
        <v>2791</v>
      </c>
      <c r="D5495" s="2714">
        <f t="shared" si="582"/>
        <v>0</v>
      </c>
      <c r="E5495" s="2719">
        <v>1</v>
      </c>
      <c r="F5495" s="294"/>
      <c r="G5495" s="2587" t="s">
        <v>2792</v>
      </c>
      <c r="H5495" s="2273"/>
      <c r="I5495" s="2273"/>
      <c r="J5495" s="2273"/>
      <c r="K5495" s="1475">
        <f t="shared" si="583"/>
        <v>0</v>
      </c>
      <c r="M5495" s="291"/>
      <c r="N5495" s="291"/>
      <c r="O5495" s="291"/>
      <c r="P5495" s="291"/>
      <c r="S5495" s="364"/>
      <c r="Z5495" s="609" t="s">
        <v>2129</v>
      </c>
      <c r="AA5495" s="609"/>
    </row>
    <row r="5496" spans="1:31" ht="24">
      <c r="A5496" s="2712"/>
      <c r="B5496" s="371">
        <v>136</v>
      </c>
      <c r="C5496" s="371"/>
      <c r="D5496" s="2714">
        <f t="shared" si="582"/>
        <v>1</v>
      </c>
      <c r="E5496" s="2719">
        <v>1</v>
      </c>
      <c r="F5496" s="294"/>
      <c r="G5496" s="1472" t="s">
        <v>4560</v>
      </c>
      <c r="H5496" s="1474">
        <f>SUM(H5494:H5495)</f>
        <v>0</v>
      </c>
      <c r="I5496" s="1474">
        <f>SUM(I5494:I5495)</f>
        <v>0</v>
      </c>
      <c r="J5496" s="1474">
        <f>SUM(J5494:J5495)</f>
        <v>0</v>
      </c>
      <c r="K5496" s="1475">
        <f t="shared" si="583"/>
        <v>0</v>
      </c>
      <c r="M5496" s="291"/>
      <c r="N5496" s="291"/>
      <c r="O5496" s="291"/>
      <c r="P5496" s="291"/>
      <c r="S5496" s="364"/>
      <c r="Z5496" s="609" t="s">
        <v>2129</v>
      </c>
      <c r="AA5496" s="609"/>
    </row>
    <row r="5497" spans="1:31" ht="18">
      <c r="A5497" s="2712"/>
      <c r="B5497" s="371">
        <v>137</v>
      </c>
      <c r="C5497" s="371" t="s">
        <v>2791</v>
      </c>
      <c r="D5497" s="2714">
        <f t="shared" si="582"/>
        <v>0</v>
      </c>
      <c r="E5497" s="2719">
        <v>1</v>
      </c>
      <c r="F5497" s="294"/>
      <c r="G5497" s="2587" t="s">
        <v>2792</v>
      </c>
      <c r="H5497" s="2273"/>
      <c r="I5497" s="2273"/>
      <c r="J5497" s="2273"/>
      <c r="K5497" s="1475">
        <f t="shared" si="583"/>
        <v>0</v>
      </c>
      <c r="M5497" s="291"/>
      <c r="N5497" s="291"/>
      <c r="O5497" s="291"/>
      <c r="P5497" s="291"/>
      <c r="S5497" s="364"/>
      <c r="Z5497" s="609" t="s">
        <v>2129</v>
      </c>
      <c r="AA5497" s="609"/>
    </row>
    <row r="5498" spans="1:31" ht="18">
      <c r="A5498" s="2712"/>
      <c r="B5498" s="371">
        <v>138</v>
      </c>
      <c r="C5498" s="371" t="s">
        <v>2791</v>
      </c>
      <c r="D5498" s="2714">
        <f t="shared" si="582"/>
        <v>0</v>
      </c>
      <c r="E5498" s="2719">
        <v>1</v>
      </c>
      <c r="F5498" s="294"/>
      <c r="G5498" s="2587" t="s">
        <v>2792</v>
      </c>
      <c r="H5498" s="2273"/>
      <c r="I5498" s="2273"/>
      <c r="J5498" s="2273"/>
      <c r="K5498" s="1475">
        <f t="shared" si="583"/>
        <v>0</v>
      </c>
      <c r="M5498" s="291"/>
      <c r="N5498" s="291"/>
      <c r="O5498" s="291"/>
      <c r="P5498" s="291"/>
      <c r="S5498" s="364"/>
      <c r="Z5498" s="609" t="s">
        <v>2129</v>
      </c>
      <c r="AA5498" s="609"/>
    </row>
    <row r="5499" spans="1:31" ht="24">
      <c r="A5499" s="2712"/>
      <c r="B5499" s="371">
        <v>139</v>
      </c>
      <c r="C5499" s="371"/>
      <c r="D5499" s="2714">
        <f t="shared" si="582"/>
        <v>1</v>
      </c>
      <c r="E5499" s="2719">
        <v>1</v>
      </c>
      <c r="F5499" s="294"/>
      <c r="G5499" s="1472" t="s">
        <v>4561</v>
      </c>
      <c r="H5499" s="1474">
        <f>SUM(H5497:H5498)</f>
        <v>0</v>
      </c>
      <c r="I5499" s="1474">
        <f>SUM(I5497:I5498)</f>
        <v>0</v>
      </c>
      <c r="J5499" s="1474">
        <f>SUM(J5497:J5498)</f>
        <v>0</v>
      </c>
      <c r="K5499" s="1475">
        <f t="shared" si="583"/>
        <v>0</v>
      </c>
      <c r="M5499" s="291"/>
      <c r="N5499" s="291"/>
      <c r="O5499" s="291"/>
      <c r="P5499" s="291"/>
      <c r="S5499" s="364"/>
      <c r="Z5499" s="609" t="s">
        <v>2129</v>
      </c>
      <c r="AA5499" s="609"/>
    </row>
    <row r="5500" spans="1:31" ht="18.75" thickBot="1">
      <c r="A5500" s="2712"/>
      <c r="B5500" s="371"/>
      <c r="C5500" s="371"/>
      <c r="D5500" s="2714">
        <f t="shared" si="582"/>
        <v>0</v>
      </c>
      <c r="E5500" s="2719" t="s">
        <v>3595</v>
      </c>
      <c r="F5500" s="294"/>
      <c r="G5500" s="2427"/>
      <c r="H5500" s="2306"/>
      <c r="I5500" s="2306"/>
      <c r="J5500" s="2306"/>
      <c r="K5500" s="2307"/>
      <c r="M5500" s="291"/>
      <c r="N5500" s="291"/>
      <c r="O5500" s="291"/>
      <c r="P5500" s="291"/>
      <c r="S5500" s="364"/>
      <c r="Z5500" s="609" t="s">
        <v>2129</v>
      </c>
      <c r="AA5500" s="609"/>
    </row>
    <row r="5501" spans="1:31" ht="18">
      <c r="A5501" s="2712"/>
      <c r="B5501" s="371"/>
      <c r="C5501" s="371" t="s">
        <v>2755</v>
      </c>
      <c r="D5501" s="371"/>
      <c r="F5501" s="294"/>
      <c r="G5501" s="301"/>
      <c r="H5501" s="315"/>
      <c r="I5501" s="315"/>
      <c r="J5501" s="315"/>
      <c r="K5501" s="315"/>
      <c r="L5501" s="350"/>
      <c r="M5501" s="291"/>
      <c r="N5501" s="291"/>
      <c r="O5501" s="291"/>
      <c r="P5501" s="291"/>
      <c r="S5501" s="364"/>
      <c r="Z5501" s="609" t="s">
        <v>2129</v>
      </c>
      <c r="AA5501" s="609"/>
    </row>
    <row r="5502" spans="1:31" ht="24" hidden="1">
      <c r="A5502" s="2712" t="s">
        <v>6147</v>
      </c>
      <c r="B5502" s="371">
        <v>1</v>
      </c>
      <c r="C5502" s="371"/>
      <c r="D5502" s="2714" t="str">
        <f>VLOOKUP($A5502,Sheet_NoteList,2,0)</f>
        <v>以公允价值计量的资产和负债的期末公允价值</v>
      </c>
      <c r="E5502" s="2714" t="s">
        <v>6611</v>
      </c>
      <c r="F5502" s="293"/>
      <c r="G5502" s="372" t="str">
        <f>"("&amp;B5502&amp;")"&amp;D5502</f>
        <v>(1)以公允价值计量的资产和负债的期末公允价值</v>
      </c>
      <c r="H5502" s="1515" t="str">
        <f>$A5502</f>
        <v>9331k</v>
      </c>
      <c r="I5502" s="343" t="s">
        <v>6614</v>
      </c>
      <c r="J5502" s="301" t="s">
        <v>6612</v>
      </c>
      <c r="K5502" s="391">
        <f>H5548</f>
        <v>0</v>
      </c>
      <c r="L5502" s="349"/>
      <c r="M5502" s="301" t="s">
        <v>6616</v>
      </c>
      <c r="N5502" s="391">
        <f>I5548</f>
        <v>0</v>
      </c>
      <c r="O5502" s="349"/>
      <c r="P5502" s="301"/>
      <c r="S5502" s="364"/>
      <c r="Z5502" s="609" t="s">
        <v>2129</v>
      </c>
      <c r="AA5502" s="609" t="s">
        <v>19</v>
      </c>
      <c r="AE5502" s="369" t="s">
        <v>2761</v>
      </c>
    </row>
    <row r="5503" spans="1:31" ht="0.75" hidden="1" customHeight="1">
      <c r="A5503" s="2712"/>
      <c r="B5503" s="371"/>
      <c r="C5503" s="371"/>
      <c r="D5503" s="2714"/>
      <c r="E5503" s="586"/>
      <c r="F5503" s="586"/>
      <c r="G5503" s="2222" t="s">
        <v>6149</v>
      </c>
      <c r="H5503" s="371" t="s">
        <v>2833</v>
      </c>
      <c r="I5503" s="371" t="s">
        <v>4524</v>
      </c>
      <c r="J5503" s="371" t="s">
        <v>4525</v>
      </c>
      <c r="K5503" s="371" t="s">
        <v>4526</v>
      </c>
      <c r="L5503" s="2209"/>
      <c r="M5503" s="2210"/>
      <c r="N5503" s="2208"/>
      <c r="O5503" s="2209"/>
      <c r="P5503" s="2210"/>
      <c r="Q5503" s="442"/>
      <c r="R5503" s="442"/>
      <c r="S5503" s="364"/>
      <c r="Z5503" s="609" t="s">
        <v>2129</v>
      </c>
      <c r="AA5503" s="609" t="s">
        <v>19</v>
      </c>
      <c r="AE5503" s="369" t="s">
        <v>2761</v>
      </c>
    </row>
    <row r="5504" spans="1:31" ht="0.75" hidden="1" customHeight="1" thickBot="1">
      <c r="A5504" s="2712"/>
      <c r="B5504" s="371"/>
      <c r="C5504" s="371"/>
      <c r="D5504" s="2714"/>
      <c r="E5504" s="586"/>
      <c r="F5504" s="586"/>
      <c r="G5504" s="2222"/>
      <c r="H5504" s="371" t="s">
        <v>4527</v>
      </c>
      <c r="I5504" s="371" t="s">
        <v>4528</v>
      </c>
      <c r="J5504" s="371" t="s">
        <v>4529</v>
      </c>
      <c r="K5504" s="371" t="s">
        <v>4530</v>
      </c>
      <c r="L5504" s="2209"/>
      <c r="M5504" s="2210"/>
      <c r="N5504" s="2208"/>
      <c r="O5504" s="2209"/>
      <c r="P5504" s="2210"/>
      <c r="Q5504" s="442"/>
      <c r="R5504" s="442"/>
      <c r="S5504" s="364"/>
      <c r="Z5504" s="609" t="s">
        <v>2129</v>
      </c>
      <c r="AA5504" s="609" t="s">
        <v>19</v>
      </c>
      <c r="AE5504" s="369" t="s">
        <v>2761</v>
      </c>
    </row>
    <row r="5505" spans="1:31" ht="18" hidden="1" customHeight="1">
      <c r="A5505" s="2712"/>
      <c r="B5505" s="371"/>
      <c r="C5505" s="371"/>
      <c r="D5505" s="2714"/>
      <c r="E5505" s="586" t="s">
        <v>2749</v>
      </c>
      <c r="F5505" s="414"/>
      <c r="G5505" s="3476" t="s">
        <v>47</v>
      </c>
      <c r="H5505" s="3485" t="s">
        <v>6150</v>
      </c>
      <c r="I5505" s="3485"/>
      <c r="J5505" s="3485"/>
      <c r="K5505" s="3486"/>
      <c r="L5505" s="2619" t="s">
        <v>5988</v>
      </c>
      <c r="M5505" s="2210"/>
      <c r="N5505" s="2208"/>
      <c r="O5505" s="2209"/>
      <c r="P5505" s="2210"/>
      <c r="Q5505" s="442"/>
      <c r="R5505" s="442"/>
      <c r="S5505" s="364"/>
      <c r="Z5505" s="609" t="s">
        <v>2129</v>
      </c>
      <c r="AA5505" s="609" t="s">
        <v>19</v>
      </c>
      <c r="AE5505" s="369" t="s">
        <v>2761</v>
      </c>
    </row>
    <row r="5506" spans="1:31" ht="24" hidden="1">
      <c r="A5506" s="2712"/>
      <c r="B5506" s="371"/>
      <c r="C5506" s="371"/>
      <c r="D5506" s="2714"/>
      <c r="E5506" s="586" t="s">
        <v>2749</v>
      </c>
      <c r="F5506" s="414"/>
      <c r="G5506" s="3477"/>
      <c r="H5506" s="2585" t="s">
        <v>4531</v>
      </c>
      <c r="I5506" s="2585" t="s">
        <v>4532</v>
      </c>
      <c r="J5506" s="2585" t="s">
        <v>4533</v>
      </c>
      <c r="K5506" s="2574" t="s">
        <v>3351</v>
      </c>
      <c r="L5506" s="2209"/>
      <c r="M5506" s="2210"/>
      <c r="N5506" s="2208"/>
      <c r="O5506" s="2209"/>
      <c r="P5506" s="2210"/>
      <c r="Q5506" s="442"/>
      <c r="R5506" s="442"/>
      <c r="S5506" s="364"/>
      <c r="Z5506" s="609" t="s">
        <v>2129</v>
      </c>
      <c r="AA5506" s="609" t="s">
        <v>19</v>
      </c>
      <c r="AE5506" s="369" t="s">
        <v>2761</v>
      </c>
    </row>
    <row r="5507" spans="1:31" ht="18" hidden="1">
      <c r="A5507" s="2712"/>
      <c r="B5507" s="371">
        <v>101</v>
      </c>
      <c r="C5507" s="371"/>
      <c r="D5507" s="2714">
        <f t="shared" ref="D5507:D5548" si="593">IF(OR(G5507="*",G5507="",G5507=0),0,COUNTIF($G$5507:$G$5548,G5507))</f>
        <v>1</v>
      </c>
      <c r="E5507" s="2719" t="s">
        <v>41</v>
      </c>
      <c r="F5507" s="293"/>
      <c r="G5507" s="1472" t="s">
        <v>4534</v>
      </c>
      <c r="H5507" s="2273"/>
      <c r="I5507" s="2273"/>
      <c r="J5507" s="2273"/>
      <c r="K5507" s="2294"/>
      <c r="L5507" s="2209"/>
      <c r="M5507" s="2210"/>
      <c r="N5507" s="2208"/>
      <c r="O5507" s="2209"/>
      <c r="P5507" s="2210"/>
      <c r="Q5507" s="442"/>
      <c r="R5507" s="442"/>
      <c r="S5507" s="364"/>
      <c r="Z5507" s="609" t="s">
        <v>2129</v>
      </c>
      <c r="AA5507" s="609" t="s">
        <v>19</v>
      </c>
      <c r="AE5507" s="369" t="s">
        <v>2761</v>
      </c>
    </row>
    <row r="5508" spans="1:31" ht="24" hidden="1">
      <c r="A5508" s="2712"/>
      <c r="B5508" s="371">
        <v>102</v>
      </c>
      <c r="C5508" s="371"/>
      <c r="D5508" s="2714">
        <f t="shared" si="593"/>
        <v>1</v>
      </c>
      <c r="E5508" s="2719">
        <v>1</v>
      </c>
      <c r="F5508" s="293"/>
      <c r="G5508" s="1472" t="s">
        <v>6151</v>
      </c>
      <c r="H5508" s="1474">
        <f>SUM(H5509,H5514)</f>
        <v>0</v>
      </c>
      <c r="I5508" s="1474">
        <f t="shared" ref="I5508:J5508" si="594">SUM(I5509,I5514)</f>
        <v>0</v>
      </c>
      <c r="J5508" s="1474">
        <f t="shared" si="594"/>
        <v>0</v>
      </c>
      <c r="K5508" s="1475">
        <f>SUM(H5508:J5508)</f>
        <v>0</v>
      </c>
      <c r="L5508" s="2209"/>
      <c r="M5508" s="2210"/>
      <c r="N5508" s="2208"/>
      <c r="O5508" s="2209"/>
      <c r="P5508" s="2210"/>
      <c r="Q5508" s="442"/>
      <c r="R5508" s="442"/>
      <c r="S5508" s="364"/>
      <c r="Z5508" s="609" t="s">
        <v>2129</v>
      </c>
      <c r="AA5508" s="609" t="s">
        <v>19</v>
      </c>
      <c r="AE5508" s="369" t="s">
        <v>2761</v>
      </c>
    </row>
    <row r="5509" spans="1:31" ht="18" hidden="1">
      <c r="A5509" s="2712"/>
      <c r="B5509" s="371">
        <v>103</v>
      </c>
      <c r="C5509" s="371"/>
      <c r="D5509" s="2714">
        <f t="shared" si="593"/>
        <v>1</v>
      </c>
      <c r="E5509" s="2719">
        <v>1</v>
      </c>
      <c r="F5509" s="293"/>
      <c r="G5509" s="1472" t="s">
        <v>6157</v>
      </c>
      <c r="H5509" s="1474">
        <f>SUM(H5510:H5513)</f>
        <v>0</v>
      </c>
      <c r="I5509" s="1474">
        <f t="shared" ref="I5509:J5509" si="595">SUM(I5510:I5513)</f>
        <v>0</v>
      </c>
      <c r="J5509" s="1474">
        <f t="shared" si="595"/>
        <v>0</v>
      </c>
      <c r="K5509" s="1475">
        <f t="shared" ref="K5509:K5547" si="596">SUM(H5509:J5509)</f>
        <v>0</v>
      </c>
      <c r="L5509" s="2209"/>
      <c r="M5509" s="2210"/>
      <c r="N5509" s="2208"/>
      <c r="O5509" s="2209"/>
      <c r="P5509" s="2210"/>
      <c r="Q5509" s="442"/>
      <c r="R5509" s="442"/>
      <c r="S5509" s="364"/>
      <c r="Z5509" s="609" t="s">
        <v>2129</v>
      </c>
      <c r="AA5509" s="609" t="s">
        <v>19</v>
      </c>
      <c r="AE5509" s="369" t="s">
        <v>2761</v>
      </c>
    </row>
    <row r="5510" spans="1:31" ht="18" hidden="1">
      <c r="A5510" s="2712"/>
      <c r="B5510" s="371">
        <v>104</v>
      </c>
      <c r="C5510" s="371"/>
      <c r="D5510" s="2714">
        <f t="shared" si="593"/>
        <v>1</v>
      </c>
      <c r="E5510" s="2719">
        <v>1</v>
      </c>
      <c r="F5510" s="293"/>
      <c r="G5510" s="1472" t="s">
        <v>6159</v>
      </c>
      <c r="H5510" s="2273"/>
      <c r="I5510" s="2273"/>
      <c r="J5510" s="2273"/>
      <c r="K5510" s="1475">
        <f t="shared" si="596"/>
        <v>0</v>
      </c>
      <c r="L5510" s="2209"/>
      <c r="M5510" s="2210"/>
      <c r="N5510" s="2208"/>
      <c r="O5510" s="2209"/>
      <c r="P5510" s="2210"/>
      <c r="Q5510" s="442"/>
      <c r="R5510" s="442"/>
      <c r="S5510" s="364"/>
      <c r="Z5510" s="609" t="s">
        <v>2129</v>
      </c>
      <c r="AA5510" s="609" t="s">
        <v>19</v>
      </c>
      <c r="AE5510" s="369" t="s">
        <v>2761</v>
      </c>
    </row>
    <row r="5511" spans="1:31" ht="18" hidden="1">
      <c r="A5511" s="2712"/>
      <c r="B5511" s="371">
        <v>105</v>
      </c>
      <c r="C5511" s="371"/>
      <c r="D5511" s="2714">
        <f t="shared" si="593"/>
        <v>1</v>
      </c>
      <c r="E5511" s="2719">
        <v>1</v>
      </c>
      <c r="F5511" s="293"/>
      <c r="G5511" s="1472" t="s">
        <v>6161</v>
      </c>
      <c r="H5511" s="2273"/>
      <c r="I5511" s="2273"/>
      <c r="J5511" s="2273"/>
      <c r="K5511" s="1475">
        <f t="shared" si="596"/>
        <v>0</v>
      </c>
      <c r="L5511" s="2209"/>
      <c r="M5511" s="2210"/>
      <c r="N5511" s="2208"/>
      <c r="O5511" s="2209"/>
      <c r="P5511" s="2210"/>
      <c r="Q5511" s="442"/>
      <c r="R5511" s="442"/>
      <c r="S5511" s="364"/>
      <c r="Z5511" s="609" t="s">
        <v>2129</v>
      </c>
      <c r="AA5511" s="609" t="s">
        <v>19</v>
      </c>
      <c r="AE5511" s="369" t="s">
        <v>2761</v>
      </c>
    </row>
    <row r="5512" spans="1:31" ht="18" hidden="1">
      <c r="A5512" s="2712"/>
      <c r="B5512" s="371">
        <v>106</v>
      </c>
      <c r="C5512" s="371"/>
      <c r="D5512" s="2714">
        <f t="shared" si="593"/>
        <v>1</v>
      </c>
      <c r="E5512" s="2719">
        <v>1</v>
      </c>
      <c r="F5512" s="293"/>
      <c r="G5512" s="1472" t="s">
        <v>4538</v>
      </c>
      <c r="H5512" s="2273"/>
      <c r="I5512" s="2273"/>
      <c r="J5512" s="2273"/>
      <c r="K5512" s="1475">
        <f t="shared" si="596"/>
        <v>0</v>
      </c>
      <c r="L5512" s="2209"/>
      <c r="M5512" s="2210"/>
      <c r="N5512" s="2208"/>
      <c r="O5512" s="2209"/>
      <c r="P5512" s="2210"/>
      <c r="Q5512" s="442"/>
      <c r="R5512" s="442"/>
      <c r="S5512" s="364"/>
      <c r="Z5512" s="609" t="s">
        <v>2129</v>
      </c>
      <c r="AA5512" s="609" t="s">
        <v>19</v>
      </c>
      <c r="AE5512" s="369" t="s">
        <v>2761</v>
      </c>
    </row>
    <row r="5513" spans="1:31" ht="18" hidden="1">
      <c r="A5513" s="2712"/>
      <c r="B5513" s="371">
        <v>107</v>
      </c>
      <c r="C5513" s="371" t="s">
        <v>6533</v>
      </c>
      <c r="D5513" s="2714">
        <f t="shared" si="593"/>
        <v>0</v>
      </c>
      <c r="E5513" s="2719">
        <v>1</v>
      </c>
      <c r="F5513" s="293"/>
      <c r="G5513" s="2587" t="s">
        <v>2792</v>
      </c>
      <c r="H5513" s="2273"/>
      <c r="I5513" s="2273"/>
      <c r="J5513" s="2273"/>
      <c r="K5513" s="1475">
        <f t="shared" si="596"/>
        <v>0</v>
      </c>
      <c r="L5513" s="2209"/>
      <c r="M5513" s="2210"/>
      <c r="N5513" s="2208"/>
      <c r="O5513" s="2209"/>
      <c r="P5513" s="2210"/>
      <c r="Q5513" s="442"/>
      <c r="R5513" s="442"/>
      <c r="S5513" s="364"/>
      <c r="Z5513" s="609" t="s">
        <v>2129</v>
      </c>
      <c r="AA5513" s="609" t="s">
        <v>19</v>
      </c>
      <c r="AE5513" s="369" t="s">
        <v>2761</v>
      </c>
    </row>
    <row r="5514" spans="1:31" ht="24" hidden="1">
      <c r="A5514" s="2712"/>
      <c r="B5514" s="371">
        <v>108</v>
      </c>
      <c r="C5514" s="371"/>
      <c r="D5514" s="2714">
        <f t="shared" si="593"/>
        <v>1</v>
      </c>
      <c r="E5514" s="2719">
        <v>1</v>
      </c>
      <c r="F5514" s="293"/>
      <c r="G5514" s="1472" t="s">
        <v>4539</v>
      </c>
      <c r="H5514" s="1474">
        <f>SUM(H5515:H5517)</f>
        <v>0</v>
      </c>
      <c r="I5514" s="1474">
        <f t="shared" ref="I5514:J5514" si="597">SUM(I5515:I5517)</f>
        <v>0</v>
      </c>
      <c r="J5514" s="1474">
        <f t="shared" si="597"/>
        <v>0</v>
      </c>
      <c r="K5514" s="1475">
        <f t="shared" si="596"/>
        <v>0</v>
      </c>
      <c r="L5514" s="2209"/>
      <c r="M5514" s="2210"/>
      <c r="N5514" s="2208"/>
      <c r="O5514" s="2209"/>
      <c r="P5514" s="2210"/>
      <c r="Q5514" s="442"/>
      <c r="R5514" s="442"/>
      <c r="S5514" s="364"/>
      <c r="Z5514" s="609" t="s">
        <v>2129</v>
      </c>
      <c r="AA5514" s="609" t="s">
        <v>19</v>
      </c>
      <c r="AE5514" s="369" t="s">
        <v>2761</v>
      </c>
    </row>
    <row r="5515" spans="1:31" ht="18" hidden="1">
      <c r="A5515" s="2712"/>
      <c r="B5515" s="371">
        <v>109</v>
      </c>
      <c r="C5515" s="371"/>
      <c r="D5515" s="2714">
        <f t="shared" si="593"/>
        <v>1</v>
      </c>
      <c r="E5515" s="2719">
        <v>1</v>
      </c>
      <c r="F5515" s="293"/>
      <c r="G5515" s="1472" t="s">
        <v>6160</v>
      </c>
      <c r="H5515" s="2273"/>
      <c r="I5515" s="2273"/>
      <c r="J5515" s="2273"/>
      <c r="K5515" s="1475">
        <f t="shared" si="596"/>
        <v>0</v>
      </c>
      <c r="L5515" s="2209"/>
      <c r="M5515" s="2210"/>
      <c r="N5515" s="2208"/>
      <c r="O5515" s="2209"/>
      <c r="P5515" s="2210"/>
      <c r="Q5515" s="442"/>
      <c r="R5515" s="442"/>
      <c r="S5515" s="364"/>
      <c r="Z5515" s="609" t="s">
        <v>2129</v>
      </c>
      <c r="AA5515" s="609" t="s">
        <v>19</v>
      </c>
      <c r="AE5515" s="369" t="s">
        <v>2761</v>
      </c>
    </row>
    <row r="5516" spans="1:31" ht="18" hidden="1">
      <c r="A5516" s="2712"/>
      <c r="B5516" s="371">
        <v>110</v>
      </c>
      <c r="C5516" s="371"/>
      <c r="D5516" s="2714">
        <f t="shared" si="593"/>
        <v>1</v>
      </c>
      <c r="E5516" s="2719">
        <v>1</v>
      </c>
      <c r="F5516" s="293"/>
      <c r="G5516" s="1472" t="s">
        <v>6162</v>
      </c>
      <c r="H5516" s="2273"/>
      <c r="I5516" s="2273"/>
      <c r="J5516" s="2273"/>
      <c r="K5516" s="1475">
        <f t="shared" si="596"/>
        <v>0</v>
      </c>
      <c r="L5516" s="2209"/>
      <c r="M5516" s="2210"/>
      <c r="N5516" s="2208"/>
      <c r="O5516" s="2209"/>
      <c r="P5516" s="2210"/>
      <c r="Q5516" s="442"/>
      <c r="R5516" s="442"/>
      <c r="S5516" s="364"/>
      <c r="Z5516" s="609" t="s">
        <v>2129</v>
      </c>
      <c r="AA5516" s="609" t="s">
        <v>19</v>
      </c>
      <c r="AE5516" s="369" t="s">
        <v>2761</v>
      </c>
    </row>
    <row r="5517" spans="1:31" ht="18" hidden="1">
      <c r="A5517" s="2712"/>
      <c r="B5517" s="371">
        <v>111</v>
      </c>
      <c r="C5517" s="371" t="s">
        <v>6533</v>
      </c>
      <c r="D5517" s="2714">
        <f t="shared" si="593"/>
        <v>0</v>
      </c>
      <c r="E5517" s="2719">
        <v>1</v>
      </c>
      <c r="F5517" s="293"/>
      <c r="G5517" s="2587" t="s">
        <v>2792</v>
      </c>
      <c r="H5517" s="2273"/>
      <c r="I5517" s="2273"/>
      <c r="J5517" s="2273"/>
      <c r="K5517" s="1475">
        <f t="shared" si="596"/>
        <v>0</v>
      </c>
      <c r="L5517" s="2209"/>
      <c r="M5517" s="2210"/>
      <c r="N5517" s="2208"/>
      <c r="O5517" s="2209"/>
      <c r="P5517" s="2210"/>
      <c r="Q5517" s="442"/>
      <c r="R5517" s="442"/>
      <c r="S5517" s="364"/>
      <c r="Z5517" s="609" t="s">
        <v>2129</v>
      </c>
      <c r="AA5517" s="609" t="s">
        <v>19</v>
      </c>
      <c r="AE5517" s="369" t="s">
        <v>2761</v>
      </c>
    </row>
    <row r="5518" spans="1:31" ht="18" hidden="1">
      <c r="A5518" s="2712"/>
      <c r="B5518" s="371">
        <v>112</v>
      </c>
      <c r="C5518" s="371"/>
      <c r="D5518" s="2714">
        <f t="shared" si="593"/>
        <v>1</v>
      </c>
      <c r="E5518" s="2719">
        <v>1</v>
      </c>
      <c r="F5518" s="293"/>
      <c r="G5518" s="1472" t="s">
        <v>6152</v>
      </c>
      <c r="H5518" s="1474">
        <f>SUM(H5519:H5522)</f>
        <v>0</v>
      </c>
      <c r="I5518" s="1474">
        <f t="shared" ref="I5518:J5518" si="598">SUM(I5519:I5522)</f>
        <v>0</v>
      </c>
      <c r="J5518" s="1474">
        <f t="shared" si="598"/>
        <v>0</v>
      </c>
      <c r="K5518" s="1475">
        <f t="shared" si="596"/>
        <v>0</v>
      </c>
      <c r="L5518" s="2209"/>
      <c r="M5518" s="2210"/>
      <c r="N5518" s="2208"/>
      <c r="O5518" s="2209"/>
      <c r="P5518" s="2210"/>
      <c r="Q5518" s="442"/>
      <c r="R5518" s="442"/>
      <c r="S5518" s="364"/>
      <c r="Z5518" s="609" t="s">
        <v>2129</v>
      </c>
      <c r="AA5518" s="609" t="s">
        <v>19</v>
      </c>
      <c r="AE5518" s="369" t="s">
        <v>2761</v>
      </c>
    </row>
    <row r="5519" spans="1:31" ht="18" hidden="1">
      <c r="A5519" s="2712"/>
      <c r="B5519" s="371">
        <v>113</v>
      </c>
      <c r="C5519" s="371"/>
      <c r="D5519" s="2714">
        <f t="shared" si="593"/>
        <v>1</v>
      </c>
      <c r="E5519" s="2719">
        <v>1</v>
      </c>
      <c r="F5519" s="293"/>
      <c r="G5519" s="1472" t="s">
        <v>6163</v>
      </c>
      <c r="H5519" s="2273"/>
      <c r="I5519" s="2273"/>
      <c r="J5519" s="2273"/>
      <c r="K5519" s="1475">
        <f>SUM(H5519:J5519)</f>
        <v>0</v>
      </c>
      <c r="L5519" s="2209"/>
      <c r="M5519" s="2210"/>
      <c r="N5519" s="2208"/>
      <c r="O5519" s="2209"/>
      <c r="P5519" s="2210"/>
      <c r="Q5519" s="442"/>
      <c r="R5519" s="442"/>
      <c r="S5519" s="364"/>
      <c r="Z5519" s="609" t="s">
        <v>2129</v>
      </c>
      <c r="AA5519" s="609" t="s">
        <v>19</v>
      </c>
      <c r="AE5519" s="369" t="s">
        <v>2761</v>
      </c>
    </row>
    <row r="5520" spans="1:31" ht="18" hidden="1">
      <c r="A5520" s="2712"/>
      <c r="B5520" s="371">
        <v>114</v>
      </c>
      <c r="C5520" s="371"/>
      <c r="D5520" s="2714">
        <f t="shared" si="593"/>
        <v>1</v>
      </c>
      <c r="E5520" s="2719">
        <v>1</v>
      </c>
      <c r="F5520" s="293"/>
      <c r="G5520" s="1472" t="s">
        <v>6164</v>
      </c>
      <c r="H5520" s="2273"/>
      <c r="I5520" s="2273"/>
      <c r="J5520" s="2273"/>
      <c r="K5520" s="1475">
        <f t="shared" si="596"/>
        <v>0</v>
      </c>
      <c r="L5520" s="2209"/>
      <c r="M5520" s="2210"/>
      <c r="N5520" s="2208"/>
      <c r="O5520" s="2209"/>
      <c r="P5520" s="2210"/>
      <c r="Q5520" s="442"/>
      <c r="R5520" s="442"/>
      <c r="S5520" s="364"/>
      <c r="Z5520" s="609" t="s">
        <v>2129</v>
      </c>
      <c r="AA5520" s="609" t="s">
        <v>19</v>
      </c>
      <c r="AE5520" s="369" t="s">
        <v>2761</v>
      </c>
    </row>
    <row r="5521" spans="1:31" ht="18" hidden="1">
      <c r="A5521" s="2712"/>
      <c r="B5521" s="371">
        <v>115</v>
      </c>
      <c r="C5521" s="371"/>
      <c r="D5521" s="2714">
        <f t="shared" si="593"/>
        <v>1</v>
      </c>
      <c r="E5521" s="2719">
        <v>1</v>
      </c>
      <c r="F5521" s="293"/>
      <c r="G5521" s="1472" t="s">
        <v>6158</v>
      </c>
      <c r="H5521" s="2273"/>
      <c r="I5521" s="2273"/>
      <c r="J5521" s="2273"/>
      <c r="K5521" s="1475">
        <f t="shared" si="596"/>
        <v>0</v>
      </c>
      <c r="L5521" s="2209"/>
      <c r="M5521" s="2210"/>
      <c r="N5521" s="2208"/>
      <c r="O5521" s="2209"/>
      <c r="P5521" s="2210"/>
      <c r="Q5521" s="442"/>
      <c r="R5521" s="442"/>
      <c r="S5521" s="364"/>
      <c r="Z5521" s="609" t="s">
        <v>2129</v>
      </c>
      <c r="AA5521" s="609" t="s">
        <v>19</v>
      </c>
      <c r="AE5521" s="369" t="s">
        <v>2761</v>
      </c>
    </row>
    <row r="5522" spans="1:31" ht="18" hidden="1">
      <c r="A5522" s="2712"/>
      <c r="B5522" s="371">
        <v>116</v>
      </c>
      <c r="C5522" s="371" t="s">
        <v>6533</v>
      </c>
      <c r="D5522" s="2714">
        <f t="shared" si="593"/>
        <v>0</v>
      </c>
      <c r="E5522" s="2719">
        <v>1</v>
      </c>
      <c r="F5522" s="293"/>
      <c r="G5522" s="2587" t="s">
        <v>2792</v>
      </c>
      <c r="H5522" s="2273"/>
      <c r="I5522" s="2273"/>
      <c r="J5522" s="2273"/>
      <c r="K5522" s="1475">
        <f t="shared" si="596"/>
        <v>0</v>
      </c>
      <c r="L5522" s="2209"/>
      <c r="M5522" s="2210"/>
      <c r="N5522" s="2208"/>
      <c r="O5522" s="2209"/>
      <c r="P5522" s="2210"/>
      <c r="Q5522" s="442"/>
      <c r="R5522" s="442"/>
      <c r="S5522" s="364"/>
      <c r="Z5522" s="609" t="s">
        <v>2129</v>
      </c>
      <c r="AA5522" s="609" t="s">
        <v>19</v>
      </c>
      <c r="AE5522" s="369" t="s">
        <v>2761</v>
      </c>
    </row>
    <row r="5523" spans="1:31" ht="18" hidden="1">
      <c r="A5523" s="2712"/>
      <c r="B5523" s="371">
        <v>117</v>
      </c>
      <c r="C5523" s="371"/>
      <c r="D5523" s="2714">
        <f t="shared" si="593"/>
        <v>1</v>
      </c>
      <c r="E5523" s="2719">
        <v>1</v>
      </c>
      <c r="F5523" s="293"/>
      <c r="G5523" s="1472" t="s">
        <v>6153</v>
      </c>
      <c r="H5523" s="1474">
        <f>SUM(H5524:H5527)</f>
        <v>0</v>
      </c>
      <c r="I5523" s="1474">
        <f t="shared" ref="I5523:J5523" si="599">SUM(I5524:I5527)</f>
        <v>0</v>
      </c>
      <c r="J5523" s="1474">
        <f t="shared" si="599"/>
        <v>0</v>
      </c>
      <c r="K5523" s="1475">
        <f t="shared" si="596"/>
        <v>0</v>
      </c>
      <c r="L5523" s="2209"/>
      <c r="M5523" s="2210"/>
      <c r="N5523" s="2208"/>
      <c r="O5523" s="2209"/>
      <c r="P5523" s="2210"/>
      <c r="Q5523" s="442"/>
      <c r="R5523" s="442"/>
      <c r="S5523" s="364"/>
      <c r="Z5523" s="609" t="s">
        <v>2129</v>
      </c>
      <c r="AA5523" s="609" t="s">
        <v>19</v>
      </c>
      <c r="AE5523" s="369" t="s">
        <v>2761</v>
      </c>
    </row>
    <row r="5524" spans="1:31" ht="18" hidden="1">
      <c r="A5524" s="2712"/>
      <c r="B5524" s="371">
        <v>118</v>
      </c>
      <c r="C5524" s="371"/>
      <c r="D5524" s="2714">
        <f t="shared" si="593"/>
        <v>1</v>
      </c>
      <c r="E5524" s="2719">
        <v>1</v>
      </c>
      <c r="F5524" s="293"/>
      <c r="G5524" s="1472" t="s">
        <v>4545</v>
      </c>
      <c r="H5524" s="2273"/>
      <c r="I5524" s="2273"/>
      <c r="J5524" s="2273"/>
      <c r="K5524" s="1475">
        <f t="shared" si="596"/>
        <v>0</v>
      </c>
      <c r="L5524" s="2209"/>
      <c r="M5524" s="2210"/>
      <c r="N5524" s="2208"/>
      <c r="O5524" s="2209"/>
      <c r="P5524" s="2210"/>
      <c r="Q5524" s="442"/>
      <c r="R5524" s="442"/>
      <c r="S5524" s="364"/>
      <c r="Z5524" s="609" t="s">
        <v>2129</v>
      </c>
      <c r="AA5524" s="609" t="s">
        <v>19</v>
      </c>
      <c r="AE5524" s="369" t="s">
        <v>2761</v>
      </c>
    </row>
    <row r="5525" spans="1:31" ht="18" hidden="1">
      <c r="A5525" s="2712"/>
      <c r="B5525" s="371">
        <v>119</v>
      </c>
      <c r="C5525" s="371"/>
      <c r="D5525" s="2714">
        <f t="shared" si="593"/>
        <v>1</v>
      </c>
      <c r="E5525" s="2719">
        <v>1</v>
      </c>
      <c r="F5525" s="293"/>
      <c r="G5525" s="1472" t="s">
        <v>4546</v>
      </c>
      <c r="H5525" s="2273"/>
      <c r="I5525" s="2273"/>
      <c r="J5525" s="2273"/>
      <c r="K5525" s="1475">
        <f t="shared" si="596"/>
        <v>0</v>
      </c>
      <c r="L5525" s="2209"/>
      <c r="M5525" s="2210"/>
      <c r="N5525" s="2208"/>
      <c r="O5525" s="2209"/>
      <c r="P5525" s="2210"/>
      <c r="Q5525" s="442"/>
      <c r="R5525" s="442"/>
      <c r="S5525" s="364"/>
      <c r="Z5525" s="609" t="s">
        <v>2129</v>
      </c>
      <c r="AA5525" s="609" t="s">
        <v>19</v>
      </c>
      <c r="AE5525" s="369" t="s">
        <v>2761</v>
      </c>
    </row>
    <row r="5526" spans="1:31" ht="24" hidden="1">
      <c r="A5526" s="2712"/>
      <c r="B5526" s="371">
        <v>120</v>
      </c>
      <c r="C5526" s="371"/>
      <c r="D5526" s="2714">
        <f t="shared" si="593"/>
        <v>1</v>
      </c>
      <c r="E5526" s="2719">
        <v>1</v>
      </c>
      <c r="F5526" s="293"/>
      <c r="G5526" s="1472" t="s">
        <v>4547</v>
      </c>
      <c r="H5526" s="2273"/>
      <c r="I5526" s="2273"/>
      <c r="J5526" s="2273"/>
      <c r="K5526" s="1475">
        <f t="shared" si="596"/>
        <v>0</v>
      </c>
      <c r="L5526" s="2209"/>
      <c r="M5526" s="2210"/>
      <c r="N5526" s="2208"/>
      <c r="O5526" s="2209"/>
      <c r="P5526" s="2210"/>
      <c r="Q5526" s="442"/>
      <c r="R5526" s="442"/>
      <c r="S5526" s="364"/>
      <c r="Z5526" s="609" t="s">
        <v>2129</v>
      </c>
      <c r="AA5526" s="609" t="s">
        <v>19</v>
      </c>
      <c r="AE5526" s="369" t="s">
        <v>2761</v>
      </c>
    </row>
    <row r="5527" spans="1:31" ht="18" hidden="1">
      <c r="A5527" s="2712"/>
      <c r="B5527" s="371">
        <v>121</v>
      </c>
      <c r="C5527" s="371" t="s">
        <v>6533</v>
      </c>
      <c r="D5527" s="2714">
        <f t="shared" si="593"/>
        <v>0</v>
      </c>
      <c r="E5527" s="2719">
        <v>1</v>
      </c>
      <c r="F5527" s="293"/>
      <c r="G5527" s="2587" t="s">
        <v>2792</v>
      </c>
      <c r="H5527" s="2273"/>
      <c r="I5527" s="2273"/>
      <c r="J5527" s="2273"/>
      <c r="K5527" s="1475">
        <f>SUM(H5527:J5527)</f>
        <v>0</v>
      </c>
      <c r="L5527" s="2209"/>
      <c r="M5527" s="2210"/>
      <c r="N5527" s="2208"/>
      <c r="O5527" s="2209"/>
      <c r="P5527" s="2210"/>
      <c r="Q5527" s="442"/>
      <c r="R5527" s="442"/>
      <c r="S5527" s="364"/>
      <c r="Z5527" s="609" t="s">
        <v>2129</v>
      </c>
      <c r="AA5527" s="609" t="s">
        <v>19</v>
      </c>
      <c r="AE5527" s="369" t="s">
        <v>2761</v>
      </c>
    </row>
    <row r="5528" spans="1:31" ht="18" hidden="1">
      <c r="A5528" s="2712"/>
      <c r="B5528" s="371">
        <v>122</v>
      </c>
      <c r="C5528" s="371"/>
      <c r="D5528" s="2714">
        <f t="shared" si="593"/>
        <v>1</v>
      </c>
      <c r="E5528" s="2719">
        <v>1</v>
      </c>
      <c r="F5528" s="293"/>
      <c r="G5528" s="1472" t="s">
        <v>6154</v>
      </c>
      <c r="H5528" s="1474">
        <f>SUM(H5529:H5530)</f>
        <v>0</v>
      </c>
      <c r="I5528" s="1474">
        <f t="shared" ref="I5528:J5528" si="600">SUM(I5529:I5530)</f>
        <v>0</v>
      </c>
      <c r="J5528" s="1474">
        <f t="shared" si="600"/>
        <v>0</v>
      </c>
      <c r="K5528" s="1475">
        <f t="shared" si="596"/>
        <v>0</v>
      </c>
      <c r="L5528" s="2209"/>
      <c r="M5528" s="2210"/>
      <c r="N5528" s="2208"/>
      <c r="O5528" s="2209"/>
      <c r="P5528" s="2210"/>
      <c r="Q5528" s="442"/>
      <c r="R5528" s="442"/>
      <c r="S5528" s="364"/>
      <c r="Z5528" s="609" t="s">
        <v>2129</v>
      </c>
      <c r="AA5528" s="609" t="s">
        <v>19</v>
      </c>
      <c r="AE5528" s="369" t="s">
        <v>2761</v>
      </c>
    </row>
    <row r="5529" spans="1:31" ht="18" hidden="1">
      <c r="A5529" s="2712"/>
      <c r="B5529" s="371">
        <v>123</v>
      </c>
      <c r="C5529" s="371"/>
      <c r="D5529" s="2714">
        <f t="shared" si="593"/>
        <v>1</v>
      </c>
      <c r="E5529" s="2719">
        <v>1</v>
      </c>
      <c r="F5529" s="293"/>
      <c r="G5529" s="1472" t="s">
        <v>4549</v>
      </c>
      <c r="H5529" s="2273"/>
      <c r="I5529" s="2273"/>
      <c r="J5529" s="2273"/>
      <c r="K5529" s="1475">
        <f t="shared" si="596"/>
        <v>0</v>
      </c>
      <c r="L5529" s="2209"/>
      <c r="M5529" s="2210"/>
      <c r="N5529" s="2208"/>
      <c r="O5529" s="2209"/>
      <c r="P5529" s="2210"/>
      <c r="Q5529" s="442"/>
      <c r="R5529" s="442"/>
      <c r="S5529" s="364"/>
      <c r="Z5529" s="609" t="s">
        <v>2129</v>
      </c>
      <c r="AA5529" s="609" t="s">
        <v>19</v>
      </c>
      <c r="AE5529" s="369" t="s">
        <v>2761</v>
      </c>
    </row>
    <row r="5530" spans="1:31" ht="18" hidden="1">
      <c r="A5530" s="2712"/>
      <c r="B5530" s="371">
        <v>124</v>
      </c>
      <c r="C5530" s="371"/>
      <c r="D5530" s="2714">
        <f t="shared" si="593"/>
        <v>1</v>
      </c>
      <c r="E5530" s="2719">
        <v>1</v>
      </c>
      <c r="F5530" s="293"/>
      <c r="G5530" s="1472" t="s">
        <v>4550</v>
      </c>
      <c r="H5530" s="2273"/>
      <c r="I5530" s="2273"/>
      <c r="J5530" s="2273"/>
      <c r="K5530" s="1475">
        <f t="shared" si="596"/>
        <v>0</v>
      </c>
      <c r="L5530" s="2209"/>
      <c r="M5530" s="2210"/>
      <c r="N5530" s="2208"/>
      <c r="O5530" s="2209"/>
      <c r="P5530" s="2210"/>
      <c r="Q5530" s="442"/>
      <c r="R5530" s="442"/>
      <c r="S5530" s="364"/>
      <c r="Z5530" s="609" t="s">
        <v>2129</v>
      </c>
      <c r="AA5530" s="609" t="s">
        <v>19</v>
      </c>
      <c r="AE5530" s="369" t="s">
        <v>2761</v>
      </c>
    </row>
    <row r="5531" spans="1:31" ht="18" hidden="1">
      <c r="A5531" s="2712"/>
      <c r="B5531" s="371">
        <v>125</v>
      </c>
      <c r="C5531" s="371" t="s">
        <v>2791</v>
      </c>
      <c r="D5531" s="2714">
        <f t="shared" si="593"/>
        <v>0</v>
      </c>
      <c r="E5531" s="2719">
        <v>1</v>
      </c>
      <c r="F5531" s="293"/>
      <c r="G5531" s="2587" t="s">
        <v>2792</v>
      </c>
      <c r="H5531" s="2273"/>
      <c r="I5531" s="2273"/>
      <c r="J5531" s="2273"/>
      <c r="K5531" s="1475">
        <f t="shared" si="596"/>
        <v>0</v>
      </c>
      <c r="L5531" s="2209"/>
      <c r="M5531" s="2210"/>
      <c r="N5531" s="2208"/>
      <c r="O5531" s="2209"/>
      <c r="P5531" s="2210"/>
      <c r="Q5531" s="442"/>
      <c r="R5531" s="442"/>
      <c r="S5531" s="364"/>
      <c r="Z5531" s="609" t="s">
        <v>2129</v>
      </c>
      <c r="AA5531" s="609" t="s">
        <v>19</v>
      </c>
      <c r="AE5531" s="369" t="s">
        <v>2761</v>
      </c>
    </row>
    <row r="5532" spans="1:31" ht="24" hidden="1">
      <c r="A5532" s="2712"/>
      <c r="B5532" s="371">
        <v>126</v>
      </c>
      <c r="C5532" s="371"/>
      <c r="D5532" s="2714">
        <f t="shared" si="593"/>
        <v>1</v>
      </c>
      <c r="E5532" s="2719">
        <v>1</v>
      </c>
      <c r="F5532" s="293"/>
      <c r="G5532" s="1472" t="s">
        <v>4551</v>
      </c>
      <c r="H5532" s="1474">
        <f>SUM(H5508,H5518,H5523,H5528,H5531)</f>
        <v>0</v>
      </c>
      <c r="I5532" s="1474">
        <f t="shared" ref="I5532:J5532" si="601">SUM(I5508,I5518,I5523,I5528,I5531)</f>
        <v>0</v>
      </c>
      <c r="J5532" s="1474">
        <f t="shared" si="601"/>
        <v>0</v>
      </c>
      <c r="K5532" s="1475">
        <f t="shared" si="596"/>
        <v>0</v>
      </c>
      <c r="L5532" s="2209"/>
      <c r="M5532" s="2210"/>
      <c r="N5532" s="2208"/>
      <c r="O5532" s="2209"/>
      <c r="P5532" s="2210"/>
      <c r="Q5532" s="442"/>
      <c r="R5532" s="442"/>
      <c r="S5532" s="364"/>
      <c r="Z5532" s="609" t="s">
        <v>2129</v>
      </c>
      <c r="AA5532" s="609" t="s">
        <v>19</v>
      </c>
      <c r="AE5532" s="369" t="s">
        <v>2761</v>
      </c>
    </row>
    <row r="5533" spans="1:31" ht="18" hidden="1">
      <c r="A5533" s="2712"/>
      <c r="B5533" s="371">
        <v>127</v>
      </c>
      <c r="C5533" s="371"/>
      <c r="D5533" s="2714">
        <f t="shared" si="593"/>
        <v>1</v>
      </c>
      <c r="E5533" s="2719">
        <v>1</v>
      </c>
      <c r="F5533" s="293"/>
      <c r="G5533" s="1472" t="s">
        <v>6155</v>
      </c>
      <c r="H5533" s="1474">
        <f>SUM(H5534:H5537)</f>
        <v>0</v>
      </c>
      <c r="I5533" s="1474">
        <f t="shared" ref="I5533:J5533" si="602">SUM(I5534:I5537)</f>
        <v>0</v>
      </c>
      <c r="J5533" s="1474">
        <f t="shared" si="602"/>
        <v>0</v>
      </c>
      <c r="K5533" s="1475">
        <f>SUM(H5533:J5533)</f>
        <v>0</v>
      </c>
      <c r="L5533" s="2209"/>
      <c r="M5533" s="2210"/>
      <c r="N5533" s="2208"/>
      <c r="O5533" s="2209"/>
      <c r="P5533" s="2210"/>
      <c r="Q5533" s="442"/>
      <c r="R5533" s="442"/>
      <c r="S5533" s="364"/>
      <c r="Z5533" s="609" t="s">
        <v>2129</v>
      </c>
      <c r="AA5533" s="609" t="s">
        <v>19</v>
      </c>
      <c r="AE5533" s="369" t="s">
        <v>2761</v>
      </c>
    </row>
    <row r="5534" spans="1:31" ht="18" hidden="1">
      <c r="A5534" s="2712"/>
      <c r="B5534" s="371">
        <v>128</v>
      </c>
      <c r="C5534" s="371"/>
      <c r="D5534" s="2714">
        <f t="shared" si="593"/>
        <v>1</v>
      </c>
      <c r="E5534" s="2719">
        <v>1</v>
      </c>
      <c r="F5534" s="293"/>
      <c r="G5534" s="1472" t="s">
        <v>6165</v>
      </c>
      <c r="H5534" s="2273"/>
      <c r="I5534" s="2273"/>
      <c r="J5534" s="2273"/>
      <c r="K5534" s="1475">
        <f t="shared" si="596"/>
        <v>0</v>
      </c>
      <c r="L5534" s="2209"/>
      <c r="M5534" s="2210"/>
      <c r="N5534" s="2208"/>
      <c r="O5534" s="2209"/>
      <c r="P5534" s="2210"/>
      <c r="Q5534" s="442"/>
      <c r="R5534" s="442"/>
      <c r="S5534" s="364"/>
      <c r="Z5534" s="609" t="s">
        <v>2129</v>
      </c>
      <c r="AA5534" s="609" t="s">
        <v>19</v>
      </c>
      <c r="AE5534" s="369" t="s">
        <v>2761</v>
      </c>
    </row>
    <row r="5535" spans="1:31" ht="18" hidden="1">
      <c r="A5535" s="2712"/>
      <c r="B5535" s="371">
        <v>129</v>
      </c>
      <c r="C5535" s="371"/>
      <c r="D5535" s="2714">
        <f t="shared" si="593"/>
        <v>1</v>
      </c>
      <c r="E5535" s="2719">
        <v>1</v>
      </c>
      <c r="F5535" s="293"/>
      <c r="G5535" s="1472" t="s">
        <v>467</v>
      </c>
      <c r="H5535" s="2273"/>
      <c r="I5535" s="2273"/>
      <c r="J5535" s="2273"/>
      <c r="K5535" s="1475">
        <f t="shared" si="596"/>
        <v>0</v>
      </c>
      <c r="L5535" s="2209"/>
      <c r="M5535" s="2210"/>
      <c r="N5535" s="2208"/>
      <c r="O5535" s="2209"/>
      <c r="P5535" s="2210"/>
      <c r="Q5535" s="442"/>
      <c r="R5535" s="442"/>
      <c r="S5535" s="364"/>
      <c r="Z5535" s="609" t="s">
        <v>2129</v>
      </c>
      <c r="AA5535" s="609" t="s">
        <v>19</v>
      </c>
      <c r="AE5535" s="369" t="s">
        <v>2761</v>
      </c>
    </row>
    <row r="5536" spans="1:31" ht="18" hidden="1">
      <c r="A5536" s="2712"/>
      <c r="B5536" s="371">
        <v>130</v>
      </c>
      <c r="C5536" s="371"/>
      <c r="D5536" s="2714">
        <f t="shared" si="593"/>
        <v>1</v>
      </c>
      <c r="E5536" s="2719">
        <v>1</v>
      </c>
      <c r="F5536" s="293"/>
      <c r="G5536" s="1472" t="s">
        <v>932</v>
      </c>
      <c r="H5536" s="2273"/>
      <c r="I5536" s="2273"/>
      <c r="J5536" s="2273"/>
      <c r="K5536" s="1475">
        <f t="shared" si="596"/>
        <v>0</v>
      </c>
      <c r="L5536" s="2209"/>
      <c r="M5536" s="2210"/>
      <c r="N5536" s="2208"/>
      <c r="O5536" s="2209"/>
      <c r="P5536" s="2210"/>
      <c r="Q5536" s="442"/>
      <c r="R5536" s="442"/>
      <c r="S5536" s="364"/>
      <c r="Z5536" s="609" t="s">
        <v>2129</v>
      </c>
      <c r="AA5536" s="609" t="s">
        <v>19</v>
      </c>
      <c r="AE5536" s="369" t="s">
        <v>2761</v>
      </c>
    </row>
    <row r="5537" spans="1:31" ht="18" hidden="1">
      <c r="A5537" s="2712"/>
      <c r="B5537" s="371">
        <v>131</v>
      </c>
      <c r="C5537" s="371" t="s">
        <v>6530</v>
      </c>
      <c r="D5537" s="2714">
        <f t="shared" si="593"/>
        <v>0</v>
      </c>
      <c r="E5537" s="2719">
        <v>1</v>
      </c>
      <c r="F5537" s="293"/>
      <c r="G5537" s="2587" t="s">
        <v>2792</v>
      </c>
      <c r="H5537" s="2273"/>
      <c r="I5537" s="2273"/>
      <c r="J5537" s="2273"/>
      <c r="K5537" s="1475">
        <f t="shared" si="596"/>
        <v>0</v>
      </c>
      <c r="L5537" s="2209"/>
      <c r="M5537" s="2210"/>
      <c r="N5537" s="2208"/>
      <c r="O5537" s="2209"/>
      <c r="P5537" s="2210"/>
      <c r="Q5537" s="442"/>
      <c r="R5537" s="442"/>
      <c r="S5537" s="364"/>
      <c r="Z5537" s="609" t="s">
        <v>2129</v>
      </c>
      <c r="AA5537" s="609" t="s">
        <v>19</v>
      </c>
      <c r="AE5537" s="369" t="s">
        <v>2761</v>
      </c>
    </row>
    <row r="5538" spans="1:31" ht="36" hidden="1">
      <c r="A5538" s="2712"/>
      <c r="B5538" s="371">
        <v>132</v>
      </c>
      <c r="C5538" s="371"/>
      <c r="D5538" s="2714">
        <f t="shared" si="593"/>
        <v>1</v>
      </c>
      <c r="E5538" s="2719">
        <v>1</v>
      </c>
      <c r="F5538" s="293"/>
      <c r="G5538" s="1472" t="s">
        <v>6156</v>
      </c>
      <c r="H5538" s="2273"/>
      <c r="I5538" s="2273"/>
      <c r="J5538" s="2273"/>
      <c r="K5538" s="1475">
        <f t="shared" si="596"/>
        <v>0</v>
      </c>
      <c r="L5538" s="2209"/>
      <c r="M5538" s="2210"/>
      <c r="N5538" s="2208"/>
      <c r="O5538" s="2209"/>
      <c r="P5538" s="2210"/>
      <c r="Q5538" s="442"/>
      <c r="R5538" s="442"/>
      <c r="S5538" s="364"/>
      <c r="Z5538" s="609" t="s">
        <v>2129</v>
      </c>
      <c r="AA5538" s="609" t="s">
        <v>19</v>
      </c>
      <c r="AE5538" s="369" t="s">
        <v>2761</v>
      </c>
    </row>
    <row r="5539" spans="1:31" ht="18" hidden="1">
      <c r="A5539" s="2712"/>
      <c r="B5539" s="371">
        <v>133</v>
      </c>
      <c r="C5539" s="371" t="s">
        <v>2791</v>
      </c>
      <c r="D5539" s="2714">
        <f t="shared" si="593"/>
        <v>0</v>
      </c>
      <c r="E5539" s="2719">
        <v>1</v>
      </c>
      <c r="F5539" s="293"/>
      <c r="G5539" s="2587" t="s">
        <v>2792</v>
      </c>
      <c r="H5539" s="2273"/>
      <c r="I5539" s="2273"/>
      <c r="J5539" s="2273"/>
      <c r="K5539" s="1475">
        <f t="shared" si="596"/>
        <v>0</v>
      </c>
      <c r="L5539" s="2209"/>
      <c r="M5539" s="2210"/>
      <c r="N5539" s="2208"/>
      <c r="O5539" s="2209"/>
      <c r="P5539" s="2210"/>
      <c r="Q5539" s="442"/>
      <c r="R5539" s="442"/>
      <c r="S5539" s="364"/>
      <c r="Z5539" s="609" t="s">
        <v>2129</v>
      </c>
      <c r="AA5539" s="609" t="s">
        <v>19</v>
      </c>
      <c r="AE5539" s="369" t="s">
        <v>2761</v>
      </c>
    </row>
    <row r="5540" spans="1:31" ht="24" hidden="1">
      <c r="A5540" s="2712"/>
      <c r="B5540" s="371">
        <v>134</v>
      </c>
      <c r="C5540" s="371"/>
      <c r="D5540" s="2714">
        <f t="shared" si="593"/>
        <v>1</v>
      </c>
      <c r="E5540" s="2719">
        <v>1</v>
      </c>
      <c r="F5540" s="293"/>
      <c r="G5540" s="1472" t="s">
        <v>4557</v>
      </c>
      <c r="H5540" s="1474">
        <f>SUM(H5533,H5538,H5539)</f>
        <v>0</v>
      </c>
      <c r="I5540" s="1474">
        <f t="shared" ref="I5540:J5540" si="603">SUM(I5533,I5538,I5539)</f>
        <v>0</v>
      </c>
      <c r="J5540" s="1474">
        <f t="shared" si="603"/>
        <v>0</v>
      </c>
      <c r="K5540" s="1475">
        <f t="shared" si="596"/>
        <v>0</v>
      </c>
      <c r="L5540" s="2209"/>
      <c r="M5540" s="2210"/>
      <c r="N5540" s="2208"/>
      <c r="O5540" s="2209"/>
      <c r="P5540" s="2210"/>
      <c r="Q5540" s="442"/>
      <c r="R5540" s="442"/>
      <c r="S5540" s="364"/>
      <c r="Z5540" s="609" t="s">
        <v>2129</v>
      </c>
      <c r="AA5540" s="609" t="s">
        <v>19</v>
      </c>
      <c r="AE5540" s="369" t="s">
        <v>2761</v>
      </c>
    </row>
    <row r="5541" spans="1:31" ht="18" hidden="1">
      <c r="A5541" s="2712"/>
      <c r="B5541" s="371">
        <v>135</v>
      </c>
      <c r="C5541" s="371"/>
      <c r="D5541" s="2714">
        <f t="shared" si="593"/>
        <v>1</v>
      </c>
      <c r="E5541" s="2719" t="s">
        <v>41</v>
      </c>
      <c r="F5541" s="293"/>
      <c r="G5541" s="1472" t="s">
        <v>4558</v>
      </c>
      <c r="H5541" s="2273"/>
      <c r="I5541" s="2273"/>
      <c r="J5541" s="2273"/>
      <c r="K5541" s="2294"/>
      <c r="L5541" s="2209"/>
      <c r="M5541" s="2210"/>
      <c r="N5541" s="2208"/>
      <c r="O5541" s="2209"/>
      <c r="P5541" s="2210"/>
      <c r="Q5541" s="442"/>
      <c r="R5541" s="442"/>
      <c r="S5541" s="364"/>
      <c r="Z5541" s="609" t="s">
        <v>2129</v>
      </c>
      <c r="AA5541" s="609" t="s">
        <v>19</v>
      </c>
      <c r="AE5541" s="369" t="s">
        <v>2761</v>
      </c>
    </row>
    <row r="5542" spans="1:31" ht="18" hidden="1">
      <c r="A5542" s="2712"/>
      <c r="B5542" s="371">
        <v>136</v>
      </c>
      <c r="C5542" s="371"/>
      <c r="D5542" s="2714">
        <f t="shared" si="593"/>
        <v>1</v>
      </c>
      <c r="E5542" s="2719">
        <v>1</v>
      </c>
      <c r="F5542" s="293"/>
      <c r="G5542" s="1472" t="s">
        <v>4559</v>
      </c>
      <c r="H5542" s="2273"/>
      <c r="I5542" s="2273"/>
      <c r="J5542" s="2273"/>
      <c r="K5542" s="1475">
        <f t="shared" si="596"/>
        <v>0</v>
      </c>
      <c r="L5542" s="2209"/>
      <c r="M5542" s="2210"/>
      <c r="N5542" s="2208"/>
      <c r="O5542" s="2209"/>
      <c r="P5542" s="2210"/>
      <c r="Q5542" s="442"/>
      <c r="R5542" s="442"/>
      <c r="S5542" s="364"/>
      <c r="Z5542" s="609" t="s">
        <v>2129</v>
      </c>
      <c r="AA5542" s="609" t="s">
        <v>19</v>
      </c>
      <c r="AE5542" s="369" t="s">
        <v>2761</v>
      </c>
    </row>
    <row r="5543" spans="1:31" ht="18" hidden="1">
      <c r="A5543" s="2712"/>
      <c r="B5543" s="371">
        <v>137</v>
      </c>
      <c r="C5543" s="371" t="s">
        <v>2791</v>
      </c>
      <c r="D5543" s="2714">
        <f t="shared" si="593"/>
        <v>0</v>
      </c>
      <c r="E5543" s="2719">
        <v>1</v>
      </c>
      <c r="F5543" s="293"/>
      <c r="G5543" s="2587" t="s">
        <v>2792</v>
      </c>
      <c r="H5543" s="2273"/>
      <c r="I5543" s="2273"/>
      <c r="J5543" s="2273"/>
      <c r="K5543" s="1475">
        <f t="shared" si="596"/>
        <v>0</v>
      </c>
      <c r="L5543" s="2209"/>
      <c r="M5543" s="2210"/>
      <c r="N5543" s="2208"/>
      <c r="O5543" s="2209"/>
      <c r="P5543" s="2210"/>
      <c r="Q5543" s="442"/>
      <c r="R5543" s="442"/>
      <c r="S5543" s="364"/>
      <c r="Z5543" s="609" t="s">
        <v>2129</v>
      </c>
      <c r="AA5543" s="609" t="s">
        <v>19</v>
      </c>
      <c r="AE5543" s="369" t="s">
        <v>2761</v>
      </c>
    </row>
    <row r="5544" spans="1:31" ht="24" hidden="1">
      <c r="A5544" s="2712"/>
      <c r="B5544" s="371">
        <v>138</v>
      </c>
      <c r="C5544" s="371"/>
      <c r="D5544" s="2714">
        <f t="shared" si="593"/>
        <v>1</v>
      </c>
      <c r="E5544" s="2719">
        <v>1</v>
      </c>
      <c r="F5544" s="293"/>
      <c r="G5544" s="1472" t="s">
        <v>4560</v>
      </c>
      <c r="H5544" s="1474">
        <f>SUM(H5542:H5543)</f>
        <v>0</v>
      </c>
      <c r="I5544" s="1474">
        <f t="shared" ref="I5544:J5544" si="604">SUM(I5542:I5543)</f>
        <v>0</v>
      </c>
      <c r="J5544" s="1474">
        <f t="shared" si="604"/>
        <v>0</v>
      </c>
      <c r="K5544" s="1475">
        <f t="shared" si="596"/>
        <v>0</v>
      </c>
      <c r="L5544" s="2209"/>
      <c r="M5544" s="2210"/>
      <c r="N5544" s="2208"/>
      <c r="O5544" s="2209"/>
      <c r="P5544" s="2210"/>
      <c r="Q5544" s="442"/>
      <c r="R5544" s="442"/>
      <c r="S5544" s="364"/>
      <c r="Z5544" s="609" t="s">
        <v>2129</v>
      </c>
      <c r="AA5544" s="609" t="s">
        <v>19</v>
      </c>
      <c r="AE5544" s="369" t="s">
        <v>2761</v>
      </c>
    </row>
    <row r="5545" spans="1:31" ht="18" hidden="1">
      <c r="A5545" s="2712"/>
      <c r="B5545" s="371">
        <v>139</v>
      </c>
      <c r="C5545" s="371" t="s">
        <v>2791</v>
      </c>
      <c r="D5545" s="2714">
        <f t="shared" si="593"/>
        <v>0</v>
      </c>
      <c r="E5545" s="2719">
        <v>1</v>
      </c>
      <c r="F5545" s="293"/>
      <c r="G5545" s="2587" t="s">
        <v>2792</v>
      </c>
      <c r="H5545" s="2273"/>
      <c r="I5545" s="2273"/>
      <c r="J5545" s="2273"/>
      <c r="K5545" s="1475">
        <f t="shared" si="596"/>
        <v>0</v>
      </c>
      <c r="L5545" s="2209"/>
      <c r="M5545" s="2210"/>
      <c r="N5545" s="2208"/>
      <c r="O5545" s="2209"/>
      <c r="P5545" s="2210"/>
      <c r="Q5545" s="442"/>
      <c r="R5545" s="442"/>
      <c r="S5545" s="364"/>
      <c r="Z5545" s="609" t="s">
        <v>2129</v>
      </c>
      <c r="AA5545" s="609" t="s">
        <v>19</v>
      </c>
      <c r="AE5545" s="369" t="s">
        <v>2761</v>
      </c>
    </row>
    <row r="5546" spans="1:31" ht="18" hidden="1">
      <c r="A5546" s="2712"/>
      <c r="B5546" s="371">
        <v>140</v>
      </c>
      <c r="C5546" s="371" t="s">
        <v>6530</v>
      </c>
      <c r="D5546" s="2714">
        <f t="shared" si="593"/>
        <v>0</v>
      </c>
      <c r="E5546" s="2719">
        <v>1</v>
      </c>
      <c r="F5546" s="293"/>
      <c r="G5546" s="2587" t="s">
        <v>2792</v>
      </c>
      <c r="H5546" s="2273"/>
      <c r="I5546" s="2273"/>
      <c r="J5546" s="2273"/>
      <c r="K5546" s="1475">
        <f t="shared" si="596"/>
        <v>0</v>
      </c>
      <c r="L5546" s="2209"/>
      <c r="M5546" s="2210"/>
      <c r="N5546" s="2208"/>
      <c r="O5546" s="2209"/>
      <c r="P5546" s="2210"/>
      <c r="Q5546" s="442"/>
      <c r="R5546" s="442"/>
      <c r="S5546" s="364"/>
      <c r="Z5546" s="609" t="s">
        <v>2129</v>
      </c>
      <c r="AA5546" s="609" t="s">
        <v>19</v>
      </c>
      <c r="AE5546" s="369" t="s">
        <v>2761</v>
      </c>
    </row>
    <row r="5547" spans="1:31" ht="24" hidden="1">
      <c r="A5547" s="2712"/>
      <c r="B5547" s="371">
        <v>141</v>
      </c>
      <c r="C5547" s="371"/>
      <c r="D5547" s="2714">
        <f t="shared" si="593"/>
        <v>1</v>
      </c>
      <c r="E5547" s="2719">
        <v>1</v>
      </c>
      <c r="F5547" s="293"/>
      <c r="G5547" s="1472" t="s">
        <v>4561</v>
      </c>
      <c r="H5547" s="1474">
        <f>SUM(H5545:H5546)</f>
        <v>0</v>
      </c>
      <c r="I5547" s="1474">
        <f t="shared" ref="I5547:J5547" si="605">SUM(I5545:I5546)</f>
        <v>0</v>
      </c>
      <c r="J5547" s="1474">
        <f t="shared" si="605"/>
        <v>0</v>
      </c>
      <c r="K5547" s="1475">
        <f t="shared" si="596"/>
        <v>0</v>
      </c>
      <c r="L5547" s="2209"/>
      <c r="M5547" s="2210"/>
      <c r="N5547" s="2208"/>
      <c r="O5547" s="2209"/>
      <c r="P5547" s="2210"/>
      <c r="Q5547" s="442"/>
      <c r="R5547" s="442"/>
      <c r="S5547" s="364"/>
      <c r="Z5547" s="609" t="s">
        <v>2129</v>
      </c>
      <c r="AA5547" s="609" t="s">
        <v>19</v>
      </c>
      <c r="AE5547" s="369" t="s">
        <v>2761</v>
      </c>
    </row>
    <row r="5548" spans="1:31" ht="18.75" hidden="1" thickBot="1">
      <c r="A5548" s="2712"/>
      <c r="B5548" s="371"/>
      <c r="C5548" s="371"/>
      <c r="D5548" s="2714">
        <f t="shared" si="593"/>
        <v>0</v>
      </c>
      <c r="E5548" s="2719" t="s">
        <v>3595</v>
      </c>
      <c r="F5548" s="293"/>
      <c r="G5548" s="2620"/>
      <c r="H5548" s="2622"/>
      <c r="I5548" s="2622"/>
      <c r="J5548" s="2622"/>
      <c r="K5548" s="2621"/>
      <c r="L5548" s="2209"/>
      <c r="M5548" s="2210"/>
      <c r="N5548" s="2208"/>
      <c r="O5548" s="2209"/>
      <c r="P5548" s="2210"/>
      <c r="Q5548" s="442"/>
      <c r="R5548" s="442"/>
      <c r="S5548" s="364"/>
      <c r="Z5548" s="609" t="s">
        <v>2129</v>
      </c>
      <c r="AA5548" s="609" t="s">
        <v>19</v>
      </c>
      <c r="AE5548" s="369" t="s">
        <v>2761</v>
      </c>
    </row>
    <row r="5549" spans="1:31" ht="18" hidden="1">
      <c r="A5549" s="2712"/>
      <c r="B5549" s="371"/>
      <c r="C5549" s="371" t="s">
        <v>2755</v>
      </c>
      <c r="D5549" s="2714"/>
      <c r="F5549" s="293"/>
      <c r="G5549" s="376"/>
      <c r="H5549" s="1574"/>
      <c r="I5549" s="396"/>
      <c r="J5549" s="315"/>
      <c r="K5549" s="423"/>
      <c r="L5549" s="2209"/>
      <c r="M5549" s="2210"/>
      <c r="N5549" s="2208"/>
      <c r="O5549" s="2209"/>
      <c r="P5549" s="2210"/>
      <c r="Q5549" s="442"/>
      <c r="R5549" s="442"/>
      <c r="S5549" s="364"/>
      <c r="Z5549" s="609" t="s">
        <v>2129</v>
      </c>
      <c r="AA5549" s="609" t="s">
        <v>19</v>
      </c>
      <c r="AE5549" s="369" t="s">
        <v>2761</v>
      </c>
    </row>
    <row r="5550" spans="1:31" ht="48">
      <c r="A5550" s="2712" t="s">
        <v>2149</v>
      </c>
      <c r="B5550" s="371">
        <v>2</v>
      </c>
      <c r="C5550" s="371"/>
      <c r="D5550" s="2714" t="str">
        <f>VLOOKUP($A5550,Sheet_NoteList,2,0)</f>
        <v>持续和非持续第二层次公允价值计量项目采用的估值技术和重要参数的定性及定量信息</v>
      </c>
      <c r="E5550" s="2714" t="s">
        <v>2742</v>
      </c>
      <c r="F5550" s="293"/>
      <c r="G5550" s="372" t="str">
        <f>"("&amp;B5550&amp;")"&amp;D5550</f>
        <v>(2)持续和非持续第二层次公允价值计量项目采用的估值技术和重要参数的定性及定量信息</v>
      </c>
      <c r="H5550" s="1515" t="str">
        <f>$A5550</f>
        <v>9331i</v>
      </c>
      <c r="I5550" s="343" t="s">
        <v>2743</v>
      </c>
      <c r="J5550" s="301" t="s">
        <v>2744</v>
      </c>
      <c r="K5550" s="2208">
        <f>H5557</f>
        <v>0</v>
      </c>
      <c r="L5550" s="349"/>
      <c r="M5550" s="301"/>
      <c r="N5550" s="391"/>
      <c r="O5550" s="349"/>
      <c r="P5550" s="301"/>
      <c r="S5550" s="364"/>
      <c r="Z5550" s="609" t="s">
        <v>2129</v>
      </c>
      <c r="AA5550" s="609" t="s">
        <v>19</v>
      </c>
    </row>
    <row r="5551" spans="1:31" ht="0.75" customHeight="1" thickBot="1">
      <c r="A5551" s="2712"/>
      <c r="B5551" s="371"/>
      <c r="C5551" s="371"/>
      <c r="D5551" s="2714"/>
      <c r="E5551" s="586"/>
      <c r="F5551" s="586"/>
      <c r="G5551" s="2222" t="s">
        <v>4562</v>
      </c>
      <c r="H5551" s="371" t="s">
        <v>2747</v>
      </c>
      <c r="I5551" s="371" t="s">
        <v>4563</v>
      </c>
      <c r="J5551" s="371" t="s">
        <v>4564</v>
      </c>
      <c r="K5551" s="428"/>
      <c r="L5551" s="428"/>
      <c r="M5551" s="433"/>
      <c r="N5551" s="428"/>
      <c r="O5551" s="428"/>
      <c r="P5551" s="433"/>
      <c r="Q5551" s="442"/>
      <c r="R5551" s="443"/>
      <c r="S5551" s="364"/>
      <c r="Z5551" s="609" t="s">
        <v>2129</v>
      </c>
      <c r="AA5551" s="609" t="s">
        <v>19</v>
      </c>
    </row>
    <row r="5552" spans="1:31" ht="24">
      <c r="A5552" s="2712"/>
      <c r="B5552" s="371"/>
      <c r="C5552" s="371"/>
      <c r="D5552" s="2714"/>
      <c r="E5552" s="586" t="s">
        <v>2749</v>
      </c>
      <c r="F5552" s="414"/>
      <c r="G5552" s="2451" t="s">
        <v>4565</v>
      </c>
      <c r="H5552" s="2459" t="str">
        <f>$W$2&amp;"公允价值"</f>
        <v>2019年12月31日公允价值</v>
      </c>
      <c r="I5552" s="2459" t="s">
        <v>4566</v>
      </c>
      <c r="J5552" s="2460" t="s">
        <v>4567</v>
      </c>
      <c r="K5552" s="355" t="s">
        <v>5347</v>
      </c>
      <c r="L5552" s="434"/>
      <c r="M5552" s="435"/>
      <c r="N5552" s="434"/>
      <c r="O5552" s="434"/>
      <c r="P5552" s="435"/>
      <c r="Q5552" s="442"/>
      <c r="R5552" s="443"/>
      <c r="S5552" s="364"/>
      <c r="Z5552" s="609" t="s">
        <v>2129</v>
      </c>
      <c r="AA5552" s="609" t="s">
        <v>19</v>
      </c>
    </row>
    <row r="5553" spans="1:27" ht="18">
      <c r="A5553" s="2712"/>
      <c r="B5553" s="371">
        <v>101</v>
      </c>
      <c r="C5553" s="371"/>
      <c r="D5553" s="2714">
        <f>IF(OR(G5553="*",G5553="",G5553=0),0,COUNTIF($G$5553:$G$5557,G5553))</f>
        <v>1</v>
      </c>
      <c r="E5553" s="2719" t="s">
        <v>41</v>
      </c>
      <c r="F5553" s="293"/>
      <c r="G5553" s="1472" t="s">
        <v>4568</v>
      </c>
      <c r="H5553" s="2273"/>
      <c r="I5553" s="2296"/>
      <c r="J5553" s="2274"/>
      <c r="K5553" s="439"/>
      <c r="L5553" s="437"/>
      <c r="M5553" s="438"/>
      <c r="N5553" s="439"/>
      <c r="O5553" s="437"/>
      <c r="P5553" s="438"/>
      <c r="Q5553" s="442"/>
      <c r="R5553" s="443"/>
      <c r="S5553" s="364"/>
      <c r="Z5553" s="609" t="s">
        <v>2129</v>
      </c>
      <c r="AA5553" s="609" t="s">
        <v>19</v>
      </c>
    </row>
    <row r="5554" spans="1:27" ht="38.25">
      <c r="A5554" s="2712"/>
      <c r="B5554" s="371">
        <v>102</v>
      </c>
      <c r="C5554" s="371"/>
      <c r="D5554" s="2714">
        <f>IF(OR(G5554="*",G5554="",G5554=0),0,COUNTIF($G$5553:$G$5557,G5554))</f>
        <v>1</v>
      </c>
      <c r="E5554" s="2719">
        <v>1</v>
      </c>
      <c r="F5554" s="293"/>
      <c r="G5554" s="1472" t="s">
        <v>90</v>
      </c>
      <c r="H5554" s="2273"/>
      <c r="I5554" s="2296" t="s">
        <v>4569</v>
      </c>
      <c r="J5554" s="2492" t="s">
        <v>4570</v>
      </c>
      <c r="K5554" s="439"/>
      <c r="L5554" s="437"/>
      <c r="M5554" s="438"/>
      <c r="N5554" s="439"/>
      <c r="O5554" s="437"/>
      <c r="P5554" s="438"/>
      <c r="Q5554" s="442"/>
      <c r="R5554" s="443"/>
      <c r="S5554" s="364"/>
      <c r="Z5554" s="609" t="s">
        <v>2129</v>
      </c>
      <c r="AA5554" s="609" t="s">
        <v>19</v>
      </c>
    </row>
    <row r="5555" spans="1:27" ht="38.25">
      <c r="A5555" s="2712"/>
      <c r="B5555" s="371">
        <v>103</v>
      </c>
      <c r="C5555" s="371"/>
      <c r="D5555" s="2714">
        <f>IF(OR(G5555="*",G5555="",G5555=0),0,COUNTIF($G$5553:$G$5557,G5555))</f>
        <v>1</v>
      </c>
      <c r="E5555" s="2719">
        <v>1</v>
      </c>
      <c r="F5555" s="293"/>
      <c r="G5555" s="1472" t="s">
        <v>467</v>
      </c>
      <c r="H5555" s="2273"/>
      <c r="I5555" s="2296" t="s">
        <v>4569</v>
      </c>
      <c r="J5555" s="2492" t="s">
        <v>4570</v>
      </c>
      <c r="K5555" s="439"/>
      <c r="L5555" s="437"/>
      <c r="M5555" s="438"/>
      <c r="N5555" s="439"/>
      <c r="O5555" s="437"/>
      <c r="P5555" s="438"/>
      <c r="Q5555" s="442"/>
      <c r="R5555" s="443"/>
      <c r="S5555" s="364"/>
      <c r="Z5555" s="609" t="s">
        <v>2129</v>
      </c>
      <c r="AA5555" s="609" t="s">
        <v>19</v>
      </c>
    </row>
    <row r="5556" spans="1:27" ht="18">
      <c r="A5556" s="2712"/>
      <c r="B5556" s="371">
        <v>104</v>
      </c>
      <c r="C5556" s="371" t="s">
        <v>2791</v>
      </c>
      <c r="D5556" s="2714">
        <f>IF(OR(G5556="*",G5556="",G5556=0),0,COUNTIF($G$5553:$G$5557,G5556))</f>
        <v>0</v>
      </c>
      <c r="E5556" s="2719">
        <v>1</v>
      </c>
      <c r="F5556" s="293"/>
      <c r="G5556" s="2465" t="s">
        <v>2792</v>
      </c>
      <c r="H5556" s="2273"/>
      <c r="I5556" s="2296"/>
      <c r="J5556" s="2274"/>
      <c r="K5556" s="439"/>
      <c r="L5556" s="437"/>
      <c r="M5556" s="438"/>
      <c r="N5556" s="439"/>
      <c r="O5556" s="437"/>
      <c r="P5556" s="438"/>
      <c r="Q5556" s="442"/>
      <c r="R5556" s="443"/>
      <c r="S5556" s="364"/>
      <c r="Z5556" s="609" t="s">
        <v>2129</v>
      </c>
      <c r="AA5556" s="609" t="s">
        <v>19</v>
      </c>
    </row>
    <row r="5557" spans="1:27" ht="18.75" thickBot="1">
      <c r="A5557" s="2712"/>
      <c r="B5557" s="371"/>
      <c r="C5557" s="371"/>
      <c r="D5557" s="2714">
        <f>IF(OR(G5557="*",G5557="",G5557=0),0,COUNTIF($G$5553:$G$5557,G5557))</f>
        <v>0</v>
      </c>
      <c r="E5557" s="2719" t="s">
        <v>6553</v>
      </c>
      <c r="F5557" s="293"/>
      <c r="G5557" s="2427"/>
      <c r="H5557" s="2306"/>
      <c r="I5557" s="2239"/>
      <c r="J5557" s="2242"/>
      <c r="K5557" s="439"/>
      <c r="L5557" s="437"/>
      <c r="M5557" s="440"/>
      <c r="N5557" s="439"/>
      <c r="O5557" s="437"/>
      <c r="P5557" s="440"/>
      <c r="Q5557" s="442"/>
      <c r="R5557" s="443"/>
      <c r="S5557" s="364"/>
      <c r="Z5557" s="609" t="s">
        <v>2129</v>
      </c>
      <c r="AA5557" s="609" t="s">
        <v>19</v>
      </c>
    </row>
    <row r="5558" spans="1:27" ht="18">
      <c r="A5558" s="2712"/>
      <c r="B5558" s="371"/>
      <c r="C5558" s="371" t="s">
        <v>2755</v>
      </c>
      <c r="D5558" s="2714"/>
      <c r="F5558" s="293"/>
      <c r="G5558" s="376"/>
      <c r="H5558" s="315"/>
      <c r="I5558" s="432"/>
      <c r="J5558" s="393"/>
      <c r="K5558" s="426"/>
      <c r="L5558" s="427"/>
      <c r="M5558" s="425"/>
      <c r="N5558" s="426"/>
      <c r="O5558" s="427"/>
      <c r="P5558" s="425"/>
      <c r="Q5558" s="442"/>
      <c r="R5558" s="443"/>
      <c r="S5558" s="364"/>
      <c r="Z5558" s="609" t="s">
        <v>2129</v>
      </c>
      <c r="AA5558" s="609" t="s">
        <v>19</v>
      </c>
    </row>
    <row r="5559" spans="1:27" ht="48">
      <c r="A5559" s="2712" t="s">
        <v>2160</v>
      </c>
      <c r="B5559" s="371">
        <v>3</v>
      </c>
      <c r="C5559" s="371"/>
      <c r="D5559" s="2714" t="str">
        <f>VLOOKUP($A5559,Sheet_NoteList,2,0)</f>
        <v>持续和非持续第三层次公允价值计量项目采用的估值技术和重要参数的定性及定量信息</v>
      </c>
      <c r="E5559" s="2714" t="s">
        <v>2742</v>
      </c>
      <c r="F5559" s="293"/>
      <c r="G5559" s="372" t="str">
        <f>"("&amp;B5559&amp;")"&amp;D5559</f>
        <v>(3)持续和非持续第三层次公允价值计量项目采用的估值技术和重要参数的定性及定量信息</v>
      </c>
      <c r="H5559" s="1515" t="str">
        <f>$A5559</f>
        <v>9331j</v>
      </c>
      <c r="I5559" s="343" t="s">
        <v>2743</v>
      </c>
      <c r="J5559" s="368" t="s">
        <v>2744</v>
      </c>
      <c r="K5559" s="2208">
        <f>H5575</f>
        <v>0</v>
      </c>
      <c r="L5559" s="349"/>
      <c r="M5559" s="301"/>
      <c r="N5559" s="391"/>
      <c r="O5559" s="349"/>
      <c r="P5559" s="301"/>
      <c r="S5559" s="364"/>
      <c r="Z5559" s="609" t="s">
        <v>2129</v>
      </c>
      <c r="AA5559" s="609" t="s">
        <v>19</v>
      </c>
    </row>
    <row r="5560" spans="1:27" ht="0.75" customHeight="1" thickBot="1">
      <c r="A5560" s="2712"/>
      <c r="B5560" s="371"/>
      <c r="C5560" s="371"/>
      <c r="D5560" s="2714"/>
      <c r="F5560" s="371"/>
      <c r="G5560" s="405" t="s">
        <v>4571</v>
      </c>
      <c r="H5560" s="371" t="s">
        <v>2747</v>
      </c>
      <c r="I5560" s="371" t="s">
        <v>4572</v>
      </c>
      <c r="J5560" s="371" t="s">
        <v>3671</v>
      </c>
      <c r="K5560" s="547" t="s">
        <v>4472</v>
      </c>
      <c r="L5560" s="428"/>
      <c r="M5560" s="433"/>
      <c r="N5560" s="428"/>
      <c r="O5560" s="428"/>
      <c r="P5560" s="433"/>
      <c r="Q5560" s="442"/>
      <c r="R5560" s="443"/>
      <c r="S5560" s="364"/>
      <c r="Z5560" s="609" t="s">
        <v>2129</v>
      </c>
      <c r="AA5560" s="609" t="s">
        <v>19</v>
      </c>
    </row>
    <row r="5561" spans="1:27" ht="25.5">
      <c r="A5561" s="2712"/>
      <c r="B5561" s="371"/>
      <c r="C5561" s="371"/>
      <c r="D5561" s="2714"/>
      <c r="E5561" s="2714" t="s">
        <v>2749</v>
      </c>
      <c r="F5561" s="293"/>
      <c r="G5561" s="2452" t="s">
        <v>4573</v>
      </c>
      <c r="H5561" s="2459" t="str">
        <f>$W$2&amp;"公允价值"</f>
        <v>2019年12月31日公允价值</v>
      </c>
      <c r="I5561" s="2459" t="s">
        <v>4566</v>
      </c>
      <c r="J5561" s="2459" t="s">
        <v>4574</v>
      </c>
      <c r="K5561" s="2468" t="s">
        <v>4575</v>
      </c>
      <c r="L5561" s="355" t="s">
        <v>5347</v>
      </c>
      <c r="M5561" s="435"/>
      <c r="N5561" s="434"/>
      <c r="O5561" s="434"/>
      <c r="P5561" s="435"/>
      <c r="Q5561" s="442"/>
      <c r="R5561" s="443"/>
      <c r="S5561" s="364"/>
      <c r="Z5561" s="609" t="s">
        <v>2129</v>
      </c>
      <c r="AA5561" s="609" t="s">
        <v>19</v>
      </c>
    </row>
    <row r="5562" spans="1:27" ht="18">
      <c r="A5562" s="2712"/>
      <c r="B5562" s="371">
        <v>101</v>
      </c>
      <c r="C5562" s="371"/>
      <c r="D5562" s="2714">
        <f t="shared" ref="D5562:D5575" si="606">IF(OR(G5562="*",G5562="",G5562=0),0,COUNTIF($G$5562:$G$5575,G5562))</f>
        <v>1</v>
      </c>
      <c r="E5562" s="2719">
        <v>1</v>
      </c>
      <c r="F5562" s="293"/>
      <c r="G5562" s="319" t="s">
        <v>3479</v>
      </c>
      <c r="H5562" s="309"/>
      <c r="I5562" s="430"/>
      <c r="J5562" s="360"/>
      <c r="K5562" s="436"/>
      <c r="L5562" s="437"/>
      <c r="M5562" s="438"/>
      <c r="N5562" s="439"/>
      <c r="O5562" s="437"/>
      <c r="P5562" s="438"/>
      <c r="Q5562" s="442"/>
      <c r="R5562" s="443"/>
      <c r="S5562" s="364"/>
      <c r="Z5562" s="609" t="s">
        <v>2129</v>
      </c>
      <c r="AA5562" s="609" t="s">
        <v>19</v>
      </c>
    </row>
    <row r="5563" spans="1:27" ht="51">
      <c r="A5563" s="2712"/>
      <c r="B5563" s="371">
        <v>102</v>
      </c>
      <c r="C5563" s="371"/>
      <c r="D5563" s="2714">
        <f t="shared" si="606"/>
        <v>1</v>
      </c>
      <c r="E5563" s="2719">
        <v>1</v>
      </c>
      <c r="F5563" s="293"/>
      <c r="G5563" s="1516" t="s">
        <v>4576</v>
      </c>
      <c r="H5563" s="309"/>
      <c r="I5563" s="624" t="s">
        <v>4577</v>
      </c>
      <c r="J5563" s="624" t="s">
        <v>4578</v>
      </c>
      <c r="K5563" s="623" t="s">
        <v>4579</v>
      </c>
      <c r="L5563" s="437"/>
      <c r="M5563" s="438"/>
      <c r="N5563" s="439"/>
      <c r="O5563" s="437"/>
      <c r="P5563" s="438"/>
      <c r="Q5563" s="442"/>
      <c r="R5563" s="443"/>
      <c r="S5563" s="364"/>
      <c r="Z5563" s="609" t="s">
        <v>2129</v>
      </c>
      <c r="AA5563" s="609" t="s">
        <v>19</v>
      </c>
    </row>
    <row r="5564" spans="1:27" ht="76.5">
      <c r="A5564" s="2712"/>
      <c r="B5564" s="371">
        <v>103</v>
      </c>
      <c r="C5564" s="371"/>
      <c r="D5564" s="2714">
        <f t="shared" si="606"/>
        <v>1</v>
      </c>
      <c r="E5564" s="2719">
        <v>1</v>
      </c>
      <c r="F5564" s="293"/>
      <c r="G5564" s="1516" t="s">
        <v>5358</v>
      </c>
      <c r="H5564" s="309"/>
      <c r="I5564" s="624" t="s">
        <v>4580</v>
      </c>
      <c r="J5564" s="624" t="s">
        <v>4581</v>
      </c>
      <c r="K5564" s="623" t="s">
        <v>4582</v>
      </c>
      <c r="L5564" s="437"/>
      <c r="M5564" s="438"/>
      <c r="N5564" s="439"/>
      <c r="O5564" s="437"/>
      <c r="P5564" s="438"/>
      <c r="Q5564" s="442"/>
      <c r="R5564" s="443"/>
      <c r="S5564" s="364"/>
      <c r="Z5564" s="609" t="s">
        <v>2129</v>
      </c>
      <c r="AA5564" s="609" t="s">
        <v>19</v>
      </c>
    </row>
    <row r="5565" spans="1:27" ht="18">
      <c r="A5565" s="2712"/>
      <c r="B5565" s="371">
        <v>104</v>
      </c>
      <c r="C5565" s="371"/>
      <c r="D5565" s="2714">
        <f t="shared" si="606"/>
        <v>1</v>
      </c>
      <c r="E5565" s="2719">
        <v>1</v>
      </c>
      <c r="F5565" s="293"/>
      <c r="G5565" s="319" t="s">
        <v>4583</v>
      </c>
      <c r="H5565" s="309"/>
      <c r="I5565" s="624" t="s">
        <v>4584</v>
      </c>
      <c r="J5565" s="624" t="s">
        <v>2760</v>
      </c>
      <c r="K5565" s="623" t="s">
        <v>4585</v>
      </c>
      <c r="L5565" s="437"/>
      <c r="M5565" s="438"/>
      <c r="N5565" s="439"/>
      <c r="O5565" s="437"/>
      <c r="P5565" s="438"/>
      <c r="Q5565" s="442"/>
      <c r="R5565" s="443"/>
      <c r="S5565" s="364"/>
      <c r="Z5565" s="609" t="s">
        <v>2129</v>
      </c>
      <c r="AA5565" s="609" t="s">
        <v>19</v>
      </c>
    </row>
    <row r="5566" spans="1:27" ht="18">
      <c r="A5566" s="2712"/>
      <c r="B5566" s="371">
        <v>105</v>
      </c>
      <c r="C5566" s="371"/>
      <c r="D5566" s="2714">
        <f t="shared" si="606"/>
        <v>1</v>
      </c>
      <c r="E5566" s="2719" t="s">
        <v>41</v>
      </c>
      <c r="F5566" s="293"/>
      <c r="G5566" s="319" t="s">
        <v>4586</v>
      </c>
      <c r="H5566" s="309"/>
      <c r="I5566" s="624"/>
      <c r="J5566" s="624"/>
      <c r="K5566" s="623"/>
      <c r="L5566" s="437"/>
      <c r="M5566" s="438"/>
      <c r="N5566" s="439"/>
      <c r="O5566" s="437"/>
      <c r="P5566" s="438"/>
      <c r="Q5566" s="442"/>
      <c r="R5566" s="443"/>
      <c r="S5566" s="364"/>
      <c r="Z5566" s="609" t="s">
        <v>2129</v>
      </c>
      <c r="AA5566" s="609" t="s">
        <v>19</v>
      </c>
    </row>
    <row r="5567" spans="1:27" ht="51">
      <c r="A5567" s="2712"/>
      <c r="B5567" s="371">
        <v>106</v>
      </c>
      <c r="C5567" s="371"/>
      <c r="D5567" s="2714">
        <f t="shared" si="606"/>
        <v>1</v>
      </c>
      <c r="E5567" s="2719">
        <v>1</v>
      </c>
      <c r="F5567" s="293"/>
      <c r="G5567" s="319" t="s">
        <v>4587</v>
      </c>
      <c r="H5567" s="309"/>
      <c r="I5567" s="624" t="s">
        <v>4580</v>
      </c>
      <c r="J5567" s="624" t="s">
        <v>4588</v>
      </c>
      <c r="K5567" s="623" t="s">
        <v>4589</v>
      </c>
      <c r="L5567" s="437"/>
      <c r="M5567" s="438"/>
      <c r="N5567" s="439"/>
      <c r="O5567" s="437"/>
      <c r="P5567" s="438"/>
      <c r="Q5567" s="442"/>
      <c r="R5567" s="443"/>
      <c r="S5567" s="364"/>
      <c r="Z5567" s="609" t="s">
        <v>2129</v>
      </c>
      <c r="AA5567" s="609" t="s">
        <v>19</v>
      </c>
    </row>
    <row r="5568" spans="1:27" ht="25.5">
      <c r="A5568" s="2712"/>
      <c r="B5568" s="371">
        <v>107</v>
      </c>
      <c r="C5568" s="371"/>
      <c r="D5568" s="2714">
        <f t="shared" si="606"/>
        <v>1</v>
      </c>
      <c r="E5568" s="2719">
        <v>1</v>
      </c>
      <c r="F5568" s="293"/>
      <c r="G5568" s="319" t="s">
        <v>4590</v>
      </c>
      <c r="H5568" s="309"/>
      <c r="I5568" s="624" t="s">
        <v>4591</v>
      </c>
      <c r="J5568" s="624" t="s">
        <v>4592</v>
      </c>
      <c r="K5568" s="623" t="s">
        <v>4593</v>
      </c>
      <c r="L5568" s="437"/>
      <c r="M5568" s="438"/>
      <c r="N5568" s="439"/>
      <c r="O5568" s="437"/>
      <c r="P5568" s="438"/>
      <c r="Q5568" s="442"/>
      <c r="R5568" s="443"/>
      <c r="S5568" s="364"/>
      <c r="Z5568" s="609" t="s">
        <v>2129</v>
      </c>
      <c r="AA5568" s="609" t="s">
        <v>19</v>
      </c>
    </row>
    <row r="5569" spans="1:27" ht="18">
      <c r="A5569" s="2712"/>
      <c r="B5569" s="371">
        <v>108</v>
      </c>
      <c r="C5569" s="371"/>
      <c r="D5569" s="2714">
        <f t="shared" si="606"/>
        <v>1</v>
      </c>
      <c r="E5569" s="2719" t="s">
        <v>41</v>
      </c>
      <c r="F5569" s="293"/>
      <c r="G5569" s="319" t="s">
        <v>4568</v>
      </c>
      <c r="H5569" s="309"/>
      <c r="I5569" s="624"/>
      <c r="J5569" s="624"/>
      <c r="K5569" s="623"/>
      <c r="L5569" s="437"/>
      <c r="M5569" s="438"/>
      <c r="N5569" s="439"/>
      <c r="O5569" s="437"/>
      <c r="P5569" s="438"/>
      <c r="Q5569" s="442"/>
      <c r="R5569" s="443"/>
      <c r="S5569" s="364"/>
      <c r="Z5569" s="609" t="s">
        <v>2129</v>
      </c>
      <c r="AA5569" s="609" t="s">
        <v>19</v>
      </c>
    </row>
    <row r="5570" spans="1:27" ht="38.25">
      <c r="A5570" s="2712"/>
      <c r="B5570" s="371">
        <v>109</v>
      </c>
      <c r="C5570" s="371"/>
      <c r="D5570" s="2714">
        <f t="shared" si="606"/>
        <v>1</v>
      </c>
      <c r="E5570" s="2719">
        <v>1</v>
      </c>
      <c r="F5570" s="293"/>
      <c r="G5570" s="319" t="s">
        <v>4594</v>
      </c>
      <c r="H5570" s="309"/>
      <c r="I5570" s="624" t="s">
        <v>4595</v>
      </c>
      <c r="J5570" s="624" t="s">
        <v>4596</v>
      </c>
      <c r="K5570" s="623" t="s">
        <v>4597</v>
      </c>
      <c r="L5570" s="437"/>
      <c r="M5570" s="438"/>
      <c r="N5570" s="439"/>
      <c r="O5570" s="437"/>
      <c r="P5570" s="438"/>
      <c r="Q5570" s="442"/>
      <c r="R5570" s="443"/>
      <c r="S5570" s="364"/>
      <c r="Z5570" s="609" t="s">
        <v>2129</v>
      </c>
      <c r="AA5570" s="609" t="s">
        <v>19</v>
      </c>
    </row>
    <row r="5571" spans="1:27" ht="18">
      <c r="A5571" s="2712"/>
      <c r="B5571" s="371">
        <v>110</v>
      </c>
      <c r="C5571" s="371"/>
      <c r="D5571" s="2714">
        <f t="shared" si="606"/>
        <v>1</v>
      </c>
      <c r="E5571" s="2719" t="s">
        <v>41</v>
      </c>
      <c r="F5571" s="293"/>
      <c r="G5571" s="319" t="s">
        <v>4598</v>
      </c>
      <c r="H5571" s="309"/>
      <c r="I5571" s="624"/>
      <c r="J5571" s="624"/>
      <c r="K5571" s="623"/>
      <c r="L5571" s="437"/>
      <c r="M5571" s="438"/>
      <c r="N5571" s="439"/>
      <c r="O5571" s="437"/>
      <c r="P5571" s="438"/>
      <c r="Q5571" s="442"/>
      <c r="R5571" s="443"/>
      <c r="S5571" s="364"/>
      <c r="Z5571" s="609" t="s">
        <v>2129</v>
      </c>
      <c r="AA5571" s="609" t="s">
        <v>19</v>
      </c>
    </row>
    <row r="5572" spans="1:27" ht="51">
      <c r="A5572" s="2712"/>
      <c r="B5572" s="371">
        <v>111</v>
      </c>
      <c r="C5572" s="371"/>
      <c r="D5572" s="2714">
        <f t="shared" si="606"/>
        <v>1</v>
      </c>
      <c r="E5572" s="2719">
        <v>1</v>
      </c>
      <c r="F5572" s="293"/>
      <c r="G5572" s="3586" t="s">
        <v>4599</v>
      </c>
      <c r="H5572" s="309"/>
      <c r="I5572" s="624" t="s">
        <v>4580</v>
      </c>
      <c r="J5572" s="624" t="s">
        <v>4600</v>
      </c>
      <c r="K5572" s="623" t="s">
        <v>4601</v>
      </c>
      <c r="L5572" s="437"/>
      <c r="M5572" s="438"/>
      <c r="N5572" s="439"/>
      <c r="O5572" s="437"/>
      <c r="P5572" s="438"/>
      <c r="Q5572" s="442"/>
      <c r="R5572" s="443"/>
      <c r="S5572" s="364"/>
      <c r="Z5572" s="609" t="s">
        <v>2129</v>
      </c>
      <c r="AA5572" s="609" t="s">
        <v>19</v>
      </c>
    </row>
    <row r="5573" spans="1:27" ht="25.5">
      <c r="A5573" s="2712"/>
      <c r="B5573" s="371">
        <v>112</v>
      </c>
      <c r="C5573" s="371"/>
      <c r="D5573" s="2714">
        <f t="shared" si="606"/>
        <v>0</v>
      </c>
      <c r="E5573" s="2719">
        <v>1</v>
      </c>
      <c r="F5573" s="293"/>
      <c r="G5573" s="3586"/>
      <c r="H5573" s="309"/>
      <c r="I5573" s="624" t="s">
        <v>4602</v>
      </c>
      <c r="J5573" s="624" t="s">
        <v>4603</v>
      </c>
      <c r="K5573" s="623">
        <v>60000</v>
      </c>
      <c r="L5573" s="437"/>
      <c r="M5573" s="438"/>
      <c r="N5573" s="439"/>
      <c r="O5573" s="437"/>
      <c r="P5573" s="438"/>
      <c r="Q5573" s="442"/>
      <c r="R5573" s="443"/>
      <c r="S5573" s="364"/>
      <c r="Z5573" s="609" t="s">
        <v>2129</v>
      </c>
      <c r="AA5573" s="609" t="s">
        <v>19</v>
      </c>
    </row>
    <row r="5574" spans="1:27" ht="18">
      <c r="A5574" s="2712"/>
      <c r="B5574" s="371">
        <v>113</v>
      </c>
      <c r="C5574" s="371" t="s">
        <v>2791</v>
      </c>
      <c r="D5574" s="2714">
        <f t="shared" si="606"/>
        <v>0</v>
      </c>
      <c r="E5574" s="2719">
        <v>1</v>
      </c>
      <c r="F5574" s="293"/>
      <c r="G5574" s="319" t="s">
        <v>2792</v>
      </c>
      <c r="H5574" s="309"/>
      <c r="I5574" s="430"/>
      <c r="J5574" s="360"/>
      <c r="K5574" s="436"/>
      <c r="L5574" s="437"/>
      <c r="M5574" s="438"/>
      <c r="N5574" s="439"/>
      <c r="O5574" s="437"/>
      <c r="P5574" s="438"/>
      <c r="Q5574" s="442"/>
      <c r="R5574" s="443"/>
      <c r="S5574" s="364"/>
      <c r="Z5574" s="609" t="s">
        <v>2129</v>
      </c>
      <c r="AA5574" s="609" t="s">
        <v>19</v>
      </c>
    </row>
    <row r="5575" spans="1:27" ht="18.75" thickBot="1">
      <c r="A5575" s="2712"/>
      <c r="B5575" s="371"/>
      <c r="C5575" s="371"/>
      <c r="D5575" s="2714">
        <f t="shared" si="606"/>
        <v>0</v>
      </c>
      <c r="E5575" s="2719" t="s">
        <v>6553</v>
      </c>
      <c r="F5575" s="293"/>
      <c r="G5575" s="2232"/>
      <c r="H5575" s="2323"/>
      <c r="I5575" s="2493"/>
      <c r="J5575" s="2493"/>
      <c r="K5575" s="2494"/>
      <c r="L5575" s="437"/>
      <c r="M5575" s="440"/>
      <c r="N5575" s="439"/>
      <c r="O5575" s="437"/>
      <c r="P5575" s="440"/>
      <c r="Q5575" s="442"/>
      <c r="R5575" s="443"/>
      <c r="S5575" s="364"/>
      <c r="Z5575" s="609" t="s">
        <v>2129</v>
      </c>
      <c r="AA5575" s="609" t="s">
        <v>19</v>
      </c>
    </row>
    <row r="5576" spans="1:27" ht="18">
      <c r="A5576" s="2712"/>
      <c r="B5576" s="371"/>
      <c r="C5576" s="371" t="s">
        <v>2755</v>
      </c>
      <c r="D5576" s="2714"/>
      <c r="F5576" s="293"/>
      <c r="G5576" s="376"/>
      <c r="H5576" s="315"/>
      <c r="I5576" s="432"/>
      <c r="J5576" s="393"/>
      <c r="K5576" s="392"/>
      <c r="L5576" s="427"/>
      <c r="M5576" s="425"/>
      <c r="N5576" s="426"/>
      <c r="O5576" s="427"/>
      <c r="P5576" s="425"/>
      <c r="Q5576" s="442"/>
      <c r="R5576" s="443"/>
      <c r="S5576" s="364"/>
      <c r="Z5576" s="609" t="s">
        <v>2129</v>
      </c>
      <c r="AA5576" s="609" t="s">
        <v>19</v>
      </c>
    </row>
    <row r="5577" spans="1:27" ht="48">
      <c r="A5577" s="2712" t="s">
        <v>2144</v>
      </c>
      <c r="B5577" s="371">
        <v>4</v>
      </c>
      <c r="C5577" s="371"/>
      <c r="D5577" s="2714" t="str">
        <f>VLOOKUP($A5577,Sheet_NoteList,2,0)</f>
        <v>持续的第三层次公允价值计量项目期初与期末账面价值之间的调节信息及不可观察参数的敏感性分析</v>
      </c>
      <c r="E5577" s="2714" t="s">
        <v>2742</v>
      </c>
      <c r="F5577" s="294"/>
      <c r="G5577" s="372" t="str">
        <f>"("&amp;B5577&amp;")"&amp;D5577</f>
        <v>(4)持续的第三层次公允价值计量项目期初与期末账面价值之间的调节信息及不可观察参数的敏感性分析</v>
      </c>
      <c r="H5577" s="1515" t="str">
        <f>$A5577</f>
        <v>9331g</v>
      </c>
      <c r="I5577" s="343" t="s">
        <v>2743</v>
      </c>
      <c r="J5577" s="301"/>
      <c r="K5577" s="3083"/>
      <c r="L5577" s="315"/>
      <c r="M5577" s="301"/>
      <c r="N5577" s="3083"/>
      <c r="O5577" s="315"/>
      <c r="P5577" s="301"/>
      <c r="S5577" s="364"/>
      <c r="Z5577" s="609" t="s">
        <v>2129</v>
      </c>
      <c r="AA5577" s="609"/>
    </row>
    <row r="5578" spans="1:27" ht="0.75" customHeight="1">
      <c r="A5578" s="2712"/>
      <c r="B5578" s="371"/>
      <c r="C5578" s="371"/>
      <c r="D5578" s="371"/>
      <c r="F5578" s="371"/>
      <c r="G5578" s="371" t="s">
        <v>4634</v>
      </c>
      <c r="H5578" s="371" t="s">
        <v>4635</v>
      </c>
      <c r="I5578" s="371" t="s">
        <v>4636</v>
      </c>
      <c r="J5578" s="371" t="s">
        <v>4637</v>
      </c>
      <c r="K5578" s="371" t="s">
        <v>4638</v>
      </c>
      <c r="L5578" s="371" t="s">
        <v>4639</v>
      </c>
      <c r="M5578" s="371" t="s">
        <v>4640</v>
      </c>
      <c r="N5578" s="371" t="s">
        <v>4641</v>
      </c>
      <c r="O5578" s="371" t="s">
        <v>4642</v>
      </c>
      <c r="P5578" s="371" t="s">
        <v>4643</v>
      </c>
      <c r="Q5578" s="543" t="s">
        <v>4644</v>
      </c>
      <c r="R5578" s="543" t="s">
        <v>4645</v>
      </c>
      <c r="S5578" s="364"/>
      <c r="Z5578" s="609" t="s">
        <v>2129</v>
      </c>
      <c r="AA5578" s="609"/>
    </row>
    <row r="5579" spans="1:27" ht="0.75" customHeight="1" thickBot="1">
      <c r="A5579" s="2712"/>
      <c r="B5579" s="371"/>
      <c r="C5579" s="371"/>
      <c r="D5579" s="371"/>
      <c r="F5579" s="371"/>
      <c r="G5579" s="371"/>
      <c r="H5579" s="371" t="s">
        <v>4646</v>
      </c>
      <c r="I5579" s="371" t="s">
        <v>4610</v>
      </c>
      <c r="J5579" s="371" t="s">
        <v>4611</v>
      </c>
      <c r="K5579" s="371" t="s">
        <v>4612</v>
      </c>
      <c r="L5579" s="371" t="s">
        <v>4613</v>
      </c>
      <c r="M5579" s="371" t="s">
        <v>4614</v>
      </c>
      <c r="N5579" s="371" t="s">
        <v>4615</v>
      </c>
      <c r="O5579" s="371" t="s">
        <v>4616</v>
      </c>
      <c r="P5579" s="371" t="s">
        <v>4617</v>
      </c>
      <c r="Q5579" s="543" t="s">
        <v>4647</v>
      </c>
      <c r="R5579" s="543" t="s">
        <v>4618</v>
      </c>
      <c r="S5579" s="364"/>
      <c r="Z5579" s="609" t="s">
        <v>2129</v>
      </c>
      <c r="AA5579" s="609"/>
    </row>
    <row r="5580" spans="1:27" ht="36" customHeight="1">
      <c r="A5580" s="2712"/>
      <c r="B5580" s="371"/>
      <c r="C5580" s="371"/>
      <c r="D5580" s="371"/>
      <c r="E5580" s="2714" t="s">
        <v>2749</v>
      </c>
      <c r="F5580" s="293"/>
      <c r="G5580" s="3478" t="s">
        <v>47</v>
      </c>
      <c r="H5580" s="3468" t="str">
        <f>$V$3</f>
        <v>2018年12月31日</v>
      </c>
      <c r="I5580" s="3466" t="s">
        <v>4619</v>
      </c>
      <c r="J5580" s="3466" t="s">
        <v>4620</v>
      </c>
      <c r="K5580" s="3466" t="s">
        <v>4621</v>
      </c>
      <c r="L5580" s="3466"/>
      <c r="M5580" s="3526" t="s">
        <v>4622</v>
      </c>
      <c r="N5580" s="3526"/>
      <c r="O5580" s="3526"/>
      <c r="P5580" s="3526"/>
      <c r="Q5580" s="3593" t="str">
        <f>$V$2</f>
        <v>2019年12月31日</v>
      </c>
      <c r="R5580" s="3597" t="s">
        <v>4623</v>
      </c>
      <c r="S5580" s="355" t="s">
        <v>5347</v>
      </c>
      <c r="Z5580" s="609" t="s">
        <v>2129</v>
      </c>
      <c r="AA5580" s="609"/>
    </row>
    <row r="5581" spans="1:27" ht="36" customHeight="1">
      <c r="A5581" s="2712"/>
      <c r="B5581" s="371"/>
      <c r="C5581" s="371"/>
      <c r="D5581" s="371"/>
      <c r="E5581" s="2714" t="s">
        <v>2749</v>
      </c>
      <c r="F5581" s="294"/>
      <c r="G5581" s="3479"/>
      <c r="H5581" s="3469"/>
      <c r="I5581" s="3467"/>
      <c r="J5581" s="3467"/>
      <c r="K5581" s="2461" t="s">
        <v>4624</v>
      </c>
      <c r="L5581" s="2461" t="s">
        <v>4625</v>
      </c>
      <c r="M5581" s="2495" t="s">
        <v>4626</v>
      </c>
      <c r="N5581" s="2495" t="s">
        <v>4627</v>
      </c>
      <c r="O5581" s="2495" t="s">
        <v>3300</v>
      </c>
      <c r="P5581" s="2495" t="s">
        <v>4628</v>
      </c>
      <c r="Q5581" s="3594"/>
      <c r="R5581" s="3598"/>
      <c r="S5581" s="364"/>
      <c r="Z5581" s="609" t="s">
        <v>2129</v>
      </c>
      <c r="AA5581" s="609"/>
    </row>
    <row r="5582" spans="1:27" ht="18">
      <c r="A5582" s="2712"/>
      <c r="B5582" s="371">
        <v>101</v>
      </c>
      <c r="C5582" s="371"/>
      <c r="D5582" s="2714">
        <f t="shared" ref="D5582:D5601" si="607">IF(OR(G5582="*",G5582="",G5582=0),0,COUNTIF($G$5582:$G$5601,G5582))</f>
        <v>1</v>
      </c>
      <c r="E5582" s="2719" t="s">
        <v>41</v>
      </c>
      <c r="F5582" s="294"/>
      <c r="G5582" s="308" t="s">
        <v>4629</v>
      </c>
      <c r="H5582" s="309"/>
      <c r="I5582" s="309"/>
      <c r="J5582" s="309"/>
      <c r="K5582" s="309"/>
      <c r="L5582" s="309"/>
      <c r="M5582" s="309"/>
      <c r="N5582" s="309"/>
      <c r="O5582" s="309"/>
      <c r="P5582" s="309"/>
      <c r="Q5582" s="309"/>
      <c r="R5582" s="346"/>
      <c r="S5582" s="364"/>
      <c r="Z5582" s="609" t="s">
        <v>2129</v>
      </c>
      <c r="AA5582" s="609"/>
    </row>
    <row r="5583" spans="1:27" ht="18">
      <c r="A5583" s="2712"/>
      <c r="B5583" s="371">
        <v>102</v>
      </c>
      <c r="C5583" s="371"/>
      <c r="D5583" s="2714">
        <f t="shared" si="607"/>
        <v>1</v>
      </c>
      <c r="E5583" s="2719">
        <v>1</v>
      </c>
      <c r="F5583" s="294"/>
      <c r="G5583" s="603" t="s">
        <v>3480</v>
      </c>
      <c r="H5583" s="309"/>
      <c r="I5583" s="309"/>
      <c r="J5583" s="309"/>
      <c r="K5583" s="309"/>
      <c r="L5583" s="309"/>
      <c r="M5583" s="309"/>
      <c r="N5583" s="309"/>
      <c r="O5583" s="309"/>
      <c r="P5583" s="309"/>
      <c r="Q5583" s="309"/>
      <c r="R5583" s="346"/>
      <c r="S5583" s="364"/>
      <c r="Z5583" s="609" t="s">
        <v>2129</v>
      </c>
      <c r="AA5583" s="609"/>
    </row>
    <row r="5584" spans="1:27" ht="18">
      <c r="A5584" s="2712"/>
      <c r="B5584" s="371">
        <v>103</v>
      </c>
      <c r="C5584" s="371"/>
      <c r="D5584" s="2714">
        <f t="shared" si="607"/>
        <v>1</v>
      </c>
      <c r="E5584" s="2719">
        <v>1</v>
      </c>
      <c r="F5584" s="294"/>
      <c r="G5584" s="603" t="s">
        <v>3479</v>
      </c>
      <c r="H5584" s="309"/>
      <c r="I5584" s="309"/>
      <c r="J5584" s="309"/>
      <c r="K5584" s="309"/>
      <c r="L5584" s="309"/>
      <c r="M5584" s="309"/>
      <c r="N5584" s="309"/>
      <c r="O5584" s="309"/>
      <c r="P5584" s="309"/>
      <c r="Q5584" s="309"/>
      <c r="R5584" s="346"/>
      <c r="S5584" s="364"/>
      <c r="Z5584" s="609" t="s">
        <v>2129</v>
      </c>
      <c r="AA5584" s="609"/>
    </row>
    <row r="5585" spans="1:27" ht="36">
      <c r="A5585" s="2712"/>
      <c r="B5585" s="371">
        <v>104</v>
      </c>
      <c r="C5585" s="371"/>
      <c r="D5585" s="2714">
        <f t="shared" si="607"/>
        <v>1</v>
      </c>
      <c r="E5585" s="2719">
        <v>1</v>
      </c>
      <c r="F5585" s="294"/>
      <c r="G5585" s="603" t="s">
        <v>2840</v>
      </c>
      <c r="H5585" s="309"/>
      <c r="I5585" s="309"/>
      <c r="J5585" s="309"/>
      <c r="K5585" s="309"/>
      <c r="L5585" s="309"/>
      <c r="M5585" s="309"/>
      <c r="N5585" s="309"/>
      <c r="O5585" s="309"/>
      <c r="P5585" s="309"/>
      <c r="Q5585" s="309"/>
      <c r="R5585" s="346"/>
      <c r="S5585" s="364"/>
      <c r="Z5585" s="609" t="s">
        <v>2129</v>
      </c>
      <c r="AA5585" s="609"/>
    </row>
    <row r="5586" spans="1:27" ht="18">
      <c r="A5586" s="2712"/>
      <c r="B5586" s="371">
        <v>105</v>
      </c>
      <c r="C5586" s="371"/>
      <c r="D5586" s="2714">
        <f t="shared" si="607"/>
        <v>1</v>
      </c>
      <c r="E5586" s="2719">
        <v>1</v>
      </c>
      <c r="F5586" s="294"/>
      <c r="G5586" s="578" t="s">
        <v>932</v>
      </c>
      <c r="H5586" s="309"/>
      <c r="I5586" s="309"/>
      <c r="J5586" s="309"/>
      <c r="K5586" s="309"/>
      <c r="L5586" s="309"/>
      <c r="M5586" s="309"/>
      <c r="N5586" s="309"/>
      <c r="O5586" s="309"/>
      <c r="P5586" s="309"/>
      <c r="Q5586" s="309"/>
      <c r="R5586" s="346"/>
      <c r="S5586" s="364"/>
      <c r="Z5586" s="609" t="s">
        <v>2129</v>
      </c>
      <c r="AA5586" s="609"/>
    </row>
    <row r="5587" spans="1:27" ht="18">
      <c r="A5587" s="2712"/>
      <c r="B5587" s="371">
        <v>106</v>
      </c>
      <c r="C5587" s="371"/>
      <c r="D5587" s="2714">
        <f t="shared" si="607"/>
        <v>1</v>
      </c>
      <c r="E5587" s="2719">
        <v>1</v>
      </c>
      <c r="F5587" s="294"/>
      <c r="G5587" s="319" t="s">
        <v>90</v>
      </c>
      <c r="H5587" s="309"/>
      <c r="I5587" s="309"/>
      <c r="J5587" s="309"/>
      <c r="K5587" s="309"/>
      <c r="L5587" s="309"/>
      <c r="M5587" s="309"/>
      <c r="N5587" s="309"/>
      <c r="O5587" s="309"/>
      <c r="P5587" s="309"/>
      <c r="Q5587" s="309"/>
      <c r="R5587" s="346"/>
      <c r="S5587" s="364"/>
      <c r="Z5587" s="609" t="s">
        <v>2129</v>
      </c>
      <c r="AA5587" s="609"/>
    </row>
    <row r="5588" spans="1:27" ht="18">
      <c r="A5588" s="2712"/>
      <c r="B5588" s="371">
        <v>107</v>
      </c>
      <c r="C5588" s="371"/>
      <c r="D5588" s="2714">
        <f t="shared" si="607"/>
        <v>1</v>
      </c>
      <c r="E5588" s="2719">
        <v>1</v>
      </c>
      <c r="F5588" s="294"/>
      <c r="G5588" s="319" t="s">
        <v>282</v>
      </c>
      <c r="H5588" s="309"/>
      <c r="I5588" s="309"/>
      <c r="J5588" s="309"/>
      <c r="K5588" s="309"/>
      <c r="L5588" s="309"/>
      <c r="M5588" s="309"/>
      <c r="N5588" s="309"/>
      <c r="O5588" s="309"/>
      <c r="P5588" s="309"/>
      <c r="Q5588" s="309"/>
      <c r="R5588" s="346"/>
      <c r="S5588" s="364"/>
      <c r="Z5588" s="609" t="s">
        <v>2129</v>
      </c>
      <c r="AA5588" s="609"/>
    </row>
    <row r="5589" spans="1:27" ht="18">
      <c r="A5589" s="2712"/>
      <c r="B5589" s="371">
        <v>108</v>
      </c>
      <c r="C5589" s="371"/>
      <c r="D5589" s="2714">
        <f t="shared" si="607"/>
        <v>1</v>
      </c>
      <c r="E5589" s="2719">
        <v>1</v>
      </c>
      <c r="F5589" s="294"/>
      <c r="G5589" s="319" t="s">
        <v>323</v>
      </c>
      <c r="H5589" s="309"/>
      <c r="I5589" s="309"/>
      <c r="J5589" s="309"/>
      <c r="K5589" s="309"/>
      <c r="L5589" s="309"/>
      <c r="M5589" s="309"/>
      <c r="N5589" s="309"/>
      <c r="O5589" s="309"/>
      <c r="P5589" s="309"/>
      <c r="Q5589" s="309"/>
      <c r="R5589" s="346"/>
      <c r="S5589" s="364"/>
      <c r="Z5589" s="609" t="s">
        <v>2129</v>
      </c>
      <c r="AA5589" s="609"/>
    </row>
    <row r="5590" spans="1:27" ht="18">
      <c r="A5590" s="2712"/>
      <c r="B5590" s="371">
        <v>109</v>
      </c>
      <c r="C5590" s="371"/>
      <c r="D5590" s="2714">
        <f t="shared" si="607"/>
        <v>1</v>
      </c>
      <c r="E5590" s="2719">
        <v>1</v>
      </c>
      <c r="F5590" s="294"/>
      <c r="G5590" s="308" t="s">
        <v>329</v>
      </c>
      <c r="H5590" s="377"/>
      <c r="I5590" s="377"/>
      <c r="J5590" s="377"/>
      <c r="K5590" s="377"/>
      <c r="L5590" s="377"/>
      <c r="M5590" s="377"/>
      <c r="N5590" s="377"/>
      <c r="O5590" s="377"/>
      <c r="P5590" s="377"/>
      <c r="Q5590" s="377">
        <f>SUMIF($E$5581:$E$5600,$G5590,Q$5581:Q$5600)</f>
        <v>0</v>
      </c>
      <c r="R5590" s="397">
        <f>SUMIF($E$5581:$E$5600,$G5590,R$5581:R$5600)</f>
        <v>0</v>
      </c>
      <c r="S5590" s="364"/>
      <c r="Z5590" s="609" t="s">
        <v>2129</v>
      </c>
      <c r="AA5590" s="609"/>
    </row>
    <row r="5591" spans="1:27" ht="18">
      <c r="A5591" s="2712"/>
      <c r="B5591" s="371">
        <v>110</v>
      </c>
      <c r="C5591" s="371"/>
      <c r="D5591" s="2714">
        <f t="shared" si="607"/>
        <v>1</v>
      </c>
      <c r="E5591" s="2719" t="s">
        <v>41</v>
      </c>
      <c r="F5591" s="294"/>
      <c r="G5591" s="308" t="s">
        <v>4598</v>
      </c>
      <c r="H5591" s="309"/>
      <c r="I5591" s="309"/>
      <c r="J5591" s="309"/>
      <c r="K5591" s="309"/>
      <c r="L5591" s="309"/>
      <c r="M5591" s="309"/>
      <c r="N5591" s="309"/>
      <c r="O5591" s="309"/>
      <c r="P5591" s="309"/>
      <c r="Q5591" s="309"/>
      <c r="R5591" s="346"/>
      <c r="S5591" s="364"/>
      <c r="Z5591" s="609" t="s">
        <v>2129</v>
      </c>
      <c r="AA5591" s="609"/>
    </row>
    <row r="5592" spans="1:27" ht="18">
      <c r="A5592" s="2712"/>
      <c r="B5592" s="371">
        <v>111</v>
      </c>
      <c r="C5592" s="371"/>
      <c r="D5592" s="2714">
        <f t="shared" si="607"/>
        <v>1</v>
      </c>
      <c r="E5592" s="2719">
        <v>1</v>
      </c>
      <c r="F5592" s="294"/>
      <c r="G5592" s="603" t="s">
        <v>4630</v>
      </c>
      <c r="H5592" s="309"/>
      <c r="I5592" s="309"/>
      <c r="J5592" s="309"/>
      <c r="K5592" s="309"/>
      <c r="L5592" s="309"/>
      <c r="M5592" s="309"/>
      <c r="N5592" s="309"/>
      <c r="O5592" s="309"/>
      <c r="P5592" s="309"/>
      <c r="Q5592" s="309"/>
      <c r="R5592" s="346"/>
      <c r="S5592" s="364"/>
      <c r="Z5592" s="609" t="s">
        <v>2129</v>
      </c>
      <c r="AA5592" s="609"/>
    </row>
    <row r="5593" spans="1:27" ht="18">
      <c r="A5593" s="2712"/>
      <c r="B5593" s="371">
        <v>112</v>
      </c>
      <c r="C5593" s="371"/>
      <c r="D5593" s="2714">
        <f t="shared" si="607"/>
        <v>1</v>
      </c>
      <c r="E5593" s="2719">
        <v>1</v>
      </c>
      <c r="F5593" s="294"/>
      <c r="G5593" s="603" t="s">
        <v>4631</v>
      </c>
      <c r="H5593" s="309"/>
      <c r="I5593" s="309"/>
      <c r="J5593" s="309"/>
      <c r="K5593" s="309"/>
      <c r="L5593" s="309"/>
      <c r="M5593" s="309"/>
      <c r="N5593" s="309"/>
      <c r="O5593" s="309"/>
      <c r="P5593" s="309"/>
      <c r="Q5593" s="309"/>
      <c r="R5593" s="346"/>
      <c r="S5593" s="364"/>
      <c r="Z5593" s="609" t="s">
        <v>2129</v>
      </c>
      <c r="AA5593" s="609"/>
    </row>
    <row r="5594" spans="1:27" ht="24">
      <c r="A5594" s="2712"/>
      <c r="B5594" s="371">
        <v>113</v>
      </c>
      <c r="C5594" s="371"/>
      <c r="D5594" s="2714">
        <f t="shared" si="607"/>
        <v>1</v>
      </c>
      <c r="E5594" s="2719">
        <v>1</v>
      </c>
      <c r="F5594" s="294"/>
      <c r="G5594" s="578" t="s">
        <v>4632</v>
      </c>
      <c r="H5594" s="309"/>
      <c r="I5594" s="309"/>
      <c r="J5594" s="309"/>
      <c r="K5594" s="309"/>
      <c r="L5594" s="309"/>
      <c r="M5594" s="309"/>
      <c r="N5594" s="309"/>
      <c r="O5594" s="309"/>
      <c r="P5594" s="309"/>
      <c r="Q5594" s="309"/>
      <c r="R5594" s="346"/>
      <c r="S5594" s="364"/>
      <c r="Z5594" s="609" t="s">
        <v>2129</v>
      </c>
      <c r="AA5594" s="609"/>
    </row>
    <row r="5595" spans="1:27" ht="18">
      <c r="A5595" s="2712"/>
      <c r="B5595" s="371">
        <v>114</v>
      </c>
      <c r="C5595" s="371"/>
      <c r="D5595" s="2714">
        <f t="shared" si="607"/>
        <v>1</v>
      </c>
      <c r="E5595" s="2719" t="s">
        <v>41</v>
      </c>
      <c r="F5595" s="294"/>
      <c r="G5595" s="308" t="s">
        <v>4633</v>
      </c>
      <c r="H5595" s="377"/>
      <c r="I5595" s="377"/>
      <c r="J5595" s="377"/>
      <c r="K5595" s="377"/>
      <c r="L5595" s="377"/>
      <c r="M5595" s="377"/>
      <c r="N5595" s="377"/>
      <c r="O5595" s="377"/>
      <c r="P5595" s="377"/>
      <c r="Q5595" s="377">
        <f>SUMIF($E$5581:$E$5600,$G5595,Q$5581:Q$5600)</f>
        <v>0</v>
      </c>
      <c r="R5595" s="397">
        <f>SUMIF($E$5581:$E$5600,$G5595,R$5581:R$5600)</f>
        <v>0</v>
      </c>
      <c r="S5595" s="364"/>
      <c r="Z5595" s="609" t="s">
        <v>2129</v>
      </c>
      <c r="AA5595" s="609"/>
    </row>
    <row r="5596" spans="1:27" ht="18">
      <c r="A5596" s="2712"/>
      <c r="B5596" s="371">
        <v>115</v>
      </c>
      <c r="C5596" s="371"/>
      <c r="D5596" s="2714">
        <f t="shared" si="607"/>
        <v>1</v>
      </c>
      <c r="E5596" s="2719">
        <v>1</v>
      </c>
      <c r="F5596" s="294"/>
      <c r="G5596" s="603" t="s">
        <v>346</v>
      </c>
      <c r="H5596" s="309"/>
      <c r="I5596" s="309"/>
      <c r="J5596" s="309"/>
      <c r="K5596" s="309"/>
      <c r="L5596" s="309"/>
      <c r="M5596" s="309"/>
      <c r="N5596" s="309"/>
      <c r="O5596" s="309"/>
      <c r="P5596" s="309"/>
      <c r="Q5596" s="309"/>
      <c r="R5596" s="346"/>
      <c r="S5596" s="364"/>
      <c r="Z5596" s="609" t="s">
        <v>2129</v>
      </c>
      <c r="AA5596" s="609"/>
    </row>
    <row r="5597" spans="1:27" ht="18">
      <c r="A5597" s="2712"/>
      <c r="B5597" s="371">
        <v>116</v>
      </c>
      <c r="C5597" s="371"/>
      <c r="D5597" s="2714">
        <f t="shared" si="607"/>
        <v>1</v>
      </c>
      <c r="E5597" s="2719">
        <v>1</v>
      </c>
      <c r="F5597" s="294"/>
      <c r="G5597" s="603" t="s">
        <v>381</v>
      </c>
      <c r="H5597" s="309"/>
      <c r="I5597" s="309"/>
      <c r="J5597" s="309"/>
      <c r="K5597" s="309"/>
      <c r="L5597" s="309"/>
      <c r="M5597" s="309"/>
      <c r="N5597" s="309"/>
      <c r="O5597" s="309"/>
      <c r="P5597" s="309"/>
      <c r="Q5597" s="309"/>
      <c r="R5597" s="346"/>
      <c r="S5597" s="364"/>
      <c r="Z5597" s="609" t="s">
        <v>2129</v>
      </c>
      <c r="AA5597" s="609"/>
    </row>
    <row r="5598" spans="1:27" ht="18">
      <c r="A5598" s="2712"/>
      <c r="B5598" s="371">
        <v>117</v>
      </c>
      <c r="C5598" s="371" t="s">
        <v>2791</v>
      </c>
      <c r="D5598" s="2714">
        <f t="shared" si="607"/>
        <v>0</v>
      </c>
      <c r="E5598" s="2719">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
      <c r="A5599" s="2712"/>
      <c r="B5599" s="371">
        <v>118</v>
      </c>
      <c r="C5599" s="371" t="s">
        <v>2791</v>
      </c>
      <c r="D5599" s="2714">
        <f t="shared" si="607"/>
        <v>0</v>
      </c>
      <c r="E5599" s="2719">
        <v>1</v>
      </c>
      <c r="F5599" s="294"/>
      <c r="G5599" s="625" t="s">
        <v>2792</v>
      </c>
      <c r="H5599" s="309"/>
      <c r="I5599" s="309"/>
      <c r="J5599" s="309"/>
      <c r="K5599" s="309"/>
      <c r="L5599" s="309"/>
      <c r="M5599" s="309"/>
      <c r="N5599" s="309"/>
      <c r="O5599" s="309"/>
      <c r="P5599" s="309"/>
      <c r="Q5599" s="309"/>
      <c r="R5599" s="346"/>
      <c r="S5599" s="364"/>
      <c r="Z5599" s="609" t="s">
        <v>2129</v>
      </c>
      <c r="AA5599" s="609"/>
    </row>
    <row r="5600" spans="1:27" ht="18">
      <c r="A5600" s="2712"/>
      <c r="B5600" s="371">
        <v>119</v>
      </c>
      <c r="C5600" s="371" t="s">
        <v>2791</v>
      </c>
      <c r="D5600" s="2714">
        <f t="shared" si="607"/>
        <v>0</v>
      </c>
      <c r="E5600" s="2719">
        <v>1</v>
      </c>
      <c r="F5600" s="294"/>
      <c r="G5600" s="625" t="s">
        <v>2792</v>
      </c>
      <c r="H5600" s="309"/>
      <c r="I5600" s="309"/>
      <c r="J5600" s="309"/>
      <c r="K5600" s="309"/>
      <c r="L5600" s="309"/>
      <c r="M5600" s="309"/>
      <c r="N5600" s="309"/>
      <c r="O5600" s="309"/>
      <c r="P5600" s="309"/>
      <c r="Q5600" s="309"/>
      <c r="R5600" s="346"/>
      <c r="S5600" s="364"/>
      <c r="Z5600" s="609" t="s">
        <v>2129</v>
      </c>
      <c r="AA5600" s="609"/>
    </row>
    <row r="5601" spans="1:27" ht="18.75" thickBot="1">
      <c r="A5601" s="2712"/>
      <c r="B5601" s="371"/>
      <c r="C5601" s="371"/>
      <c r="D5601" s="2714">
        <f t="shared" si="607"/>
        <v>1</v>
      </c>
      <c r="E5601" s="2719" t="s">
        <v>3032</v>
      </c>
      <c r="F5601" s="294"/>
      <c r="G5601" s="2232" t="s">
        <v>2752</v>
      </c>
      <c r="H5601" s="2323">
        <f t="shared" ref="H5601:R5601" si="608">SUMPRODUCT($E5581:$E5600,H5581:H5600)</f>
        <v>0</v>
      </c>
      <c r="I5601" s="2323">
        <f t="shared" si="608"/>
        <v>0</v>
      </c>
      <c r="J5601" s="2323">
        <f t="shared" si="608"/>
        <v>0</v>
      </c>
      <c r="K5601" s="2323">
        <f t="shared" si="608"/>
        <v>0</v>
      </c>
      <c r="L5601" s="2323">
        <f t="shared" si="608"/>
        <v>0</v>
      </c>
      <c r="M5601" s="2323">
        <f t="shared" si="608"/>
        <v>0</v>
      </c>
      <c r="N5601" s="2323">
        <f t="shared" si="608"/>
        <v>0</v>
      </c>
      <c r="O5601" s="2323">
        <f t="shared" si="608"/>
        <v>0</v>
      </c>
      <c r="P5601" s="2323">
        <f t="shared" si="608"/>
        <v>0</v>
      </c>
      <c r="Q5601" s="2323">
        <f t="shared" si="608"/>
        <v>0</v>
      </c>
      <c r="R5601" s="2340">
        <f t="shared" si="608"/>
        <v>0</v>
      </c>
      <c r="S5601" s="364"/>
      <c r="Z5601" s="609" t="s">
        <v>2129</v>
      </c>
      <c r="AA5601" s="609"/>
    </row>
    <row r="5602" spans="1:27" ht="18">
      <c r="A5602" s="2712"/>
      <c r="B5602" s="371"/>
      <c r="C5602" s="371" t="s">
        <v>2755</v>
      </c>
      <c r="D5602" s="371"/>
      <c r="F5602" s="294"/>
      <c r="G5602" s="301"/>
      <c r="H5602" s="315"/>
      <c r="I5602" s="315"/>
      <c r="J5602" s="315"/>
      <c r="K5602" s="315"/>
      <c r="L5602" s="315"/>
      <c r="M5602" s="315"/>
      <c r="N5602" s="315"/>
      <c r="O5602" s="315"/>
      <c r="P5602" s="315"/>
      <c r="Q5602" s="566"/>
      <c r="R5602" s="566"/>
      <c r="S5602" s="364"/>
      <c r="Z5602" s="609" t="s">
        <v>2129</v>
      </c>
      <c r="AA5602" s="609"/>
    </row>
    <row r="5603" spans="1:27" ht="36">
      <c r="A5603" s="2712" t="s">
        <v>2130</v>
      </c>
      <c r="B5603" s="371">
        <v>5</v>
      </c>
      <c r="C5603" s="371"/>
      <c r="D5603" s="2714" t="str">
        <f>VLOOKUP($A5603,Sheet_NoteList,2,0)</f>
        <v>不以公允价值计量的金融资产和金融负债的公允价值情况</v>
      </c>
      <c r="E5603" s="2714" t="s">
        <v>2742</v>
      </c>
      <c r="F5603" s="294"/>
      <c r="G5603" s="372" t="str">
        <f>"("&amp;B5603&amp;")"&amp;D5603</f>
        <v>(5)不以公允价值计量的金融资产和金融负债的公允价值情况</v>
      </c>
      <c r="H5603" s="1515" t="str">
        <f>$A5603</f>
        <v>9331b</v>
      </c>
      <c r="I5603" s="343" t="s">
        <v>2743</v>
      </c>
      <c r="J5603" s="301"/>
      <c r="K5603" s="3083"/>
      <c r="L5603" s="315"/>
      <c r="M5603" s="301"/>
      <c r="N5603" s="3083"/>
      <c r="O5603" s="315"/>
      <c r="P5603" s="301"/>
      <c r="S5603" s="364"/>
      <c r="Z5603" s="609" t="s">
        <v>2129</v>
      </c>
      <c r="AA5603" s="609"/>
    </row>
    <row r="5604" spans="1:27" ht="0.75" customHeight="1" thickBot="1">
      <c r="A5604" s="2712"/>
      <c r="B5604" s="371"/>
      <c r="C5604" s="371"/>
      <c r="D5604" s="371"/>
      <c r="F5604" s="371"/>
      <c r="G5604" s="371" t="s">
        <v>4604</v>
      </c>
      <c r="H5604" s="371" t="s">
        <v>3287</v>
      </c>
      <c r="I5604" s="371" t="s">
        <v>2845</v>
      </c>
      <c r="J5604" s="371" t="s">
        <v>4605</v>
      </c>
      <c r="K5604" s="371" t="s">
        <v>4606</v>
      </c>
      <c r="L5604" s="1602"/>
      <c r="M5604" s="1602"/>
      <c r="N5604" s="1602"/>
      <c r="O5604" s="1602"/>
      <c r="P5604" s="1602"/>
      <c r="Q5604" s="1602"/>
      <c r="R5604" s="1602"/>
      <c r="S5604" s="364"/>
      <c r="Z5604" s="609" t="s">
        <v>2129</v>
      </c>
      <c r="AA5604" s="609"/>
    </row>
    <row r="5605" spans="1:27" ht="24">
      <c r="A5605" s="2712"/>
      <c r="B5605" s="371"/>
      <c r="C5605" s="371"/>
      <c r="D5605" s="371"/>
      <c r="E5605" s="2714" t="s">
        <v>2749</v>
      </c>
      <c r="F5605" s="294"/>
      <c r="G5605" s="2496" t="s">
        <v>47</v>
      </c>
      <c r="H5605" s="2481" t="str">
        <f>$W$2&amp;"账面价值"</f>
        <v>2019年12月31日账面价值</v>
      </c>
      <c r="I5605" s="2497" t="s">
        <v>4531</v>
      </c>
      <c r="J5605" s="2497" t="s">
        <v>4532</v>
      </c>
      <c r="K5605" s="2588" t="s">
        <v>4533</v>
      </c>
      <c r="L5605" s="355" t="s">
        <v>5347</v>
      </c>
      <c r="M5605" s="1602"/>
      <c r="N5605" s="1602"/>
      <c r="O5605" s="1602"/>
      <c r="P5605" s="1602"/>
      <c r="Q5605" s="1602"/>
      <c r="R5605" s="1602"/>
      <c r="S5605" s="364"/>
      <c r="Z5605" s="609" t="s">
        <v>2129</v>
      </c>
      <c r="AA5605" s="609"/>
    </row>
    <row r="5606" spans="1:27" ht="18">
      <c r="A5606" s="2712"/>
      <c r="B5606" s="371">
        <v>101</v>
      </c>
      <c r="C5606" s="371"/>
      <c r="D5606" s="2714">
        <f t="shared" ref="D5606:D5620" si="609">IF(OR(G5606="*",G5606="",G5606=0),0,COUNTIF($G$5606:$G$5620,G5606))</f>
        <v>1</v>
      </c>
      <c r="E5606" s="2719" t="s">
        <v>41</v>
      </c>
      <c r="F5606" s="294"/>
      <c r="G5606" s="308" t="s">
        <v>4520</v>
      </c>
      <c r="H5606" s="309"/>
      <c r="I5606" s="309"/>
      <c r="J5606" s="309"/>
      <c r="K5606" s="346"/>
      <c r="L5606" s="355" t="s">
        <v>6099</v>
      </c>
      <c r="M5606" s="1602"/>
      <c r="N5606" s="1602"/>
      <c r="O5606" s="1602"/>
      <c r="P5606" s="1602"/>
      <c r="Q5606" s="1602"/>
      <c r="R5606" s="1602"/>
      <c r="S5606" s="364"/>
      <c r="Z5606" s="609" t="s">
        <v>2129</v>
      </c>
      <c r="AA5606" s="609"/>
    </row>
    <row r="5607" spans="1:27" ht="18">
      <c r="A5607" s="2712"/>
      <c r="B5607" s="371">
        <v>101.001</v>
      </c>
      <c r="C5607" s="371" t="s">
        <v>2791</v>
      </c>
      <c r="D5607" s="2714">
        <f t="shared" si="609"/>
        <v>1</v>
      </c>
      <c r="E5607" s="2719" t="s">
        <v>4607</v>
      </c>
      <c r="F5607" s="294"/>
      <c r="G5607" s="578" t="s">
        <v>274</v>
      </c>
      <c r="H5607" s="309"/>
      <c r="I5607" s="309"/>
      <c r="J5607" s="309"/>
      <c r="K5607" s="346"/>
      <c r="L5607" s="1602"/>
      <c r="M5607" s="1602"/>
      <c r="N5607" s="1602"/>
      <c r="O5607" s="1602"/>
      <c r="P5607" s="1602"/>
      <c r="Q5607" s="1602"/>
      <c r="R5607" s="1602"/>
      <c r="S5607" s="364"/>
      <c r="Z5607" s="609" t="s">
        <v>2129</v>
      </c>
      <c r="AA5607" s="609"/>
    </row>
    <row r="5608" spans="1:27" ht="18">
      <c r="A5608" s="2712"/>
      <c r="B5608" s="371">
        <v>101.002</v>
      </c>
      <c r="C5608" s="371" t="s">
        <v>2791</v>
      </c>
      <c r="D5608" s="2714">
        <f t="shared" si="609"/>
        <v>1</v>
      </c>
      <c r="E5608" s="2719" t="s">
        <v>4607</v>
      </c>
      <c r="F5608" s="294"/>
      <c r="G5608" s="578" t="s">
        <v>317</v>
      </c>
      <c r="H5608" s="309"/>
      <c r="I5608" s="309"/>
      <c r="J5608" s="309"/>
      <c r="K5608" s="346"/>
      <c r="L5608" s="1602"/>
      <c r="M5608" s="1602"/>
      <c r="N5608" s="1602"/>
      <c r="O5608" s="1602"/>
      <c r="P5608" s="1602"/>
      <c r="Q5608" s="1602"/>
      <c r="R5608" s="1602"/>
      <c r="S5608" s="364"/>
      <c r="Z5608" s="609" t="s">
        <v>2129</v>
      </c>
      <c r="AA5608" s="609"/>
    </row>
    <row r="5609" spans="1:27" ht="36">
      <c r="A5609" s="2712"/>
      <c r="B5609" s="371">
        <v>101.003</v>
      </c>
      <c r="C5609" s="371" t="s">
        <v>2791</v>
      </c>
      <c r="D5609" s="2714">
        <f t="shared" si="609"/>
        <v>1</v>
      </c>
      <c r="E5609" s="2719" t="s">
        <v>4607</v>
      </c>
      <c r="F5609" s="294"/>
      <c r="G5609" s="578" t="s">
        <v>4608</v>
      </c>
      <c r="H5609" s="309"/>
      <c r="I5609" s="309"/>
      <c r="J5609" s="309"/>
      <c r="K5609" s="346"/>
      <c r="L5609" s="1602"/>
      <c r="M5609" s="1602"/>
      <c r="N5609" s="1602"/>
      <c r="O5609" s="1602"/>
      <c r="P5609" s="1602"/>
      <c r="Q5609" s="1602"/>
      <c r="R5609" s="1602"/>
      <c r="S5609" s="364"/>
      <c r="Z5609" s="609" t="s">
        <v>2129</v>
      </c>
      <c r="AA5609" s="609"/>
    </row>
    <row r="5610" spans="1:27" ht="18">
      <c r="A5610" s="2712"/>
      <c r="B5610" s="371">
        <v>101.004</v>
      </c>
      <c r="C5610" s="371" t="s">
        <v>2791</v>
      </c>
      <c r="D5610" s="2714">
        <f t="shared" si="609"/>
        <v>0</v>
      </c>
      <c r="E5610" s="2719" t="s">
        <v>4607</v>
      </c>
      <c r="F5610" s="294"/>
      <c r="G5610" s="578" t="s">
        <v>2792</v>
      </c>
      <c r="H5610" s="309"/>
      <c r="I5610" s="309"/>
      <c r="J5610" s="309"/>
      <c r="K5610" s="346"/>
      <c r="L5610" s="1602"/>
      <c r="M5610" s="1602"/>
      <c r="N5610" s="1602"/>
      <c r="O5610" s="1602"/>
      <c r="P5610" s="1602"/>
      <c r="Q5610" s="1602"/>
      <c r="R5610" s="1602"/>
      <c r="S5610" s="364"/>
      <c r="Z5610" s="609" t="s">
        <v>2129</v>
      </c>
      <c r="AA5610" s="609"/>
    </row>
    <row r="5611" spans="1:27" ht="18">
      <c r="A5611" s="2712"/>
      <c r="B5611" s="371">
        <v>101.005</v>
      </c>
      <c r="C5611" s="371" t="s">
        <v>2791</v>
      </c>
      <c r="D5611" s="2714">
        <f t="shared" si="609"/>
        <v>0</v>
      </c>
      <c r="E5611" s="2719" t="s">
        <v>4607</v>
      </c>
      <c r="F5611" s="294"/>
      <c r="G5611" s="578" t="s">
        <v>2792</v>
      </c>
      <c r="H5611" s="309"/>
      <c r="I5611" s="309"/>
      <c r="J5611" s="309"/>
      <c r="K5611" s="346"/>
      <c r="L5611" s="1602"/>
      <c r="M5611" s="1602"/>
      <c r="N5611" s="1602"/>
      <c r="O5611" s="1602"/>
      <c r="P5611" s="1602"/>
      <c r="Q5611" s="1602"/>
      <c r="R5611" s="1602"/>
      <c r="S5611" s="364"/>
      <c r="Z5611" s="609" t="s">
        <v>2129</v>
      </c>
      <c r="AA5611" s="609"/>
    </row>
    <row r="5612" spans="1:27" ht="18">
      <c r="A5612" s="2712"/>
      <c r="B5612" s="371">
        <v>101.999</v>
      </c>
      <c r="C5612" s="371" t="s">
        <v>2793</v>
      </c>
      <c r="D5612" s="2714">
        <f t="shared" si="609"/>
        <v>1</v>
      </c>
      <c r="E5612" s="2719">
        <v>0</v>
      </c>
      <c r="F5612" s="294"/>
      <c r="G5612" s="308" t="s">
        <v>4607</v>
      </c>
      <c r="H5612" s="377">
        <f>SUMIF($E$5605:$E$5619,$G5612,H$5605:H$5619)</f>
        <v>0</v>
      </c>
      <c r="I5612" s="377">
        <f>SUMIF($E$5605:$E$5619,$G5612,I$5605:I$5619)</f>
        <v>0</v>
      </c>
      <c r="J5612" s="377">
        <f>SUMIF($E$5605:$E$5619,$G5612,J$5605:J$5619)</f>
        <v>0</v>
      </c>
      <c r="K5612" s="397">
        <f>SUMIF($E$5605:$E$5619,$G5612,K$5605:K$5619)</f>
        <v>0</v>
      </c>
      <c r="L5612" s="1602"/>
      <c r="M5612" s="1602"/>
      <c r="N5612" s="1602"/>
      <c r="O5612" s="1602"/>
      <c r="P5612" s="1602"/>
      <c r="Q5612" s="1602"/>
      <c r="R5612" s="1602"/>
      <c r="S5612" s="364"/>
      <c r="Z5612" s="609" t="s">
        <v>2129</v>
      </c>
      <c r="AA5612" s="609"/>
    </row>
    <row r="5613" spans="1:27" ht="18">
      <c r="A5613" s="2712"/>
      <c r="B5613" s="371">
        <v>102</v>
      </c>
      <c r="C5613" s="371"/>
      <c r="D5613" s="2714">
        <f t="shared" si="609"/>
        <v>1</v>
      </c>
      <c r="E5613" s="2719" t="s">
        <v>41</v>
      </c>
      <c r="F5613" s="294"/>
      <c r="G5613" s="308" t="s">
        <v>4521</v>
      </c>
      <c r="H5613" s="309"/>
      <c r="I5613" s="309"/>
      <c r="J5613" s="309"/>
      <c r="K5613" s="346"/>
      <c r="L5613" s="1602"/>
      <c r="M5613" s="1602"/>
      <c r="N5613" s="1602"/>
      <c r="O5613" s="1602"/>
      <c r="P5613" s="1602"/>
      <c r="Q5613" s="1602"/>
      <c r="R5613" s="1602"/>
      <c r="S5613" s="364"/>
      <c r="Z5613" s="609" t="s">
        <v>2129</v>
      </c>
      <c r="AA5613" s="609"/>
    </row>
    <row r="5614" spans="1:27" ht="24">
      <c r="A5614" s="2712"/>
      <c r="B5614" s="371">
        <v>103</v>
      </c>
      <c r="C5614" s="371" t="s">
        <v>2791</v>
      </c>
      <c r="D5614" s="2714">
        <f t="shared" si="609"/>
        <v>1</v>
      </c>
      <c r="E5614" s="2719">
        <v>1</v>
      </c>
      <c r="F5614" s="294"/>
      <c r="G5614" s="578" t="s">
        <v>4522</v>
      </c>
      <c r="H5614" s="309"/>
      <c r="I5614" s="309"/>
      <c r="J5614" s="309"/>
      <c r="K5614" s="346"/>
      <c r="L5614" s="1602"/>
      <c r="M5614" s="1602"/>
      <c r="N5614" s="1602"/>
      <c r="O5614" s="1602"/>
      <c r="P5614" s="1602"/>
      <c r="Q5614" s="1602"/>
      <c r="R5614" s="1602"/>
      <c r="S5614" s="364"/>
      <c r="Z5614" s="609" t="s">
        <v>2129</v>
      </c>
      <c r="AA5614" s="609"/>
    </row>
    <row r="5615" spans="1:27" ht="18">
      <c r="A5615" s="2712"/>
      <c r="B5615" s="371">
        <v>104</v>
      </c>
      <c r="C5615" s="371" t="s">
        <v>2791</v>
      </c>
      <c r="D5615" s="2714">
        <f t="shared" si="609"/>
        <v>1</v>
      </c>
      <c r="E5615" s="2719">
        <v>1</v>
      </c>
      <c r="F5615" s="294"/>
      <c r="G5615" s="578" t="s">
        <v>546</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105</v>
      </c>
      <c r="C5616" s="371" t="s">
        <v>2791</v>
      </c>
      <c r="D5616" s="2714">
        <f t="shared" si="609"/>
        <v>1</v>
      </c>
      <c r="E5616" s="2719">
        <v>1</v>
      </c>
      <c r="F5616" s="294"/>
      <c r="G5616" s="578" t="s">
        <v>550</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106</v>
      </c>
      <c r="C5617" s="371" t="s">
        <v>2791</v>
      </c>
      <c r="D5617" s="2714">
        <f t="shared" si="609"/>
        <v>1</v>
      </c>
      <c r="E5617" s="2719">
        <v>1</v>
      </c>
      <c r="F5617" s="294"/>
      <c r="G5617" s="578" t="s">
        <v>554</v>
      </c>
      <c r="H5617" s="309"/>
      <c r="I5617" s="309"/>
      <c r="J5617" s="309"/>
      <c r="K5617" s="346"/>
      <c r="L5617" s="1602"/>
      <c r="M5617" s="1602"/>
      <c r="N5617" s="1602"/>
      <c r="O5617" s="1602"/>
      <c r="P5617" s="1602"/>
      <c r="Q5617" s="1602"/>
      <c r="R5617" s="1602"/>
      <c r="S5617" s="364"/>
      <c r="Z5617" s="609" t="s">
        <v>2129</v>
      </c>
      <c r="AA5617" s="609"/>
    </row>
    <row r="5618" spans="1:27" ht="18">
      <c r="A5618" s="2712"/>
      <c r="B5618" s="371">
        <v>107</v>
      </c>
      <c r="C5618" s="371" t="s">
        <v>2791</v>
      </c>
      <c r="D5618" s="2714">
        <f t="shared" si="609"/>
        <v>0</v>
      </c>
      <c r="E5618" s="2719">
        <v>1</v>
      </c>
      <c r="F5618" s="294"/>
      <c r="G5618" s="578" t="s">
        <v>2792</v>
      </c>
      <c r="H5618" s="309"/>
      <c r="I5618" s="309"/>
      <c r="J5618" s="309"/>
      <c r="K5618" s="346"/>
      <c r="L5618" s="1602"/>
      <c r="M5618" s="1602"/>
      <c r="N5618" s="1602"/>
      <c r="O5618" s="1602"/>
      <c r="P5618" s="1602"/>
      <c r="Q5618" s="1602"/>
      <c r="R5618" s="1602"/>
      <c r="S5618" s="364"/>
      <c r="Z5618" s="609" t="s">
        <v>2129</v>
      </c>
      <c r="AA5618" s="609"/>
    </row>
    <row r="5619" spans="1:27" ht="18">
      <c r="A5619" s="2712"/>
      <c r="B5619" s="371">
        <v>108</v>
      </c>
      <c r="C5619" s="371"/>
      <c r="D5619" s="2714">
        <f t="shared" si="609"/>
        <v>1</v>
      </c>
      <c r="E5619" s="2719">
        <v>1</v>
      </c>
      <c r="F5619" s="294"/>
      <c r="G5619" s="308" t="s">
        <v>4609</v>
      </c>
      <c r="H5619" s="309">
        <f>SUM(H5614:H5618)</f>
        <v>0</v>
      </c>
      <c r="I5619" s="309">
        <f>SUM(I5614:I5618)</f>
        <v>0</v>
      </c>
      <c r="J5619" s="309">
        <f>SUM(J5614:J5618)</f>
        <v>0</v>
      </c>
      <c r="K5619" s="346">
        <f>SUM(K5614:K5618)</f>
        <v>0</v>
      </c>
      <c r="L5619" s="1602"/>
      <c r="M5619" s="1602"/>
      <c r="N5619" s="1602"/>
      <c r="O5619" s="1602"/>
      <c r="P5619" s="1602"/>
      <c r="Q5619" s="1602"/>
      <c r="R5619" s="1602"/>
      <c r="S5619" s="364"/>
      <c r="Z5619" s="609" t="s">
        <v>2129</v>
      </c>
      <c r="AA5619" s="609"/>
    </row>
    <row r="5620" spans="1:27" ht="18.75" thickBot="1">
      <c r="A5620" s="2712"/>
      <c r="B5620" s="371"/>
      <c r="C5620" s="371"/>
      <c r="D5620" s="2714">
        <f t="shared" si="609"/>
        <v>0</v>
      </c>
      <c r="E5620" s="2719" t="s">
        <v>3595</v>
      </c>
      <c r="F5620" s="294"/>
      <c r="G5620" s="2427"/>
      <c r="H5620" s="2499"/>
      <c r="I5620" s="2483"/>
      <c r="J5620" s="2499"/>
      <c r="K5620" s="2485"/>
      <c r="L5620" s="1602"/>
      <c r="M5620" s="1602"/>
      <c r="N5620" s="1602"/>
      <c r="O5620" s="1602"/>
      <c r="P5620" s="1602"/>
      <c r="Q5620" s="1602"/>
      <c r="R5620" s="1602"/>
      <c r="S5620" s="364"/>
      <c r="Z5620" s="609" t="s">
        <v>2129</v>
      </c>
      <c r="AA5620" s="609"/>
    </row>
    <row r="5621" spans="1:27" ht="18">
      <c r="A5621" s="2712"/>
      <c r="B5621" s="371"/>
      <c r="C5621" s="371" t="s">
        <v>2755</v>
      </c>
      <c r="D5621" s="371"/>
      <c r="F5621" s="294"/>
      <c r="G5621" s="301"/>
      <c r="H5621" s="315"/>
      <c r="I5621" s="315"/>
      <c r="J5621" s="315"/>
      <c r="K5621" s="315"/>
      <c r="L5621" s="1602"/>
      <c r="M5621" s="1602"/>
      <c r="N5621" s="1602"/>
      <c r="O5621" s="1602"/>
      <c r="P5621" s="1602"/>
      <c r="Q5621" s="1602"/>
      <c r="R5621" s="1602"/>
      <c r="S5621" s="364"/>
      <c r="Z5621" s="609" t="s">
        <v>2129</v>
      </c>
      <c r="AA5621" s="609"/>
    </row>
    <row r="5622" spans="1:27" ht="18">
      <c r="A5622" s="2712">
        <v>9120</v>
      </c>
      <c r="B5622" s="371" t="s">
        <v>6568</v>
      </c>
      <c r="C5622" s="2714" t="str">
        <f>VLOOKUP($A5622,Sheet_Items,2,0)</f>
        <v>关联方交易</v>
      </c>
      <c r="D5622" s="371"/>
      <c r="E5622" s="2714" t="s">
        <v>2739</v>
      </c>
      <c r="F5622" s="294"/>
      <c r="G5622" s="305" t="str">
        <f>B5622&amp;" "&amp;C5622</f>
        <v>十 关联方交易</v>
      </c>
      <c r="H5622" s="306"/>
      <c r="I5622" s="306"/>
      <c r="J5622" s="306"/>
      <c r="K5622" s="539"/>
      <c r="L5622" s="342"/>
      <c r="M5622" s="306"/>
      <c r="N5622" s="539"/>
      <c r="O5622" s="306"/>
      <c r="P5622" s="301"/>
      <c r="S5622" s="364"/>
      <c r="Z5622" s="609" t="s">
        <v>2066</v>
      </c>
      <c r="AA5622" s="609"/>
    </row>
    <row r="5623" spans="1:27" ht="24">
      <c r="A5623" s="2712" t="s">
        <v>2064</v>
      </c>
      <c r="B5623" s="371">
        <v>5.1100000000000003</v>
      </c>
      <c r="C5623" s="371"/>
      <c r="D5623" s="2714" t="str">
        <f>VLOOKUP($A5623,Sheet_NoteList,2,0)</f>
        <v>采购商品、接受劳务的关联交易情况</v>
      </c>
      <c r="E5623" s="2714" t="s">
        <v>2742</v>
      </c>
      <c r="F5623" s="293"/>
      <c r="G5623" s="372" t="str">
        <f>"("&amp;B5623&amp;")"&amp;D5623</f>
        <v>(5.11)采购商品、接受劳务的关联交易情况</v>
      </c>
      <c r="H5623" s="1515" t="str">
        <f>$A5623</f>
        <v>9120m</v>
      </c>
      <c r="I5623" s="343" t="s">
        <v>2743</v>
      </c>
      <c r="J5623" s="301" t="s">
        <v>2744</v>
      </c>
      <c r="K5623" s="2208">
        <f>H5634</f>
        <v>0</v>
      </c>
      <c r="L5623" s="349"/>
      <c r="M5623" s="301" t="s">
        <v>2745</v>
      </c>
      <c r="N5623" s="2208">
        <f>I5634</f>
        <v>0</v>
      </c>
      <c r="O5623" s="349"/>
      <c r="P5623" s="301"/>
      <c r="S5623" s="364"/>
      <c r="Z5623" s="609" t="s">
        <v>2066</v>
      </c>
      <c r="AA5623" s="609" t="s">
        <v>19</v>
      </c>
    </row>
    <row r="5624" spans="1:27" ht="0.75" customHeight="1" thickBot="1">
      <c r="A5624" s="2712"/>
      <c r="B5624" s="371"/>
      <c r="C5624" s="371"/>
      <c r="D5624" s="2714"/>
      <c r="E5624" s="586"/>
      <c r="F5624" s="586"/>
      <c r="G5624" s="2222" t="s">
        <v>4435</v>
      </c>
      <c r="H5624" s="371" t="s">
        <v>3067</v>
      </c>
      <c r="I5624" s="371" t="s">
        <v>2748</v>
      </c>
      <c r="J5624" s="371" t="s">
        <v>2948</v>
      </c>
      <c r="K5624" s="428"/>
      <c r="L5624" s="428"/>
      <c r="M5624" s="433"/>
      <c r="N5624" s="428"/>
      <c r="O5624" s="428"/>
      <c r="P5624" s="433"/>
      <c r="Q5624" s="442"/>
      <c r="R5624" s="443"/>
      <c r="S5624" s="364"/>
      <c r="Z5624" s="609" t="s">
        <v>2066</v>
      </c>
      <c r="AA5624" s="609" t="s">
        <v>19</v>
      </c>
    </row>
    <row r="5625" spans="1:27" ht="18">
      <c r="A5625" s="2712"/>
      <c r="B5625" s="371"/>
      <c r="C5625" s="371"/>
      <c r="D5625" s="2714"/>
      <c r="E5625" s="586" t="s">
        <v>2749</v>
      </c>
      <c r="F5625" s="414"/>
      <c r="G5625" s="2455" t="s">
        <v>4436</v>
      </c>
      <c r="H5625" s="2462" t="s">
        <v>4437</v>
      </c>
      <c r="I5625" s="2462" t="str">
        <f>$W$4&amp;"发生额"</f>
        <v>2019年度发生额</v>
      </c>
      <c r="J5625" s="2467" t="str">
        <f>$W$5&amp;"发生额"</f>
        <v>2018年度发生额</v>
      </c>
      <c r="K5625" s="355" t="s">
        <v>5348</v>
      </c>
      <c r="L5625" s="434"/>
      <c r="M5625" s="435"/>
      <c r="N5625" s="434"/>
      <c r="O5625" s="434"/>
      <c r="P5625" s="435"/>
      <c r="Q5625" s="442"/>
      <c r="R5625" s="443"/>
      <c r="S5625" s="364"/>
      <c r="Z5625" s="609" t="s">
        <v>2066</v>
      </c>
      <c r="AA5625" s="609" t="s">
        <v>19</v>
      </c>
    </row>
    <row r="5626" spans="1:27" ht="18">
      <c r="A5626" s="2712"/>
      <c r="B5626" s="371">
        <v>101</v>
      </c>
      <c r="C5626" s="371" t="s">
        <v>2791</v>
      </c>
      <c r="D5626" s="2714">
        <f t="shared" ref="D5626:D5634" si="610">IF(OR(G5626="*",G5626="",G5626=0),0,COUNTIF($G$5626:$G$5634,G5626))</f>
        <v>0</v>
      </c>
      <c r="E5626" s="2719">
        <v>1</v>
      </c>
      <c r="F5626" s="293"/>
      <c r="G5626" s="2465" t="s">
        <v>2792</v>
      </c>
      <c r="H5626" s="2296"/>
      <c r="I5626" s="2273"/>
      <c r="J5626" s="2294"/>
      <c r="K5626" s="439"/>
      <c r="L5626" s="437"/>
      <c r="M5626" s="438"/>
      <c r="N5626" s="439"/>
      <c r="O5626" s="437"/>
      <c r="P5626" s="438"/>
      <c r="Q5626" s="442"/>
      <c r="R5626" s="443"/>
      <c r="S5626" s="364"/>
      <c r="Z5626" s="609" t="s">
        <v>2066</v>
      </c>
      <c r="AA5626" s="609" t="s">
        <v>19</v>
      </c>
    </row>
    <row r="5627" spans="1:27" ht="18">
      <c r="A5627" s="2712"/>
      <c r="B5627" s="371">
        <v>102</v>
      </c>
      <c r="C5627" s="371" t="s">
        <v>2791</v>
      </c>
      <c r="D5627" s="2714">
        <f t="shared" si="610"/>
        <v>0</v>
      </c>
      <c r="E5627" s="2719">
        <v>1</v>
      </c>
      <c r="F5627" s="293"/>
      <c r="G5627" s="2465" t="s">
        <v>2792</v>
      </c>
      <c r="H5627" s="2296"/>
      <c r="I5627" s="2273"/>
      <c r="J5627" s="2294"/>
      <c r="L5627" s="437"/>
      <c r="M5627" s="438"/>
      <c r="N5627" s="439"/>
      <c r="O5627" s="437"/>
      <c r="P5627" s="438"/>
      <c r="Q5627" s="442"/>
      <c r="R5627" s="443"/>
      <c r="S5627" s="364"/>
      <c r="Z5627" s="609" t="s">
        <v>2066</v>
      </c>
      <c r="AA5627" s="609" t="s">
        <v>19</v>
      </c>
    </row>
    <row r="5628" spans="1:27" ht="18">
      <c r="A5628" s="2712"/>
      <c r="B5628" s="371">
        <v>103</v>
      </c>
      <c r="C5628" s="371" t="s">
        <v>2791</v>
      </c>
      <c r="D5628" s="2714">
        <f t="shared" si="610"/>
        <v>0</v>
      </c>
      <c r="E5628" s="2719">
        <v>1</v>
      </c>
      <c r="F5628" s="293"/>
      <c r="G5628" s="2465" t="s">
        <v>2792</v>
      </c>
      <c r="H5628" s="2296"/>
      <c r="I5628" s="2273"/>
      <c r="J5628" s="2294"/>
      <c r="L5628" s="437"/>
      <c r="M5628" s="438"/>
      <c r="N5628" s="439"/>
      <c r="O5628" s="437"/>
      <c r="P5628" s="438"/>
      <c r="Q5628" s="442"/>
      <c r="R5628" s="443"/>
      <c r="S5628" s="364"/>
      <c r="Z5628" s="609" t="s">
        <v>2066</v>
      </c>
      <c r="AA5628" s="609" t="s">
        <v>19</v>
      </c>
    </row>
    <row r="5629" spans="1:27" ht="18">
      <c r="A5629" s="2712"/>
      <c r="B5629" s="371">
        <v>104</v>
      </c>
      <c r="C5629" s="371" t="s">
        <v>2791</v>
      </c>
      <c r="D5629" s="2714">
        <f t="shared" si="610"/>
        <v>0</v>
      </c>
      <c r="E5629" s="2719">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8">
      <c r="A5630" s="2712"/>
      <c r="B5630" s="371">
        <v>105</v>
      </c>
      <c r="C5630" s="371" t="s">
        <v>2791</v>
      </c>
      <c r="D5630" s="2714">
        <f t="shared" si="610"/>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8">
      <c r="A5631" s="2712"/>
      <c r="B5631" s="371">
        <v>106</v>
      </c>
      <c r="C5631" s="371" t="s">
        <v>2791</v>
      </c>
      <c r="D5631" s="2714">
        <f t="shared" si="610"/>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
      <c r="A5632" s="2712"/>
      <c r="B5632" s="371">
        <v>107</v>
      </c>
      <c r="C5632" s="371" t="s">
        <v>2791</v>
      </c>
      <c r="D5632" s="2714">
        <f t="shared" si="610"/>
        <v>0</v>
      </c>
      <c r="E5632" s="2719">
        <v>1</v>
      </c>
      <c r="F5632" s="293"/>
      <c r="G5632" s="2465" t="s">
        <v>2792</v>
      </c>
      <c r="H5632" s="2296"/>
      <c r="I5632" s="2273"/>
      <c r="J5632" s="2294"/>
      <c r="K5632" s="439"/>
      <c r="L5632" s="437"/>
      <c r="M5632" s="438"/>
      <c r="N5632" s="439"/>
      <c r="O5632" s="437"/>
      <c r="P5632" s="438"/>
      <c r="Q5632" s="442"/>
      <c r="R5632" s="443"/>
      <c r="S5632" s="364"/>
      <c r="Z5632" s="609" t="s">
        <v>2066</v>
      </c>
      <c r="AA5632" s="609" t="s">
        <v>19</v>
      </c>
    </row>
    <row r="5633" spans="1:27" ht="18">
      <c r="A5633" s="2712"/>
      <c r="B5633" s="371">
        <v>108</v>
      </c>
      <c r="C5633" s="371" t="s">
        <v>2791</v>
      </c>
      <c r="D5633" s="2714">
        <f t="shared" si="610"/>
        <v>0</v>
      </c>
      <c r="E5633" s="2719">
        <v>1</v>
      </c>
      <c r="F5633" s="293"/>
      <c r="G5633" s="2465" t="s">
        <v>2792</v>
      </c>
      <c r="H5633" s="2296"/>
      <c r="I5633" s="2273"/>
      <c r="J5633" s="2294"/>
      <c r="K5633" s="439"/>
      <c r="L5633" s="437"/>
      <c r="M5633" s="438"/>
      <c r="N5633" s="439"/>
      <c r="O5633" s="437"/>
      <c r="P5633" s="438"/>
      <c r="Q5633" s="442"/>
      <c r="R5633" s="443"/>
      <c r="S5633" s="364"/>
      <c r="Z5633" s="609" t="s">
        <v>2066</v>
      </c>
      <c r="AA5633" s="609" t="s">
        <v>19</v>
      </c>
    </row>
    <row r="5634" spans="1:27" ht="18.75" thickBot="1">
      <c r="A5634" s="2712"/>
      <c r="B5634" s="371"/>
      <c r="C5634" s="371"/>
      <c r="D5634" s="2714">
        <f t="shared" si="610"/>
        <v>1</v>
      </c>
      <c r="E5634" s="2719" t="s">
        <v>2751</v>
      </c>
      <c r="F5634" s="293"/>
      <c r="G5634" s="374" t="s">
        <v>2752</v>
      </c>
      <c r="H5634" s="2259"/>
      <c r="I5634" s="1476">
        <f>SUMPRODUCT($E5625:$E5633,I5625:I5633)</f>
        <v>0</v>
      </c>
      <c r="J5634" s="1477">
        <f>SUMPRODUCT($E5625:$E5633,J5625:J5633)</f>
        <v>0</v>
      </c>
      <c r="K5634" s="439"/>
      <c r="L5634" s="437"/>
      <c r="M5634" s="440"/>
      <c r="N5634" s="439"/>
      <c r="O5634" s="437"/>
      <c r="P5634" s="440"/>
      <c r="Q5634" s="442"/>
      <c r="R5634" s="443"/>
      <c r="S5634" s="364"/>
      <c r="Z5634" s="609" t="s">
        <v>2066</v>
      </c>
      <c r="AA5634" s="609" t="s">
        <v>19</v>
      </c>
    </row>
    <row r="5635" spans="1:27" ht="18">
      <c r="A5635" s="2712"/>
      <c r="B5635" s="371"/>
      <c r="C5635" s="371" t="s">
        <v>2755</v>
      </c>
      <c r="D5635" s="2714"/>
      <c r="F5635" s="293"/>
      <c r="G5635" s="376"/>
      <c r="H5635" s="393"/>
      <c r="I5635" s="396"/>
      <c r="J5635" s="315"/>
      <c r="K5635" s="426"/>
      <c r="L5635" s="427"/>
      <c r="M5635" s="425"/>
      <c r="N5635" s="426"/>
      <c r="O5635" s="427"/>
      <c r="P5635" s="425"/>
      <c r="Q5635" s="442"/>
      <c r="R5635" s="443"/>
      <c r="S5635" s="364"/>
      <c r="Z5635" s="609" t="s">
        <v>2066</v>
      </c>
      <c r="AA5635" s="609" t="s">
        <v>19</v>
      </c>
    </row>
    <row r="5636" spans="1:27" ht="24">
      <c r="A5636" s="2712" t="s">
        <v>2067</v>
      </c>
      <c r="B5636" s="371">
        <v>5.12</v>
      </c>
      <c r="C5636" s="371"/>
      <c r="D5636" s="2714" t="str">
        <f>VLOOKUP($A5636,Sheet_NoteList,2,0)</f>
        <v>出售商品、提供劳务的关联交易情况</v>
      </c>
      <c r="E5636" s="2714" t="s">
        <v>2742</v>
      </c>
      <c r="F5636" s="293"/>
      <c r="G5636" s="372" t="str">
        <f>"("&amp;B5636&amp;")"&amp;D5636</f>
        <v>(5.12)出售商品、提供劳务的关联交易情况</v>
      </c>
      <c r="H5636" s="1515" t="str">
        <f>$A5636</f>
        <v>9120n</v>
      </c>
      <c r="I5636" s="343" t="s">
        <v>2743</v>
      </c>
      <c r="J5636" s="301" t="s">
        <v>2744</v>
      </c>
      <c r="K5636" s="2208">
        <f>I5647</f>
        <v>0</v>
      </c>
      <c r="L5636" s="349"/>
      <c r="M5636" s="301" t="s">
        <v>2745</v>
      </c>
      <c r="N5636" s="2208">
        <f>J5647</f>
        <v>0</v>
      </c>
      <c r="O5636" s="349"/>
      <c r="P5636" s="301"/>
      <c r="S5636" s="364"/>
      <c r="Z5636" s="609" t="s">
        <v>2066</v>
      </c>
      <c r="AA5636" s="609" t="s">
        <v>19</v>
      </c>
    </row>
    <row r="5637" spans="1:27" ht="0.75" customHeight="1" thickBot="1">
      <c r="A5637" s="2712"/>
      <c r="B5637" s="371"/>
      <c r="C5637" s="371"/>
      <c r="D5637" s="2714"/>
      <c r="E5637" s="586"/>
      <c r="F5637" s="586"/>
      <c r="G5637" s="2222" t="s">
        <v>4438</v>
      </c>
      <c r="H5637" s="371" t="s">
        <v>3067</v>
      </c>
      <c r="I5637" s="371" t="s">
        <v>2748</v>
      </c>
      <c r="J5637" s="371" t="s">
        <v>2948</v>
      </c>
      <c r="K5637" s="428"/>
      <c r="L5637" s="428"/>
      <c r="M5637" s="433"/>
      <c r="N5637" s="428"/>
      <c r="O5637" s="428"/>
      <c r="P5637" s="433"/>
      <c r="Q5637" s="442"/>
      <c r="R5637" s="443"/>
      <c r="S5637" s="364"/>
      <c r="Z5637" s="609" t="s">
        <v>2066</v>
      </c>
      <c r="AA5637" s="609" t="s">
        <v>19</v>
      </c>
    </row>
    <row r="5638" spans="1:27" ht="18">
      <c r="A5638" s="2712"/>
      <c r="B5638" s="371"/>
      <c r="C5638" s="371"/>
      <c r="D5638" s="2714"/>
      <c r="E5638" s="586" t="s">
        <v>2749</v>
      </c>
      <c r="F5638" s="414"/>
      <c r="G5638" s="2455" t="s">
        <v>4436</v>
      </c>
      <c r="H5638" s="2462" t="s">
        <v>4437</v>
      </c>
      <c r="I5638" s="2462" t="str">
        <f>$W$4&amp;"发生额"</f>
        <v>2019年度发生额</v>
      </c>
      <c r="J5638" s="2467" t="str">
        <f>$W$5&amp;"发生额"</f>
        <v>2018年度发生额</v>
      </c>
      <c r="K5638" s="355" t="s">
        <v>5348</v>
      </c>
      <c r="L5638" s="434"/>
      <c r="M5638" s="435"/>
      <c r="N5638" s="434"/>
      <c r="O5638" s="434"/>
      <c r="P5638" s="435"/>
      <c r="Q5638" s="442"/>
      <c r="R5638" s="443"/>
      <c r="S5638" s="364"/>
      <c r="Z5638" s="609" t="s">
        <v>2066</v>
      </c>
      <c r="AA5638" s="609" t="s">
        <v>19</v>
      </c>
    </row>
    <row r="5639" spans="1:27" ht="18">
      <c r="A5639" s="2712"/>
      <c r="B5639" s="371">
        <v>101</v>
      </c>
      <c r="C5639" s="371" t="s">
        <v>2791</v>
      </c>
      <c r="D5639" s="2714">
        <f t="shared" ref="D5639:D5647" si="611">IF(OR(G5639="*",G5639="",G5639=0),0,COUNTIF($G$5639:$G$5647,G5639))</f>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2"/>
      <c r="B5640" s="371">
        <v>102</v>
      </c>
      <c r="C5640" s="371" t="s">
        <v>2791</v>
      </c>
      <c r="D5640" s="2714">
        <f t="shared" si="611"/>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103</v>
      </c>
      <c r="C5641" s="371" t="s">
        <v>2791</v>
      </c>
      <c r="D5641" s="2714">
        <f t="shared" si="611"/>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104</v>
      </c>
      <c r="C5642" s="371" t="s">
        <v>2791</v>
      </c>
      <c r="D5642" s="2714">
        <f t="shared" si="611"/>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105</v>
      </c>
      <c r="C5643" s="371" t="s">
        <v>2791</v>
      </c>
      <c r="D5643" s="2714">
        <f t="shared" si="611"/>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
      <c r="A5644" s="2712"/>
      <c r="B5644" s="371">
        <v>106</v>
      </c>
      <c r="C5644" s="371" t="s">
        <v>2791</v>
      </c>
      <c r="D5644" s="2714">
        <f t="shared" si="611"/>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
      <c r="A5645" s="2712"/>
      <c r="B5645" s="371">
        <v>107</v>
      </c>
      <c r="C5645" s="371" t="s">
        <v>2791</v>
      </c>
      <c r="D5645" s="2714">
        <f t="shared" si="611"/>
        <v>0</v>
      </c>
      <c r="E5645" s="2719">
        <v>1</v>
      </c>
      <c r="F5645" s="293"/>
      <c r="G5645" s="2465" t="s">
        <v>2792</v>
      </c>
      <c r="H5645" s="2296"/>
      <c r="I5645" s="2273"/>
      <c r="J5645" s="2294"/>
      <c r="K5645" s="439"/>
      <c r="L5645" s="437"/>
      <c r="M5645" s="438"/>
      <c r="N5645" s="439"/>
      <c r="O5645" s="437"/>
      <c r="P5645" s="438"/>
      <c r="Q5645" s="442"/>
      <c r="R5645" s="443"/>
      <c r="S5645" s="364"/>
      <c r="Z5645" s="609" t="s">
        <v>2066</v>
      </c>
      <c r="AA5645" s="609" t="s">
        <v>19</v>
      </c>
    </row>
    <row r="5646" spans="1:27" ht="18">
      <c r="A5646" s="2712"/>
      <c r="B5646" s="371">
        <v>108</v>
      </c>
      <c r="C5646" s="371" t="s">
        <v>2791</v>
      </c>
      <c r="D5646" s="2714">
        <f t="shared" si="611"/>
        <v>0</v>
      </c>
      <c r="E5646" s="2719">
        <v>1</v>
      </c>
      <c r="F5646" s="293"/>
      <c r="G5646" s="2465" t="s">
        <v>2792</v>
      </c>
      <c r="H5646" s="2296"/>
      <c r="I5646" s="2273"/>
      <c r="J5646" s="2294"/>
      <c r="K5646" s="439"/>
      <c r="L5646" s="437"/>
      <c r="M5646" s="438"/>
      <c r="N5646" s="439"/>
      <c r="O5646" s="437"/>
      <c r="P5646" s="438"/>
      <c r="Q5646" s="442"/>
      <c r="R5646" s="443"/>
      <c r="S5646" s="364"/>
      <c r="Z5646" s="609" t="s">
        <v>2066</v>
      </c>
      <c r="AA5646" s="609" t="s">
        <v>19</v>
      </c>
    </row>
    <row r="5647" spans="1:27" ht="18.75" thickBot="1">
      <c r="A5647" s="2712"/>
      <c r="B5647" s="371"/>
      <c r="C5647" s="371"/>
      <c r="D5647" s="2714">
        <f t="shared" si="611"/>
        <v>1</v>
      </c>
      <c r="E5647" s="2719" t="s">
        <v>2751</v>
      </c>
      <c r="F5647" s="293"/>
      <c r="G5647" s="374" t="s">
        <v>2752</v>
      </c>
      <c r="H5647" s="2259"/>
      <c r="I5647" s="1476">
        <f>SUMPRODUCT($E5638:$E5646,I5638:I5646)</f>
        <v>0</v>
      </c>
      <c r="J5647" s="1477">
        <f>SUMPRODUCT($E5638:$E5646,J5638:J5646)</f>
        <v>0</v>
      </c>
      <c r="K5647" s="439"/>
      <c r="L5647" s="437"/>
      <c r="M5647" s="440"/>
      <c r="N5647" s="439"/>
      <c r="O5647" s="437"/>
      <c r="P5647" s="440"/>
      <c r="Q5647" s="442"/>
      <c r="R5647" s="443"/>
      <c r="S5647" s="364"/>
      <c r="Z5647" s="609" t="s">
        <v>2066</v>
      </c>
      <c r="AA5647" s="609" t="s">
        <v>19</v>
      </c>
    </row>
    <row r="5648" spans="1:27" ht="18">
      <c r="A5648" s="2712"/>
      <c r="B5648" s="371"/>
      <c r="C5648" s="371" t="s">
        <v>2755</v>
      </c>
      <c r="D5648" s="2714"/>
      <c r="F5648" s="293"/>
      <c r="G5648" s="376"/>
      <c r="H5648" s="393"/>
      <c r="I5648" s="396"/>
      <c r="J5648" s="315"/>
      <c r="K5648" s="426"/>
      <c r="L5648" s="427"/>
      <c r="M5648" s="425"/>
      <c r="N5648" s="426"/>
      <c r="O5648" s="427"/>
      <c r="P5648" s="425"/>
      <c r="Q5648" s="442"/>
      <c r="R5648" s="443"/>
      <c r="S5648" s="364"/>
      <c r="Z5648" s="609" t="s">
        <v>2066</v>
      </c>
      <c r="AA5648" s="609" t="s">
        <v>19</v>
      </c>
    </row>
    <row r="5649" spans="1:27" ht="24">
      <c r="A5649" s="2712" t="s">
        <v>2069</v>
      </c>
      <c r="B5649" s="371">
        <v>5.21</v>
      </c>
      <c r="C5649" s="371"/>
      <c r="D5649" s="2714" t="str">
        <f>VLOOKUP($A5649,Sheet_NoteList,2,0)</f>
        <v>受托管理或承包情况表</v>
      </c>
      <c r="E5649" s="2714" t="s">
        <v>2742</v>
      </c>
      <c r="F5649" s="294"/>
      <c r="G5649" s="483" t="str">
        <f>"("&amp;B5649&amp;")"&amp;D5649</f>
        <v>(5.21)受托管理或承包情况表</v>
      </c>
      <c r="H5649" s="1515" t="str">
        <f>$A5649</f>
        <v>9120c</v>
      </c>
      <c r="I5649" s="343" t="s">
        <v>2743</v>
      </c>
      <c r="J5649" s="301"/>
      <c r="K5649" s="3083"/>
      <c r="L5649" s="315"/>
      <c r="M5649" s="301"/>
      <c r="N5649" s="3083"/>
      <c r="O5649" s="315"/>
      <c r="P5649" s="301"/>
      <c r="S5649" s="364"/>
      <c r="Z5649" s="609" t="s">
        <v>2066</v>
      </c>
      <c r="AA5649" s="609"/>
    </row>
    <row r="5650" spans="1:27" ht="0.75" customHeight="1" thickBot="1">
      <c r="A5650" s="2712"/>
      <c r="B5650" s="371"/>
      <c r="C5650" s="371"/>
      <c r="D5650" s="371"/>
      <c r="E5650" s="586"/>
      <c r="F5650" s="586"/>
      <c r="G5650" s="586" t="s">
        <v>4439</v>
      </c>
      <c r="H5650" s="371" t="s">
        <v>4440</v>
      </c>
      <c r="I5650" s="371" t="s">
        <v>4441</v>
      </c>
      <c r="J5650" s="371" t="s">
        <v>4442</v>
      </c>
      <c r="K5650" s="371" t="s">
        <v>4443</v>
      </c>
      <c r="L5650" s="371" t="s">
        <v>4444</v>
      </c>
      <c r="M5650" s="371" t="s">
        <v>4445</v>
      </c>
      <c r="N5650" s="291"/>
      <c r="O5650" s="291"/>
      <c r="P5650" s="291"/>
      <c r="S5650" s="364"/>
      <c r="Z5650" s="609" t="s">
        <v>2066</v>
      </c>
      <c r="AA5650" s="609"/>
    </row>
    <row r="5651" spans="1:27" ht="24">
      <c r="A5651" s="2712"/>
      <c r="B5651" s="371"/>
      <c r="C5651" s="371"/>
      <c r="D5651" s="371"/>
      <c r="E5651" s="586" t="s">
        <v>2749</v>
      </c>
      <c r="F5651" s="363"/>
      <c r="G5651" s="2455" t="s">
        <v>5236</v>
      </c>
      <c r="H5651" s="2462" t="s">
        <v>5237</v>
      </c>
      <c r="I5651" s="2462" t="s">
        <v>5238</v>
      </c>
      <c r="J5651" s="2462" t="s">
        <v>5239</v>
      </c>
      <c r="K5651" s="2462" t="s">
        <v>5240</v>
      </c>
      <c r="L5651" s="2462" t="s">
        <v>5241</v>
      </c>
      <c r="M5651" s="2467" t="s">
        <v>5242</v>
      </c>
      <c r="N5651" s="355" t="s">
        <v>5348</v>
      </c>
      <c r="O5651" s="291"/>
      <c r="P5651" s="291"/>
      <c r="S5651" s="364"/>
      <c r="Z5651" s="609" t="s">
        <v>2066</v>
      </c>
      <c r="AA5651" s="609"/>
    </row>
    <row r="5652" spans="1:27" ht="18">
      <c r="A5652" s="2712"/>
      <c r="B5652" s="371">
        <v>101</v>
      </c>
      <c r="C5652" s="371" t="s">
        <v>2791</v>
      </c>
      <c r="D5652" s="2714">
        <f t="shared" ref="D5652:D5657" si="612">IF(OR(G5652="*",G5652="",G5652=0),0,COUNTIF($G$5652:$G$5657,G5652))</f>
        <v>0</v>
      </c>
      <c r="E5652" s="2719">
        <v>1</v>
      </c>
      <c r="F5652" s="294"/>
      <c r="G5652" s="2465"/>
      <c r="H5652" s="2296"/>
      <c r="I5652" s="2296"/>
      <c r="J5652" s="2296"/>
      <c r="K5652" s="2296"/>
      <c r="L5652" s="2296"/>
      <c r="M5652" s="2294"/>
      <c r="N5652" s="291"/>
      <c r="O5652" s="291"/>
      <c r="P5652" s="291"/>
      <c r="S5652" s="364"/>
      <c r="Z5652" s="609" t="s">
        <v>2066</v>
      </c>
      <c r="AA5652" s="609"/>
    </row>
    <row r="5653" spans="1:27" ht="18">
      <c r="A5653" s="2712"/>
      <c r="B5653" s="371">
        <v>102</v>
      </c>
      <c r="C5653" s="371" t="s">
        <v>2791</v>
      </c>
      <c r="D5653" s="2714">
        <f t="shared" si="612"/>
        <v>0</v>
      </c>
      <c r="E5653" s="2719">
        <v>1</v>
      </c>
      <c r="F5653" s="294"/>
      <c r="G5653" s="2465" t="s">
        <v>2792</v>
      </c>
      <c r="H5653" s="2296"/>
      <c r="I5653" s="2296"/>
      <c r="J5653" s="2296"/>
      <c r="K5653" s="2296"/>
      <c r="L5653" s="2296"/>
      <c r="M5653" s="2294"/>
      <c r="N5653" s="291"/>
      <c r="O5653" s="291"/>
      <c r="P5653" s="291"/>
      <c r="S5653" s="364"/>
      <c r="Z5653" s="609" t="s">
        <v>2066</v>
      </c>
      <c r="AA5653" s="609"/>
    </row>
    <row r="5654" spans="1:27" ht="18">
      <c r="A5654" s="2712"/>
      <c r="B5654" s="371">
        <v>103</v>
      </c>
      <c r="C5654" s="371" t="s">
        <v>2791</v>
      </c>
      <c r="D5654" s="2714">
        <f t="shared" si="612"/>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8">
      <c r="A5655" s="2712"/>
      <c r="B5655" s="371">
        <v>104</v>
      </c>
      <c r="C5655" s="371" t="s">
        <v>2791</v>
      </c>
      <c r="D5655" s="2714">
        <f t="shared" si="612"/>
        <v>0</v>
      </c>
      <c r="E5655" s="2719">
        <v>1</v>
      </c>
      <c r="F5655" s="294"/>
      <c r="G5655" s="2465" t="s">
        <v>2792</v>
      </c>
      <c r="H5655" s="2296"/>
      <c r="I5655" s="2296"/>
      <c r="J5655" s="2296"/>
      <c r="K5655" s="2296"/>
      <c r="L5655" s="2296"/>
      <c r="M5655" s="2294"/>
      <c r="N5655" s="291"/>
      <c r="O5655" s="291"/>
      <c r="P5655" s="291"/>
      <c r="S5655" s="364"/>
      <c r="Z5655" s="609" t="s">
        <v>2066</v>
      </c>
      <c r="AA5655" s="609"/>
    </row>
    <row r="5656" spans="1:27" ht="18">
      <c r="A5656" s="2712"/>
      <c r="B5656" s="371">
        <v>105</v>
      </c>
      <c r="C5656" s="371" t="s">
        <v>2791</v>
      </c>
      <c r="D5656" s="2714">
        <f t="shared" si="612"/>
        <v>0</v>
      </c>
      <c r="E5656" s="2719">
        <v>1</v>
      </c>
      <c r="F5656" s="294"/>
      <c r="G5656" s="2465" t="s">
        <v>2792</v>
      </c>
      <c r="H5656" s="2296"/>
      <c r="I5656" s="2296"/>
      <c r="J5656" s="2296"/>
      <c r="K5656" s="2296"/>
      <c r="L5656" s="2296"/>
      <c r="M5656" s="2294"/>
      <c r="N5656" s="291"/>
      <c r="O5656" s="291"/>
      <c r="P5656" s="291"/>
      <c r="S5656" s="364"/>
      <c r="Z5656" s="609" t="s">
        <v>2066</v>
      </c>
      <c r="AA5656" s="609"/>
    </row>
    <row r="5657" spans="1:27" ht="18.75" thickBot="1">
      <c r="A5657" s="2712"/>
      <c r="B5657" s="371"/>
      <c r="C5657" s="371"/>
      <c r="D5657" s="2714">
        <f t="shared" si="612"/>
        <v>1</v>
      </c>
      <c r="E5657" s="2719" t="s">
        <v>3032</v>
      </c>
      <c r="F5657" s="294"/>
      <c r="G5657" s="374" t="s">
        <v>2752</v>
      </c>
      <c r="H5657" s="2259"/>
      <c r="I5657" s="2259"/>
      <c r="J5657" s="2259"/>
      <c r="K5657" s="2259"/>
      <c r="L5657" s="2259"/>
      <c r="M5657" s="1477">
        <f>SUMPRODUCT($E5651:$E5656,M5651:M5656)</f>
        <v>0</v>
      </c>
      <c r="N5657" s="291"/>
      <c r="O5657" s="291"/>
      <c r="P5657" s="291"/>
      <c r="S5657" s="364"/>
      <c r="Z5657" s="609" t="s">
        <v>2066</v>
      </c>
      <c r="AA5657" s="609"/>
    </row>
    <row r="5658" spans="1:27" ht="18">
      <c r="A5658" s="2712"/>
      <c r="B5658" s="371"/>
      <c r="C5658" s="371" t="s">
        <v>2755</v>
      </c>
      <c r="D5658" s="371"/>
      <c r="F5658" s="294"/>
      <c r="G5658" s="301"/>
      <c r="H5658" s="393"/>
      <c r="I5658" s="393"/>
      <c r="J5658" s="393"/>
      <c r="K5658" s="393"/>
      <c r="L5658" s="393"/>
      <c r="M5658" s="315"/>
      <c r="N5658" s="291"/>
      <c r="O5658" s="291"/>
      <c r="P5658" s="291"/>
      <c r="S5658" s="364"/>
      <c r="Z5658" s="609" t="s">
        <v>2066</v>
      </c>
      <c r="AA5658" s="609"/>
    </row>
    <row r="5659" spans="1:27" ht="24">
      <c r="A5659" s="2712" t="s">
        <v>2072</v>
      </c>
      <c r="B5659" s="371">
        <v>5.22</v>
      </c>
      <c r="C5659" s="371"/>
      <c r="D5659" s="2714" t="str">
        <f>VLOOKUP($A5659,Sheet_NoteList,2,0)</f>
        <v>委托管理或出包情况表</v>
      </c>
      <c r="E5659" s="2714" t="s">
        <v>2742</v>
      </c>
      <c r="F5659" s="294"/>
      <c r="G5659" s="483" t="str">
        <f>"("&amp;B5659&amp;")"&amp;D5659</f>
        <v>(5.22)委托管理或出包情况表</v>
      </c>
      <c r="H5659" s="1515" t="str">
        <f>$A5659</f>
        <v>9120d</v>
      </c>
      <c r="I5659" s="343" t="s">
        <v>2743</v>
      </c>
      <c r="J5659" s="301"/>
      <c r="K5659" s="3083"/>
      <c r="L5659" s="315"/>
      <c r="M5659" s="301"/>
      <c r="N5659" s="3083"/>
      <c r="O5659" s="315"/>
      <c r="P5659" s="301"/>
      <c r="S5659" s="364"/>
      <c r="Z5659" s="609" t="s">
        <v>2066</v>
      </c>
      <c r="AA5659" s="609"/>
    </row>
    <row r="5660" spans="1:27" ht="0.75" customHeight="1" thickBot="1">
      <c r="A5660" s="2712"/>
      <c r="B5660" s="371"/>
      <c r="C5660" s="371"/>
      <c r="D5660" s="371"/>
      <c r="E5660" s="586"/>
      <c r="F5660" s="586"/>
      <c r="G5660" s="586" t="s">
        <v>4446</v>
      </c>
      <c r="H5660" s="371" t="s">
        <v>4440</v>
      </c>
      <c r="I5660" s="371" t="s">
        <v>4441</v>
      </c>
      <c r="J5660" s="371" t="s">
        <v>4442</v>
      </c>
      <c r="K5660" s="371" t="s">
        <v>4443</v>
      </c>
      <c r="L5660" s="371" t="s">
        <v>4444</v>
      </c>
      <c r="M5660" s="371" t="s">
        <v>4447</v>
      </c>
      <c r="N5660" s="291"/>
      <c r="O5660" s="291"/>
      <c r="P5660" s="291"/>
      <c r="S5660" s="364"/>
      <c r="Z5660" s="609" t="s">
        <v>2066</v>
      </c>
      <c r="AA5660" s="609"/>
    </row>
    <row r="5661" spans="1:27" ht="24">
      <c r="A5661" s="2712"/>
      <c r="B5661" s="371"/>
      <c r="C5661" s="371"/>
      <c r="D5661" s="371"/>
      <c r="E5661" s="586" t="s">
        <v>2749</v>
      </c>
      <c r="F5661" s="363"/>
      <c r="G5661" s="2455" t="s">
        <v>5236</v>
      </c>
      <c r="H5661" s="2462" t="s">
        <v>5237</v>
      </c>
      <c r="I5661" s="2462" t="s">
        <v>5243</v>
      </c>
      <c r="J5661" s="2462" t="s">
        <v>5244</v>
      </c>
      <c r="K5661" s="2462" t="s">
        <v>5245</v>
      </c>
      <c r="L5661" s="2462" t="s">
        <v>5246</v>
      </c>
      <c r="M5661" s="2467" t="s">
        <v>5247</v>
      </c>
      <c r="N5661" s="355" t="s">
        <v>5348</v>
      </c>
      <c r="O5661" s="291"/>
      <c r="P5661" s="291"/>
      <c r="S5661" s="364"/>
      <c r="Z5661" s="609" t="s">
        <v>2066</v>
      </c>
      <c r="AA5661" s="609"/>
    </row>
    <row r="5662" spans="1:27" ht="18">
      <c r="A5662" s="2712"/>
      <c r="B5662" s="371">
        <v>101</v>
      </c>
      <c r="C5662" s="371" t="s">
        <v>2791</v>
      </c>
      <c r="D5662" s="2714">
        <f t="shared" ref="D5662:D5667" si="613">IF(OR(G5662="*",G5662="",G5662=0),0,COUNTIF($G$5662:$G$5667,G5662))</f>
        <v>0</v>
      </c>
      <c r="E5662" s="2719">
        <v>1</v>
      </c>
      <c r="F5662" s="294"/>
      <c r="G5662" s="2465"/>
      <c r="H5662" s="2296"/>
      <c r="I5662" s="2296"/>
      <c r="J5662" s="2296"/>
      <c r="K5662" s="2296"/>
      <c r="L5662" s="2296"/>
      <c r="M5662" s="2294"/>
      <c r="N5662" s="291"/>
      <c r="O5662" s="291"/>
      <c r="P5662" s="291"/>
      <c r="S5662" s="364"/>
      <c r="Z5662" s="609" t="s">
        <v>2066</v>
      </c>
      <c r="AA5662" s="609"/>
    </row>
    <row r="5663" spans="1:27" ht="18">
      <c r="A5663" s="2712"/>
      <c r="B5663" s="371">
        <v>102</v>
      </c>
      <c r="C5663" s="371" t="s">
        <v>2791</v>
      </c>
      <c r="D5663" s="2714">
        <f t="shared" si="613"/>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8">
      <c r="A5664" s="2712"/>
      <c r="B5664" s="371">
        <v>103</v>
      </c>
      <c r="C5664" s="371" t="s">
        <v>2791</v>
      </c>
      <c r="D5664" s="2714">
        <f t="shared" si="613"/>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
      <c r="A5665" s="2712"/>
      <c r="B5665" s="371">
        <v>104</v>
      </c>
      <c r="C5665" s="371" t="s">
        <v>2791</v>
      </c>
      <c r="D5665" s="2714">
        <f t="shared" si="613"/>
        <v>0</v>
      </c>
      <c r="E5665" s="2719">
        <v>1</v>
      </c>
      <c r="F5665" s="294"/>
      <c r="G5665" s="2465" t="s">
        <v>2792</v>
      </c>
      <c r="H5665" s="2296"/>
      <c r="I5665" s="2296"/>
      <c r="J5665" s="2296"/>
      <c r="K5665" s="2296"/>
      <c r="L5665" s="2296"/>
      <c r="M5665" s="2294"/>
      <c r="N5665" s="291"/>
      <c r="O5665" s="291"/>
      <c r="P5665" s="291"/>
      <c r="S5665" s="364"/>
      <c r="Z5665" s="609" t="s">
        <v>2066</v>
      </c>
      <c r="AA5665" s="609"/>
    </row>
    <row r="5666" spans="1:27" ht="18">
      <c r="A5666" s="2712"/>
      <c r="B5666" s="371">
        <v>105</v>
      </c>
      <c r="C5666" s="371" t="s">
        <v>2791</v>
      </c>
      <c r="D5666" s="2714">
        <f t="shared" si="613"/>
        <v>0</v>
      </c>
      <c r="E5666" s="2719">
        <v>1</v>
      </c>
      <c r="F5666" s="294"/>
      <c r="G5666" s="2465" t="s">
        <v>2792</v>
      </c>
      <c r="H5666" s="2296"/>
      <c r="I5666" s="2296"/>
      <c r="J5666" s="2296"/>
      <c r="K5666" s="2296"/>
      <c r="L5666" s="2296"/>
      <c r="M5666" s="2294"/>
      <c r="N5666" s="291"/>
      <c r="O5666" s="291"/>
      <c r="P5666" s="291"/>
      <c r="S5666" s="364"/>
      <c r="Z5666" s="609" t="s">
        <v>2066</v>
      </c>
      <c r="AA5666" s="609"/>
    </row>
    <row r="5667" spans="1:27" ht="18.75" thickBot="1">
      <c r="A5667" s="2712"/>
      <c r="B5667" s="371"/>
      <c r="C5667" s="371"/>
      <c r="D5667" s="2714">
        <f t="shared" si="613"/>
        <v>1</v>
      </c>
      <c r="E5667" s="2719" t="s">
        <v>3032</v>
      </c>
      <c r="F5667" s="294"/>
      <c r="G5667" s="374" t="s">
        <v>2752</v>
      </c>
      <c r="H5667" s="2259"/>
      <c r="I5667" s="2259"/>
      <c r="J5667" s="2259"/>
      <c r="K5667" s="2259"/>
      <c r="L5667" s="2259"/>
      <c r="M5667" s="1477">
        <f>SUMPRODUCT($E5661:$E5666,M5661:M5666)</f>
        <v>0</v>
      </c>
      <c r="N5667" s="291"/>
      <c r="O5667" s="291"/>
      <c r="P5667" s="291"/>
      <c r="S5667" s="364"/>
      <c r="Z5667" s="609" t="s">
        <v>2066</v>
      </c>
      <c r="AA5667" s="609"/>
    </row>
    <row r="5668" spans="1:27" ht="18">
      <c r="A5668" s="2712"/>
      <c r="B5668" s="371"/>
      <c r="C5668" s="371" t="s">
        <v>2755</v>
      </c>
      <c r="D5668" s="371"/>
      <c r="F5668" s="294"/>
      <c r="G5668" s="301"/>
      <c r="H5668" s="393"/>
      <c r="I5668" s="393"/>
      <c r="J5668" s="393"/>
      <c r="K5668" s="393"/>
      <c r="L5668" s="393"/>
      <c r="M5668" s="315"/>
      <c r="N5668" s="291"/>
      <c r="O5668" s="291"/>
      <c r="P5668" s="291"/>
      <c r="S5668" s="364"/>
      <c r="Z5668" s="609" t="s">
        <v>2066</v>
      </c>
      <c r="AA5668" s="609"/>
    </row>
    <row r="5669" spans="1:27" ht="24">
      <c r="A5669" s="2712" t="s">
        <v>2075</v>
      </c>
      <c r="B5669" s="371">
        <v>5.31</v>
      </c>
      <c r="C5669" s="371"/>
      <c r="D5669" s="2714" t="str">
        <f>VLOOKUP($A5669,Sheet_NoteList,2,0)</f>
        <v>关联租赁情况——公司出租</v>
      </c>
      <c r="E5669" s="2714" t="s">
        <v>2742</v>
      </c>
      <c r="F5669" s="294"/>
      <c r="G5669" s="483" t="str">
        <f>"("&amp;B5669&amp;")"&amp;D5669</f>
        <v>(5.31)关联租赁情况——公司出租</v>
      </c>
      <c r="H5669" s="1515" t="str">
        <f>$A5669</f>
        <v>9120e</v>
      </c>
      <c r="I5669" s="343" t="s">
        <v>2743</v>
      </c>
      <c r="J5669" s="301"/>
      <c r="K5669" s="3083"/>
      <c r="L5669" s="315"/>
      <c r="M5669" s="301"/>
      <c r="N5669" s="3083"/>
      <c r="O5669" s="315"/>
      <c r="P5669" s="301"/>
      <c r="S5669" s="364"/>
      <c r="Z5669" s="609" t="s">
        <v>2066</v>
      </c>
      <c r="AA5669" s="609"/>
    </row>
    <row r="5670" spans="1:27" ht="0.75" customHeight="1" thickBot="1">
      <c r="A5670" s="2712"/>
      <c r="B5670" s="371"/>
      <c r="C5670" s="371"/>
      <c r="D5670" s="371"/>
      <c r="E5670" s="586"/>
      <c r="F5670" s="586"/>
      <c r="G5670" s="586" t="s">
        <v>4448</v>
      </c>
      <c r="H5670" s="371" t="s">
        <v>4449</v>
      </c>
      <c r="I5670" s="371" t="s">
        <v>4450</v>
      </c>
      <c r="J5670" s="371" t="s">
        <v>4451</v>
      </c>
      <c r="K5670" s="301"/>
      <c r="L5670" s="301"/>
      <c r="M5670" s="301"/>
      <c r="N5670" s="291"/>
      <c r="O5670" s="291"/>
      <c r="P5670" s="291"/>
      <c r="S5670" s="364"/>
      <c r="Z5670" s="609" t="s">
        <v>2066</v>
      </c>
      <c r="AA5670" s="609"/>
    </row>
    <row r="5671" spans="1:27" ht="24">
      <c r="A5671" s="2712"/>
      <c r="B5671" s="371"/>
      <c r="C5671" s="371"/>
      <c r="D5671" s="371"/>
      <c r="E5671" s="586" t="s">
        <v>2749</v>
      </c>
      <c r="F5671" s="363"/>
      <c r="G5671" s="2455" t="s">
        <v>4452</v>
      </c>
      <c r="H5671" s="2462" t="s">
        <v>4453</v>
      </c>
      <c r="I5671" s="2462" t="str">
        <f>$W$4&amp;"确认的租赁收入"</f>
        <v>2019年度确认的租赁收入</v>
      </c>
      <c r="J5671" s="2467" t="str">
        <f>$W$5&amp;"确认的租赁收入"</f>
        <v>2018年度确认的租赁收入</v>
      </c>
      <c r="K5671" s="355" t="s">
        <v>5348</v>
      </c>
      <c r="L5671" s="301"/>
      <c r="M5671" s="301"/>
      <c r="N5671" s="291"/>
      <c r="O5671" s="291"/>
      <c r="P5671" s="291"/>
      <c r="S5671" s="364"/>
      <c r="Z5671" s="609" t="s">
        <v>2066</v>
      </c>
      <c r="AA5671" s="609"/>
    </row>
    <row r="5672" spans="1:27" ht="18">
      <c r="A5672" s="2712"/>
      <c r="B5672" s="371">
        <v>101</v>
      </c>
      <c r="C5672" s="371" t="s">
        <v>2791</v>
      </c>
      <c r="D5672" s="2714">
        <f t="shared" ref="D5672:D5677" si="614">IF(OR(G5672="*",G5672="",G5672=0),0,COUNTIF($G$5672:$G$5677,G5672))</f>
        <v>0</v>
      </c>
      <c r="E5672" s="2719">
        <v>1</v>
      </c>
      <c r="F5672" s="294"/>
      <c r="G5672" s="2465" t="s">
        <v>2792</v>
      </c>
      <c r="H5672" s="2296"/>
      <c r="I5672" s="2273"/>
      <c r="J5672" s="2294"/>
      <c r="K5672" s="301"/>
      <c r="L5672" s="301"/>
      <c r="M5672" s="301"/>
      <c r="N5672" s="291"/>
      <c r="O5672" s="291"/>
      <c r="P5672" s="291"/>
      <c r="S5672" s="364"/>
      <c r="Z5672" s="609" t="s">
        <v>2066</v>
      </c>
      <c r="AA5672" s="609"/>
    </row>
    <row r="5673" spans="1:27" ht="18">
      <c r="A5673" s="2712"/>
      <c r="B5673" s="371">
        <v>102</v>
      </c>
      <c r="C5673" s="371" t="s">
        <v>2791</v>
      </c>
      <c r="D5673" s="2714">
        <f t="shared" si="614"/>
        <v>0</v>
      </c>
      <c r="E5673" s="2719">
        <v>1</v>
      </c>
      <c r="F5673" s="294"/>
      <c r="G5673" s="2465" t="s">
        <v>2792</v>
      </c>
      <c r="H5673" s="2296"/>
      <c r="I5673" s="2273"/>
      <c r="J5673" s="2294"/>
      <c r="K5673" s="301"/>
      <c r="L5673" s="301"/>
      <c r="M5673" s="301"/>
      <c r="N5673" s="291"/>
      <c r="O5673" s="291"/>
      <c r="P5673" s="291"/>
      <c r="S5673" s="364"/>
      <c r="Z5673" s="609" t="s">
        <v>2066</v>
      </c>
      <c r="AA5673" s="609"/>
    </row>
    <row r="5674" spans="1:27" ht="18">
      <c r="A5674" s="2712"/>
      <c r="B5674" s="371">
        <v>103</v>
      </c>
      <c r="C5674" s="371" t="s">
        <v>2791</v>
      </c>
      <c r="D5674" s="2714">
        <f t="shared" si="614"/>
        <v>0</v>
      </c>
      <c r="E5674" s="2719">
        <v>1</v>
      </c>
      <c r="F5674" s="294"/>
      <c r="G5674" s="2465" t="s">
        <v>2792</v>
      </c>
      <c r="H5674" s="2296"/>
      <c r="I5674" s="2273"/>
      <c r="J5674" s="2294"/>
      <c r="K5674" s="301"/>
      <c r="L5674" s="301"/>
      <c r="M5674" s="301"/>
      <c r="N5674" s="291"/>
      <c r="O5674" s="291"/>
      <c r="P5674" s="291"/>
      <c r="S5674" s="364"/>
      <c r="Z5674" s="609" t="s">
        <v>2066</v>
      </c>
      <c r="AA5674" s="609"/>
    </row>
    <row r="5675" spans="1:27" ht="18">
      <c r="A5675" s="2712"/>
      <c r="B5675" s="371">
        <v>104</v>
      </c>
      <c r="C5675" s="371" t="s">
        <v>2791</v>
      </c>
      <c r="D5675" s="2714">
        <f t="shared" si="614"/>
        <v>0</v>
      </c>
      <c r="E5675" s="2719">
        <v>1</v>
      </c>
      <c r="F5675" s="294"/>
      <c r="G5675" s="2465" t="s">
        <v>2792</v>
      </c>
      <c r="H5675" s="2296"/>
      <c r="I5675" s="2273"/>
      <c r="J5675" s="2294"/>
      <c r="K5675" s="301"/>
      <c r="L5675" s="301"/>
      <c r="M5675" s="301"/>
      <c r="N5675" s="291"/>
      <c r="O5675" s="291"/>
      <c r="P5675" s="291"/>
      <c r="S5675" s="364"/>
      <c r="Z5675" s="609" t="s">
        <v>2066</v>
      </c>
      <c r="AA5675" s="609"/>
    </row>
    <row r="5676" spans="1:27" ht="18">
      <c r="A5676" s="2712"/>
      <c r="B5676" s="371">
        <v>105</v>
      </c>
      <c r="C5676" s="371" t="s">
        <v>2791</v>
      </c>
      <c r="D5676" s="2714">
        <f t="shared" si="614"/>
        <v>0</v>
      </c>
      <c r="E5676" s="2719">
        <v>1</v>
      </c>
      <c r="F5676" s="294"/>
      <c r="G5676" s="2465" t="s">
        <v>2792</v>
      </c>
      <c r="H5676" s="2296"/>
      <c r="I5676" s="2273"/>
      <c r="J5676" s="2294"/>
      <c r="K5676" s="301"/>
      <c r="L5676" s="301"/>
      <c r="M5676" s="301"/>
      <c r="N5676" s="291"/>
      <c r="O5676" s="291"/>
      <c r="P5676" s="291"/>
      <c r="S5676" s="364"/>
      <c r="Z5676" s="609" t="s">
        <v>2066</v>
      </c>
      <c r="AA5676" s="609"/>
    </row>
    <row r="5677" spans="1:27" ht="18.75" thickBot="1">
      <c r="A5677" s="2712"/>
      <c r="B5677" s="371"/>
      <c r="C5677" s="371"/>
      <c r="D5677" s="2714">
        <f t="shared" si="614"/>
        <v>1</v>
      </c>
      <c r="E5677" s="2719" t="s">
        <v>3032</v>
      </c>
      <c r="F5677" s="294"/>
      <c r="G5677" s="374" t="s">
        <v>2752</v>
      </c>
      <c r="H5677" s="2259"/>
      <c r="I5677" s="1476">
        <f>SUMPRODUCT($E5671:$E5676,I5671:I5676)</f>
        <v>0</v>
      </c>
      <c r="J5677" s="1477">
        <f>SUMPRODUCT($E5671:$E5676,J5671:J5676)</f>
        <v>0</v>
      </c>
      <c r="K5677" s="301"/>
      <c r="L5677" s="301"/>
      <c r="M5677" s="301"/>
      <c r="N5677" s="291"/>
      <c r="O5677" s="291"/>
      <c r="P5677" s="291"/>
      <c r="S5677" s="364"/>
      <c r="Z5677" s="609" t="s">
        <v>2066</v>
      </c>
      <c r="AA5677" s="609"/>
    </row>
    <row r="5678" spans="1:27" ht="18">
      <c r="A5678" s="2712"/>
      <c r="B5678" s="371"/>
      <c r="C5678" s="371" t="s">
        <v>2755</v>
      </c>
      <c r="D5678" s="371"/>
      <c r="F5678" s="294"/>
      <c r="G5678" s="301"/>
      <c r="H5678" s="393"/>
      <c r="I5678" s="315"/>
      <c r="J5678" s="315"/>
      <c r="K5678" s="301"/>
      <c r="L5678" s="301"/>
      <c r="M5678" s="301"/>
      <c r="N5678" s="291"/>
      <c r="O5678" s="291"/>
      <c r="P5678" s="291"/>
      <c r="S5678" s="364"/>
      <c r="Z5678" s="609" t="s">
        <v>2066</v>
      </c>
      <c r="AA5678" s="609"/>
    </row>
    <row r="5679" spans="1:27" ht="24">
      <c r="A5679" s="2712" t="s">
        <v>2077</v>
      </c>
      <c r="B5679" s="371">
        <v>5.32</v>
      </c>
      <c r="C5679" s="371"/>
      <c r="D5679" s="2714" t="str">
        <f>VLOOKUP($A5679,Sheet_NoteList,2,0)</f>
        <v>关联租赁情况——公司承租</v>
      </c>
      <c r="E5679" s="2714" t="s">
        <v>2742</v>
      </c>
      <c r="F5679" s="294"/>
      <c r="G5679" s="483" t="str">
        <f>"("&amp;B5679&amp;")"&amp;D5679</f>
        <v>(5.32)关联租赁情况——公司承租</v>
      </c>
      <c r="H5679" s="1515" t="str">
        <f>$A5679</f>
        <v>9120f</v>
      </c>
      <c r="I5679" s="343" t="s">
        <v>2743</v>
      </c>
      <c r="J5679" s="301"/>
      <c r="K5679" s="3083"/>
      <c r="L5679" s="315"/>
      <c r="M5679" s="301"/>
      <c r="N5679" s="3083"/>
      <c r="O5679" s="315"/>
      <c r="P5679" s="301"/>
      <c r="S5679" s="364"/>
      <c r="Z5679" s="609" t="s">
        <v>2066</v>
      </c>
      <c r="AA5679" s="609"/>
    </row>
    <row r="5680" spans="1:27" ht="0.75" customHeight="1" thickBot="1">
      <c r="A5680" s="2712"/>
      <c r="B5680" s="371"/>
      <c r="C5680" s="371"/>
      <c r="D5680" s="371"/>
      <c r="E5680" s="586"/>
      <c r="F5680" s="586"/>
      <c r="G5680" s="586" t="s">
        <v>4454</v>
      </c>
      <c r="H5680" s="371" t="s">
        <v>4449</v>
      </c>
      <c r="I5680" s="371" t="s">
        <v>4455</v>
      </c>
      <c r="J5680" s="371" t="s">
        <v>4456</v>
      </c>
      <c r="K5680" s="301"/>
      <c r="L5680" s="301"/>
      <c r="M5680" s="301"/>
      <c r="N5680" s="291"/>
      <c r="O5680" s="291"/>
      <c r="P5680" s="291"/>
      <c r="S5680" s="364"/>
      <c r="Z5680" s="609" t="s">
        <v>2066</v>
      </c>
      <c r="AA5680" s="609"/>
    </row>
    <row r="5681" spans="1:27" ht="24">
      <c r="A5681" s="2712"/>
      <c r="B5681" s="371"/>
      <c r="C5681" s="371"/>
      <c r="D5681" s="371"/>
      <c r="E5681" s="586" t="s">
        <v>2749</v>
      </c>
      <c r="F5681" s="363"/>
      <c r="G5681" s="2455" t="s">
        <v>4457</v>
      </c>
      <c r="H5681" s="2462" t="s">
        <v>4453</v>
      </c>
      <c r="I5681" s="2462" t="str">
        <f>$W$4&amp;"确认的租赁费"</f>
        <v>2019年度确认的租赁费</v>
      </c>
      <c r="J5681" s="2467" t="str">
        <f>$W$5&amp;"确认的租赁费"</f>
        <v>2018年度确认的租赁费</v>
      </c>
      <c r="K5681" s="355" t="s">
        <v>5348</v>
      </c>
      <c r="L5681" s="301"/>
      <c r="M5681" s="301"/>
      <c r="N5681" s="291"/>
      <c r="O5681" s="291"/>
      <c r="P5681" s="291"/>
      <c r="S5681" s="364"/>
      <c r="Z5681" s="609" t="s">
        <v>2066</v>
      </c>
      <c r="AA5681" s="609"/>
    </row>
    <row r="5682" spans="1:27" ht="18">
      <c r="A5682" s="2712"/>
      <c r="B5682" s="371">
        <v>101</v>
      </c>
      <c r="C5682" s="371" t="s">
        <v>2791</v>
      </c>
      <c r="D5682" s="2714">
        <f t="shared" ref="D5682:D5687" si="615">IF(OR(G5682="*",G5682="",G5682=0),0,COUNTIF($G$5682:$G$5687,G5682))</f>
        <v>0</v>
      </c>
      <c r="E5682" s="2719">
        <v>1</v>
      </c>
      <c r="F5682" s="294"/>
      <c r="G5682" s="2465" t="s">
        <v>2792</v>
      </c>
      <c r="H5682" s="2296"/>
      <c r="I5682" s="2273"/>
      <c r="J5682" s="2294"/>
      <c r="K5682" s="301"/>
      <c r="L5682" s="301"/>
      <c r="M5682" s="301"/>
      <c r="N5682" s="291"/>
      <c r="O5682" s="291"/>
      <c r="P5682" s="291"/>
      <c r="S5682" s="364"/>
      <c r="Z5682" s="609" t="s">
        <v>2066</v>
      </c>
      <c r="AA5682" s="609"/>
    </row>
    <row r="5683" spans="1:27" ht="18">
      <c r="A5683" s="2712"/>
      <c r="B5683" s="371">
        <v>102</v>
      </c>
      <c r="C5683" s="371" t="s">
        <v>2791</v>
      </c>
      <c r="D5683" s="2714">
        <f t="shared" si="615"/>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103</v>
      </c>
      <c r="C5684" s="371" t="s">
        <v>2791</v>
      </c>
      <c r="D5684" s="2714">
        <f t="shared" si="615"/>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
      <c r="A5685" s="2712"/>
      <c r="B5685" s="371">
        <v>104</v>
      </c>
      <c r="C5685" s="371" t="s">
        <v>2791</v>
      </c>
      <c r="D5685" s="2714">
        <f t="shared" si="615"/>
        <v>0</v>
      </c>
      <c r="E5685" s="2719">
        <v>1</v>
      </c>
      <c r="F5685" s="294"/>
      <c r="G5685" s="2465" t="s">
        <v>2792</v>
      </c>
      <c r="H5685" s="2296"/>
      <c r="I5685" s="2273"/>
      <c r="J5685" s="2294"/>
      <c r="K5685" s="301"/>
      <c r="L5685" s="301"/>
      <c r="M5685" s="301"/>
      <c r="N5685" s="291"/>
      <c r="O5685" s="291"/>
      <c r="P5685" s="291"/>
      <c r="S5685" s="364"/>
      <c r="Z5685" s="609" t="s">
        <v>2066</v>
      </c>
      <c r="AA5685" s="609"/>
    </row>
    <row r="5686" spans="1:27" ht="18">
      <c r="A5686" s="2712"/>
      <c r="B5686" s="371">
        <v>105</v>
      </c>
      <c r="C5686" s="371" t="s">
        <v>2791</v>
      </c>
      <c r="D5686" s="2714">
        <f t="shared" si="615"/>
        <v>0</v>
      </c>
      <c r="E5686" s="2719">
        <v>1</v>
      </c>
      <c r="F5686" s="294"/>
      <c r="G5686" s="2465" t="s">
        <v>2792</v>
      </c>
      <c r="H5686" s="2296"/>
      <c r="I5686" s="2273"/>
      <c r="J5686" s="2294"/>
      <c r="K5686" s="301"/>
      <c r="L5686" s="301"/>
      <c r="M5686" s="301"/>
      <c r="N5686" s="291"/>
      <c r="O5686" s="291"/>
      <c r="P5686" s="291"/>
      <c r="S5686" s="364"/>
      <c r="Z5686" s="609" t="s">
        <v>2066</v>
      </c>
      <c r="AA5686" s="609"/>
    </row>
    <row r="5687" spans="1:27" ht="18.75" thickBot="1">
      <c r="A5687" s="2712"/>
      <c r="B5687" s="371"/>
      <c r="C5687" s="371"/>
      <c r="D5687" s="2714">
        <f t="shared" si="615"/>
        <v>1</v>
      </c>
      <c r="E5687" s="2719" t="s">
        <v>3032</v>
      </c>
      <c r="F5687" s="294"/>
      <c r="G5687" s="374" t="s">
        <v>2752</v>
      </c>
      <c r="H5687" s="2259"/>
      <c r="I5687" s="1476">
        <f>SUMPRODUCT($E5681:$E5686,I5681:I5686)</f>
        <v>0</v>
      </c>
      <c r="J5687" s="1477">
        <f>SUMPRODUCT($E5681:$E5686,J5681:J5686)</f>
        <v>0</v>
      </c>
      <c r="K5687" s="301"/>
      <c r="L5687" s="301"/>
      <c r="M5687" s="301"/>
      <c r="N5687" s="291"/>
      <c r="O5687" s="291"/>
      <c r="P5687" s="291"/>
      <c r="S5687" s="364"/>
      <c r="Z5687" s="609" t="s">
        <v>2066</v>
      </c>
      <c r="AA5687" s="609"/>
    </row>
    <row r="5688" spans="1:27" ht="18">
      <c r="A5688" s="2712"/>
      <c r="B5688" s="371"/>
      <c r="C5688" s="371" t="s">
        <v>2755</v>
      </c>
      <c r="D5688" s="371"/>
      <c r="F5688" s="294"/>
      <c r="G5688" s="301"/>
      <c r="H5688" s="393"/>
      <c r="I5688" s="315"/>
      <c r="J5688" s="315"/>
      <c r="K5688" s="301"/>
      <c r="L5688" s="301"/>
      <c r="M5688" s="301"/>
      <c r="N5688" s="291"/>
      <c r="O5688" s="291"/>
      <c r="P5688" s="291"/>
      <c r="S5688" s="364"/>
      <c r="Z5688" s="609" t="s">
        <v>2066</v>
      </c>
      <c r="AA5688" s="609"/>
    </row>
    <row r="5689" spans="1:27" ht="24">
      <c r="A5689" s="2712" t="s">
        <v>2079</v>
      </c>
      <c r="B5689" s="371">
        <v>5.41</v>
      </c>
      <c r="C5689" s="371"/>
      <c r="D5689" s="2714" t="str">
        <f>VLOOKUP($A5689,Sheet_NoteList,2,0)</f>
        <v>关联担保情况——作为担保方</v>
      </c>
      <c r="E5689" s="2714" t="s">
        <v>2742</v>
      </c>
      <c r="F5689" s="294"/>
      <c r="G5689" s="483" t="str">
        <f>"("&amp;B5689&amp;")"&amp;D5689</f>
        <v>(5.41)关联担保情况——作为担保方</v>
      </c>
      <c r="H5689" s="1515" t="str">
        <f>$A5689</f>
        <v>9120g</v>
      </c>
      <c r="I5689" s="343" t="s">
        <v>2743</v>
      </c>
      <c r="J5689" s="301"/>
      <c r="K5689" s="3083"/>
      <c r="L5689" s="315"/>
      <c r="M5689" s="301"/>
      <c r="N5689" s="3083"/>
      <c r="O5689" s="315"/>
      <c r="P5689" s="301"/>
      <c r="S5689" s="364"/>
      <c r="Z5689" s="609" t="s">
        <v>2066</v>
      </c>
      <c r="AA5689" s="609"/>
    </row>
    <row r="5690" spans="1:27" ht="0.75" customHeight="1" thickBot="1">
      <c r="A5690" s="2712"/>
      <c r="B5690" s="371"/>
      <c r="C5690" s="371"/>
      <c r="D5690" s="371"/>
      <c r="F5690" s="371"/>
      <c r="G5690" s="371" t="s">
        <v>4458</v>
      </c>
      <c r="H5690" s="371" t="s">
        <v>4459</v>
      </c>
      <c r="I5690" s="371" t="s">
        <v>4460</v>
      </c>
      <c r="J5690" s="371" t="s">
        <v>4461</v>
      </c>
      <c r="K5690" s="371" t="s">
        <v>4462</v>
      </c>
      <c r="L5690" s="301"/>
      <c r="M5690" s="301"/>
      <c r="N5690" s="291"/>
      <c r="O5690" s="291"/>
      <c r="P5690" s="291"/>
      <c r="S5690" s="364"/>
      <c r="Z5690" s="609" t="s">
        <v>2066</v>
      </c>
      <c r="AA5690" s="609"/>
    </row>
    <row r="5691" spans="1:27" ht="24">
      <c r="A5691" s="2712"/>
      <c r="B5691" s="371"/>
      <c r="C5691" s="371"/>
      <c r="D5691" s="371"/>
      <c r="E5691" s="2714" t="s">
        <v>2749</v>
      </c>
      <c r="F5691" s="294"/>
      <c r="G5691" s="410" t="s">
        <v>4463</v>
      </c>
      <c r="H5691" s="506" t="s">
        <v>4464</v>
      </c>
      <c r="I5691" s="412" t="s">
        <v>4465</v>
      </c>
      <c r="J5691" s="506" t="s">
        <v>4466</v>
      </c>
      <c r="K5691" s="507" t="s">
        <v>4467</v>
      </c>
      <c r="L5691" s="355" t="s">
        <v>5348</v>
      </c>
      <c r="M5691" s="301"/>
      <c r="N5691" s="291"/>
      <c r="O5691" s="291"/>
      <c r="P5691" s="291"/>
      <c r="S5691" s="364"/>
      <c r="Z5691" s="609" t="s">
        <v>2066</v>
      </c>
      <c r="AA5691" s="609"/>
    </row>
    <row r="5692" spans="1:27" ht="18">
      <c r="A5692" s="2712"/>
      <c r="B5692" s="371">
        <v>101</v>
      </c>
      <c r="C5692" s="371" t="s">
        <v>2791</v>
      </c>
      <c r="D5692" s="2714">
        <f t="shared" ref="D5692:D5697" si="616">IF(OR(G5692="*",G5692="",G5692=0),0,COUNTIF($G$5692:$G$5697,G5692))</f>
        <v>0</v>
      </c>
      <c r="E5692" s="2719">
        <v>1</v>
      </c>
      <c r="F5692" s="294"/>
      <c r="G5692" s="319" t="s">
        <v>2792</v>
      </c>
      <c r="H5692" s="309"/>
      <c r="I5692" s="360"/>
      <c r="J5692" s="360"/>
      <c r="K5692" s="388"/>
      <c r="L5692" s="301"/>
      <c r="M5692" s="301"/>
      <c r="N5692" s="291"/>
      <c r="O5692" s="291"/>
      <c r="P5692" s="291"/>
      <c r="S5692" s="364"/>
      <c r="Z5692" s="609" t="s">
        <v>2066</v>
      </c>
      <c r="AA5692" s="609"/>
    </row>
    <row r="5693" spans="1:27" ht="18">
      <c r="A5693" s="2712"/>
      <c r="B5693" s="371">
        <v>102</v>
      </c>
      <c r="C5693" s="371" t="s">
        <v>2791</v>
      </c>
      <c r="D5693" s="2714">
        <f t="shared" si="616"/>
        <v>0</v>
      </c>
      <c r="E5693" s="2719">
        <v>1</v>
      </c>
      <c r="F5693" s="294"/>
      <c r="G5693" s="319" t="s">
        <v>2792</v>
      </c>
      <c r="H5693" s="309"/>
      <c r="I5693" s="360"/>
      <c r="J5693" s="360"/>
      <c r="K5693" s="388"/>
      <c r="L5693" s="301"/>
      <c r="M5693" s="301"/>
      <c r="N5693" s="291"/>
      <c r="O5693" s="291"/>
      <c r="P5693" s="291"/>
      <c r="S5693" s="364"/>
      <c r="Z5693" s="609" t="s">
        <v>2066</v>
      </c>
      <c r="AA5693" s="609"/>
    </row>
    <row r="5694" spans="1:27" ht="18">
      <c r="A5694" s="2712"/>
      <c r="B5694" s="371">
        <v>103</v>
      </c>
      <c r="C5694" s="371" t="s">
        <v>2791</v>
      </c>
      <c r="D5694" s="2714">
        <f t="shared" si="616"/>
        <v>0</v>
      </c>
      <c r="E5694" s="2719">
        <v>1</v>
      </c>
      <c r="F5694" s="294"/>
      <c r="G5694" s="319" t="s">
        <v>2792</v>
      </c>
      <c r="H5694" s="309"/>
      <c r="I5694" s="360"/>
      <c r="J5694" s="360"/>
      <c r="K5694" s="388"/>
      <c r="L5694" s="301"/>
      <c r="M5694" s="301"/>
      <c r="N5694" s="291"/>
      <c r="O5694" s="291"/>
      <c r="P5694" s="291"/>
      <c r="S5694" s="364"/>
      <c r="Z5694" s="609" t="s">
        <v>2066</v>
      </c>
      <c r="AA5694" s="609"/>
    </row>
    <row r="5695" spans="1:27" ht="18">
      <c r="A5695" s="2712"/>
      <c r="B5695" s="371">
        <v>104</v>
      </c>
      <c r="C5695" s="371" t="s">
        <v>2791</v>
      </c>
      <c r="D5695" s="2714">
        <f t="shared" si="616"/>
        <v>0</v>
      </c>
      <c r="E5695" s="2719">
        <v>1</v>
      </c>
      <c r="F5695" s="294"/>
      <c r="G5695" s="319" t="s">
        <v>2792</v>
      </c>
      <c r="H5695" s="309"/>
      <c r="I5695" s="360"/>
      <c r="J5695" s="360"/>
      <c r="K5695" s="388"/>
      <c r="L5695" s="301"/>
      <c r="M5695" s="301"/>
      <c r="N5695" s="291"/>
      <c r="O5695" s="291"/>
      <c r="P5695" s="291"/>
      <c r="S5695" s="364"/>
      <c r="Z5695" s="609" t="s">
        <v>2066</v>
      </c>
      <c r="AA5695" s="609"/>
    </row>
    <row r="5696" spans="1:27" ht="18">
      <c r="A5696" s="2712"/>
      <c r="B5696" s="371">
        <v>105</v>
      </c>
      <c r="C5696" s="371" t="s">
        <v>2791</v>
      </c>
      <c r="D5696" s="2714">
        <f t="shared" si="616"/>
        <v>0</v>
      </c>
      <c r="E5696" s="2719">
        <v>1</v>
      </c>
      <c r="F5696" s="294"/>
      <c r="G5696" s="319" t="s">
        <v>2792</v>
      </c>
      <c r="H5696" s="309"/>
      <c r="I5696" s="360"/>
      <c r="J5696" s="360"/>
      <c r="K5696" s="388"/>
      <c r="L5696" s="301"/>
      <c r="M5696" s="301"/>
      <c r="N5696" s="291"/>
      <c r="O5696" s="291"/>
      <c r="P5696" s="291"/>
      <c r="S5696" s="364"/>
      <c r="Z5696" s="609" t="s">
        <v>2066</v>
      </c>
      <c r="AA5696" s="609"/>
    </row>
    <row r="5697" spans="1:27" ht="18.75" thickBot="1">
      <c r="A5697" s="2712"/>
      <c r="B5697" s="371"/>
      <c r="C5697" s="371"/>
      <c r="D5697" s="2714">
        <f t="shared" si="616"/>
        <v>1</v>
      </c>
      <c r="E5697" s="2719" t="s">
        <v>3032</v>
      </c>
      <c r="F5697" s="294"/>
      <c r="G5697" s="374" t="s">
        <v>2752</v>
      </c>
      <c r="H5697" s="375">
        <f>SUMPRODUCT($E5691:$E5696,H5691:H5696)</f>
        <v>0</v>
      </c>
      <c r="I5697" s="567"/>
      <c r="J5697" s="567"/>
      <c r="K5697" s="550"/>
      <c r="L5697" s="301"/>
      <c r="M5697" s="301"/>
      <c r="N5697" s="291"/>
      <c r="O5697" s="291"/>
      <c r="P5697" s="291"/>
      <c r="S5697" s="364"/>
      <c r="Z5697" s="609" t="s">
        <v>2066</v>
      </c>
      <c r="AA5697" s="609"/>
    </row>
    <row r="5698" spans="1:27" ht="18">
      <c r="A5698" s="2712"/>
      <c r="B5698" s="371"/>
      <c r="C5698" s="371" t="s">
        <v>2755</v>
      </c>
      <c r="D5698" s="371"/>
      <c r="F5698" s="294"/>
      <c r="G5698" s="301"/>
      <c r="H5698" s="315"/>
      <c r="I5698" s="393"/>
      <c r="J5698" s="393"/>
      <c r="K5698" s="393"/>
      <c r="L5698" s="301"/>
      <c r="M5698" s="301"/>
      <c r="N5698" s="291"/>
      <c r="O5698" s="291"/>
      <c r="P5698" s="291"/>
      <c r="S5698" s="364"/>
      <c r="Z5698" s="609" t="s">
        <v>2066</v>
      </c>
      <c r="AA5698" s="609"/>
    </row>
    <row r="5699" spans="1:27" ht="24">
      <c r="A5699" s="2712" t="s">
        <v>2081</v>
      </c>
      <c r="B5699" s="371">
        <v>5.42</v>
      </c>
      <c r="C5699" s="371"/>
      <c r="D5699" s="2714" t="str">
        <f>VLOOKUP($A5699,Sheet_NoteList,2,0)</f>
        <v>关联担保情况——作为被担保方</v>
      </c>
      <c r="E5699" s="2714" t="s">
        <v>2742</v>
      </c>
      <c r="F5699" s="294"/>
      <c r="G5699" s="483" t="str">
        <f>"("&amp;B5699&amp;")"&amp;D5699</f>
        <v>(5.42)关联担保情况——作为被担保方</v>
      </c>
      <c r="H5699" s="1515" t="str">
        <f>$A5699</f>
        <v>9120h</v>
      </c>
      <c r="I5699" s="343" t="s">
        <v>2743</v>
      </c>
      <c r="J5699" s="301"/>
      <c r="K5699" s="3083"/>
      <c r="L5699" s="315"/>
      <c r="M5699" s="301"/>
      <c r="N5699" s="3083"/>
      <c r="O5699" s="315"/>
      <c r="P5699" s="301"/>
      <c r="S5699" s="364"/>
      <c r="Z5699" s="609" t="s">
        <v>2066</v>
      </c>
      <c r="AA5699" s="609"/>
    </row>
    <row r="5700" spans="1:27" ht="0.75" customHeight="1" thickBot="1">
      <c r="A5700" s="2712"/>
      <c r="B5700" s="371"/>
      <c r="C5700" s="371"/>
      <c r="D5700" s="371"/>
      <c r="E5700" s="586"/>
      <c r="F5700" s="586"/>
      <c r="G5700" s="586" t="s">
        <v>4468</v>
      </c>
      <c r="H5700" s="371" t="s">
        <v>4459</v>
      </c>
      <c r="I5700" s="371" t="s">
        <v>4460</v>
      </c>
      <c r="J5700" s="371" t="s">
        <v>4461</v>
      </c>
      <c r="K5700" s="371" t="s">
        <v>4462</v>
      </c>
      <c r="L5700" s="301"/>
      <c r="M5700" s="301"/>
      <c r="N5700" s="291"/>
      <c r="O5700" s="291"/>
      <c r="P5700" s="291"/>
      <c r="S5700" s="364"/>
      <c r="Z5700" s="609" t="s">
        <v>2066</v>
      </c>
      <c r="AA5700" s="609"/>
    </row>
    <row r="5701" spans="1:27" ht="24">
      <c r="A5701" s="2712"/>
      <c r="B5701" s="371"/>
      <c r="C5701" s="371"/>
      <c r="D5701" s="371"/>
      <c r="E5701" s="586" t="s">
        <v>2749</v>
      </c>
      <c r="F5701" s="363"/>
      <c r="G5701" s="2455" t="s">
        <v>4469</v>
      </c>
      <c r="H5701" s="2462" t="s">
        <v>4464</v>
      </c>
      <c r="I5701" s="2462" t="s">
        <v>4465</v>
      </c>
      <c r="J5701" s="2462" t="s">
        <v>4466</v>
      </c>
      <c r="K5701" s="2467" t="s">
        <v>4467</v>
      </c>
      <c r="L5701" s="355" t="s">
        <v>5348</v>
      </c>
      <c r="M5701" s="301"/>
      <c r="N5701" s="291"/>
      <c r="O5701" s="291"/>
      <c r="P5701" s="291"/>
      <c r="S5701" s="364"/>
      <c r="Z5701" s="609" t="s">
        <v>2066</v>
      </c>
      <c r="AA5701" s="609"/>
    </row>
    <row r="5702" spans="1:27" ht="18">
      <c r="A5702" s="2712"/>
      <c r="B5702" s="371">
        <v>101</v>
      </c>
      <c r="C5702" s="371" t="s">
        <v>2791</v>
      </c>
      <c r="D5702" s="2714">
        <f t="shared" ref="D5702:D5707" si="617">IF(OR(G5702="*",G5702="",G5702=0),0,COUNTIF($G$5702:$G$5707,G5702))</f>
        <v>0</v>
      </c>
      <c r="E5702" s="2719">
        <v>1</v>
      </c>
      <c r="F5702" s="294"/>
      <c r="G5702" s="2465" t="s">
        <v>2792</v>
      </c>
      <c r="H5702" s="2273"/>
      <c r="I5702" s="2296"/>
      <c r="J5702" s="2296"/>
      <c r="K5702" s="2274"/>
      <c r="L5702" s="301"/>
      <c r="M5702" s="301"/>
      <c r="N5702" s="291"/>
      <c r="O5702" s="291"/>
      <c r="P5702" s="291"/>
      <c r="S5702" s="364"/>
      <c r="Z5702" s="609" t="s">
        <v>2066</v>
      </c>
      <c r="AA5702" s="609"/>
    </row>
    <row r="5703" spans="1:27" ht="18">
      <c r="A5703" s="2712"/>
      <c r="B5703" s="371">
        <v>102</v>
      </c>
      <c r="C5703" s="371" t="s">
        <v>2791</v>
      </c>
      <c r="D5703" s="2714">
        <f t="shared" si="617"/>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8">
      <c r="A5704" s="2712"/>
      <c r="B5704" s="371">
        <v>103</v>
      </c>
      <c r="C5704" s="371" t="s">
        <v>2791</v>
      </c>
      <c r="D5704" s="2714">
        <f t="shared" si="617"/>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8">
      <c r="A5705" s="2712"/>
      <c r="B5705" s="371">
        <v>104</v>
      </c>
      <c r="C5705" s="371" t="s">
        <v>2791</v>
      </c>
      <c r="D5705" s="2714">
        <f t="shared" si="617"/>
        <v>0</v>
      </c>
      <c r="E5705" s="2719">
        <v>1</v>
      </c>
      <c r="F5705" s="294"/>
      <c r="G5705" s="2465" t="s">
        <v>2792</v>
      </c>
      <c r="H5705" s="2273"/>
      <c r="I5705" s="2296"/>
      <c r="J5705" s="2296"/>
      <c r="K5705" s="2274"/>
      <c r="L5705" s="301"/>
      <c r="M5705" s="301"/>
      <c r="N5705" s="291"/>
      <c r="O5705" s="291"/>
      <c r="P5705" s="291"/>
      <c r="S5705" s="364"/>
      <c r="Z5705" s="609" t="s">
        <v>2066</v>
      </c>
      <c r="AA5705" s="609"/>
    </row>
    <row r="5706" spans="1:27" ht="18">
      <c r="A5706" s="2712"/>
      <c r="B5706" s="371">
        <v>105</v>
      </c>
      <c r="C5706" s="371" t="s">
        <v>2791</v>
      </c>
      <c r="D5706" s="2714">
        <f t="shared" si="617"/>
        <v>0</v>
      </c>
      <c r="E5706" s="2719">
        <v>1</v>
      </c>
      <c r="F5706" s="294"/>
      <c r="G5706" s="2465" t="s">
        <v>2792</v>
      </c>
      <c r="H5706" s="2273"/>
      <c r="I5706" s="2296"/>
      <c r="J5706" s="2296"/>
      <c r="K5706" s="2274"/>
      <c r="L5706" s="301"/>
      <c r="M5706" s="301"/>
      <c r="N5706" s="291"/>
      <c r="O5706" s="291"/>
      <c r="P5706" s="291"/>
      <c r="S5706" s="364"/>
      <c r="Z5706" s="609" t="s">
        <v>2066</v>
      </c>
      <c r="AA5706" s="609"/>
    </row>
    <row r="5707" spans="1:27" ht="18.75" thickBot="1">
      <c r="A5707" s="2712"/>
      <c r="B5707" s="371"/>
      <c r="C5707" s="371"/>
      <c r="D5707" s="2714">
        <f t="shared" si="617"/>
        <v>1</v>
      </c>
      <c r="E5707" s="2719" t="s">
        <v>3032</v>
      </c>
      <c r="F5707" s="294"/>
      <c r="G5707" s="374" t="s">
        <v>2752</v>
      </c>
      <c r="H5707" s="1476">
        <f>SUMPRODUCT($E5701:$E5706,H5701:H5706)</f>
        <v>0</v>
      </c>
      <c r="I5707" s="2259"/>
      <c r="J5707" s="2259"/>
      <c r="K5707" s="2258"/>
      <c r="L5707" s="301"/>
      <c r="M5707" s="301"/>
      <c r="N5707" s="291"/>
      <c r="O5707" s="291"/>
      <c r="P5707" s="291"/>
      <c r="S5707" s="364"/>
      <c r="Z5707" s="609" t="s">
        <v>2066</v>
      </c>
      <c r="AA5707" s="609"/>
    </row>
    <row r="5708" spans="1:27" ht="18">
      <c r="A5708" s="2712"/>
      <c r="B5708" s="371"/>
      <c r="C5708" s="371" t="s">
        <v>2755</v>
      </c>
      <c r="D5708" s="371"/>
      <c r="F5708" s="294"/>
      <c r="G5708" s="301"/>
      <c r="H5708" s="315"/>
      <c r="I5708" s="393"/>
      <c r="J5708" s="393"/>
      <c r="K5708" s="393"/>
      <c r="L5708" s="301"/>
      <c r="M5708" s="301"/>
      <c r="N5708" s="291"/>
      <c r="O5708" s="291"/>
      <c r="P5708" s="291"/>
      <c r="S5708" s="364"/>
      <c r="Z5708" s="609" t="s">
        <v>2066</v>
      </c>
      <c r="AA5708" s="609"/>
    </row>
    <row r="5709" spans="1:27" ht="24">
      <c r="A5709" s="2712" t="s">
        <v>2083</v>
      </c>
      <c r="B5709" s="371">
        <v>5.51</v>
      </c>
      <c r="C5709" s="371"/>
      <c r="D5709" s="2714" t="str">
        <f>VLOOKUP($A5709,Sheet_NoteList,2,0)</f>
        <v>关联方资金拆借情况——拆入</v>
      </c>
      <c r="E5709" s="2714" t="s">
        <v>2742</v>
      </c>
      <c r="F5709" s="294"/>
      <c r="G5709" s="483" t="str">
        <f>"("&amp;B5709&amp;")"&amp;D5709</f>
        <v>(5.51)关联方资金拆借情况——拆入</v>
      </c>
      <c r="H5709" s="1515" t="str">
        <f>$A5709</f>
        <v>9120i</v>
      </c>
      <c r="I5709" s="343" t="s">
        <v>2743</v>
      </c>
      <c r="J5709" s="301"/>
      <c r="K5709" s="3083"/>
      <c r="L5709" s="315"/>
      <c r="M5709" s="301"/>
      <c r="N5709" s="3083"/>
      <c r="O5709" s="315"/>
      <c r="P5709" s="301"/>
      <c r="S5709" s="364"/>
      <c r="Z5709" s="609" t="s">
        <v>2066</v>
      </c>
      <c r="AA5709" s="609"/>
    </row>
    <row r="5710" spans="1:27" ht="0.75" customHeight="1" thickBot="1">
      <c r="A5710" s="2712"/>
      <c r="B5710" s="371"/>
      <c r="C5710" s="371"/>
      <c r="D5710" s="371"/>
      <c r="F5710" s="371"/>
      <c r="G5710" s="371" t="s">
        <v>4470</v>
      </c>
      <c r="H5710" s="371" t="s">
        <v>4471</v>
      </c>
      <c r="I5710" s="371" t="s">
        <v>4460</v>
      </c>
      <c r="J5710" s="371" t="s">
        <v>4461</v>
      </c>
      <c r="K5710" s="371" t="s">
        <v>4472</v>
      </c>
      <c r="L5710" s="301"/>
      <c r="M5710" s="301"/>
      <c r="N5710" s="291"/>
      <c r="O5710" s="291"/>
      <c r="P5710" s="291"/>
      <c r="S5710" s="364"/>
      <c r="Z5710" s="609" t="s">
        <v>2066</v>
      </c>
      <c r="AA5710" s="609"/>
    </row>
    <row r="5711" spans="1:27" ht="18">
      <c r="A5711" s="2712"/>
      <c r="B5711" s="371"/>
      <c r="C5711" s="371"/>
      <c r="D5711" s="371"/>
      <c r="E5711" s="2714" t="s">
        <v>2749</v>
      </c>
      <c r="F5711" s="294"/>
      <c r="G5711" s="410" t="s">
        <v>1423</v>
      </c>
      <c r="H5711" s="506" t="s">
        <v>4473</v>
      </c>
      <c r="I5711" s="412" t="s">
        <v>4474</v>
      </c>
      <c r="J5711" s="506" t="s">
        <v>3322</v>
      </c>
      <c r="K5711" s="507" t="s">
        <v>2758</v>
      </c>
      <c r="L5711" s="355" t="s">
        <v>5348</v>
      </c>
      <c r="M5711" s="301"/>
      <c r="N5711" s="291"/>
      <c r="O5711" s="291"/>
      <c r="P5711" s="291"/>
      <c r="S5711" s="364"/>
      <c r="Z5711" s="609" t="s">
        <v>2066</v>
      </c>
      <c r="AA5711" s="609"/>
    </row>
    <row r="5712" spans="1:27" ht="18">
      <c r="A5712" s="2712"/>
      <c r="B5712" s="371">
        <v>101</v>
      </c>
      <c r="C5712" s="371" t="s">
        <v>2791</v>
      </c>
      <c r="D5712" s="2714">
        <f t="shared" ref="D5712:D5717" si="618">IF(OR(G5712="*",G5712="",G5712=0),0,COUNTIF($G$5712:$G$5717,G5712))</f>
        <v>0</v>
      </c>
      <c r="E5712" s="2719">
        <v>1</v>
      </c>
      <c r="F5712" s="294"/>
      <c r="G5712" s="319" t="s">
        <v>2792</v>
      </c>
      <c r="H5712" s="309"/>
      <c r="I5712" s="360"/>
      <c r="J5712" s="360"/>
      <c r="K5712" s="388"/>
      <c r="L5712" s="301"/>
      <c r="M5712" s="301"/>
      <c r="N5712" s="291"/>
      <c r="O5712" s="291"/>
      <c r="P5712" s="291"/>
      <c r="S5712" s="364"/>
      <c r="Z5712" s="609" t="s">
        <v>2066</v>
      </c>
      <c r="AA5712" s="609"/>
    </row>
    <row r="5713" spans="1:27" ht="18">
      <c r="A5713" s="2712"/>
      <c r="B5713" s="371">
        <v>102</v>
      </c>
      <c r="C5713" s="371" t="s">
        <v>2791</v>
      </c>
      <c r="D5713" s="2714">
        <f t="shared" si="618"/>
        <v>0</v>
      </c>
      <c r="E5713" s="2719">
        <v>1</v>
      </c>
      <c r="F5713" s="294"/>
      <c r="G5713" s="319" t="s">
        <v>2792</v>
      </c>
      <c r="H5713" s="309"/>
      <c r="I5713" s="360"/>
      <c r="J5713" s="360"/>
      <c r="K5713" s="388"/>
      <c r="L5713" s="301"/>
      <c r="M5713" s="301"/>
      <c r="N5713" s="291"/>
      <c r="O5713" s="291"/>
      <c r="P5713" s="291"/>
      <c r="S5713" s="364"/>
      <c r="Z5713" s="609" t="s">
        <v>2066</v>
      </c>
      <c r="AA5713" s="609"/>
    </row>
    <row r="5714" spans="1:27" ht="18">
      <c r="A5714" s="2712"/>
      <c r="B5714" s="371">
        <v>103</v>
      </c>
      <c r="C5714" s="371" t="s">
        <v>2791</v>
      </c>
      <c r="D5714" s="2714">
        <f t="shared" si="618"/>
        <v>0</v>
      </c>
      <c r="E5714" s="2719">
        <v>1</v>
      </c>
      <c r="F5714" s="294"/>
      <c r="G5714" s="319" t="s">
        <v>2792</v>
      </c>
      <c r="H5714" s="309"/>
      <c r="I5714" s="360"/>
      <c r="J5714" s="360"/>
      <c r="K5714" s="388"/>
      <c r="L5714" s="301"/>
      <c r="M5714" s="301"/>
      <c r="N5714" s="291"/>
      <c r="O5714" s="291"/>
      <c r="P5714" s="291"/>
      <c r="S5714" s="364"/>
      <c r="Z5714" s="609" t="s">
        <v>2066</v>
      </c>
      <c r="AA5714" s="609"/>
    </row>
    <row r="5715" spans="1:27" ht="18">
      <c r="A5715" s="2712"/>
      <c r="B5715" s="371">
        <v>104</v>
      </c>
      <c r="C5715" s="371" t="s">
        <v>2791</v>
      </c>
      <c r="D5715" s="2714">
        <f t="shared" si="618"/>
        <v>0</v>
      </c>
      <c r="E5715" s="2719">
        <v>1</v>
      </c>
      <c r="F5715" s="294"/>
      <c r="G5715" s="319" t="s">
        <v>2792</v>
      </c>
      <c r="H5715" s="309"/>
      <c r="I5715" s="360"/>
      <c r="J5715" s="360"/>
      <c r="K5715" s="388"/>
      <c r="L5715" s="301"/>
      <c r="M5715" s="301"/>
      <c r="N5715" s="291"/>
      <c r="O5715" s="291"/>
      <c r="P5715" s="291"/>
      <c r="S5715" s="364"/>
      <c r="Z5715" s="609" t="s">
        <v>2066</v>
      </c>
      <c r="AA5715" s="609"/>
    </row>
    <row r="5716" spans="1:27" ht="18">
      <c r="A5716" s="2712"/>
      <c r="B5716" s="371">
        <v>105</v>
      </c>
      <c r="C5716" s="371" t="s">
        <v>2791</v>
      </c>
      <c r="D5716" s="2714">
        <f t="shared" si="618"/>
        <v>0</v>
      </c>
      <c r="E5716" s="2719">
        <v>1</v>
      </c>
      <c r="F5716" s="294"/>
      <c r="G5716" s="319" t="s">
        <v>2792</v>
      </c>
      <c r="H5716" s="309"/>
      <c r="I5716" s="360"/>
      <c r="J5716" s="360"/>
      <c r="K5716" s="388"/>
      <c r="L5716" s="301"/>
      <c r="M5716" s="301"/>
      <c r="N5716" s="291"/>
      <c r="O5716" s="291"/>
      <c r="P5716" s="291"/>
      <c r="S5716" s="364"/>
      <c r="Z5716" s="609" t="s">
        <v>2066</v>
      </c>
      <c r="AA5716" s="609"/>
    </row>
    <row r="5717" spans="1:27" ht="18.75" thickBot="1">
      <c r="A5717" s="2712"/>
      <c r="B5717" s="371"/>
      <c r="C5717" s="371"/>
      <c r="D5717" s="2714">
        <f t="shared" si="618"/>
        <v>1</v>
      </c>
      <c r="E5717" s="2719" t="s">
        <v>3032</v>
      </c>
      <c r="F5717" s="294"/>
      <c r="G5717" s="374" t="s">
        <v>2752</v>
      </c>
      <c r="H5717" s="375">
        <f>SUMPRODUCT($E5711:$E5716,H5711:H5716)</f>
        <v>0</v>
      </c>
      <c r="I5717" s="567"/>
      <c r="J5717" s="567"/>
      <c r="K5717" s="550"/>
      <c r="L5717" s="301"/>
      <c r="M5717" s="301"/>
      <c r="N5717" s="291"/>
      <c r="O5717" s="291"/>
      <c r="P5717" s="291"/>
      <c r="S5717" s="364"/>
      <c r="Z5717" s="609" t="s">
        <v>2066</v>
      </c>
      <c r="AA5717" s="609"/>
    </row>
    <row r="5718" spans="1:27" ht="18">
      <c r="A5718" s="2712"/>
      <c r="B5718" s="371"/>
      <c r="C5718" s="371" t="s">
        <v>2755</v>
      </c>
      <c r="D5718" s="371"/>
      <c r="F5718" s="294"/>
      <c r="G5718" s="301"/>
      <c r="H5718" s="315"/>
      <c r="I5718" s="393"/>
      <c r="J5718" s="393"/>
      <c r="K5718" s="393"/>
      <c r="L5718" s="301"/>
      <c r="M5718" s="301"/>
      <c r="N5718" s="291"/>
      <c r="O5718" s="291"/>
      <c r="P5718" s="291"/>
      <c r="S5718" s="364"/>
      <c r="Z5718" s="609" t="s">
        <v>2066</v>
      </c>
      <c r="AA5718" s="609"/>
    </row>
    <row r="5719" spans="1:27" ht="24">
      <c r="A5719" s="2712" t="s">
        <v>2085</v>
      </c>
      <c r="B5719" s="371">
        <v>5.52</v>
      </c>
      <c r="C5719" s="371"/>
      <c r="D5719" s="2714" t="str">
        <f>VLOOKUP($A5719,Sheet_NoteList,2,0)</f>
        <v>关联方资金拆借情况——拆出</v>
      </c>
      <c r="E5719" s="2714" t="s">
        <v>2742</v>
      </c>
      <c r="F5719" s="294"/>
      <c r="G5719" s="483" t="str">
        <f>"("&amp;B5719&amp;")"&amp;D5719</f>
        <v>(5.52)关联方资金拆借情况——拆出</v>
      </c>
      <c r="H5719" s="1515" t="str">
        <f>$A5719</f>
        <v>9120j</v>
      </c>
      <c r="I5719" s="343" t="s">
        <v>2743</v>
      </c>
      <c r="J5719" s="301"/>
      <c r="K5719" s="3083"/>
      <c r="L5719" s="315"/>
      <c r="M5719" s="301"/>
      <c r="N5719" s="3083"/>
      <c r="O5719" s="315"/>
      <c r="P5719" s="301"/>
      <c r="S5719" s="364"/>
      <c r="Z5719" s="609" t="s">
        <v>2066</v>
      </c>
      <c r="AA5719" s="609"/>
    </row>
    <row r="5720" spans="1:27" ht="0.75" customHeight="1" thickBot="1">
      <c r="A5720" s="2712"/>
      <c r="B5720" s="371"/>
      <c r="C5720" s="371"/>
      <c r="D5720" s="371"/>
      <c r="E5720" s="586"/>
      <c r="F5720" s="586"/>
      <c r="G5720" s="586" t="s">
        <v>4475</v>
      </c>
      <c r="H5720" s="371" t="s">
        <v>4471</v>
      </c>
      <c r="I5720" s="371" t="s">
        <v>4460</v>
      </c>
      <c r="J5720" s="371" t="s">
        <v>4461</v>
      </c>
      <c r="K5720" s="371" t="s">
        <v>4472</v>
      </c>
      <c r="L5720" s="301"/>
      <c r="M5720" s="301"/>
      <c r="N5720" s="291"/>
      <c r="O5720" s="291"/>
      <c r="P5720" s="291"/>
      <c r="S5720" s="364"/>
      <c r="Z5720" s="609" t="s">
        <v>2066</v>
      </c>
      <c r="AA5720" s="609"/>
    </row>
    <row r="5721" spans="1:27" ht="18">
      <c r="A5721" s="2712"/>
      <c r="B5721" s="371"/>
      <c r="C5721" s="371"/>
      <c r="D5721" s="371"/>
      <c r="E5721" s="586" t="s">
        <v>2749</v>
      </c>
      <c r="F5721" s="363"/>
      <c r="G5721" s="2455" t="s">
        <v>1423</v>
      </c>
      <c r="H5721" s="2462" t="s">
        <v>4473</v>
      </c>
      <c r="I5721" s="2462" t="s">
        <v>4474</v>
      </c>
      <c r="J5721" s="2462" t="s">
        <v>3322</v>
      </c>
      <c r="K5721" s="2467" t="s">
        <v>2758</v>
      </c>
      <c r="L5721" s="355" t="s">
        <v>5348</v>
      </c>
      <c r="M5721" s="301"/>
      <c r="N5721" s="291"/>
      <c r="O5721" s="291"/>
      <c r="P5721" s="291"/>
      <c r="S5721" s="364"/>
      <c r="Z5721" s="609" t="s">
        <v>2066</v>
      </c>
      <c r="AA5721" s="609"/>
    </row>
    <row r="5722" spans="1:27" ht="18">
      <c r="A5722" s="2712"/>
      <c r="B5722" s="371">
        <v>101</v>
      </c>
      <c r="C5722" s="371" t="s">
        <v>2791</v>
      </c>
      <c r="D5722" s="2714">
        <f t="shared" ref="D5722:D5727" si="619">IF(OR(G5722="*",G5722="",G5722=0),0,COUNTIF($G$5722:$G$5727,G5722))</f>
        <v>0</v>
      </c>
      <c r="E5722" s="2719">
        <v>1</v>
      </c>
      <c r="F5722" s="294"/>
      <c r="G5722" s="2465" t="s">
        <v>2792</v>
      </c>
      <c r="H5722" s="2273"/>
      <c r="I5722" s="2296"/>
      <c r="J5722" s="2296"/>
      <c r="K5722" s="2274"/>
      <c r="L5722" s="301"/>
      <c r="M5722" s="301"/>
      <c r="N5722" s="291"/>
      <c r="O5722" s="291"/>
      <c r="P5722" s="291"/>
      <c r="S5722" s="364"/>
      <c r="Z5722" s="609" t="s">
        <v>2066</v>
      </c>
      <c r="AA5722" s="609"/>
    </row>
    <row r="5723" spans="1:27" ht="18">
      <c r="A5723" s="2712"/>
      <c r="B5723" s="371">
        <v>102</v>
      </c>
      <c r="C5723" s="371" t="s">
        <v>2791</v>
      </c>
      <c r="D5723" s="2714">
        <f t="shared" si="619"/>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8">
      <c r="A5724" s="2712"/>
      <c r="B5724" s="371">
        <v>103</v>
      </c>
      <c r="C5724" s="371" t="s">
        <v>2791</v>
      </c>
      <c r="D5724" s="2714">
        <f t="shared" si="619"/>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8">
      <c r="A5725" s="2712"/>
      <c r="B5725" s="371">
        <v>104</v>
      </c>
      <c r="C5725" s="371" t="s">
        <v>2791</v>
      </c>
      <c r="D5725" s="2714">
        <f t="shared" si="619"/>
        <v>0</v>
      </c>
      <c r="E5725" s="2719">
        <v>1</v>
      </c>
      <c r="F5725" s="294"/>
      <c r="G5725" s="2465" t="s">
        <v>2792</v>
      </c>
      <c r="H5725" s="2273"/>
      <c r="I5725" s="2296"/>
      <c r="J5725" s="2296"/>
      <c r="K5725" s="2274"/>
      <c r="L5725" s="301"/>
      <c r="M5725" s="301"/>
      <c r="N5725" s="291"/>
      <c r="O5725" s="291"/>
      <c r="P5725" s="291"/>
      <c r="S5725" s="364"/>
      <c r="Z5725" s="609" t="s">
        <v>2066</v>
      </c>
      <c r="AA5725" s="609"/>
    </row>
    <row r="5726" spans="1:27" ht="18">
      <c r="A5726" s="2712"/>
      <c r="B5726" s="371">
        <v>105</v>
      </c>
      <c r="C5726" s="371" t="s">
        <v>2791</v>
      </c>
      <c r="D5726" s="2714">
        <f t="shared" si="619"/>
        <v>0</v>
      </c>
      <c r="E5726" s="2719">
        <v>1</v>
      </c>
      <c r="F5726" s="294"/>
      <c r="G5726" s="2465" t="s">
        <v>2792</v>
      </c>
      <c r="H5726" s="2273"/>
      <c r="I5726" s="2296"/>
      <c r="J5726" s="2296"/>
      <c r="K5726" s="2274"/>
      <c r="L5726" s="301"/>
      <c r="M5726" s="301"/>
      <c r="N5726" s="291"/>
      <c r="O5726" s="291"/>
      <c r="P5726" s="291"/>
      <c r="S5726" s="364"/>
      <c r="Z5726" s="609" t="s">
        <v>2066</v>
      </c>
      <c r="AA5726" s="609"/>
    </row>
    <row r="5727" spans="1:27" ht="18.75" thickBot="1">
      <c r="A5727" s="2712"/>
      <c r="B5727" s="371"/>
      <c r="C5727" s="371"/>
      <c r="D5727" s="2714">
        <f t="shared" si="619"/>
        <v>1</v>
      </c>
      <c r="E5727" s="2719" t="s">
        <v>3032</v>
      </c>
      <c r="F5727" s="294"/>
      <c r="G5727" s="374" t="s">
        <v>2752</v>
      </c>
      <c r="H5727" s="1476">
        <f>SUMPRODUCT($E5721:$E5726,H5721:H5726)</f>
        <v>0</v>
      </c>
      <c r="I5727" s="2259"/>
      <c r="J5727" s="2259"/>
      <c r="K5727" s="2258"/>
      <c r="L5727" s="301"/>
      <c r="M5727" s="301"/>
      <c r="N5727" s="291"/>
      <c r="O5727" s="291"/>
      <c r="P5727" s="291"/>
      <c r="S5727" s="364"/>
      <c r="Z5727" s="609" t="s">
        <v>2066</v>
      </c>
      <c r="AA5727" s="609"/>
    </row>
    <row r="5728" spans="1:27" ht="18">
      <c r="A5728" s="2712"/>
      <c r="B5728" s="371"/>
      <c r="C5728" s="371" t="s">
        <v>2755</v>
      </c>
      <c r="D5728" s="371"/>
      <c r="F5728" s="294"/>
      <c r="G5728" s="301"/>
      <c r="H5728" s="315"/>
      <c r="I5728" s="393"/>
      <c r="J5728" s="393"/>
      <c r="K5728" s="393"/>
      <c r="L5728" s="301"/>
      <c r="M5728" s="301"/>
      <c r="N5728" s="291"/>
      <c r="O5728" s="291"/>
      <c r="P5728" s="291"/>
      <c r="S5728" s="364"/>
      <c r="Z5728" s="609" t="s">
        <v>2066</v>
      </c>
      <c r="AA5728" s="609"/>
    </row>
    <row r="5729" spans="1:27" ht="24">
      <c r="A5729" s="2712" t="s">
        <v>2088</v>
      </c>
      <c r="B5729" s="371">
        <v>5.6</v>
      </c>
      <c r="C5729" s="371"/>
      <c r="D5729" s="2714" t="str">
        <f>VLOOKUP($A5729,Sheet_NoteList,2,0)</f>
        <v>关联方资产转让、债务重组情况</v>
      </c>
      <c r="E5729" s="2714" t="s">
        <v>2742</v>
      </c>
      <c r="F5729" s="294"/>
      <c r="G5729" s="483" t="str">
        <f>"("&amp;B5729&amp;")"&amp;D5729</f>
        <v>(5.6)关联方资产转让、债务重组情况</v>
      </c>
      <c r="H5729" s="1515" t="str">
        <f>$A5729</f>
        <v>9120k</v>
      </c>
      <c r="I5729" s="343" t="s">
        <v>2743</v>
      </c>
      <c r="J5729" s="301"/>
      <c r="K5729" s="3083"/>
      <c r="L5729" s="315"/>
      <c r="M5729" s="301"/>
      <c r="N5729" s="3083"/>
      <c r="O5729" s="315"/>
      <c r="P5729" s="301"/>
      <c r="S5729" s="364"/>
      <c r="Z5729" s="609" t="s">
        <v>2066</v>
      </c>
      <c r="AA5729" s="609"/>
    </row>
    <row r="5730" spans="1:27" ht="0.75" customHeight="1" thickBot="1">
      <c r="A5730" s="2712"/>
      <c r="B5730" s="371"/>
      <c r="C5730" s="371"/>
      <c r="D5730" s="371"/>
      <c r="F5730" s="371"/>
      <c r="G5730" s="371" t="s">
        <v>4476</v>
      </c>
      <c r="H5730" s="371" t="s">
        <v>4477</v>
      </c>
      <c r="I5730" s="371" t="s">
        <v>4478</v>
      </c>
      <c r="J5730" s="371" t="s">
        <v>4479</v>
      </c>
      <c r="K5730" s="301"/>
      <c r="L5730" s="301"/>
      <c r="M5730" s="301"/>
      <c r="N5730" s="291"/>
      <c r="O5730" s="291"/>
      <c r="P5730" s="291"/>
      <c r="S5730" s="364"/>
      <c r="Z5730" s="609" t="s">
        <v>2066</v>
      </c>
      <c r="AA5730" s="609"/>
    </row>
    <row r="5731" spans="1:27" ht="18">
      <c r="A5731" s="2712"/>
      <c r="B5731" s="371"/>
      <c r="C5731" s="371"/>
      <c r="D5731" s="371"/>
      <c r="E5731" s="2714" t="s">
        <v>2749</v>
      </c>
      <c r="F5731" s="294"/>
      <c r="G5731" s="410" t="s">
        <v>1423</v>
      </c>
      <c r="H5731" s="506" t="s">
        <v>4437</v>
      </c>
      <c r="I5731" s="501" t="str">
        <f>$W$4&amp;"发生额"</f>
        <v>2019年度发生额</v>
      </c>
      <c r="J5731" s="593" t="str">
        <f>$W$5&amp;"发生额"</f>
        <v>2018年度发生额</v>
      </c>
      <c r="K5731" s="355" t="s">
        <v>5348</v>
      </c>
      <c r="L5731" s="301"/>
      <c r="M5731" s="301"/>
      <c r="N5731" s="291"/>
      <c r="O5731" s="291"/>
      <c r="P5731" s="291"/>
      <c r="S5731" s="364"/>
      <c r="Z5731" s="609" t="s">
        <v>2066</v>
      </c>
      <c r="AA5731" s="609"/>
    </row>
    <row r="5732" spans="1:27" ht="18">
      <c r="A5732" s="2712"/>
      <c r="B5732" s="371">
        <v>101</v>
      </c>
      <c r="C5732" s="371" t="s">
        <v>2791</v>
      </c>
      <c r="D5732" s="2714">
        <f t="shared" ref="D5732:D5737" si="620">IF(OR(G5732="*",G5732="",G5732=0),0,COUNTIF($G$5732:$G$5737,G5732))</f>
        <v>0</v>
      </c>
      <c r="E5732" s="2719">
        <v>1</v>
      </c>
      <c r="F5732" s="294"/>
      <c r="G5732" s="319" t="s">
        <v>2792</v>
      </c>
      <c r="H5732" s="360"/>
      <c r="I5732" s="309"/>
      <c r="J5732" s="346"/>
      <c r="K5732" s="301"/>
      <c r="L5732" s="301"/>
      <c r="M5732" s="301"/>
      <c r="N5732" s="291"/>
      <c r="O5732" s="291"/>
      <c r="P5732" s="291"/>
      <c r="S5732" s="364"/>
      <c r="Z5732" s="609" t="s">
        <v>2066</v>
      </c>
      <c r="AA5732" s="609"/>
    </row>
    <row r="5733" spans="1:27" ht="18">
      <c r="A5733" s="2712"/>
      <c r="B5733" s="371">
        <v>102</v>
      </c>
      <c r="C5733" s="371" t="s">
        <v>2791</v>
      </c>
      <c r="D5733" s="2714">
        <f t="shared" si="620"/>
        <v>0</v>
      </c>
      <c r="E5733" s="2719">
        <v>1</v>
      </c>
      <c r="F5733" s="294"/>
      <c r="G5733" s="319" t="s">
        <v>2792</v>
      </c>
      <c r="H5733" s="360"/>
      <c r="I5733" s="309"/>
      <c r="J5733" s="346"/>
      <c r="K5733" s="301"/>
      <c r="L5733" s="301"/>
      <c r="M5733" s="301"/>
      <c r="N5733" s="291"/>
      <c r="O5733" s="291"/>
      <c r="P5733" s="291"/>
      <c r="S5733" s="364"/>
      <c r="Z5733" s="609" t="s">
        <v>2066</v>
      </c>
      <c r="AA5733" s="609"/>
    </row>
    <row r="5734" spans="1:27" ht="18">
      <c r="A5734" s="2712"/>
      <c r="B5734" s="371">
        <v>103</v>
      </c>
      <c r="C5734" s="371" t="s">
        <v>2791</v>
      </c>
      <c r="D5734" s="2714">
        <f t="shared" si="620"/>
        <v>0</v>
      </c>
      <c r="E5734" s="2719">
        <v>1</v>
      </c>
      <c r="F5734" s="294"/>
      <c r="G5734" s="319" t="s">
        <v>2792</v>
      </c>
      <c r="H5734" s="360"/>
      <c r="I5734" s="309"/>
      <c r="J5734" s="346"/>
      <c r="K5734" s="301"/>
      <c r="L5734" s="301"/>
      <c r="M5734" s="301"/>
      <c r="N5734" s="291"/>
      <c r="O5734" s="291"/>
      <c r="P5734" s="291"/>
      <c r="S5734" s="364"/>
      <c r="Z5734" s="609" t="s">
        <v>2066</v>
      </c>
      <c r="AA5734" s="609"/>
    </row>
    <row r="5735" spans="1:27" ht="18">
      <c r="A5735" s="2712"/>
      <c r="B5735" s="371">
        <v>104</v>
      </c>
      <c r="C5735" s="371" t="s">
        <v>2791</v>
      </c>
      <c r="D5735" s="2714">
        <f t="shared" si="620"/>
        <v>0</v>
      </c>
      <c r="E5735" s="2719">
        <v>1</v>
      </c>
      <c r="F5735" s="294"/>
      <c r="G5735" s="319" t="s">
        <v>2792</v>
      </c>
      <c r="H5735" s="360"/>
      <c r="I5735" s="309"/>
      <c r="J5735" s="346"/>
      <c r="K5735" s="301"/>
      <c r="L5735" s="301"/>
      <c r="M5735" s="301"/>
      <c r="N5735" s="291"/>
      <c r="O5735" s="291"/>
      <c r="P5735" s="291"/>
      <c r="S5735" s="364"/>
      <c r="Z5735" s="609" t="s">
        <v>2066</v>
      </c>
      <c r="AA5735" s="609"/>
    </row>
    <row r="5736" spans="1:27" ht="18">
      <c r="A5736" s="2712"/>
      <c r="B5736" s="371">
        <v>105</v>
      </c>
      <c r="C5736" s="371" t="s">
        <v>2791</v>
      </c>
      <c r="D5736" s="2714">
        <f t="shared" si="620"/>
        <v>0</v>
      </c>
      <c r="E5736" s="2719">
        <v>1</v>
      </c>
      <c r="F5736" s="294"/>
      <c r="G5736" s="319" t="s">
        <v>2792</v>
      </c>
      <c r="H5736" s="360"/>
      <c r="I5736" s="309"/>
      <c r="J5736" s="346"/>
      <c r="K5736" s="301"/>
      <c r="L5736" s="301"/>
      <c r="M5736" s="301"/>
      <c r="N5736" s="291"/>
      <c r="O5736" s="291"/>
      <c r="P5736" s="291"/>
      <c r="S5736" s="364"/>
      <c r="Z5736" s="609" t="s">
        <v>2066</v>
      </c>
      <c r="AA5736" s="609"/>
    </row>
    <row r="5737" spans="1:27" ht="18.75" thickBot="1">
      <c r="A5737" s="2712"/>
      <c r="B5737" s="371"/>
      <c r="C5737" s="371"/>
      <c r="D5737" s="2714">
        <f t="shared" si="620"/>
        <v>1</v>
      </c>
      <c r="E5737" s="2719" t="s">
        <v>3032</v>
      </c>
      <c r="F5737" s="294"/>
      <c r="G5737" s="374" t="s">
        <v>2752</v>
      </c>
      <c r="H5737" s="581"/>
      <c r="I5737" s="375">
        <f>SUMPRODUCT($E5731:$E5736,I5731:I5736)</f>
        <v>0</v>
      </c>
      <c r="J5737" s="395">
        <f>SUMPRODUCT($E5731:$E5736,J5731:J5736)</f>
        <v>0</v>
      </c>
      <c r="K5737" s="301"/>
      <c r="L5737" s="301"/>
      <c r="M5737" s="301"/>
      <c r="N5737" s="291"/>
      <c r="O5737" s="291"/>
      <c r="P5737" s="291"/>
      <c r="S5737" s="364"/>
      <c r="Z5737" s="609" t="s">
        <v>2066</v>
      </c>
      <c r="AA5737" s="609"/>
    </row>
    <row r="5738" spans="1:27" ht="18">
      <c r="A5738" s="2712"/>
      <c r="B5738" s="371"/>
      <c r="C5738" s="371" t="s">
        <v>2755</v>
      </c>
      <c r="D5738" s="371"/>
      <c r="F5738" s="294"/>
      <c r="G5738" s="301"/>
      <c r="H5738" s="393"/>
      <c r="I5738" s="315"/>
      <c r="J5738" s="315"/>
      <c r="K5738" s="301"/>
      <c r="L5738" s="301"/>
      <c r="M5738" s="301"/>
      <c r="N5738" s="291"/>
      <c r="O5738" s="291"/>
      <c r="P5738" s="291"/>
      <c r="S5738" s="364"/>
      <c r="Z5738" s="609" t="s">
        <v>2066</v>
      </c>
      <c r="AA5738" s="609"/>
    </row>
    <row r="5739" spans="1:27" ht="24">
      <c r="A5739" s="2712" t="s">
        <v>2091</v>
      </c>
      <c r="B5739" s="371">
        <v>5.7</v>
      </c>
      <c r="C5739" s="371"/>
      <c r="D5739" s="2714" t="str">
        <f>VLOOKUP($A5739,Sheet_NoteList,2,0)</f>
        <v>关键管理人员报酬情况</v>
      </c>
      <c r="E5739" s="2714" t="s">
        <v>2742</v>
      </c>
      <c r="F5739" s="294"/>
      <c r="G5739" s="483" t="str">
        <f>"("&amp;B5739&amp;")"&amp;D5739</f>
        <v>(5.7)关键管理人员报酬情况</v>
      </c>
      <c r="H5739" s="1515" t="str">
        <f>$A5739</f>
        <v>9120l</v>
      </c>
      <c r="I5739" s="343" t="s">
        <v>2743</v>
      </c>
      <c r="J5739" s="301"/>
      <c r="K5739" s="3083"/>
      <c r="L5739" s="315"/>
      <c r="M5739" s="301"/>
      <c r="N5739" s="3083"/>
      <c r="O5739" s="315"/>
      <c r="P5739" s="301"/>
      <c r="S5739" s="364"/>
      <c r="Z5739" s="609" t="s">
        <v>2066</v>
      </c>
      <c r="AA5739" s="609"/>
    </row>
    <row r="5740" spans="1:27" ht="0.75" customHeight="1" thickBot="1">
      <c r="A5740" s="2712"/>
      <c r="B5740" s="371"/>
      <c r="C5740" s="371"/>
      <c r="D5740" s="371"/>
      <c r="F5740" s="371"/>
      <c r="G5740" s="371" t="s">
        <v>4480</v>
      </c>
      <c r="H5740" s="371" t="s">
        <v>4223</v>
      </c>
      <c r="I5740" s="371" t="s">
        <v>4224</v>
      </c>
      <c r="K5740" s="301"/>
      <c r="L5740" s="301"/>
      <c r="M5740" s="301"/>
      <c r="N5740" s="291"/>
      <c r="O5740" s="291"/>
      <c r="P5740" s="291"/>
      <c r="S5740" s="364"/>
      <c r="Z5740" s="609" t="s">
        <v>2066</v>
      </c>
      <c r="AA5740" s="609"/>
    </row>
    <row r="5741" spans="1:27" ht="18">
      <c r="A5741" s="2712"/>
      <c r="B5741" s="371"/>
      <c r="C5741" s="371"/>
      <c r="D5741" s="371"/>
      <c r="E5741" s="2714" t="s">
        <v>2749</v>
      </c>
      <c r="F5741" s="294"/>
      <c r="G5741" s="410" t="s">
        <v>1423</v>
      </c>
      <c r="H5741" s="412" t="str">
        <f>$W$4&amp;"发生额"</f>
        <v>2019年度发生额</v>
      </c>
      <c r="I5741" s="507" t="str">
        <f>$W$5&amp;"发生额"</f>
        <v>2018年度发生额</v>
      </c>
      <c r="J5741" s="355" t="s">
        <v>5348</v>
      </c>
      <c r="K5741" s="301"/>
      <c r="L5741" s="301"/>
      <c r="M5741" s="301"/>
      <c r="N5741" s="291"/>
      <c r="O5741" s="291"/>
      <c r="P5741" s="291"/>
      <c r="S5741" s="364"/>
      <c r="Z5741" s="609" t="s">
        <v>2066</v>
      </c>
      <c r="AA5741" s="609"/>
    </row>
    <row r="5742" spans="1:27" ht="18">
      <c r="A5742" s="2712"/>
      <c r="B5742" s="371">
        <v>101</v>
      </c>
      <c r="C5742" s="371"/>
      <c r="D5742" s="2714">
        <f>IF(OR(G5742="*",G5742="",G5742=0),0,COUNTIF($G$5742:$G$5744,G5742))</f>
        <v>1</v>
      </c>
      <c r="E5742" s="2719">
        <v>1</v>
      </c>
      <c r="F5742" s="294"/>
      <c r="G5742" s="308" t="s">
        <v>4481</v>
      </c>
      <c r="H5742" s="309"/>
      <c r="I5742" s="346"/>
      <c r="K5742" s="301"/>
      <c r="L5742" s="301"/>
      <c r="M5742" s="301"/>
      <c r="N5742" s="291"/>
      <c r="O5742" s="291"/>
      <c r="P5742" s="291"/>
      <c r="S5742" s="364"/>
      <c r="Z5742" s="609" t="s">
        <v>2066</v>
      </c>
      <c r="AA5742" s="609"/>
    </row>
    <row r="5743" spans="1:27" ht="18">
      <c r="A5743" s="2712"/>
      <c r="B5743" s="371">
        <v>102</v>
      </c>
      <c r="C5743" s="371" t="s">
        <v>2791</v>
      </c>
      <c r="D5743" s="2714">
        <f>IF(OR(G5743="*",G5743="",G5743=0),0,COUNTIF($G$5742:$G$5744,G5743))</f>
        <v>0</v>
      </c>
      <c r="E5743" s="2719">
        <v>1</v>
      </c>
      <c r="F5743" s="294"/>
      <c r="G5743" s="319" t="s">
        <v>2792</v>
      </c>
      <c r="H5743" s="309"/>
      <c r="I5743" s="346"/>
      <c r="K5743" s="301"/>
      <c r="L5743" s="301"/>
      <c r="M5743" s="301"/>
      <c r="N5743" s="291"/>
      <c r="O5743" s="291"/>
      <c r="P5743" s="291"/>
      <c r="S5743" s="364"/>
      <c r="Z5743" s="609" t="s">
        <v>2066</v>
      </c>
      <c r="AA5743" s="609"/>
    </row>
    <row r="5744" spans="1:27" ht="18.75" thickBot="1">
      <c r="A5744" s="2712"/>
      <c r="B5744" s="371"/>
      <c r="C5744" s="371"/>
      <c r="D5744" s="2714">
        <f>IF(OR(G5744="*",G5744="",G5744=0),0,COUNTIF($G$5742:$G$5744,G5744))</f>
        <v>1</v>
      </c>
      <c r="E5744" s="2719" t="s">
        <v>3032</v>
      </c>
      <c r="F5744" s="294"/>
      <c r="G5744" s="374" t="s">
        <v>2752</v>
      </c>
      <c r="H5744" s="375">
        <f>SUMPRODUCT($E5741:$E5743,H5741:H5743)</f>
        <v>0</v>
      </c>
      <c r="I5744" s="395">
        <f>SUMPRODUCT($E5741:$E5743,I5741:I5743)</f>
        <v>0</v>
      </c>
      <c r="K5744" s="301"/>
      <c r="L5744" s="301"/>
      <c r="M5744" s="301"/>
      <c r="N5744" s="291"/>
      <c r="O5744" s="291"/>
      <c r="P5744" s="291"/>
      <c r="S5744" s="364"/>
      <c r="Z5744" s="609" t="s">
        <v>2066</v>
      </c>
      <c r="AA5744" s="609"/>
    </row>
    <row r="5745" spans="1:27" ht="18.75" thickBot="1">
      <c r="A5745" s="2712"/>
      <c r="B5745" s="371">
        <v>901</v>
      </c>
      <c r="C5745" s="371"/>
      <c r="D5745" s="2714"/>
      <c r="E5745" s="2714" t="s">
        <v>2753</v>
      </c>
      <c r="F5745" s="294"/>
      <c r="G5745" s="1600" t="s">
        <v>5522</v>
      </c>
      <c r="H5745" s="1598"/>
      <c r="I5745" s="1599"/>
      <c r="J5745" s="315"/>
      <c r="K5745" s="301"/>
      <c r="L5745" s="301"/>
      <c r="M5745" s="301"/>
      <c r="N5745" s="291"/>
      <c r="O5745" s="291"/>
      <c r="P5745" s="291"/>
      <c r="S5745" s="364"/>
      <c r="Z5745" s="609" t="s">
        <v>2066</v>
      </c>
      <c r="AA5745" s="609"/>
    </row>
    <row r="5746" spans="1:27" ht="18">
      <c r="A5746" s="2712"/>
      <c r="B5746" s="371"/>
      <c r="C5746" s="371" t="s">
        <v>2755</v>
      </c>
      <c r="D5746" s="371"/>
      <c r="F5746" s="294"/>
      <c r="G5746" s="301"/>
      <c r="H5746" s="393"/>
      <c r="I5746" s="315"/>
      <c r="J5746" s="315"/>
      <c r="K5746" s="301"/>
      <c r="L5746" s="301"/>
      <c r="M5746" s="301"/>
      <c r="N5746" s="291"/>
      <c r="O5746" s="291"/>
      <c r="P5746" s="291"/>
      <c r="S5746" s="364"/>
      <c r="Z5746" s="609" t="s">
        <v>2066</v>
      </c>
      <c r="AA5746" s="609"/>
    </row>
    <row r="5747" spans="1:27" ht="24">
      <c r="A5747" s="2712" t="s">
        <v>2094</v>
      </c>
      <c r="B5747" s="371">
        <v>6.1</v>
      </c>
      <c r="C5747" s="371"/>
      <c r="D5747" s="2714" t="str">
        <f>VLOOKUP($A5747,Sheet_NoteList,2,0)</f>
        <v>关联方应收应付款项——应收项目</v>
      </c>
      <c r="E5747" s="2714" t="s">
        <v>2742</v>
      </c>
      <c r="F5747" s="293"/>
      <c r="G5747" s="372" t="str">
        <f>"("&amp;B5747&amp;")"&amp;D5747</f>
        <v>(6.1)关联方应收应付款项——应收项目</v>
      </c>
      <c r="H5747" s="1515" t="str">
        <f>$A5747</f>
        <v>9120o</v>
      </c>
      <c r="I5747" s="343" t="s">
        <v>2743</v>
      </c>
      <c r="J5747" s="301" t="s">
        <v>2744</v>
      </c>
      <c r="K5747" s="2208">
        <f>H5760</f>
        <v>0</v>
      </c>
      <c r="L5747" s="349"/>
      <c r="M5747" s="301" t="s">
        <v>2745</v>
      </c>
      <c r="N5747" s="2208">
        <f>I5760</f>
        <v>0</v>
      </c>
      <c r="O5747" s="349"/>
      <c r="P5747" s="301"/>
      <c r="S5747" s="364"/>
      <c r="Z5747" s="609" t="s">
        <v>2066</v>
      </c>
      <c r="AA5747" s="609" t="s">
        <v>19</v>
      </c>
    </row>
    <row r="5748" spans="1:27" ht="0.75" customHeight="1">
      <c r="A5748" s="2712"/>
      <c r="B5748" s="371"/>
      <c r="C5748" s="371"/>
      <c r="D5748" s="2714"/>
      <c r="E5748" s="586"/>
      <c r="F5748" s="586"/>
      <c r="G5748" s="2222" t="s">
        <v>4482</v>
      </c>
      <c r="H5748" s="371" t="s">
        <v>2747</v>
      </c>
      <c r="I5748" s="371" t="s">
        <v>2748</v>
      </c>
      <c r="J5748" s="371" t="s">
        <v>2948</v>
      </c>
      <c r="K5748" s="547" t="s">
        <v>3034</v>
      </c>
      <c r="L5748" s="547" t="s">
        <v>3035</v>
      </c>
      <c r="M5748" s="433"/>
      <c r="N5748" s="428"/>
      <c r="O5748" s="428"/>
      <c r="P5748" s="433"/>
      <c r="Q5748" s="442"/>
      <c r="R5748" s="443"/>
      <c r="S5748" s="364"/>
      <c r="Z5748" s="609" t="s">
        <v>2066</v>
      </c>
      <c r="AA5748" s="609" t="s">
        <v>19</v>
      </c>
    </row>
    <row r="5749" spans="1:27" ht="0.75" customHeight="1" thickBot="1">
      <c r="A5749" s="2712"/>
      <c r="B5749" s="371"/>
      <c r="C5749" s="371"/>
      <c r="D5749" s="2714"/>
      <c r="E5749" s="586"/>
      <c r="F5749" s="586"/>
      <c r="G5749" s="2222"/>
      <c r="H5749" s="371" t="s">
        <v>4483</v>
      </c>
      <c r="I5749" s="371" t="s">
        <v>2855</v>
      </c>
      <c r="J5749" s="371" t="s">
        <v>2856</v>
      </c>
      <c r="K5749" s="547" t="s">
        <v>2858</v>
      </c>
      <c r="L5749" s="547" t="s">
        <v>2859</v>
      </c>
      <c r="M5749" s="433"/>
      <c r="N5749" s="428"/>
      <c r="O5749" s="428"/>
      <c r="P5749" s="433"/>
      <c r="Q5749" s="442"/>
      <c r="R5749" s="443"/>
      <c r="S5749" s="364"/>
      <c r="Z5749" s="609" t="s">
        <v>2066</v>
      </c>
      <c r="AA5749" s="609" t="s">
        <v>19</v>
      </c>
    </row>
    <row r="5750" spans="1:27" ht="18" customHeight="1">
      <c r="A5750" s="2712"/>
      <c r="B5750" s="371"/>
      <c r="C5750" s="371"/>
      <c r="D5750" s="2714"/>
      <c r="E5750" s="586" t="s">
        <v>2749</v>
      </c>
      <c r="F5750" s="414"/>
      <c r="G5750" s="3487" t="s">
        <v>1476</v>
      </c>
      <c r="H5750" s="3519" t="s">
        <v>1423</v>
      </c>
      <c r="I5750" s="3521" t="str">
        <f>$V$2</f>
        <v>2019年12月31日</v>
      </c>
      <c r="J5750" s="3522"/>
      <c r="K5750" s="3516" t="str">
        <f>$V$3</f>
        <v>2018年12月31日</v>
      </c>
      <c r="L5750" s="3517"/>
      <c r="M5750" s="355" t="s">
        <v>5349</v>
      </c>
      <c r="N5750" s="428"/>
      <c r="O5750" s="428"/>
      <c r="P5750" s="433"/>
      <c r="Q5750" s="442"/>
      <c r="R5750" s="443"/>
      <c r="S5750" s="364"/>
      <c r="Z5750" s="609" t="s">
        <v>2066</v>
      </c>
      <c r="AA5750" s="609" t="s">
        <v>19</v>
      </c>
    </row>
    <row r="5751" spans="1:27" ht="18">
      <c r="A5751" s="2712"/>
      <c r="B5751" s="371"/>
      <c r="C5751" s="371"/>
      <c r="D5751" s="2714"/>
      <c r="E5751" s="586" t="s">
        <v>2749</v>
      </c>
      <c r="F5751" s="414"/>
      <c r="G5751" s="3488"/>
      <c r="H5751" s="3520"/>
      <c r="I5751" s="2463" t="s">
        <v>2861</v>
      </c>
      <c r="J5751" s="2463" t="s">
        <v>2862</v>
      </c>
      <c r="K5751" s="419" t="s">
        <v>2861</v>
      </c>
      <c r="L5751" s="2466" t="s">
        <v>2862</v>
      </c>
      <c r="M5751" s="435"/>
      <c r="N5751" s="434"/>
      <c r="O5751" s="434"/>
      <c r="P5751" s="435"/>
      <c r="Q5751" s="442"/>
      <c r="R5751" s="443"/>
      <c r="S5751" s="364"/>
      <c r="Z5751" s="609" t="s">
        <v>2066</v>
      </c>
      <c r="AA5751" s="609" t="s">
        <v>19</v>
      </c>
    </row>
    <row r="5752" spans="1:27" ht="18">
      <c r="A5752" s="2712"/>
      <c r="B5752" s="371">
        <v>101</v>
      </c>
      <c r="C5752" s="371" t="s">
        <v>2791</v>
      </c>
      <c r="D5752" s="2714">
        <f t="shared" ref="D5752:D5760" si="621">IF(OR(G5752="*",G5752="",G5752=0),0,COUNTIF($G$5752:$G$5760,G5752))</f>
        <v>1</v>
      </c>
      <c r="E5752" s="2719">
        <v>1</v>
      </c>
      <c r="F5752" s="293"/>
      <c r="G5752" s="2566" t="s">
        <v>124</v>
      </c>
      <c r="H5752" s="2273"/>
      <c r="I5752" s="2273"/>
      <c r="J5752" s="2273"/>
      <c r="K5752" s="2273"/>
      <c r="L5752" s="2294"/>
      <c r="M5752" s="438"/>
      <c r="N5752" s="439"/>
      <c r="O5752" s="437"/>
      <c r="P5752" s="438"/>
      <c r="Q5752" s="442"/>
      <c r="R5752" s="443"/>
      <c r="S5752" s="364"/>
      <c r="Z5752" s="609" t="s">
        <v>2066</v>
      </c>
      <c r="AA5752" s="609" t="s">
        <v>19</v>
      </c>
    </row>
    <row r="5753" spans="1:27" ht="18">
      <c r="A5753" s="2712"/>
      <c r="B5753" s="371">
        <v>102</v>
      </c>
      <c r="C5753" s="371" t="s">
        <v>2791</v>
      </c>
      <c r="D5753" s="2714">
        <f t="shared" si="621"/>
        <v>1</v>
      </c>
      <c r="E5753" s="2719">
        <v>1</v>
      </c>
      <c r="F5753" s="293"/>
      <c r="G5753" s="2566" t="s">
        <v>109</v>
      </c>
      <c r="H5753" s="2273"/>
      <c r="I5753" s="2273"/>
      <c r="J5753" s="2273"/>
      <c r="K5753" s="2273"/>
      <c r="L5753" s="2294"/>
      <c r="M5753" s="438"/>
      <c r="N5753" s="439"/>
      <c r="O5753" s="437"/>
      <c r="P5753" s="438"/>
      <c r="Q5753" s="442"/>
      <c r="R5753" s="443"/>
      <c r="S5753" s="364"/>
      <c r="Z5753" s="609" t="s">
        <v>2066</v>
      </c>
      <c r="AA5753" s="609" t="s">
        <v>19</v>
      </c>
    </row>
    <row r="5754" spans="1:27" ht="18">
      <c r="A5754" s="2712"/>
      <c r="B5754" s="371">
        <v>103</v>
      </c>
      <c r="C5754" s="371" t="s">
        <v>2791</v>
      </c>
      <c r="D5754" s="2714">
        <f t="shared" si="621"/>
        <v>1</v>
      </c>
      <c r="E5754" s="2719">
        <v>1</v>
      </c>
      <c r="F5754" s="293"/>
      <c r="G5754" s="2566" t="s">
        <v>162</v>
      </c>
      <c r="H5754" s="2273"/>
      <c r="I5754" s="2273"/>
      <c r="J5754" s="2273"/>
      <c r="K5754" s="2273"/>
      <c r="L5754" s="2294"/>
      <c r="M5754" s="438"/>
      <c r="N5754" s="439"/>
      <c r="O5754" s="437"/>
      <c r="P5754" s="438"/>
      <c r="Q5754" s="442"/>
      <c r="R5754" s="443"/>
      <c r="S5754" s="364"/>
      <c r="Z5754" s="609" t="s">
        <v>2066</v>
      </c>
      <c r="AA5754" s="609" t="s">
        <v>19</v>
      </c>
    </row>
    <row r="5755" spans="1:27" ht="18">
      <c r="A5755" s="2712"/>
      <c r="B5755" s="371">
        <v>104</v>
      </c>
      <c r="C5755" s="371" t="s">
        <v>2791</v>
      </c>
      <c r="D5755" s="2714">
        <f t="shared" si="621"/>
        <v>1</v>
      </c>
      <c r="E5755" s="2719">
        <v>1</v>
      </c>
      <c r="F5755" s="293"/>
      <c r="G5755" s="2566" t="s">
        <v>201</v>
      </c>
      <c r="H5755" s="2273"/>
      <c r="I5755" s="2273"/>
      <c r="J5755" s="2273"/>
      <c r="K5755" s="2273"/>
      <c r="L5755" s="2294"/>
      <c r="M5755" s="438"/>
      <c r="N5755" s="439"/>
      <c r="O5755" s="437"/>
      <c r="P5755" s="438"/>
      <c r="Q5755" s="442"/>
      <c r="R5755" s="443"/>
      <c r="S5755" s="364"/>
      <c r="Z5755" s="609" t="s">
        <v>2066</v>
      </c>
      <c r="AA5755" s="609" t="s">
        <v>19</v>
      </c>
    </row>
    <row r="5756" spans="1:27" ht="18">
      <c r="A5756" s="2712"/>
      <c r="B5756" s="371">
        <v>105</v>
      </c>
      <c r="C5756" s="371" t="s">
        <v>2791</v>
      </c>
      <c r="D5756" s="2714">
        <f t="shared" si="621"/>
        <v>0</v>
      </c>
      <c r="E5756" s="2719">
        <v>1</v>
      </c>
      <c r="F5756" s="293"/>
      <c r="G5756" s="2465" t="s">
        <v>2792</v>
      </c>
      <c r="H5756" s="2273"/>
      <c r="I5756" s="2273"/>
      <c r="J5756" s="2273"/>
      <c r="K5756" s="2273"/>
      <c r="L5756" s="2294"/>
      <c r="M5756" s="438"/>
      <c r="N5756" s="439"/>
      <c r="O5756" s="437"/>
      <c r="P5756" s="438"/>
      <c r="Q5756" s="442"/>
      <c r="R5756" s="443"/>
      <c r="S5756" s="364"/>
      <c r="Z5756" s="609" t="s">
        <v>2066</v>
      </c>
      <c r="AA5756" s="609" t="s">
        <v>19</v>
      </c>
    </row>
    <row r="5757" spans="1:27" ht="18">
      <c r="A5757" s="2712"/>
      <c r="B5757" s="371">
        <v>106</v>
      </c>
      <c r="C5757" s="371" t="s">
        <v>2791</v>
      </c>
      <c r="D5757" s="2714">
        <f t="shared" si="621"/>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8">
      <c r="A5758" s="2712"/>
      <c r="B5758" s="371">
        <v>107</v>
      </c>
      <c r="C5758" s="371" t="s">
        <v>2791</v>
      </c>
      <c r="D5758" s="2714">
        <f t="shared" si="621"/>
        <v>0</v>
      </c>
      <c r="E5758" s="2719">
        <v>1</v>
      </c>
      <c r="F5758" s="293"/>
      <c r="G5758" s="2465" t="s">
        <v>2792</v>
      </c>
      <c r="H5758" s="2273"/>
      <c r="I5758" s="2273"/>
      <c r="J5758" s="2273"/>
      <c r="K5758" s="2273"/>
      <c r="L5758" s="2294"/>
      <c r="M5758" s="438"/>
      <c r="N5758" s="439"/>
      <c r="O5758" s="437"/>
      <c r="P5758" s="438"/>
      <c r="Q5758" s="442"/>
      <c r="R5758" s="443"/>
      <c r="S5758" s="364"/>
      <c r="Z5758" s="609" t="s">
        <v>2066</v>
      </c>
      <c r="AA5758" s="609" t="s">
        <v>19</v>
      </c>
    </row>
    <row r="5759" spans="1:27" ht="18">
      <c r="A5759" s="2712"/>
      <c r="B5759" s="371">
        <v>108</v>
      </c>
      <c r="C5759" s="371" t="s">
        <v>2791</v>
      </c>
      <c r="D5759" s="2714">
        <f t="shared" si="621"/>
        <v>0</v>
      </c>
      <c r="E5759" s="2719">
        <v>1</v>
      </c>
      <c r="F5759" s="293"/>
      <c r="G5759" s="2465" t="s">
        <v>2792</v>
      </c>
      <c r="H5759" s="2273"/>
      <c r="I5759" s="2273"/>
      <c r="J5759" s="2273"/>
      <c r="K5759" s="2273"/>
      <c r="L5759" s="2294"/>
      <c r="M5759" s="438"/>
      <c r="N5759" s="439"/>
      <c r="O5759" s="437"/>
      <c r="P5759" s="438"/>
      <c r="Q5759" s="442"/>
      <c r="R5759" s="443"/>
      <c r="S5759" s="364"/>
      <c r="Z5759" s="609" t="s">
        <v>2066</v>
      </c>
      <c r="AA5759" s="609" t="s">
        <v>19</v>
      </c>
    </row>
    <row r="5760" spans="1:27" ht="18.75" thickBot="1">
      <c r="A5760" s="2712"/>
      <c r="B5760" s="371"/>
      <c r="C5760" s="371"/>
      <c r="D5760" s="2714">
        <f t="shared" si="621"/>
        <v>1</v>
      </c>
      <c r="E5760" s="2719" t="s">
        <v>2751</v>
      </c>
      <c r="F5760" s="293"/>
      <c r="G5760" s="374" t="s">
        <v>2752</v>
      </c>
      <c r="H5760" s="1476">
        <f>SUMPRODUCT($E5751:$E5759,H5751:H5759)</f>
        <v>0</v>
      </c>
      <c r="I5760" s="1476">
        <f>SUMPRODUCT($E5751:$E5759,I5751:I5759)</f>
        <v>0</v>
      </c>
      <c r="J5760" s="1476">
        <f>SUMPRODUCT($E5751:$E5759,J5751:J5759)</f>
        <v>0</v>
      </c>
      <c r="K5760" s="2375"/>
      <c r="L5760" s="2479"/>
      <c r="M5760" s="440"/>
      <c r="N5760" s="439"/>
      <c r="O5760" s="437"/>
      <c r="P5760" s="440"/>
      <c r="Q5760" s="442"/>
      <c r="R5760" s="443"/>
      <c r="S5760" s="364"/>
      <c r="Z5760" s="609" t="s">
        <v>2066</v>
      </c>
      <c r="AA5760" s="609" t="s">
        <v>19</v>
      </c>
    </row>
    <row r="5761" spans="1:27" ht="18">
      <c r="A5761" s="2712"/>
      <c r="B5761" s="371"/>
      <c r="C5761" s="371" t="s">
        <v>2755</v>
      </c>
      <c r="D5761" s="2714"/>
      <c r="F5761" s="293"/>
      <c r="G5761" s="376"/>
      <c r="H5761" s="315"/>
      <c r="I5761" s="396"/>
      <c r="J5761" s="315"/>
      <c r="K5761" s="423"/>
      <c r="L5761" s="315"/>
      <c r="M5761" s="425"/>
      <c r="N5761" s="426"/>
      <c r="O5761" s="427"/>
      <c r="P5761" s="425"/>
      <c r="Q5761" s="442"/>
      <c r="R5761" s="443"/>
      <c r="S5761" s="364"/>
      <c r="Z5761" s="609" t="s">
        <v>2066</v>
      </c>
      <c r="AA5761" s="609" t="s">
        <v>19</v>
      </c>
    </row>
    <row r="5762" spans="1:27" ht="24">
      <c r="A5762" s="2712" t="s">
        <v>2096</v>
      </c>
      <c r="B5762" s="371">
        <v>6.2</v>
      </c>
      <c r="C5762" s="371"/>
      <c r="D5762" s="2714" t="str">
        <f>VLOOKUP($A5762,Sheet_NoteList,2,0)</f>
        <v>关联方应收应付款项——应付项目</v>
      </c>
      <c r="E5762" s="2714" t="s">
        <v>2742</v>
      </c>
      <c r="F5762" s="293"/>
      <c r="G5762" s="372" t="str">
        <f>"("&amp;B5762&amp;")"&amp;D5762</f>
        <v>(6.2)关联方应收应付款项——应付项目</v>
      </c>
      <c r="H5762" s="1515" t="str">
        <f>$A5762</f>
        <v>9120p</v>
      </c>
      <c r="I5762" s="343" t="s">
        <v>2743</v>
      </c>
      <c r="J5762" s="301" t="s">
        <v>2744</v>
      </c>
      <c r="K5762" s="2208">
        <f>I5773</f>
        <v>0</v>
      </c>
      <c r="L5762" s="349"/>
      <c r="M5762" s="301" t="s">
        <v>2745</v>
      </c>
      <c r="N5762" s="2208">
        <f>J5773</f>
        <v>0</v>
      </c>
      <c r="O5762" s="349"/>
      <c r="P5762" s="301"/>
      <c r="S5762" s="364"/>
      <c r="Z5762" s="609" t="s">
        <v>2066</v>
      </c>
      <c r="AA5762" s="609" t="s">
        <v>19</v>
      </c>
    </row>
    <row r="5763" spans="1:27" ht="0.75" customHeight="1" thickBot="1">
      <c r="A5763" s="2712"/>
      <c r="B5763" s="371"/>
      <c r="C5763" s="371"/>
      <c r="D5763" s="2714"/>
      <c r="E5763" s="586"/>
      <c r="F5763" s="586"/>
      <c r="G5763" s="2222" t="s">
        <v>4484</v>
      </c>
      <c r="H5763" s="371" t="s">
        <v>3067</v>
      </c>
      <c r="I5763" s="371" t="s">
        <v>2748</v>
      </c>
      <c r="J5763" s="371" t="s">
        <v>2948</v>
      </c>
      <c r="K5763" s="428"/>
      <c r="L5763" s="428"/>
      <c r="M5763" s="433"/>
      <c r="N5763" s="428"/>
      <c r="O5763" s="428"/>
      <c r="P5763" s="433"/>
      <c r="Q5763" s="442"/>
      <c r="R5763" s="443"/>
      <c r="S5763" s="364"/>
      <c r="Z5763" s="609" t="s">
        <v>2066</v>
      </c>
      <c r="AA5763" s="609" t="s">
        <v>19</v>
      </c>
    </row>
    <row r="5764" spans="1:27" ht="18">
      <c r="A5764" s="2712"/>
      <c r="B5764" s="371"/>
      <c r="C5764" s="371"/>
      <c r="D5764" s="2714"/>
      <c r="E5764" s="586" t="s">
        <v>2749</v>
      </c>
      <c r="F5764" s="414"/>
      <c r="G5764" s="2455" t="s">
        <v>1476</v>
      </c>
      <c r="H5764" s="2462" t="s">
        <v>1423</v>
      </c>
      <c r="I5764" s="2501" t="str">
        <f>$V$2</f>
        <v>2019年12月31日</v>
      </c>
      <c r="J5764" s="2502" t="str">
        <f>$V$3</f>
        <v>2018年12月31日</v>
      </c>
      <c r="K5764" s="355" t="s">
        <v>5349</v>
      </c>
      <c r="L5764" s="434"/>
      <c r="M5764" s="435"/>
      <c r="N5764" s="434"/>
      <c r="O5764" s="434"/>
      <c r="P5764" s="435"/>
      <c r="Q5764" s="442"/>
      <c r="R5764" s="443"/>
      <c r="S5764" s="364"/>
      <c r="Z5764" s="609" t="s">
        <v>2066</v>
      </c>
      <c r="AA5764" s="609" t="s">
        <v>19</v>
      </c>
    </row>
    <row r="5765" spans="1:27" ht="18">
      <c r="A5765" s="2712"/>
      <c r="B5765" s="371">
        <v>101</v>
      </c>
      <c r="C5765" s="371" t="s">
        <v>2791</v>
      </c>
      <c r="D5765" s="2714">
        <f t="shared" ref="D5765:D5773" si="622">IF(OR(G5765="*",G5765="",G5765=0),0,COUNTIF($G$5765:$G$5773,G5765))</f>
        <v>1</v>
      </c>
      <c r="E5765" s="2719">
        <v>1</v>
      </c>
      <c r="F5765" s="293"/>
      <c r="G5765" s="2566" t="s">
        <v>476</v>
      </c>
      <c r="H5765" s="2296"/>
      <c r="I5765" s="2273"/>
      <c r="J5765" s="2294"/>
      <c r="K5765" s="439"/>
      <c r="L5765" s="437"/>
      <c r="M5765" s="438"/>
      <c r="N5765" s="439"/>
      <c r="O5765" s="437"/>
      <c r="P5765" s="438"/>
      <c r="Q5765" s="442"/>
      <c r="R5765" s="443"/>
      <c r="S5765" s="364"/>
      <c r="Z5765" s="609" t="s">
        <v>2066</v>
      </c>
      <c r="AA5765" s="609" t="s">
        <v>19</v>
      </c>
    </row>
    <row r="5766" spans="1:27" ht="18">
      <c r="A5766" s="2712"/>
      <c r="B5766" s="371">
        <v>102</v>
      </c>
      <c r="C5766" s="371" t="s">
        <v>2791</v>
      </c>
      <c r="D5766" s="2714">
        <f t="shared" si="622"/>
        <v>1</v>
      </c>
      <c r="E5766" s="2719">
        <v>1</v>
      </c>
      <c r="F5766" s="293"/>
      <c r="G5766" s="2566" t="s">
        <v>471</v>
      </c>
      <c r="H5766" s="2296"/>
      <c r="I5766" s="2273"/>
      <c r="J5766" s="2294"/>
      <c r="K5766" s="439"/>
      <c r="L5766" s="437"/>
      <c r="M5766" s="438"/>
      <c r="N5766" s="439"/>
      <c r="O5766" s="437"/>
      <c r="P5766" s="438"/>
      <c r="Q5766" s="442"/>
      <c r="R5766" s="443"/>
      <c r="S5766" s="364"/>
      <c r="Z5766" s="609" t="s">
        <v>2066</v>
      </c>
      <c r="AA5766" s="609" t="s">
        <v>19</v>
      </c>
    </row>
    <row r="5767" spans="1:27" ht="18">
      <c r="A5767" s="2712"/>
      <c r="B5767" s="371">
        <v>103</v>
      </c>
      <c r="C5767" s="371" t="s">
        <v>2791</v>
      </c>
      <c r="D5767" s="2714">
        <f t="shared" si="622"/>
        <v>1</v>
      </c>
      <c r="E5767" s="2719">
        <v>1</v>
      </c>
      <c r="F5767" s="293"/>
      <c r="G5767" s="2566" t="s">
        <v>484</v>
      </c>
      <c r="H5767" s="2296"/>
      <c r="I5767" s="2273"/>
      <c r="J5767" s="2294"/>
      <c r="K5767" s="439"/>
      <c r="L5767" s="437"/>
      <c r="M5767" s="438"/>
      <c r="N5767" s="439"/>
      <c r="O5767" s="437"/>
      <c r="P5767" s="438"/>
      <c r="Q5767" s="442"/>
      <c r="R5767" s="443"/>
      <c r="S5767" s="364"/>
      <c r="Z5767" s="609" t="s">
        <v>2066</v>
      </c>
      <c r="AA5767" s="609" t="s">
        <v>19</v>
      </c>
    </row>
    <row r="5768" spans="1:27" ht="18">
      <c r="A5768" s="2712"/>
      <c r="B5768" s="371">
        <v>104</v>
      </c>
      <c r="C5768" s="371" t="s">
        <v>2791</v>
      </c>
      <c r="D5768" s="2714">
        <f t="shared" si="622"/>
        <v>1</v>
      </c>
      <c r="E5768" s="2719">
        <v>1</v>
      </c>
      <c r="F5768" s="293"/>
      <c r="G5768" s="2566" t="s">
        <v>513</v>
      </c>
      <c r="H5768" s="2296"/>
      <c r="I5768" s="2273"/>
      <c r="J5768" s="2294"/>
      <c r="K5768" s="439"/>
      <c r="L5768" s="437"/>
      <c r="M5768" s="438"/>
      <c r="N5768" s="439"/>
      <c r="O5768" s="437"/>
      <c r="P5768" s="438"/>
      <c r="Q5768" s="442"/>
      <c r="R5768" s="443"/>
      <c r="S5768" s="364"/>
      <c r="Z5768" s="609" t="s">
        <v>2066</v>
      </c>
      <c r="AA5768" s="609" t="s">
        <v>19</v>
      </c>
    </row>
    <row r="5769" spans="1:27" ht="18">
      <c r="A5769" s="2712"/>
      <c r="B5769" s="371">
        <v>105</v>
      </c>
      <c r="C5769" s="371" t="s">
        <v>2791</v>
      </c>
      <c r="D5769" s="2714">
        <f t="shared" si="622"/>
        <v>0</v>
      </c>
      <c r="E5769" s="2719">
        <v>1</v>
      </c>
      <c r="F5769" s="293"/>
      <c r="G5769" s="2465" t="s">
        <v>2792</v>
      </c>
      <c r="H5769" s="2296"/>
      <c r="I5769" s="2273"/>
      <c r="J5769" s="2294"/>
      <c r="K5769" s="439"/>
      <c r="L5769" s="437"/>
      <c r="M5769" s="438"/>
      <c r="N5769" s="439"/>
      <c r="O5769" s="437"/>
      <c r="P5769" s="438"/>
      <c r="Q5769" s="442"/>
      <c r="R5769" s="443"/>
      <c r="S5769" s="364"/>
      <c r="Z5769" s="609" t="s">
        <v>2066</v>
      </c>
      <c r="AA5769" s="609" t="s">
        <v>19</v>
      </c>
    </row>
    <row r="5770" spans="1:27" ht="18">
      <c r="A5770" s="2712"/>
      <c r="B5770" s="371">
        <v>106</v>
      </c>
      <c r="C5770" s="371" t="s">
        <v>2791</v>
      </c>
      <c r="D5770" s="2714">
        <f t="shared" si="622"/>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8">
      <c r="A5771" s="2712"/>
      <c r="B5771" s="371">
        <v>107</v>
      </c>
      <c r="C5771" s="371" t="s">
        <v>2791</v>
      </c>
      <c r="D5771" s="2714">
        <f t="shared" si="622"/>
        <v>0</v>
      </c>
      <c r="E5771" s="2719">
        <v>1</v>
      </c>
      <c r="F5771" s="293"/>
      <c r="G5771" s="2465" t="s">
        <v>2792</v>
      </c>
      <c r="H5771" s="2296"/>
      <c r="I5771" s="2273"/>
      <c r="J5771" s="2294"/>
      <c r="K5771" s="439"/>
      <c r="L5771" s="437"/>
      <c r="M5771" s="438"/>
      <c r="N5771" s="439"/>
      <c r="O5771" s="437"/>
      <c r="P5771" s="438"/>
      <c r="Q5771" s="442"/>
      <c r="R5771" s="443"/>
      <c r="S5771" s="364"/>
      <c r="Z5771" s="609" t="s">
        <v>2066</v>
      </c>
      <c r="AA5771" s="609" t="s">
        <v>19</v>
      </c>
    </row>
    <row r="5772" spans="1:27" ht="18">
      <c r="A5772" s="2712"/>
      <c r="B5772" s="371">
        <v>108</v>
      </c>
      <c r="C5772" s="371" t="s">
        <v>2791</v>
      </c>
      <c r="D5772" s="2714">
        <f t="shared" si="622"/>
        <v>0</v>
      </c>
      <c r="E5772" s="2719">
        <v>1</v>
      </c>
      <c r="F5772" s="293"/>
      <c r="G5772" s="2465" t="s">
        <v>2792</v>
      </c>
      <c r="H5772" s="2296"/>
      <c r="I5772" s="2273"/>
      <c r="J5772" s="2294"/>
      <c r="K5772" s="439"/>
      <c r="L5772" s="437"/>
      <c r="M5772" s="438"/>
      <c r="N5772" s="439"/>
      <c r="O5772" s="437"/>
      <c r="P5772" s="438"/>
      <c r="Q5772" s="442"/>
      <c r="R5772" s="443"/>
      <c r="S5772" s="364"/>
      <c r="Z5772" s="609" t="s">
        <v>2066</v>
      </c>
      <c r="AA5772" s="609" t="s">
        <v>19</v>
      </c>
    </row>
    <row r="5773" spans="1:27" ht="18.75" thickBot="1">
      <c r="A5773" s="2712"/>
      <c r="B5773" s="371"/>
      <c r="C5773" s="371"/>
      <c r="D5773" s="2714">
        <f t="shared" si="622"/>
        <v>1</v>
      </c>
      <c r="E5773" s="2719" t="s">
        <v>2751</v>
      </c>
      <c r="F5773" s="293"/>
      <c r="G5773" s="374" t="s">
        <v>2752</v>
      </c>
      <c r="H5773" s="2376">
        <f>SUMPRODUCT($E5764:$E5772,H5764:H5772)</f>
        <v>0</v>
      </c>
      <c r="I5773" s="1476">
        <f>SUMPRODUCT($E5764:$E5772,I5764:I5772)</f>
        <v>0</v>
      </c>
      <c r="J5773" s="1477">
        <f>SUMPRODUCT($E5764:$E5772,J5764:J5772)</f>
        <v>0</v>
      </c>
      <c r="K5773" s="439"/>
      <c r="L5773" s="437"/>
      <c r="M5773" s="440"/>
      <c r="N5773" s="439"/>
      <c r="O5773" s="437"/>
      <c r="P5773" s="440"/>
      <c r="Q5773" s="442"/>
      <c r="R5773" s="443"/>
      <c r="S5773" s="364"/>
      <c r="Z5773" s="609" t="s">
        <v>2066</v>
      </c>
      <c r="AA5773" s="609" t="s">
        <v>19</v>
      </c>
    </row>
    <row r="5774" spans="1:27" ht="18">
      <c r="A5774" s="2712"/>
      <c r="B5774" s="371"/>
      <c r="C5774" s="371" t="s">
        <v>2755</v>
      </c>
      <c r="D5774" s="2714"/>
      <c r="F5774" s="293"/>
      <c r="G5774" s="376"/>
      <c r="H5774" s="393"/>
      <c r="I5774" s="396"/>
      <c r="J5774" s="315"/>
      <c r="K5774" s="426"/>
      <c r="L5774" s="427"/>
      <c r="M5774" s="425"/>
      <c r="N5774" s="426"/>
      <c r="O5774" s="427"/>
      <c r="P5774" s="425"/>
      <c r="Q5774" s="442"/>
      <c r="R5774" s="443"/>
      <c r="S5774" s="364"/>
      <c r="Z5774" s="609" t="s">
        <v>2066</v>
      </c>
      <c r="AA5774" s="609" t="s">
        <v>19</v>
      </c>
    </row>
    <row r="5775" spans="1:27" ht="17.25">
      <c r="A5775" s="2713">
        <v>9367</v>
      </c>
      <c r="B5775" s="371" t="s">
        <v>6569</v>
      </c>
      <c r="C5775" s="2714" t="str">
        <f>VLOOKUP($A5775,Sheet_Items,2,0)</f>
        <v>终止经营</v>
      </c>
      <c r="D5775" s="371"/>
      <c r="E5775" s="2714" t="s">
        <v>2739</v>
      </c>
      <c r="F5775" s="371"/>
      <c r="G5775" s="305" t="str">
        <f>B5775&amp;" "&amp;C5775</f>
        <v>十四 5. 终止经营</v>
      </c>
      <c r="H5775" s="306"/>
      <c r="I5775" s="306"/>
      <c r="J5775" s="306"/>
      <c r="K5775" s="341"/>
      <c r="L5775" s="342"/>
      <c r="M5775" s="306"/>
      <c r="N5775" s="341"/>
      <c r="O5775" s="342"/>
      <c r="P5775" s="301"/>
      <c r="S5775" s="364"/>
      <c r="Z5775" s="609" t="s">
        <v>2155</v>
      </c>
      <c r="AA5775" s="609" t="s">
        <v>19</v>
      </c>
    </row>
    <row r="5776" spans="1:27" ht="24">
      <c r="A5776" s="2712" t="s">
        <v>2153</v>
      </c>
      <c r="B5776" s="371">
        <v>1</v>
      </c>
      <c r="C5776" s="371"/>
      <c r="D5776" s="2714" t="str">
        <f>VLOOKUP($A5776,Sheet_NoteList,2,0)</f>
        <v>其他重要事项（终止经营）</v>
      </c>
      <c r="E5776" s="2714" t="s">
        <v>2742</v>
      </c>
      <c r="F5776" s="371"/>
      <c r="G5776" s="372" t="str">
        <f>"("&amp;B5776&amp;")"&amp;D5776</f>
        <v>(1)其他重要事项（终止经营）</v>
      </c>
      <c r="H5776" s="1515" t="str">
        <f>$A5776</f>
        <v>9367a</v>
      </c>
      <c r="I5776" s="343" t="s">
        <v>2743</v>
      </c>
      <c r="J5776" s="301" t="s">
        <v>2744</v>
      </c>
      <c r="K5776" s="391"/>
      <c r="L5776" s="349"/>
      <c r="M5776" s="301" t="s">
        <v>2745</v>
      </c>
      <c r="N5776" s="391"/>
      <c r="O5776" s="349"/>
      <c r="P5776" s="301"/>
      <c r="S5776" s="364"/>
      <c r="Z5776" s="609" t="s">
        <v>2155</v>
      </c>
      <c r="AA5776" s="609" t="s">
        <v>19</v>
      </c>
    </row>
    <row r="5777" spans="1:27" ht="0.75" customHeight="1" thickBot="1">
      <c r="A5777" s="2712"/>
      <c r="B5777" s="371"/>
      <c r="C5777" s="371"/>
      <c r="D5777" s="2714"/>
      <c r="F5777" s="371"/>
      <c r="G5777" s="405" t="s">
        <v>4661</v>
      </c>
      <c r="H5777" s="371" t="s">
        <v>4223</v>
      </c>
      <c r="I5777" s="371" t="s">
        <v>4224</v>
      </c>
      <c r="J5777" s="301"/>
      <c r="K5777" s="391"/>
      <c r="L5777" s="349"/>
      <c r="M5777" s="301"/>
      <c r="N5777" s="391"/>
      <c r="O5777" s="349"/>
      <c r="P5777" s="301"/>
      <c r="S5777" s="364"/>
      <c r="Z5777" s="609" t="s">
        <v>2155</v>
      </c>
      <c r="AA5777" s="609" t="s">
        <v>19</v>
      </c>
    </row>
    <row r="5778" spans="1:27" ht="18">
      <c r="A5778" s="2712"/>
      <c r="B5778" s="371"/>
      <c r="C5778" s="371"/>
      <c r="D5778" s="2714"/>
      <c r="E5778" s="2714" t="s">
        <v>2749</v>
      </c>
      <c r="F5778" s="371"/>
      <c r="G5778" s="2561" t="s">
        <v>47</v>
      </c>
      <c r="H5778" s="2556" t="str">
        <f>$V$4</f>
        <v>2019年度</v>
      </c>
      <c r="I5778" s="2560" t="str">
        <f>$V$5</f>
        <v>2018年度</v>
      </c>
      <c r="J5778" s="355" t="s">
        <v>5350</v>
      </c>
      <c r="K5778" s="391"/>
      <c r="L5778" s="349"/>
      <c r="M5778" s="301"/>
      <c r="N5778" s="391"/>
      <c r="O5778" s="349"/>
      <c r="P5778" s="301"/>
      <c r="S5778" s="364"/>
      <c r="Z5778" s="609" t="s">
        <v>2155</v>
      </c>
      <c r="AA5778" s="609" t="s">
        <v>19</v>
      </c>
    </row>
    <row r="5779" spans="1:27" ht="18">
      <c r="A5779" s="2712"/>
      <c r="B5779" s="371">
        <v>103</v>
      </c>
      <c r="C5779" s="371"/>
      <c r="D5779" s="2714">
        <f t="shared" ref="D5779:D5795" si="623">IF(OR(G5779="*",G5779="",G5779=0),0,COUNTIF($G$5779:$G$5795,G5779))</f>
        <v>1</v>
      </c>
      <c r="E5779" s="2719">
        <v>1</v>
      </c>
      <c r="F5779" s="371"/>
      <c r="G5779" s="308" t="s">
        <v>4662</v>
      </c>
      <c r="H5779" s="309"/>
      <c r="I5779" s="346"/>
      <c r="J5779" s="301"/>
      <c r="K5779" s="391"/>
      <c r="L5779" s="349"/>
      <c r="M5779" s="301"/>
      <c r="N5779" s="391"/>
      <c r="O5779" s="349"/>
      <c r="P5779" s="301"/>
      <c r="S5779" s="364"/>
      <c r="Z5779" s="609" t="s">
        <v>2155</v>
      </c>
      <c r="AA5779" s="609" t="s">
        <v>19</v>
      </c>
    </row>
    <row r="5780" spans="1:27" ht="18">
      <c r="A5780" s="2712"/>
      <c r="B5780" s="371">
        <v>104</v>
      </c>
      <c r="C5780" s="371"/>
      <c r="D5780" s="2714">
        <f t="shared" si="623"/>
        <v>1</v>
      </c>
      <c r="E5780" s="2719">
        <v>1</v>
      </c>
      <c r="F5780" s="371"/>
      <c r="G5780" s="308" t="s">
        <v>4663</v>
      </c>
      <c r="H5780" s="309"/>
      <c r="I5780" s="346"/>
      <c r="J5780" s="301"/>
      <c r="K5780" s="391"/>
      <c r="L5780" s="349"/>
      <c r="M5780" s="301"/>
      <c r="N5780" s="391"/>
      <c r="O5780" s="349"/>
      <c r="P5780" s="301"/>
      <c r="S5780" s="364"/>
      <c r="Z5780" s="609" t="s">
        <v>2155</v>
      </c>
      <c r="AA5780" s="609" t="s">
        <v>19</v>
      </c>
    </row>
    <row r="5781" spans="1:27" ht="18">
      <c r="A5781" s="2712"/>
      <c r="B5781" s="371">
        <v>105</v>
      </c>
      <c r="C5781" s="371"/>
      <c r="D5781" s="2714">
        <f t="shared" si="623"/>
        <v>1</v>
      </c>
      <c r="E5781" s="2719">
        <v>1</v>
      </c>
      <c r="F5781" s="371"/>
      <c r="G5781" s="308" t="s">
        <v>4664</v>
      </c>
      <c r="H5781" s="309"/>
      <c r="I5781" s="346"/>
      <c r="J5781" s="301"/>
      <c r="K5781" s="391"/>
      <c r="L5781" s="349"/>
      <c r="M5781" s="301"/>
      <c r="N5781" s="391"/>
      <c r="O5781" s="349"/>
      <c r="P5781" s="301"/>
      <c r="S5781" s="364"/>
      <c r="Z5781" s="609" t="s">
        <v>2155</v>
      </c>
      <c r="AA5781" s="609" t="s">
        <v>19</v>
      </c>
    </row>
    <row r="5782" spans="1:27" ht="18">
      <c r="A5782" s="2712"/>
      <c r="B5782" s="371">
        <v>106</v>
      </c>
      <c r="C5782" s="371"/>
      <c r="D5782" s="2714">
        <f t="shared" si="623"/>
        <v>1</v>
      </c>
      <c r="E5782" s="2719">
        <v>1</v>
      </c>
      <c r="F5782" s="371"/>
      <c r="G5782" s="308" t="s">
        <v>4665</v>
      </c>
      <c r="H5782" s="309"/>
      <c r="I5782" s="346"/>
      <c r="J5782" s="301"/>
      <c r="K5782" s="391"/>
      <c r="L5782" s="349"/>
      <c r="M5782" s="301"/>
      <c r="N5782" s="391"/>
      <c r="O5782" s="349"/>
      <c r="P5782" s="301"/>
      <c r="S5782" s="364"/>
      <c r="Z5782" s="609" t="s">
        <v>2155</v>
      </c>
      <c r="AA5782" s="609" t="s">
        <v>19</v>
      </c>
    </row>
    <row r="5783" spans="1:27" ht="18">
      <c r="A5783" s="2712"/>
      <c r="B5783" s="371">
        <v>107</v>
      </c>
      <c r="C5783" s="371"/>
      <c r="D5783" s="2714">
        <f t="shared" si="623"/>
        <v>1</v>
      </c>
      <c r="E5783" s="2719">
        <v>1</v>
      </c>
      <c r="F5783" s="371"/>
      <c r="G5783" s="308" t="s">
        <v>4666</v>
      </c>
      <c r="H5783" s="309">
        <f>H5781-H5782</f>
        <v>0</v>
      </c>
      <c r="I5783" s="346">
        <f>I5781-I5782</f>
        <v>0</v>
      </c>
      <c r="J5783" s="301"/>
      <c r="K5783" s="391"/>
      <c r="L5783" s="349"/>
      <c r="M5783" s="301"/>
      <c r="N5783" s="391"/>
      <c r="O5783" s="349"/>
      <c r="P5783" s="301"/>
      <c r="S5783" s="364"/>
      <c r="Z5783" s="609" t="s">
        <v>2155</v>
      </c>
      <c r="AA5783" s="609" t="s">
        <v>19</v>
      </c>
    </row>
    <row r="5784" spans="1:27" ht="18">
      <c r="A5784" s="2712"/>
      <c r="B5784" s="371">
        <v>108</v>
      </c>
      <c r="C5784" s="371"/>
      <c r="D5784" s="2714">
        <f t="shared" si="623"/>
        <v>1</v>
      </c>
      <c r="E5784" s="2719">
        <v>1</v>
      </c>
      <c r="F5784" s="371"/>
      <c r="G5784" s="308" t="s">
        <v>5248</v>
      </c>
      <c r="H5784" s="309"/>
      <c r="I5784" s="346"/>
      <c r="J5784" s="301"/>
      <c r="K5784" s="391"/>
      <c r="L5784" s="349"/>
      <c r="M5784" s="301"/>
      <c r="N5784" s="391"/>
      <c r="O5784" s="349"/>
      <c r="P5784" s="301"/>
      <c r="S5784" s="364"/>
      <c r="Z5784" s="609" t="s">
        <v>2155</v>
      </c>
      <c r="AA5784" s="609" t="s">
        <v>19</v>
      </c>
    </row>
    <row r="5785" spans="1:27" ht="18">
      <c r="A5785" s="2712"/>
      <c r="B5785" s="371">
        <v>109</v>
      </c>
      <c r="C5785" s="371"/>
      <c r="D5785" s="2714">
        <f t="shared" si="623"/>
        <v>1</v>
      </c>
      <c r="E5785" s="2719">
        <v>1</v>
      </c>
      <c r="F5785" s="371"/>
      <c r="G5785" s="308" t="s">
        <v>4667</v>
      </c>
      <c r="H5785" s="309"/>
      <c r="I5785" s="346"/>
      <c r="J5785" s="301"/>
      <c r="K5785" s="391"/>
      <c r="L5785" s="349"/>
      <c r="M5785" s="301"/>
      <c r="N5785" s="391"/>
      <c r="O5785" s="349"/>
      <c r="P5785" s="301"/>
      <c r="S5785" s="364"/>
      <c r="Z5785" s="609" t="s">
        <v>2155</v>
      </c>
      <c r="AA5785" s="609" t="s">
        <v>19</v>
      </c>
    </row>
    <row r="5786" spans="1:27" ht="18">
      <c r="A5786" s="2712"/>
      <c r="B5786" s="371">
        <v>110</v>
      </c>
      <c r="C5786" s="371"/>
      <c r="D5786" s="2714">
        <f t="shared" si="623"/>
        <v>1</v>
      </c>
      <c r="E5786" s="2719">
        <v>1</v>
      </c>
      <c r="F5786" s="371"/>
      <c r="G5786" s="308" t="s">
        <v>4668</v>
      </c>
      <c r="H5786" s="309"/>
      <c r="I5786" s="346"/>
      <c r="J5786" s="301"/>
      <c r="K5786" s="391"/>
      <c r="L5786" s="349"/>
      <c r="M5786" s="301"/>
      <c r="N5786" s="391"/>
      <c r="O5786" s="349"/>
      <c r="P5786" s="301"/>
      <c r="S5786" s="364"/>
      <c r="Z5786" s="609" t="s">
        <v>2155</v>
      </c>
      <c r="AA5786" s="609" t="s">
        <v>19</v>
      </c>
    </row>
    <row r="5787" spans="1:27" ht="18">
      <c r="A5787" s="2712"/>
      <c r="B5787" s="371">
        <v>111</v>
      </c>
      <c r="C5787" s="371"/>
      <c r="D5787" s="2714">
        <f t="shared" si="623"/>
        <v>1</v>
      </c>
      <c r="E5787" s="2719">
        <v>1</v>
      </c>
      <c r="F5787" s="371"/>
      <c r="G5787" s="308" t="s">
        <v>4669</v>
      </c>
      <c r="H5787" s="309">
        <f>H5785-H5786</f>
        <v>0</v>
      </c>
      <c r="I5787" s="346">
        <f>I5785-I5786</f>
        <v>0</v>
      </c>
      <c r="J5787" s="301"/>
      <c r="K5787" s="391"/>
      <c r="L5787" s="349"/>
      <c r="M5787" s="301"/>
      <c r="N5787" s="391"/>
      <c r="O5787" s="349"/>
      <c r="P5787" s="301"/>
      <c r="S5787" s="364"/>
      <c r="Z5787" s="609" t="s">
        <v>2155</v>
      </c>
      <c r="AA5787" s="609" t="s">
        <v>19</v>
      </c>
    </row>
    <row r="5788" spans="1:27" ht="18">
      <c r="A5788" s="2712"/>
      <c r="B5788" s="371">
        <v>112</v>
      </c>
      <c r="C5788" s="371"/>
      <c r="D5788" s="2714">
        <f t="shared" si="623"/>
        <v>1</v>
      </c>
      <c r="E5788" s="2719">
        <v>1</v>
      </c>
      <c r="F5788" s="371"/>
      <c r="G5788" s="308" t="s">
        <v>4670</v>
      </c>
      <c r="H5788" s="309">
        <f>H5783+H5784+H5787</f>
        <v>0</v>
      </c>
      <c r="I5788" s="346">
        <f>I5783+I5784+I5787</f>
        <v>0</v>
      </c>
      <c r="J5788" s="301"/>
      <c r="K5788" s="391"/>
      <c r="L5788" s="349"/>
      <c r="M5788" s="301"/>
      <c r="N5788" s="391"/>
      <c r="O5788" s="349"/>
      <c r="P5788" s="301"/>
      <c r="S5788" s="364"/>
      <c r="Z5788" s="609" t="s">
        <v>2155</v>
      </c>
      <c r="AA5788" s="609" t="s">
        <v>19</v>
      </c>
    </row>
    <row r="5789" spans="1:27" ht="24">
      <c r="A5789" s="2712"/>
      <c r="B5789" s="371">
        <v>113</v>
      </c>
      <c r="C5789" s="371"/>
      <c r="D5789" s="2714">
        <f t="shared" si="623"/>
        <v>1</v>
      </c>
      <c r="E5789" s="2719">
        <v>1</v>
      </c>
      <c r="F5789" s="371"/>
      <c r="G5789" s="308" t="s">
        <v>4671</v>
      </c>
      <c r="H5789" s="309"/>
      <c r="I5789" s="346"/>
      <c r="J5789" s="301"/>
      <c r="K5789" s="391"/>
      <c r="L5789" s="349"/>
      <c r="M5789" s="301"/>
      <c r="N5789" s="391"/>
      <c r="O5789" s="349"/>
      <c r="P5789" s="301"/>
      <c r="S5789" s="364"/>
      <c r="Z5789" s="609" t="s">
        <v>2155</v>
      </c>
      <c r="AA5789" s="609" t="s">
        <v>19</v>
      </c>
    </row>
    <row r="5790" spans="1:27" ht="24">
      <c r="A5790" s="2712"/>
      <c r="B5790" s="371">
        <v>114</v>
      </c>
      <c r="C5790" s="371"/>
      <c r="D5790" s="2714">
        <f t="shared" si="623"/>
        <v>1</v>
      </c>
      <c r="E5790" s="2719">
        <v>1</v>
      </c>
      <c r="F5790" s="371"/>
      <c r="G5790" s="308" t="s">
        <v>4672</v>
      </c>
      <c r="H5790" s="309"/>
      <c r="I5790" s="346"/>
      <c r="J5790" s="301"/>
      <c r="K5790" s="391"/>
      <c r="L5790" s="349"/>
      <c r="M5790" s="301"/>
      <c r="N5790" s="391"/>
      <c r="O5790" s="349"/>
      <c r="P5790" s="301"/>
      <c r="S5790" s="364"/>
      <c r="Z5790" s="609" t="s">
        <v>2155</v>
      </c>
      <c r="AA5790" s="609" t="s">
        <v>19</v>
      </c>
    </row>
    <row r="5791" spans="1:27" ht="18">
      <c r="A5791" s="2712"/>
      <c r="B5791" s="371">
        <v>115</v>
      </c>
      <c r="C5791" s="371"/>
      <c r="D5791" s="2714">
        <f t="shared" si="623"/>
        <v>1</v>
      </c>
      <c r="E5791" s="2719">
        <v>1</v>
      </c>
      <c r="F5791" s="371"/>
      <c r="G5791" s="308" t="s">
        <v>4673</v>
      </c>
      <c r="H5791" s="309"/>
      <c r="I5791" s="346"/>
      <c r="J5791" s="301"/>
      <c r="K5791" s="391"/>
      <c r="L5791" s="349"/>
      <c r="M5791" s="301"/>
      <c r="N5791" s="391"/>
      <c r="O5791" s="349"/>
      <c r="P5791" s="301"/>
      <c r="S5791" s="364"/>
      <c r="Z5791" s="609" t="s">
        <v>2155</v>
      </c>
      <c r="AA5791" s="609" t="s">
        <v>19</v>
      </c>
    </row>
    <row r="5792" spans="1:27" ht="18">
      <c r="A5792" s="2712"/>
      <c r="B5792" s="371">
        <v>116</v>
      </c>
      <c r="C5792" s="371"/>
      <c r="D5792" s="2714">
        <f t="shared" si="623"/>
        <v>1</v>
      </c>
      <c r="E5792" s="2719">
        <v>1</v>
      </c>
      <c r="F5792" s="371"/>
      <c r="G5792" s="308" t="s">
        <v>4674</v>
      </c>
      <c r="H5792" s="309"/>
      <c r="I5792" s="346"/>
      <c r="J5792" s="301"/>
      <c r="K5792" s="391"/>
      <c r="L5792" s="349"/>
      <c r="M5792" s="301"/>
      <c r="N5792" s="391"/>
      <c r="O5792" s="349"/>
      <c r="P5792" s="301"/>
      <c r="S5792" s="364"/>
      <c r="Z5792" s="609" t="s">
        <v>2155</v>
      </c>
      <c r="AA5792" s="609" t="s">
        <v>19</v>
      </c>
    </row>
    <row r="5793" spans="1:31" ht="18">
      <c r="A5793" s="2712"/>
      <c r="B5793" s="371">
        <v>117</v>
      </c>
      <c r="C5793" s="371"/>
      <c r="D5793" s="2714">
        <f t="shared" si="623"/>
        <v>1</v>
      </c>
      <c r="E5793" s="2719">
        <v>1</v>
      </c>
      <c r="F5793" s="371"/>
      <c r="G5793" s="308" t="s">
        <v>4675</v>
      </c>
      <c r="H5793" s="309"/>
      <c r="I5793" s="346"/>
      <c r="J5793" s="301"/>
      <c r="K5793" s="391"/>
      <c r="L5793" s="349"/>
      <c r="M5793" s="301"/>
      <c r="N5793" s="391"/>
      <c r="O5793" s="349"/>
      <c r="P5793" s="301"/>
      <c r="S5793" s="364"/>
      <c r="Z5793" s="609" t="s">
        <v>2155</v>
      </c>
      <c r="AA5793" s="609" t="s">
        <v>19</v>
      </c>
    </row>
    <row r="5794" spans="1:31" ht="18">
      <c r="A5794" s="2712"/>
      <c r="B5794" s="371">
        <v>118</v>
      </c>
      <c r="C5794" s="371" t="s">
        <v>2791</v>
      </c>
      <c r="D5794" s="2714">
        <f t="shared" si="623"/>
        <v>0</v>
      </c>
      <c r="E5794" s="2719">
        <v>1</v>
      </c>
      <c r="F5794" s="371"/>
      <c r="G5794" s="319" t="s">
        <v>2792</v>
      </c>
      <c r="H5794" s="309"/>
      <c r="I5794" s="346"/>
      <c r="J5794" s="301"/>
      <c r="K5794" s="391"/>
      <c r="L5794" s="349"/>
      <c r="M5794" s="301"/>
      <c r="N5794" s="391"/>
      <c r="O5794" s="349"/>
      <c r="P5794" s="301"/>
      <c r="S5794" s="364"/>
      <c r="Z5794" s="609" t="s">
        <v>2155</v>
      </c>
      <c r="AA5794" s="609" t="s">
        <v>19</v>
      </c>
    </row>
    <row r="5795" spans="1:31" ht="18.75" thickBot="1">
      <c r="A5795" s="2712"/>
      <c r="B5795" s="371"/>
      <c r="C5795" s="371"/>
      <c r="D5795" s="2714">
        <f t="shared" si="623"/>
        <v>0</v>
      </c>
      <c r="E5795" s="2719" t="s">
        <v>3595</v>
      </c>
      <c r="F5795" s="371"/>
      <c r="G5795" s="2615"/>
      <c r="H5795" s="2483"/>
      <c r="I5795" s="2500"/>
      <c r="J5795" s="301"/>
      <c r="K5795" s="391"/>
      <c r="L5795" s="349"/>
      <c r="M5795" s="301"/>
      <c r="N5795" s="391"/>
      <c r="O5795" s="349"/>
      <c r="P5795" s="301"/>
      <c r="S5795" s="364"/>
      <c r="Z5795" s="609" t="s">
        <v>2155</v>
      </c>
      <c r="AA5795" s="609" t="s">
        <v>19</v>
      </c>
    </row>
    <row r="5796" spans="1:31" ht="18">
      <c r="A5796" s="2712"/>
      <c r="B5796" s="371"/>
      <c r="C5796" s="371" t="s">
        <v>2755</v>
      </c>
      <c r="D5796" s="2714"/>
      <c r="F5796" s="371"/>
      <c r="G5796" s="376"/>
      <c r="H5796" s="315"/>
      <c r="I5796" s="396"/>
      <c r="J5796" s="301"/>
      <c r="K5796" s="391"/>
      <c r="L5796" s="349"/>
      <c r="M5796" s="301"/>
      <c r="N5796" s="391"/>
      <c r="O5796" s="349"/>
      <c r="P5796" s="301"/>
      <c r="S5796" s="364"/>
      <c r="Z5796" s="609" t="s">
        <v>2155</v>
      </c>
      <c r="AA5796" s="609" t="s">
        <v>19</v>
      </c>
    </row>
    <row r="5797" spans="1:31" ht="24" hidden="1">
      <c r="A5797" s="2712" t="s">
        <v>6101</v>
      </c>
      <c r="B5797" s="371">
        <v>1</v>
      </c>
      <c r="C5797" s="371"/>
      <c r="D5797" s="2714" t="str">
        <f>VLOOKUP($A5797,Sheet_NoteList,2,0)</f>
        <v>其他重要事项——终止经营</v>
      </c>
      <c r="E5797" s="2714" t="s">
        <v>6611</v>
      </c>
      <c r="F5797" s="293"/>
      <c r="G5797" s="372" t="str">
        <f>"("&amp;B5797&amp;")"&amp;D5797</f>
        <v>(1)其他重要事项——终止经营</v>
      </c>
      <c r="H5797" s="1515" t="str">
        <f>$A5797</f>
        <v>9367b</v>
      </c>
      <c r="I5797" s="343" t="s">
        <v>6614</v>
      </c>
      <c r="J5797" s="301" t="s">
        <v>6612</v>
      </c>
      <c r="K5797" s="2208">
        <f>H5803</f>
        <v>0</v>
      </c>
      <c r="L5797" s="349"/>
      <c r="M5797" s="301" t="s">
        <v>6616</v>
      </c>
      <c r="N5797" s="2208">
        <f>I5803</f>
        <v>0</v>
      </c>
      <c r="O5797" s="349"/>
      <c r="P5797" s="301"/>
      <c r="S5797" s="364"/>
      <c r="Z5797" s="609" t="s">
        <v>2155</v>
      </c>
      <c r="AA5797" s="609" t="s">
        <v>19</v>
      </c>
      <c r="AE5797" s="369" t="s">
        <v>2761</v>
      </c>
    </row>
    <row r="5798" spans="1:31" ht="0.75" hidden="1" customHeight="1" thickBot="1">
      <c r="A5798" s="2712"/>
      <c r="B5798" s="371"/>
      <c r="C5798" s="371"/>
      <c r="D5798" s="2714"/>
      <c r="E5798" s="586"/>
      <c r="F5798" s="586"/>
      <c r="G5798" s="2222" t="s">
        <v>6102</v>
      </c>
      <c r="H5798" s="1615" t="s">
        <v>6281</v>
      </c>
      <c r="I5798" s="371" t="s">
        <v>6282</v>
      </c>
      <c r="J5798" s="371" t="s">
        <v>6283</v>
      </c>
      <c r="K5798" s="371" t="s">
        <v>6104</v>
      </c>
      <c r="L5798" s="371" t="s">
        <v>6105</v>
      </c>
      <c r="M5798" s="371" t="s">
        <v>6106</v>
      </c>
      <c r="N5798" s="391"/>
      <c r="O5798" s="349"/>
      <c r="P5798" s="301"/>
      <c r="S5798" s="364"/>
      <c r="Z5798" s="609" t="s">
        <v>2155</v>
      </c>
      <c r="AA5798" s="609" t="s">
        <v>19</v>
      </c>
      <c r="AE5798" s="369" t="s">
        <v>2761</v>
      </c>
    </row>
    <row r="5799" spans="1:31" ht="36" hidden="1">
      <c r="A5799" s="2712"/>
      <c r="B5799" s="371"/>
      <c r="C5799" s="371"/>
      <c r="D5799" s="2714"/>
      <c r="E5799" s="586" t="s">
        <v>2749</v>
      </c>
      <c r="F5799" s="414"/>
      <c r="G5799" s="2464" t="s">
        <v>47</v>
      </c>
      <c r="H5799" s="2453" t="s">
        <v>4218</v>
      </c>
      <c r="I5799" s="2453" t="s">
        <v>6103</v>
      </c>
      <c r="J5799" s="2453" t="s">
        <v>861</v>
      </c>
      <c r="K5799" s="2453" t="s">
        <v>717</v>
      </c>
      <c r="L5799" s="2453" t="s">
        <v>871</v>
      </c>
      <c r="M5799" s="2454" t="s">
        <v>6107</v>
      </c>
      <c r="N5799" s="2450" t="s">
        <v>5988</v>
      </c>
      <c r="O5799" s="349"/>
      <c r="P5799" s="301"/>
      <c r="S5799" s="364"/>
      <c r="Z5799" s="609" t="s">
        <v>2155</v>
      </c>
      <c r="AA5799" s="609" t="s">
        <v>19</v>
      </c>
      <c r="AE5799" s="369" t="s">
        <v>2761</v>
      </c>
    </row>
    <row r="5800" spans="1:31" ht="18" hidden="1">
      <c r="A5800" s="2712"/>
      <c r="B5800" s="371">
        <v>101</v>
      </c>
      <c r="C5800" s="371" t="s">
        <v>2791</v>
      </c>
      <c r="D5800" s="2714">
        <f t="shared" ref="D5800:D5803" si="624">IF(OR(G5800="*",G5800="",G5800=0),0,COUNTIF($G$5800:$G$5803,G5800))</f>
        <v>0</v>
      </c>
      <c r="E5800" s="2719">
        <v>1</v>
      </c>
      <c r="F5800" s="293"/>
      <c r="G5800" s="2465" t="s">
        <v>2792</v>
      </c>
      <c r="H5800" s="2273"/>
      <c r="I5800" s="2273"/>
      <c r="J5800" s="2273"/>
      <c r="K5800" s="2273"/>
      <c r="L5800" s="2273"/>
      <c r="M5800" s="2294"/>
      <c r="N5800" s="391"/>
      <c r="O5800" s="349"/>
      <c r="P5800" s="301"/>
      <c r="S5800" s="364"/>
      <c r="Z5800" s="609" t="s">
        <v>2155</v>
      </c>
      <c r="AA5800" s="609" t="s">
        <v>19</v>
      </c>
      <c r="AE5800" s="369" t="s">
        <v>2761</v>
      </c>
    </row>
    <row r="5801" spans="1:31" ht="18" hidden="1">
      <c r="A5801" s="2712"/>
      <c r="B5801" s="371">
        <v>102</v>
      </c>
      <c r="C5801" s="371" t="s">
        <v>2791</v>
      </c>
      <c r="D5801" s="2714">
        <f t="shared" si="624"/>
        <v>0</v>
      </c>
      <c r="E5801" s="2719">
        <v>1</v>
      </c>
      <c r="F5801" s="293"/>
      <c r="G5801" s="2465" t="s">
        <v>2792</v>
      </c>
      <c r="H5801" s="2273"/>
      <c r="I5801" s="2273"/>
      <c r="J5801" s="2273"/>
      <c r="K5801" s="2273"/>
      <c r="L5801" s="2273"/>
      <c r="M5801" s="2294"/>
      <c r="N5801" s="391"/>
      <c r="O5801" s="349"/>
      <c r="P5801" s="301"/>
      <c r="S5801" s="364"/>
      <c r="Z5801" s="609" t="s">
        <v>2155</v>
      </c>
      <c r="AA5801" s="609" t="s">
        <v>19</v>
      </c>
      <c r="AE5801" s="369" t="s">
        <v>2761</v>
      </c>
    </row>
    <row r="5802" spans="1:31" ht="18" hidden="1">
      <c r="A5802" s="2712"/>
      <c r="B5802" s="371">
        <v>103</v>
      </c>
      <c r="C5802" s="371" t="s">
        <v>2791</v>
      </c>
      <c r="D5802" s="2714">
        <f t="shared" si="624"/>
        <v>0</v>
      </c>
      <c r="E5802" s="2719">
        <v>1</v>
      </c>
      <c r="F5802" s="293"/>
      <c r="G5802" s="2465" t="s">
        <v>2792</v>
      </c>
      <c r="H5802" s="2273"/>
      <c r="I5802" s="2273"/>
      <c r="J5802" s="2273"/>
      <c r="K5802" s="2273"/>
      <c r="L5802" s="2273"/>
      <c r="M5802" s="2294"/>
      <c r="N5802" s="391"/>
      <c r="O5802" s="349"/>
      <c r="P5802" s="301"/>
      <c r="S5802" s="364"/>
      <c r="Z5802" s="609" t="s">
        <v>2155</v>
      </c>
      <c r="AA5802" s="609" t="s">
        <v>19</v>
      </c>
      <c r="AE5802" s="369" t="s">
        <v>2761</v>
      </c>
    </row>
    <row r="5803" spans="1:31" ht="18.75" hidden="1" thickBot="1">
      <c r="A5803" s="2712"/>
      <c r="B5803" s="371"/>
      <c r="C5803" s="371"/>
      <c r="D5803" s="2714">
        <f t="shared" si="624"/>
        <v>1</v>
      </c>
      <c r="E5803" s="2719" t="s">
        <v>2751</v>
      </c>
      <c r="F5803" s="293"/>
      <c r="G5803" s="310" t="s">
        <v>2752</v>
      </c>
      <c r="H5803" s="1479">
        <f t="shared" ref="H5803:M5803" si="625">SUMPRODUCT($E5799:$E5802,H5799:H5802)</f>
        <v>0</v>
      </c>
      <c r="I5803" s="1479">
        <f t="shared" si="625"/>
        <v>0</v>
      </c>
      <c r="J5803" s="1479">
        <f t="shared" si="625"/>
        <v>0</v>
      </c>
      <c r="K5803" s="1479">
        <f t="shared" si="625"/>
        <v>0</v>
      </c>
      <c r="L5803" s="1479">
        <f t="shared" si="625"/>
        <v>0</v>
      </c>
      <c r="M5803" s="1480">
        <f t="shared" si="625"/>
        <v>0</v>
      </c>
      <c r="N5803" s="391"/>
      <c r="O5803" s="349"/>
      <c r="P5803" s="301"/>
      <c r="S5803" s="364"/>
      <c r="Z5803" s="609" t="s">
        <v>2155</v>
      </c>
      <c r="AA5803" s="609" t="s">
        <v>19</v>
      </c>
      <c r="AE5803" s="369" t="s">
        <v>2761</v>
      </c>
    </row>
    <row r="5804" spans="1:31" ht="18" hidden="1">
      <c r="A5804" s="2712"/>
      <c r="B5804" s="371"/>
      <c r="C5804" s="371" t="s">
        <v>2755</v>
      </c>
      <c r="D5804" s="2714"/>
      <c r="F5804" s="293"/>
      <c r="G5804" s="376"/>
      <c r="H5804" s="1574"/>
      <c r="I5804" s="396"/>
      <c r="J5804" s="315"/>
      <c r="K5804" s="423"/>
      <c r="L5804" s="315"/>
      <c r="M5804" s="315"/>
      <c r="N5804" s="391"/>
      <c r="O5804" s="349"/>
      <c r="P5804" s="301"/>
      <c r="S5804" s="364"/>
      <c r="Z5804" s="609" t="s">
        <v>2155</v>
      </c>
      <c r="AA5804" s="609" t="s">
        <v>19</v>
      </c>
      <c r="AE5804" s="369" t="s">
        <v>2761</v>
      </c>
    </row>
    <row r="5805" spans="1:31" ht="24">
      <c r="A5805" s="2712">
        <v>9601</v>
      </c>
      <c r="B5805" s="371" t="s">
        <v>6570</v>
      </c>
      <c r="C5805" s="2714" t="str">
        <f>VLOOKUP($A5805,Sheet_Items,2,0)</f>
        <v>当期非经常性损益明细表</v>
      </c>
      <c r="D5805" s="371"/>
      <c r="E5805" s="2714" t="s">
        <v>2739</v>
      </c>
      <c r="F5805" s="294"/>
      <c r="G5805" s="305" t="str">
        <f>B5805&amp;" "&amp;C5805</f>
        <v>十六 1. 当期非经常性损益明细表</v>
      </c>
      <c r="H5805" s="306"/>
      <c r="I5805" s="306"/>
      <c r="J5805" s="306"/>
      <c r="K5805" s="539"/>
      <c r="L5805" s="342"/>
      <c r="M5805" s="306"/>
      <c r="N5805" s="539"/>
      <c r="O5805" s="306"/>
      <c r="P5805" s="301"/>
      <c r="S5805" s="364"/>
      <c r="Z5805" s="609" t="s">
        <v>2182</v>
      </c>
      <c r="AA5805" s="609"/>
    </row>
    <row r="5806" spans="1:31" ht="18">
      <c r="A5806" s="2712" t="s">
        <v>2181</v>
      </c>
      <c r="B5806" s="371">
        <v>1</v>
      </c>
      <c r="C5806" s="371"/>
      <c r="D5806" s="2714" t="str">
        <f>VLOOKUP($A5806,Sheet_NoteList,2,0)</f>
        <v>当期非经常性损益明细表</v>
      </c>
      <c r="E5806" s="2714" t="s">
        <v>2742</v>
      </c>
      <c r="F5806" s="294"/>
      <c r="G5806" s="307" t="str">
        <f>"("&amp;B5806&amp;")"&amp;D5806</f>
        <v>(1)当期非经常性损益明细表</v>
      </c>
      <c r="H5806" s="1515" t="str">
        <f>$A5806</f>
        <v>9601a</v>
      </c>
      <c r="I5806" s="343" t="s">
        <v>2743</v>
      </c>
      <c r="J5806" s="301"/>
      <c r="K5806" s="3086">
        <f>H5836</f>
        <v>0</v>
      </c>
      <c r="L5806" s="315"/>
      <c r="M5806" s="301"/>
      <c r="N5806" s="3086">
        <f>I5836</f>
        <v>0</v>
      </c>
      <c r="O5806" s="315"/>
      <c r="P5806" s="301"/>
      <c r="S5806" s="364"/>
      <c r="Z5806" s="609" t="s">
        <v>2182</v>
      </c>
      <c r="AA5806" s="609"/>
    </row>
    <row r="5807" spans="1:31" ht="0.75" customHeight="1" thickBot="1">
      <c r="A5807" s="2712"/>
      <c r="B5807" s="371"/>
      <c r="C5807" s="371"/>
      <c r="D5807" s="371"/>
      <c r="F5807" s="371"/>
      <c r="G5807" s="371" t="s">
        <v>4676</v>
      </c>
      <c r="H5807" s="371" t="s">
        <v>4223</v>
      </c>
      <c r="I5807" s="371" t="s">
        <v>2928</v>
      </c>
      <c r="J5807" s="371" t="s">
        <v>6319</v>
      </c>
      <c r="M5807" s="291"/>
      <c r="N5807" s="291"/>
      <c r="O5807" s="291"/>
      <c r="P5807" s="291"/>
      <c r="S5807" s="364"/>
      <c r="Z5807" s="609" t="s">
        <v>2182</v>
      </c>
      <c r="AA5807" s="609"/>
    </row>
    <row r="5808" spans="1:31" ht="18">
      <c r="A5808" s="2712"/>
      <c r="B5808" s="371"/>
      <c r="C5808" s="371"/>
      <c r="D5808" s="371"/>
      <c r="E5808" s="2714" t="s">
        <v>2749</v>
      </c>
      <c r="F5808" s="294"/>
      <c r="G5808" s="2496" t="s">
        <v>47</v>
      </c>
      <c r="H5808" s="2497" t="str">
        <f>$V$4</f>
        <v>2019年度</v>
      </c>
      <c r="I5808" s="2497" t="str">
        <f>$V$5</f>
        <v>2018年度</v>
      </c>
      <c r="J5808" s="2498" t="s">
        <v>2758</v>
      </c>
      <c r="K5808" s="355" t="s">
        <v>5351</v>
      </c>
      <c r="M5808" s="291"/>
      <c r="N5808" s="291"/>
      <c r="O5808" s="291"/>
      <c r="P5808" s="291"/>
      <c r="S5808" s="364"/>
      <c r="Z5808" s="609" t="s">
        <v>2182</v>
      </c>
      <c r="AA5808" s="609"/>
    </row>
    <row r="5809" spans="1:27" ht="18">
      <c r="A5809" s="2712"/>
      <c r="B5809" s="371">
        <v>101</v>
      </c>
      <c r="C5809" s="371"/>
      <c r="D5809" s="2714">
        <f t="shared" ref="D5809:D5836" si="626">IF(OR(G5809="*",G5809="",G5809=0),0,COUNTIF($G$5809:$G$5836,G5809))</f>
        <v>1</v>
      </c>
      <c r="E5809" s="2719">
        <v>1</v>
      </c>
      <c r="F5809" s="294"/>
      <c r="G5809" s="308" t="s">
        <v>4677</v>
      </c>
      <c r="H5809" s="309"/>
      <c r="I5809" s="309"/>
      <c r="J5809" s="388"/>
      <c r="K5809" s="626"/>
      <c r="M5809" s="291"/>
      <c r="N5809" s="291"/>
      <c r="O5809" s="291"/>
      <c r="P5809" s="291"/>
      <c r="S5809" s="364"/>
      <c r="Z5809" s="609" t="s">
        <v>2182</v>
      </c>
      <c r="AA5809" s="609"/>
    </row>
    <row r="5810" spans="1:27" ht="36">
      <c r="A5810" s="2712"/>
      <c r="B5810" s="371">
        <v>102</v>
      </c>
      <c r="C5810" s="371"/>
      <c r="D5810" s="2714">
        <f t="shared" si="626"/>
        <v>1</v>
      </c>
      <c r="E5810" s="2719">
        <v>1</v>
      </c>
      <c r="F5810" s="294"/>
      <c r="G5810" s="308" t="s">
        <v>4678</v>
      </c>
      <c r="H5810" s="309"/>
      <c r="I5810" s="309"/>
      <c r="J5810" s="388"/>
      <c r="K5810" s="626"/>
      <c r="M5810" s="291"/>
      <c r="N5810" s="291"/>
      <c r="O5810" s="291"/>
      <c r="P5810" s="291"/>
      <c r="S5810" s="364"/>
      <c r="Z5810" s="609" t="s">
        <v>2182</v>
      </c>
      <c r="AA5810" s="609"/>
    </row>
    <row r="5811" spans="1:27" ht="60">
      <c r="A5811" s="2712"/>
      <c r="B5811" s="371">
        <v>103</v>
      </c>
      <c r="C5811" s="371"/>
      <c r="D5811" s="2714">
        <f t="shared" si="626"/>
        <v>1</v>
      </c>
      <c r="E5811" s="2719">
        <v>1</v>
      </c>
      <c r="F5811" s="294"/>
      <c r="G5811" s="308" t="s">
        <v>4679</v>
      </c>
      <c r="H5811" s="309"/>
      <c r="I5811" s="309"/>
      <c r="J5811" s="388"/>
      <c r="K5811" s="626"/>
      <c r="M5811" s="291"/>
      <c r="N5811" s="291"/>
      <c r="O5811" s="291"/>
      <c r="P5811" s="291"/>
      <c r="S5811" s="364"/>
      <c r="Z5811" s="609" t="s">
        <v>2182</v>
      </c>
      <c r="AA5811" s="609"/>
    </row>
    <row r="5812" spans="1:27" ht="24">
      <c r="A5812" s="2712"/>
      <c r="B5812" s="371">
        <v>104</v>
      </c>
      <c r="C5812" s="371"/>
      <c r="D5812" s="2714">
        <f t="shared" si="626"/>
        <v>1</v>
      </c>
      <c r="E5812" s="2719">
        <v>1</v>
      </c>
      <c r="F5812" s="294"/>
      <c r="G5812" s="308" t="s">
        <v>4680</v>
      </c>
      <c r="H5812" s="309"/>
      <c r="I5812" s="309"/>
      <c r="J5812" s="388"/>
      <c r="K5812" s="626"/>
      <c r="M5812" s="291"/>
      <c r="N5812" s="291"/>
      <c r="O5812" s="291"/>
      <c r="P5812" s="291"/>
      <c r="S5812" s="364"/>
      <c r="Z5812" s="609" t="s">
        <v>2182</v>
      </c>
      <c r="AA5812" s="609"/>
    </row>
    <row r="5813" spans="1:27" ht="48">
      <c r="A5813" s="2712"/>
      <c r="B5813" s="371">
        <v>105</v>
      </c>
      <c r="C5813" s="371"/>
      <c r="D5813" s="2714">
        <f t="shared" si="626"/>
        <v>1</v>
      </c>
      <c r="E5813" s="2719">
        <v>1</v>
      </c>
      <c r="F5813" s="294"/>
      <c r="G5813" s="308" t="s">
        <v>4681</v>
      </c>
      <c r="H5813" s="309"/>
      <c r="I5813" s="309"/>
      <c r="J5813" s="388"/>
      <c r="K5813" s="626"/>
      <c r="M5813" s="291"/>
      <c r="N5813" s="291"/>
      <c r="O5813" s="291"/>
      <c r="P5813" s="291"/>
      <c r="S5813" s="364"/>
      <c r="Z5813" s="609" t="s">
        <v>2182</v>
      </c>
      <c r="AA5813" s="609"/>
    </row>
    <row r="5814" spans="1:27" ht="18">
      <c r="A5814" s="2712"/>
      <c r="B5814" s="371">
        <v>106</v>
      </c>
      <c r="C5814" s="371"/>
      <c r="D5814" s="2714">
        <f t="shared" si="626"/>
        <v>1</v>
      </c>
      <c r="E5814" s="2719">
        <v>1</v>
      </c>
      <c r="F5814" s="294"/>
      <c r="G5814" s="308" t="s">
        <v>4682</v>
      </c>
      <c r="H5814" s="309"/>
      <c r="I5814" s="309"/>
      <c r="J5814" s="388"/>
      <c r="K5814" s="626"/>
      <c r="M5814" s="291"/>
      <c r="N5814" s="291"/>
      <c r="O5814" s="291"/>
      <c r="P5814" s="291"/>
      <c r="S5814" s="364"/>
      <c r="Z5814" s="609" t="s">
        <v>2182</v>
      </c>
      <c r="AA5814" s="609"/>
    </row>
    <row r="5815" spans="1:27" ht="24">
      <c r="A5815" s="2712"/>
      <c r="B5815" s="371">
        <v>107</v>
      </c>
      <c r="C5815" s="371"/>
      <c r="D5815" s="2714">
        <f t="shared" si="626"/>
        <v>1</v>
      </c>
      <c r="E5815" s="2719">
        <v>1</v>
      </c>
      <c r="F5815" s="294"/>
      <c r="G5815" s="308" t="s">
        <v>4683</v>
      </c>
      <c r="H5815" s="309"/>
      <c r="I5815" s="309"/>
      <c r="J5815" s="388"/>
      <c r="K5815" s="626"/>
      <c r="M5815" s="291"/>
      <c r="N5815" s="291"/>
      <c r="O5815" s="291"/>
      <c r="P5815" s="291"/>
      <c r="S5815" s="364"/>
      <c r="Z5815" s="609" t="s">
        <v>2182</v>
      </c>
      <c r="AA5815" s="609"/>
    </row>
    <row r="5816" spans="1:27" ht="36">
      <c r="A5816" s="2712"/>
      <c r="B5816" s="371">
        <v>108</v>
      </c>
      <c r="C5816" s="371"/>
      <c r="D5816" s="2714">
        <f t="shared" si="626"/>
        <v>1</v>
      </c>
      <c r="E5816" s="2719">
        <v>1</v>
      </c>
      <c r="F5816" s="294"/>
      <c r="G5816" s="308" t="s">
        <v>4684</v>
      </c>
      <c r="H5816" s="309"/>
      <c r="I5816" s="309"/>
      <c r="J5816" s="388"/>
      <c r="K5816" s="626"/>
      <c r="M5816" s="291"/>
      <c r="N5816" s="291"/>
      <c r="O5816" s="291"/>
      <c r="P5816" s="291"/>
      <c r="S5816" s="364"/>
      <c r="Z5816" s="609" t="s">
        <v>2182</v>
      </c>
      <c r="AA5816" s="609"/>
    </row>
    <row r="5817" spans="1:27" ht="18">
      <c r="A5817" s="2712"/>
      <c r="B5817" s="371">
        <v>109</v>
      </c>
      <c r="C5817" s="371"/>
      <c r="D5817" s="2714">
        <f t="shared" si="626"/>
        <v>1</v>
      </c>
      <c r="E5817" s="2719">
        <v>1</v>
      </c>
      <c r="F5817" s="294"/>
      <c r="G5817" s="308" t="s">
        <v>4685</v>
      </c>
      <c r="H5817" s="309"/>
      <c r="I5817" s="309"/>
      <c r="J5817" s="388"/>
      <c r="K5817" s="626"/>
      <c r="M5817" s="291"/>
      <c r="N5817" s="291"/>
      <c r="O5817" s="291"/>
      <c r="P5817" s="291"/>
      <c r="S5817" s="364"/>
      <c r="Z5817" s="609" t="s">
        <v>2182</v>
      </c>
      <c r="AA5817" s="609"/>
    </row>
    <row r="5818" spans="1:27" ht="24">
      <c r="A5818" s="2712"/>
      <c r="B5818" s="371">
        <v>110</v>
      </c>
      <c r="C5818" s="371"/>
      <c r="D5818" s="2714">
        <f t="shared" si="626"/>
        <v>1</v>
      </c>
      <c r="E5818" s="2719">
        <v>1</v>
      </c>
      <c r="F5818" s="294"/>
      <c r="G5818" s="308" t="s">
        <v>4686</v>
      </c>
      <c r="H5818" s="309"/>
      <c r="I5818" s="309"/>
      <c r="J5818" s="388"/>
      <c r="K5818" s="626"/>
      <c r="M5818" s="291"/>
      <c r="N5818" s="291"/>
      <c r="O5818" s="291"/>
      <c r="P5818" s="291"/>
      <c r="S5818" s="364"/>
      <c r="Z5818" s="609" t="s">
        <v>2182</v>
      </c>
      <c r="AA5818" s="609"/>
    </row>
    <row r="5819" spans="1:27" ht="24">
      <c r="A5819" s="2712"/>
      <c r="B5819" s="371">
        <v>111</v>
      </c>
      <c r="C5819" s="371"/>
      <c r="D5819" s="2714">
        <f t="shared" si="626"/>
        <v>1</v>
      </c>
      <c r="E5819" s="2719">
        <v>1</v>
      </c>
      <c r="F5819" s="294"/>
      <c r="G5819" s="308" t="s">
        <v>4687</v>
      </c>
      <c r="H5819" s="309"/>
      <c r="I5819" s="309"/>
      <c r="J5819" s="388"/>
      <c r="K5819" s="626"/>
      <c r="M5819" s="291"/>
      <c r="N5819" s="291"/>
      <c r="O5819" s="291"/>
      <c r="P5819" s="291"/>
      <c r="S5819" s="364"/>
      <c r="Z5819" s="609" t="s">
        <v>2182</v>
      </c>
      <c r="AA5819" s="609"/>
    </row>
    <row r="5820" spans="1:27" ht="36">
      <c r="A5820" s="2712"/>
      <c r="B5820" s="371">
        <v>112</v>
      </c>
      <c r="C5820" s="371"/>
      <c r="D5820" s="2714">
        <f t="shared" si="626"/>
        <v>1</v>
      </c>
      <c r="E5820" s="2719">
        <v>1</v>
      </c>
      <c r="F5820" s="294"/>
      <c r="G5820" s="308" t="s">
        <v>4688</v>
      </c>
      <c r="H5820" s="309"/>
      <c r="I5820" s="309"/>
      <c r="J5820" s="388"/>
      <c r="K5820" s="626"/>
      <c r="M5820" s="291"/>
      <c r="N5820" s="291"/>
      <c r="O5820" s="291"/>
      <c r="P5820" s="291"/>
      <c r="S5820" s="364"/>
      <c r="Z5820" s="609" t="s">
        <v>2182</v>
      </c>
      <c r="AA5820" s="609"/>
    </row>
    <row r="5821" spans="1:27" ht="24">
      <c r="A5821" s="2712"/>
      <c r="B5821" s="371">
        <v>113</v>
      </c>
      <c r="C5821" s="371"/>
      <c r="D5821" s="2714">
        <f t="shared" si="626"/>
        <v>1</v>
      </c>
      <c r="E5821" s="2719">
        <v>1</v>
      </c>
      <c r="F5821" s="294"/>
      <c r="G5821" s="308" t="s">
        <v>4689</v>
      </c>
      <c r="H5821" s="309"/>
      <c r="I5821" s="309"/>
      <c r="J5821" s="388"/>
      <c r="K5821" s="626"/>
      <c r="M5821" s="291"/>
      <c r="N5821" s="291"/>
      <c r="O5821" s="291"/>
      <c r="P5821" s="291"/>
      <c r="S5821" s="364"/>
      <c r="Z5821" s="609" t="s">
        <v>2182</v>
      </c>
      <c r="AA5821" s="609"/>
    </row>
    <row r="5822" spans="1:27" ht="108">
      <c r="A5822" s="2712"/>
      <c r="B5822" s="371">
        <v>114</v>
      </c>
      <c r="C5822" s="371"/>
      <c r="D5822" s="2714">
        <f t="shared" si="626"/>
        <v>1</v>
      </c>
      <c r="E5822" s="2719">
        <v>1</v>
      </c>
      <c r="F5822" s="294"/>
      <c r="G5822" s="1472" t="s">
        <v>6146</v>
      </c>
      <c r="H5822" s="309"/>
      <c r="I5822" s="2275">
        <v>0</v>
      </c>
      <c r="J5822" s="388"/>
      <c r="K5822" s="626"/>
      <c r="M5822" s="291"/>
      <c r="N5822" s="291"/>
      <c r="O5822" s="291"/>
      <c r="P5822" s="291"/>
      <c r="S5822" s="364"/>
      <c r="Z5822" s="609" t="s">
        <v>2182</v>
      </c>
      <c r="AA5822" s="609"/>
    </row>
    <row r="5823" spans="1:27" ht="84">
      <c r="A5823" s="2712"/>
      <c r="B5823" s="371">
        <v>115</v>
      </c>
      <c r="C5823" s="371"/>
      <c r="D5823" s="2714">
        <f t="shared" si="626"/>
        <v>1</v>
      </c>
      <c r="E5823" s="2719">
        <v>1</v>
      </c>
      <c r="F5823" s="294"/>
      <c r="G5823" s="308" t="s">
        <v>4690</v>
      </c>
      <c r="H5823" s="2275">
        <v>0</v>
      </c>
      <c r="I5823" s="309"/>
      <c r="J5823" s="388"/>
      <c r="K5823" s="626"/>
      <c r="M5823" s="291"/>
      <c r="N5823" s="291"/>
      <c r="O5823" s="291"/>
      <c r="P5823" s="291"/>
      <c r="S5823" s="364"/>
      <c r="Z5823" s="609" t="s">
        <v>2182</v>
      </c>
      <c r="AA5823" s="609"/>
    </row>
    <row r="5824" spans="1:27" ht="24">
      <c r="A5824" s="2712"/>
      <c r="B5824" s="371">
        <v>116</v>
      </c>
      <c r="C5824" s="371"/>
      <c r="D5824" s="2714">
        <f t="shared" si="626"/>
        <v>1</v>
      </c>
      <c r="E5824" s="2719">
        <v>1</v>
      </c>
      <c r="F5824" s="294"/>
      <c r="G5824" s="308" t="s">
        <v>4691</v>
      </c>
      <c r="H5824" s="309"/>
      <c r="I5824" s="309"/>
      <c r="J5824" s="388"/>
      <c r="K5824" s="626"/>
      <c r="M5824" s="291"/>
      <c r="N5824" s="291"/>
      <c r="O5824" s="291"/>
      <c r="P5824" s="291"/>
      <c r="S5824" s="364"/>
      <c r="Z5824" s="609" t="s">
        <v>2182</v>
      </c>
      <c r="AA5824" s="609"/>
    </row>
    <row r="5825" spans="1:27" ht="18">
      <c r="A5825" s="2712"/>
      <c r="B5825" s="371">
        <v>117</v>
      </c>
      <c r="C5825" s="371"/>
      <c r="D5825" s="2714">
        <f t="shared" si="626"/>
        <v>1</v>
      </c>
      <c r="E5825" s="2719">
        <v>1</v>
      </c>
      <c r="F5825" s="294"/>
      <c r="G5825" s="308" t="s">
        <v>4692</v>
      </c>
      <c r="H5825" s="309"/>
      <c r="I5825" s="309"/>
      <c r="J5825" s="388"/>
      <c r="K5825" s="626"/>
      <c r="M5825" s="291"/>
      <c r="N5825" s="291"/>
      <c r="O5825" s="291"/>
      <c r="P5825" s="291"/>
      <c r="S5825" s="364"/>
      <c r="Z5825" s="609" t="s">
        <v>2182</v>
      </c>
      <c r="AA5825" s="609"/>
    </row>
    <row r="5826" spans="1:27" ht="36">
      <c r="A5826" s="2712"/>
      <c r="B5826" s="371">
        <v>118</v>
      </c>
      <c r="C5826" s="371"/>
      <c r="D5826" s="2714">
        <f t="shared" si="626"/>
        <v>1</v>
      </c>
      <c r="E5826" s="2719">
        <v>1</v>
      </c>
      <c r="F5826" s="294"/>
      <c r="G5826" s="308" t="s">
        <v>4693</v>
      </c>
      <c r="H5826" s="309"/>
      <c r="I5826" s="309"/>
      <c r="J5826" s="388"/>
      <c r="K5826" s="626"/>
      <c r="M5826" s="291"/>
      <c r="N5826" s="291"/>
      <c r="O5826" s="291"/>
      <c r="P5826" s="291"/>
      <c r="S5826" s="364"/>
      <c r="Z5826" s="609" t="s">
        <v>2182</v>
      </c>
      <c r="AA5826" s="609"/>
    </row>
    <row r="5827" spans="1:27" ht="36">
      <c r="A5827" s="2712"/>
      <c r="B5827" s="371">
        <v>119</v>
      </c>
      <c r="C5827" s="371"/>
      <c r="D5827" s="2714">
        <f t="shared" si="626"/>
        <v>1</v>
      </c>
      <c r="E5827" s="2719">
        <v>1</v>
      </c>
      <c r="F5827" s="294"/>
      <c r="G5827" s="308" t="s">
        <v>4694</v>
      </c>
      <c r="H5827" s="309"/>
      <c r="I5827" s="309"/>
      <c r="J5827" s="388"/>
      <c r="K5827" s="626"/>
      <c r="M5827" s="291"/>
      <c r="N5827" s="291"/>
      <c r="O5827" s="291"/>
      <c r="P5827" s="291"/>
      <c r="S5827" s="364"/>
      <c r="Z5827" s="609" t="s">
        <v>2182</v>
      </c>
      <c r="AA5827" s="609"/>
    </row>
    <row r="5828" spans="1:27" ht="18">
      <c r="A5828" s="2712"/>
      <c r="B5828" s="371">
        <v>120</v>
      </c>
      <c r="C5828" s="371"/>
      <c r="D5828" s="2714">
        <f t="shared" si="626"/>
        <v>1</v>
      </c>
      <c r="E5828" s="2719">
        <v>1</v>
      </c>
      <c r="F5828" s="294"/>
      <c r="G5828" s="308" t="s">
        <v>4695</v>
      </c>
      <c r="H5828" s="309"/>
      <c r="I5828" s="309"/>
      <c r="J5828" s="388"/>
      <c r="K5828" s="626"/>
      <c r="M5828" s="291"/>
      <c r="N5828" s="291"/>
      <c r="O5828" s="291"/>
      <c r="P5828" s="291"/>
      <c r="S5828" s="364"/>
      <c r="Z5828" s="609" t="s">
        <v>2182</v>
      </c>
      <c r="AA5828" s="609"/>
    </row>
    <row r="5829" spans="1:27" ht="24">
      <c r="A5829" s="2712"/>
      <c r="B5829" s="371">
        <v>121</v>
      </c>
      <c r="C5829" s="371"/>
      <c r="D5829" s="2714">
        <f t="shared" si="626"/>
        <v>1</v>
      </c>
      <c r="E5829" s="2719">
        <v>1</v>
      </c>
      <c r="F5829" s="294"/>
      <c r="G5829" s="308" t="s">
        <v>4696</v>
      </c>
      <c r="H5829" s="309"/>
      <c r="I5829" s="309"/>
      <c r="J5829" s="388"/>
      <c r="K5829" s="626"/>
      <c r="M5829" s="291"/>
      <c r="N5829" s="291"/>
      <c r="O5829" s="291"/>
      <c r="P5829" s="291"/>
      <c r="S5829" s="364"/>
      <c r="Z5829" s="609" t="s">
        <v>2182</v>
      </c>
      <c r="AA5829" s="609"/>
    </row>
    <row r="5830" spans="1:27" ht="24">
      <c r="A5830" s="2712"/>
      <c r="B5830" s="371">
        <v>122</v>
      </c>
      <c r="C5830" s="371"/>
      <c r="D5830" s="2714">
        <f t="shared" si="626"/>
        <v>1</v>
      </c>
      <c r="E5830" s="2719">
        <v>1</v>
      </c>
      <c r="F5830" s="294"/>
      <c r="G5830" s="308" t="s">
        <v>2185</v>
      </c>
      <c r="H5830" s="309"/>
      <c r="I5830" s="309"/>
      <c r="J5830" s="388"/>
      <c r="K5830" s="626"/>
      <c r="M5830" s="291"/>
      <c r="N5830" s="291"/>
      <c r="O5830" s="291"/>
      <c r="P5830" s="291"/>
      <c r="S5830" s="364"/>
      <c r="Z5830" s="609" t="s">
        <v>2182</v>
      </c>
      <c r="AA5830" s="609"/>
    </row>
    <row r="5831" spans="1:27" ht="18">
      <c r="A5831" s="2712"/>
      <c r="B5831" s="371">
        <v>123</v>
      </c>
      <c r="C5831" s="371" t="s">
        <v>2791</v>
      </c>
      <c r="D5831" s="2714">
        <f t="shared" si="626"/>
        <v>0</v>
      </c>
      <c r="E5831" s="2719">
        <v>1</v>
      </c>
      <c r="F5831" s="294"/>
      <c r="G5831" s="319" t="s">
        <v>2792</v>
      </c>
      <c r="H5831" s="309"/>
      <c r="I5831" s="309"/>
      <c r="J5831" s="388"/>
      <c r="K5831" s="626"/>
      <c r="M5831" s="291"/>
      <c r="N5831" s="291"/>
      <c r="O5831" s="291"/>
      <c r="P5831" s="291"/>
      <c r="S5831" s="364"/>
      <c r="Z5831" s="609" t="s">
        <v>2182</v>
      </c>
      <c r="AA5831" s="609"/>
    </row>
    <row r="5832" spans="1:27" ht="18">
      <c r="A5832" s="2712"/>
      <c r="B5832" s="371">
        <v>124</v>
      </c>
      <c r="C5832" s="371"/>
      <c r="D5832" s="2714">
        <f t="shared" si="626"/>
        <v>1</v>
      </c>
      <c r="E5832" s="2719">
        <v>0</v>
      </c>
      <c r="F5832" s="294"/>
      <c r="G5832" s="308" t="s">
        <v>4697</v>
      </c>
      <c r="H5832" s="309">
        <f>SUM(H5809:H5831)</f>
        <v>0</v>
      </c>
      <c r="I5832" s="309">
        <f>SUM(I5809:I5831)</f>
        <v>0</v>
      </c>
      <c r="J5832" s="388"/>
      <c r="K5832" s="626"/>
      <c r="M5832" s="291"/>
      <c r="N5832" s="291"/>
      <c r="O5832" s="291"/>
      <c r="P5832" s="291"/>
      <c r="S5832" s="364"/>
      <c r="Z5832" s="609" t="s">
        <v>2182</v>
      </c>
      <c r="AA5832" s="609"/>
    </row>
    <row r="5833" spans="1:27" ht="24">
      <c r="A5833" s="2712"/>
      <c r="B5833" s="371">
        <v>126</v>
      </c>
      <c r="C5833" s="371"/>
      <c r="D5833" s="2714">
        <f t="shared" si="626"/>
        <v>1</v>
      </c>
      <c r="E5833" s="2719">
        <v>-1</v>
      </c>
      <c r="F5833" s="294"/>
      <c r="G5833" s="308" t="s">
        <v>4698</v>
      </c>
      <c r="H5833" s="309"/>
      <c r="I5833" s="309"/>
      <c r="J5833" s="388"/>
      <c r="K5833" s="626"/>
      <c r="M5833" s="291"/>
      <c r="N5833" s="291"/>
      <c r="O5833" s="291"/>
      <c r="P5833" s="291"/>
      <c r="S5833" s="364"/>
      <c r="Z5833" s="609" t="s">
        <v>2182</v>
      </c>
      <c r="AA5833" s="609"/>
    </row>
    <row r="5834" spans="1:27" ht="18">
      <c r="A5834" s="2712"/>
      <c r="B5834" s="371">
        <v>127</v>
      </c>
      <c r="C5834" s="371"/>
      <c r="D5834" s="2714">
        <f t="shared" si="626"/>
        <v>1</v>
      </c>
      <c r="E5834" s="2719">
        <v>0</v>
      </c>
      <c r="F5834" s="294"/>
      <c r="G5834" s="308" t="s">
        <v>4699</v>
      </c>
      <c r="H5834" s="309">
        <f>SUM(H5832,-H5833)</f>
        <v>0</v>
      </c>
      <c r="I5834" s="309">
        <f>SUM(I5832,-I5833)</f>
        <v>0</v>
      </c>
      <c r="J5834" s="388"/>
      <c r="K5834" s="626"/>
      <c r="M5834" s="291"/>
      <c r="N5834" s="291"/>
      <c r="O5834" s="291"/>
      <c r="P5834" s="291"/>
      <c r="S5834" s="364"/>
      <c r="Z5834" s="609" t="s">
        <v>2182</v>
      </c>
      <c r="AA5834" s="609"/>
    </row>
    <row r="5835" spans="1:27" ht="24">
      <c r="A5835" s="2712"/>
      <c r="B5835" s="371">
        <v>128</v>
      </c>
      <c r="C5835" s="371"/>
      <c r="D5835" s="2714">
        <f t="shared" si="626"/>
        <v>1</v>
      </c>
      <c r="E5835" s="2719">
        <v>-1</v>
      </c>
      <c r="F5835" s="294"/>
      <c r="G5835" s="308" t="s">
        <v>4700</v>
      </c>
      <c r="H5835" s="309"/>
      <c r="I5835" s="309"/>
      <c r="J5835" s="388"/>
      <c r="K5835" s="626"/>
      <c r="M5835" s="291"/>
      <c r="N5835" s="291"/>
      <c r="O5835" s="291"/>
      <c r="P5835" s="291"/>
      <c r="S5835" s="364"/>
      <c r="Z5835" s="609" t="s">
        <v>2182</v>
      </c>
      <c r="AA5835" s="609"/>
    </row>
    <row r="5836" spans="1:27" ht="24.75" thickBot="1">
      <c r="A5836" s="2712"/>
      <c r="B5836" s="371"/>
      <c r="C5836" s="371"/>
      <c r="D5836" s="2714">
        <f t="shared" si="626"/>
        <v>1</v>
      </c>
      <c r="E5836" s="2719" t="s">
        <v>3032</v>
      </c>
      <c r="F5836" s="294"/>
      <c r="G5836" s="2232" t="s">
        <v>4701</v>
      </c>
      <c r="H5836" s="2323">
        <f>SUMPRODUCT($E5808:$E5835,H5808:H5835)</f>
        <v>0</v>
      </c>
      <c r="I5836" s="2323">
        <f>SUMPRODUCT($E5808:$E5835,I5808:I5835)</f>
        <v>0</v>
      </c>
      <c r="J5836" s="2503"/>
      <c r="M5836" s="291"/>
      <c r="N5836" s="291"/>
      <c r="O5836" s="291"/>
      <c r="P5836" s="291"/>
      <c r="S5836" s="364"/>
      <c r="Z5836" s="609" t="s">
        <v>2182</v>
      </c>
      <c r="AA5836" s="609"/>
    </row>
    <row r="5837" spans="1:27" ht="18">
      <c r="A5837" s="2712"/>
      <c r="B5837" s="371"/>
      <c r="C5837" s="371" t="s">
        <v>2755</v>
      </c>
      <c r="D5837" s="371"/>
      <c r="F5837" s="294"/>
      <c r="G5837" s="301"/>
      <c r="H5837" s="315"/>
      <c r="I5837" s="315"/>
      <c r="J5837" s="393"/>
      <c r="K5837" s="349"/>
      <c r="L5837" s="350"/>
      <c r="M5837" s="291"/>
      <c r="N5837" s="291"/>
      <c r="O5837" s="291"/>
      <c r="P5837" s="291"/>
      <c r="S5837" s="364"/>
      <c r="Z5837" s="609" t="s">
        <v>2182</v>
      </c>
      <c r="AA5837" s="609"/>
    </row>
    <row r="5838" spans="1:27" ht="60">
      <c r="A5838" s="2712" t="s">
        <v>2187</v>
      </c>
      <c r="B5838" s="371">
        <v>2</v>
      </c>
      <c r="C5838" s="371"/>
      <c r="D5838" s="2714" t="str">
        <f>VLOOKUP($A5838,Sheet_NoteList,2,0)</f>
        <v>将《公开发行证券的公司信息披露解释性公告第1号——非经常性损益》中列举的非经常性损益项目界定为经常性损益的项目及原因</v>
      </c>
      <c r="E5838" s="2714" t="s">
        <v>2742</v>
      </c>
      <c r="F5838" s="294"/>
      <c r="G5838" s="372" t="str">
        <f>"("&amp;B5838&amp;")"&amp;D5838</f>
        <v>(2)将《公开发行证券的公司信息披露解释性公告第1号——非经常性损益》中列举的非经常性损益项目界定为经常性损益的项目及原因</v>
      </c>
      <c r="H5838" s="1515" t="str">
        <f>$A5838</f>
        <v>9601c</v>
      </c>
      <c r="I5838" s="343" t="s">
        <v>2743</v>
      </c>
      <c r="J5838" s="301"/>
      <c r="K5838" s="3083"/>
      <c r="L5838" s="315"/>
      <c r="M5838" s="301"/>
      <c r="N5838" s="3083"/>
      <c r="O5838" s="315"/>
      <c r="P5838" s="301"/>
      <c r="S5838" s="364"/>
      <c r="Z5838" s="609" t="s">
        <v>2182</v>
      </c>
      <c r="AA5838" s="609"/>
    </row>
    <row r="5839" spans="1:27" ht="0.75" customHeight="1" thickBot="1">
      <c r="A5839" s="2712"/>
      <c r="B5839" s="371"/>
      <c r="C5839" s="371"/>
      <c r="D5839" s="371"/>
      <c r="F5839" s="371"/>
      <c r="G5839" s="371" t="s">
        <v>4702</v>
      </c>
      <c r="H5839" s="371" t="s">
        <v>4703</v>
      </c>
      <c r="I5839" s="371" t="s">
        <v>4704</v>
      </c>
      <c r="M5839" s="291"/>
      <c r="N5839" s="291"/>
      <c r="O5839" s="291"/>
      <c r="P5839" s="291"/>
      <c r="S5839" s="364"/>
      <c r="Z5839" s="609" t="s">
        <v>2182</v>
      </c>
      <c r="AA5839" s="609"/>
    </row>
    <row r="5840" spans="1:27" ht="18">
      <c r="A5840" s="2712"/>
      <c r="B5840" s="371"/>
      <c r="C5840" s="371"/>
      <c r="D5840" s="371"/>
      <c r="E5840" s="2714" t="s">
        <v>2749</v>
      </c>
      <c r="F5840" s="294"/>
      <c r="G5840" s="2496" t="s">
        <v>47</v>
      </c>
      <c r="H5840" s="2497" t="s">
        <v>4705</v>
      </c>
      <c r="I5840" s="2498" t="s">
        <v>4660</v>
      </c>
      <c r="J5840" s="355" t="s">
        <v>5351</v>
      </c>
      <c r="M5840" s="291"/>
      <c r="N5840" s="291"/>
      <c r="O5840" s="291"/>
      <c r="P5840" s="291"/>
      <c r="S5840" s="364"/>
      <c r="Z5840" s="609" t="s">
        <v>2182</v>
      </c>
      <c r="AA5840" s="609"/>
    </row>
    <row r="5841" spans="1:27" ht="18">
      <c r="A5841" s="2712"/>
      <c r="B5841" s="371">
        <v>101</v>
      </c>
      <c r="C5841" s="371" t="s">
        <v>2791</v>
      </c>
      <c r="D5841" s="2714">
        <f t="shared" ref="D5841:D5846" si="627">IF(OR(G5841="*",G5841="",G5841=0),0,COUNTIF($G$5841:$G$5846,G5841))</f>
        <v>0</v>
      </c>
      <c r="E5841" s="2719">
        <v>1</v>
      </c>
      <c r="F5841" s="294"/>
      <c r="G5841" s="319" t="s">
        <v>2792</v>
      </c>
      <c r="H5841" s="309"/>
      <c r="I5841" s="388"/>
      <c r="M5841" s="291"/>
      <c r="N5841" s="291"/>
      <c r="O5841" s="291"/>
      <c r="P5841" s="291"/>
      <c r="S5841" s="364"/>
      <c r="Z5841" s="609" t="s">
        <v>2182</v>
      </c>
      <c r="AA5841" s="609"/>
    </row>
    <row r="5842" spans="1:27" ht="18">
      <c r="A5842" s="2712"/>
      <c r="B5842" s="371">
        <v>102</v>
      </c>
      <c r="C5842" s="371" t="s">
        <v>2791</v>
      </c>
      <c r="D5842" s="2714">
        <f t="shared" si="627"/>
        <v>0</v>
      </c>
      <c r="E5842" s="2719">
        <v>1</v>
      </c>
      <c r="F5842" s="294"/>
      <c r="G5842" s="319" t="s">
        <v>2792</v>
      </c>
      <c r="H5842" s="309"/>
      <c r="I5842" s="388"/>
      <c r="M5842" s="291"/>
      <c r="N5842" s="291"/>
      <c r="O5842" s="291"/>
      <c r="P5842" s="291"/>
      <c r="S5842" s="364"/>
      <c r="Z5842" s="609" t="s">
        <v>2182</v>
      </c>
      <c r="AA5842" s="609"/>
    </row>
    <row r="5843" spans="1:27" ht="18">
      <c r="A5843" s="2712"/>
      <c r="B5843" s="371">
        <v>103</v>
      </c>
      <c r="C5843" s="371" t="s">
        <v>2791</v>
      </c>
      <c r="D5843" s="2714">
        <f t="shared" si="627"/>
        <v>0</v>
      </c>
      <c r="E5843" s="2719">
        <v>1</v>
      </c>
      <c r="F5843" s="294"/>
      <c r="G5843" s="319" t="s">
        <v>2792</v>
      </c>
      <c r="H5843" s="309"/>
      <c r="I5843" s="388"/>
      <c r="M5843" s="291"/>
      <c r="N5843" s="291"/>
      <c r="O5843" s="291"/>
      <c r="P5843" s="291"/>
      <c r="S5843" s="364"/>
      <c r="Z5843" s="609" t="s">
        <v>2182</v>
      </c>
      <c r="AA5843" s="609"/>
    </row>
    <row r="5844" spans="1:27" ht="18">
      <c r="A5844" s="2712"/>
      <c r="B5844" s="371">
        <v>104</v>
      </c>
      <c r="C5844" s="371" t="s">
        <v>2791</v>
      </c>
      <c r="D5844" s="2714">
        <f t="shared" si="627"/>
        <v>0</v>
      </c>
      <c r="E5844" s="2719">
        <v>1</v>
      </c>
      <c r="F5844" s="294"/>
      <c r="G5844" s="319" t="s">
        <v>2792</v>
      </c>
      <c r="H5844" s="309"/>
      <c r="I5844" s="388"/>
      <c r="M5844" s="291"/>
      <c r="N5844" s="291"/>
      <c r="O5844" s="291"/>
      <c r="P5844" s="291"/>
      <c r="S5844" s="364"/>
      <c r="Z5844" s="609" t="s">
        <v>2182</v>
      </c>
      <c r="AA5844" s="609"/>
    </row>
    <row r="5845" spans="1:27" ht="18">
      <c r="A5845" s="2712"/>
      <c r="B5845" s="371">
        <v>105</v>
      </c>
      <c r="C5845" s="371" t="s">
        <v>2791</v>
      </c>
      <c r="D5845" s="2714">
        <f t="shared" si="627"/>
        <v>0</v>
      </c>
      <c r="E5845" s="2719">
        <v>1</v>
      </c>
      <c r="F5845" s="294"/>
      <c r="G5845" s="319" t="s">
        <v>2792</v>
      </c>
      <c r="H5845" s="309"/>
      <c r="I5845" s="388"/>
      <c r="M5845" s="291"/>
      <c r="N5845" s="291"/>
      <c r="O5845" s="291"/>
      <c r="P5845" s="291"/>
      <c r="S5845" s="364"/>
      <c r="Z5845" s="609" t="s">
        <v>2182</v>
      </c>
      <c r="AA5845" s="609"/>
    </row>
    <row r="5846" spans="1:27" ht="18.75" thickBot="1">
      <c r="A5846" s="2712"/>
      <c r="B5846" s="371"/>
      <c r="C5846" s="371"/>
      <c r="D5846" s="2714">
        <f t="shared" si="627"/>
        <v>1</v>
      </c>
      <c r="E5846" s="2719" t="s">
        <v>3032</v>
      </c>
      <c r="F5846" s="294"/>
      <c r="G5846" s="2504" t="s">
        <v>2752</v>
      </c>
      <c r="H5846" s="2483">
        <f>SUMPRODUCT($E5840:$E5845,H5840:H5845)</f>
        <v>0</v>
      </c>
      <c r="I5846" s="2503"/>
      <c r="M5846" s="291"/>
      <c r="N5846" s="291"/>
      <c r="O5846" s="291"/>
      <c r="P5846" s="291"/>
      <c r="S5846" s="364"/>
      <c r="Z5846" s="609" t="s">
        <v>2182</v>
      </c>
      <c r="AA5846" s="609"/>
    </row>
    <row r="5847" spans="1:27" ht="18">
      <c r="A5847" s="2712"/>
      <c r="B5847" s="371"/>
      <c r="C5847" s="371" t="s">
        <v>2755</v>
      </c>
      <c r="D5847" s="371"/>
      <c r="F5847" s="294"/>
      <c r="G5847" s="301"/>
      <c r="H5847" s="315"/>
      <c r="I5847" s="393"/>
      <c r="J5847" s="349"/>
      <c r="K5847" s="349"/>
      <c r="L5847" s="350"/>
      <c r="M5847" s="291"/>
      <c r="N5847" s="291"/>
      <c r="O5847" s="291"/>
      <c r="P5847" s="291"/>
      <c r="S5847" s="364"/>
      <c r="Z5847" s="609" t="s">
        <v>2182</v>
      </c>
      <c r="AA5847" s="609"/>
    </row>
    <row r="5848" spans="1:27" ht="24">
      <c r="A5848" s="2712" t="s">
        <v>2184</v>
      </c>
      <c r="B5848" s="371">
        <v>3</v>
      </c>
      <c r="C5848" s="371"/>
      <c r="D5848" s="2714" t="str">
        <f>VLOOKUP($A5848,Sheet_NoteList,2,0)</f>
        <v>其他符合非经常性损益定义的损益项目</v>
      </c>
      <c r="E5848" s="2714" t="s">
        <v>6529</v>
      </c>
      <c r="F5848" s="294"/>
      <c r="G5848" s="372" t="str">
        <f>"("&amp;B5848&amp;")"&amp;D5848</f>
        <v>(3)其他符合非经常性损益定义的损益项目</v>
      </c>
      <c r="H5848" s="1515" t="str">
        <f>$A5848</f>
        <v>9601b</v>
      </c>
      <c r="I5848" s="343" t="s">
        <v>5978</v>
      </c>
      <c r="J5848" s="301"/>
      <c r="K5848" s="3083"/>
      <c r="L5848" s="315"/>
      <c r="M5848" s="301"/>
      <c r="N5848" s="3083"/>
      <c r="O5848" s="315"/>
      <c r="P5848" s="301"/>
      <c r="S5848" s="364"/>
      <c r="Z5848" s="609" t="s">
        <v>2182</v>
      </c>
      <c r="AA5848" s="609"/>
    </row>
    <row r="5849" spans="1:27" ht="0.75" customHeight="1" thickBot="1">
      <c r="A5849" s="2712"/>
      <c r="B5849" s="371"/>
      <c r="C5849" s="371"/>
      <c r="D5849" s="371"/>
      <c r="E5849" s="586"/>
      <c r="F5849" s="586"/>
      <c r="G5849" s="586" t="s">
        <v>4706</v>
      </c>
      <c r="H5849" s="371" t="s">
        <v>4703</v>
      </c>
      <c r="I5849" s="371" t="s">
        <v>4704</v>
      </c>
      <c r="M5849" s="291"/>
      <c r="N5849" s="291"/>
      <c r="O5849" s="291"/>
      <c r="P5849" s="291"/>
      <c r="S5849" s="364"/>
      <c r="Z5849" s="609" t="s">
        <v>2182</v>
      </c>
      <c r="AA5849" s="609"/>
    </row>
    <row r="5850" spans="1:27" ht="18">
      <c r="A5850" s="2712"/>
      <c r="B5850" s="371"/>
      <c r="C5850" s="371"/>
      <c r="D5850" s="371"/>
      <c r="E5850" s="586" t="s">
        <v>2749</v>
      </c>
      <c r="F5850" s="363"/>
      <c r="G5850" s="2456" t="s">
        <v>47</v>
      </c>
      <c r="H5850" s="2457" t="s">
        <v>4705</v>
      </c>
      <c r="I5850" s="2458" t="s">
        <v>4660</v>
      </c>
      <c r="M5850" s="291"/>
      <c r="N5850" s="291"/>
      <c r="O5850" s="291"/>
      <c r="P5850" s="291"/>
      <c r="S5850" s="364"/>
      <c r="Z5850" s="609" t="s">
        <v>2182</v>
      </c>
      <c r="AA5850" s="609"/>
    </row>
    <row r="5851" spans="1:27" ht="18">
      <c r="A5851" s="2712"/>
      <c r="B5851" s="371">
        <v>101</v>
      </c>
      <c r="C5851" s="371" t="s">
        <v>2791</v>
      </c>
      <c r="D5851" s="2714">
        <f t="shared" ref="D5851:D5856" si="628">IF(OR(G5851="*",G5851="",G5851=0),0,COUNTIF($G$5851:$G$5856,G5851))</f>
        <v>0</v>
      </c>
      <c r="E5851" s="2719">
        <v>1</v>
      </c>
      <c r="F5851" s="294"/>
      <c r="G5851" s="2465" t="s">
        <v>2792</v>
      </c>
      <c r="H5851" s="2273"/>
      <c r="I5851" s="2274"/>
      <c r="M5851" s="291"/>
      <c r="N5851" s="291"/>
      <c r="O5851" s="291"/>
      <c r="P5851" s="291"/>
      <c r="S5851" s="364"/>
      <c r="Z5851" s="609" t="s">
        <v>2182</v>
      </c>
      <c r="AA5851" s="609"/>
    </row>
    <row r="5852" spans="1:27" ht="18">
      <c r="A5852" s="2712"/>
      <c r="B5852" s="371">
        <v>102</v>
      </c>
      <c r="C5852" s="371" t="s">
        <v>2791</v>
      </c>
      <c r="D5852" s="2714">
        <f t="shared" si="628"/>
        <v>0</v>
      </c>
      <c r="E5852" s="2719">
        <v>1</v>
      </c>
      <c r="F5852" s="294"/>
      <c r="G5852" s="2465" t="s">
        <v>2792</v>
      </c>
      <c r="H5852" s="2273"/>
      <c r="I5852" s="2274"/>
      <c r="M5852" s="291"/>
      <c r="N5852" s="291"/>
      <c r="O5852" s="291"/>
      <c r="P5852" s="291"/>
      <c r="S5852" s="364"/>
      <c r="Z5852" s="609" t="s">
        <v>2182</v>
      </c>
      <c r="AA5852" s="609"/>
    </row>
    <row r="5853" spans="1:27" ht="18">
      <c r="A5853" s="2712"/>
      <c r="B5853" s="371">
        <v>103</v>
      </c>
      <c r="C5853" s="371" t="s">
        <v>2791</v>
      </c>
      <c r="D5853" s="2714">
        <f t="shared" si="628"/>
        <v>0</v>
      </c>
      <c r="E5853" s="2719">
        <v>1</v>
      </c>
      <c r="F5853" s="294"/>
      <c r="G5853" s="2465" t="s">
        <v>2792</v>
      </c>
      <c r="H5853" s="2273"/>
      <c r="I5853" s="2274"/>
      <c r="M5853" s="291"/>
      <c r="N5853" s="291"/>
      <c r="O5853" s="291"/>
      <c r="P5853" s="291"/>
      <c r="S5853" s="364"/>
      <c r="Z5853" s="609" t="s">
        <v>2182</v>
      </c>
      <c r="AA5853" s="609"/>
    </row>
    <row r="5854" spans="1:27" ht="18">
      <c r="A5854" s="2712"/>
      <c r="B5854" s="371">
        <v>104</v>
      </c>
      <c r="C5854" s="371" t="s">
        <v>2791</v>
      </c>
      <c r="D5854" s="2714">
        <f t="shared" si="628"/>
        <v>0</v>
      </c>
      <c r="E5854" s="2719">
        <v>1</v>
      </c>
      <c r="F5854" s="294"/>
      <c r="G5854" s="2465" t="s">
        <v>2792</v>
      </c>
      <c r="H5854" s="2273"/>
      <c r="I5854" s="2274"/>
      <c r="M5854" s="291"/>
      <c r="N5854" s="291"/>
      <c r="O5854" s="291"/>
      <c r="P5854" s="291"/>
      <c r="S5854" s="364"/>
      <c r="Z5854" s="609" t="s">
        <v>2182</v>
      </c>
      <c r="AA5854" s="609"/>
    </row>
    <row r="5855" spans="1:27" ht="18">
      <c r="A5855" s="2712"/>
      <c r="B5855" s="371">
        <v>105</v>
      </c>
      <c r="C5855" s="371" t="s">
        <v>2791</v>
      </c>
      <c r="D5855" s="2714">
        <f t="shared" si="628"/>
        <v>0</v>
      </c>
      <c r="E5855" s="2719">
        <v>1</v>
      </c>
      <c r="F5855" s="294"/>
      <c r="G5855" s="2465" t="s">
        <v>2792</v>
      </c>
      <c r="H5855" s="2273"/>
      <c r="I5855" s="2274"/>
      <c r="M5855" s="291"/>
      <c r="N5855" s="291"/>
      <c r="O5855" s="291"/>
      <c r="P5855" s="291"/>
      <c r="S5855" s="364"/>
      <c r="Z5855" s="609" t="s">
        <v>2182</v>
      </c>
      <c r="AA5855" s="609"/>
    </row>
    <row r="5856" spans="1:27" ht="18.75" thickBot="1">
      <c r="A5856" s="2712"/>
      <c r="B5856" s="371"/>
      <c r="C5856" s="371"/>
      <c r="D5856" s="2714">
        <f t="shared" si="628"/>
        <v>1</v>
      </c>
      <c r="E5856" s="2719" t="s">
        <v>3032</v>
      </c>
      <c r="F5856" s="294"/>
      <c r="G5856" s="1527" t="s">
        <v>2752</v>
      </c>
      <c r="H5856" s="1525">
        <f>SUMPRODUCT($E5850:$E5855,H5850:H5855)</f>
        <v>0</v>
      </c>
      <c r="I5856" s="2264"/>
      <c r="M5856" s="291"/>
      <c r="N5856" s="291"/>
      <c r="O5856" s="291"/>
      <c r="P5856" s="291"/>
      <c r="S5856" s="364"/>
      <c r="Z5856" s="609" t="s">
        <v>2182</v>
      </c>
      <c r="AA5856" s="609"/>
    </row>
    <row r="5857" spans="1:27" ht="18">
      <c r="A5857" s="2712"/>
      <c r="B5857" s="371"/>
      <c r="C5857" s="371" t="s">
        <v>2755</v>
      </c>
      <c r="D5857" s="371"/>
      <c r="F5857" s="294"/>
      <c r="G5857" s="301"/>
      <c r="H5857" s="315"/>
      <c r="I5857" s="393"/>
      <c r="J5857" s="349"/>
      <c r="K5857" s="349"/>
      <c r="L5857" s="350"/>
      <c r="M5857" s="291"/>
      <c r="N5857" s="291"/>
      <c r="O5857" s="291"/>
      <c r="P5857" s="291"/>
      <c r="S5857" s="364"/>
      <c r="Z5857" s="609" t="s">
        <v>2182</v>
      </c>
      <c r="AA5857" s="609"/>
    </row>
    <row r="5858" spans="1:27" ht="24">
      <c r="A5858" s="2712" t="s">
        <v>2190</v>
      </c>
      <c r="B5858" s="371">
        <v>4</v>
      </c>
      <c r="C5858" s="371"/>
      <c r="D5858" s="2714" t="str">
        <f>VLOOKUP($A5858,Sheet_NoteList,2,0)</f>
        <v>报告年度不再作为非经常性损益列报的项目</v>
      </c>
      <c r="E5858" s="2714" t="s">
        <v>6529</v>
      </c>
      <c r="F5858" s="294"/>
      <c r="G5858" s="372" t="str">
        <f>"("&amp;B5858&amp;")"&amp;D5858</f>
        <v>(4)报告年度不再作为非经常性损益列报的项目</v>
      </c>
      <c r="H5858" s="1515" t="str">
        <f>$A5858</f>
        <v>9601d</v>
      </c>
      <c r="I5858" s="343" t="s">
        <v>5975</v>
      </c>
      <c r="J5858" s="301"/>
      <c r="K5858" s="3083"/>
      <c r="L5858" s="315"/>
      <c r="M5858" s="301"/>
      <c r="N5858" s="3083"/>
      <c r="O5858" s="315"/>
      <c r="P5858" s="301"/>
      <c r="S5858" s="364"/>
      <c r="Z5858" s="609" t="s">
        <v>2182</v>
      </c>
      <c r="AA5858" s="609"/>
    </row>
    <row r="5859" spans="1:27" ht="0.75" customHeight="1" thickBot="1">
      <c r="A5859" s="2712"/>
      <c r="B5859" s="371"/>
      <c r="C5859" s="371"/>
      <c r="D5859" s="371"/>
      <c r="E5859" s="586"/>
      <c r="F5859" s="586"/>
      <c r="G5859" s="586" t="s">
        <v>4707</v>
      </c>
      <c r="H5859" s="371" t="s">
        <v>4703</v>
      </c>
      <c r="I5859" s="371" t="s">
        <v>4704</v>
      </c>
      <c r="M5859" s="291"/>
      <c r="N5859" s="291"/>
      <c r="O5859" s="291"/>
      <c r="P5859" s="291"/>
      <c r="S5859" s="364"/>
      <c r="Z5859" s="609" t="s">
        <v>2182</v>
      </c>
      <c r="AA5859" s="609"/>
    </row>
    <row r="5860" spans="1:27" ht="18">
      <c r="A5860" s="2712"/>
      <c r="B5860" s="371"/>
      <c r="C5860" s="371"/>
      <c r="D5860" s="371"/>
      <c r="E5860" s="586" t="s">
        <v>2749</v>
      </c>
      <c r="F5860" s="363"/>
      <c r="G5860" s="2456" t="s">
        <v>47</v>
      </c>
      <c r="H5860" s="2457" t="s">
        <v>4705</v>
      </c>
      <c r="I5860" s="2458" t="s">
        <v>4660</v>
      </c>
      <c r="M5860" s="291"/>
      <c r="N5860" s="291"/>
      <c r="O5860" s="291"/>
      <c r="P5860" s="291"/>
      <c r="S5860" s="364"/>
      <c r="Z5860" s="609" t="s">
        <v>2182</v>
      </c>
      <c r="AA5860" s="609"/>
    </row>
    <row r="5861" spans="1:27" ht="18">
      <c r="A5861" s="2712"/>
      <c r="B5861" s="371">
        <v>101</v>
      </c>
      <c r="C5861" s="371" t="s">
        <v>2791</v>
      </c>
      <c r="D5861" s="2714">
        <f t="shared" ref="D5861:D5866" si="629">IF(OR(G5861="*",G5861="",G5861=0),0,COUNTIF($G$5861:$G$5866,G5861))</f>
        <v>0</v>
      </c>
      <c r="E5861" s="2719">
        <v>1</v>
      </c>
      <c r="F5861" s="294"/>
      <c r="G5861" s="2465" t="s">
        <v>2792</v>
      </c>
      <c r="H5861" s="2273"/>
      <c r="I5861" s="2274"/>
      <c r="M5861" s="291"/>
      <c r="N5861" s="291"/>
      <c r="O5861" s="291"/>
      <c r="P5861" s="291"/>
      <c r="S5861" s="364"/>
      <c r="Z5861" s="609" t="s">
        <v>2182</v>
      </c>
      <c r="AA5861" s="609"/>
    </row>
    <row r="5862" spans="1:27" ht="18">
      <c r="A5862" s="2712"/>
      <c r="B5862" s="371">
        <v>102</v>
      </c>
      <c r="C5862" s="371" t="s">
        <v>2791</v>
      </c>
      <c r="D5862" s="2714">
        <f t="shared" si="629"/>
        <v>0</v>
      </c>
      <c r="E5862" s="2719">
        <v>1</v>
      </c>
      <c r="F5862" s="294"/>
      <c r="G5862" s="2465" t="s">
        <v>2792</v>
      </c>
      <c r="H5862" s="2273"/>
      <c r="I5862" s="2274"/>
      <c r="M5862" s="291"/>
      <c r="N5862" s="291"/>
      <c r="O5862" s="291"/>
      <c r="P5862" s="291"/>
      <c r="S5862" s="364"/>
      <c r="Z5862" s="609" t="s">
        <v>2182</v>
      </c>
      <c r="AA5862" s="609"/>
    </row>
    <row r="5863" spans="1:27" ht="18">
      <c r="A5863" s="2712"/>
      <c r="B5863" s="371">
        <v>103</v>
      </c>
      <c r="C5863" s="371" t="s">
        <v>2791</v>
      </c>
      <c r="D5863" s="2714">
        <f t="shared" si="629"/>
        <v>0</v>
      </c>
      <c r="E5863" s="2719">
        <v>1</v>
      </c>
      <c r="F5863" s="294"/>
      <c r="G5863" s="2465" t="s">
        <v>2792</v>
      </c>
      <c r="H5863" s="2273"/>
      <c r="I5863" s="2274"/>
      <c r="M5863" s="291"/>
      <c r="N5863" s="291"/>
      <c r="O5863" s="291"/>
      <c r="P5863" s="291"/>
      <c r="S5863" s="364"/>
      <c r="Z5863" s="609" t="s">
        <v>2182</v>
      </c>
      <c r="AA5863" s="609"/>
    </row>
    <row r="5864" spans="1:27" ht="18">
      <c r="A5864" s="2712"/>
      <c r="B5864" s="371">
        <v>104</v>
      </c>
      <c r="C5864" s="371" t="s">
        <v>2791</v>
      </c>
      <c r="D5864" s="2714">
        <f t="shared" si="629"/>
        <v>0</v>
      </c>
      <c r="E5864" s="2719">
        <v>1</v>
      </c>
      <c r="F5864" s="294"/>
      <c r="G5864" s="2465" t="s">
        <v>2792</v>
      </c>
      <c r="H5864" s="2273"/>
      <c r="I5864" s="2274"/>
      <c r="M5864" s="291"/>
      <c r="N5864" s="291"/>
      <c r="O5864" s="291"/>
      <c r="P5864" s="291"/>
      <c r="S5864" s="364"/>
      <c r="Z5864" s="609" t="s">
        <v>2182</v>
      </c>
      <c r="AA5864" s="609"/>
    </row>
    <row r="5865" spans="1:27" ht="18">
      <c r="A5865" s="2712"/>
      <c r="B5865" s="371">
        <v>105</v>
      </c>
      <c r="C5865" s="371" t="s">
        <v>2791</v>
      </c>
      <c r="D5865" s="2714">
        <f t="shared" si="629"/>
        <v>0</v>
      </c>
      <c r="E5865" s="2719">
        <v>1</v>
      </c>
      <c r="F5865" s="294"/>
      <c r="G5865" s="2465" t="s">
        <v>2792</v>
      </c>
      <c r="H5865" s="2273"/>
      <c r="I5865" s="2274"/>
      <c r="M5865" s="291"/>
      <c r="N5865" s="291"/>
      <c r="O5865" s="291"/>
      <c r="P5865" s="291"/>
      <c r="S5865" s="364"/>
      <c r="Z5865" s="609" t="s">
        <v>2182</v>
      </c>
      <c r="AA5865" s="609"/>
    </row>
    <row r="5866" spans="1:27" ht="18.75" thickBot="1">
      <c r="A5866" s="2712"/>
      <c r="B5866" s="371"/>
      <c r="C5866" s="371"/>
      <c r="D5866" s="2714">
        <f t="shared" si="629"/>
        <v>1</v>
      </c>
      <c r="E5866" s="2719" t="s">
        <v>3032</v>
      </c>
      <c r="F5866" s="294"/>
      <c r="G5866" s="1527" t="s">
        <v>2752</v>
      </c>
      <c r="H5866" s="1525">
        <f>SUMPRODUCT($E5860:$E5865,H5860:H5865)</f>
        <v>0</v>
      </c>
      <c r="I5866" s="2264"/>
      <c r="M5866" s="291"/>
      <c r="N5866" s="291"/>
      <c r="O5866" s="291"/>
      <c r="P5866" s="291"/>
      <c r="S5866" s="364"/>
      <c r="Z5866" s="609" t="s">
        <v>2182</v>
      </c>
      <c r="AA5866" s="609"/>
    </row>
    <row r="5867" spans="1:27" ht="18.75" thickBot="1">
      <c r="A5867" s="2712"/>
      <c r="B5867" s="371"/>
      <c r="C5867" s="371" t="s">
        <v>2755</v>
      </c>
      <c r="D5867" s="371"/>
      <c r="F5867" s="294"/>
      <c r="G5867" s="301"/>
      <c r="H5867" s="315"/>
      <c r="I5867" s="393"/>
      <c r="J5867" s="349"/>
      <c r="K5867" s="349"/>
      <c r="L5867" s="350"/>
      <c r="M5867" s="291"/>
      <c r="N5867" s="291"/>
      <c r="O5867" s="291"/>
      <c r="P5867" s="291"/>
      <c r="S5867" s="364"/>
      <c r="Z5867" s="609" t="s">
        <v>2182</v>
      </c>
      <c r="AA5867" s="609"/>
    </row>
    <row r="5868" spans="1:27" ht="18.75" thickBot="1">
      <c r="A5868" s="2712"/>
      <c r="B5868" s="371"/>
      <c r="C5868" s="371"/>
      <c r="D5868" s="371"/>
      <c r="F5868" s="294"/>
      <c r="G5868" s="627" t="s">
        <v>4708</v>
      </c>
      <c r="H5868" s="628" t="s">
        <v>4709</v>
      </c>
      <c r="I5868" s="629"/>
      <c r="J5868" s="630"/>
      <c r="K5868" s="630"/>
      <c r="L5868" s="630"/>
      <c r="M5868" s="630"/>
      <c r="N5868" s="631"/>
      <c r="S5868" s="364"/>
      <c r="Z5868" s="609" t="s">
        <v>4710</v>
      </c>
      <c r="AA5868" s="609"/>
    </row>
    <row r="5869" spans="1:27" ht="18">
      <c r="A5869" s="2712">
        <v>7001</v>
      </c>
      <c r="B5869" s="371">
        <v>78.709999999999994</v>
      </c>
      <c r="C5869" s="2714" t="str">
        <f>VLOOKUP($A5869,Sheet_Items,2,0)</f>
        <v>销售商品提供劳务收到的现金</v>
      </c>
      <c r="D5869" s="371"/>
      <c r="E5869" s="2714" t="s">
        <v>2739</v>
      </c>
      <c r="F5869" s="294"/>
      <c r="G5869" s="536" t="str">
        <f>B5869&amp;" "&amp;C5869</f>
        <v>78.71 销售商品提供劳务收到的现金</v>
      </c>
      <c r="H5869" s="322"/>
      <c r="I5869" s="322"/>
      <c r="J5869" s="306" t="s">
        <v>4206</v>
      </c>
      <c r="K5869" s="341">
        <f>VLOOKUP($A5869,Sheet_Trialbal,6,0)</f>
        <v>179675938.56999999</v>
      </c>
      <c r="L5869" s="342"/>
      <c r="M5869" s="306"/>
      <c r="N5869" s="341"/>
      <c r="O5869" s="306"/>
      <c r="P5869" s="301"/>
      <c r="S5869" s="364"/>
      <c r="Z5869" s="609" t="s">
        <v>4711</v>
      </c>
      <c r="AA5869" s="609"/>
    </row>
    <row r="5870" spans="1:27" ht="24">
      <c r="A5870" s="2712" t="s">
        <v>1944</v>
      </c>
      <c r="B5870" s="371">
        <v>1</v>
      </c>
      <c r="C5870" s="371"/>
      <c r="D5870" s="2714" t="str">
        <f>VLOOKUP($A5870,Sheet_NoteList,2,0)</f>
        <v>销售商品提供劳务收到的现金计算表</v>
      </c>
      <c r="E5870" s="2714" t="s">
        <v>2742</v>
      </c>
      <c r="F5870" s="294"/>
      <c r="G5870" s="483" t="str">
        <f>"("&amp;B5870&amp;")"&amp;D5870</f>
        <v>(1)销售商品提供劳务收到的现金计算表</v>
      </c>
      <c r="H5870" s="1515" t="str">
        <f>$A5870</f>
        <v>7001x</v>
      </c>
      <c r="I5870" s="343" t="s">
        <v>2743</v>
      </c>
      <c r="J5870" s="301" t="s">
        <v>4712</v>
      </c>
      <c r="K5870" s="2208">
        <f>I5878</f>
        <v>0</v>
      </c>
      <c r="L5870" s="345">
        <f>IF(ROUND(K5869-K5870,2)=0,"F/S",ROUND(K5869-K5870,2))</f>
        <v>179675938.56999999</v>
      </c>
      <c r="M5870" s="532" t="s">
        <v>4713</v>
      </c>
      <c r="N5870" s="3083"/>
      <c r="O5870" s="315"/>
      <c r="P5870" s="301"/>
      <c r="S5870" s="364"/>
      <c r="Z5870" s="609" t="s">
        <v>4711</v>
      </c>
      <c r="AA5870" s="609"/>
    </row>
    <row r="5871" spans="1:27" ht="0.75" customHeight="1" thickBot="1">
      <c r="A5871" s="2712"/>
      <c r="B5871" s="371"/>
      <c r="C5871" s="371"/>
      <c r="D5871" s="371"/>
      <c r="F5871" s="371"/>
      <c r="G5871" s="371" t="s">
        <v>4714</v>
      </c>
      <c r="H5871" s="371" t="s">
        <v>4715</v>
      </c>
      <c r="I5871" s="371" t="s">
        <v>4716</v>
      </c>
      <c r="J5871" s="371" t="s">
        <v>3671</v>
      </c>
      <c r="K5871" s="291"/>
      <c r="L5871" s="291"/>
      <c r="M5871" s="291"/>
      <c r="S5871" s="364"/>
      <c r="Z5871" s="609" t="s">
        <v>4711</v>
      </c>
      <c r="AA5871" s="609"/>
    </row>
    <row r="5872" spans="1:27" ht="18">
      <c r="A5872" s="2712"/>
      <c r="B5872" s="371"/>
      <c r="C5872" s="371"/>
      <c r="D5872" s="371"/>
      <c r="E5872" s="2714" t="s">
        <v>2749</v>
      </c>
      <c r="F5872" s="294"/>
      <c r="G5872" s="1562" t="s">
        <v>47</v>
      </c>
      <c r="H5872" s="1563" t="s">
        <v>4717</v>
      </c>
      <c r="I5872" s="1563" t="s">
        <v>2887</v>
      </c>
      <c r="J5872" s="1564" t="s">
        <v>2758</v>
      </c>
      <c r="K5872" s="575"/>
      <c r="L5872" s="291"/>
      <c r="M5872" s="291"/>
      <c r="S5872" s="364"/>
      <c r="Z5872" s="609" t="s">
        <v>4711</v>
      </c>
      <c r="AA5872" s="609"/>
    </row>
    <row r="5873" spans="1:27" ht="18">
      <c r="A5873" s="2712"/>
      <c r="B5873" s="371">
        <v>101</v>
      </c>
      <c r="C5873" s="371" t="s">
        <v>2791</v>
      </c>
      <c r="D5873" s="2714">
        <f t="shared" ref="D5873:D5878" si="630">IF(OR(G5873="*",G5873="",G5873=0),0,COUNTIF($G$5873:$G$5878,G5873))</f>
        <v>0</v>
      </c>
      <c r="E5873" s="2719">
        <v>1</v>
      </c>
      <c r="F5873" s="294"/>
      <c r="G5873" s="1561" t="s">
        <v>2792</v>
      </c>
      <c r="H5873" s="360"/>
      <c r="I5873" s="309"/>
      <c r="J5873" s="388"/>
      <c r="K5873" s="291"/>
      <c r="L5873" s="291"/>
      <c r="M5873" s="291"/>
      <c r="S5873" s="364"/>
      <c r="Z5873" s="609" t="s">
        <v>4711</v>
      </c>
      <c r="AA5873" s="609"/>
    </row>
    <row r="5874" spans="1:27" ht="18">
      <c r="A5874" s="2712"/>
      <c r="B5874" s="371">
        <v>102</v>
      </c>
      <c r="C5874" s="371" t="s">
        <v>2791</v>
      </c>
      <c r="D5874" s="2714">
        <f t="shared" si="630"/>
        <v>0</v>
      </c>
      <c r="E5874" s="2719">
        <v>1</v>
      </c>
      <c r="F5874" s="294"/>
      <c r="G5874" s="1561" t="s">
        <v>2792</v>
      </c>
      <c r="H5874" s="360"/>
      <c r="I5874" s="309"/>
      <c r="J5874" s="388"/>
      <c r="K5874" s="291"/>
      <c r="L5874" s="291"/>
      <c r="M5874" s="291"/>
      <c r="S5874" s="364"/>
      <c r="Z5874" s="609" t="s">
        <v>4711</v>
      </c>
      <c r="AA5874" s="609"/>
    </row>
    <row r="5875" spans="1:27" ht="18">
      <c r="A5875" s="2712"/>
      <c r="B5875" s="371">
        <v>103</v>
      </c>
      <c r="C5875" s="371" t="s">
        <v>2791</v>
      </c>
      <c r="D5875" s="2714">
        <f t="shared" si="630"/>
        <v>0</v>
      </c>
      <c r="E5875" s="2719">
        <v>1</v>
      </c>
      <c r="F5875" s="294"/>
      <c r="G5875" s="1561" t="s">
        <v>2792</v>
      </c>
      <c r="H5875" s="360"/>
      <c r="I5875" s="309"/>
      <c r="J5875" s="388"/>
      <c r="K5875" s="291"/>
      <c r="L5875" s="291"/>
      <c r="M5875" s="291"/>
      <c r="S5875" s="364"/>
      <c r="Z5875" s="609" t="s">
        <v>4711</v>
      </c>
      <c r="AA5875" s="609"/>
    </row>
    <row r="5876" spans="1:27" ht="18">
      <c r="A5876" s="2712"/>
      <c r="B5876" s="371">
        <v>104</v>
      </c>
      <c r="C5876" s="371" t="s">
        <v>2791</v>
      </c>
      <c r="D5876" s="2714">
        <f t="shared" si="630"/>
        <v>0</v>
      </c>
      <c r="E5876" s="2719">
        <v>1</v>
      </c>
      <c r="F5876" s="294"/>
      <c r="G5876" s="1561" t="s">
        <v>2792</v>
      </c>
      <c r="H5876" s="360"/>
      <c r="I5876" s="309"/>
      <c r="J5876" s="388"/>
      <c r="K5876" s="291"/>
      <c r="L5876" s="291"/>
      <c r="M5876" s="291"/>
      <c r="S5876" s="364"/>
      <c r="Z5876" s="609" t="s">
        <v>4711</v>
      </c>
      <c r="AA5876" s="609"/>
    </row>
    <row r="5877" spans="1:27" ht="18">
      <c r="A5877" s="2712"/>
      <c r="B5877" s="371">
        <v>105</v>
      </c>
      <c r="C5877" s="371" t="s">
        <v>2791</v>
      </c>
      <c r="D5877" s="2714">
        <f t="shared" si="630"/>
        <v>0</v>
      </c>
      <c r="E5877" s="2719">
        <v>1</v>
      </c>
      <c r="F5877" s="294"/>
      <c r="G5877" s="1561" t="s">
        <v>2792</v>
      </c>
      <c r="H5877" s="360"/>
      <c r="I5877" s="309"/>
      <c r="J5877" s="388"/>
      <c r="K5877" s="291"/>
      <c r="L5877" s="291"/>
      <c r="M5877" s="291"/>
      <c r="S5877" s="364"/>
      <c r="Z5877" s="609" t="s">
        <v>4711</v>
      </c>
      <c r="AA5877" s="609"/>
    </row>
    <row r="5878" spans="1:27" ht="18.75" thickBot="1">
      <c r="A5878" s="2712"/>
      <c r="B5878" s="371"/>
      <c r="C5878" s="371"/>
      <c r="D5878" s="2714">
        <f t="shared" si="630"/>
        <v>1</v>
      </c>
      <c r="E5878" s="2719" t="s">
        <v>2751</v>
      </c>
      <c r="F5878" s="294"/>
      <c r="G5878" s="1527" t="s">
        <v>2752</v>
      </c>
      <c r="H5878" s="1568"/>
      <c r="I5878" s="1525">
        <f>SUMPRODUCT($E5872:$E5877,I5872:I5877)</f>
        <v>0</v>
      </c>
      <c r="J5878" s="1569"/>
      <c r="K5878" s="291"/>
      <c r="L5878" s="291"/>
      <c r="M5878" s="291"/>
      <c r="S5878" s="364"/>
      <c r="Z5878" s="609" t="s">
        <v>4711</v>
      </c>
      <c r="AA5878" s="609"/>
    </row>
    <row r="5879" spans="1:27" ht="18">
      <c r="A5879" s="2712"/>
      <c r="B5879" s="371"/>
      <c r="C5879" s="371" t="s">
        <v>2755</v>
      </c>
      <c r="D5879" s="371"/>
      <c r="F5879" s="294"/>
      <c r="G5879" s="301"/>
      <c r="H5879" s="393"/>
      <c r="I5879" s="315"/>
      <c r="J5879" s="393"/>
      <c r="K5879" s="291"/>
      <c r="L5879" s="291"/>
      <c r="M5879" s="291"/>
      <c r="S5879" s="364"/>
      <c r="Z5879" s="609" t="s">
        <v>4711</v>
      </c>
      <c r="AA5879" s="609"/>
    </row>
    <row r="5880" spans="1:27" ht="18">
      <c r="A5880" s="2712">
        <v>7046</v>
      </c>
      <c r="B5880" s="371">
        <v>78.099999999999994</v>
      </c>
      <c r="C5880" s="2714" t="str">
        <f>VLOOKUP($A5880,Sheet_Items,2,0)</f>
        <v>收到其他与经营活动有关的现金</v>
      </c>
      <c r="D5880" s="371"/>
      <c r="E5880" s="2714" t="s">
        <v>2739</v>
      </c>
      <c r="F5880" s="294"/>
      <c r="G5880" s="536" t="str">
        <f>B5880&amp;" "&amp;C5880</f>
        <v>78.1 收到其他与经营活动有关的现金</v>
      </c>
      <c r="H5880" s="322"/>
      <c r="I5880" s="322"/>
      <c r="J5880" s="306" t="s">
        <v>4206</v>
      </c>
      <c r="K5880" s="341">
        <f>VLOOKUP($A5880,Sheet_Trialbal,6,0)</f>
        <v>1544811.94</v>
      </c>
      <c r="L5880" s="342"/>
      <c r="M5880" s="306"/>
      <c r="N5880" s="341"/>
      <c r="O5880" s="306"/>
      <c r="P5880" s="301"/>
      <c r="S5880" s="364"/>
      <c r="Z5880" s="609" t="s">
        <v>4384</v>
      </c>
      <c r="AA5880" s="609"/>
    </row>
    <row r="5881" spans="1:27" ht="24">
      <c r="A5881" s="2712" t="s">
        <v>1948</v>
      </c>
      <c r="B5881" s="371">
        <v>1</v>
      </c>
      <c r="C5881" s="371"/>
      <c r="D5881" s="2714" t="str">
        <f>VLOOKUP($A5881,Sheet_NoteList,2,0)</f>
        <v>收到其他与经营活动有关的现金计算表</v>
      </c>
      <c r="E5881" s="2714" t="s">
        <v>2742</v>
      </c>
      <c r="F5881" s="294"/>
      <c r="G5881" s="483" t="str">
        <f>"("&amp;B5881&amp;")"&amp;D5881</f>
        <v>(1)收到其他与经营活动有关的现金计算表</v>
      </c>
      <c r="H5881" s="1515" t="str">
        <f>$A5881</f>
        <v>7046x</v>
      </c>
      <c r="I5881" s="343" t="s">
        <v>2743</v>
      </c>
      <c r="J5881" s="301" t="s">
        <v>4712</v>
      </c>
      <c r="K5881" s="2208">
        <f>I5889</f>
        <v>0</v>
      </c>
      <c r="L5881" s="345">
        <f>IF(ROUND(K5880-K5881,2)=0,"F/S",ROUND(K5880-K5881,2))</f>
        <v>1544811.94</v>
      </c>
      <c r="M5881" s="532" t="s">
        <v>4713</v>
      </c>
      <c r="N5881" s="3083"/>
      <c r="O5881" s="315"/>
      <c r="P5881" s="301"/>
      <c r="S5881" s="364"/>
      <c r="Z5881" s="609" t="s">
        <v>4384</v>
      </c>
      <c r="AA5881" s="609"/>
    </row>
    <row r="5882" spans="1:27" ht="0.75" customHeight="1" thickBot="1">
      <c r="A5882" s="2712"/>
      <c r="B5882" s="371"/>
      <c r="C5882" s="371"/>
      <c r="D5882" s="371"/>
      <c r="F5882" s="371"/>
      <c r="G5882" s="371" t="s">
        <v>4718</v>
      </c>
      <c r="H5882" s="371" t="s">
        <v>4715</v>
      </c>
      <c r="I5882" s="371" t="s">
        <v>4716</v>
      </c>
      <c r="J5882" s="371" t="s">
        <v>3671</v>
      </c>
      <c r="K5882" s="291"/>
      <c r="L5882" s="291"/>
      <c r="M5882" s="291"/>
      <c r="S5882" s="364"/>
      <c r="Z5882" s="609" t="s">
        <v>4384</v>
      </c>
      <c r="AA5882" s="609"/>
    </row>
    <row r="5883" spans="1:27" ht="18">
      <c r="A5883" s="2712"/>
      <c r="B5883" s="371"/>
      <c r="C5883" s="371"/>
      <c r="D5883" s="371"/>
      <c r="E5883" s="2714" t="s">
        <v>2749</v>
      </c>
      <c r="F5883" s="294"/>
      <c r="G5883" s="1562" t="s">
        <v>47</v>
      </c>
      <c r="H5883" s="1563" t="s">
        <v>4717</v>
      </c>
      <c r="I5883" s="1563" t="s">
        <v>2887</v>
      </c>
      <c r="J5883" s="1564" t="s">
        <v>2758</v>
      </c>
      <c r="K5883" s="291"/>
      <c r="L5883" s="291"/>
      <c r="M5883" s="291"/>
      <c r="S5883" s="364"/>
      <c r="Z5883" s="609" t="s">
        <v>4384</v>
      </c>
      <c r="AA5883" s="609"/>
    </row>
    <row r="5884" spans="1:27" ht="18">
      <c r="A5884" s="2712"/>
      <c r="B5884" s="371">
        <v>101</v>
      </c>
      <c r="C5884" s="371" t="s">
        <v>2791</v>
      </c>
      <c r="D5884" s="2714">
        <f t="shared" ref="D5884:D5889" si="631">IF(OR(G5884="*",G5884="",G5884=0),0,COUNTIF($G$5884:$G$5889,G5884))</f>
        <v>0</v>
      </c>
      <c r="E5884" s="2719">
        <v>1</v>
      </c>
      <c r="F5884" s="294"/>
      <c r="G5884" s="1561" t="s">
        <v>2792</v>
      </c>
      <c r="H5884" s="360"/>
      <c r="I5884" s="309"/>
      <c r="J5884" s="388"/>
      <c r="K5884" s="291"/>
      <c r="L5884" s="291"/>
      <c r="M5884" s="291"/>
      <c r="S5884" s="364"/>
      <c r="Z5884" s="609" t="s">
        <v>4384</v>
      </c>
      <c r="AA5884" s="609"/>
    </row>
    <row r="5885" spans="1:27" ht="18">
      <c r="A5885" s="2712"/>
      <c r="B5885" s="371">
        <v>102</v>
      </c>
      <c r="C5885" s="371" t="s">
        <v>2791</v>
      </c>
      <c r="D5885" s="2714">
        <f t="shared" si="631"/>
        <v>0</v>
      </c>
      <c r="E5885" s="2719">
        <v>1</v>
      </c>
      <c r="F5885" s="294"/>
      <c r="G5885" s="1561" t="s">
        <v>2792</v>
      </c>
      <c r="H5885" s="360"/>
      <c r="I5885" s="309"/>
      <c r="J5885" s="388"/>
      <c r="K5885" s="291"/>
      <c r="L5885" s="291"/>
      <c r="M5885" s="291"/>
      <c r="S5885" s="364"/>
      <c r="Z5885" s="609" t="s">
        <v>4384</v>
      </c>
      <c r="AA5885" s="609"/>
    </row>
    <row r="5886" spans="1:27" ht="18">
      <c r="A5886" s="2712"/>
      <c r="B5886" s="371">
        <v>103</v>
      </c>
      <c r="C5886" s="371" t="s">
        <v>2791</v>
      </c>
      <c r="D5886" s="2714">
        <f t="shared" si="631"/>
        <v>0</v>
      </c>
      <c r="E5886" s="2719">
        <v>1</v>
      </c>
      <c r="F5886" s="294"/>
      <c r="G5886" s="1561" t="s">
        <v>2792</v>
      </c>
      <c r="H5886" s="360"/>
      <c r="I5886" s="309"/>
      <c r="J5886" s="388"/>
      <c r="K5886" s="291"/>
      <c r="L5886" s="291"/>
      <c r="M5886" s="291"/>
      <c r="S5886" s="364"/>
      <c r="Z5886" s="609" t="s">
        <v>4384</v>
      </c>
      <c r="AA5886" s="609"/>
    </row>
    <row r="5887" spans="1:27" ht="18">
      <c r="A5887" s="2712"/>
      <c r="B5887" s="371">
        <v>104</v>
      </c>
      <c r="C5887" s="371" t="s">
        <v>2791</v>
      </c>
      <c r="D5887" s="2714">
        <f t="shared" si="631"/>
        <v>0</v>
      </c>
      <c r="E5887" s="2719">
        <v>1</v>
      </c>
      <c r="F5887" s="294"/>
      <c r="G5887" s="1561" t="s">
        <v>2792</v>
      </c>
      <c r="H5887" s="360"/>
      <c r="I5887" s="309"/>
      <c r="J5887" s="388"/>
      <c r="K5887" s="291"/>
      <c r="L5887" s="291"/>
      <c r="M5887" s="291"/>
      <c r="S5887" s="364"/>
      <c r="Z5887" s="609" t="s">
        <v>4384</v>
      </c>
      <c r="AA5887" s="609"/>
    </row>
    <row r="5888" spans="1:27" ht="18">
      <c r="A5888" s="2712"/>
      <c r="B5888" s="371">
        <v>105</v>
      </c>
      <c r="C5888" s="371" t="s">
        <v>2791</v>
      </c>
      <c r="D5888" s="2714">
        <f t="shared" si="631"/>
        <v>0</v>
      </c>
      <c r="E5888" s="2719">
        <v>1</v>
      </c>
      <c r="F5888" s="294"/>
      <c r="G5888" s="1561" t="s">
        <v>2792</v>
      </c>
      <c r="H5888" s="360"/>
      <c r="I5888" s="309"/>
      <c r="J5888" s="388"/>
      <c r="K5888" s="291"/>
      <c r="L5888" s="291"/>
      <c r="M5888" s="291"/>
      <c r="S5888" s="364"/>
      <c r="Z5888" s="609" t="s">
        <v>4384</v>
      </c>
      <c r="AA5888" s="609"/>
    </row>
    <row r="5889" spans="1:27" ht="18.75" thickBot="1">
      <c r="A5889" s="2712"/>
      <c r="B5889" s="371"/>
      <c r="C5889" s="371"/>
      <c r="D5889" s="2714">
        <f t="shared" si="631"/>
        <v>1</v>
      </c>
      <c r="E5889" s="2719" t="s">
        <v>2751</v>
      </c>
      <c r="F5889" s="294"/>
      <c r="G5889" s="1527" t="s">
        <v>2752</v>
      </c>
      <c r="H5889" s="1568"/>
      <c r="I5889" s="1525">
        <f>SUMPRODUCT($E5883:$E5888,I5883:I5888)</f>
        <v>0</v>
      </c>
      <c r="J5889" s="1569"/>
      <c r="K5889" s="291"/>
      <c r="L5889" s="291"/>
      <c r="M5889" s="291"/>
      <c r="S5889" s="364"/>
      <c r="Z5889" s="609" t="s">
        <v>4384</v>
      </c>
      <c r="AA5889" s="609"/>
    </row>
    <row r="5890" spans="1:27" ht="18">
      <c r="A5890" s="2712"/>
      <c r="B5890" s="371"/>
      <c r="C5890" s="371" t="s">
        <v>2755</v>
      </c>
      <c r="D5890" s="371"/>
      <c r="F5890" s="294"/>
      <c r="G5890" s="301"/>
      <c r="H5890" s="393"/>
      <c r="I5890" s="315"/>
      <c r="J5890" s="393"/>
      <c r="K5890" s="291"/>
      <c r="L5890" s="291"/>
      <c r="M5890" s="291"/>
      <c r="S5890" s="364"/>
      <c r="Z5890" s="609" t="s">
        <v>4384</v>
      </c>
      <c r="AA5890" s="609"/>
    </row>
    <row r="5891" spans="1:27" ht="18">
      <c r="A5891" s="2712">
        <v>7051</v>
      </c>
      <c r="B5891" s="371">
        <v>78.72</v>
      </c>
      <c r="C5891" s="2714" t="str">
        <f>VLOOKUP($A5891,Sheet_Items,2,0)</f>
        <v>购买商品接受劳务支付的现金</v>
      </c>
      <c r="D5891" s="371"/>
      <c r="E5891" s="2714" t="s">
        <v>2739</v>
      </c>
      <c r="F5891" s="294"/>
      <c r="G5891" s="536" t="str">
        <f>B5891&amp;" "&amp;C5891</f>
        <v>78.72 购买商品接受劳务支付的现金</v>
      </c>
      <c r="H5891" s="322"/>
      <c r="I5891" s="322"/>
      <c r="J5891" s="306" t="s">
        <v>4206</v>
      </c>
      <c r="K5891" s="341">
        <f>VLOOKUP($A5891,Sheet_Trialbal,6,0)</f>
        <v>80109210.730000004</v>
      </c>
      <c r="L5891" s="342"/>
      <c r="M5891" s="306"/>
      <c r="N5891" s="341"/>
      <c r="O5891" s="306"/>
      <c r="P5891" s="301"/>
      <c r="S5891" s="364"/>
      <c r="Z5891" s="609" t="s">
        <v>4719</v>
      </c>
      <c r="AA5891" s="609"/>
    </row>
    <row r="5892" spans="1:27" ht="24">
      <c r="A5892" s="2712" t="s">
        <v>1951</v>
      </c>
      <c r="B5892" s="371">
        <v>1</v>
      </c>
      <c r="C5892" s="371"/>
      <c r="D5892" s="2714" t="str">
        <f>VLOOKUP($A5892,Sheet_NoteList,2,0)</f>
        <v>购买商品接受劳务支付的现金计算表</v>
      </c>
      <c r="E5892" s="2714" t="s">
        <v>2742</v>
      </c>
      <c r="F5892" s="294"/>
      <c r="G5892" s="483" t="str">
        <f>"("&amp;B5892&amp;")"&amp;D5892</f>
        <v>(1)购买商品接受劳务支付的现金计算表</v>
      </c>
      <c r="H5892" s="1515" t="str">
        <f>$A5892</f>
        <v>7051x</v>
      </c>
      <c r="I5892" s="343" t="s">
        <v>2743</v>
      </c>
      <c r="J5892" s="301" t="s">
        <v>4712</v>
      </c>
      <c r="K5892" s="2208">
        <f>I5900</f>
        <v>0</v>
      </c>
      <c r="L5892" s="345">
        <f>IF(ROUND(K5891-K5892,2)=0,"F/S",ROUND(K5891-K5892,2))</f>
        <v>80109210.730000004</v>
      </c>
      <c r="M5892" s="532" t="s">
        <v>4713</v>
      </c>
      <c r="N5892" s="3083"/>
      <c r="O5892" s="315"/>
      <c r="P5892" s="301"/>
      <c r="S5892" s="364"/>
      <c r="Z5892" s="609" t="s">
        <v>4719</v>
      </c>
      <c r="AA5892" s="609"/>
    </row>
    <row r="5893" spans="1:27" ht="0.75" customHeight="1" thickBot="1">
      <c r="A5893" s="2712"/>
      <c r="B5893" s="371"/>
      <c r="C5893" s="371"/>
      <c r="D5893" s="371"/>
      <c r="F5893" s="371"/>
      <c r="G5893" s="371" t="s">
        <v>4720</v>
      </c>
      <c r="H5893" s="371" t="s">
        <v>4715</v>
      </c>
      <c r="I5893" s="371" t="s">
        <v>4716</v>
      </c>
      <c r="J5893" s="371" t="s">
        <v>3671</v>
      </c>
      <c r="K5893" s="291"/>
      <c r="L5893" s="291"/>
      <c r="M5893" s="291"/>
      <c r="S5893" s="364"/>
      <c r="Z5893" s="609" t="s">
        <v>4719</v>
      </c>
      <c r="AA5893" s="609"/>
    </row>
    <row r="5894" spans="1:27" ht="18">
      <c r="A5894" s="2712"/>
      <c r="B5894" s="371"/>
      <c r="C5894" s="371"/>
      <c r="D5894" s="371"/>
      <c r="E5894" s="2714" t="s">
        <v>2749</v>
      </c>
      <c r="F5894" s="294"/>
      <c r="G5894" s="1562" t="s">
        <v>47</v>
      </c>
      <c r="H5894" s="1563" t="s">
        <v>4717</v>
      </c>
      <c r="I5894" s="1563" t="s">
        <v>2887</v>
      </c>
      <c r="J5894" s="1564" t="s">
        <v>2758</v>
      </c>
      <c r="K5894" s="291"/>
      <c r="L5894" s="291"/>
      <c r="M5894" s="291"/>
      <c r="S5894" s="364"/>
      <c r="Z5894" s="609" t="s">
        <v>4719</v>
      </c>
      <c r="AA5894" s="609"/>
    </row>
    <row r="5895" spans="1:27" ht="18">
      <c r="A5895" s="2712"/>
      <c r="B5895" s="371">
        <v>101</v>
      </c>
      <c r="C5895" s="371" t="s">
        <v>2791</v>
      </c>
      <c r="D5895" s="2714">
        <f t="shared" ref="D5895:D5900" si="632">IF(OR(G5895="*",G5895="",G5895=0),0,COUNTIF($G$5895:$G$5900,G5895))</f>
        <v>0</v>
      </c>
      <c r="E5895" s="2719">
        <v>1</v>
      </c>
      <c r="F5895" s="294"/>
      <c r="G5895" s="1561" t="s">
        <v>2792</v>
      </c>
      <c r="H5895" s="360"/>
      <c r="I5895" s="309"/>
      <c r="J5895" s="388"/>
      <c r="K5895" s="291"/>
      <c r="L5895" s="291"/>
      <c r="M5895" s="291"/>
      <c r="S5895" s="364"/>
      <c r="Z5895" s="609" t="s">
        <v>4719</v>
      </c>
      <c r="AA5895" s="609"/>
    </row>
    <row r="5896" spans="1:27" ht="18">
      <c r="A5896" s="2712"/>
      <c r="B5896" s="371">
        <v>102</v>
      </c>
      <c r="C5896" s="371" t="s">
        <v>2791</v>
      </c>
      <c r="D5896" s="2714">
        <f t="shared" si="632"/>
        <v>0</v>
      </c>
      <c r="E5896" s="2719">
        <v>1</v>
      </c>
      <c r="F5896" s="294"/>
      <c r="G5896" s="1561" t="s">
        <v>2792</v>
      </c>
      <c r="H5896" s="360"/>
      <c r="I5896" s="309"/>
      <c r="J5896" s="388"/>
      <c r="K5896" s="291"/>
      <c r="L5896" s="291"/>
      <c r="M5896" s="291"/>
      <c r="S5896" s="364"/>
      <c r="Z5896" s="609" t="s">
        <v>4719</v>
      </c>
      <c r="AA5896" s="609"/>
    </row>
    <row r="5897" spans="1:27" ht="18">
      <c r="A5897" s="2712"/>
      <c r="B5897" s="371">
        <v>103</v>
      </c>
      <c r="C5897" s="371" t="s">
        <v>2791</v>
      </c>
      <c r="D5897" s="2714">
        <f t="shared" si="632"/>
        <v>0</v>
      </c>
      <c r="E5897" s="2719">
        <v>1</v>
      </c>
      <c r="F5897" s="294"/>
      <c r="G5897" s="1561" t="s">
        <v>2792</v>
      </c>
      <c r="H5897" s="360"/>
      <c r="I5897" s="309"/>
      <c r="J5897" s="388"/>
      <c r="K5897" s="291"/>
      <c r="L5897" s="291"/>
      <c r="M5897" s="291"/>
      <c r="S5897" s="364"/>
      <c r="Z5897" s="609" t="s">
        <v>4719</v>
      </c>
      <c r="AA5897" s="609"/>
    </row>
    <row r="5898" spans="1:27" ht="18">
      <c r="A5898" s="2712"/>
      <c r="B5898" s="371">
        <v>104</v>
      </c>
      <c r="C5898" s="371" t="s">
        <v>2791</v>
      </c>
      <c r="D5898" s="2714">
        <f t="shared" si="632"/>
        <v>0</v>
      </c>
      <c r="E5898" s="2719">
        <v>1</v>
      </c>
      <c r="F5898" s="294"/>
      <c r="G5898" s="1561" t="s">
        <v>2792</v>
      </c>
      <c r="H5898" s="360"/>
      <c r="I5898" s="309"/>
      <c r="J5898" s="388"/>
      <c r="K5898" s="291"/>
      <c r="L5898" s="291"/>
      <c r="M5898" s="291"/>
      <c r="S5898" s="364"/>
      <c r="Z5898" s="609" t="s">
        <v>4719</v>
      </c>
      <c r="AA5898" s="609"/>
    </row>
    <row r="5899" spans="1:27" ht="18">
      <c r="A5899" s="2712"/>
      <c r="B5899" s="371">
        <v>105</v>
      </c>
      <c r="C5899" s="371" t="s">
        <v>2791</v>
      </c>
      <c r="D5899" s="2714">
        <f t="shared" si="632"/>
        <v>0</v>
      </c>
      <c r="E5899" s="2719">
        <v>1</v>
      </c>
      <c r="F5899" s="294"/>
      <c r="G5899" s="1561" t="s">
        <v>2792</v>
      </c>
      <c r="H5899" s="360"/>
      <c r="I5899" s="309"/>
      <c r="J5899" s="388"/>
      <c r="K5899" s="291"/>
      <c r="L5899" s="291"/>
      <c r="M5899" s="291"/>
      <c r="S5899" s="364"/>
      <c r="Z5899" s="609" t="s">
        <v>4719</v>
      </c>
      <c r="AA5899" s="609"/>
    </row>
    <row r="5900" spans="1:27" ht="18.75" thickBot="1">
      <c r="A5900" s="2712"/>
      <c r="B5900" s="371"/>
      <c r="C5900" s="371"/>
      <c r="D5900" s="2714">
        <f t="shared" si="632"/>
        <v>1</v>
      </c>
      <c r="E5900" s="2719" t="s">
        <v>2751</v>
      </c>
      <c r="F5900" s="294"/>
      <c r="G5900" s="1527" t="s">
        <v>2752</v>
      </c>
      <c r="H5900" s="1568"/>
      <c r="I5900" s="1525">
        <f>SUMPRODUCT($E5894:$E5899,I5894:I5899)</f>
        <v>0</v>
      </c>
      <c r="J5900" s="1569"/>
      <c r="K5900" s="291"/>
      <c r="L5900" s="291"/>
      <c r="M5900" s="291"/>
      <c r="S5900" s="364"/>
      <c r="Z5900" s="609" t="s">
        <v>4719</v>
      </c>
      <c r="AA5900" s="609"/>
    </row>
    <row r="5901" spans="1:27" ht="18">
      <c r="A5901" s="2712"/>
      <c r="B5901" s="371"/>
      <c r="C5901" s="371" t="s">
        <v>2755</v>
      </c>
      <c r="D5901" s="371"/>
      <c r="F5901" s="294"/>
      <c r="G5901" s="301"/>
      <c r="H5901" s="393"/>
      <c r="I5901" s="315"/>
      <c r="J5901" s="393"/>
      <c r="K5901" s="291"/>
      <c r="L5901" s="291"/>
      <c r="M5901" s="291"/>
      <c r="S5901" s="364"/>
      <c r="Z5901" s="609" t="s">
        <v>4719</v>
      </c>
      <c r="AA5901" s="609"/>
    </row>
    <row r="5902" spans="1:27" ht="18">
      <c r="A5902" s="2712">
        <v>7061</v>
      </c>
      <c r="B5902" s="371">
        <v>78.73</v>
      </c>
      <c r="C5902" s="2714" t="str">
        <f>VLOOKUP($A5902,Sheet_Items,2,0)</f>
        <v>支付给职工以及为职工支付的现金</v>
      </c>
      <c r="D5902" s="371"/>
      <c r="E5902" s="2714" t="s">
        <v>2739</v>
      </c>
      <c r="F5902" s="294"/>
      <c r="G5902" s="536" t="str">
        <f>B5902&amp;" "&amp;C5902</f>
        <v>78.73 支付给职工以及为职工支付的现金</v>
      </c>
      <c r="H5902" s="322"/>
      <c r="I5902" s="322"/>
      <c r="J5902" s="306" t="s">
        <v>4206</v>
      </c>
      <c r="K5902" s="341">
        <f>VLOOKUP($A5902,Sheet_Trialbal,6,0)</f>
        <v>23778472.57</v>
      </c>
      <c r="L5902" s="342"/>
      <c r="M5902" s="306"/>
      <c r="N5902" s="341"/>
      <c r="O5902" s="306"/>
      <c r="P5902" s="301"/>
      <c r="S5902" s="364"/>
      <c r="Z5902" s="609">
        <v>7061</v>
      </c>
      <c r="AA5902" s="609"/>
    </row>
    <row r="5903" spans="1:27" ht="24">
      <c r="A5903" s="2712" t="s">
        <v>1953</v>
      </c>
      <c r="B5903" s="371">
        <v>1</v>
      </c>
      <c r="C5903" s="371"/>
      <c r="D5903" s="2714" t="str">
        <f>VLOOKUP($A5903,Sheet_NoteList,2,0)</f>
        <v>支付给职工以及为职工支付的现金计算表</v>
      </c>
      <c r="E5903" s="2714" t="s">
        <v>2742</v>
      </c>
      <c r="F5903" s="294"/>
      <c r="G5903" s="483" t="str">
        <f>"("&amp;B5903&amp;")"&amp;D5903</f>
        <v>(1)支付给职工以及为职工支付的现金计算表</v>
      </c>
      <c r="H5903" s="1515" t="str">
        <f>$A5903</f>
        <v>7061x</v>
      </c>
      <c r="I5903" s="343" t="s">
        <v>2743</v>
      </c>
      <c r="J5903" s="301" t="s">
        <v>4712</v>
      </c>
      <c r="K5903" s="2208">
        <f>I5911</f>
        <v>0</v>
      </c>
      <c r="L5903" s="345">
        <f>IF(ROUND(K5902-K5903,2)=0,"F/S",ROUND(K5902-K5903,2))</f>
        <v>23778472.57</v>
      </c>
      <c r="M5903" s="532" t="s">
        <v>4713</v>
      </c>
      <c r="N5903" s="3083"/>
      <c r="O5903" s="315"/>
      <c r="P5903" s="301"/>
      <c r="S5903" s="364"/>
      <c r="Z5903" s="609">
        <v>7061</v>
      </c>
      <c r="AA5903" s="609"/>
    </row>
    <row r="5904" spans="1:27" ht="0.75" customHeight="1" thickBot="1">
      <c r="A5904" s="2712"/>
      <c r="B5904" s="371"/>
      <c r="C5904" s="371"/>
      <c r="D5904" s="371"/>
      <c r="F5904" s="371"/>
      <c r="G5904" s="371" t="s">
        <v>4721</v>
      </c>
      <c r="H5904" s="371" t="s">
        <v>4715</v>
      </c>
      <c r="I5904" s="371" t="s">
        <v>4716</v>
      </c>
      <c r="J5904" s="371" t="s">
        <v>3671</v>
      </c>
      <c r="K5904" s="291"/>
      <c r="L5904" s="291"/>
      <c r="M5904" s="291"/>
      <c r="S5904" s="364"/>
      <c r="Z5904" s="609">
        <v>7061</v>
      </c>
      <c r="AA5904" s="609"/>
    </row>
    <row r="5905" spans="1:27" ht="18">
      <c r="A5905" s="2712"/>
      <c r="B5905" s="371"/>
      <c r="C5905" s="371"/>
      <c r="D5905" s="371"/>
      <c r="E5905" s="2714" t="s">
        <v>2749</v>
      </c>
      <c r="F5905" s="294"/>
      <c r="G5905" s="1562" t="s">
        <v>47</v>
      </c>
      <c r="H5905" s="1563" t="s">
        <v>4717</v>
      </c>
      <c r="I5905" s="1563" t="s">
        <v>2887</v>
      </c>
      <c r="J5905" s="1564" t="s">
        <v>2758</v>
      </c>
      <c r="K5905" s="291"/>
      <c r="L5905" s="291"/>
      <c r="M5905" s="291"/>
      <c r="S5905" s="364"/>
      <c r="Z5905" s="609">
        <v>7061</v>
      </c>
      <c r="AA5905" s="609"/>
    </row>
    <row r="5906" spans="1:27" ht="18">
      <c r="A5906" s="2712"/>
      <c r="B5906" s="371">
        <v>101</v>
      </c>
      <c r="C5906" s="371" t="s">
        <v>2791</v>
      </c>
      <c r="D5906" s="2714">
        <f t="shared" ref="D5906:D5911" si="633">IF(OR(G5906="*",G5906="",G5906=0),0,COUNTIF($G$5906:$G$5911,G5906))</f>
        <v>0</v>
      </c>
      <c r="E5906" s="2719">
        <v>1</v>
      </c>
      <c r="F5906" s="294"/>
      <c r="G5906" s="1561" t="s">
        <v>2792</v>
      </c>
      <c r="H5906" s="360"/>
      <c r="I5906" s="309"/>
      <c r="J5906" s="388"/>
      <c r="K5906" s="291"/>
      <c r="L5906" s="291"/>
      <c r="M5906" s="291"/>
      <c r="S5906" s="364"/>
      <c r="Z5906" s="609">
        <v>7061</v>
      </c>
      <c r="AA5906" s="609"/>
    </row>
    <row r="5907" spans="1:27" ht="18">
      <c r="A5907" s="2712"/>
      <c r="B5907" s="371">
        <v>102</v>
      </c>
      <c r="C5907" s="371" t="s">
        <v>2791</v>
      </c>
      <c r="D5907" s="2714">
        <f t="shared" si="633"/>
        <v>0</v>
      </c>
      <c r="E5907" s="2719">
        <v>1</v>
      </c>
      <c r="F5907" s="294"/>
      <c r="G5907" s="1561" t="s">
        <v>2792</v>
      </c>
      <c r="H5907" s="360"/>
      <c r="I5907" s="309"/>
      <c r="J5907" s="388"/>
      <c r="K5907" s="291"/>
      <c r="L5907" s="291"/>
      <c r="M5907" s="291"/>
      <c r="S5907" s="364"/>
      <c r="Z5907" s="609">
        <v>7061</v>
      </c>
      <c r="AA5907" s="609"/>
    </row>
    <row r="5908" spans="1:27" ht="18">
      <c r="A5908" s="2712"/>
      <c r="B5908" s="371">
        <v>103</v>
      </c>
      <c r="C5908" s="371" t="s">
        <v>2791</v>
      </c>
      <c r="D5908" s="2714">
        <f t="shared" si="633"/>
        <v>0</v>
      </c>
      <c r="E5908" s="2719">
        <v>1</v>
      </c>
      <c r="F5908" s="294"/>
      <c r="G5908" s="1561" t="s">
        <v>2792</v>
      </c>
      <c r="H5908" s="360"/>
      <c r="I5908" s="309"/>
      <c r="J5908" s="388"/>
      <c r="K5908" s="291"/>
      <c r="L5908" s="291"/>
      <c r="M5908" s="291"/>
      <c r="S5908" s="364"/>
      <c r="Z5908" s="609">
        <v>7061</v>
      </c>
      <c r="AA5908" s="609"/>
    </row>
    <row r="5909" spans="1:27" ht="18">
      <c r="A5909" s="2712"/>
      <c r="B5909" s="371">
        <v>104</v>
      </c>
      <c r="C5909" s="371" t="s">
        <v>2791</v>
      </c>
      <c r="D5909" s="2714">
        <f t="shared" si="633"/>
        <v>0</v>
      </c>
      <c r="E5909" s="2719">
        <v>1</v>
      </c>
      <c r="F5909" s="294"/>
      <c r="G5909" s="1561" t="s">
        <v>2792</v>
      </c>
      <c r="H5909" s="360"/>
      <c r="I5909" s="309"/>
      <c r="J5909" s="388"/>
      <c r="K5909" s="291"/>
      <c r="L5909" s="291"/>
      <c r="M5909" s="291"/>
      <c r="S5909" s="364"/>
      <c r="Z5909" s="609">
        <v>7061</v>
      </c>
      <c r="AA5909" s="609"/>
    </row>
    <row r="5910" spans="1:27" ht="18">
      <c r="A5910" s="2712"/>
      <c r="B5910" s="371">
        <v>105</v>
      </c>
      <c r="C5910" s="371" t="s">
        <v>2791</v>
      </c>
      <c r="D5910" s="2714">
        <f t="shared" si="633"/>
        <v>0</v>
      </c>
      <c r="E5910" s="2719">
        <v>1</v>
      </c>
      <c r="F5910" s="294"/>
      <c r="G5910" s="1561" t="s">
        <v>2792</v>
      </c>
      <c r="H5910" s="360"/>
      <c r="I5910" s="309"/>
      <c r="J5910" s="388"/>
      <c r="K5910" s="291"/>
      <c r="L5910" s="291"/>
      <c r="M5910" s="291"/>
      <c r="S5910" s="364"/>
      <c r="Z5910" s="609">
        <v>7061</v>
      </c>
      <c r="AA5910" s="609"/>
    </row>
    <row r="5911" spans="1:27" ht="18.75" thickBot="1">
      <c r="A5911" s="2712"/>
      <c r="B5911" s="371"/>
      <c r="C5911" s="371"/>
      <c r="D5911" s="2714">
        <f t="shared" si="633"/>
        <v>1</v>
      </c>
      <c r="E5911" s="2719" t="s">
        <v>2751</v>
      </c>
      <c r="F5911" s="294"/>
      <c r="G5911" s="1527" t="s">
        <v>2752</v>
      </c>
      <c r="H5911" s="1568"/>
      <c r="I5911" s="1525">
        <f>SUMPRODUCT($E5905:$E5910,I5905:I5910)</f>
        <v>0</v>
      </c>
      <c r="J5911" s="1569"/>
      <c r="K5911" s="291"/>
      <c r="L5911" s="291"/>
      <c r="M5911" s="291"/>
      <c r="S5911" s="364"/>
      <c r="Z5911" s="609">
        <v>7061</v>
      </c>
      <c r="AA5911" s="609"/>
    </row>
    <row r="5912" spans="1:27" ht="18">
      <c r="A5912" s="2712"/>
      <c r="B5912" s="371"/>
      <c r="C5912" s="371" t="s">
        <v>2755</v>
      </c>
      <c r="D5912" s="371"/>
      <c r="F5912" s="294"/>
      <c r="G5912" s="301"/>
      <c r="H5912" s="393"/>
      <c r="I5912" s="315"/>
      <c r="J5912" s="393"/>
      <c r="K5912" s="291"/>
      <c r="L5912" s="291"/>
      <c r="M5912" s="291"/>
      <c r="S5912" s="364"/>
      <c r="Z5912" s="609">
        <v>7061</v>
      </c>
      <c r="AA5912" s="609"/>
    </row>
    <row r="5913" spans="1:27" ht="18">
      <c r="A5913" s="2712">
        <v>7071</v>
      </c>
      <c r="B5913" s="371">
        <v>78.739999999999995</v>
      </c>
      <c r="C5913" s="2714" t="str">
        <f>VLOOKUP($A5913,Sheet_Items,2,0)</f>
        <v>支付的各项税费</v>
      </c>
      <c r="D5913" s="371"/>
      <c r="E5913" s="2714" t="s">
        <v>2739</v>
      </c>
      <c r="F5913" s="294"/>
      <c r="G5913" s="536" t="str">
        <f>B5913&amp;" "&amp;C5913</f>
        <v>78.74 支付的各项税费</v>
      </c>
      <c r="H5913" s="322"/>
      <c r="I5913" s="322"/>
      <c r="J5913" s="306" t="s">
        <v>4206</v>
      </c>
      <c r="K5913" s="341">
        <f>VLOOKUP($A5913,Sheet_Trialbal,6,0)</f>
        <v>17409545.82</v>
      </c>
      <c r="L5913" s="342"/>
      <c r="M5913" s="306"/>
      <c r="N5913" s="341"/>
      <c r="O5913" s="306"/>
      <c r="P5913" s="301"/>
      <c r="S5913" s="364"/>
      <c r="Z5913" s="609">
        <v>7071</v>
      </c>
      <c r="AA5913" s="609"/>
    </row>
    <row r="5914" spans="1:27" ht="18">
      <c r="A5914" s="2712" t="s">
        <v>1955</v>
      </c>
      <c r="B5914" s="371">
        <v>1</v>
      </c>
      <c r="C5914" s="371"/>
      <c r="D5914" s="2714" t="str">
        <f>VLOOKUP($A5914,Sheet_NoteList,2,0)</f>
        <v>支付的各项税费计算表</v>
      </c>
      <c r="E5914" s="2714" t="s">
        <v>2742</v>
      </c>
      <c r="F5914" s="294"/>
      <c r="G5914" s="483" t="str">
        <f>"("&amp;B5914&amp;")"&amp;D5914</f>
        <v>(1)支付的各项税费计算表</v>
      </c>
      <c r="H5914" s="1515" t="str">
        <f>$A5914</f>
        <v>7071x</v>
      </c>
      <c r="I5914" s="343" t="s">
        <v>2743</v>
      </c>
      <c r="J5914" s="301" t="s">
        <v>4712</v>
      </c>
      <c r="K5914" s="2208">
        <f>I5922</f>
        <v>0</v>
      </c>
      <c r="L5914" s="345">
        <f>IF(ROUND(K5913-K5914,2)=0,"F/S",ROUND(K5913-K5914,2))</f>
        <v>17409545.82</v>
      </c>
      <c r="M5914" s="532" t="s">
        <v>4713</v>
      </c>
      <c r="N5914" s="3083"/>
      <c r="O5914" s="315"/>
      <c r="P5914" s="301"/>
      <c r="S5914" s="364"/>
      <c r="Z5914" s="609">
        <v>7071</v>
      </c>
      <c r="AA5914" s="609"/>
    </row>
    <row r="5915" spans="1:27" ht="0.75" customHeight="1" thickBot="1">
      <c r="A5915" s="2712"/>
      <c r="B5915" s="371"/>
      <c r="C5915" s="371"/>
      <c r="D5915" s="371"/>
      <c r="F5915" s="371"/>
      <c r="G5915" s="371" t="s">
        <v>4722</v>
      </c>
      <c r="H5915" s="371" t="s">
        <v>4715</v>
      </c>
      <c r="I5915" s="371" t="s">
        <v>4716</v>
      </c>
      <c r="J5915" s="371" t="s">
        <v>3671</v>
      </c>
      <c r="K5915" s="291"/>
      <c r="L5915" s="291"/>
      <c r="M5915" s="291"/>
      <c r="S5915" s="364"/>
      <c r="Z5915" s="609">
        <v>7071</v>
      </c>
      <c r="AA5915" s="609"/>
    </row>
    <row r="5916" spans="1:27" ht="18">
      <c r="A5916" s="2712"/>
      <c r="B5916" s="371"/>
      <c r="C5916" s="371"/>
      <c r="D5916" s="371"/>
      <c r="E5916" s="2714" t="s">
        <v>2749</v>
      </c>
      <c r="F5916" s="294"/>
      <c r="G5916" s="1562" t="s">
        <v>47</v>
      </c>
      <c r="H5916" s="1563" t="s">
        <v>4717</v>
      </c>
      <c r="I5916" s="1563" t="s">
        <v>2887</v>
      </c>
      <c r="J5916" s="1564" t="s">
        <v>2758</v>
      </c>
      <c r="K5916" s="291"/>
      <c r="L5916" s="291"/>
      <c r="M5916" s="291"/>
      <c r="S5916" s="364"/>
      <c r="Z5916" s="609">
        <v>7071</v>
      </c>
      <c r="AA5916" s="609"/>
    </row>
    <row r="5917" spans="1:27" ht="18">
      <c r="A5917" s="2712"/>
      <c r="B5917" s="371">
        <v>101</v>
      </c>
      <c r="C5917" s="371" t="s">
        <v>2791</v>
      </c>
      <c r="D5917" s="2714">
        <f t="shared" ref="D5917:D5922" si="634">IF(OR(G5917="*",G5917="",G5917=0),0,COUNTIF($G$5917:$G$5922,G5917))</f>
        <v>0</v>
      </c>
      <c r="E5917" s="2719">
        <v>1</v>
      </c>
      <c r="F5917" s="294"/>
      <c r="G5917" s="1561" t="s">
        <v>2792</v>
      </c>
      <c r="H5917" s="360"/>
      <c r="I5917" s="309"/>
      <c r="J5917" s="388"/>
      <c r="K5917" s="291"/>
      <c r="L5917" s="291"/>
      <c r="M5917" s="291"/>
      <c r="S5917" s="364"/>
      <c r="Z5917" s="609">
        <v>7071</v>
      </c>
      <c r="AA5917" s="609"/>
    </row>
    <row r="5918" spans="1:27" ht="18">
      <c r="A5918" s="2712"/>
      <c r="B5918" s="371">
        <v>102</v>
      </c>
      <c r="C5918" s="371" t="s">
        <v>2791</v>
      </c>
      <c r="D5918" s="2714">
        <f t="shared" si="634"/>
        <v>0</v>
      </c>
      <c r="E5918" s="2719">
        <v>1</v>
      </c>
      <c r="F5918" s="294"/>
      <c r="G5918" s="1561" t="s">
        <v>2792</v>
      </c>
      <c r="H5918" s="360"/>
      <c r="I5918" s="309"/>
      <c r="J5918" s="388"/>
      <c r="K5918" s="291"/>
      <c r="L5918" s="291"/>
      <c r="M5918" s="291"/>
      <c r="S5918" s="364"/>
      <c r="Z5918" s="609">
        <v>7071</v>
      </c>
      <c r="AA5918" s="609"/>
    </row>
    <row r="5919" spans="1:27" ht="18">
      <c r="A5919" s="2712"/>
      <c r="B5919" s="371">
        <v>103</v>
      </c>
      <c r="C5919" s="371" t="s">
        <v>2791</v>
      </c>
      <c r="D5919" s="2714">
        <f t="shared" si="634"/>
        <v>0</v>
      </c>
      <c r="E5919" s="2719">
        <v>1</v>
      </c>
      <c r="F5919" s="294"/>
      <c r="G5919" s="1561" t="s">
        <v>2792</v>
      </c>
      <c r="H5919" s="360"/>
      <c r="I5919" s="309"/>
      <c r="J5919" s="388"/>
      <c r="K5919" s="291"/>
      <c r="L5919" s="291"/>
      <c r="M5919" s="291"/>
      <c r="S5919" s="364"/>
      <c r="Z5919" s="609">
        <v>7071</v>
      </c>
      <c r="AA5919" s="609"/>
    </row>
    <row r="5920" spans="1:27" ht="18">
      <c r="A5920" s="2712"/>
      <c r="B5920" s="371">
        <v>104</v>
      </c>
      <c r="C5920" s="371" t="s">
        <v>2791</v>
      </c>
      <c r="D5920" s="2714">
        <f t="shared" si="634"/>
        <v>0</v>
      </c>
      <c r="E5920" s="2719">
        <v>1</v>
      </c>
      <c r="F5920" s="294"/>
      <c r="G5920" s="1561" t="s">
        <v>2792</v>
      </c>
      <c r="H5920" s="360"/>
      <c r="I5920" s="309"/>
      <c r="J5920" s="388"/>
      <c r="K5920" s="291"/>
      <c r="L5920" s="291"/>
      <c r="M5920" s="291"/>
      <c r="S5920" s="364"/>
      <c r="Z5920" s="609">
        <v>7071</v>
      </c>
      <c r="AA5920" s="609"/>
    </row>
    <row r="5921" spans="1:27" ht="18">
      <c r="A5921" s="2712"/>
      <c r="B5921" s="371">
        <v>105</v>
      </c>
      <c r="C5921" s="371" t="s">
        <v>2791</v>
      </c>
      <c r="D5921" s="2714">
        <f t="shared" si="634"/>
        <v>0</v>
      </c>
      <c r="E5921" s="2719">
        <v>1</v>
      </c>
      <c r="F5921" s="294"/>
      <c r="G5921" s="1561" t="s">
        <v>2792</v>
      </c>
      <c r="H5921" s="360"/>
      <c r="I5921" s="309"/>
      <c r="J5921" s="388"/>
      <c r="K5921" s="291"/>
      <c r="L5921" s="291"/>
      <c r="M5921" s="291"/>
      <c r="S5921" s="364"/>
      <c r="Z5921" s="609">
        <v>7071</v>
      </c>
      <c r="AA5921" s="609"/>
    </row>
    <row r="5922" spans="1:27" ht="18.75" thickBot="1">
      <c r="A5922" s="2712"/>
      <c r="B5922" s="371"/>
      <c r="C5922" s="371"/>
      <c r="D5922" s="2714">
        <f t="shared" si="634"/>
        <v>1</v>
      </c>
      <c r="E5922" s="2719" t="s">
        <v>2751</v>
      </c>
      <c r="F5922" s="294"/>
      <c r="G5922" s="1527" t="s">
        <v>2752</v>
      </c>
      <c r="H5922" s="1568"/>
      <c r="I5922" s="1525">
        <f>SUMPRODUCT($E5916:$E5921,I5916:I5921)</f>
        <v>0</v>
      </c>
      <c r="J5922" s="1569"/>
      <c r="K5922" s="291"/>
      <c r="L5922" s="291"/>
      <c r="M5922" s="291"/>
      <c r="S5922" s="364"/>
      <c r="Z5922" s="609">
        <v>7071</v>
      </c>
      <c r="AA5922" s="609"/>
    </row>
    <row r="5923" spans="1:27" ht="18">
      <c r="A5923" s="2712"/>
      <c r="B5923" s="371"/>
      <c r="C5923" s="371" t="s">
        <v>2755</v>
      </c>
      <c r="D5923" s="371"/>
      <c r="F5923" s="294"/>
      <c r="G5923" s="301"/>
      <c r="H5923" s="393"/>
      <c r="I5923" s="315"/>
      <c r="J5923" s="393"/>
      <c r="K5923" s="291"/>
      <c r="L5923" s="291"/>
      <c r="M5923" s="291"/>
      <c r="S5923" s="364"/>
      <c r="Z5923" s="609">
        <v>7071</v>
      </c>
      <c r="AA5923" s="609"/>
    </row>
    <row r="5924" spans="1:27" ht="18">
      <c r="A5924" s="2712">
        <v>7096</v>
      </c>
      <c r="B5924" s="371">
        <v>78.2</v>
      </c>
      <c r="C5924" s="2714" t="str">
        <f>VLOOKUP($A5924,Sheet_Items,2,0)</f>
        <v>支付其他与经营活动有关的现金</v>
      </c>
      <c r="D5924" s="371"/>
      <c r="E5924" s="2714" t="s">
        <v>2739</v>
      </c>
      <c r="F5924" s="294"/>
      <c r="G5924" s="536" t="str">
        <f>B5924&amp;" "&amp;C5924</f>
        <v>78.2 支付其他与经营活动有关的现金</v>
      </c>
      <c r="H5924" s="322"/>
      <c r="I5924" s="322"/>
      <c r="J5924" s="306" t="s">
        <v>4206</v>
      </c>
      <c r="K5924" s="341">
        <f>VLOOKUP($A5924,Sheet_Trialbal,6,0)</f>
        <v>29188633.84</v>
      </c>
      <c r="L5924" s="342"/>
      <c r="M5924" s="306"/>
      <c r="N5924" s="341"/>
      <c r="O5924" s="306"/>
      <c r="P5924" s="301"/>
      <c r="S5924" s="364"/>
      <c r="Z5924" s="609">
        <v>7096</v>
      </c>
      <c r="AA5924" s="609"/>
    </row>
    <row r="5925" spans="1:27" ht="24">
      <c r="A5925" s="2712" t="s">
        <v>1960</v>
      </c>
      <c r="B5925" s="371">
        <v>1</v>
      </c>
      <c r="C5925" s="371"/>
      <c r="D5925" s="2714" t="str">
        <f>VLOOKUP($A5925,Sheet_NoteList,2,0)</f>
        <v>支付其他与经营活动有关的现金计算表</v>
      </c>
      <c r="E5925" s="2714" t="s">
        <v>2742</v>
      </c>
      <c r="F5925" s="294"/>
      <c r="G5925" s="483" t="str">
        <f>"("&amp;B5925&amp;")"&amp;D5925</f>
        <v>(1)支付其他与经营活动有关的现金计算表</v>
      </c>
      <c r="H5925" s="1515" t="str">
        <f>$A5925</f>
        <v>7096x</v>
      </c>
      <c r="I5925" s="343" t="s">
        <v>2743</v>
      </c>
      <c r="J5925" s="301" t="s">
        <v>4712</v>
      </c>
      <c r="K5925" s="2208">
        <f>I5933</f>
        <v>0</v>
      </c>
      <c r="L5925" s="345">
        <f>IF(ROUND(K5924-K5925,2)=0,"F/S",ROUND(K5924-K5925,2))</f>
        <v>29188633.84</v>
      </c>
      <c r="M5925" s="532" t="s">
        <v>4713</v>
      </c>
      <c r="N5925" s="3083"/>
      <c r="O5925" s="315"/>
      <c r="P5925" s="301"/>
      <c r="S5925" s="364"/>
      <c r="Z5925" s="609">
        <v>7096</v>
      </c>
      <c r="AA5925" s="609"/>
    </row>
    <row r="5926" spans="1:27" ht="0.75" customHeight="1" thickBot="1">
      <c r="A5926" s="2712"/>
      <c r="B5926" s="371"/>
      <c r="C5926" s="371"/>
      <c r="D5926" s="371"/>
      <c r="F5926" s="371"/>
      <c r="G5926" s="371" t="s">
        <v>4723</v>
      </c>
      <c r="H5926" s="371" t="s">
        <v>4715</v>
      </c>
      <c r="I5926" s="371" t="s">
        <v>4716</v>
      </c>
      <c r="J5926" s="371" t="s">
        <v>3671</v>
      </c>
      <c r="K5926" s="291"/>
      <c r="L5926" s="291"/>
      <c r="M5926" s="291"/>
      <c r="S5926" s="364"/>
      <c r="Z5926" s="609">
        <v>7096</v>
      </c>
      <c r="AA5926" s="609"/>
    </row>
    <row r="5927" spans="1:27" ht="18">
      <c r="A5927" s="2712"/>
      <c r="B5927" s="371"/>
      <c r="C5927" s="371"/>
      <c r="D5927" s="371"/>
      <c r="E5927" s="2714" t="s">
        <v>2749</v>
      </c>
      <c r="F5927" s="294"/>
      <c r="G5927" s="1562" t="s">
        <v>47</v>
      </c>
      <c r="H5927" s="1563" t="s">
        <v>4717</v>
      </c>
      <c r="I5927" s="1563" t="s">
        <v>2887</v>
      </c>
      <c r="J5927" s="1564" t="s">
        <v>2758</v>
      </c>
      <c r="K5927" s="291"/>
      <c r="L5927" s="291"/>
      <c r="M5927" s="291"/>
      <c r="S5927" s="364"/>
      <c r="Z5927" s="609">
        <v>7096</v>
      </c>
      <c r="AA5927" s="609"/>
    </row>
    <row r="5928" spans="1:27" ht="18">
      <c r="A5928" s="2712"/>
      <c r="B5928" s="371">
        <v>101</v>
      </c>
      <c r="C5928" s="371" t="s">
        <v>2791</v>
      </c>
      <c r="D5928" s="2714">
        <f t="shared" ref="D5928:D5933" si="635">IF(OR(G5928="*",G5928="",G5928=0),0,COUNTIF($G$5928:$G$5933,G5928))</f>
        <v>0</v>
      </c>
      <c r="E5928" s="2719">
        <v>1</v>
      </c>
      <c r="F5928" s="294"/>
      <c r="G5928" s="1561" t="s">
        <v>2792</v>
      </c>
      <c r="H5928" s="360"/>
      <c r="I5928" s="309"/>
      <c r="J5928" s="388"/>
      <c r="K5928" s="291"/>
      <c r="L5928" s="291"/>
      <c r="M5928" s="291"/>
      <c r="S5928" s="364"/>
      <c r="Z5928" s="609">
        <v>7096</v>
      </c>
      <c r="AA5928" s="609"/>
    </row>
    <row r="5929" spans="1:27" ht="18">
      <c r="A5929" s="2712"/>
      <c r="B5929" s="371">
        <v>102</v>
      </c>
      <c r="C5929" s="371" t="s">
        <v>2791</v>
      </c>
      <c r="D5929" s="2714">
        <f t="shared" si="635"/>
        <v>0</v>
      </c>
      <c r="E5929" s="2719">
        <v>1</v>
      </c>
      <c r="F5929" s="294"/>
      <c r="G5929" s="1561" t="s">
        <v>2792</v>
      </c>
      <c r="H5929" s="360"/>
      <c r="I5929" s="309"/>
      <c r="J5929" s="388"/>
      <c r="K5929" s="291"/>
      <c r="L5929" s="291"/>
      <c r="M5929" s="291"/>
      <c r="S5929" s="364"/>
      <c r="Z5929" s="609">
        <v>7096</v>
      </c>
      <c r="AA5929" s="609"/>
    </row>
    <row r="5930" spans="1:27" ht="18">
      <c r="A5930" s="2712"/>
      <c r="B5930" s="371">
        <v>103</v>
      </c>
      <c r="C5930" s="371" t="s">
        <v>2791</v>
      </c>
      <c r="D5930" s="2714">
        <f t="shared" si="635"/>
        <v>0</v>
      </c>
      <c r="E5930" s="2719">
        <v>1</v>
      </c>
      <c r="F5930" s="294"/>
      <c r="G5930" s="1561" t="s">
        <v>2792</v>
      </c>
      <c r="H5930" s="360"/>
      <c r="I5930" s="309"/>
      <c r="J5930" s="388"/>
      <c r="K5930" s="291"/>
      <c r="L5930" s="291"/>
      <c r="M5930" s="291"/>
      <c r="S5930" s="364"/>
      <c r="Z5930" s="609">
        <v>7096</v>
      </c>
      <c r="AA5930" s="609"/>
    </row>
    <row r="5931" spans="1:27" ht="18">
      <c r="A5931" s="2712"/>
      <c r="B5931" s="371">
        <v>104</v>
      </c>
      <c r="C5931" s="371" t="s">
        <v>2791</v>
      </c>
      <c r="D5931" s="2714">
        <f t="shared" si="635"/>
        <v>0</v>
      </c>
      <c r="E5931" s="2719">
        <v>1</v>
      </c>
      <c r="F5931" s="294"/>
      <c r="G5931" s="1561" t="s">
        <v>2792</v>
      </c>
      <c r="H5931" s="360"/>
      <c r="I5931" s="309"/>
      <c r="J5931" s="388"/>
      <c r="K5931" s="291"/>
      <c r="L5931" s="291"/>
      <c r="M5931" s="291"/>
      <c r="S5931" s="364"/>
      <c r="Z5931" s="609">
        <v>7096</v>
      </c>
      <c r="AA5931" s="609"/>
    </row>
    <row r="5932" spans="1:27" ht="18">
      <c r="A5932" s="2712"/>
      <c r="B5932" s="371">
        <v>105</v>
      </c>
      <c r="C5932" s="371" t="s">
        <v>2791</v>
      </c>
      <c r="D5932" s="2714">
        <f t="shared" si="635"/>
        <v>0</v>
      </c>
      <c r="E5932" s="2719">
        <v>1</v>
      </c>
      <c r="F5932" s="294"/>
      <c r="G5932" s="1561" t="s">
        <v>2792</v>
      </c>
      <c r="H5932" s="360"/>
      <c r="I5932" s="309"/>
      <c r="J5932" s="388"/>
      <c r="K5932" s="291"/>
      <c r="L5932" s="291"/>
      <c r="M5932" s="291"/>
      <c r="S5932" s="364"/>
      <c r="Z5932" s="609">
        <v>7096</v>
      </c>
      <c r="AA5932" s="609"/>
    </row>
    <row r="5933" spans="1:27" ht="18.75" thickBot="1">
      <c r="A5933" s="2712"/>
      <c r="B5933" s="371"/>
      <c r="C5933" s="371"/>
      <c r="D5933" s="2714">
        <f t="shared" si="635"/>
        <v>1</v>
      </c>
      <c r="E5933" s="2719" t="s">
        <v>2751</v>
      </c>
      <c r="F5933" s="294"/>
      <c r="G5933" s="1527" t="s">
        <v>2752</v>
      </c>
      <c r="H5933" s="1568"/>
      <c r="I5933" s="1525">
        <f>SUMPRODUCT($E5927:$E5932,I5927:I5932)</f>
        <v>0</v>
      </c>
      <c r="J5933" s="1569"/>
      <c r="K5933" s="291"/>
      <c r="L5933" s="291"/>
      <c r="M5933" s="291"/>
      <c r="S5933" s="364"/>
      <c r="Z5933" s="609">
        <v>7096</v>
      </c>
      <c r="AA5933" s="609"/>
    </row>
    <row r="5934" spans="1:27" ht="18">
      <c r="A5934" s="2712"/>
      <c r="B5934" s="371"/>
      <c r="C5934" s="371" t="s">
        <v>2755</v>
      </c>
      <c r="D5934" s="371"/>
      <c r="F5934" s="294"/>
      <c r="G5934" s="301"/>
      <c r="H5934" s="393"/>
      <c r="I5934" s="315"/>
      <c r="J5934" s="393"/>
      <c r="K5934" s="291"/>
      <c r="L5934" s="291"/>
      <c r="M5934" s="291"/>
      <c r="S5934" s="364"/>
      <c r="Z5934" s="609">
        <v>7096</v>
      </c>
      <c r="AA5934" s="609"/>
    </row>
    <row r="5935" spans="1:27" ht="18">
      <c r="A5935" s="2712">
        <v>7101</v>
      </c>
      <c r="B5935" s="371">
        <v>78.75</v>
      </c>
      <c r="C5935" s="2714" t="str">
        <f>VLOOKUP($A5935,Sheet_Items,2,0)</f>
        <v>收回投资收到的现金</v>
      </c>
      <c r="D5935" s="371"/>
      <c r="E5935" s="2714" t="s">
        <v>2739</v>
      </c>
      <c r="F5935" s="294"/>
      <c r="G5935" s="536" t="str">
        <f>B5935&amp;" "&amp;C5935</f>
        <v>78.75 收回投资收到的现金</v>
      </c>
      <c r="H5935" s="322"/>
      <c r="I5935" s="322"/>
      <c r="J5935" s="306" t="s">
        <v>4206</v>
      </c>
      <c r="K5935" s="341">
        <f>VLOOKUP($A5935,Sheet_Trialbal,6,0)</f>
        <v>0</v>
      </c>
      <c r="L5935" s="342"/>
      <c r="M5935" s="306"/>
      <c r="N5935" s="341"/>
      <c r="O5935" s="306"/>
      <c r="P5935" s="301"/>
      <c r="S5935" s="364"/>
      <c r="Z5935" s="609">
        <v>7101</v>
      </c>
      <c r="AA5935" s="609"/>
    </row>
    <row r="5936" spans="1:27" ht="24">
      <c r="A5936" s="2712" t="s">
        <v>1963</v>
      </c>
      <c r="B5936" s="371">
        <v>1</v>
      </c>
      <c r="C5936" s="371"/>
      <c r="D5936" s="2714" t="str">
        <f>VLOOKUP($A5936,Sheet_NoteList,2,0)</f>
        <v>收回投资收到的现金计算表</v>
      </c>
      <c r="E5936" s="2714" t="s">
        <v>2742</v>
      </c>
      <c r="F5936" s="294"/>
      <c r="G5936" s="483" t="str">
        <f>"("&amp;B5936&amp;")"&amp;D5936</f>
        <v>(1)收回投资收到的现金计算表</v>
      </c>
      <c r="H5936" s="1515" t="str">
        <f>$A5936</f>
        <v>7101x</v>
      </c>
      <c r="I5936" s="343" t="s">
        <v>2743</v>
      </c>
      <c r="J5936" s="301" t="s">
        <v>4712</v>
      </c>
      <c r="K5936" s="2208">
        <f>I5944</f>
        <v>0</v>
      </c>
      <c r="L5936" s="345" t="str">
        <f>IF(ROUND(K5935-K5936,2)=0,"F/S",ROUND(K5935-K5936,2))</f>
        <v>F/S</v>
      </c>
      <c r="M5936" s="532" t="s">
        <v>4713</v>
      </c>
      <c r="N5936" s="3083"/>
      <c r="O5936" s="315"/>
      <c r="P5936" s="301"/>
      <c r="S5936" s="364"/>
      <c r="Z5936" s="609">
        <v>7101</v>
      </c>
      <c r="AA5936" s="609"/>
    </row>
    <row r="5937" spans="1:27" ht="0.75" customHeight="1" thickBot="1">
      <c r="A5937" s="2712"/>
      <c r="B5937" s="371"/>
      <c r="C5937" s="371"/>
      <c r="D5937" s="371"/>
      <c r="F5937" s="371"/>
      <c r="G5937" s="371" t="s">
        <v>4724</v>
      </c>
      <c r="H5937" s="371" t="s">
        <v>4715</v>
      </c>
      <c r="I5937" s="371" t="s">
        <v>4716</v>
      </c>
      <c r="J5937" s="371" t="s">
        <v>3671</v>
      </c>
      <c r="K5937" s="291"/>
      <c r="L5937" s="291"/>
      <c r="M5937" s="291"/>
      <c r="S5937" s="364"/>
      <c r="Z5937" s="609">
        <v>7101</v>
      </c>
      <c r="AA5937" s="609"/>
    </row>
    <row r="5938" spans="1:27" ht="18">
      <c r="A5938" s="2712"/>
      <c r="B5938" s="371"/>
      <c r="C5938" s="371"/>
      <c r="D5938" s="371"/>
      <c r="E5938" s="2714" t="s">
        <v>2749</v>
      </c>
      <c r="F5938" s="294"/>
      <c r="G5938" s="1562" t="s">
        <v>47</v>
      </c>
      <c r="H5938" s="1563" t="s">
        <v>4717</v>
      </c>
      <c r="I5938" s="1563" t="s">
        <v>2887</v>
      </c>
      <c r="J5938" s="1564" t="s">
        <v>2758</v>
      </c>
      <c r="K5938" s="291"/>
      <c r="L5938" s="291"/>
      <c r="M5938" s="291"/>
      <c r="S5938" s="364"/>
      <c r="Z5938" s="609">
        <v>7101</v>
      </c>
      <c r="AA5938" s="609"/>
    </row>
    <row r="5939" spans="1:27" ht="18">
      <c r="A5939" s="2712"/>
      <c r="B5939" s="371">
        <v>101</v>
      </c>
      <c r="C5939" s="371" t="s">
        <v>2791</v>
      </c>
      <c r="D5939" s="2714">
        <f t="shared" ref="D5939:D5944" si="636">IF(OR(G5939="*",G5939="",G5939=0),0,COUNTIF($G$5939:$G$5944,G5939))</f>
        <v>1</v>
      </c>
      <c r="E5939" s="2719">
        <v>1</v>
      </c>
      <c r="F5939" s="294"/>
      <c r="G5939" s="1561" t="s">
        <v>4725</v>
      </c>
      <c r="H5939" s="360" t="s">
        <v>4726</v>
      </c>
      <c r="I5939" s="309"/>
      <c r="J5939" s="388"/>
      <c r="K5939" s="291"/>
      <c r="L5939" s="291"/>
      <c r="M5939" s="291"/>
      <c r="S5939" s="364"/>
      <c r="Z5939" s="609">
        <v>7101</v>
      </c>
      <c r="AA5939" s="609"/>
    </row>
    <row r="5940" spans="1:27" ht="18">
      <c r="A5940" s="2712"/>
      <c r="B5940" s="371">
        <v>102</v>
      </c>
      <c r="C5940" s="371" t="s">
        <v>2791</v>
      </c>
      <c r="D5940" s="2714">
        <f t="shared" si="636"/>
        <v>1</v>
      </c>
      <c r="E5940" s="2719">
        <v>1</v>
      </c>
      <c r="F5940" s="294"/>
      <c r="G5940" s="1561" t="s">
        <v>4727</v>
      </c>
      <c r="H5940" s="360" t="s">
        <v>4726</v>
      </c>
      <c r="I5940" s="309"/>
      <c r="J5940" s="388"/>
      <c r="K5940" s="291"/>
      <c r="L5940" s="291"/>
      <c r="M5940" s="291"/>
      <c r="S5940" s="364"/>
      <c r="Z5940" s="609">
        <v>7101</v>
      </c>
      <c r="AA5940" s="609"/>
    </row>
    <row r="5941" spans="1:27" ht="18">
      <c r="A5941" s="2712"/>
      <c r="B5941" s="371">
        <v>103</v>
      </c>
      <c r="C5941" s="371" t="s">
        <v>2791</v>
      </c>
      <c r="D5941" s="2714">
        <f t="shared" si="636"/>
        <v>1</v>
      </c>
      <c r="E5941" s="2719">
        <v>1</v>
      </c>
      <c r="F5941" s="294"/>
      <c r="G5941" s="1561" t="s">
        <v>4728</v>
      </c>
      <c r="H5941" s="360" t="s">
        <v>4726</v>
      </c>
      <c r="I5941" s="309"/>
      <c r="J5941" s="388"/>
      <c r="K5941" s="291"/>
      <c r="L5941" s="291"/>
      <c r="M5941" s="291"/>
      <c r="S5941" s="364"/>
      <c r="Z5941" s="609">
        <v>7101</v>
      </c>
      <c r="AA5941" s="609"/>
    </row>
    <row r="5942" spans="1:27" ht="18">
      <c r="A5942" s="2712"/>
      <c r="B5942" s="371">
        <v>104</v>
      </c>
      <c r="C5942" s="371" t="s">
        <v>2791</v>
      </c>
      <c r="D5942" s="2714">
        <f t="shared" si="636"/>
        <v>1</v>
      </c>
      <c r="E5942" s="2719">
        <v>1</v>
      </c>
      <c r="F5942" s="294"/>
      <c r="G5942" s="1561" t="s">
        <v>4729</v>
      </c>
      <c r="H5942" s="360" t="s">
        <v>4726</v>
      </c>
      <c r="I5942" s="309"/>
      <c r="J5942" s="388"/>
      <c r="K5942" s="291"/>
      <c r="L5942" s="291"/>
      <c r="M5942" s="291"/>
      <c r="S5942" s="364"/>
      <c r="Z5942" s="609">
        <v>7101</v>
      </c>
      <c r="AA5942" s="609"/>
    </row>
    <row r="5943" spans="1:27" ht="18">
      <c r="A5943" s="2712"/>
      <c r="B5943" s="371">
        <v>105</v>
      </c>
      <c r="C5943" s="371" t="s">
        <v>2791</v>
      </c>
      <c r="D5943" s="2714">
        <f t="shared" si="636"/>
        <v>0</v>
      </c>
      <c r="E5943" s="2719">
        <v>1</v>
      </c>
      <c r="F5943" s="294"/>
      <c r="G5943" s="1561" t="s">
        <v>2792</v>
      </c>
      <c r="H5943" s="360"/>
      <c r="I5943" s="309"/>
      <c r="J5943" s="388"/>
      <c r="K5943" s="291"/>
      <c r="L5943" s="291"/>
      <c r="M5943" s="291"/>
      <c r="S5943" s="364"/>
      <c r="Z5943" s="609">
        <v>7101</v>
      </c>
      <c r="AA5943" s="609"/>
    </row>
    <row r="5944" spans="1:27" ht="18.75" thickBot="1">
      <c r="A5944" s="2712"/>
      <c r="B5944" s="371"/>
      <c r="C5944" s="371"/>
      <c r="D5944" s="2714">
        <f t="shared" si="636"/>
        <v>1</v>
      </c>
      <c r="E5944" s="2719" t="s">
        <v>2751</v>
      </c>
      <c r="F5944" s="294"/>
      <c r="G5944" s="1527" t="s">
        <v>2752</v>
      </c>
      <c r="H5944" s="1568"/>
      <c r="I5944" s="1525">
        <f>SUMPRODUCT($E5938:$E5943,I5938:I5943)</f>
        <v>0</v>
      </c>
      <c r="J5944" s="1569"/>
      <c r="K5944" s="291"/>
      <c r="L5944" s="291"/>
      <c r="M5944" s="291"/>
      <c r="S5944" s="364"/>
      <c r="Z5944" s="609">
        <v>7101</v>
      </c>
      <c r="AA5944" s="609"/>
    </row>
    <row r="5945" spans="1:27" ht="18">
      <c r="A5945" s="2712"/>
      <c r="B5945" s="371"/>
      <c r="C5945" s="371" t="s">
        <v>2755</v>
      </c>
      <c r="D5945" s="371"/>
      <c r="F5945" s="294"/>
      <c r="G5945" s="301"/>
      <c r="H5945" s="393"/>
      <c r="I5945" s="315"/>
      <c r="J5945" s="393"/>
      <c r="K5945" s="291"/>
      <c r="L5945" s="291"/>
      <c r="M5945" s="291"/>
      <c r="S5945" s="364"/>
      <c r="Z5945" s="609">
        <v>7101</v>
      </c>
      <c r="AA5945" s="609"/>
    </row>
    <row r="5946" spans="1:27" ht="18">
      <c r="A5946" s="2712">
        <v>7105</v>
      </c>
      <c r="B5946" s="371">
        <v>78.760000000000005</v>
      </c>
      <c r="C5946" s="2714" t="str">
        <f>VLOOKUP($A5946,Sheet_Items,2,0)</f>
        <v>取得投资收益收到的现金</v>
      </c>
      <c r="D5946" s="371"/>
      <c r="E5946" s="2714" t="s">
        <v>2739</v>
      </c>
      <c r="F5946" s="294"/>
      <c r="G5946" s="536" t="str">
        <f>B5946&amp;" "&amp;C5946</f>
        <v>78.76 取得投资收益收到的现金</v>
      </c>
      <c r="H5946" s="322"/>
      <c r="I5946" s="322"/>
      <c r="J5946" s="306" t="s">
        <v>4206</v>
      </c>
      <c r="K5946" s="341">
        <f>VLOOKUP($A5946,Sheet_Trialbal,6,0)</f>
        <v>0</v>
      </c>
      <c r="L5946" s="342"/>
      <c r="M5946" s="306"/>
      <c r="N5946" s="341"/>
      <c r="O5946" s="306"/>
      <c r="P5946" s="301"/>
      <c r="S5946" s="364"/>
      <c r="Z5946" s="609">
        <v>7105</v>
      </c>
      <c r="AA5946" s="609"/>
    </row>
    <row r="5947" spans="1:27" ht="24">
      <c r="A5947" s="2712" t="s">
        <v>1965</v>
      </c>
      <c r="B5947" s="371">
        <v>1</v>
      </c>
      <c r="C5947" s="371"/>
      <c r="D5947" s="2714" t="str">
        <f>VLOOKUP($A5947,Sheet_NoteList,2,0)</f>
        <v>取得投资收益收到的现金计算表</v>
      </c>
      <c r="E5947" s="2714" t="s">
        <v>2742</v>
      </c>
      <c r="F5947" s="294"/>
      <c r="G5947" s="483" t="str">
        <f>"("&amp;B5947&amp;")"&amp;D5947</f>
        <v>(1)取得投资收益收到的现金计算表</v>
      </c>
      <c r="H5947" s="1515" t="str">
        <f>$A5947</f>
        <v>7105x</v>
      </c>
      <c r="I5947" s="343" t="s">
        <v>2743</v>
      </c>
      <c r="J5947" s="301" t="s">
        <v>4712</v>
      </c>
      <c r="K5947" s="2208">
        <f>I5955</f>
        <v>0</v>
      </c>
      <c r="L5947" s="345" t="str">
        <f>IF(ROUND(K5946-K5947,2)=0,"F/S",ROUND(K5946-K5947,2))</f>
        <v>F/S</v>
      </c>
      <c r="M5947" s="532" t="s">
        <v>4713</v>
      </c>
      <c r="N5947" s="3083"/>
      <c r="O5947" s="315"/>
      <c r="P5947" s="301"/>
      <c r="S5947" s="364"/>
      <c r="Z5947" s="609">
        <v>7105</v>
      </c>
      <c r="AA5947" s="609"/>
    </row>
    <row r="5948" spans="1:27" ht="0.75" customHeight="1" thickBot="1">
      <c r="A5948" s="2712"/>
      <c r="B5948" s="371"/>
      <c r="C5948" s="371"/>
      <c r="D5948" s="371"/>
      <c r="F5948" s="371"/>
      <c r="G5948" s="371" t="s">
        <v>4730</v>
      </c>
      <c r="H5948" s="371" t="s">
        <v>4715</v>
      </c>
      <c r="I5948" s="371" t="s">
        <v>4716</v>
      </c>
      <c r="J5948" s="371" t="s">
        <v>3671</v>
      </c>
      <c r="K5948" s="291"/>
      <c r="L5948" s="291"/>
      <c r="M5948" s="291"/>
      <c r="S5948" s="364"/>
      <c r="Z5948" s="609">
        <v>7105</v>
      </c>
      <c r="AA5948" s="609"/>
    </row>
    <row r="5949" spans="1:27" ht="18">
      <c r="A5949" s="2712"/>
      <c r="B5949" s="371"/>
      <c r="C5949" s="371"/>
      <c r="D5949" s="371"/>
      <c r="E5949" s="2714" t="s">
        <v>2749</v>
      </c>
      <c r="F5949" s="294"/>
      <c r="G5949" s="1562" t="s">
        <v>47</v>
      </c>
      <c r="H5949" s="1563" t="s">
        <v>4717</v>
      </c>
      <c r="I5949" s="1563" t="s">
        <v>2887</v>
      </c>
      <c r="J5949" s="1564" t="s">
        <v>2758</v>
      </c>
      <c r="K5949" s="291"/>
      <c r="L5949" s="291"/>
      <c r="M5949" s="291"/>
      <c r="S5949" s="364"/>
      <c r="Z5949" s="609">
        <v>7105</v>
      </c>
      <c r="AA5949" s="609"/>
    </row>
    <row r="5950" spans="1:27" ht="18">
      <c r="A5950" s="2712"/>
      <c r="B5950" s="371">
        <v>101</v>
      </c>
      <c r="C5950" s="371" t="s">
        <v>2791</v>
      </c>
      <c r="D5950" s="2714">
        <f t="shared" ref="D5950:D5955" si="637">IF(OR(G5950="*",G5950="",G5950=0),0,COUNTIF($G$5950:$G$5955,G5950))</f>
        <v>1</v>
      </c>
      <c r="E5950" s="2719">
        <v>1</v>
      </c>
      <c r="F5950" s="294"/>
      <c r="G5950" s="1561" t="s">
        <v>4731</v>
      </c>
      <c r="H5950" s="360" t="s">
        <v>4726</v>
      </c>
      <c r="I5950" s="309"/>
      <c r="J5950" s="388"/>
      <c r="K5950" s="291"/>
      <c r="L5950" s="291"/>
      <c r="M5950" s="291"/>
      <c r="S5950" s="364"/>
      <c r="Z5950" s="609">
        <v>7105</v>
      </c>
      <c r="AA5950" s="609"/>
    </row>
    <row r="5951" spans="1:27" ht="18">
      <c r="A5951" s="2712"/>
      <c r="B5951" s="371">
        <v>102</v>
      </c>
      <c r="C5951" s="371" t="s">
        <v>2791</v>
      </c>
      <c r="D5951" s="2714">
        <f t="shared" si="637"/>
        <v>1</v>
      </c>
      <c r="E5951" s="2719">
        <v>1</v>
      </c>
      <c r="F5951" s="294"/>
      <c r="G5951" s="1561" t="s">
        <v>4732</v>
      </c>
      <c r="H5951" s="360" t="s">
        <v>4726</v>
      </c>
      <c r="I5951" s="309"/>
      <c r="J5951" s="388"/>
      <c r="K5951" s="291"/>
      <c r="L5951" s="291"/>
      <c r="M5951" s="291"/>
      <c r="S5951" s="364"/>
      <c r="Z5951" s="609">
        <v>7105</v>
      </c>
      <c r="AA5951" s="609"/>
    </row>
    <row r="5952" spans="1:27" ht="18">
      <c r="A5952" s="2712"/>
      <c r="B5952" s="371">
        <v>103</v>
      </c>
      <c r="C5952" s="371" t="s">
        <v>2791</v>
      </c>
      <c r="D5952" s="2714">
        <f t="shared" si="637"/>
        <v>1</v>
      </c>
      <c r="E5952" s="2719">
        <v>1</v>
      </c>
      <c r="F5952" s="294"/>
      <c r="G5952" s="1561" t="s">
        <v>4733</v>
      </c>
      <c r="H5952" s="360" t="s">
        <v>4726</v>
      </c>
      <c r="I5952" s="309"/>
      <c r="J5952" s="388"/>
      <c r="K5952" s="291"/>
      <c r="L5952" s="291"/>
      <c r="M5952" s="291"/>
      <c r="S5952" s="364"/>
      <c r="Z5952" s="609">
        <v>7105</v>
      </c>
      <c r="AA5952" s="609"/>
    </row>
    <row r="5953" spans="1:27" ht="18">
      <c r="A5953" s="2712"/>
      <c r="B5953" s="371">
        <v>104</v>
      </c>
      <c r="C5953" s="371" t="s">
        <v>2791</v>
      </c>
      <c r="D5953" s="2714">
        <f t="shared" si="637"/>
        <v>1</v>
      </c>
      <c r="E5953" s="2719">
        <v>1</v>
      </c>
      <c r="F5953" s="294"/>
      <c r="G5953" s="1561" t="s">
        <v>4729</v>
      </c>
      <c r="H5953" s="360" t="s">
        <v>4726</v>
      </c>
      <c r="I5953" s="309"/>
      <c r="J5953" s="388"/>
      <c r="K5953" s="291"/>
      <c r="L5953" s="291"/>
      <c r="M5953" s="291"/>
      <c r="S5953" s="364"/>
      <c r="Z5953" s="609">
        <v>7105</v>
      </c>
      <c r="AA5953" s="609"/>
    </row>
    <row r="5954" spans="1:27" ht="18">
      <c r="A5954" s="2712"/>
      <c r="B5954" s="371">
        <v>105</v>
      </c>
      <c r="C5954" s="371" t="s">
        <v>2791</v>
      </c>
      <c r="D5954" s="2714">
        <f t="shared" si="637"/>
        <v>0</v>
      </c>
      <c r="E5954" s="2719">
        <v>1</v>
      </c>
      <c r="F5954" s="294"/>
      <c r="G5954" s="1561" t="s">
        <v>2792</v>
      </c>
      <c r="H5954" s="360"/>
      <c r="I5954" s="309"/>
      <c r="J5954" s="388"/>
      <c r="K5954" s="291"/>
      <c r="L5954" s="291"/>
      <c r="M5954" s="291"/>
      <c r="S5954" s="364"/>
      <c r="Z5954" s="609">
        <v>7105</v>
      </c>
      <c r="AA5954" s="609"/>
    </row>
    <row r="5955" spans="1:27" ht="18.75" thickBot="1">
      <c r="A5955" s="2712"/>
      <c r="B5955" s="371"/>
      <c r="C5955" s="371"/>
      <c r="D5955" s="2714">
        <f t="shared" si="637"/>
        <v>1</v>
      </c>
      <c r="E5955" s="2719" t="s">
        <v>2751</v>
      </c>
      <c r="F5955" s="294"/>
      <c r="G5955" s="1527" t="s">
        <v>2752</v>
      </c>
      <c r="H5955" s="1568"/>
      <c r="I5955" s="1525">
        <f>SUMPRODUCT($E5949:$E5954,I5949:I5954)</f>
        <v>0</v>
      </c>
      <c r="J5955" s="1569"/>
      <c r="K5955" s="291"/>
      <c r="L5955" s="291"/>
      <c r="M5955" s="291"/>
      <c r="S5955" s="364"/>
      <c r="Z5955" s="609">
        <v>7105</v>
      </c>
      <c r="AA5955" s="609"/>
    </row>
    <row r="5956" spans="1:27" ht="18">
      <c r="A5956" s="2712"/>
      <c r="B5956" s="371"/>
      <c r="C5956" s="371" t="s">
        <v>2755</v>
      </c>
      <c r="D5956" s="371"/>
      <c r="F5956" s="294"/>
      <c r="G5956" s="301"/>
      <c r="H5956" s="393"/>
      <c r="I5956" s="315"/>
      <c r="J5956" s="393"/>
      <c r="K5956" s="291"/>
      <c r="L5956" s="291"/>
      <c r="M5956" s="291"/>
      <c r="S5956" s="364"/>
      <c r="Z5956" s="609">
        <v>7105</v>
      </c>
      <c r="AA5956" s="609"/>
    </row>
    <row r="5957" spans="1:27" ht="18">
      <c r="A5957" s="2712">
        <v>7111</v>
      </c>
      <c r="B5957" s="371">
        <v>78.77</v>
      </c>
      <c r="C5957" s="2714" t="str">
        <f>VLOOKUP($A5957,Sheet_Items,2,0)</f>
        <v>处置固定资产无形资产长期资产收回的现金</v>
      </c>
      <c r="D5957" s="371"/>
      <c r="E5957" s="2714" t="s">
        <v>2739</v>
      </c>
      <c r="F5957" s="294"/>
      <c r="G5957" s="536" t="str">
        <f>B5957&amp;" "&amp;C5957</f>
        <v>78.77 处置固定资产无形资产长期资产收回的现金</v>
      </c>
      <c r="H5957" s="322"/>
      <c r="I5957" s="322"/>
      <c r="J5957" s="306" t="s">
        <v>4206</v>
      </c>
      <c r="K5957" s="341">
        <f>VLOOKUP($A5957,Sheet_Trialbal,6,0)</f>
        <v>4370781.55</v>
      </c>
      <c r="L5957" s="342"/>
      <c r="M5957" s="306"/>
      <c r="N5957" s="341"/>
      <c r="O5957" s="306"/>
      <c r="P5957" s="301"/>
      <c r="S5957" s="364"/>
      <c r="Z5957" s="609">
        <v>7111</v>
      </c>
      <c r="AA5957" s="609"/>
    </row>
    <row r="5958" spans="1:27" ht="24">
      <c r="A5958" s="2712" t="s">
        <v>1967</v>
      </c>
      <c r="B5958" s="371">
        <v>1</v>
      </c>
      <c r="C5958" s="371"/>
      <c r="D5958" s="2714" t="str">
        <f>VLOOKUP($A5958,Sheet_NoteList,2,0)</f>
        <v>处置固定资产无形资产长期资产收回的现金计算表</v>
      </c>
      <c r="E5958" s="2714" t="s">
        <v>2742</v>
      </c>
      <c r="F5958" s="294"/>
      <c r="G5958" s="483" t="str">
        <f>"("&amp;B5958&amp;")"&amp;D5958</f>
        <v>(1)处置固定资产无形资产长期资产收回的现金计算表</v>
      </c>
      <c r="H5958" s="1515" t="str">
        <f>$A5958</f>
        <v>7111x</v>
      </c>
      <c r="I5958" s="343" t="s">
        <v>2743</v>
      </c>
      <c r="J5958" s="301" t="s">
        <v>4712</v>
      </c>
      <c r="K5958" s="2208">
        <f>I5974</f>
        <v>0</v>
      </c>
      <c r="L5958" s="345">
        <f>IF(ROUND(K5957-K5958,2)=0,"F/S",ROUND(K5957-K5958,2))</f>
        <v>4370781.55</v>
      </c>
      <c r="M5958" s="532" t="s">
        <v>4713</v>
      </c>
      <c r="N5958" s="3083"/>
      <c r="O5958" s="315"/>
      <c r="P5958" s="301"/>
      <c r="S5958" s="364"/>
      <c r="Z5958" s="609">
        <v>7111</v>
      </c>
      <c r="AA5958" s="609"/>
    </row>
    <row r="5959" spans="1:27" ht="0.75" customHeight="1" thickBot="1">
      <c r="A5959" s="2712"/>
      <c r="B5959" s="371"/>
      <c r="C5959" s="371"/>
      <c r="D5959" s="371"/>
      <c r="F5959" s="371"/>
      <c r="G5959" s="371" t="s">
        <v>4734</v>
      </c>
      <c r="H5959" s="371" t="s">
        <v>4715</v>
      </c>
      <c r="I5959" s="371" t="s">
        <v>4716</v>
      </c>
      <c r="J5959" s="371" t="s">
        <v>3671</v>
      </c>
      <c r="K5959" s="291"/>
      <c r="L5959" s="291"/>
      <c r="M5959" s="291"/>
      <c r="S5959" s="364"/>
      <c r="Z5959" s="609">
        <v>7111</v>
      </c>
      <c r="AA5959" s="609"/>
    </row>
    <row r="5960" spans="1:27" ht="18">
      <c r="A5960" s="2712"/>
      <c r="B5960" s="371"/>
      <c r="C5960" s="371"/>
      <c r="D5960" s="371"/>
      <c r="E5960" s="2714" t="s">
        <v>2749</v>
      </c>
      <c r="F5960" s="294"/>
      <c r="G5960" s="1562" t="s">
        <v>47</v>
      </c>
      <c r="H5960" s="1563" t="s">
        <v>4717</v>
      </c>
      <c r="I5960" s="1563" t="s">
        <v>2887</v>
      </c>
      <c r="J5960" s="1564" t="s">
        <v>2758</v>
      </c>
      <c r="K5960" s="291"/>
      <c r="L5960" s="291"/>
      <c r="M5960" s="291"/>
      <c r="S5960" s="364"/>
      <c r="Z5960" s="609">
        <v>7111</v>
      </c>
      <c r="AA5960" s="609"/>
    </row>
    <row r="5961" spans="1:27" ht="18">
      <c r="A5961" s="2712"/>
      <c r="B5961" s="371">
        <v>101</v>
      </c>
      <c r="C5961" s="371" t="s">
        <v>2791</v>
      </c>
      <c r="D5961" s="2714">
        <f t="shared" ref="D5961:D5974" si="638">IF(OR(G5961="*",G5961="",G5961=0),0,COUNTIF($G$5961:$G$5974,G5961))</f>
        <v>1</v>
      </c>
      <c r="E5961" s="2719">
        <v>1</v>
      </c>
      <c r="F5961" s="294"/>
      <c r="G5961" s="1561" t="s">
        <v>4735</v>
      </c>
      <c r="H5961" s="360" t="s">
        <v>4726</v>
      </c>
      <c r="I5961" s="309"/>
      <c r="J5961" s="388"/>
      <c r="K5961" s="291"/>
      <c r="L5961" s="291"/>
      <c r="M5961" s="291"/>
      <c r="S5961" s="364"/>
      <c r="Z5961" s="609">
        <v>7111</v>
      </c>
      <c r="AA5961" s="609"/>
    </row>
    <row r="5962" spans="1:27" ht="18">
      <c r="A5962" s="2712"/>
      <c r="B5962" s="371">
        <v>102</v>
      </c>
      <c r="C5962" s="371" t="s">
        <v>2791</v>
      </c>
      <c r="D5962" s="2714">
        <f t="shared" si="638"/>
        <v>1</v>
      </c>
      <c r="E5962" s="2719">
        <v>1</v>
      </c>
      <c r="F5962" s="294"/>
      <c r="G5962" s="1561" t="s">
        <v>4736</v>
      </c>
      <c r="H5962" s="360" t="s">
        <v>4726</v>
      </c>
      <c r="I5962" s="309"/>
      <c r="J5962" s="388"/>
      <c r="K5962" s="291"/>
      <c r="L5962" s="291"/>
      <c r="M5962" s="291"/>
      <c r="S5962" s="364"/>
      <c r="Z5962" s="609">
        <v>7111</v>
      </c>
      <c r="AA5962" s="609"/>
    </row>
    <row r="5963" spans="1:27" ht="18">
      <c r="A5963" s="2712"/>
      <c r="B5963" s="371">
        <v>103</v>
      </c>
      <c r="C5963" s="371" t="s">
        <v>2791</v>
      </c>
      <c r="D5963" s="2714">
        <f t="shared" si="638"/>
        <v>1</v>
      </c>
      <c r="E5963" s="2719">
        <v>1</v>
      </c>
      <c r="F5963" s="294"/>
      <c r="G5963" s="1561" t="s">
        <v>4737</v>
      </c>
      <c r="H5963" s="360" t="s">
        <v>4726</v>
      </c>
      <c r="I5963" s="309"/>
      <c r="J5963" s="388"/>
      <c r="K5963" s="291"/>
      <c r="L5963" s="291"/>
      <c r="M5963" s="291"/>
      <c r="S5963" s="364"/>
      <c r="Z5963" s="609">
        <v>7111</v>
      </c>
      <c r="AA5963" s="609"/>
    </row>
    <row r="5964" spans="1:27" ht="18">
      <c r="A5964" s="2712"/>
      <c r="B5964" s="371">
        <v>104</v>
      </c>
      <c r="C5964" s="371" t="s">
        <v>2791</v>
      </c>
      <c r="D5964" s="2714">
        <f t="shared" si="638"/>
        <v>1</v>
      </c>
      <c r="E5964" s="2719">
        <v>1</v>
      </c>
      <c r="F5964" s="294"/>
      <c r="G5964" s="1561" t="s">
        <v>4738</v>
      </c>
      <c r="H5964" s="360" t="s">
        <v>4726</v>
      </c>
      <c r="I5964" s="309"/>
      <c r="J5964" s="388"/>
      <c r="K5964" s="291"/>
      <c r="L5964" s="291"/>
      <c r="M5964" s="291"/>
      <c r="S5964" s="364"/>
      <c r="Z5964" s="609">
        <v>7111</v>
      </c>
      <c r="AA5964" s="609"/>
    </row>
    <row r="5965" spans="1:27" ht="18">
      <c r="A5965" s="2712"/>
      <c r="B5965" s="371">
        <v>105</v>
      </c>
      <c r="C5965" s="371" t="s">
        <v>2791</v>
      </c>
      <c r="D5965" s="2714">
        <f t="shared" si="638"/>
        <v>1</v>
      </c>
      <c r="E5965" s="2719">
        <v>1</v>
      </c>
      <c r="F5965" s="294"/>
      <c r="G5965" s="1561" t="s">
        <v>4739</v>
      </c>
      <c r="H5965" s="360" t="s">
        <v>4726</v>
      </c>
      <c r="I5965" s="309"/>
      <c r="J5965" s="388"/>
      <c r="K5965" s="291"/>
      <c r="L5965" s="291"/>
      <c r="M5965" s="291"/>
      <c r="S5965" s="364"/>
      <c r="Z5965" s="609">
        <v>7111</v>
      </c>
      <c r="AA5965" s="609"/>
    </row>
    <row r="5966" spans="1:27" ht="24">
      <c r="A5966" s="2712"/>
      <c r="B5966" s="371">
        <v>106</v>
      </c>
      <c r="C5966" s="371" t="s">
        <v>2791</v>
      </c>
      <c r="D5966" s="2714">
        <f t="shared" si="638"/>
        <v>1</v>
      </c>
      <c r="E5966" s="2719">
        <v>-1</v>
      </c>
      <c r="F5966" s="294"/>
      <c r="G5966" s="1561" t="s">
        <v>4740</v>
      </c>
      <c r="H5966" s="360" t="s">
        <v>4741</v>
      </c>
      <c r="I5966" s="309"/>
      <c r="J5966" s="388"/>
      <c r="K5966" s="291"/>
      <c r="L5966" s="291"/>
      <c r="M5966" s="291"/>
      <c r="S5966" s="364"/>
      <c r="Z5966" s="609">
        <v>7111</v>
      </c>
      <c r="AA5966" s="609"/>
    </row>
    <row r="5967" spans="1:27" ht="18">
      <c r="A5967" s="2712"/>
      <c r="B5967" s="371">
        <v>107</v>
      </c>
      <c r="C5967" s="371" t="s">
        <v>2791</v>
      </c>
      <c r="D5967" s="2714">
        <f t="shared" si="638"/>
        <v>1</v>
      </c>
      <c r="E5967" s="2719">
        <v>-1</v>
      </c>
      <c r="F5967" s="294"/>
      <c r="G5967" s="1561" t="s">
        <v>4742</v>
      </c>
      <c r="H5967" s="360" t="s">
        <v>4741</v>
      </c>
      <c r="I5967" s="309"/>
      <c r="J5967" s="388"/>
      <c r="K5967" s="291"/>
      <c r="L5967" s="291"/>
      <c r="M5967" s="291"/>
      <c r="S5967" s="364"/>
      <c r="Z5967" s="609">
        <v>7111</v>
      </c>
      <c r="AA5967" s="609"/>
    </row>
    <row r="5968" spans="1:27" ht="18">
      <c r="A5968" s="2712"/>
      <c r="B5968" s="371">
        <v>108</v>
      </c>
      <c r="C5968" s="371" t="s">
        <v>2791</v>
      </c>
      <c r="D5968" s="2714">
        <f t="shared" si="638"/>
        <v>1</v>
      </c>
      <c r="E5968" s="2719">
        <v>-1</v>
      </c>
      <c r="F5968" s="294"/>
      <c r="G5968" s="1561" t="s">
        <v>4743</v>
      </c>
      <c r="H5968" s="360" t="s">
        <v>4741</v>
      </c>
      <c r="I5968" s="309"/>
      <c r="J5968" s="388"/>
      <c r="K5968" s="291"/>
      <c r="L5968" s="291"/>
      <c r="M5968" s="291"/>
      <c r="S5968" s="364"/>
      <c r="Z5968" s="609">
        <v>7111</v>
      </c>
      <c r="AA5968" s="609"/>
    </row>
    <row r="5969" spans="1:27" ht="18">
      <c r="A5969" s="2712"/>
      <c r="B5969" s="371">
        <v>109</v>
      </c>
      <c r="C5969" s="371" t="s">
        <v>2791</v>
      </c>
      <c r="D5969" s="2714">
        <f t="shared" si="638"/>
        <v>1</v>
      </c>
      <c r="E5969" s="2719">
        <v>1</v>
      </c>
      <c r="F5969" s="294"/>
      <c r="G5969" s="1561" t="s">
        <v>4744</v>
      </c>
      <c r="H5969" s="360" t="s">
        <v>4726</v>
      </c>
      <c r="I5969" s="309"/>
      <c r="J5969" s="388"/>
      <c r="K5969" s="291"/>
      <c r="L5969" s="291"/>
      <c r="M5969" s="291"/>
      <c r="S5969" s="364"/>
      <c r="Z5969" s="609">
        <v>7111</v>
      </c>
      <c r="AA5969" s="609"/>
    </row>
    <row r="5970" spans="1:27" ht="18">
      <c r="A5970" s="2712"/>
      <c r="B5970" s="371">
        <v>110</v>
      </c>
      <c r="C5970" s="371" t="s">
        <v>2791</v>
      </c>
      <c r="D5970" s="2714">
        <f t="shared" si="638"/>
        <v>1</v>
      </c>
      <c r="E5970" s="2719">
        <v>-1</v>
      </c>
      <c r="F5970" s="294"/>
      <c r="G5970" s="1561" t="s">
        <v>4745</v>
      </c>
      <c r="H5970" s="360" t="s">
        <v>4741</v>
      </c>
      <c r="I5970" s="309"/>
      <c r="J5970" s="388"/>
      <c r="K5970" s="291"/>
      <c r="L5970" s="291"/>
      <c r="M5970" s="291"/>
      <c r="S5970" s="364"/>
      <c r="Z5970" s="609">
        <v>7111</v>
      </c>
      <c r="AA5970" s="609"/>
    </row>
    <row r="5971" spans="1:27" ht="24">
      <c r="A5971" s="2712"/>
      <c r="B5971" s="371">
        <v>111</v>
      </c>
      <c r="C5971" s="371" t="s">
        <v>2791</v>
      </c>
      <c r="D5971" s="2714">
        <f t="shared" si="638"/>
        <v>1</v>
      </c>
      <c r="E5971" s="2719">
        <v>1</v>
      </c>
      <c r="F5971" s="294"/>
      <c r="G5971" s="1561" t="s">
        <v>4746</v>
      </c>
      <c r="H5971" s="360" t="s">
        <v>4726</v>
      </c>
      <c r="I5971" s="309"/>
      <c r="J5971" s="388"/>
      <c r="K5971" s="291"/>
      <c r="L5971" s="291"/>
      <c r="M5971" s="291"/>
      <c r="S5971" s="364"/>
      <c r="Z5971" s="609">
        <v>7111</v>
      </c>
      <c r="AA5971" s="609"/>
    </row>
    <row r="5972" spans="1:27" ht="18">
      <c r="A5972" s="2712"/>
      <c r="B5972" s="371">
        <v>112</v>
      </c>
      <c r="C5972" s="371" t="s">
        <v>2791</v>
      </c>
      <c r="D5972" s="2714">
        <f t="shared" si="638"/>
        <v>1</v>
      </c>
      <c r="E5972" s="2719">
        <v>1</v>
      </c>
      <c r="F5972" s="294"/>
      <c r="G5972" s="1561" t="s">
        <v>932</v>
      </c>
      <c r="H5972" s="360" t="s">
        <v>4726</v>
      </c>
      <c r="I5972" s="309"/>
      <c r="J5972" s="388"/>
      <c r="K5972" s="291"/>
      <c r="L5972" s="291"/>
      <c r="M5972" s="291"/>
      <c r="S5972" s="364"/>
      <c r="Z5972" s="609">
        <v>7111</v>
      </c>
      <c r="AA5972" s="609"/>
    </row>
    <row r="5973" spans="1:27" ht="18">
      <c r="A5973" s="2712"/>
      <c r="B5973" s="371">
        <v>113</v>
      </c>
      <c r="C5973" s="371" t="s">
        <v>2791</v>
      </c>
      <c r="D5973" s="2714">
        <f t="shared" si="638"/>
        <v>0</v>
      </c>
      <c r="E5973" s="2719">
        <v>1</v>
      </c>
      <c r="F5973" s="294"/>
      <c r="G5973" s="1561" t="s">
        <v>2792</v>
      </c>
      <c r="H5973" s="360"/>
      <c r="I5973" s="309"/>
      <c r="J5973" s="388"/>
      <c r="K5973" s="291"/>
      <c r="L5973" s="291"/>
      <c r="M5973" s="291"/>
      <c r="S5973" s="364"/>
      <c r="Z5973" s="609">
        <v>7111</v>
      </c>
      <c r="AA5973" s="609"/>
    </row>
    <row r="5974" spans="1:27" ht="18.75" thickBot="1">
      <c r="A5974" s="2712"/>
      <c r="B5974" s="371"/>
      <c r="C5974" s="371"/>
      <c r="D5974" s="2714">
        <f t="shared" si="638"/>
        <v>1</v>
      </c>
      <c r="E5974" s="2719" t="s">
        <v>2751</v>
      </c>
      <c r="F5974" s="294"/>
      <c r="G5974" s="1527" t="s">
        <v>2752</v>
      </c>
      <c r="H5974" s="1568"/>
      <c r="I5974" s="1525">
        <f>SUMPRODUCT($E5960:$E5973,I5960:I5973)</f>
        <v>0</v>
      </c>
      <c r="J5974" s="1569"/>
      <c r="K5974" s="291"/>
      <c r="L5974" s="291"/>
      <c r="M5974" s="291"/>
      <c r="S5974" s="364"/>
      <c r="Z5974" s="609">
        <v>7111</v>
      </c>
      <c r="AA5974" s="609"/>
    </row>
    <row r="5975" spans="1:27" ht="18">
      <c r="A5975" s="2712"/>
      <c r="B5975" s="371"/>
      <c r="C5975" s="371" t="s">
        <v>2755</v>
      </c>
      <c r="D5975" s="371"/>
      <c r="F5975" s="294"/>
      <c r="G5975" s="301"/>
      <c r="H5975" s="393"/>
      <c r="I5975" s="315"/>
      <c r="J5975" s="393"/>
      <c r="K5975" s="291"/>
      <c r="L5975" s="291"/>
      <c r="M5975" s="291"/>
      <c r="S5975" s="364"/>
      <c r="Z5975" s="609">
        <v>7111</v>
      </c>
      <c r="AA5975" s="609"/>
    </row>
    <row r="5976" spans="1:27" ht="18">
      <c r="A5976" s="2712">
        <v>7151</v>
      </c>
      <c r="B5976" s="371">
        <v>78.78</v>
      </c>
      <c r="C5976" s="2714" t="str">
        <f>VLOOKUP($A5976,Sheet_Items,2,0)</f>
        <v>购置固定资产无形资产长期资产支付的现金</v>
      </c>
      <c r="D5976" s="371"/>
      <c r="E5976" s="2714" t="s">
        <v>2739</v>
      </c>
      <c r="F5976" s="294"/>
      <c r="G5976" s="536" t="str">
        <f>B5976&amp;" "&amp;C5976</f>
        <v>78.78 购置固定资产无形资产长期资产支付的现金</v>
      </c>
      <c r="H5976" s="322"/>
      <c r="I5976" s="322"/>
      <c r="J5976" s="306" t="s">
        <v>4206</v>
      </c>
      <c r="K5976" s="341">
        <f>VLOOKUP($A5976,Sheet_Trialbal,6,0)</f>
        <v>13529178</v>
      </c>
      <c r="L5976" s="342"/>
      <c r="M5976" s="306"/>
      <c r="N5976" s="341"/>
      <c r="O5976" s="306"/>
      <c r="P5976" s="301"/>
      <c r="S5976" s="364"/>
      <c r="Z5976" s="609">
        <v>7151</v>
      </c>
      <c r="AA5976" s="609"/>
    </row>
    <row r="5977" spans="1:27" ht="24">
      <c r="A5977" s="2712" t="s">
        <v>1973</v>
      </c>
      <c r="B5977" s="371">
        <v>1</v>
      </c>
      <c r="C5977" s="371"/>
      <c r="D5977" s="2714" t="str">
        <f>VLOOKUP($A5977,Sheet_NoteList,2,0)</f>
        <v>购置固定资产无形资产长期资产支付的现金计算表</v>
      </c>
      <c r="E5977" s="2714" t="s">
        <v>2742</v>
      </c>
      <c r="F5977" s="294"/>
      <c r="G5977" s="483" t="str">
        <f>"("&amp;B5977&amp;")"&amp;D5977</f>
        <v>(1)购置固定资产无形资产长期资产支付的现金计算表</v>
      </c>
      <c r="H5977" s="1515" t="str">
        <f>$A5977</f>
        <v>7151x</v>
      </c>
      <c r="I5977" s="343" t="s">
        <v>2743</v>
      </c>
      <c r="J5977" s="301" t="s">
        <v>4712</v>
      </c>
      <c r="K5977" s="2208">
        <f>I5995</f>
        <v>0</v>
      </c>
      <c r="L5977" s="345">
        <f>IF(ROUND(K5976-K5977,2)=0,"F/S",ROUND(K5976-K5977,2))</f>
        <v>13529178</v>
      </c>
      <c r="M5977" s="532" t="s">
        <v>4713</v>
      </c>
      <c r="N5977" s="3083"/>
      <c r="O5977" s="315"/>
      <c r="P5977" s="301"/>
      <c r="S5977" s="364"/>
      <c r="Z5977" s="609">
        <v>7151</v>
      </c>
      <c r="AA5977" s="609"/>
    </row>
    <row r="5978" spans="1:27" ht="0.75" customHeight="1" thickBot="1">
      <c r="A5978" s="2712"/>
      <c r="B5978" s="371"/>
      <c r="C5978" s="371"/>
      <c r="D5978" s="371"/>
      <c r="F5978" s="371"/>
      <c r="G5978" s="340" t="s">
        <v>4747</v>
      </c>
      <c r="H5978" s="340" t="s">
        <v>4715</v>
      </c>
      <c r="I5978" s="340" t="s">
        <v>4716</v>
      </c>
      <c r="J5978" s="340" t="s">
        <v>3671</v>
      </c>
      <c r="K5978" s="291"/>
      <c r="L5978" s="291"/>
      <c r="M5978" s="291"/>
      <c r="S5978" s="364"/>
      <c r="Z5978" s="609">
        <v>7151</v>
      </c>
      <c r="AA5978" s="609"/>
    </row>
    <row r="5979" spans="1:27" ht="18">
      <c r="A5979" s="2712"/>
      <c r="B5979" s="371"/>
      <c r="C5979" s="371"/>
      <c r="D5979" s="371"/>
      <c r="E5979" s="2714" t="s">
        <v>2749</v>
      </c>
      <c r="F5979" s="294"/>
      <c r="G5979" s="1562" t="s">
        <v>47</v>
      </c>
      <c r="H5979" s="1563" t="s">
        <v>4717</v>
      </c>
      <c r="I5979" s="1563" t="s">
        <v>2887</v>
      </c>
      <c r="J5979" s="1564" t="s">
        <v>2758</v>
      </c>
      <c r="K5979" s="291"/>
      <c r="L5979" s="291"/>
      <c r="M5979" s="291"/>
      <c r="S5979" s="364"/>
      <c r="Z5979" s="609">
        <v>7151</v>
      </c>
      <c r="AA5979" s="609"/>
    </row>
    <row r="5980" spans="1:27" ht="18">
      <c r="A5980" s="2712"/>
      <c r="B5980" s="371">
        <v>101</v>
      </c>
      <c r="C5980" s="371" t="s">
        <v>2791</v>
      </c>
      <c r="D5980" s="2714">
        <f t="shared" ref="D5980:D5995" si="639">IF(OR(G5980="*",G5980="",G5980=0),0,COUNTIF($G$5980:$G$5995,G5980))</f>
        <v>1</v>
      </c>
      <c r="E5980" s="2719">
        <v>1</v>
      </c>
      <c r="F5980" s="294"/>
      <c r="G5980" s="1561" t="s">
        <v>4748</v>
      </c>
      <c r="H5980" s="360" t="s">
        <v>4726</v>
      </c>
      <c r="I5980" s="309"/>
      <c r="J5980" s="388"/>
      <c r="K5980" s="291"/>
      <c r="L5980" s="291"/>
      <c r="M5980" s="291"/>
      <c r="S5980" s="364"/>
      <c r="Z5980" s="609">
        <v>7151</v>
      </c>
      <c r="AA5980" s="609"/>
    </row>
    <row r="5981" spans="1:27" ht="18">
      <c r="A5981" s="2712"/>
      <c r="B5981" s="371">
        <v>102</v>
      </c>
      <c r="C5981" s="371" t="s">
        <v>2791</v>
      </c>
      <c r="D5981" s="2714">
        <f t="shared" si="639"/>
        <v>1</v>
      </c>
      <c r="E5981" s="2719">
        <v>1</v>
      </c>
      <c r="F5981" s="294"/>
      <c r="G5981" s="1561" t="s">
        <v>4749</v>
      </c>
      <c r="H5981" s="360" t="s">
        <v>4726</v>
      </c>
      <c r="I5981" s="309"/>
      <c r="J5981" s="388"/>
      <c r="K5981" s="291"/>
      <c r="L5981" s="291"/>
      <c r="M5981" s="291"/>
      <c r="S5981" s="364"/>
      <c r="Z5981" s="609">
        <v>7151</v>
      </c>
      <c r="AA5981" s="609"/>
    </row>
    <row r="5982" spans="1:27" ht="18">
      <c r="A5982" s="2712"/>
      <c r="B5982" s="371">
        <v>103</v>
      </c>
      <c r="C5982" s="371" t="s">
        <v>2791</v>
      </c>
      <c r="D5982" s="2714">
        <f t="shared" si="639"/>
        <v>1</v>
      </c>
      <c r="E5982" s="2719">
        <v>1</v>
      </c>
      <c r="F5982" s="294"/>
      <c r="G5982" s="1561" t="s">
        <v>4750</v>
      </c>
      <c r="H5982" s="360" t="s">
        <v>4726</v>
      </c>
      <c r="I5982" s="309"/>
      <c r="J5982" s="388"/>
      <c r="K5982" s="291"/>
      <c r="L5982" s="291"/>
      <c r="M5982" s="291"/>
      <c r="S5982" s="364"/>
      <c r="Z5982" s="609">
        <v>7151</v>
      </c>
      <c r="AA5982" s="609"/>
    </row>
    <row r="5983" spans="1:27" ht="36">
      <c r="A5983" s="2712"/>
      <c r="B5983" s="371">
        <v>104</v>
      </c>
      <c r="C5983" s="371" t="s">
        <v>2791</v>
      </c>
      <c r="D5983" s="2714">
        <f t="shared" si="639"/>
        <v>1</v>
      </c>
      <c r="E5983" s="2719">
        <v>1</v>
      </c>
      <c r="F5983" s="294"/>
      <c r="G5983" s="1589" t="s">
        <v>5521</v>
      </c>
      <c r="H5983" s="360" t="s">
        <v>4726</v>
      </c>
      <c r="I5983" s="309"/>
      <c r="J5983" s="388"/>
      <c r="K5983" s="291"/>
      <c r="L5983" s="291"/>
      <c r="M5983" s="291"/>
      <c r="S5983" s="364"/>
      <c r="Z5983" s="609">
        <v>7151</v>
      </c>
      <c r="AA5983" s="609"/>
    </row>
    <row r="5984" spans="1:27" ht="18">
      <c r="A5984" s="2712"/>
      <c r="B5984" s="371">
        <v>105</v>
      </c>
      <c r="C5984" s="371" t="s">
        <v>2791</v>
      </c>
      <c r="D5984" s="2714">
        <f t="shared" si="639"/>
        <v>1</v>
      </c>
      <c r="E5984" s="2719">
        <v>1</v>
      </c>
      <c r="F5984" s="294"/>
      <c r="G5984" s="1561" t="s">
        <v>4751</v>
      </c>
      <c r="H5984" s="360" t="s">
        <v>4726</v>
      </c>
      <c r="I5984" s="309"/>
      <c r="J5984" s="388"/>
      <c r="K5984" s="291"/>
      <c r="L5984" s="291"/>
      <c r="M5984" s="291"/>
      <c r="S5984" s="364"/>
      <c r="Z5984" s="609">
        <v>7151</v>
      </c>
      <c r="AA5984" s="609"/>
    </row>
    <row r="5985" spans="1:27" ht="18">
      <c r="A5985" s="2712"/>
      <c r="B5985" s="371">
        <v>106</v>
      </c>
      <c r="C5985" s="371" t="s">
        <v>2791</v>
      </c>
      <c r="D5985" s="2714">
        <f t="shared" si="639"/>
        <v>1</v>
      </c>
      <c r="E5985" s="2719">
        <v>1</v>
      </c>
      <c r="F5985" s="294"/>
      <c r="G5985" s="1561" t="s">
        <v>4752</v>
      </c>
      <c r="H5985" s="360" t="s">
        <v>4726</v>
      </c>
      <c r="I5985" s="309"/>
      <c r="J5985" s="388"/>
      <c r="K5985" s="291"/>
      <c r="L5985" s="291"/>
      <c r="M5985" s="291"/>
      <c r="S5985" s="364"/>
      <c r="Z5985" s="609">
        <v>7151</v>
      </c>
      <c r="AA5985" s="609"/>
    </row>
    <row r="5986" spans="1:27" ht="18">
      <c r="A5986" s="2712"/>
      <c r="B5986" s="371">
        <v>107</v>
      </c>
      <c r="C5986" s="371" t="s">
        <v>2791</v>
      </c>
      <c r="D5986" s="2714">
        <f t="shared" si="639"/>
        <v>1</v>
      </c>
      <c r="E5986" s="2719">
        <v>1</v>
      </c>
      <c r="F5986" s="294"/>
      <c r="G5986" s="1561" t="s">
        <v>4753</v>
      </c>
      <c r="H5986" s="360" t="s">
        <v>4726</v>
      </c>
      <c r="I5986" s="309"/>
      <c r="J5986" s="388"/>
      <c r="K5986" s="291"/>
      <c r="L5986" s="291"/>
      <c r="M5986" s="291"/>
      <c r="S5986" s="364"/>
      <c r="Z5986" s="609">
        <v>7151</v>
      </c>
      <c r="AA5986" s="609"/>
    </row>
    <row r="5987" spans="1:27" ht="18">
      <c r="A5987" s="2712"/>
      <c r="B5987" s="371">
        <v>108</v>
      </c>
      <c r="C5987" s="371" t="s">
        <v>2791</v>
      </c>
      <c r="D5987" s="2714">
        <f t="shared" si="639"/>
        <v>1</v>
      </c>
      <c r="E5987" s="2719">
        <v>1</v>
      </c>
      <c r="F5987" s="294"/>
      <c r="G5987" s="1561" t="s">
        <v>4754</v>
      </c>
      <c r="H5987" s="360" t="s">
        <v>4726</v>
      </c>
      <c r="I5987" s="309"/>
      <c r="J5987" s="388"/>
      <c r="K5987" s="291"/>
      <c r="L5987" s="291"/>
      <c r="M5987" s="291"/>
      <c r="S5987" s="364"/>
      <c r="Z5987" s="609">
        <v>7151</v>
      </c>
      <c r="AA5987" s="609"/>
    </row>
    <row r="5988" spans="1:27" ht="24">
      <c r="A5988" s="2712"/>
      <c r="B5988" s="371">
        <v>109</v>
      </c>
      <c r="C5988" s="371" t="s">
        <v>2791</v>
      </c>
      <c r="D5988" s="2714">
        <f t="shared" si="639"/>
        <v>1</v>
      </c>
      <c r="E5988" s="2719">
        <v>-1</v>
      </c>
      <c r="F5988" s="294"/>
      <c r="G5988" s="1561" t="s">
        <v>4740</v>
      </c>
      <c r="H5988" s="360" t="s">
        <v>4741</v>
      </c>
      <c r="I5988" s="309"/>
      <c r="J5988" s="388"/>
      <c r="K5988" s="291"/>
      <c r="L5988" s="291"/>
      <c r="M5988" s="291"/>
      <c r="S5988" s="364"/>
      <c r="Z5988" s="609">
        <v>7151</v>
      </c>
      <c r="AA5988" s="609"/>
    </row>
    <row r="5989" spans="1:27" ht="24">
      <c r="A5989" s="2712"/>
      <c r="B5989" s="371">
        <v>110</v>
      </c>
      <c r="C5989" s="371" t="s">
        <v>2791</v>
      </c>
      <c r="D5989" s="2714">
        <f t="shared" si="639"/>
        <v>1</v>
      </c>
      <c r="E5989" s="2719">
        <v>-1</v>
      </c>
      <c r="F5989" s="294"/>
      <c r="G5989" s="1561" t="s">
        <v>4755</v>
      </c>
      <c r="H5989" s="360" t="s">
        <v>4741</v>
      </c>
      <c r="I5989" s="309"/>
      <c r="J5989" s="388"/>
      <c r="K5989" s="291"/>
      <c r="L5989" s="291"/>
      <c r="M5989" s="291"/>
      <c r="S5989" s="364"/>
      <c r="Z5989" s="609">
        <v>7151</v>
      </c>
      <c r="AA5989" s="609"/>
    </row>
    <row r="5990" spans="1:27" ht="24">
      <c r="A5990" s="2712"/>
      <c r="B5990" s="371">
        <v>111</v>
      </c>
      <c r="C5990" s="371" t="s">
        <v>2791</v>
      </c>
      <c r="D5990" s="2714">
        <f t="shared" si="639"/>
        <v>1</v>
      </c>
      <c r="E5990" s="2719">
        <v>-1</v>
      </c>
      <c r="F5990" s="294"/>
      <c r="G5990" s="1561" t="s">
        <v>4756</v>
      </c>
      <c r="H5990" s="360" t="s">
        <v>4741</v>
      </c>
      <c r="I5990" s="309"/>
      <c r="J5990" s="388"/>
      <c r="K5990" s="291"/>
      <c r="L5990" s="291"/>
      <c r="M5990" s="291"/>
      <c r="S5990" s="364"/>
      <c r="Z5990" s="609">
        <v>7151</v>
      </c>
      <c r="AA5990" s="609"/>
    </row>
    <row r="5991" spans="1:27" ht="24">
      <c r="A5991" s="2712"/>
      <c r="B5991" s="371">
        <v>112</v>
      </c>
      <c r="C5991" s="371" t="s">
        <v>2791</v>
      </c>
      <c r="D5991" s="2714">
        <f t="shared" si="639"/>
        <v>1</v>
      </c>
      <c r="E5991" s="2719">
        <v>-1</v>
      </c>
      <c r="F5991" s="294"/>
      <c r="G5991" s="1561" t="s">
        <v>4757</v>
      </c>
      <c r="H5991" s="360" t="s">
        <v>4741</v>
      </c>
      <c r="I5991" s="309"/>
      <c r="J5991" s="388"/>
      <c r="K5991" s="291"/>
      <c r="L5991" s="291"/>
      <c r="M5991" s="291"/>
      <c r="S5991" s="364"/>
      <c r="Z5991" s="609">
        <v>7151</v>
      </c>
      <c r="AA5991" s="609"/>
    </row>
    <row r="5992" spans="1:27" ht="24">
      <c r="A5992" s="2712"/>
      <c r="B5992" s="371">
        <v>113</v>
      </c>
      <c r="C5992" s="371" t="s">
        <v>2791</v>
      </c>
      <c r="D5992" s="2714">
        <f t="shared" si="639"/>
        <v>1</v>
      </c>
      <c r="E5992" s="2719">
        <v>-1</v>
      </c>
      <c r="F5992" s="294"/>
      <c r="G5992" s="1561" t="s">
        <v>4758</v>
      </c>
      <c r="H5992" s="360" t="s">
        <v>4741</v>
      </c>
      <c r="I5992" s="309"/>
      <c r="J5992" s="388"/>
      <c r="K5992" s="291"/>
      <c r="L5992" s="291"/>
      <c r="M5992" s="291"/>
      <c r="S5992" s="364"/>
      <c r="Z5992" s="609">
        <v>7151</v>
      </c>
      <c r="AA5992" s="609"/>
    </row>
    <row r="5993" spans="1:27" ht="18">
      <c r="A5993" s="2712"/>
      <c r="B5993" s="371">
        <v>114</v>
      </c>
      <c r="C5993" s="371" t="s">
        <v>2791</v>
      </c>
      <c r="D5993" s="2714">
        <f t="shared" si="639"/>
        <v>1</v>
      </c>
      <c r="E5993" s="2719">
        <v>1</v>
      </c>
      <c r="F5993" s="294"/>
      <c r="G5993" s="1561" t="s">
        <v>932</v>
      </c>
      <c r="H5993" s="360" t="s">
        <v>4726</v>
      </c>
      <c r="I5993" s="309"/>
      <c r="J5993" s="388"/>
      <c r="K5993" s="291"/>
      <c r="L5993" s="291"/>
      <c r="M5993" s="291"/>
      <c r="S5993" s="364"/>
      <c r="Z5993" s="609">
        <v>7151</v>
      </c>
      <c r="AA5993" s="609"/>
    </row>
    <row r="5994" spans="1:27" ht="18">
      <c r="A5994" s="2712"/>
      <c r="B5994" s="371">
        <v>115</v>
      </c>
      <c r="C5994" s="371" t="s">
        <v>2791</v>
      </c>
      <c r="D5994" s="2714">
        <f t="shared" si="639"/>
        <v>0</v>
      </c>
      <c r="E5994" s="2719">
        <v>1</v>
      </c>
      <c r="F5994" s="294"/>
      <c r="G5994" s="1561" t="s">
        <v>2792</v>
      </c>
      <c r="H5994" s="360"/>
      <c r="I5994" s="309"/>
      <c r="J5994" s="388"/>
      <c r="K5994" s="291"/>
      <c r="L5994" s="291"/>
      <c r="M5994" s="291"/>
      <c r="S5994" s="364"/>
      <c r="Z5994" s="609">
        <v>7151</v>
      </c>
      <c r="AA5994" s="609"/>
    </row>
    <row r="5995" spans="1:27" ht="18.75" thickBot="1">
      <c r="A5995" s="2712"/>
      <c r="B5995" s="371"/>
      <c r="C5995" s="371"/>
      <c r="D5995" s="2714">
        <f t="shared" si="639"/>
        <v>1</v>
      </c>
      <c r="E5995" s="2719" t="s">
        <v>2751</v>
      </c>
      <c r="F5995" s="294"/>
      <c r="G5995" s="1527" t="s">
        <v>2752</v>
      </c>
      <c r="H5995" s="1568"/>
      <c r="I5995" s="1525">
        <f>SUMPRODUCT($E5979:$E5994,I5979:I5994)</f>
        <v>0</v>
      </c>
      <c r="J5995" s="1569"/>
      <c r="K5995" s="291"/>
      <c r="L5995" s="291"/>
      <c r="M5995" s="291"/>
      <c r="S5995" s="364"/>
      <c r="Z5995" s="609">
        <v>7151</v>
      </c>
      <c r="AA5995" s="609"/>
    </row>
    <row r="5996" spans="1:27" ht="18">
      <c r="A5996" s="2712"/>
      <c r="B5996" s="371"/>
      <c r="C5996" s="371" t="s">
        <v>2755</v>
      </c>
      <c r="D5996" s="371"/>
      <c r="F5996" s="294"/>
      <c r="G5996" s="301"/>
      <c r="H5996" s="393"/>
      <c r="I5996" s="315"/>
      <c r="J5996" s="393"/>
      <c r="K5996" s="291"/>
      <c r="L5996" s="291"/>
      <c r="M5996" s="291"/>
      <c r="S5996" s="364"/>
      <c r="Z5996" s="609">
        <v>7151</v>
      </c>
      <c r="AA5996" s="609"/>
    </row>
    <row r="5997" spans="1:27" ht="18">
      <c r="A5997" s="2712">
        <v>7161</v>
      </c>
      <c r="B5997" s="371">
        <v>78.790000000000006</v>
      </c>
      <c r="C5997" s="2714" t="str">
        <f>VLOOKUP($A5997,Sheet_Items,2,0)</f>
        <v>投资支付的现金</v>
      </c>
      <c r="D5997" s="371"/>
      <c r="E5997" s="2714" t="s">
        <v>2739</v>
      </c>
      <c r="F5997" s="294"/>
      <c r="G5997" s="536" t="str">
        <f>B5997&amp;" "&amp;C5997</f>
        <v>78.79 投资支付的现金</v>
      </c>
      <c r="H5997" s="322"/>
      <c r="I5997" s="322"/>
      <c r="J5997" s="306" t="s">
        <v>4206</v>
      </c>
      <c r="K5997" s="341">
        <f>VLOOKUP($A5997,Sheet_Trialbal,6,0)</f>
        <v>0</v>
      </c>
      <c r="L5997" s="342"/>
      <c r="M5997" s="306"/>
      <c r="N5997" s="341"/>
      <c r="O5997" s="306"/>
      <c r="P5997" s="301"/>
      <c r="S5997" s="364"/>
      <c r="Z5997" s="609">
        <v>7161</v>
      </c>
      <c r="AA5997" s="609"/>
    </row>
    <row r="5998" spans="1:27" ht="18">
      <c r="A5998" s="2712" t="s">
        <v>1975</v>
      </c>
      <c r="B5998" s="371">
        <v>1</v>
      </c>
      <c r="C5998" s="371"/>
      <c r="D5998" s="2714" t="str">
        <f>VLOOKUP($A5998,Sheet_NoteList,2,0)</f>
        <v>投资支付的现金计算表</v>
      </c>
      <c r="E5998" s="2714" t="s">
        <v>2742</v>
      </c>
      <c r="F5998" s="294"/>
      <c r="G5998" s="483" t="str">
        <f>"("&amp;B5998&amp;")"&amp;D5998</f>
        <v>(1)投资支付的现金计算表</v>
      </c>
      <c r="H5998" s="1515" t="str">
        <f>$A5998</f>
        <v>7161x</v>
      </c>
      <c r="I5998" s="343" t="s">
        <v>2743</v>
      </c>
      <c r="J5998" s="301" t="s">
        <v>4712</v>
      </c>
      <c r="K5998" s="2208">
        <f>I6006</f>
        <v>0</v>
      </c>
      <c r="L5998" s="345" t="str">
        <f>IF(ROUND(K5997-K5998,2)=0,"F/S",ROUND(K5997-K5998,2))</f>
        <v>F/S</v>
      </c>
      <c r="M5998" s="532" t="s">
        <v>4713</v>
      </c>
      <c r="N5998" s="3083"/>
      <c r="O5998" s="315"/>
      <c r="P5998" s="301"/>
      <c r="S5998" s="364"/>
      <c r="Z5998" s="609">
        <v>7161</v>
      </c>
      <c r="AA5998" s="609"/>
    </row>
    <row r="5999" spans="1:27" ht="0.75" customHeight="1" thickBot="1">
      <c r="A5999" s="2712"/>
      <c r="B5999" s="371"/>
      <c r="C5999" s="371"/>
      <c r="D5999" s="371"/>
      <c r="F5999" s="371"/>
      <c r="G5999" s="371" t="s">
        <v>4759</v>
      </c>
      <c r="H5999" s="371" t="s">
        <v>4715</v>
      </c>
      <c r="I5999" s="371" t="s">
        <v>4716</v>
      </c>
      <c r="J5999" s="371" t="s">
        <v>3671</v>
      </c>
      <c r="K5999" s="291"/>
      <c r="L5999" s="291"/>
      <c r="M5999" s="291"/>
      <c r="S5999" s="364"/>
      <c r="Z5999" s="609">
        <v>7161</v>
      </c>
      <c r="AA5999" s="609"/>
    </row>
    <row r="6000" spans="1:27" ht="18">
      <c r="A6000" s="2712"/>
      <c r="B6000" s="371"/>
      <c r="C6000" s="371"/>
      <c r="D6000" s="371"/>
      <c r="E6000" s="2714" t="s">
        <v>2749</v>
      </c>
      <c r="F6000" s="294"/>
      <c r="G6000" s="1562" t="s">
        <v>47</v>
      </c>
      <c r="H6000" s="1563" t="s">
        <v>4717</v>
      </c>
      <c r="I6000" s="1563" t="s">
        <v>2887</v>
      </c>
      <c r="J6000" s="1564" t="s">
        <v>2758</v>
      </c>
      <c r="K6000" s="291"/>
      <c r="L6000" s="291"/>
      <c r="M6000" s="291"/>
      <c r="S6000" s="364"/>
      <c r="Z6000" s="609">
        <v>7161</v>
      </c>
      <c r="AA6000" s="609"/>
    </row>
    <row r="6001" spans="1:27" ht="18">
      <c r="A6001" s="2712"/>
      <c r="B6001" s="371">
        <v>101</v>
      </c>
      <c r="C6001" s="371" t="s">
        <v>2791</v>
      </c>
      <c r="D6001" s="2714">
        <f t="shared" ref="D6001:D6006" si="640">IF(OR(G6001="*",G6001="",G6001=0),0,COUNTIF($G$6001:$G$6006,G6001))</f>
        <v>1</v>
      </c>
      <c r="E6001" s="2719">
        <v>1</v>
      </c>
      <c r="F6001" s="294"/>
      <c r="G6001" s="1561" t="s">
        <v>4760</v>
      </c>
      <c r="H6001" s="360" t="s">
        <v>4726</v>
      </c>
      <c r="I6001" s="309"/>
      <c r="J6001" s="388"/>
      <c r="K6001" s="291"/>
      <c r="L6001" s="291"/>
      <c r="M6001" s="291"/>
      <c r="S6001" s="364"/>
      <c r="Z6001" s="609">
        <v>7161</v>
      </c>
      <c r="AA6001" s="609"/>
    </row>
    <row r="6002" spans="1:27" ht="18">
      <c r="A6002" s="2712"/>
      <c r="B6002" s="371">
        <v>102</v>
      </c>
      <c r="C6002" s="371" t="s">
        <v>2791</v>
      </c>
      <c r="D6002" s="2714">
        <f t="shared" si="640"/>
        <v>1</v>
      </c>
      <c r="E6002" s="2719">
        <v>1</v>
      </c>
      <c r="F6002" s="294"/>
      <c r="G6002" s="1561" t="s">
        <v>4761</v>
      </c>
      <c r="H6002" s="360" t="s">
        <v>4726</v>
      </c>
      <c r="I6002" s="309"/>
      <c r="J6002" s="388"/>
      <c r="K6002" s="291"/>
      <c r="L6002" s="291"/>
      <c r="M6002" s="291"/>
      <c r="S6002" s="364"/>
      <c r="Z6002" s="609">
        <v>7161</v>
      </c>
      <c r="AA6002" s="609"/>
    </row>
    <row r="6003" spans="1:27" ht="18">
      <c r="A6003" s="2712"/>
      <c r="B6003" s="371">
        <v>103</v>
      </c>
      <c r="C6003" s="371" t="s">
        <v>2791</v>
      </c>
      <c r="D6003" s="2714">
        <f t="shared" si="640"/>
        <v>1</v>
      </c>
      <c r="E6003" s="2719">
        <v>1</v>
      </c>
      <c r="F6003" s="294"/>
      <c r="G6003" s="1561" t="s">
        <v>4762</v>
      </c>
      <c r="H6003" s="360" t="s">
        <v>4726</v>
      </c>
      <c r="I6003" s="309"/>
      <c r="J6003" s="388"/>
      <c r="K6003" s="291"/>
      <c r="L6003" s="291"/>
      <c r="M6003" s="291"/>
      <c r="S6003" s="364"/>
      <c r="Z6003" s="609">
        <v>7161</v>
      </c>
      <c r="AA6003" s="609"/>
    </row>
    <row r="6004" spans="1:27" ht="18">
      <c r="A6004" s="2712"/>
      <c r="B6004" s="371">
        <v>104</v>
      </c>
      <c r="C6004" s="371" t="s">
        <v>2791</v>
      </c>
      <c r="D6004" s="2714">
        <f t="shared" si="640"/>
        <v>1</v>
      </c>
      <c r="E6004" s="2719">
        <v>1</v>
      </c>
      <c r="F6004" s="294"/>
      <c r="G6004" s="1561" t="s">
        <v>4729</v>
      </c>
      <c r="H6004" s="360" t="s">
        <v>4726</v>
      </c>
      <c r="I6004" s="309"/>
      <c r="J6004" s="388"/>
      <c r="K6004" s="291"/>
      <c r="L6004" s="291"/>
      <c r="M6004" s="291"/>
      <c r="S6004" s="364"/>
      <c r="Z6004" s="609">
        <v>7161</v>
      </c>
      <c r="AA6004" s="609"/>
    </row>
    <row r="6005" spans="1:27" ht="18">
      <c r="A6005" s="2712"/>
      <c r="B6005" s="371">
        <v>105</v>
      </c>
      <c r="C6005" s="371" t="s">
        <v>2791</v>
      </c>
      <c r="D6005" s="2714">
        <f t="shared" si="640"/>
        <v>0</v>
      </c>
      <c r="E6005" s="2719">
        <v>1</v>
      </c>
      <c r="F6005" s="294"/>
      <c r="G6005" s="1561" t="s">
        <v>2792</v>
      </c>
      <c r="H6005" s="360"/>
      <c r="I6005" s="309"/>
      <c r="J6005" s="388"/>
      <c r="K6005" s="291"/>
      <c r="L6005" s="291"/>
      <c r="M6005" s="291"/>
      <c r="S6005" s="364"/>
      <c r="Z6005" s="609">
        <v>7161</v>
      </c>
      <c r="AA6005" s="609"/>
    </row>
    <row r="6006" spans="1:27" ht="18.75" thickBot="1">
      <c r="A6006" s="2712"/>
      <c r="B6006" s="371"/>
      <c r="C6006" s="371"/>
      <c r="D6006" s="2714">
        <f t="shared" si="640"/>
        <v>1</v>
      </c>
      <c r="E6006" s="2719" t="s">
        <v>2751</v>
      </c>
      <c r="F6006" s="294"/>
      <c r="G6006" s="1527" t="s">
        <v>2752</v>
      </c>
      <c r="H6006" s="1568"/>
      <c r="I6006" s="1525">
        <f>SUMPRODUCT($E6000:$E6005,I6000:I6005)</f>
        <v>0</v>
      </c>
      <c r="J6006" s="1569"/>
      <c r="K6006" s="291"/>
      <c r="L6006" s="291"/>
      <c r="M6006" s="291"/>
      <c r="S6006" s="364"/>
      <c r="Z6006" s="609">
        <v>7161</v>
      </c>
      <c r="AA6006" s="609"/>
    </row>
    <row r="6007" spans="1:27" ht="18">
      <c r="A6007" s="2712"/>
      <c r="B6007" s="371"/>
      <c r="C6007" s="371" t="s">
        <v>2755</v>
      </c>
      <c r="D6007" s="371"/>
      <c r="F6007" s="294"/>
      <c r="G6007" s="301"/>
      <c r="H6007" s="393"/>
      <c r="I6007" s="315"/>
      <c r="J6007" s="393"/>
      <c r="K6007" s="291"/>
      <c r="L6007" s="291"/>
      <c r="M6007" s="291"/>
      <c r="S6007" s="364"/>
      <c r="Z6007" s="609">
        <v>7161</v>
      </c>
      <c r="AA6007" s="609"/>
    </row>
    <row r="6008" spans="1:27" ht="18">
      <c r="A6008" s="2712">
        <v>7211</v>
      </c>
      <c r="B6008" s="371">
        <v>78.81</v>
      </c>
      <c r="C6008" s="2714" t="str">
        <f>VLOOKUP($A6008,Sheet_Items,2,0)</f>
        <v>取得借款收到的现金</v>
      </c>
      <c r="D6008" s="371"/>
      <c r="E6008" s="2714" t="s">
        <v>2739</v>
      </c>
      <c r="F6008" s="294"/>
      <c r="G6008" s="536" t="str">
        <f>B6008&amp;" "&amp;C6008</f>
        <v>78.81 取得借款收到的现金</v>
      </c>
      <c r="H6008" s="322"/>
      <c r="I6008" s="322"/>
      <c r="J6008" s="306" t="s">
        <v>4206</v>
      </c>
      <c r="K6008" s="341">
        <f>VLOOKUP($A6008,Sheet_Trialbal,6,0)</f>
        <v>0</v>
      </c>
      <c r="L6008" s="342"/>
      <c r="M6008" s="306"/>
      <c r="N6008" s="341"/>
      <c r="O6008" s="306"/>
      <c r="P6008" s="301"/>
      <c r="S6008" s="364"/>
      <c r="Z6008" s="609">
        <v>7211</v>
      </c>
      <c r="AA6008" s="609"/>
    </row>
    <row r="6009" spans="1:27" ht="24">
      <c r="A6009" s="2712" t="s">
        <v>1980</v>
      </c>
      <c r="B6009" s="371">
        <v>1</v>
      </c>
      <c r="C6009" s="371"/>
      <c r="D6009" s="2714" t="str">
        <f>VLOOKUP($A6009,Sheet_NoteList,2,0)</f>
        <v>取得借款收到的现金计算表</v>
      </c>
      <c r="E6009" s="2714" t="s">
        <v>2742</v>
      </c>
      <c r="F6009" s="294"/>
      <c r="G6009" s="483" t="str">
        <f>"("&amp;B6009&amp;")"&amp;D6009</f>
        <v>(1)取得借款收到的现金计算表</v>
      </c>
      <c r="H6009" s="1515" t="str">
        <f>$A6009</f>
        <v>7211x</v>
      </c>
      <c r="I6009" s="343" t="s">
        <v>2743</v>
      </c>
      <c r="J6009" s="301" t="s">
        <v>4712</v>
      </c>
      <c r="K6009" s="2208">
        <f>I6018</f>
        <v>0</v>
      </c>
      <c r="L6009" s="345" t="str">
        <f>IF(ROUND(K6008-K6009,2)=0,"F/S",ROUND(K6008-K6009,2))</f>
        <v>F/S</v>
      </c>
      <c r="M6009" s="532" t="s">
        <v>4713</v>
      </c>
      <c r="N6009" s="3083"/>
      <c r="O6009" s="315"/>
      <c r="P6009" s="301"/>
      <c r="S6009" s="364"/>
      <c r="Z6009" s="609">
        <v>7211</v>
      </c>
      <c r="AA6009" s="609"/>
    </row>
    <row r="6010" spans="1:27" ht="0.75" customHeight="1" thickBot="1">
      <c r="A6010" s="2712"/>
      <c r="B6010" s="371"/>
      <c r="C6010" s="371"/>
      <c r="D6010" s="371"/>
      <c r="F6010" s="371"/>
      <c r="G6010" s="371" t="s">
        <v>4763</v>
      </c>
      <c r="H6010" s="371" t="s">
        <v>4715</v>
      </c>
      <c r="I6010" s="371" t="s">
        <v>4716</v>
      </c>
      <c r="J6010" s="371" t="s">
        <v>3671</v>
      </c>
      <c r="K6010" s="291"/>
      <c r="L6010" s="291"/>
      <c r="M6010" s="291"/>
      <c r="S6010" s="364"/>
      <c r="Z6010" s="609">
        <v>7211</v>
      </c>
      <c r="AA6010" s="609"/>
    </row>
    <row r="6011" spans="1:27" ht="18">
      <c r="A6011" s="2712"/>
      <c r="B6011" s="371"/>
      <c r="C6011" s="371"/>
      <c r="D6011" s="371"/>
      <c r="E6011" s="2714" t="s">
        <v>2749</v>
      </c>
      <c r="F6011" s="294"/>
      <c r="G6011" s="1562" t="s">
        <v>47</v>
      </c>
      <c r="H6011" s="1563" t="s">
        <v>4717</v>
      </c>
      <c r="I6011" s="1563" t="s">
        <v>2887</v>
      </c>
      <c r="J6011" s="1564" t="s">
        <v>2758</v>
      </c>
      <c r="K6011" s="291"/>
      <c r="L6011" s="291"/>
      <c r="M6011" s="291"/>
      <c r="S6011" s="364"/>
      <c r="Z6011" s="609">
        <v>7211</v>
      </c>
      <c r="AA6011" s="609"/>
    </row>
    <row r="6012" spans="1:27" ht="18">
      <c r="A6012" s="2712"/>
      <c r="B6012" s="371">
        <v>101</v>
      </c>
      <c r="C6012" s="371" t="s">
        <v>2791</v>
      </c>
      <c r="D6012" s="2714">
        <f t="shared" ref="D6012:D6018" si="641">IF(OR(G6012="*",G6012="",G6012=0),0,COUNTIF($G$6012:$G$6018,G6012))</f>
        <v>1</v>
      </c>
      <c r="E6012" s="2719">
        <v>1</v>
      </c>
      <c r="F6012" s="294"/>
      <c r="G6012" s="1561" t="s">
        <v>4764</v>
      </c>
      <c r="H6012" s="360" t="s">
        <v>4726</v>
      </c>
      <c r="I6012" s="309"/>
      <c r="J6012" s="388"/>
      <c r="K6012" s="291"/>
      <c r="L6012" s="291"/>
      <c r="M6012" s="291"/>
      <c r="S6012" s="364"/>
      <c r="Z6012" s="609">
        <v>7211</v>
      </c>
      <c r="AA6012" s="609"/>
    </row>
    <row r="6013" spans="1:27" ht="18">
      <c r="A6013" s="2712"/>
      <c r="B6013" s="371">
        <v>102</v>
      </c>
      <c r="C6013" s="371" t="s">
        <v>2791</v>
      </c>
      <c r="D6013" s="2714">
        <f t="shared" si="641"/>
        <v>1</v>
      </c>
      <c r="E6013" s="2719">
        <v>1</v>
      </c>
      <c r="F6013" s="294"/>
      <c r="G6013" s="1561" t="s">
        <v>4765</v>
      </c>
      <c r="H6013" s="360" t="s">
        <v>4726</v>
      </c>
      <c r="I6013" s="309"/>
      <c r="J6013" s="388"/>
      <c r="K6013" s="291"/>
      <c r="L6013" s="291"/>
      <c r="M6013" s="291"/>
      <c r="S6013" s="364"/>
      <c r="Z6013" s="609">
        <v>7211</v>
      </c>
      <c r="AA6013" s="609"/>
    </row>
    <row r="6014" spans="1:27" ht="18">
      <c r="A6014" s="2712"/>
      <c r="B6014" s="371">
        <v>103</v>
      </c>
      <c r="C6014" s="371" t="s">
        <v>2791</v>
      </c>
      <c r="D6014" s="2714">
        <f t="shared" si="641"/>
        <v>1</v>
      </c>
      <c r="E6014" s="2719">
        <v>1</v>
      </c>
      <c r="F6014" s="294"/>
      <c r="G6014" s="1561" t="s">
        <v>4766</v>
      </c>
      <c r="H6014" s="360" t="s">
        <v>4726</v>
      </c>
      <c r="I6014" s="309"/>
      <c r="J6014" s="388"/>
      <c r="K6014" s="291"/>
      <c r="L6014" s="291"/>
      <c r="M6014" s="291"/>
      <c r="S6014" s="364"/>
      <c r="Z6014" s="609">
        <v>7211</v>
      </c>
      <c r="AA6014" s="609"/>
    </row>
    <row r="6015" spans="1:27" ht="18">
      <c r="A6015" s="2712"/>
      <c r="B6015" s="371">
        <v>104</v>
      </c>
      <c r="C6015" s="371" t="s">
        <v>2791</v>
      </c>
      <c r="D6015" s="2714">
        <f t="shared" si="641"/>
        <v>1</v>
      </c>
      <c r="E6015" s="2719">
        <v>1</v>
      </c>
      <c r="F6015" s="294"/>
      <c r="G6015" s="1561" t="s">
        <v>4767</v>
      </c>
      <c r="H6015" s="360" t="s">
        <v>4726</v>
      </c>
      <c r="I6015" s="309"/>
      <c r="J6015" s="388"/>
      <c r="K6015" s="291"/>
      <c r="L6015" s="291"/>
      <c r="M6015" s="291"/>
      <c r="S6015" s="364"/>
      <c r="Z6015" s="609">
        <v>7211</v>
      </c>
      <c r="AA6015" s="609"/>
    </row>
    <row r="6016" spans="1:27" ht="24">
      <c r="A6016" s="2712"/>
      <c r="B6016" s="371">
        <v>105</v>
      </c>
      <c r="C6016" s="371" t="s">
        <v>2791</v>
      </c>
      <c r="D6016" s="2714">
        <f t="shared" si="641"/>
        <v>1</v>
      </c>
      <c r="E6016" s="2719">
        <v>1</v>
      </c>
      <c r="F6016" s="294"/>
      <c r="G6016" s="1561" t="s">
        <v>4768</v>
      </c>
      <c r="H6016" s="360" t="s">
        <v>4726</v>
      </c>
      <c r="I6016" s="309"/>
      <c r="J6016" s="388"/>
      <c r="K6016" s="291"/>
      <c r="L6016" s="291"/>
      <c r="M6016" s="291"/>
      <c r="S6016" s="364"/>
      <c r="Z6016" s="609">
        <v>7211</v>
      </c>
      <c r="AA6016" s="609"/>
    </row>
    <row r="6017" spans="1:27" ht="18">
      <c r="A6017" s="2712"/>
      <c r="B6017" s="371">
        <v>106</v>
      </c>
      <c r="C6017" s="371" t="s">
        <v>2791</v>
      </c>
      <c r="D6017" s="2714">
        <f t="shared" si="641"/>
        <v>0</v>
      </c>
      <c r="E6017" s="2719">
        <v>1</v>
      </c>
      <c r="F6017" s="294"/>
      <c r="G6017" s="1561" t="s">
        <v>2792</v>
      </c>
      <c r="H6017" s="360"/>
      <c r="I6017" s="309"/>
      <c r="J6017" s="388"/>
      <c r="K6017" s="291"/>
      <c r="L6017" s="291"/>
      <c r="M6017" s="291"/>
      <c r="S6017" s="364"/>
      <c r="Z6017" s="609">
        <v>7211</v>
      </c>
      <c r="AA6017" s="609"/>
    </row>
    <row r="6018" spans="1:27" ht="18.75" thickBot="1">
      <c r="A6018" s="2712"/>
      <c r="B6018" s="371"/>
      <c r="C6018" s="371"/>
      <c r="D6018" s="2714">
        <f t="shared" si="641"/>
        <v>1</v>
      </c>
      <c r="E6018" s="2719" t="s">
        <v>2751</v>
      </c>
      <c r="F6018" s="294"/>
      <c r="G6018" s="1527" t="s">
        <v>2752</v>
      </c>
      <c r="H6018" s="1568"/>
      <c r="I6018" s="1525">
        <f>SUMPRODUCT($E6011:$E6017,I6011:I6017)</f>
        <v>0</v>
      </c>
      <c r="J6018" s="1569"/>
      <c r="K6018" s="291"/>
      <c r="L6018" s="291"/>
      <c r="M6018" s="291"/>
      <c r="S6018" s="364"/>
      <c r="Z6018" s="609">
        <v>7211</v>
      </c>
      <c r="AA6018" s="609"/>
    </row>
    <row r="6019" spans="1:27" ht="18">
      <c r="A6019" s="2712"/>
      <c r="B6019" s="371"/>
      <c r="C6019" s="371" t="s">
        <v>2755</v>
      </c>
      <c r="D6019" s="371"/>
      <c r="F6019" s="294"/>
      <c r="G6019" s="301"/>
      <c r="H6019" s="393"/>
      <c r="I6019" s="315"/>
      <c r="J6019" s="393"/>
      <c r="K6019" s="291"/>
      <c r="L6019" s="291"/>
      <c r="M6019" s="291"/>
      <c r="S6019" s="364"/>
      <c r="Z6019" s="609">
        <v>7211</v>
      </c>
      <c r="AA6019" s="609"/>
    </row>
    <row r="6020" spans="1:27" ht="18">
      <c r="A6020" s="2712">
        <v>7251</v>
      </c>
      <c r="B6020" s="371">
        <v>78.819999999999993</v>
      </c>
      <c r="C6020" s="2714" t="str">
        <f>VLOOKUP($A6020,Sheet_Items,2,0)</f>
        <v>偿还债务支付的现金</v>
      </c>
      <c r="D6020" s="371"/>
      <c r="E6020" s="2714" t="s">
        <v>2739</v>
      </c>
      <c r="F6020" s="294"/>
      <c r="G6020" s="536" t="str">
        <f>B6020&amp;" "&amp;C6020</f>
        <v>78.82 偿还债务支付的现金</v>
      </c>
      <c r="H6020" s="322"/>
      <c r="I6020" s="322"/>
      <c r="J6020" s="306" t="s">
        <v>4206</v>
      </c>
      <c r="K6020" s="341">
        <f>VLOOKUP($A6020,Sheet_Trialbal,6,0)</f>
        <v>0</v>
      </c>
      <c r="L6020" s="342"/>
      <c r="M6020" s="306"/>
      <c r="N6020" s="341"/>
      <c r="O6020" s="306"/>
      <c r="P6020" s="301"/>
      <c r="S6020" s="364"/>
      <c r="Z6020" s="609">
        <v>7251</v>
      </c>
      <c r="AA6020" s="609"/>
    </row>
    <row r="6021" spans="1:27" ht="24">
      <c r="A6021" s="2712" t="s">
        <v>1986</v>
      </c>
      <c r="B6021" s="371">
        <v>1</v>
      </c>
      <c r="C6021" s="371"/>
      <c r="D6021" s="2714" t="str">
        <f>VLOOKUP($A6021,Sheet_NoteList,2,0)</f>
        <v>偿还债务支付的现金计算表</v>
      </c>
      <c r="E6021" s="2714" t="s">
        <v>2742</v>
      </c>
      <c r="F6021" s="294"/>
      <c r="G6021" s="483" t="str">
        <f>"("&amp;B6021&amp;")"&amp;D6021</f>
        <v>(1)偿还债务支付的现金计算表</v>
      </c>
      <c r="H6021" s="1515" t="str">
        <f>$A6021</f>
        <v>7251x</v>
      </c>
      <c r="I6021" s="343" t="s">
        <v>2743</v>
      </c>
      <c r="J6021" s="301" t="s">
        <v>4712</v>
      </c>
      <c r="K6021" s="2208">
        <f>I6030</f>
        <v>0</v>
      </c>
      <c r="L6021" s="345" t="str">
        <f>IF(ROUND(K6020-K6021,2)=0,"F/S",ROUND(K6020-K6021,2))</f>
        <v>F/S</v>
      </c>
      <c r="M6021" s="532" t="s">
        <v>4713</v>
      </c>
      <c r="N6021" s="3083"/>
      <c r="O6021" s="315"/>
      <c r="P6021" s="301"/>
      <c r="S6021" s="364"/>
      <c r="Z6021" s="609">
        <v>7251</v>
      </c>
      <c r="AA6021" s="609"/>
    </row>
    <row r="6022" spans="1:27" ht="0.75" customHeight="1" thickBot="1">
      <c r="A6022" s="2712"/>
      <c r="B6022" s="371"/>
      <c r="C6022" s="371"/>
      <c r="D6022" s="371"/>
      <c r="F6022" s="371"/>
      <c r="G6022" s="371" t="s">
        <v>4769</v>
      </c>
      <c r="H6022" s="371" t="s">
        <v>4715</v>
      </c>
      <c r="I6022" s="371" t="s">
        <v>4716</v>
      </c>
      <c r="J6022" s="371" t="s">
        <v>3671</v>
      </c>
      <c r="K6022" s="291"/>
      <c r="L6022" s="291"/>
      <c r="M6022" s="291"/>
      <c r="S6022" s="364"/>
      <c r="Z6022" s="609">
        <v>7251</v>
      </c>
      <c r="AA6022" s="609"/>
    </row>
    <row r="6023" spans="1:27" ht="18">
      <c r="A6023" s="2712"/>
      <c r="B6023" s="371"/>
      <c r="C6023" s="371"/>
      <c r="D6023" s="371"/>
      <c r="E6023" s="2714" t="s">
        <v>2749</v>
      </c>
      <c r="F6023" s="294"/>
      <c r="G6023" s="1562" t="s">
        <v>47</v>
      </c>
      <c r="H6023" s="1563" t="s">
        <v>4717</v>
      </c>
      <c r="I6023" s="1563" t="s">
        <v>2887</v>
      </c>
      <c r="J6023" s="1564" t="s">
        <v>2758</v>
      </c>
      <c r="K6023" s="291"/>
      <c r="L6023" s="291"/>
      <c r="M6023" s="291"/>
      <c r="S6023" s="364"/>
      <c r="Z6023" s="609">
        <v>7251</v>
      </c>
      <c r="AA6023" s="609"/>
    </row>
    <row r="6024" spans="1:27" ht="18">
      <c r="A6024" s="2712"/>
      <c r="B6024" s="371">
        <v>101</v>
      </c>
      <c r="C6024" s="371" t="s">
        <v>2791</v>
      </c>
      <c r="D6024" s="2714">
        <f t="shared" ref="D6024:D6030" si="642">IF(OR(G6024="*",G6024="",G6024=0),0,COUNTIF($G$6024:$G$6030,G6024))</f>
        <v>1</v>
      </c>
      <c r="E6024" s="2719">
        <v>1</v>
      </c>
      <c r="F6024" s="294"/>
      <c r="G6024" s="1561" t="s">
        <v>4770</v>
      </c>
      <c r="H6024" s="360" t="s">
        <v>4726</v>
      </c>
      <c r="I6024" s="309"/>
      <c r="J6024" s="388"/>
      <c r="K6024" s="291"/>
      <c r="L6024" s="291"/>
      <c r="M6024" s="291"/>
      <c r="S6024" s="364"/>
      <c r="Z6024" s="609">
        <v>7251</v>
      </c>
      <c r="AA6024" s="609"/>
    </row>
    <row r="6025" spans="1:27" ht="18">
      <c r="A6025" s="2712"/>
      <c r="B6025" s="371">
        <v>102</v>
      </c>
      <c r="C6025" s="371" t="s">
        <v>2791</v>
      </c>
      <c r="D6025" s="2714">
        <f t="shared" si="642"/>
        <v>1</v>
      </c>
      <c r="E6025" s="2719">
        <v>1</v>
      </c>
      <c r="F6025" s="294"/>
      <c r="G6025" s="1561" t="s">
        <v>4771</v>
      </c>
      <c r="H6025" s="360" t="s">
        <v>4726</v>
      </c>
      <c r="I6025" s="309"/>
      <c r="J6025" s="388"/>
      <c r="K6025" s="291"/>
      <c r="L6025" s="291"/>
      <c r="M6025" s="291"/>
      <c r="S6025" s="364"/>
      <c r="Z6025" s="609">
        <v>7251</v>
      </c>
      <c r="AA6025" s="609"/>
    </row>
    <row r="6026" spans="1:27" ht="18">
      <c r="A6026" s="2712"/>
      <c r="B6026" s="371">
        <v>103</v>
      </c>
      <c r="C6026" s="371" t="s">
        <v>2791</v>
      </c>
      <c r="D6026" s="2714">
        <f t="shared" si="642"/>
        <v>1</v>
      </c>
      <c r="E6026" s="2719">
        <v>1</v>
      </c>
      <c r="F6026" s="294"/>
      <c r="G6026" s="1561" t="s">
        <v>4772</v>
      </c>
      <c r="H6026" s="360" t="s">
        <v>4726</v>
      </c>
      <c r="I6026" s="309"/>
      <c r="J6026" s="388"/>
      <c r="K6026" s="291"/>
      <c r="L6026" s="291"/>
      <c r="M6026" s="291"/>
      <c r="S6026" s="364"/>
      <c r="Z6026" s="609">
        <v>7251</v>
      </c>
      <c r="AA6026" s="609"/>
    </row>
    <row r="6027" spans="1:27" ht="18">
      <c r="A6027" s="2712"/>
      <c r="B6027" s="371">
        <v>104</v>
      </c>
      <c r="C6027" s="371" t="s">
        <v>2791</v>
      </c>
      <c r="D6027" s="2714">
        <f t="shared" si="642"/>
        <v>1</v>
      </c>
      <c r="E6027" s="2719">
        <v>1</v>
      </c>
      <c r="F6027" s="294"/>
      <c r="G6027" s="1561" t="s">
        <v>4773</v>
      </c>
      <c r="H6027" s="360" t="s">
        <v>4726</v>
      </c>
      <c r="I6027" s="309"/>
      <c r="J6027" s="388"/>
      <c r="K6027" s="291"/>
      <c r="L6027" s="291"/>
      <c r="M6027" s="291"/>
      <c r="S6027" s="364"/>
      <c r="Z6027" s="609">
        <v>7251</v>
      </c>
      <c r="AA6027" s="609"/>
    </row>
    <row r="6028" spans="1:27" ht="24">
      <c r="A6028" s="2712"/>
      <c r="B6028" s="371">
        <v>105</v>
      </c>
      <c r="C6028" s="371" t="s">
        <v>2791</v>
      </c>
      <c r="D6028" s="2714">
        <f t="shared" si="642"/>
        <v>1</v>
      </c>
      <c r="E6028" s="2719">
        <v>1</v>
      </c>
      <c r="F6028" s="294"/>
      <c r="G6028" s="1561" t="s">
        <v>4774</v>
      </c>
      <c r="H6028" s="360" t="s">
        <v>4726</v>
      </c>
      <c r="I6028" s="309"/>
      <c r="J6028" s="388"/>
      <c r="K6028" s="291"/>
      <c r="L6028" s="291"/>
      <c r="M6028" s="291"/>
      <c r="S6028" s="364"/>
      <c r="Z6028" s="609">
        <v>7251</v>
      </c>
      <c r="AA6028" s="609"/>
    </row>
    <row r="6029" spans="1:27" ht="18">
      <c r="A6029" s="2712"/>
      <c r="B6029" s="371">
        <v>106</v>
      </c>
      <c r="C6029" s="371" t="s">
        <v>2791</v>
      </c>
      <c r="D6029" s="2714">
        <f t="shared" si="642"/>
        <v>0</v>
      </c>
      <c r="E6029" s="2719">
        <v>1</v>
      </c>
      <c r="F6029" s="294"/>
      <c r="G6029" s="1561" t="s">
        <v>2792</v>
      </c>
      <c r="H6029" s="360"/>
      <c r="I6029" s="309"/>
      <c r="J6029" s="388"/>
      <c r="K6029" s="291"/>
      <c r="L6029" s="291"/>
      <c r="M6029" s="291"/>
      <c r="S6029" s="364"/>
      <c r="Z6029" s="609">
        <v>7251</v>
      </c>
      <c r="AA6029" s="609"/>
    </row>
    <row r="6030" spans="1:27" ht="18.75" thickBot="1">
      <c r="A6030" s="2712"/>
      <c r="B6030" s="371"/>
      <c r="C6030" s="371"/>
      <c r="D6030" s="2714">
        <f t="shared" si="642"/>
        <v>1</v>
      </c>
      <c r="E6030" s="2719" t="s">
        <v>2751</v>
      </c>
      <c r="F6030" s="294"/>
      <c r="G6030" s="1527" t="s">
        <v>2752</v>
      </c>
      <c r="H6030" s="1568"/>
      <c r="I6030" s="1525">
        <f>SUMPRODUCT($E6023:$E6029,I6023:I6029)</f>
        <v>0</v>
      </c>
      <c r="J6030" s="1569"/>
      <c r="K6030" s="291"/>
      <c r="L6030" s="291"/>
      <c r="M6030" s="291"/>
      <c r="S6030" s="364"/>
      <c r="Z6030" s="609">
        <v>7251</v>
      </c>
      <c r="AA6030" s="609"/>
    </row>
    <row r="6031" spans="1:27" ht="18">
      <c r="A6031" s="2712"/>
      <c r="B6031" s="371"/>
      <c r="C6031" s="371" t="s">
        <v>2755</v>
      </c>
      <c r="D6031" s="371"/>
      <c r="F6031" s="294"/>
      <c r="G6031" s="301"/>
      <c r="H6031" s="393"/>
      <c r="I6031" s="315"/>
      <c r="J6031" s="393"/>
      <c r="K6031" s="291"/>
      <c r="L6031" s="291"/>
      <c r="M6031" s="291"/>
      <c r="S6031" s="364"/>
      <c r="Z6031" s="609">
        <v>7251</v>
      </c>
      <c r="AA6031" s="609"/>
    </row>
    <row r="6032" spans="1:27" ht="18">
      <c r="A6032" s="2712">
        <v>7261</v>
      </c>
      <c r="B6032" s="371">
        <v>78.83</v>
      </c>
      <c r="C6032" s="2714" t="str">
        <f>VLOOKUP($A6032,Sheet_Items,2,0)</f>
        <v>分配利润偿付利息支付的现金</v>
      </c>
      <c r="D6032" s="371"/>
      <c r="E6032" s="2714" t="s">
        <v>2739</v>
      </c>
      <c r="F6032" s="294"/>
      <c r="G6032" s="536" t="str">
        <f>B6032&amp;" "&amp;C6032</f>
        <v>78.83 分配利润偿付利息支付的现金</v>
      </c>
      <c r="H6032" s="322"/>
      <c r="I6032" s="322"/>
      <c r="J6032" s="306" t="s">
        <v>4206</v>
      </c>
      <c r="K6032" s="341">
        <f>VLOOKUP($A6032,Sheet_Trialbal,6,0)</f>
        <v>2094341.69</v>
      </c>
      <c r="L6032" s="342"/>
      <c r="M6032" s="306"/>
      <c r="N6032" s="341"/>
      <c r="O6032" s="306"/>
      <c r="P6032" s="301"/>
      <c r="S6032" s="364"/>
      <c r="Z6032" s="609">
        <v>7261</v>
      </c>
      <c r="AA6032" s="609"/>
    </row>
    <row r="6033" spans="1:27" ht="24">
      <c r="A6033" s="2712" t="s">
        <v>1988</v>
      </c>
      <c r="B6033" s="371">
        <v>1</v>
      </c>
      <c r="C6033" s="371"/>
      <c r="D6033" s="2714" t="str">
        <f>VLOOKUP($A6033,Sheet_NoteList,2,0)</f>
        <v>分配利润偿付利息支付的现金计算表</v>
      </c>
      <c r="E6033" s="2714" t="s">
        <v>2742</v>
      </c>
      <c r="F6033" s="294"/>
      <c r="G6033" s="483" t="str">
        <f>"("&amp;B6033&amp;")"&amp;D6033</f>
        <v>(1)分配利润偿付利息支付的现金计算表</v>
      </c>
      <c r="H6033" s="1515" t="str">
        <f>$A6033</f>
        <v>7261x</v>
      </c>
      <c r="I6033" s="343" t="s">
        <v>2743</v>
      </c>
      <c r="J6033" s="301" t="s">
        <v>4712</v>
      </c>
      <c r="K6033" s="2208">
        <f>I6052</f>
        <v>0</v>
      </c>
      <c r="L6033" s="345">
        <f>IF(ROUND(K6032-K6033,2)=0,"F/S",ROUND(K6032-K6033,2))</f>
        <v>2094341.69</v>
      </c>
      <c r="M6033" s="532" t="s">
        <v>4713</v>
      </c>
      <c r="N6033" s="3083"/>
      <c r="O6033" s="315"/>
      <c r="P6033" s="301"/>
      <c r="S6033" s="364"/>
      <c r="Z6033" s="609">
        <v>7261</v>
      </c>
      <c r="AA6033" s="609"/>
    </row>
    <row r="6034" spans="1:27" ht="0.75" customHeight="1" thickBot="1">
      <c r="A6034" s="2712"/>
      <c r="B6034" s="371"/>
      <c r="C6034" s="371"/>
      <c r="D6034" s="371"/>
      <c r="F6034" s="371"/>
      <c r="G6034" s="371" t="s">
        <v>4775</v>
      </c>
      <c r="H6034" s="371" t="s">
        <v>4715</v>
      </c>
      <c r="I6034" s="371" t="s">
        <v>4716</v>
      </c>
      <c r="J6034" s="371" t="s">
        <v>3671</v>
      </c>
      <c r="K6034" s="291"/>
      <c r="L6034" s="291"/>
      <c r="M6034" s="291"/>
      <c r="S6034" s="364"/>
      <c r="Z6034" s="609">
        <v>7261</v>
      </c>
      <c r="AA6034" s="609"/>
    </row>
    <row r="6035" spans="1:27" ht="18">
      <c r="A6035" s="2712"/>
      <c r="B6035" s="371"/>
      <c r="C6035" s="371"/>
      <c r="D6035" s="371"/>
      <c r="E6035" s="2714" t="s">
        <v>2749</v>
      </c>
      <c r="F6035" s="294"/>
      <c r="G6035" s="1562" t="s">
        <v>47</v>
      </c>
      <c r="H6035" s="1563" t="s">
        <v>4717</v>
      </c>
      <c r="I6035" s="1563" t="s">
        <v>2887</v>
      </c>
      <c r="J6035" s="1564" t="s">
        <v>2758</v>
      </c>
      <c r="K6035" s="291"/>
      <c r="L6035" s="291"/>
      <c r="M6035" s="291"/>
      <c r="S6035" s="364"/>
      <c r="Z6035" s="609">
        <v>7261</v>
      </c>
      <c r="AA6035" s="609"/>
    </row>
    <row r="6036" spans="1:27" ht="18">
      <c r="A6036" s="2712"/>
      <c r="B6036" s="371">
        <v>101</v>
      </c>
      <c r="C6036" s="371" t="s">
        <v>2791</v>
      </c>
      <c r="D6036" s="2714">
        <f t="shared" ref="D6036:D6052" si="643">IF(OR(G6036="*",G6036="",G6036=0),0,COUNTIF($G$6036:$G$6052,G6036))</f>
        <v>1</v>
      </c>
      <c r="E6036" s="2719">
        <v>0</v>
      </c>
      <c r="F6036" s="294"/>
      <c r="G6036" s="1561" t="s">
        <v>4776</v>
      </c>
      <c r="H6036" s="360"/>
      <c r="I6036" s="309"/>
      <c r="J6036" s="388"/>
      <c r="K6036" s="291"/>
      <c r="L6036" s="291"/>
      <c r="M6036" s="291"/>
      <c r="S6036" s="364"/>
      <c r="Z6036" s="609">
        <v>7261</v>
      </c>
      <c r="AA6036" s="609"/>
    </row>
    <row r="6037" spans="1:27" ht="18">
      <c r="A6037" s="2712"/>
      <c r="B6037" s="371">
        <v>102</v>
      </c>
      <c r="C6037" s="371" t="s">
        <v>2791</v>
      </c>
      <c r="D6037" s="2714">
        <f t="shared" si="643"/>
        <v>1</v>
      </c>
      <c r="E6037" s="2719">
        <v>0</v>
      </c>
      <c r="F6037" s="294"/>
      <c r="G6037" s="1561" t="s">
        <v>4777</v>
      </c>
      <c r="H6037" s="360"/>
      <c r="I6037" s="309"/>
      <c r="J6037" s="388"/>
      <c r="K6037" s="291"/>
      <c r="L6037" s="291"/>
      <c r="M6037" s="291"/>
      <c r="S6037" s="364"/>
      <c r="Z6037" s="609">
        <v>7261</v>
      </c>
      <c r="AA6037" s="609"/>
    </row>
    <row r="6038" spans="1:27" ht="18">
      <c r="A6038" s="2712"/>
      <c r="B6038" s="371">
        <v>103</v>
      </c>
      <c r="C6038" s="371" t="s">
        <v>2791</v>
      </c>
      <c r="D6038" s="2714">
        <f t="shared" si="643"/>
        <v>1</v>
      </c>
      <c r="E6038" s="2719">
        <v>1</v>
      </c>
      <c r="F6038" s="294"/>
      <c r="G6038" s="1519" t="s">
        <v>4778</v>
      </c>
      <c r="H6038" s="360" t="s">
        <v>4726</v>
      </c>
      <c r="I6038" s="1474">
        <f>I6036-I6037</f>
        <v>0</v>
      </c>
      <c r="J6038" s="388"/>
      <c r="K6038" s="291"/>
      <c r="L6038" s="291"/>
      <c r="M6038" s="291"/>
      <c r="S6038" s="364"/>
      <c r="Z6038" s="609">
        <v>7261</v>
      </c>
      <c r="AA6038" s="609"/>
    </row>
    <row r="6039" spans="1:27" ht="18">
      <c r="A6039" s="2712"/>
      <c r="B6039" s="371">
        <v>104</v>
      </c>
      <c r="C6039" s="371" t="s">
        <v>2791</v>
      </c>
      <c r="D6039" s="2714">
        <f t="shared" si="643"/>
        <v>1</v>
      </c>
      <c r="E6039" s="2719">
        <v>0</v>
      </c>
      <c r="F6039" s="294"/>
      <c r="G6039" s="1561" t="s">
        <v>4779</v>
      </c>
      <c r="H6039" s="360"/>
      <c r="I6039" s="309"/>
      <c r="J6039" s="388"/>
      <c r="K6039" s="291"/>
      <c r="L6039" s="291"/>
      <c r="M6039" s="291"/>
      <c r="S6039" s="364"/>
      <c r="Z6039" s="609">
        <v>7261</v>
      </c>
      <c r="AA6039" s="609"/>
    </row>
    <row r="6040" spans="1:27" ht="18">
      <c r="A6040" s="2712"/>
      <c r="B6040" s="371">
        <v>105</v>
      </c>
      <c r="C6040" s="371" t="s">
        <v>2791</v>
      </c>
      <c r="D6040" s="2714">
        <f t="shared" si="643"/>
        <v>1</v>
      </c>
      <c r="E6040" s="2719">
        <v>0</v>
      </c>
      <c r="F6040" s="294"/>
      <c r="G6040" s="1561" t="s">
        <v>4780</v>
      </c>
      <c r="H6040" s="360"/>
      <c r="I6040" s="309"/>
      <c r="J6040" s="388"/>
      <c r="K6040" s="291"/>
      <c r="L6040" s="291"/>
      <c r="M6040" s="291"/>
      <c r="S6040" s="364"/>
      <c r="Z6040" s="609">
        <v>7261</v>
      </c>
      <c r="AA6040" s="609"/>
    </row>
    <row r="6041" spans="1:27" ht="18">
      <c r="A6041" s="2712"/>
      <c r="B6041" s="371">
        <v>106</v>
      </c>
      <c r="C6041" s="371" t="s">
        <v>2791</v>
      </c>
      <c r="D6041" s="2714">
        <f t="shared" si="643"/>
        <v>1</v>
      </c>
      <c r="E6041" s="2719">
        <v>1</v>
      </c>
      <c r="F6041" s="294"/>
      <c r="G6041" s="1519" t="s">
        <v>4781</v>
      </c>
      <c r="H6041" s="360" t="s">
        <v>4726</v>
      </c>
      <c r="I6041" s="1474">
        <f>I6039-I6040</f>
        <v>0</v>
      </c>
      <c r="J6041" s="388"/>
      <c r="K6041" s="291"/>
      <c r="L6041" s="291"/>
      <c r="M6041" s="291"/>
      <c r="S6041" s="364"/>
      <c r="Z6041" s="609">
        <v>7261</v>
      </c>
      <c r="AA6041" s="609"/>
    </row>
    <row r="6042" spans="1:27" ht="18">
      <c r="A6042" s="2712"/>
      <c r="B6042" s="371">
        <v>107</v>
      </c>
      <c r="C6042" s="371" t="s">
        <v>2791</v>
      </c>
      <c r="D6042" s="2714">
        <f t="shared" si="643"/>
        <v>1</v>
      </c>
      <c r="E6042" s="2719">
        <v>1</v>
      </c>
      <c r="F6042" s="294"/>
      <c r="G6042" s="1561" t="s">
        <v>4782</v>
      </c>
      <c r="H6042" s="360" t="s">
        <v>4726</v>
      </c>
      <c r="I6042" s="309"/>
      <c r="J6042" s="388"/>
      <c r="K6042" s="291"/>
      <c r="L6042" s="291"/>
      <c r="M6042" s="291"/>
      <c r="S6042" s="364"/>
      <c r="Z6042" s="609">
        <v>7261</v>
      </c>
      <c r="AA6042" s="609"/>
    </row>
    <row r="6043" spans="1:27" ht="24">
      <c r="A6043" s="2712"/>
      <c r="B6043" s="371">
        <v>108</v>
      </c>
      <c r="C6043" s="371" t="s">
        <v>2791</v>
      </c>
      <c r="D6043" s="2714">
        <f t="shared" si="643"/>
        <v>1</v>
      </c>
      <c r="E6043" s="2719">
        <v>0</v>
      </c>
      <c r="F6043" s="294"/>
      <c r="G6043" s="1561" t="s">
        <v>4783</v>
      </c>
      <c r="H6043" s="360"/>
      <c r="I6043" s="309"/>
      <c r="J6043" s="388"/>
      <c r="K6043" s="291"/>
      <c r="L6043" s="291"/>
      <c r="M6043" s="291"/>
      <c r="S6043" s="364"/>
      <c r="Z6043" s="609">
        <v>7261</v>
      </c>
      <c r="AA6043" s="609"/>
    </row>
    <row r="6044" spans="1:27" ht="24">
      <c r="A6044" s="2712"/>
      <c r="B6044" s="371">
        <v>109</v>
      </c>
      <c r="C6044" s="371" t="s">
        <v>2791</v>
      </c>
      <c r="D6044" s="2714">
        <f t="shared" si="643"/>
        <v>1</v>
      </c>
      <c r="E6044" s="2719">
        <v>0</v>
      </c>
      <c r="F6044" s="294"/>
      <c r="G6044" s="1561" t="s">
        <v>4784</v>
      </c>
      <c r="H6044" s="360"/>
      <c r="I6044" s="309"/>
      <c r="J6044" s="388"/>
      <c r="K6044" s="291"/>
      <c r="L6044" s="291"/>
      <c r="M6044" s="291"/>
      <c r="S6044" s="364"/>
      <c r="Z6044" s="609">
        <v>7261</v>
      </c>
      <c r="AA6044" s="609"/>
    </row>
    <row r="6045" spans="1:27" ht="24">
      <c r="A6045" s="2712"/>
      <c r="B6045" s="371">
        <v>110</v>
      </c>
      <c r="C6045" s="371" t="s">
        <v>2791</v>
      </c>
      <c r="D6045" s="2714">
        <f t="shared" si="643"/>
        <v>1</v>
      </c>
      <c r="E6045" s="2719">
        <v>1</v>
      </c>
      <c r="F6045" s="294"/>
      <c r="G6045" s="1519" t="s">
        <v>4785</v>
      </c>
      <c r="H6045" s="360" t="s">
        <v>4726</v>
      </c>
      <c r="I6045" s="1474">
        <f>I6043-I6044</f>
        <v>0</v>
      </c>
      <c r="J6045" s="388"/>
      <c r="K6045" s="291"/>
      <c r="L6045" s="291"/>
      <c r="M6045" s="291"/>
      <c r="S6045" s="364"/>
      <c r="Z6045" s="609">
        <v>7261</v>
      </c>
      <c r="AA6045" s="609"/>
    </row>
    <row r="6046" spans="1:27" ht="18">
      <c r="A6046" s="2712"/>
      <c r="B6046" s="371">
        <v>111</v>
      </c>
      <c r="C6046" s="371" t="s">
        <v>2791</v>
      </c>
      <c r="D6046" s="2714">
        <f t="shared" si="643"/>
        <v>1</v>
      </c>
      <c r="E6046" s="2719">
        <v>1</v>
      </c>
      <c r="F6046" s="294"/>
      <c r="G6046" s="1561" t="s">
        <v>4786</v>
      </c>
      <c r="H6046" s="360" t="s">
        <v>4726</v>
      </c>
      <c r="I6046" s="309"/>
      <c r="J6046" s="388"/>
      <c r="K6046" s="291"/>
      <c r="L6046" s="291"/>
      <c r="M6046" s="291"/>
      <c r="S6046" s="364"/>
      <c r="Z6046" s="609">
        <v>7261</v>
      </c>
      <c r="AA6046" s="609"/>
    </row>
    <row r="6047" spans="1:27" ht="18">
      <c r="A6047" s="2712"/>
      <c r="B6047" s="371">
        <v>112</v>
      </c>
      <c r="C6047" s="371" t="s">
        <v>2791</v>
      </c>
      <c r="D6047" s="2714">
        <f t="shared" si="643"/>
        <v>1</v>
      </c>
      <c r="E6047" s="2719">
        <v>1</v>
      </c>
      <c r="F6047" s="294"/>
      <c r="G6047" s="1561" t="s">
        <v>4787</v>
      </c>
      <c r="H6047" s="360" t="s">
        <v>4726</v>
      </c>
      <c r="I6047" s="309"/>
      <c r="J6047" s="388"/>
      <c r="K6047" s="291"/>
      <c r="L6047" s="291"/>
      <c r="M6047" s="291"/>
      <c r="S6047" s="364"/>
      <c r="Z6047" s="609">
        <v>7261</v>
      </c>
      <c r="AA6047" s="609"/>
    </row>
    <row r="6048" spans="1:27" ht="18">
      <c r="A6048" s="2712"/>
      <c r="B6048" s="371">
        <v>113</v>
      </c>
      <c r="C6048" s="371" t="s">
        <v>2791</v>
      </c>
      <c r="D6048" s="2714">
        <f t="shared" si="643"/>
        <v>1</v>
      </c>
      <c r="E6048" s="2719">
        <v>1</v>
      </c>
      <c r="F6048" s="294"/>
      <c r="G6048" s="1561" t="s">
        <v>4788</v>
      </c>
      <c r="H6048" s="360" t="s">
        <v>4726</v>
      </c>
      <c r="I6048" s="309"/>
      <c r="J6048" s="388"/>
      <c r="K6048" s="291"/>
      <c r="L6048" s="291"/>
      <c r="M6048" s="291"/>
      <c r="S6048" s="364"/>
      <c r="Z6048" s="609">
        <v>7261</v>
      </c>
      <c r="AA6048" s="609"/>
    </row>
    <row r="6049" spans="1:27" ht="18">
      <c r="A6049" s="2712"/>
      <c r="B6049" s="371">
        <v>114</v>
      </c>
      <c r="C6049" s="371" t="s">
        <v>2791</v>
      </c>
      <c r="D6049" s="2714">
        <f t="shared" si="643"/>
        <v>1</v>
      </c>
      <c r="E6049" s="2719">
        <v>1</v>
      </c>
      <c r="F6049" s="294"/>
      <c r="G6049" s="1561" t="s">
        <v>4789</v>
      </c>
      <c r="H6049" s="360" t="s">
        <v>4726</v>
      </c>
      <c r="I6049" s="309"/>
      <c r="J6049" s="388"/>
      <c r="K6049" s="291"/>
      <c r="L6049" s="291"/>
      <c r="M6049" s="291"/>
      <c r="S6049" s="364"/>
      <c r="Z6049" s="609">
        <v>7261</v>
      </c>
      <c r="AA6049" s="609"/>
    </row>
    <row r="6050" spans="1:27" ht="18">
      <c r="A6050" s="2712"/>
      <c r="B6050" s="371">
        <v>115</v>
      </c>
      <c r="C6050" s="371" t="s">
        <v>2791</v>
      </c>
      <c r="D6050" s="2714">
        <f t="shared" si="643"/>
        <v>1</v>
      </c>
      <c r="E6050" s="2719">
        <v>1</v>
      </c>
      <c r="F6050" s="294"/>
      <c r="G6050" s="1561" t="s">
        <v>932</v>
      </c>
      <c r="H6050" s="360" t="s">
        <v>4726</v>
      </c>
      <c r="I6050" s="309"/>
      <c r="J6050" s="388"/>
      <c r="K6050" s="291"/>
      <c r="L6050" s="291"/>
      <c r="M6050" s="291"/>
      <c r="S6050" s="364"/>
      <c r="Z6050" s="609">
        <v>7261</v>
      </c>
      <c r="AA6050" s="609"/>
    </row>
    <row r="6051" spans="1:27" ht="18">
      <c r="A6051" s="2712"/>
      <c r="B6051" s="371">
        <v>116</v>
      </c>
      <c r="C6051" s="371" t="s">
        <v>2791</v>
      </c>
      <c r="D6051" s="2714">
        <f t="shared" si="643"/>
        <v>0</v>
      </c>
      <c r="E6051" s="2719">
        <v>1</v>
      </c>
      <c r="F6051" s="294"/>
      <c r="G6051" s="1561" t="s">
        <v>2792</v>
      </c>
      <c r="H6051" s="360"/>
      <c r="I6051" s="309"/>
      <c r="J6051" s="388"/>
      <c r="K6051" s="291"/>
      <c r="L6051" s="291"/>
      <c r="M6051" s="291"/>
      <c r="S6051" s="364"/>
      <c r="Z6051" s="609">
        <v>7261</v>
      </c>
      <c r="AA6051" s="609"/>
    </row>
    <row r="6052" spans="1:27" ht="18.75" thickBot="1">
      <c r="A6052" s="2712"/>
      <c r="B6052" s="371"/>
      <c r="C6052" s="371"/>
      <c r="D6052" s="2714">
        <f t="shared" si="643"/>
        <v>1</v>
      </c>
      <c r="E6052" s="2719" t="s">
        <v>2751</v>
      </c>
      <c r="F6052" s="294"/>
      <c r="G6052" s="1527" t="s">
        <v>2752</v>
      </c>
      <c r="H6052" s="1568"/>
      <c r="I6052" s="1525">
        <f>SUMPRODUCT($E6035:$E6051,I6035:I6051)</f>
        <v>0</v>
      </c>
      <c r="J6052" s="1569"/>
      <c r="K6052" s="291"/>
      <c r="L6052" s="291"/>
      <c r="M6052" s="291"/>
      <c r="S6052" s="364"/>
      <c r="Z6052" s="609">
        <v>7261</v>
      </c>
      <c r="AA6052" s="609"/>
    </row>
    <row r="6053" spans="1:27" ht="18.75" thickBot="1">
      <c r="A6053" s="2712"/>
      <c r="B6053" s="371"/>
      <c r="C6053" s="371" t="s">
        <v>2755</v>
      </c>
      <c r="D6053" s="371"/>
      <c r="F6053" s="294"/>
      <c r="G6053" s="301"/>
      <c r="H6053" s="393"/>
      <c r="I6053" s="315"/>
      <c r="J6053" s="393"/>
      <c r="K6053" s="291"/>
      <c r="L6053" s="291"/>
      <c r="M6053" s="291"/>
      <c r="S6053" s="364"/>
      <c r="Z6053" s="609">
        <v>7261</v>
      </c>
      <c r="AA6053" s="609"/>
    </row>
    <row r="6054" spans="1:27" ht="18.75" thickBot="1">
      <c r="A6054" s="2712"/>
      <c r="B6054" s="371"/>
      <c r="C6054" s="371"/>
      <c r="D6054" s="371"/>
      <c r="F6054" s="294"/>
      <c r="G6054" s="627" t="s">
        <v>4708</v>
      </c>
      <c r="H6054" s="628" t="s">
        <v>4790</v>
      </c>
      <c r="I6054" s="629"/>
      <c r="J6054" s="630"/>
      <c r="K6054" s="630"/>
      <c r="L6054" s="630"/>
      <c r="M6054" s="630"/>
      <c r="N6054" s="631"/>
      <c r="S6054" s="364"/>
      <c r="Z6054" s="609" t="s">
        <v>2014</v>
      </c>
      <c r="AA6054" s="609"/>
    </row>
    <row r="6055" spans="1:27" ht="18">
      <c r="A6055" s="2712">
        <v>7503</v>
      </c>
      <c r="B6055" s="371">
        <v>79.010000000000005</v>
      </c>
      <c r="C6055" s="2714" t="str">
        <f>VLOOKUP($A6055,Sheet_Items,2,0)</f>
        <v>资产减值准备金额</v>
      </c>
      <c r="D6055" s="371"/>
      <c r="E6055" s="2714" t="s">
        <v>2739</v>
      </c>
      <c r="F6055" s="294"/>
      <c r="G6055" s="536" t="str">
        <f>B6055&amp;" "&amp;C6055</f>
        <v>79.01 资产减值准备金额</v>
      </c>
      <c r="H6055" s="322"/>
      <c r="I6055" s="322"/>
      <c r="J6055" s="306" t="s">
        <v>4206</v>
      </c>
      <c r="K6055" s="341">
        <f>VLOOKUP($A6055,Sheet_Trialbal,6,0)</f>
        <v>13357245.939999999</v>
      </c>
      <c r="L6055" s="342"/>
      <c r="M6055" s="306"/>
      <c r="N6055" s="341"/>
      <c r="O6055" s="306"/>
      <c r="P6055" s="301"/>
      <c r="S6055" s="364"/>
      <c r="Z6055" s="609" t="s">
        <v>2014</v>
      </c>
      <c r="AA6055" s="609"/>
    </row>
    <row r="6056" spans="1:27" ht="36">
      <c r="A6056" s="2712" t="s">
        <v>2012</v>
      </c>
      <c r="B6056" s="371">
        <v>1</v>
      </c>
      <c r="C6056" s="371"/>
      <c r="D6056" s="2714" t="str">
        <f>VLOOKUP($A6056,Sheet_NoteList,2,0)</f>
        <v>将净利润调节为经营活动现金流量：资产减值准备金额</v>
      </c>
      <c r="E6056" s="2714" t="s">
        <v>2742</v>
      </c>
      <c r="F6056" s="294"/>
      <c r="G6056" s="372" t="str">
        <f>"("&amp;B6056&amp;")"&amp;D6056</f>
        <v>(1)将净利润调节为经营活动现金流量：资产减值准备金额</v>
      </c>
      <c r="H6056" s="1515" t="str">
        <f>$A6056</f>
        <v>7503a</v>
      </c>
      <c r="I6056" s="343" t="s">
        <v>2743</v>
      </c>
      <c r="J6056" s="301" t="s">
        <v>4712</v>
      </c>
      <c r="K6056" s="2208">
        <f>H6062</f>
        <v>0</v>
      </c>
      <c r="L6056" s="345">
        <f>IF(ROUND(K6055-K6056,2)=0,"F/S",ROUND(K6055-K6056,2))</f>
        <v>13357245.939999999</v>
      </c>
      <c r="M6056" s="532" t="s">
        <v>4713</v>
      </c>
      <c r="N6056" s="3083"/>
      <c r="O6056" s="315"/>
      <c r="P6056" s="301"/>
      <c r="S6056" s="364"/>
      <c r="Z6056" s="609" t="s">
        <v>2014</v>
      </c>
      <c r="AA6056" s="609"/>
    </row>
    <row r="6057" spans="1:27" ht="0.75" customHeight="1" thickBot="1">
      <c r="A6057" s="2712"/>
      <c r="B6057" s="371"/>
      <c r="C6057" s="371"/>
      <c r="D6057" s="371"/>
      <c r="F6057" s="294"/>
      <c r="G6057" s="294" t="s">
        <v>4791</v>
      </c>
      <c r="H6057" s="294" t="s">
        <v>3472</v>
      </c>
      <c r="I6057" s="294" t="s">
        <v>2821</v>
      </c>
      <c r="J6057" s="291"/>
      <c r="K6057" s="291"/>
      <c r="L6057" s="291"/>
      <c r="M6057" s="291"/>
      <c r="S6057" s="364"/>
      <c r="Z6057" s="609" t="s">
        <v>2014</v>
      </c>
      <c r="AA6057" s="609"/>
    </row>
    <row r="6058" spans="1:27" ht="18">
      <c r="A6058" s="2712"/>
      <c r="B6058" s="371"/>
      <c r="C6058" s="371"/>
      <c r="D6058" s="371"/>
      <c r="E6058" s="2714" t="s">
        <v>2749</v>
      </c>
      <c r="F6058" s="294"/>
      <c r="G6058" s="1562" t="s">
        <v>47</v>
      </c>
      <c r="H6058" s="1563" t="s">
        <v>2587</v>
      </c>
      <c r="I6058" s="1564" t="s">
        <v>2508</v>
      </c>
      <c r="J6058" s="575"/>
      <c r="K6058" s="291"/>
      <c r="L6058" s="291"/>
      <c r="M6058" s="291"/>
      <c r="S6058" s="364"/>
      <c r="Z6058" s="609" t="s">
        <v>2014</v>
      </c>
      <c r="AA6058" s="609"/>
    </row>
    <row r="6059" spans="1:27" ht="18">
      <c r="A6059" s="2712"/>
      <c r="B6059" s="371">
        <v>101</v>
      </c>
      <c r="C6059" s="371"/>
      <c r="D6059" s="2714">
        <f>IF(OR(G6059="*",G6059="",G6059=0),0,COUNTIF($G$6059:$G$6062,G6059))</f>
        <v>1</v>
      </c>
      <c r="E6059" s="2719">
        <v>1</v>
      </c>
      <c r="F6059" s="294"/>
      <c r="G6059" s="308" t="s">
        <v>697</v>
      </c>
      <c r="H6059" s="309"/>
      <c r="I6059" s="388"/>
      <c r="J6059" s="291"/>
      <c r="K6059" s="291"/>
      <c r="L6059" s="291"/>
      <c r="M6059" s="291"/>
      <c r="S6059" s="364"/>
      <c r="Z6059" s="609" t="s">
        <v>2014</v>
      </c>
      <c r="AA6059" s="609"/>
    </row>
    <row r="6060" spans="1:27" ht="18">
      <c r="A6060" s="2712"/>
      <c r="B6060" s="371">
        <v>102</v>
      </c>
      <c r="C6060" s="371" t="s">
        <v>2791</v>
      </c>
      <c r="D6060" s="2714">
        <f>IF(OR(G6060="*",G6060="",G6060=0),0,COUNTIF($G$6059:$G$6062,G6060))</f>
        <v>0</v>
      </c>
      <c r="E6060" s="2719">
        <v>1</v>
      </c>
      <c r="F6060" s="294"/>
      <c r="G6060" s="1561" t="s">
        <v>2792</v>
      </c>
      <c r="H6060" s="309"/>
      <c r="I6060" s="388"/>
      <c r="J6060" s="291"/>
      <c r="K6060" s="291"/>
      <c r="L6060" s="291"/>
      <c r="M6060" s="291"/>
      <c r="S6060" s="364"/>
      <c r="Z6060" s="609" t="s">
        <v>2014</v>
      </c>
      <c r="AA6060" s="609"/>
    </row>
    <row r="6061" spans="1:27" ht="18">
      <c r="A6061" s="2712"/>
      <c r="B6061" s="371">
        <v>103</v>
      </c>
      <c r="C6061" s="371" t="s">
        <v>2791</v>
      </c>
      <c r="D6061" s="2714">
        <f>IF(OR(G6061="*",G6061="",G6061=0),0,COUNTIF($G$6059:$G$6062,G6061))</f>
        <v>0</v>
      </c>
      <c r="E6061" s="2719">
        <v>1</v>
      </c>
      <c r="F6061" s="294"/>
      <c r="G6061" s="1561" t="s">
        <v>2792</v>
      </c>
      <c r="H6061" s="309"/>
      <c r="I6061" s="388"/>
      <c r="J6061" s="291"/>
      <c r="K6061" s="291"/>
      <c r="L6061" s="291"/>
      <c r="M6061" s="291"/>
      <c r="S6061" s="364"/>
      <c r="Z6061" s="609" t="s">
        <v>2014</v>
      </c>
      <c r="AA6061" s="609"/>
    </row>
    <row r="6062" spans="1:27" ht="18.75" thickBot="1">
      <c r="A6062" s="2712"/>
      <c r="B6062" s="371"/>
      <c r="C6062" s="371"/>
      <c r="D6062" s="2714">
        <f>IF(OR(G6062="*",G6062="",G6062=0),0,COUNTIF($G$6059:$G$6062,G6062))</f>
        <v>1</v>
      </c>
      <c r="E6062" s="2719" t="s">
        <v>2751</v>
      </c>
      <c r="F6062" s="294"/>
      <c r="G6062" s="1527" t="s">
        <v>2752</v>
      </c>
      <c r="H6062" s="1525">
        <f>SUMPRODUCT($E6058:$E6061,H6058:H6061)</f>
        <v>0</v>
      </c>
      <c r="I6062" s="1570"/>
      <c r="J6062" s="291"/>
      <c r="K6062" s="291"/>
      <c r="L6062" s="291"/>
      <c r="M6062" s="291"/>
      <c r="S6062" s="364"/>
      <c r="Z6062" s="609" t="s">
        <v>2014</v>
      </c>
      <c r="AA6062" s="609"/>
    </row>
    <row r="6063" spans="1:27" ht="18">
      <c r="A6063" s="2712"/>
      <c r="B6063" s="371"/>
      <c r="C6063" s="371" t="s">
        <v>2755</v>
      </c>
      <c r="D6063" s="371"/>
      <c r="F6063" s="294"/>
      <c r="G6063" s="301"/>
      <c r="H6063" s="315"/>
      <c r="I6063" s="393"/>
      <c r="J6063" s="291"/>
      <c r="K6063" s="291"/>
      <c r="L6063" s="291"/>
      <c r="M6063" s="291"/>
      <c r="S6063" s="364"/>
      <c r="Z6063" s="609" t="s">
        <v>2014</v>
      </c>
      <c r="AA6063" s="609"/>
    </row>
    <row r="6064" spans="1:27" ht="18">
      <c r="A6064" s="2712">
        <v>7505</v>
      </c>
      <c r="B6064" s="371">
        <v>79.02</v>
      </c>
      <c r="C6064" s="2714" t="str">
        <f>VLOOKUP($A6064,Sheet_Items,2,0)</f>
        <v>固定资产折旧、油气资产折耗、生产性生物资产折旧</v>
      </c>
      <c r="D6064" s="371"/>
      <c r="E6064" s="2714" t="s">
        <v>2739</v>
      </c>
      <c r="F6064" s="294"/>
      <c r="G6064" s="536" t="str">
        <f>B6064&amp;" "&amp;C6064</f>
        <v>79.02 固定资产折旧、油气资产折耗、生产性生物资产折旧</v>
      </c>
      <c r="H6064" s="322"/>
      <c r="I6064" s="322"/>
      <c r="J6064" s="306" t="s">
        <v>4206</v>
      </c>
      <c r="K6064" s="341">
        <f>VLOOKUP($A6064,Sheet_Trialbal,6,0)</f>
        <v>18205614.109999999</v>
      </c>
      <c r="L6064" s="342"/>
      <c r="M6064" s="306"/>
      <c r="N6064" s="341"/>
      <c r="O6064" s="306"/>
      <c r="P6064" s="301"/>
      <c r="S6064" s="364"/>
      <c r="Z6064" s="609" t="s">
        <v>2017</v>
      </c>
      <c r="AA6064" s="609"/>
    </row>
    <row r="6065" spans="1:27" ht="48">
      <c r="A6065" s="2712" t="s">
        <v>2015</v>
      </c>
      <c r="B6065" s="371">
        <v>1</v>
      </c>
      <c r="C6065" s="371"/>
      <c r="D6065" s="2714" t="str">
        <f>VLOOKUP($A6065,Sheet_NoteList,2,0)</f>
        <v>将净利润调节为经营活动现金流量：固定资产折旧、油气资产折耗、生产性生物资产折旧</v>
      </c>
      <c r="E6065" s="2714" t="s">
        <v>2742</v>
      </c>
      <c r="F6065" s="294"/>
      <c r="G6065" s="372" t="str">
        <f>"("&amp;B6065&amp;")"&amp;D6065</f>
        <v>(1)将净利润调节为经营活动现金流量：固定资产折旧、油气资产折耗、生产性生物资产折旧</v>
      </c>
      <c r="H6065" s="1515" t="str">
        <f>$A6065</f>
        <v>7505a</v>
      </c>
      <c r="I6065" s="343" t="s">
        <v>2743</v>
      </c>
      <c r="J6065" s="301" t="s">
        <v>4712</v>
      </c>
      <c r="K6065" s="2208">
        <f>H6073</f>
        <v>0</v>
      </c>
      <c r="L6065" s="345">
        <f>IF(ROUND(K6064-K6065,2)=0,"F/S",ROUND(K6064-K6065,2))</f>
        <v>18205614.109999999</v>
      </c>
      <c r="M6065" s="532" t="s">
        <v>4713</v>
      </c>
      <c r="N6065" s="3083"/>
      <c r="O6065" s="315"/>
      <c r="P6065" s="301"/>
      <c r="S6065" s="364"/>
      <c r="Z6065" s="609" t="s">
        <v>2017</v>
      </c>
      <c r="AA6065" s="609"/>
    </row>
    <row r="6066" spans="1:27" ht="0.75" customHeight="1" thickBot="1">
      <c r="A6066" s="2712"/>
      <c r="B6066" s="371"/>
      <c r="C6066" s="371"/>
      <c r="D6066" s="371"/>
      <c r="F6066" s="294"/>
      <c r="G6066" s="294" t="s">
        <v>4792</v>
      </c>
      <c r="H6066" s="294" t="s">
        <v>3472</v>
      </c>
      <c r="I6066" s="294" t="s">
        <v>2821</v>
      </c>
      <c r="J6066" s="291"/>
      <c r="K6066" s="291"/>
      <c r="L6066" s="291"/>
      <c r="M6066" s="291"/>
      <c r="S6066" s="364"/>
      <c r="Z6066" s="609" t="s">
        <v>2017</v>
      </c>
      <c r="AA6066" s="609"/>
    </row>
    <row r="6067" spans="1:27" ht="18">
      <c r="A6067" s="2712"/>
      <c r="B6067" s="371"/>
      <c r="C6067" s="371"/>
      <c r="D6067" s="371"/>
      <c r="E6067" s="2714" t="s">
        <v>2749</v>
      </c>
      <c r="F6067" s="294"/>
      <c r="G6067" s="1562" t="s">
        <v>47</v>
      </c>
      <c r="H6067" s="1563" t="s">
        <v>2587</v>
      </c>
      <c r="I6067" s="1564" t="s">
        <v>2508</v>
      </c>
      <c r="J6067" s="291"/>
      <c r="K6067" s="291"/>
      <c r="L6067" s="291"/>
      <c r="M6067" s="291"/>
      <c r="S6067" s="364"/>
      <c r="Z6067" s="609" t="s">
        <v>2017</v>
      </c>
      <c r="AA6067" s="609"/>
    </row>
    <row r="6068" spans="1:27" ht="18">
      <c r="A6068" s="2712"/>
      <c r="B6068" s="371">
        <v>101</v>
      </c>
      <c r="C6068" s="371"/>
      <c r="D6068" s="2714">
        <f t="shared" ref="D6068:D6073" si="644">IF(OR(G6068="*",G6068="",G6068=0),0,COUNTIF($G$6068:$G$6073,G6068))</f>
        <v>1</v>
      </c>
      <c r="E6068" s="2719">
        <v>1</v>
      </c>
      <c r="F6068" s="294"/>
      <c r="G6068" s="308" t="s">
        <v>4793</v>
      </c>
      <c r="H6068" s="309"/>
      <c r="I6068" s="388"/>
      <c r="J6068" s="291"/>
      <c r="K6068" s="291"/>
      <c r="L6068" s="291"/>
      <c r="M6068" s="291"/>
      <c r="S6068" s="364"/>
      <c r="Z6068" s="609" t="s">
        <v>2017</v>
      </c>
      <c r="AA6068" s="609"/>
    </row>
    <row r="6069" spans="1:27" ht="18">
      <c r="A6069" s="2712"/>
      <c r="B6069" s="371">
        <v>102</v>
      </c>
      <c r="C6069" s="371"/>
      <c r="D6069" s="2714">
        <f t="shared" si="644"/>
        <v>1</v>
      </c>
      <c r="E6069" s="2719">
        <v>1</v>
      </c>
      <c r="F6069" s="294"/>
      <c r="G6069" s="308" t="s">
        <v>4794</v>
      </c>
      <c r="H6069" s="309"/>
      <c r="I6069" s="388"/>
      <c r="J6069" s="291"/>
      <c r="K6069" s="291"/>
      <c r="L6069" s="291"/>
      <c r="M6069" s="291"/>
      <c r="S6069" s="364"/>
      <c r="Z6069" s="609" t="s">
        <v>2017</v>
      </c>
      <c r="AA6069" s="609"/>
    </row>
    <row r="6070" spans="1:27" ht="24">
      <c r="A6070" s="2712"/>
      <c r="B6070" s="371">
        <v>103</v>
      </c>
      <c r="C6070" s="371"/>
      <c r="D6070" s="2714">
        <f t="shared" si="644"/>
        <v>1</v>
      </c>
      <c r="E6070" s="2719">
        <v>1</v>
      </c>
      <c r="F6070" s="294"/>
      <c r="G6070" s="308" t="s">
        <v>4795</v>
      </c>
      <c r="H6070" s="309"/>
      <c r="I6070" s="388"/>
      <c r="J6070" s="291"/>
      <c r="K6070" s="291"/>
      <c r="L6070" s="291"/>
      <c r="M6070" s="291"/>
      <c r="S6070" s="364"/>
      <c r="Z6070" s="609" t="s">
        <v>2017</v>
      </c>
      <c r="AA6070" s="609"/>
    </row>
    <row r="6071" spans="1:27" ht="18">
      <c r="A6071" s="2712"/>
      <c r="B6071" s="371">
        <v>104</v>
      </c>
      <c r="C6071" s="371" t="s">
        <v>2791</v>
      </c>
      <c r="D6071" s="2714">
        <f t="shared" si="644"/>
        <v>0</v>
      </c>
      <c r="E6071" s="2719">
        <v>1</v>
      </c>
      <c r="F6071" s="294"/>
      <c r="G6071" s="1561" t="s">
        <v>2792</v>
      </c>
      <c r="H6071" s="309"/>
      <c r="I6071" s="388"/>
      <c r="J6071" s="291"/>
      <c r="K6071" s="291"/>
      <c r="L6071" s="291"/>
      <c r="M6071" s="291"/>
      <c r="S6071" s="364"/>
      <c r="Z6071" s="609" t="s">
        <v>2017</v>
      </c>
      <c r="AA6071" s="609"/>
    </row>
    <row r="6072" spans="1:27" ht="18">
      <c r="A6072" s="2712"/>
      <c r="B6072" s="371">
        <v>105</v>
      </c>
      <c r="C6072" s="371" t="s">
        <v>2791</v>
      </c>
      <c r="D6072" s="2714">
        <f t="shared" si="644"/>
        <v>0</v>
      </c>
      <c r="E6072" s="2719">
        <v>1</v>
      </c>
      <c r="F6072" s="294"/>
      <c r="G6072" s="1561" t="s">
        <v>2792</v>
      </c>
      <c r="H6072" s="309"/>
      <c r="I6072" s="388"/>
      <c r="J6072" s="291"/>
      <c r="K6072" s="291"/>
      <c r="L6072" s="291"/>
      <c r="M6072" s="291"/>
      <c r="S6072" s="364"/>
      <c r="Z6072" s="609" t="s">
        <v>2017</v>
      </c>
      <c r="AA6072" s="609"/>
    </row>
    <row r="6073" spans="1:27" ht="18.75" thickBot="1">
      <c r="A6073" s="2712"/>
      <c r="B6073" s="371"/>
      <c r="C6073" s="371"/>
      <c r="D6073" s="2714">
        <f t="shared" si="644"/>
        <v>1</v>
      </c>
      <c r="E6073" s="2719" t="s">
        <v>2751</v>
      </c>
      <c r="F6073" s="294"/>
      <c r="G6073" s="1527" t="s">
        <v>2752</v>
      </c>
      <c r="H6073" s="1525">
        <f>SUMPRODUCT($E6067:$E6072,H6067:H6072)</f>
        <v>0</v>
      </c>
      <c r="I6073" s="1569"/>
      <c r="J6073" s="291"/>
      <c r="K6073" s="291"/>
      <c r="L6073" s="291"/>
      <c r="M6073" s="291"/>
      <c r="S6073" s="364"/>
      <c r="Z6073" s="609" t="s">
        <v>2017</v>
      </c>
      <c r="AA6073" s="609"/>
    </row>
    <row r="6074" spans="1:27" ht="18">
      <c r="A6074" s="2712"/>
      <c r="B6074" s="371"/>
      <c r="C6074" s="371" t="s">
        <v>2755</v>
      </c>
      <c r="D6074" s="371"/>
      <c r="F6074" s="294"/>
      <c r="G6074" s="301"/>
      <c r="H6074" s="315"/>
      <c r="I6074" s="393"/>
      <c r="J6074" s="291"/>
      <c r="K6074" s="291"/>
      <c r="L6074" s="291"/>
      <c r="M6074" s="291"/>
      <c r="S6074" s="364"/>
      <c r="Z6074" s="609" t="s">
        <v>2017</v>
      </c>
      <c r="AA6074" s="609"/>
    </row>
    <row r="6075" spans="1:27" ht="18">
      <c r="A6075" s="2712">
        <v>7506</v>
      </c>
      <c r="B6075" s="371">
        <v>79.03</v>
      </c>
      <c r="C6075" s="2714" t="str">
        <f>VLOOKUP($A6075,Sheet_Items,2,0)</f>
        <v>无形资产摊销</v>
      </c>
      <c r="D6075" s="371"/>
      <c r="E6075" s="2714" t="s">
        <v>2739</v>
      </c>
      <c r="F6075" s="294"/>
      <c r="G6075" s="536" t="str">
        <f>B6075&amp;" "&amp;C6075</f>
        <v>79.03 无形资产摊销</v>
      </c>
      <c r="H6075" s="322"/>
      <c r="I6075" s="322"/>
      <c r="J6075" s="306" t="s">
        <v>4206</v>
      </c>
      <c r="K6075" s="341">
        <f>VLOOKUP($A6075,Sheet_Trialbal,6,0)</f>
        <v>507056.61</v>
      </c>
      <c r="L6075" s="342"/>
      <c r="M6075" s="306"/>
      <c r="N6075" s="341"/>
      <c r="O6075" s="306"/>
      <c r="P6075" s="301"/>
      <c r="S6075" s="364"/>
      <c r="Z6075" s="609" t="s">
        <v>2020</v>
      </c>
      <c r="AA6075" s="609"/>
    </row>
    <row r="6076" spans="1:27" ht="24">
      <c r="A6076" s="2712" t="s">
        <v>2018</v>
      </c>
      <c r="B6076" s="371">
        <v>1</v>
      </c>
      <c r="C6076" s="371"/>
      <c r="D6076" s="2714" t="str">
        <f>VLOOKUP($A6076,Sheet_NoteList,2,0)</f>
        <v>将净利润调节为经营活动现金流量：无形资产摊销</v>
      </c>
      <c r="E6076" s="2714" t="s">
        <v>2742</v>
      </c>
      <c r="F6076" s="294"/>
      <c r="G6076" s="372" t="str">
        <f>"("&amp;B6076&amp;")"&amp;D6076</f>
        <v>(1)将净利润调节为经营活动现金流量：无形资产摊销</v>
      </c>
      <c r="H6076" s="1515" t="str">
        <f>$A6076</f>
        <v>7506a</v>
      </c>
      <c r="I6076" s="343" t="s">
        <v>2743</v>
      </c>
      <c r="J6076" s="301" t="s">
        <v>4712</v>
      </c>
      <c r="K6076" s="2208">
        <f>H6082</f>
        <v>0</v>
      </c>
      <c r="L6076" s="345">
        <f>IF(ROUND(K6075-K6076,2)=0,"F/S",ROUND(K6075-K6076,2))</f>
        <v>507056.61</v>
      </c>
      <c r="M6076" s="532" t="s">
        <v>4713</v>
      </c>
      <c r="N6076" s="3083"/>
      <c r="O6076" s="315"/>
      <c r="P6076" s="301"/>
      <c r="S6076" s="364"/>
      <c r="Z6076" s="609" t="s">
        <v>2020</v>
      </c>
      <c r="AA6076" s="609"/>
    </row>
    <row r="6077" spans="1:27" ht="0.75" customHeight="1" thickBot="1">
      <c r="A6077" s="2712"/>
      <c r="B6077" s="371"/>
      <c r="C6077" s="371"/>
      <c r="D6077" s="371"/>
      <c r="F6077" s="294"/>
      <c r="G6077" s="294" t="s">
        <v>4796</v>
      </c>
      <c r="H6077" s="294" t="s">
        <v>3472</v>
      </c>
      <c r="I6077" s="294" t="s">
        <v>2821</v>
      </c>
      <c r="J6077" s="291"/>
      <c r="K6077" s="291"/>
      <c r="L6077" s="291"/>
      <c r="M6077" s="291"/>
      <c r="S6077" s="364"/>
      <c r="Z6077" s="609" t="s">
        <v>2020</v>
      </c>
      <c r="AA6077" s="609"/>
    </row>
    <row r="6078" spans="1:27" ht="18">
      <c r="A6078" s="2712"/>
      <c r="B6078" s="371"/>
      <c r="C6078" s="371"/>
      <c r="D6078" s="371"/>
      <c r="E6078" s="2714" t="s">
        <v>2749</v>
      </c>
      <c r="F6078" s="294"/>
      <c r="G6078" s="1562" t="s">
        <v>47</v>
      </c>
      <c r="H6078" s="1563" t="s">
        <v>2587</v>
      </c>
      <c r="I6078" s="1564" t="s">
        <v>2508</v>
      </c>
      <c r="J6078" s="291"/>
      <c r="K6078" s="291"/>
      <c r="L6078" s="291"/>
      <c r="M6078" s="291"/>
      <c r="S6078" s="364"/>
      <c r="Z6078" s="609" t="s">
        <v>2020</v>
      </c>
      <c r="AA6078" s="609"/>
    </row>
    <row r="6079" spans="1:27" ht="18">
      <c r="A6079" s="2712"/>
      <c r="B6079" s="371">
        <v>101</v>
      </c>
      <c r="C6079" s="371"/>
      <c r="D6079" s="2714">
        <f>IF(OR(G6079="*",G6079="",G6079=0),0,COUNTIF($G$6079:$G$6082,G6079))</f>
        <v>1</v>
      </c>
      <c r="E6079" s="2719">
        <v>1</v>
      </c>
      <c r="F6079" s="294"/>
      <c r="G6079" s="308" t="s">
        <v>4797</v>
      </c>
      <c r="H6079" s="309"/>
      <c r="I6079" s="388"/>
      <c r="J6079" s="291"/>
      <c r="K6079" s="291"/>
      <c r="L6079" s="291"/>
      <c r="M6079" s="291"/>
      <c r="S6079" s="364"/>
      <c r="Z6079" s="609" t="s">
        <v>2020</v>
      </c>
      <c r="AA6079" s="609"/>
    </row>
    <row r="6080" spans="1:27" ht="18">
      <c r="A6080" s="2712"/>
      <c r="B6080" s="371">
        <v>102</v>
      </c>
      <c r="C6080" s="371" t="s">
        <v>2791</v>
      </c>
      <c r="D6080" s="2714">
        <f>IF(OR(G6080="*",G6080="",G6080=0),0,COUNTIF($G$6079:$G$6082,G6080))</f>
        <v>0</v>
      </c>
      <c r="E6080" s="2719">
        <v>1</v>
      </c>
      <c r="F6080" s="294"/>
      <c r="G6080" s="1561" t="s">
        <v>2792</v>
      </c>
      <c r="H6080" s="309"/>
      <c r="I6080" s="388"/>
      <c r="J6080" s="291"/>
      <c r="K6080" s="291"/>
      <c r="L6080" s="291"/>
      <c r="M6080" s="291"/>
      <c r="S6080" s="364"/>
      <c r="Z6080" s="609" t="s">
        <v>2020</v>
      </c>
      <c r="AA6080" s="609"/>
    </row>
    <row r="6081" spans="1:27" ht="18">
      <c r="A6081" s="2712"/>
      <c r="B6081" s="371">
        <v>103</v>
      </c>
      <c r="C6081" s="371" t="s">
        <v>2791</v>
      </c>
      <c r="D6081" s="2714">
        <f>IF(OR(G6081="*",G6081="",G6081=0),0,COUNTIF($G$6079:$G$6082,G6081))</f>
        <v>0</v>
      </c>
      <c r="E6081" s="2719">
        <v>1</v>
      </c>
      <c r="F6081" s="294"/>
      <c r="G6081" s="1561" t="s">
        <v>2792</v>
      </c>
      <c r="H6081" s="309"/>
      <c r="I6081" s="388"/>
      <c r="J6081" s="291"/>
      <c r="K6081" s="291"/>
      <c r="L6081" s="291"/>
      <c r="M6081" s="291"/>
      <c r="S6081" s="364"/>
      <c r="Z6081" s="609" t="s">
        <v>2020</v>
      </c>
      <c r="AA6081" s="609"/>
    </row>
    <row r="6082" spans="1:27" ht="18.75" thickBot="1">
      <c r="A6082" s="2712"/>
      <c r="B6082" s="371"/>
      <c r="C6082" s="371"/>
      <c r="D6082" s="2714">
        <f>IF(OR(G6082="*",G6082="",G6082=0),0,COUNTIF($G$6079:$G$6082,G6082))</f>
        <v>1</v>
      </c>
      <c r="E6082" s="2719" t="s">
        <v>2751</v>
      </c>
      <c r="F6082" s="294"/>
      <c r="G6082" s="1527" t="s">
        <v>2752</v>
      </c>
      <c r="H6082" s="1525">
        <f>SUMPRODUCT($E6078:$E6081,H6078:H6081)</f>
        <v>0</v>
      </c>
      <c r="I6082" s="1569"/>
      <c r="J6082" s="291"/>
      <c r="K6082" s="291"/>
      <c r="L6082" s="291"/>
      <c r="M6082" s="291"/>
      <c r="S6082" s="364"/>
      <c r="Z6082" s="609" t="s">
        <v>2020</v>
      </c>
      <c r="AA6082" s="609"/>
    </row>
    <row r="6083" spans="1:27" ht="18">
      <c r="A6083" s="2712"/>
      <c r="B6083" s="371"/>
      <c r="C6083" s="371" t="s">
        <v>2755</v>
      </c>
      <c r="D6083" s="371"/>
      <c r="F6083" s="294"/>
      <c r="G6083" s="301"/>
      <c r="H6083" s="315"/>
      <c r="I6083" s="393"/>
      <c r="J6083" s="291"/>
      <c r="K6083" s="291"/>
      <c r="L6083" s="291"/>
      <c r="M6083" s="291"/>
      <c r="S6083" s="364"/>
      <c r="Z6083" s="609" t="s">
        <v>2020</v>
      </c>
      <c r="AA6083" s="609"/>
    </row>
    <row r="6084" spans="1:27" ht="18">
      <c r="A6084" s="2712">
        <v>7507</v>
      </c>
      <c r="B6084" s="371">
        <v>79.040000000000006</v>
      </c>
      <c r="C6084" s="2714" t="str">
        <f>VLOOKUP($A6084,Sheet_Items,2,0)</f>
        <v>长期待摊费用摊销</v>
      </c>
      <c r="D6084" s="371"/>
      <c r="E6084" s="2714" t="s">
        <v>2739</v>
      </c>
      <c r="F6084" s="294"/>
      <c r="G6084" s="536" t="str">
        <f>B6084&amp;" "&amp;C6084</f>
        <v>79.04 长期待摊费用摊销</v>
      </c>
      <c r="H6084" s="322"/>
      <c r="I6084" s="322"/>
      <c r="J6084" s="306" t="s">
        <v>4206</v>
      </c>
      <c r="K6084" s="341">
        <f>VLOOKUP($A6084,Sheet_Trialbal,6,0)</f>
        <v>991288.81</v>
      </c>
      <c r="L6084" s="342"/>
      <c r="M6084" s="306"/>
      <c r="N6084" s="341"/>
      <c r="O6084" s="306"/>
      <c r="P6084" s="301"/>
      <c r="S6084" s="364"/>
      <c r="Z6084" s="609" t="s">
        <v>2024</v>
      </c>
      <c r="AA6084" s="609"/>
    </row>
    <row r="6085" spans="1:27" ht="36">
      <c r="A6085" s="2712" t="s">
        <v>2022</v>
      </c>
      <c r="B6085" s="371">
        <v>1</v>
      </c>
      <c r="C6085" s="371"/>
      <c r="D6085" s="2714" t="str">
        <f>VLOOKUP($A6085,Sheet_NoteList,2,0)</f>
        <v>将净利润调节为经营活动现金流量：长期待摊费用摊销</v>
      </c>
      <c r="E6085" s="2714" t="s">
        <v>2742</v>
      </c>
      <c r="F6085" s="294"/>
      <c r="G6085" s="372" t="str">
        <f>"("&amp;B6085&amp;")"&amp;D6085</f>
        <v>(1)将净利润调节为经营活动现金流量：长期待摊费用摊销</v>
      </c>
      <c r="H6085" s="1515" t="str">
        <f>$A6085</f>
        <v>7507a</v>
      </c>
      <c r="I6085" s="343" t="s">
        <v>2743</v>
      </c>
      <c r="J6085" s="301" t="s">
        <v>4712</v>
      </c>
      <c r="K6085" s="2208">
        <f>H6091</f>
        <v>0</v>
      </c>
      <c r="L6085" s="345">
        <f>IF(ROUND(K6084-K6085,2)=0,"F/S",ROUND(K6084-K6085,2))</f>
        <v>991288.81</v>
      </c>
      <c r="M6085" s="532" t="s">
        <v>4713</v>
      </c>
      <c r="N6085" s="3083"/>
      <c r="O6085" s="315"/>
      <c r="P6085" s="301"/>
      <c r="S6085" s="364"/>
      <c r="Z6085" s="609" t="s">
        <v>2024</v>
      </c>
      <c r="AA6085" s="609"/>
    </row>
    <row r="6086" spans="1:27" ht="0.75" customHeight="1" thickBot="1">
      <c r="A6086" s="2712"/>
      <c r="B6086" s="371"/>
      <c r="C6086" s="371"/>
      <c r="D6086" s="371"/>
      <c r="F6086" s="294"/>
      <c r="G6086" s="294" t="s">
        <v>4798</v>
      </c>
      <c r="H6086" s="294" t="s">
        <v>3472</v>
      </c>
      <c r="I6086" s="294" t="s">
        <v>2821</v>
      </c>
      <c r="J6086" s="291"/>
      <c r="K6086" s="291"/>
      <c r="L6086" s="291"/>
      <c r="M6086" s="291"/>
      <c r="S6086" s="364"/>
      <c r="Z6086" s="609" t="s">
        <v>2024</v>
      </c>
      <c r="AA6086" s="609"/>
    </row>
    <row r="6087" spans="1:27" ht="18">
      <c r="A6087" s="2712"/>
      <c r="B6087" s="371"/>
      <c r="C6087" s="371"/>
      <c r="D6087" s="371"/>
      <c r="E6087" s="2714" t="s">
        <v>2749</v>
      </c>
      <c r="F6087" s="294"/>
      <c r="G6087" s="1562" t="s">
        <v>47</v>
      </c>
      <c r="H6087" s="1563" t="s">
        <v>2587</v>
      </c>
      <c r="I6087" s="1564" t="s">
        <v>2508</v>
      </c>
      <c r="J6087" s="291"/>
      <c r="K6087" s="291"/>
      <c r="L6087" s="291"/>
      <c r="M6087" s="291"/>
      <c r="S6087" s="364"/>
      <c r="Z6087" s="609" t="s">
        <v>2024</v>
      </c>
      <c r="AA6087" s="609"/>
    </row>
    <row r="6088" spans="1:27" ht="18">
      <c r="A6088" s="2712"/>
      <c r="B6088" s="371">
        <v>101</v>
      </c>
      <c r="C6088" s="371"/>
      <c r="D6088" s="2714">
        <f>IF(OR(G6088="*",G6088="",G6088=0),0,COUNTIF($G$6088:$G$6091,G6088))</f>
        <v>1</v>
      </c>
      <c r="E6088" s="2719">
        <v>1</v>
      </c>
      <c r="F6088" s="294"/>
      <c r="G6088" s="308" t="s">
        <v>4799</v>
      </c>
      <c r="H6088" s="309"/>
      <c r="I6088" s="388"/>
      <c r="J6088" s="291"/>
      <c r="K6088" s="291"/>
      <c r="L6088" s="291"/>
      <c r="M6088" s="291"/>
      <c r="S6088" s="364"/>
      <c r="Z6088" s="609" t="s">
        <v>2024</v>
      </c>
      <c r="AA6088" s="609"/>
    </row>
    <row r="6089" spans="1:27" ht="18">
      <c r="A6089" s="2712"/>
      <c r="B6089" s="371">
        <v>102</v>
      </c>
      <c r="C6089" s="371" t="s">
        <v>2791</v>
      </c>
      <c r="D6089" s="2714">
        <f>IF(OR(G6089="*",G6089="",G6089=0),0,COUNTIF($G$6088:$G$6091,G6089))</f>
        <v>0</v>
      </c>
      <c r="E6089" s="2719">
        <v>1</v>
      </c>
      <c r="F6089" s="294"/>
      <c r="G6089" s="1561" t="s">
        <v>2792</v>
      </c>
      <c r="H6089" s="309"/>
      <c r="I6089" s="388"/>
      <c r="J6089" s="291"/>
      <c r="K6089" s="291"/>
      <c r="L6089" s="291"/>
      <c r="M6089" s="291"/>
      <c r="S6089" s="364"/>
      <c r="Z6089" s="609" t="s">
        <v>2024</v>
      </c>
      <c r="AA6089" s="609"/>
    </row>
    <row r="6090" spans="1:27" ht="18">
      <c r="A6090" s="2712"/>
      <c r="B6090" s="371">
        <v>103</v>
      </c>
      <c r="C6090" s="371" t="s">
        <v>2791</v>
      </c>
      <c r="D6090" s="2714">
        <f>IF(OR(G6090="*",G6090="",G6090=0),0,COUNTIF($G$6088:$G$6091,G6090))</f>
        <v>0</v>
      </c>
      <c r="E6090" s="2719">
        <v>1</v>
      </c>
      <c r="F6090" s="294"/>
      <c r="G6090" s="1561" t="s">
        <v>2792</v>
      </c>
      <c r="H6090" s="309"/>
      <c r="I6090" s="388"/>
      <c r="J6090" s="291"/>
      <c r="K6090" s="291"/>
      <c r="L6090" s="291"/>
      <c r="M6090" s="291"/>
      <c r="S6090" s="364"/>
      <c r="Z6090" s="609" t="s">
        <v>2024</v>
      </c>
      <c r="AA6090" s="609"/>
    </row>
    <row r="6091" spans="1:27" ht="18.75" thickBot="1">
      <c r="A6091" s="2712"/>
      <c r="B6091" s="371"/>
      <c r="C6091" s="371"/>
      <c r="D6091" s="2714">
        <f>IF(OR(G6091="*",G6091="",G6091=0),0,COUNTIF($G$6088:$G$6091,G6091))</f>
        <v>1</v>
      </c>
      <c r="E6091" s="2719" t="s">
        <v>2751</v>
      </c>
      <c r="F6091" s="294"/>
      <c r="G6091" s="1527" t="s">
        <v>2752</v>
      </c>
      <c r="H6091" s="1525">
        <f>SUMPRODUCT($E6087:$E6090,H6087:H6090)</f>
        <v>0</v>
      </c>
      <c r="I6091" s="1569"/>
      <c r="J6091" s="291"/>
      <c r="K6091" s="291"/>
      <c r="L6091" s="291"/>
      <c r="M6091" s="291"/>
      <c r="S6091" s="364"/>
      <c r="Z6091" s="609" t="s">
        <v>2024</v>
      </c>
      <c r="AA6091" s="609"/>
    </row>
    <row r="6092" spans="1:27" ht="18">
      <c r="A6092" s="2712"/>
      <c r="B6092" s="371"/>
      <c r="C6092" s="371" t="s">
        <v>2755</v>
      </c>
      <c r="D6092" s="371"/>
      <c r="F6092" s="294"/>
      <c r="G6092" s="301"/>
      <c r="H6092" s="315"/>
      <c r="I6092" s="393"/>
      <c r="J6092" s="291"/>
      <c r="K6092" s="291"/>
      <c r="L6092" s="291"/>
      <c r="M6092" s="291"/>
      <c r="S6092" s="364"/>
      <c r="Z6092" s="609" t="s">
        <v>2024</v>
      </c>
      <c r="AA6092" s="609"/>
    </row>
    <row r="6093" spans="1:27" ht="18">
      <c r="A6093" s="2712">
        <v>7508</v>
      </c>
      <c r="B6093" s="371">
        <v>79.05</v>
      </c>
      <c r="C6093" s="2714" t="str">
        <f>VLOOKUP($A6093,Sheet_Items,2,0)</f>
        <v>处置固定资产、无形资产和其他长期资产的损失</v>
      </c>
      <c r="D6093" s="371"/>
      <c r="E6093" s="2714" t="s">
        <v>2739</v>
      </c>
      <c r="F6093" s="294"/>
      <c r="G6093" s="536" t="str">
        <f>B6093&amp;" "&amp;C6093</f>
        <v>79.05 处置固定资产、无形资产和其他长期资产的损失</v>
      </c>
      <c r="H6093" s="322"/>
      <c r="I6093" s="322"/>
      <c r="J6093" s="306" t="s">
        <v>4206</v>
      </c>
      <c r="K6093" s="341">
        <f>VLOOKUP($A6093,Sheet_Trialbal,6,0)</f>
        <v>-4370781.55</v>
      </c>
      <c r="L6093" s="342"/>
      <c r="M6093" s="306"/>
      <c r="N6093" s="341"/>
      <c r="O6093" s="306"/>
      <c r="P6093" s="301"/>
      <c r="S6093" s="364"/>
      <c r="Z6093" s="609" t="s">
        <v>2028</v>
      </c>
      <c r="AA6093" s="609"/>
    </row>
    <row r="6094" spans="1:27" ht="48">
      <c r="A6094" s="2712" t="s">
        <v>2026</v>
      </c>
      <c r="B6094" s="371">
        <v>1</v>
      </c>
      <c r="C6094" s="371"/>
      <c r="D6094" s="2714" t="str">
        <f>VLOOKUP($A6094,Sheet_NoteList,2,0)</f>
        <v>将净利润调节为经营活动现金流量：处置固定资产、无形资产和其他长期资产的损失</v>
      </c>
      <c r="E6094" s="2714" t="s">
        <v>2742</v>
      </c>
      <c r="F6094" s="294"/>
      <c r="G6094" s="372" t="str">
        <f>"("&amp;B6094&amp;")"&amp;D6094</f>
        <v>(1)将净利润调节为经营活动现金流量：处置固定资产、无形资产和其他长期资产的损失</v>
      </c>
      <c r="H6094" s="1515" t="str">
        <f>$A6094</f>
        <v>7508a</v>
      </c>
      <c r="I6094" s="343" t="s">
        <v>2743</v>
      </c>
      <c r="J6094" s="301" t="s">
        <v>4712</v>
      </c>
      <c r="K6094" s="2208">
        <f>H6105</f>
        <v>0</v>
      </c>
      <c r="L6094" s="345">
        <f>IF(ROUND(K6093-K6094,2)=0,"F/S",ROUND(K6093-K6094,2))</f>
        <v>-4370781.55</v>
      </c>
      <c r="M6094" s="532" t="s">
        <v>4713</v>
      </c>
      <c r="N6094" s="3083"/>
      <c r="O6094" s="315"/>
      <c r="P6094" s="301"/>
      <c r="S6094" s="364"/>
      <c r="Z6094" s="609" t="s">
        <v>2028</v>
      </c>
      <c r="AA6094" s="609"/>
    </row>
    <row r="6095" spans="1:27" ht="0.75" customHeight="1" thickBot="1">
      <c r="A6095" s="2712"/>
      <c r="B6095" s="371"/>
      <c r="C6095" s="371"/>
      <c r="D6095" s="371"/>
      <c r="F6095" s="294"/>
      <c r="G6095" s="294" t="s">
        <v>4800</v>
      </c>
      <c r="H6095" s="294" t="s">
        <v>3472</v>
      </c>
      <c r="I6095" s="294" t="s">
        <v>2821</v>
      </c>
      <c r="J6095" s="291"/>
      <c r="K6095" s="291"/>
      <c r="L6095" s="291"/>
      <c r="M6095" s="291"/>
      <c r="S6095" s="364"/>
      <c r="Z6095" s="609" t="s">
        <v>2028</v>
      </c>
      <c r="AA6095" s="609"/>
    </row>
    <row r="6096" spans="1:27" ht="18">
      <c r="A6096" s="2712"/>
      <c r="B6096" s="371"/>
      <c r="C6096" s="371"/>
      <c r="D6096" s="371"/>
      <c r="E6096" s="2714" t="s">
        <v>2749</v>
      </c>
      <c r="F6096" s="294"/>
      <c r="G6096" s="1592" t="s">
        <v>47</v>
      </c>
      <c r="H6096" s="1590" t="s">
        <v>2587</v>
      </c>
      <c r="I6096" s="1591" t="s">
        <v>2508</v>
      </c>
      <c r="J6096" s="291"/>
      <c r="K6096" s="291"/>
      <c r="L6096" s="291"/>
      <c r="M6096" s="291"/>
      <c r="S6096" s="364"/>
      <c r="Z6096" s="609" t="s">
        <v>2028</v>
      </c>
      <c r="AA6096" s="609"/>
    </row>
    <row r="6097" spans="1:27" ht="18">
      <c r="A6097" s="2712"/>
      <c r="B6097" s="371">
        <v>101</v>
      </c>
      <c r="C6097" s="371" t="s">
        <v>2791</v>
      </c>
      <c r="D6097" s="2714">
        <f t="shared" ref="D6097:D6105" si="645">IF(OR(G6097="*",G6097="",G6097=0),0,COUNTIF($G$6097:$G$6105,G6097))</f>
        <v>0</v>
      </c>
      <c r="E6097" s="2719">
        <v>1</v>
      </c>
      <c r="F6097" s="294"/>
      <c r="G6097" s="1589" t="s">
        <v>2792</v>
      </c>
      <c r="H6097" s="309"/>
      <c r="I6097" s="388"/>
      <c r="J6097" s="291"/>
      <c r="K6097" s="291"/>
      <c r="L6097" s="291"/>
      <c r="M6097" s="291"/>
      <c r="S6097" s="364"/>
      <c r="Z6097" s="609" t="s">
        <v>2028</v>
      </c>
      <c r="AA6097" s="609"/>
    </row>
    <row r="6098" spans="1:27" ht="18">
      <c r="A6098" s="2712"/>
      <c r="B6098" s="371">
        <v>102</v>
      </c>
      <c r="C6098" s="371" t="s">
        <v>2791</v>
      </c>
      <c r="D6098" s="2714">
        <f t="shared" si="645"/>
        <v>0</v>
      </c>
      <c r="E6098" s="2719">
        <v>1</v>
      </c>
      <c r="F6098" s="294"/>
      <c r="G6098" s="1589" t="s">
        <v>2792</v>
      </c>
      <c r="H6098" s="309"/>
      <c r="I6098" s="388"/>
      <c r="J6098" s="291"/>
      <c r="K6098" s="291"/>
      <c r="L6098" s="291"/>
      <c r="M6098" s="291"/>
      <c r="S6098" s="364"/>
      <c r="Z6098" s="609" t="s">
        <v>2028</v>
      </c>
      <c r="AA6098" s="609"/>
    </row>
    <row r="6099" spans="1:27" ht="24">
      <c r="A6099" s="2712"/>
      <c r="B6099" s="371">
        <v>103</v>
      </c>
      <c r="C6099" s="371"/>
      <c r="D6099" s="2714">
        <f t="shared" si="645"/>
        <v>1</v>
      </c>
      <c r="E6099" s="2719">
        <v>-1</v>
      </c>
      <c r="F6099" s="294"/>
      <c r="G6099" s="308" t="s">
        <v>5520</v>
      </c>
      <c r="H6099" s="309"/>
      <c r="I6099" s="388"/>
      <c r="J6099" s="291"/>
      <c r="K6099" s="291"/>
      <c r="L6099" s="291"/>
      <c r="M6099" s="291"/>
      <c r="S6099" s="364"/>
      <c r="Z6099" s="609" t="s">
        <v>2028</v>
      </c>
      <c r="AA6099" s="609"/>
    </row>
    <row r="6100" spans="1:27" ht="24">
      <c r="A6100" s="2712"/>
      <c r="B6100" s="371">
        <v>104</v>
      </c>
      <c r="C6100" s="371"/>
      <c r="D6100" s="2714">
        <f t="shared" si="645"/>
        <v>1</v>
      </c>
      <c r="E6100" s="2719">
        <v>-1</v>
      </c>
      <c r="F6100" s="294"/>
      <c r="G6100" s="308" t="s">
        <v>5518</v>
      </c>
      <c r="H6100" s="309"/>
      <c r="I6100" s="388"/>
      <c r="J6100" s="291"/>
      <c r="K6100" s="291"/>
      <c r="L6100" s="291"/>
      <c r="M6100" s="291"/>
      <c r="S6100" s="364"/>
      <c r="Z6100" s="609" t="s">
        <v>2028</v>
      </c>
      <c r="AA6100" s="609"/>
    </row>
    <row r="6101" spans="1:27" ht="24">
      <c r="A6101" s="2712"/>
      <c r="B6101" s="371">
        <v>105</v>
      </c>
      <c r="C6101" s="371"/>
      <c r="D6101" s="2714">
        <f t="shared" si="645"/>
        <v>1</v>
      </c>
      <c r="E6101" s="2719">
        <v>-1</v>
      </c>
      <c r="F6101" s="294"/>
      <c r="G6101" s="308" t="s">
        <v>5519</v>
      </c>
      <c r="H6101" s="309"/>
      <c r="I6101" s="388"/>
      <c r="J6101" s="291"/>
      <c r="K6101" s="291"/>
      <c r="L6101" s="291"/>
      <c r="M6101" s="291"/>
      <c r="S6101" s="364"/>
      <c r="Z6101" s="609" t="s">
        <v>2028</v>
      </c>
      <c r="AA6101" s="609"/>
    </row>
    <row r="6102" spans="1:27" ht="18">
      <c r="A6102" s="2712"/>
      <c r="B6102" s="371">
        <v>106</v>
      </c>
      <c r="C6102" s="371" t="s">
        <v>2791</v>
      </c>
      <c r="D6102" s="2714">
        <f t="shared" si="645"/>
        <v>0</v>
      </c>
      <c r="E6102" s="2719">
        <v>-1</v>
      </c>
      <c r="F6102" s="294"/>
      <c r="G6102" s="1589" t="s">
        <v>2792</v>
      </c>
      <c r="H6102" s="309"/>
      <c r="I6102" s="388"/>
      <c r="J6102" s="291"/>
      <c r="K6102" s="291"/>
      <c r="L6102" s="291"/>
      <c r="M6102" s="291"/>
      <c r="S6102" s="364"/>
      <c r="Z6102" s="609" t="s">
        <v>2028</v>
      </c>
      <c r="AA6102" s="609"/>
    </row>
    <row r="6103" spans="1:27" ht="18">
      <c r="A6103" s="2712"/>
      <c r="B6103" s="371">
        <v>107</v>
      </c>
      <c r="C6103" s="371" t="s">
        <v>6530</v>
      </c>
      <c r="D6103" s="2714">
        <f t="shared" si="645"/>
        <v>0</v>
      </c>
      <c r="E6103" s="2719">
        <v>-1</v>
      </c>
      <c r="F6103" s="294"/>
      <c r="G6103" s="1589" t="s">
        <v>2792</v>
      </c>
      <c r="H6103" s="309"/>
      <c r="I6103" s="388"/>
      <c r="J6103" s="291"/>
      <c r="K6103" s="291"/>
      <c r="L6103" s="291"/>
      <c r="M6103" s="291"/>
      <c r="S6103" s="364"/>
      <c r="Z6103" s="609" t="s">
        <v>2028</v>
      </c>
      <c r="AA6103" s="609"/>
    </row>
    <row r="6104" spans="1:27" ht="18">
      <c r="A6104" s="2712"/>
      <c r="B6104" s="371">
        <v>108</v>
      </c>
      <c r="C6104" s="371" t="s">
        <v>6530</v>
      </c>
      <c r="D6104" s="2714">
        <f t="shared" si="645"/>
        <v>0</v>
      </c>
      <c r="E6104" s="2719">
        <v>-1</v>
      </c>
      <c r="F6104" s="294"/>
      <c r="G6104" s="1589" t="s">
        <v>2792</v>
      </c>
      <c r="H6104" s="309"/>
      <c r="I6104" s="388"/>
      <c r="J6104" s="291"/>
      <c r="K6104" s="291"/>
      <c r="L6104" s="291"/>
      <c r="M6104" s="291"/>
      <c r="S6104" s="364"/>
      <c r="Z6104" s="609" t="s">
        <v>2028</v>
      </c>
      <c r="AA6104" s="609"/>
    </row>
    <row r="6105" spans="1:27" ht="18.75" thickBot="1">
      <c r="A6105" s="2712"/>
      <c r="B6105" s="371"/>
      <c r="C6105" s="371"/>
      <c r="D6105" s="2714">
        <f t="shared" si="645"/>
        <v>1</v>
      </c>
      <c r="E6105" s="2719" t="s">
        <v>2751</v>
      </c>
      <c r="F6105" s="294"/>
      <c r="G6105" s="1527" t="s">
        <v>2752</v>
      </c>
      <c r="H6105" s="1525">
        <f>SUMPRODUCT($E6096:$E6104,H6096:H6104)</f>
        <v>0</v>
      </c>
      <c r="I6105" s="1569"/>
      <c r="J6105" s="291"/>
      <c r="K6105" s="291"/>
      <c r="L6105" s="291"/>
      <c r="M6105" s="291"/>
      <c r="S6105" s="364"/>
      <c r="Z6105" s="609" t="s">
        <v>2028</v>
      </c>
      <c r="AA6105" s="609"/>
    </row>
    <row r="6106" spans="1:27" ht="18">
      <c r="A6106" s="2712"/>
      <c r="B6106" s="371"/>
      <c r="C6106" s="371" t="s">
        <v>2755</v>
      </c>
      <c r="D6106" s="371"/>
      <c r="F6106" s="294"/>
      <c r="G6106" s="301"/>
      <c r="H6106" s="315"/>
      <c r="I6106" s="393"/>
      <c r="J6106" s="291"/>
      <c r="K6106" s="291"/>
      <c r="L6106" s="291"/>
      <c r="M6106" s="291"/>
      <c r="S6106" s="364"/>
      <c r="Z6106" s="609" t="s">
        <v>2028</v>
      </c>
      <c r="AA6106" s="609"/>
    </row>
    <row r="6107" spans="1:27" ht="18">
      <c r="A6107" s="2712">
        <v>7509</v>
      </c>
      <c r="B6107" s="371">
        <v>79.06</v>
      </c>
      <c r="C6107" s="2714" t="str">
        <f>VLOOKUP($A6107,Sheet_Items,2,0)</f>
        <v>固定资产报废损失</v>
      </c>
      <c r="D6107" s="371"/>
      <c r="E6107" s="2714" t="s">
        <v>2739</v>
      </c>
      <c r="F6107" s="294"/>
      <c r="G6107" s="536" t="str">
        <f>B6107&amp;" "&amp;C6107</f>
        <v>79.06 固定资产报废损失</v>
      </c>
      <c r="H6107" s="322"/>
      <c r="I6107" s="322"/>
      <c r="J6107" s="306" t="s">
        <v>4206</v>
      </c>
      <c r="K6107" s="341">
        <f>VLOOKUP($A6107,Sheet_Trialbal,6,0)</f>
        <v>1573265.7</v>
      </c>
      <c r="L6107" s="342"/>
      <c r="M6107" s="306"/>
      <c r="N6107" s="341"/>
      <c r="O6107" s="306"/>
      <c r="P6107" s="301"/>
      <c r="S6107" s="364"/>
      <c r="Z6107" s="609" t="s">
        <v>2032</v>
      </c>
      <c r="AA6107" s="609"/>
    </row>
    <row r="6108" spans="1:27" ht="36">
      <c r="A6108" s="2712" t="s">
        <v>2030</v>
      </c>
      <c r="B6108" s="371">
        <v>1</v>
      </c>
      <c r="C6108" s="371"/>
      <c r="D6108" s="2714" t="str">
        <f>VLOOKUP($A6108,Sheet_NoteList,2,0)</f>
        <v>将净利润调节为经营活动现金流量：固定资产报废损失</v>
      </c>
      <c r="E6108" s="2714" t="s">
        <v>2742</v>
      </c>
      <c r="F6108" s="294"/>
      <c r="G6108" s="372" t="str">
        <f>"("&amp;B6108&amp;")"&amp;D6108</f>
        <v>(1)将净利润调节为经营活动现金流量：固定资产报废损失</v>
      </c>
      <c r="H6108" s="1515" t="str">
        <f>$A6108</f>
        <v>7509a</v>
      </c>
      <c r="I6108" s="343" t="s">
        <v>2743</v>
      </c>
      <c r="J6108" s="301" t="s">
        <v>4712</v>
      </c>
      <c r="K6108" s="2208">
        <f>H6115</f>
        <v>0</v>
      </c>
      <c r="L6108" s="345">
        <f>IF(ROUND(K6107-K6108,2)=0,"F/S",ROUND(K6107-K6108,2))</f>
        <v>1573265.7</v>
      </c>
      <c r="M6108" s="532" t="s">
        <v>4713</v>
      </c>
      <c r="N6108" s="3083"/>
      <c r="O6108" s="315"/>
      <c r="P6108" s="301"/>
      <c r="S6108" s="364"/>
      <c r="Z6108" s="609" t="s">
        <v>2032</v>
      </c>
      <c r="AA6108" s="609"/>
    </row>
    <row r="6109" spans="1:27" ht="0.75" customHeight="1" thickBot="1">
      <c r="A6109" s="2712"/>
      <c r="B6109" s="371"/>
      <c r="C6109" s="371"/>
      <c r="D6109" s="371"/>
      <c r="F6109" s="294"/>
      <c r="G6109" s="294" t="s">
        <v>4807</v>
      </c>
      <c r="H6109" s="294" t="s">
        <v>3472</v>
      </c>
      <c r="I6109" s="294" t="s">
        <v>2821</v>
      </c>
      <c r="J6109" s="291"/>
      <c r="K6109" s="291"/>
      <c r="L6109" s="291"/>
      <c r="M6109" s="291"/>
      <c r="S6109" s="364"/>
      <c r="Z6109" s="609" t="s">
        <v>2032</v>
      </c>
      <c r="AA6109" s="609"/>
    </row>
    <row r="6110" spans="1:27" ht="18">
      <c r="A6110" s="2712"/>
      <c r="B6110" s="371"/>
      <c r="C6110" s="371"/>
      <c r="D6110" s="371"/>
      <c r="E6110" s="2714" t="s">
        <v>2749</v>
      </c>
      <c r="F6110" s="294"/>
      <c r="G6110" s="1562" t="s">
        <v>47</v>
      </c>
      <c r="H6110" s="1563" t="s">
        <v>2587</v>
      </c>
      <c r="I6110" s="1564" t="s">
        <v>2508</v>
      </c>
      <c r="J6110" s="291"/>
      <c r="K6110" s="291"/>
      <c r="L6110" s="291"/>
      <c r="M6110" s="291"/>
      <c r="S6110" s="364"/>
      <c r="Z6110" s="609" t="s">
        <v>2032</v>
      </c>
      <c r="AA6110" s="609"/>
    </row>
    <row r="6111" spans="1:27" ht="24">
      <c r="A6111" s="2712"/>
      <c r="B6111" s="371">
        <v>101</v>
      </c>
      <c r="C6111" s="371"/>
      <c r="D6111" s="2714">
        <f>IF(OR(G6111="*",G6111="",G6111=0),0,COUNTIF($G$6111:$G$6115,G6111))</f>
        <v>1</v>
      </c>
      <c r="E6111" s="2719">
        <v>1</v>
      </c>
      <c r="F6111" s="294"/>
      <c r="G6111" s="308" t="s">
        <v>4808</v>
      </c>
      <c r="H6111" s="309"/>
      <c r="I6111" s="388"/>
      <c r="J6111" s="291"/>
      <c r="K6111" s="291"/>
      <c r="L6111" s="291"/>
      <c r="M6111" s="291"/>
      <c r="S6111" s="364"/>
      <c r="Z6111" s="609" t="s">
        <v>2032</v>
      </c>
      <c r="AA6111" s="609"/>
    </row>
    <row r="6112" spans="1:27" ht="18">
      <c r="A6112" s="2712"/>
      <c r="B6112" s="371">
        <v>102</v>
      </c>
      <c r="C6112" s="371" t="s">
        <v>2791</v>
      </c>
      <c r="D6112" s="2714">
        <f>IF(OR(G6112="*",G6112="",G6112=0),0,COUNTIF($G$6111:$G$6115,G6112))</f>
        <v>0</v>
      </c>
      <c r="E6112" s="2719">
        <v>1</v>
      </c>
      <c r="F6112" s="294"/>
      <c r="G6112" s="1561" t="s">
        <v>2792</v>
      </c>
      <c r="H6112" s="309"/>
      <c r="I6112" s="388"/>
      <c r="J6112" s="291"/>
      <c r="K6112" s="291"/>
      <c r="L6112" s="291"/>
      <c r="M6112" s="291"/>
      <c r="S6112" s="364"/>
      <c r="Z6112" s="609" t="s">
        <v>2032</v>
      </c>
      <c r="AA6112" s="609"/>
    </row>
    <row r="6113" spans="1:27" ht="24">
      <c r="A6113" s="2712"/>
      <c r="B6113" s="371">
        <v>103</v>
      </c>
      <c r="C6113" s="371"/>
      <c r="D6113" s="2714">
        <f>IF(OR(G6113="*",G6113="",G6113=0),0,COUNTIF($G$6111:$G$6115,G6113))</f>
        <v>1</v>
      </c>
      <c r="E6113" s="2719">
        <v>-1</v>
      </c>
      <c r="F6113" s="294"/>
      <c r="G6113" s="308" t="s">
        <v>4809</v>
      </c>
      <c r="H6113" s="309"/>
      <c r="I6113" s="388"/>
      <c r="J6113" s="291"/>
      <c r="K6113" s="291"/>
      <c r="L6113" s="291"/>
      <c r="M6113" s="291"/>
      <c r="S6113" s="364"/>
      <c r="Z6113" s="609" t="s">
        <v>2032</v>
      </c>
      <c r="AA6113" s="609"/>
    </row>
    <row r="6114" spans="1:27" ht="18">
      <c r="A6114" s="2712"/>
      <c r="B6114" s="371">
        <v>104</v>
      </c>
      <c r="C6114" s="371" t="s">
        <v>2791</v>
      </c>
      <c r="D6114" s="2714">
        <f>IF(OR(G6114="*",G6114="",G6114=0),0,COUNTIF($G$6111:$G$6115,G6114))</f>
        <v>0</v>
      </c>
      <c r="E6114" s="2719">
        <v>-1</v>
      </c>
      <c r="F6114" s="294"/>
      <c r="G6114" s="1561" t="s">
        <v>2792</v>
      </c>
      <c r="H6114" s="309"/>
      <c r="I6114" s="388"/>
      <c r="J6114" s="291"/>
      <c r="K6114" s="291"/>
      <c r="L6114" s="291"/>
      <c r="M6114" s="291"/>
      <c r="S6114" s="364"/>
      <c r="Z6114" s="609" t="s">
        <v>2032</v>
      </c>
      <c r="AA6114" s="609"/>
    </row>
    <row r="6115" spans="1:27" ht="18.75" thickBot="1">
      <c r="A6115" s="2712"/>
      <c r="B6115" s="371"/>
      <c r="C6115" s="371"/>
      <c r="D6115" s="2714">
        <f>IF(OR(G6115="*",G6115="",G6115=0),0,COUNTIF($G$6111:$G$6115,G6115))</f>
        <v>1</v>
      </c>
      <c r="E6115" s="2719" t="s">
        <v>2751</v>
      </c>
      <c r="F6115" s="294"/>
      <c r="G6115" s="1527" t="s">
        <v>2752</v>
      </c>
      <c r="H6115" s="1525">
        <f>SUMPRODUCT($E6110:$E6114,H6110:H6114)</f>
        <v>0</v>
      </c>
      <c r="I6115" s="1569"/>
      <c r="J6115" s="291"/>
      <c r="K6115" s="291"/>
      <c r="L6115" s="291"/>
      <c r="M6115" s="291"/>
      <c r="S6115" s="364"/>
      <c r="Z6115" s="609" t="s">
        <v>2032</v>
      </c>
      <c r="AA6115" s="609"/>
    </row>
    <row r="6116" spans="1:27" ht="18">
      <c r="A6116" s="2712"/>
      <c r="B6116" s="371"/>
      <c r="C6116" s="371" t="s">
        <v>2755</v>
      </c>
      <c r="D6116" s="371"/>
      <c r="F6116" s="294"/>
      <c r="G6116" s="301"/>
      <c r="H6116" s="315"/>
      <c r="I6116" s="393"/>
      <c r="J6116" s="291"/>
      <c r="K6116" s="291"/>
      <c r="L6116" s="291"/>
      <c r="M6116" s="291"/>
      <c r="S6116" s="364"/>
      <c r="Z6116" s="609" t="s">
        <v>2032</v>
      </c>
      <c r="AA6116" s="609"/>
    </row>
    <row r="6117" spans="1:27" ht="18">
      <c r="A6117" s="2712">
        <v>7510</v>
      </c>
      <c r="B6117" s="371">
        <v>79.069999999999993</v>
      </c>
      <c r="C6117" s="2714" t="str">
        <f>VLOOKUP($A6117,Sheet_Items,2,0)</f>
        <v>公允价值变动损失</v>
      </c>
      <c r="D6117" s="371"/>
      <c r="E6117" s="2714" t="s">
        <v>2739</v>
      </c>
      <c r="F6117" s="294"/>
      <c r="G6117" s="536" t="str">
        <f>B6117&amp;" "&amp;C6117</f>
        <v>79.07 公允价值变动损失</v>
      </c>
      <c r="H6117" s="322"/>
      <c r="I6117" s="322"/>
      <c r="J6117" s="306" t="s">
        <v>4206</v>
      </c>
      <c r="K6117" s="341">
        <f>VLOOKUP($A6117,Sheet_Trialbal,6,0)</f>
        <v>0</v>
      </c>
      <c r="L6117" s="342"/>
      <c r="M6117" s="306"/>
      <c r="N6117" s="341"/>
      <c r="O6117" s="306"/>
      <c r="P6117" s="301"/>
      <c r="S6117" s="364"/>
      <c r="Z6117" s="609" t="s">
        <v>2037</v>
      </c>
      <c r="AA6117" s="609"/>
    </row>
    <row r="6118" spans="1:27" ht="36">
      <c r="A6118" s="2712" t="s">
        <v>2035</v>
      </c>
      <c r="B6118" s="371">
        <v>1</v>
      </c>
      <c r="C6118" s="371"/>
      <c r="D6118" s="2714" t="str">
        <f>VLOOKUP($A6118,Sheet_NoteList,2,0)</f>
        <v>将净利润调节为经营活动现金流量：公允价值变动损失</v>
      </c>
      <c r="E6118" s="2714" t="s">
        <v>2742</v>
      </c>
      <c r="F6118" s="294"/>
      <c r="G6118" s="372" t="str">
        <f>"("&amp;B6118&amp;")"&amp;D6118</f>
        <v>(1)将净利润调节为经营活动现金流量：公允价值变动损失</v>
      </c>
      <c r="H6118" s="1515" t="str">
        <f>$A6118</f>
        <v>7510a</v>
      </c>
      <c r="I6118" s="343" t="s">
        <v>2743</v>
      </c>
      <c r="J6118" s="301" t="s">
        <v>4712</v>
      </c>
      <c r="K6118" s="2208">
        <f>H6124</f>
        <v>0</v>
      </c>
      <c r="L6118" s="345" t="str">
        <f>IF(ROUND(K6117-K6118,2)=0,"F/S",ROUND(K6117-K6118,2))</f>
        <v>F/S</v>
      </c>
      <c r="M6118" s="532" t="s">
        <v>4713</v>
      </c>
      <c r="N6118" s="3083"/>
      <c r="O6118" s="315"/>
      <c r="P6118" s="301"/>
      <c r="S6118" s="364"/>
      <c r="Z6118" s="609" t="s">
        <v>2037</v>
      </c>
      <c r="AA6118" s="609"/>
    </row>
    <row r="6119" spans="1:27" ht="0.75" customHeight="1" thickBot="1">
      <c r="A6119" s="2712"/>
      <c r="B6119" s="371"/>
      <c r="C6119" s="371"/>
      <c r="D6119" s="371"/>
      <c r="F6119" s="294"/>
      <c r="G6119" s="294" t="s">
        <v>4810</v>
      </c>
      <c r="H6119" s="294" t="s">
        <v>3472</v>
      </c>
      <c r="I6119" s="294" t="s">
        <v>2821</v>
      </c>
      <c r="J6119" s="291"/>
      <c r="K6119" s="291"/>
      <c r="L6119" s="291"/>
      <c r="M6119" s="291"/>
      <c r="S6119" s="364"/>
      <c r="Z6119" s="609" t="s">
        <v>2037</v>
      </c>
      <c r="AA6119" s="609"/>
    </row>
    <row r="6120" spans="1:27" ht="18">
      <c r="A6120" s="2712"/>
      <c r="B6120" s="371"/>
      <c r="C6120" s="371"/>
      <c r="D6120" s="371"/>
      <c r="E6120" s="2714" t="s">
        <v>2749</v>
      </c>
      <c r="F6120" s="294"/>
      <c r="G6120" s="1562" t="s">
        <v>47</v>
      </c>
      <c r="H6120" s="1563" t="s">
        <v>2587</v>
      </c>
      <c r="I6120" s="1564" t="s">
        <v>2508</v>
      </c>
      <c r="J6120" s="291"/>
      <c r="K6120" s="291"/>
      <c r="L6120" s="291"/>
      <c r="M6120" s="291"/>
      <c r="S6120" s="364"/>
      <c r="Z6120" s="609" t="s">
        <v>2037</v>
      </c>
      <c r="AA6120" s="609"/>
    </row>
    <row r="6121" spans="1:27" ht="18">
      <c r="A6121" s="2712"/>
      <c r="B6121" s="371">
        <v>101</v>
      </c>
      <c r="C6121" s="371"/>
      <c r="D6121" s="2714">
        <f>IF(OR(G6121="*",G6121="",G6121=0),0,COUNTIF($G$6121:$G$6124,G6121))</f>
        <v>1</v>
      </c>
      <c r="E6121" s="2719">
        <v>1</v>
      </c>
      <c r="F6121" s="294"/>
      <c r="G6121" s="308" t="s">
        <v>4811</v>
      </c>
      <c r="H6121" s="309"/>
      <c r="I6121" s="388"/>
      <c r="J6121" s="291"/>
      <c r="K6121" s="291"/>
      <c r="L6121" s="291"/>
      <c r="M6121" s="291"/>
      <c r="S6121" s="364"/>
      <c r="Z6121" s="609" t="s">
        <v>2037</v>
      </c>
      <c r="AA6121" s="609"/>
    </row>
    <row r="6122" spans="1:27" ht="18">
      <c r="A6122" s="2712"/>
      <c r="B6122" s="371">
        <v>102</v>
      </c>
      <c r="C6122" s="371" t="s">
        <v>2791</v>
      </c>
      <c r="D6122" s="2714">
        <f>IF(OR(G6122="*",G6122="",G6122=0),0,COUNTIF($G$6121:$G$6124,G6122))</f>
        <v>0</v>
      </c>
      <c r="E6122" s="2719">
        <v>1</v>
      </c>
      <c r="F6122" s="294"/>
      <c r="G6122" s="1561" t="s">
        <v>2792</v>
      </c>
      <c r="H6122" s="309"/>
      <c r="I6122" s="388"/>
      <c r="J6122" s="291"/>
      <c r="K6122" s="291"/>
      <c r="L6122" s="291"/>
      <c r="M6122" s="291"/>
      <c r="S6122" s="364"/>
      <c r="Z6122" s="609" t="s">
        <v>2037</v>
      </c>
      <c r="AA6122" s="609"/>
    </row>
    <row r="6123" spans="1:27" ht="18">
      <c r="A6123" s="2712"/>
      <c r="B6123" s="371">
        <v>103</v>
      </c>
      <c r="C6123" s="371" t="s">
        <v>2791</v>
      </c>
      <c r="D6123" s="2714">
        <f>IF(OR(G6123="*",G6123="",G6123=0),0,COUNTIF($G$6121:$G$6124,G6123))</f>
        <v>0</v>
      </c>
      <c r="E6123" s="2719">
        <v>1</v>
      </c>
      <c r="F6123" s="294"/>
      <c r="G6123" s="1561" t="s">
        <v>2792</v>
      </c>
      <c r="H6123" s="309"/>
      <c r="I6123" s="388"/>
      <c r="J6123" s="291"/>
      <c r="K6123" s="291"/>
      <c r="L6123" s="291"/>
      <c r="M6123" s="291"/>
      <c r="S6123" s="364"/>
      <c r="Z6123" s="609" t="s">
        <v>2037</v>
      </c>
      <c r="AA6123" s="609"/>
    </row>
    <row r="6124" spans="1:27" ht="18.75" thickBot="1">
      <c r="A6124" s="2712"/>
      <c r="B6124" s="371"/>
      <c r="C6124" s="371"/>
      <c r="D6124" s="2714">
        <f>IF(OR(G6124="*",G6124="",G6124=0),0,COUNTIF($G$6121:$G$6124,G6124))</f>
        <v>1</v>
      </c>
      <c r="E6124" s="2719" t="s">
        <v>2751</v>
      </c>
      <c r="F6124" s="294"/>
      <c r="G6124" s="1527" t="s">
        <v>2752</v>
      </c>
      <c r="H6124" s="1525">
        <f>SUMPRODUCT($E6120:$E6123,H6120:H6123)</f>
        <v>0</v>
      </c>
      <c r="I6124" s="1569"/>
      <c r="J6124" s="291"/>
      <c r="K6124" s="291"/>
      <c r="L6124" s="291"/>
      <c r="M6124" s="291"/>
      <c r="S6124" s="364"/>
      <c r="Z6124" s="609" t="s">
        <v>2037</v>
      </c>
      <c r="AA6124" s="609"/>
    </row>
    <row r="6125" spans="1:27" ht="18">
      <c r="A6125" s="2712"/>
      <c r="B6125" s="371"/>
      <c r="C6125" s="371" t="s">
        <v>2755</v>
      </c>
      <c r="D6125" s="371"/>
      <c r="F6125" s="294"/>
      <c r="G6125" s="301"/>
      <c r="H6125" s="315"/>
      <c r="I6125" s="393"/>
      <c r="J6125" s="291"/>
      <c r="K6125" s="291"/>
      <c r="L6125" s="291"/>
      <c r="M6125" s="291"/>
      <c r="S6125" s="364"/>
      <c r="Z6125" s="609" t="s">
        <v>2037</v>
      </c>
      <c r="AA6125" s="609"/>
    </row>
    <row r="6126" spans="1:27" ht="18">
      <c r="A6126" s="2712">
        <v>7511</v>
      </c>
      <c r="B6126" s="371">
        <v>79.08</v>
      </c>
      <c r="C6126" s="2714" t="str">
        <f>VLOOKUP($A6126,Sheet_Items,2,0)</f>
        <v>财务费用金额</v>
      </c>
      <c r="D6126" s="371"/>
      <c r="E6126" s="2714" t="s">
        <v>2739</v>
      </c>
      <c r="F6126" s="294"/>
      <c r="G6126" s="536" t="str">
        <f>B6126&amp;" "&amp;C6126</f>
        <v>79.08 财务费用金额</v>
      </c>
      <c r="H6126" s="322"/>
      <c r="I6126" s="322"/>
      <c r="J6126" s="306" t="s">
        <v>4206</v>
      </c>
      <c r="K6126" s="341">
        <f>VLOOKUP($A6126,Sheet_Trialbal,6,0)</f>
        <v>2758672.02</v>
      </c>
      <c r="L6126" s="342"/>
      <c r="M6126" s="306"/>
      <c r="N6126" s="341"/>
      <c r="O6126" s="306"/>
      <c r="P6126" s="301"/>
      <c r="S6126" s="364"/>
      <c r="Z6126" s="609" t="s">
        <v>2040</v>
      </c>
      <c r="AA6126" s="609"/>
    </row>
    <row r="6127" spans="1:27" ht="24">
      <c r="A6127" s="2712" t="s">
        <v>2038</v>
      </c>
      <c r="B6127" s="371">
        <v>1</v>
      </c>
      <c r="C6127" s="371"/>
      <c r="D6127" s="2714" t="str">
        <f>VLOOKUP($A6127,Sheet_NoteList,2,0)</f>
        <v>将净利润调节为经营活动现金流量：财务费用金额</v>
      </c>
      <c r="E6127" s="2714" t="s">
        <v>2742</v>
      </c>
      <c r="F6127" s="294"/>
      <c r="G6127" s="372" t="str">
        <f>"("&amp;B6127&amp;")"&amp;D6127</f>
        <v>(1)将净利润调节为经营活动现金流量：财务费用金额</v>
      </c>
      <c r="H6127" s="1515" t="str">
        <f>$A6127</f>
        <v>7511a</v>
      </c>
      <c r="I6127" s="343" t="s">
        <v>2743</v>
      </c>
      <c r="J6127" s="301" t="s">
        <v>4712</v>
      </c>
      <c r="K6127" s="2208">
        <f>H6135</f>
        <v>0</v>
      </c>
      <c r="L6127" s="345">
        <f>IF(ROUND(K6126-K6127,2)=0,"F/S",ROUND(K6126-K6127,2))</f>
        <v>2758672.02</v>
      </c>
      <c r="M6127" s="532" t="s">
        <v>4713</v>
      </c>
      <c r="N6127" s="3083"/>
      <c r="O6127" s="315"/>
      <c r="P6127" s="301"/>
      <c r="S6127" s="364"/>
      <c r="Z6127" s="609" t="s">
        <v>2040</v>
      </c>
      <c r="AA6127" s="609"/>
    </row>
    <row r="6128" spans="1:27" ht="0.75" customHeight="1" thickBot="1">
      <c r="A6128" s="2712"/>
      <c r="B6128" s="371"/>
      <c r="C6128" s="371"/>
      <c r="D6128" s="371"/>
      <c r="F6128" s="294"/>
      <c r="G6128" s="294" t="s">
        <v>4812</v>
      </c>
      <c r="H6128" s="294" t="s">
        <v>3472</v>
      </c>
      <c r="I6128" s="294" t="s">
        <v>2821</v>
      </c>
      <c r="J6128" s="291"/>
      <c r="K6128" s="291"/>
      <c r="L6128" s="291"/>
      <c r="M6128" s="291"/>
      <c r="S6128" s="364"/>
      <c r="Z6128" s="609" t="s">
        <v>2040</v>
      </c>
      <c r="AA6128" s="609"/>
    </row>
    <row r="6129" spans="1:27" ht="18">
      <c r="A6129" s="2712"/>
      <c r="B6129" s="371"/>
      <c r="C6129" s="371"/>
      <c r="D6129" s="371"/>
      <c r="E6129" s="2714" t="s">
        <v>2749</v>
      </c>
      <c r="F6129" s="294"/>
      <c r="G6129" s="1562" t="s">
        <v>47</v>
      </c>
      <c r="H6129" s="1563" t="s">
        <v>2587</v>
      </c>
      <c r="I6129" s="1564" t="s">
        <v>2508</v>
      </c>
      <c r="J6129" s="291"/>
      <c r="K6129" s="291"/>
      <c r="L6129" s="291"/>
      <c r="M6129" s="291"/>
      <c r="S6129" s="364"/>
      <c r="Z6129" s="609" t="s">
        <v>2040</v>
      </c>
      <c r="AA6129" s="609"/>
    </row>
    <row r="6130" spans="1:27" ht="18">
      <c r="A6130" s="2712"/>
      <c r="B6130" s="371">
        <v>101</v>
      </c>
      <c r="C6130" s="371"/>
      <c r="D6130" s="2714">
        <f t="shared" ref="D6130:D6135" si="646">IF(OR(G6130="*",G6130="",G6130=0),0,COUNTIF($G$6130:$G$6135,G6130))</f>
        <v>1</v>
      </c>
      <c r="E6130" s="2719">
        <v>1</v>
      </c>
      <c r="F6130" s="294"/>
      <c r="G6130" s="308" t="s">
        <v>771</v>
      </c>
      <c r="H6130" s="309"/>
      <c r="I6130" s="388"/>
      <c r="J6130" s="291"/>
      <c r="K6130" s="291"/>
      <c r="L6130" s="291"/>
      <c r="M6130" s="291"/>
      <c r="S6130" s="364"/>
      <c r="Z6130" s="609" t="s">
        <v>2040</v>
      </c>
      <c r="AA6130" s="609"/>
    </row>
    <row r="6131" spans="1:27" ht="18">
      <c r="A6131" s="2712"/>
      <c r="B6131" s="371">
        <v>102</v>
      </c>
      <c r="C6131" s="371"/>
      <c r="D6131" s="2714">
        <f t="shared" si="646"/>
        <v>1</v>
      </c>
      <c r="E6131" s="2719">
        <v>-1</v>
      </c>
      <c r="F6131" s="294"/>
      <c r="G6131" s="308" t="s">
        <v>4271</v>
      </c>
      <c r="H6131" s="309"/>
      <c r="I6131" s="388"/>
      <c r="J6131" s="291"/>
      <c r="K6131" s="291"/>
      <c r="L6131" s="291"/>
      <c r="M6131" s="291"/>
      <c r="S6131" s="364"/>
      <c r="Z6131" s="609" t="s">
        <v>2040</v>
      </c>
      <c r="AA6131" s="609"/>
    </row>
    <row r="6132" spans="1:27" ht="24">
      <c r="A6132" s="2712"/>
      <c r="B6132" s="371">
        <v>103</v>
      </c>
      <c r="C6132" s="371"/>
      <c r="D6132" s="2714">
        <f t="shared" si="646"/>
        <v>1</v>
      </c>
      <c r="E6132" s="2719">
        <v>1</v>
      </c>
      <c r="F6132" s="294"/>
      <c r="G6132" s="308" t="s">
        <v>4813</v>
      </c>
      <c r="H6132" s="309"/>
      <c r="I6132" s="388"/>
      <c r="J6132" s="291"/>
      <c r="K6132" s="291"/>
      <c r="L6132" s="291"/>
      <c r="M6132" s="291"/>
      <c r="S6132" s="364"/>
      <c r="Z6132" s="609" t="s">
        <v>2040</v>
      </c>
      <c r="AA6132" s="609"/>
    </row>
    <row r="6133" spans="1:27" ht="24">
      <c r="A6133" s="2712"/>
      <c r="B6133" s="371">
        <v>104</v>
      </c>
      <c r="C6133" s="371"/>
      <c r="D6133" s="2714">
        <f t="shared" si="646"/>
        <v>1</v>
      </c>
      <c r="E6133" s="2719">
        <v>1</v>
      </c>
      <c r="F6133" s="294"/>
      <c r="G6133" s="308" t="s">
        <v>4814</v>
      </c>
      <c r="H6133" s="309"/>
      <c r="I6133" s="388"/>
      <c r="J6133" s="291"/>
      <c r="K6133" s="291"/>
      <c r="L6133" s="291"/>
      <c r="M6133" s="291"/>
      <c r="S6133" s="364"/>
      <c r="Z6133" s="609" t="s">
        <v>2040</v>
      </c>
      <c r="AA6133" s="609"/>
    </row>
    <row r="6134" spans="1:27" ht="18">
      <c r="A6134" s="2712"/>
      <c r="B6134" s="371">
        <v>108</v>
      </c>
      <c r="C6134" s="371" t="s">
        <v>2791</v>
      </c>
      <c r="D6134" s="2714">
        <f t="shared" si="646"/>
        <v>0</v>
      </c>
      <c r="E6134" s="2719">
        <v>1</v>
      </c>
      <c r="F6134" s="294"/>
      <c r="G6134" s="1561" t="s">
        <v>2792</v>
      </c>
      <c r="H6134" s="309"/>
      <c r="I6134" s="388"/>
      <c r="J6134" s="291"/>
      <c r="K6134" s="291"/>
      <c r="L6134" s="291"/>
      <c r="M6134" s="291"/>
      <c r="S6134" s="364"/>
      <c r="Z6134" s="609" t="s">
        <v>2040</v>
      </c>
      <c r="AA6134" s="609"/>
    </row>
    <row r="6135" spans="1:27" ht="18.75" thickBot="1">
      <c r="A6135" s="2712"/>
      <c r="B6135" s="371"/>
      <c r="C6135" s="371"/>
      <c r="D6135" s="2714">
        <f t="shared" si="646"/>
        <v>1</v>
      </c>
      <c r="E6135" s="2719" t="s">
        <v>2751</v>
      </c>
      <c r="F6135" s="294"/>
      <c r="G6135" s="1527" t="s">
        <v>2752</v>
      </c>
      <c r="H6135" s="1525">
        <f>SUMPRODUCT($E6129:$E6134,H6129:H6134)</f>
        <v>0</v>
      </c>
      <c r="I6135" s="1569"/>
      <c r="J6135" s="532"/>
      <c r="K6135" s="291"/>
      <c r="L6135" s="291"/>
      <c r="M6135" s="291"/>
      <c r="S6135" s="364"/>
      <c r="Z6135" s="609" t="s">
        <v>2040</v>
      </c>
      <c r="AA6135" s="609"/>
    </row>
    <row r="6136" spans="1:27" ht="18">
      <c r="A6136" s="2712"/>
      <c r="B6136" s="371"/>
      <c r="C6136" s="371" t="s">
        <v>2755</v>
      </c>
      <c r="D6136" s="371"/>
      <c r="F6136" s="294"/>
      <c r="G6136" s="301"/>
      <c r="H6136" s="315"/>
      <c r="I6136" s="393"/>
      <c r="J6136" s="291"/>
      <c r="K6136" s="291"/>
      <c r="L6136" s="291"/>
      <c r="M6136" s="291"/>
      <c r="S6136" s="364"/>
      <c r="Z6136" s="609" t="s">
        <v>2040</v>
      </c>
      <c r="AA6136" s="609"/>
    </row>
    <row r="6137" spans="1:27" ht="18">
      <c r="A6137" s="2712">
        <v>7512</v>
      </c>
      <c r="B6137" s="371">
        <v>79.09</v>
      </c>
      <c r="C6137" s="2714" t="str">
        <f>VLOOKUP($A6137,Sheet_Items,2,0)</f>
        <v>投资损失</v>
      </c>
      <c r="D6137" s="371"/>
      <c r="E6137" s="2714" t="s">
        <v>2739</v>
      </c>
      <c r="F6137" s="294"/>
      <c r="G6137" s="536" t="str">
        <f>B6137&amp;" "&amp;C6137</f>
        <v>79.09 投资损失</v>
      </c>
      <c r="H6137" s="322"/>
      <c r="I6137" s="322"/>
      <c r="J6137" s="306" t="s">
        <v>4206</v>
      </c>
      <c r="K6137" s="341">
        <f>VLOOKUP($A6137,Sheet_Trialbal,6,0)</f>
        <v>0</v>
      </c>
      <c r="L6137" s="342"/>
      <c r="M6137" s="306"/>
      <c r="N6137" s="341"/>
      <c r="O6137" s="306"/>
      <c r="P6137" s="301"/>
      <c r="S6137" s="364"/>
      <c r="Z6137" s="609" t="s">
        <v>2044</v>
      </c>
      <c r="AA6137" s="609"/>
    </row>
    <row r="6138" spans="1:27" ht="24">
      <c r="A6138" s="2712" t="s">
        <v>2042</v>
      </c>
      <c r="B6138" s="371">
        <v>1</v>
      </c>
      <c r="C6138" s="371"/>
      <c r="D6138" s="2714" t="str">
        <f>VLOOKUP($A6138,Sheet_NoteList,2,0)</f>
        <v>将净利润调节为经营活动现金流量：投资损失</v>
      </c>
      <c r="E6138" s="2714" t="s">
        <v>2742</v>
      </c>
      <c r="F6138" s="294"/>
      <c r="G6138" s="372" t="str">
        <f>"("&amp;B6138&amp;")"&amp;D6138</f>
        <v>(1)将净利润调节为经营活动现金流量：投资损失</v>
      </c>
      <c r="H6138" s="1515" t="str">
        <f>$A6138</f>
        <v>7512a</v>
      </c>
      <c r="I6138" s="343" t="s">
        <v>2743</v>
      </c>
      <c r="J6138" s="301" t="s">
        <v>4712</v>
      </c>
      <c r="K6138" s="2208">
        <f>H6144</f>
        <v>0</v>
      </c>
      <c r="L6138" s="345" t="str">
        <f>IF(ROUND(K6137-K6138,2)=0,"F/S",ROUND(K6137-K6138,2))</f>
        <v>F/S</v>
      </c>
      <c r="M6138" s="532" t="s">
        <v>4713</v>
      </c>
      <c r="N6138" s="3083"/>
      <c r="O6138" s="315"/>
      <c r="P6138" s="301"/>
      <c r="S6138" s="364"/>
      <c r="Z6138" s="609" t="s">
        <v>2044</v>
      </c>
      <c r="AA6138" s="609"/>
    </row>
    <row r="6139" spans="1:27" ht="0.75" customHeight="1" thickBot="1">
      <c r="A6139" s="2712"/>
      <c r="B6139" s="371"/>
      <c r="C6139" s="371"/>
      <c r="D6139" s="371"/>
      <c r="F6139" s="294"/>
      <c r="G6139" s="294" t="s">
        <v>4815</v>
      </c>
      <c r="H6139" s="294" t="s">
        <v>3472</v>
      </c>
      <c r="I6139" s="294" t="s">
        <v>2821</v>
      </c>
      <c r="J6139" s="291"/>
      <c r="K6139" s="291"/>
      <c r="L6139" s="291"/>
      <c r="M6139" s="291"/>
      <c r="S6139" s="364"/>
      <c r="Z6139" s="609" t="s">
        <v>2044</v>
      </c>
      <c r="AA6139" s="609"/>
    </row>
    <row r="6140" spans="1:27" ht="18">
      <c r="A6140" s="2712"/>
      <c r="B6140" s="371"/>
      <c r="C6140" s="371"/>
      <c r="D6140" s="371"/>
      <c r="E6140" s="2714" t="s">
        <v>2749</v>
      </c>
      <c r="F6140" s="294"/>
      <c r="G6140" s="1562" t="s">
        <v>47</v>
      </c>
      <c r="H6140" s="1563" t="s">
        <v>2587</v>
      </c>
      <c r="I6140" s="1564" t="s">
        <v>2508</v>
      </c>
      <c r="J6140" s="291"/>
      <c r="K6140" s="291"/>
      <c r="L6140" s="291"/>
      <c r="M6140" s="291"/>
      <c r="S6140" s="364"/>
      <c r="Z6140" s="609" t="s">
        <v>2044</v>
      </c>
      <c r="AA6140" s="609"/>
    </row>
    <row r="6141" spans="1:27" ht="18">
      <c r="A6141" s="2712"/>
      <c r="B6141" s="371">
        <v>101</v>
      </c>
      <c r="C6141" s="371"/>
      <c r="D6141" s="2714">
        <f>IF(OR(G6141="*",G6141="",G6141=0),0,COUNTIF($G$6141:$G$6144,G6141))</f>
        <v>1</v>
      </c>
      <c r="E6141" s="2719">
        <v>1</v>
      </c>
      <c r="F6141" s="294"/>
      <c r="G6141" s="308" t="s">
        <v>843</v>
      </c>
      <c r="H6141" s="309"/>
      <c r="I6141" s="388"/>
      <c r="J6141" s="291"/>
      <c r="K6141" s="291"/>
      <c r="L6141" s="291"/>
      <c r="M6141" s="291"/>
      <c r="S6141" s="364"/>
      <c r="Z6141" s="609" t="s">
        <v>2044</v>
      </c>
      <c r="AA6141" s="609"/>
    </row>
    <row r="6142" spans="1:27" ht="18">
      <c r="A6142" s="2712"/>
      <c r="B6142" s="371">
        <v>102</v>
      </c>
      <c r="C6142" s="371" t="s">
        <v>2791</v>
      </c>
      <c r="D6142" s="2714">
        <f>IF(OR(G6142="*",G6142="",G6142=0),0,COUNTIF($G$6141:$G$6144,G6142))</f>
        <v>0</v>
      </c>
      <c r="E6142" s="2719">
        <v>1</v>
      </c>
      <c r="F6142" s="294"/>
      <c r="G6142" s="1561" t="s">
        <v>2792</v>
      </c>
      <c r="H6142" s="309"/>
      <c r="I6142" s="388"/>
      <c r="J6142" s="291"/>
      <c r="K6142" s="291"/>
      <c r="L6142" s="291"/>
      <c r="M6142" s="291"/>
      <c r="S6142" s="364"/>
      <c r="Z6142" s="609" t="s">
        <v>2044</v>
      </c>
      <c r="AA6142" s="609"/>
    </row>
    <row r="6143" spans="1:27" ht="18">
      <c r="A6143" s="2712"/>
      <c r="B6143" s="371">
        <v>103</v>
      </c>
      <c r="C6143" s="371" t="s">
        <v>2791</v>
      </c>
      <c r="D6143" s="2714">
        <f>IF(OR(G6143="*",G6143="",G6143=0),0,COUNTIF($G$6141:$G$6144,G6143))</f>
        <v>0</v>
      </c>
      <c r="E6143" s="2719">
        <v>1</v>
      </c>
      <c r="F6143" s="294"/>
      <c r="G6143" s="1561" t="s">
        <v>2792</v>
      </c>
      <c r="H6143" s="309"/>
      <c r="I6143" s="388"/>
      <c r="J6143" s="291"/>
      <c r="K6143" s="291"/>
      <c r="L6143" s="291"/>
      <c r="M6143" s="291"/>
      <c r="S6143" s="364"/>
      <c r="Z6143" s="609" t="s">
        <v>2044</v>
      </c>
      <c r="AA6143" s="609"/>
    </row>
    <row r="6144" spans="1:27" ht="18.75" thickBot="1">
      <c r="A6144" s="2712"/>
      <c r="B6144" s="371"/>
      <c r="C6144" s="371"/>
      <c r="D6144" s="2714">
        <f>IF(OR(G6144="*",G6144="",G6144=0),0,COUNTIF($G$6141:$G$6144,G6144))</f>
        <v>1</v>
      </c>
      <c r="E6144" s="2719" t="s">
        <v>2751</v>
      </c>
      <c r="F6144" s="294"/>
      <c r="G6144" s="1527" t="s">
        <v>2752</v>
      </c>
      <c r="H6144" s="1525">
        <f>SUMPRODUCT($E6140:$E6143,H6140:H6143)</f>
        <v>0</v>
      </c>
      <c r="I6144" s="1569"/>
      <c r="J6144" s="291"/>
      <c r="K6144" s="291"/>
      <c r="L6144" s="291"/>
      <c r="M6144" s="291"/>
      <c r="S6144" s="364"/>
      <c r="Z6144" s="609" t="s">
        <v>2044</v>
      </c>
      <c r="AA6144" s="609"/>
    </row>
    <row r="6145" spans="1:27" ht="18">
      <c r="A6145" s="2712"/>
      <c r="B6145" s="371"/>
      <c r="C6145" s="371" t="s">
        <v>2755</v>
      </c>
      <c r="D6145" s="371"/>
      <c r="F6145" s="294"/>
      <c r="G6145" s="301"/>
      <c r="H6145" s="315"/>
      <c r="I6145" s="393"/>
      <c r="J6145" s="291"/>
      <c r="K6145" s="291"/>
      <c r="L6145" s="291"/>
      <c r="M6145" s="291"/>
      <c r="S6145" s="364"/>
      <c r="Z6145" s="609" t="s">
        <v>2044</v>
      </c>
      <c r="AA6145" s="609"/>
    </row>
    <row r="6146" spans="1:27" ht="18">
      <c r="A6146" s="2712">
        <v>7515</v>
      </c>
      <c r="B6146" s="371">
        <v>79.099999999999994</v>
      </c>
      <c r="C6146" s="2714" t="str">
        <f>VLOOKUP($A6146,Sheet_Items,2,0)</f>
        <v>递延所得税资产减少</v>
      </c>
      <c r="D6146" s="371"/>
      <c r="E6146" s="2714" t="s">
        <v>2739</v>
      </c>
      <c r="F6146" s="294"/>
      <c r="G6146" s="536" t="str">
        <f>B6146&amp;" "&amp;C6146</f>
        <v>79.1 递延所得税资产减少</v>
      </c>
      <c r="H6146" s="322"/>
      <c r="I6146" s="322"/>
      <c r="J6146" s="306" t="s">
        <v>4206</v>
      </c>
      <c r="K6146" s="341">
        <f>VLOOKUP($A6146,Sheet_Trialbal,6,0)</f>
        <v>-1147332.1499999999</v>
      </c>
      <c r="L6146" s="342"/>
      <c r="M6146" s="306"/>
      <c r="N6146" s="341"/>
      <c r="O6146" s="306"/>
      <c r="P6146" s="301"/>
      <c r="S6146" s="364"/>
      <c r="Z6146" s="609" t="s">
        <v>2047</v>
      </c>
      <c r="AA6146" s="609"/>
    </row>
    <row r="6147" spans="1:27" ht="36">
      <c r="A6147" s="2712" t="s">
        <v>2045</v>
      </c>
      <c r="B6147" s="371">
        <v>1</v>
      </c>
      <c r="C6147" s="371"/>
      <c r="D6147" s="2714" t="str">
        <f>VLOOKUP($A6147,Sheet_NoteList,2,0)</f>
        <v>将净利润调节为经营活动现金流量：递延所得税资产减少</v>
      </c>
      <c r="E6147" s="2714" t="s">
        <v>2742</v>
      </c>
      <c r="F6147" s="294"/>
      <c r="G6147" s="372" t="str">
        <f>"("&amp;B6147&amp;")"&amp;D6147</f>
        <v>(1)将净利润调节为经营活动现金流量：递延所得税资产减少</v>
      </c>
      <c r="H6147" s="1515" t="str">
        <f>$A6147</f>
        <v>7515a</v>
      </c>
      <c r="I6147" s="343" t="s">
        <v>2743</v>
      </c>
      <c r="J6147" s="301" t="s">
        <v>4712</v>
      </c>
      <c r="K6147" s="2208">
        <f>J6153</f>
        <v>0</v>
      </c>
      <c r="L6147" s="345">
        <f>IF(ROUND(K6146-K6147,2)=0,"F/S",ROUND(K6146-K6147,2))</f>
        <v>-1147332.1499999999</v>
      </c>
      <c r="M6147" s="532" t="s">
        <v>4713</v>
      </c>
      <c r="N6147" s="3083"/>
      <c r="O6147" s="315"/>
      <c r="P6147" s="301"/>
      <c r="S6147" s="364"/>
      <c r="Z6147" s="609" t="s">
        <v>2047</v>
      </c>
      <c r="AA6147" s="609"/>
    </row>
    <row r="6148" spans="1:27" ht="0.75" customHeight="1" thickBot="1">
      <c r="A6148" s="2712"/>
      <c r="B6148" s="371"/>
      <c r="C6148" s="371"/>
      <c r="D6148" s="371"/>
      <c r="F6148" s="294"/>
      <c r="G6148" s="294" t="s">
        <v>4816</v>
      </c>
      <c r="H6148" s="294" t="s">
        <v>2747</v>
      </c>
      <c r="I6148" s="294" t="s">
        <v>2748</v>
      </c>
      <c r="J6148" s="294" t="s">
        <v>3256</v>
      </c>
      <c r="K6148" s="294" t="s">
        <v>2898</v>
      </c>
      <c r="L6148" s="291"/>
      <c r="M6148" s="291"/>
      <c r="N6148" s="291"/>
      <c r="O6148" s="291"/>
      <c r="S6148" s="364"/>
      <c r="Z6148" s="609" t="s">
        <v>2047</v>
      </c>
      <c r="AA6148" s="609"/>
    </row>
    <row r="6149" spans="1:27" ht="18">
      <c r="A6149" s="2712"/>
      <c r="B6149" s="371"/>
      <c r="C6149" s="371"/>
      <c r="D6149" s="371"/>
      <c r="E6149" s="2714" t="s">
        <v>2749</v>
      </c>
      <c r="F6149" s="294"/>
      <c r="G6149" s="1562" t="s">
        <v>47</v>
      </c>
      <c r="H6149" s="1563" t="s">
        <v>3276</v>
      </c>
      <c r="I6149" s="1563" t="s">
        <v>3273</v>
      </c>
      <c r="J6149" s="1563" t="s">
        <v>3275</v>
      </c>
      <c r="K6149" s="1564" t="s">
        <v>2508</v>
      </c>
      <c r="L6149" s="291"/>
      <c r="M6149" s="291"/>
      <c r="N6149" s="291"/>
      <c r="O6149" s="291"/>
      <c r="S6149" s="364"/>
      <c r="Z6149" s="609" t="s">
        <v>2047</v>
      </c>
      <c r="AA6149" s="609"/>
    </row>
    <row r="6150" spans="1:27" ht="18">
      <c r="A6150" s="2712"/>
      <c r="B6150" s="371">
        <v>101</v>
      </c>
      <c r="C6150" s="371"/>
      <c r="D6150" s="2714">
        <f>IF(OR(G6150="*",G6150="",G6150=0),0,COUNTIF($G$6150:$G$6153,G6150))</f>
        <v>1</v>
      </c>
      <c r="E6150" s="2719">
        <v>1</v>
      </c>
      <c r="F6150" s="294"/>
      <c r="G6150" s="308" t="s">
        <v>422</v>
      </c>
      <c r="H6150" s="309"/>
      <c r="I6150" s="309"/>
      <c r="J6150" s="1474">
        <f>I6150-H6150</f>
        <v>0</v>
      </c>
      <c r="K6150" s="388"/>
      <c r="L6150" s="291"/>
      <c r="M6150" s="291"/>
      <c r="N6150" s="291"/>
      <c r="O6150" s="291"/>
      <c r="S6150" s="364"/>
      <c r="Z6150" s="609" t="s">
        <v>2047</v>
      </c>
      <c r="AA6150" s="609"/>
    </row>
    <row r="6151" spans="1:27" ht="18">
      <c r="A6151" s="2712"/>
      <c r="B6151" s="371">
        <v>102</v>
      </c>
      <c r="C6151" s="371" t="s">
        <v>2791</v>
      </c>
      <c r="D6151" s="2714">
        <f>IF(OR(G6151="*",G6151="",G6151=0),0,COUNTIF($G$6150:$G$6153,G6151))</f>
        <v>0</v>
      </c>
      <c r="E6151" s="2719">
        <v>1</v>
      </c>
      <c r="F6151" s="294"/>
      <c r="G6151" s="1561" t="s">
        <v>2792</v>
      </c>
      <c r="H6151" s="309"/>
      <c r="I6151" s="309"/>
      <c r="J6151" s="309"/>
      <c r="K6151" s="388"/>
      <c r="L6151" s="291"/>
      <c r="M6151" s="291"/>
      <c r="N6151" s="291"/>
      <c r="O6151" s="291"/>
      <c r="S6151" s="364"/>
      <c r="Z6151" s="609" t="s">
        <v>2047</v>
      </c>
      <c r="AA6151" s="609"/>
    </row>
    <row r="6152" spans="1:27" ht="18">
      <c r="A6152" s="2712"/>
      <c r="B6152" s="371">
        <v>103</v>
      </c>
      <c r="C6152" s="371" t="s">
        <v>2791</v>
      </c>
      <c r="D6152" s="2714">
        <f>IF(OR(G6152="*",G6152="",G6152=0),0,COUNTIF($G$6150:$G$6153,G6152))</f>
        <v>0</v>
      </c>
      <c r="E6152" s="2719">
        <v>1</v>
      </c>
      <c r="F6152" s="294"/>
      <c r="G6152" s="1561" t="s">
        <v>2792</v>
      </c>
      <c r="H6152" s="309"/>
      <c r="I6152" s="309"/>
      <c r="J6152" s="309"/>
      <c r="K6152" s="388"/>
      <c r="L6152" s="291"/>
      <c r="M6152" s="291"/>
      <c r="N6152" s="291"/>
      <c r="O6152" s="291"/>
      <c r="S6152" s="364"/>
      <c r="Z6152" s="609" t="s">
        <v>2047</v>
      </c>
      <c r="AA6152" s="609"/>
    </row>
    <row r="6153" spans="1:27" ht="18.75" thickBot="1">
      <c r="A6153" s="2712"/>
      <c r="B6153" s="371"/>
      <c r="C6153" s="371"/>
      <c r="D6153" s="2714">
        <f>IF(OR(G6153="*",G6153="",G6153=0),0,COUNTIF($G$6150:$G$6153,G6153))</f>
        <v>1</v>
      </c>
      <c r="E6153" s="2719" t="s">
        <v>2751</v>
      </c>
      <c r="F6153" s="294"/>
      <c r="G6153" s="1527" t="s">
        <v>2752</v>
      </c>
      <c r="H6153" s="1525">
        <f>SUMPRODUCT($E6149:$E6152,H6149:H6152)</f>
        <v>0</v>
      </c>
      <c r="I6153" s="1525">
        <f>SUMPRODUCT($E6149:$E6152,I6149:I6152)</f>
        <v>0</v>
      </c>
      <c r="J6153" s="1525">
        <f>SUMPRODUCT($E6149:$E6152,J6149:J6152)</f>
        <v>0</v>
      </c>
      <c r="K6153" s="1569"/>
      <c r="L6153" s="291"/>
      <c r="M6153" s="291"/>
      <c r="N6153" s="291"/>
      <c r="O6153" s="291"/>
      <c r="S6153" s="364"/>
      <c r="Z6153" s="609" t="s">
        <v>2047</v>
      </c>
      <c r="AA6153" s="609"/>
    </row>
    <row r="6154" spans="1:27" ht="18">
      <c r="A6154" s="2712"/>
      <c r="B6154" s="371"/>
      <c r="C6154" s="371" t="s">
        <v>2755</v>
      </c>
      <c r="D6154" s="371"/>
      <c r="F6154" s="294"/>
      <c r="G6154" s="301"/>
      <c r="H6154" s="315"/>
      <c r="I6154" s="315"/>
      <c r="J6154" s="315"/>
      <c r="K6154" s="393"/>
      <c r="L6154" s="291"/>
      <c r="M6154" s="291"/>
      <c r="N6154" s="291"/>
      <c r="O6154" s="291"/>
      <c r="S6154" s="364"/>
      <c r="Z6154" s="609" t="s">
        <v>2047</v>
      </c>
      <c r="AA6154" s="609"/>
    </row>
    <row r="6155" spans="1:27" ht="18">
      <c r="A6155" s="2712">
        <v>7516</v>
      </c>
      <c r="B6155" s="371">
        <v>79.11</v>
      </c>
      <c r="C6155" s="2714" t="str">
        <f>VLOOKUP($A6155,Sheet_Items,2,0)</f>
        <v>递延所得税负债增加</v>
      </c>
      <c r="D6155" s="371"/>
      <c r="E6155" s="2714" t="s">
        <v>2739</v>
      </c>
      <c r="F6155" s="294"/>
      <c r="G6155" s="536" t="str">
        <f>B6155&amp;" "&amp;C6155</f>
        <v>79.11 递延所得税负债增加</v>
      </c>
      <c r="H6155" s="322"/>
      <c r="I6155" s="322"/>
      <c r="J6155" s="306" t="s">
        <v>4206</v>
      </c>
      <c r="K6155" s="341">
        <f>VLOOKUP($A6155,Sheet_Trialbal,6,0)</f>
        <v>0</v>
      </c>
      <c r="L6155" s="342"/>
      <c r="M6155" s="306"/>
      <c r="N6155" s="341"/>
      <c r="O6155" s="306"/>
      <c r="P6155" s="301"/>
      <c r="S6155" s="364"/>
      <c r="Z6155" s="609" t="s">
        <v>2050</v>
      </c>
      <c r="AA6155" s="609"/>
    </row>
    <row r="6156" spans="1:27" ht="36">
      <c r="A6156" s="2712" t="s">
        <v>2048</v>
      </c>
      <c r="B6156" s="371">
        <v>1</v>
      </c>
      <c r="C6156" s="371"/>
      <c r="D6156" s="2714" t="str">
        <f>VLOOKUP($A6156,Sheet_NoteList,2,0)</f>
        <v>将净利润调节为经营活动现金流量：递延所得税负债增加</v>
      </c>
      <c r="E6156" s="2714" t="s">
        <v>2742</v>
      </c>
      <c r="F6156" s="294"/>
      <c r="G6156" s="372" t="str">
        <f>"("&amp;B6156&amp;")"&amp;D6156</f>
        <v>(1)将净利润调节为经营活动现金流量：递延所得税负债增加</v>
      </c>
      <c r="H6156" s="1515" t="str">
        <f>$A6156</f>
        <v>7516a</v>
      </c>
      <c r="I6156" s="343" t="s">
        <v>2743</v>
      </c>
      <c r="J6156" s="301" t="s">
        <v>4712</v>
      </c>
      <c r="K6156" s="2208">
        <f>J6162</f>
        <v>0</v>
      </c>
      <c r="L6156" s="345" t="str">
        <f>IF(ROUND(K6155-K6156,2)=0,"F/S",ROUND(K6155-K6156,2))</f>
        <v>F/S</v>
      </c>
      <c r="M6156" s="532" t="s">
        <v>4713</v>
      </c>
      <c r="N6156" s="3083"/>
      <c r="O6156" s="315"/>
      <c r="P6156" s="301"/>
      <c r="S6156" s="364"/>
      <c r="Z6156" s="609" t="s">
        <v>2050</v>
      </c>
      <c r="AA6156" s="609"/>
    </row>
    <row r="6157" spans="1:27" ht="0.75" customHeight="1" thickBot="1">
      <c r="A6157" s="2712"/>
      <c r="B6157" s="371"/>
      <c r="C6157" s="371"/>
      <c r="D6157" s="371"/>
      <c r="F6157" s="294"/>
      <c r="G6157" s="294" t="s">
        <v>4817</v>
      </c>
      <c r="H6157" s="294" t="s">
        <v>2747</v>
      </c>
      <c r="I6157" s="294" t="s">
        <v>2748</v>
      </c>
      <c r="J6157" s="294" t="s">
        <v>3250</v>
      </c>
      <c r="K6157" s="294" t="s">
        <v>2898</v>
      </c>
      <c r="L6157" s="291"/>
      <c r="M6157" s="291"/>
      <c r="N6157" s="291"/>
      <c r="O6157" s="291"/>
      <c r="S6157" s="364"/>
      <c r="Z6157" s="609" t="s">
        <v>2050</v>
      </c>
      <c r="AA6157" s="609"/>
    </row>
    <row r="6158" spans="1:27" ht="18">
      <c r="A6158" s="2712"/>
      <c r="B6158" s="371"/>
      <c r="C6158" s="371"/>
      <c r="D6158" s="371"/>
      <c r="E6158" s="2714" t="s">
        <v>2749</v>
      </c>
      <c r="F6158" s="294"/>
      <c r="G6158" s="1562" t="s">
        <v>47</v>
      </c>
      <c r="H6158" s="1563" t="s">
        <v>3276</v>
      </c>
      <c r="I6158" s="1563" t="s">
        <v>3273</v>
      </c>
      <c r="J6158" s="1563" t="s">
        <v>3274</v>
      </c>
      <c r="K6158" s="1564" t="s">
        <v>2508</v>
      </c>
      <c r="L6158" s="291"/>
      <c r="M6158" s="291"/>
      <c r="N6158" s="291"/>
      <c r="O6158" s="291"/>
      <c r="S6158" s="364"/>
      <c r="Z6158" s="609" t="s">
        <v>2050</v>
      </c>
      <c r="AA6158" s="609"/>
    </row>
    <row r="6159" spans="1:27" ht="18">
      <c r="A6159" s="2712"/>
      <c r="B6159" s="371">
        <v>101</v>
      </c>
      <c r="C6159" s="371"/>
      <c r="D6159" s="2714">
        <f>IF(OR(G6159="*",G6159="",G6159=0),0,COUNTIF($G$6159:$G$6162,G6159))</f>
        <v>1</v>
      </c>
      <c r="E6159" s="2719">
        <v>1</v>
      </c>
      <c r="F6159" s="294"/>
      <c r="G6159" s="308" t="s">
        <v>576</v>
      </c>
      <c r="H6159" s="309"/>
      <c r="I6159" s="309"/>
      <c r="J6159" s="1474">
        <f>H6159-I6159</f>
        <v>0</v>
      </c>
      <c r="K6159" s="388"/>
      <c r="L6159" s="291"/>
      <c r="M6159" s="291"/>
      <c r="N6159" s="291"/>
      <c r="O6159" s="291"/>
      <c r="S6159" s="364"/>
      <c r="Z6159" s="609" t="s">
        <v>2050</v>
      </c>
      <c r="AA6159" s="609"/>
    </row>
    <row r="6160" spans="1:27" ht="18">
      <c r="A6160" s="2712"/>
      <c r="B6160" s="371">
        <v>102</v>
      </c>
      <c r="C6160" s="371" t="s">
        <v>2791</v>
      </c>
      <c r="D6160" s="2714">
        <f>IF(OR(G6160="*",G6160="",G6160=0),0,COUNTIF($G$6159:$G$6162,G6160))</f>
        <v>0</v>
      </c>
      <c r="E6160" s="2719">
        <v>1</v>
      </c>
      <c r="F6160" s="294"/>
      <c r="G6160" s="1561" t="s">
        <v>2792</v>
      </c>
      <c r="H6160" s="309"/>
      <c r="I6160" s="309"/>
      <c r="J6160" s="309"/>
      <c r="K6160" s="388"/>
      <c r="L6160" s="291"/>
      <c r="M6160" s="291"/>
      <c r="N6160" s="291"/>
      <c r="O6160" s="291"/>
      <c r="S6160" s="364"/>
      <c r="Z6160" s="609" t="s">
        <v>2050</v>
      </c>
      <c r="AA6160" s="609"/>
    </row>
    <row r="6161" spans="1:27" ht="18">
      <c r="A6161" s="2712"/>
      <c r="B6161" s="371">
        <v>103</v>
      </c>
      <c r="C6161" s="371" t="s">
        <v>2791</v>
      </c>
      <c r="D6161" s="2714">
        <f>IF(OR(G6161="*",G6161="",G6161=0),0,COUNTIF($G$6159:$G$6162,G6161))</f>
        <v>0</v>
      </c>
      <c r="E6161" s="2719">
        <v>1</v>
      </c>
      <c r="F6161" s="294"/>
      <c r="G6161" s="1561" t="s">
        <v>2792</v>
      </c>
      <c r="H6161" s="309"/>
      <c r="I6161" s="309"/>
      <c r="J6161" s="309"/>
      <c r="K6161" s="388"/>
      <c r="L6161" s="291"/>
      <c r="M6161" s="291"/>
      <c r="N6161" s="291"/>
      <c r="O6161" s="291"/>
      <c r="S6161" s="364"/>
      <c r="Z6161" s="609" t="s">
        <v>2050</v>
      </c>
      <c r="AA6161" s="609"/>
    </row>
    <row r="6162" spans="1:27" ht="18.75" thickBot="1">
      <c r="A6162" s="2712"/>
      <c r="B6162" s="371"/>
      <c r="C6162" s="371"/>
      <c r="D6162" s="2714">
        <f>IF(OR(G6162="*",G6162="",G6162=0),0,COUNTIF($G$6159:$G$6162,G6162))</f>
        <v>1</v>
      </c>
      <c r="E6162" s="2719" t="s">
        <v>2751</v>
      </c>
      <c r="F6162" s="294"/>
      <c r="G6162" s="1527" t="s">
        <v>2752</v>
      </c>
      <c r="H6162" s="1525">
        <f>SUMPRODUCT($E6158:$E6161,H6158:H6161)</f>
        <v>0</v>
      </c>
      <c r="I6162" s="1525">
        <f>SUMPRODUCT($E6158:$E6161,I6158:I6161)</f>
        <v>0</v>
      </c>
      <c r="J6162" s="1525">
        <f>SUMPRODUCT($E6158:$E6161,J6158:J6161)</f>
        <v>0</v>
      </c>
      <c r="K6162" s="1569"/>
      <c r="L6162" s="291"/>
      <c r="M6162" s="291"/>
      <c r="N6162" s="291"/>
      <c r="O6162" s="291"/>
      <c r="S6162" s="364"/>
      <c r="Z6162" s="609" t="s">
        <v>2050</v>
      </c>
      <c r="AA6162" s="609"/>
    </row>
    <row r="6163" spans="1:27" ht="18">
      <c r="A6163" s="2712"/>
      <c r="B6163" s="371"/>
      <c r="C6163" s="371" t="s">
        <v>2755</v>
      </c>
      <c r="D6163" s="371"/>
      <c r="F6163" s="294"/>
      <c r="G6163" s="301"/>
      <c r="H6163" s="315"/>
      <c r="I6163" s="315"/>
      <c r="J6163" s="315"/>
      <c r="K6163" s="393"/>
      <c r="L6163" s="291"/>
      <c r="M6163" s="291"/>
      <c r="N6163" s="291"/>
      <c r="O6163" s="291"/>
      <c r="S6163" s="364"/>
      <c r="Z6163" s="609" t="s">
        <v>2050</v>
      </c>
      <c r="AA6163" s="609"/>
    </row>
    <row r="6164" spans="1:27" ht="18">
      <c r="A6164" s="2712">
        <v>7517</v>
      </c>
      <c r="B6164" s="371">
        <v>79.12</v>
      </c>
      <c r="C6164" s="2714" t="str">
        <f>VLOOKUP($A6164,Sheet_Items,2,0)</f>
        <v>存货的减少</v>
      </c>
      <c r="D6164" s="371"/>
      <c r="E6164" s="2714" t="s">
        <v>2739</v>
      </c>
      <c r="F6164" s="294"/>
      <c r="G6164" s="536" t="str">
        <f>B6164&amp;" "&amp;C6164</f>
        <v>79.12 存货的减少</v>
      </c>
      <c r="H6164" s="322"/>
      <c r="I6164" s="322"/>
      <c r="J6164" s="306" t="s">
        <v>4206</v>
      </c>
      <c r="K6164" s="341">
        <f>VLOOKUP($A6164,Sheet_Trialbal,6,0)</f>
        <v>12779747.49</v>
      </c>
      <c r="L6164" s="342"/>
      <c r="M6164" s="306"/>
      <c r="N6164" s="341"/>
      <c r="O6164" s="306"/>
      <c r="P6164" s="301"/>
      <c r="S6164" s="364"/>
      <c r="Z6164" s="609" t="s">
        <v>2053</v>
      </c>
      <c r="AA6164" s="609"/>
    </row>
    <row r="6165" spans="1:27" ht="24">
      <c r="A6165" s="2712" t="s">
        <v>2051</v>
      </c>
      <c r="B6165" s="371">
        <v>1</v>
      </c>
      <c r="C6165" s="371"/>
      <c r="D6165" s="2714" t="str">
        <f>VLOOKUP($A6165,Sheet_NoteList,2,0)</f>
        <v>将净利润调节为经营活动现金流量：存货的减少</v>
      </c>
      <c r="E6165" s="2714" t="s">
        <v>2742</v>
      </c>
      <c r="F6165" s="294"/>
      <c r="G6165" s="372" t="str">
        <f>"("&amp;B6165&amp;")"&amp;D6165</f>
        <v>(1)将净利润调节为经营活动现金流量：存货的减少</v>
      </c>
      <c r="H6165" s="1515" t="str">
        <f>$A6165</f>
        <v>7517a</v>
      </c>
      <c r="I6165" s="343" t="s">
        <v>2743</v>
      </c>
      <c r="J6165" s="301" t="s">
        <v>4712</v>
      </c>
      <c r="K6165" s="2208">
        <f>H6184</f>
        <v>0</v>
      </c>
      <c r="L6165" s="345">
        <f>IF(ROUND(K6164-K6165,2)=0,"F/S",ROUND(K6164-K6165,2))</f>
        <v>12779747.49</v>
      </c>
      <c r="M6165" s="532" t="s">
        <v>4713</v>
      </c>
      <c r="N6165" s="3083"/>
      <c r="O6165" s="315"/>
      <c r="P6165" s="301"/>
      <c r="S6165" s="364"/>
      <c r="Z6165" s="609" t="s">
        <v>2053</v>
      </c>
      <c r="AA6165" s="609"/>
    </row>
    <row r="6166" spans="1:27" ht="0.75" customHeight="1" thickBot="1">
      <c r="A6166" s="2712"/>
      <c r="B6166" s="371"/>
      <c r="C6166" s="371"/>
      <c r="D6166" s="371"/>
      <c r="E6166" s="586"/>
      <c r="F6166" s="586"/>
      <c r="G6166" s="586" t="s">
        <v>4818</v>
      </c>
      <c r="H6166" s="371" t="s">
        <v>6312</v>
      </c>
      <c r="I6166" s="371" t="s">
        <v>6313</v>
      </c>
      <c r="J6166" s="371" t="s">
        <v>6314</v>
      </c>
      <c r="K6166" s="371" t="s">
        <v>6315</v>
      </c>
      <c r="L6166" s="291"/>
      <c r="M6166" s="291"/>
      <c r="N6166" s="291"/>
      <c r="O6166" s="291"/>
      <c r="S6166" s="364"/>
      <c r="Z6166" s="609" t="s">
        <v>2053</v>
      </c>
      <c r="AA6166" s="609"/>
    </row>
    <row r="6167" spans="1:27" ht="18">
      <c r="A6167" s="2712"/>
      <c r="B6167" s="371"/>
      <c r="C6167" s="371"/>
      <c r="D6167" s="371"/>
      <c r="E6167" s="586" t="s">
        <v>2749</v>
      </c>
      <c r="F6167" s="363"/>
      <c r="G6167" s="2529" t="s">
        <v>47</v>
      </c>
      <c r="H6167" s="2526" t="s">
        <v>3275</v>
      </c>
      <c r="I6167" s="2526" t="s">
        <v>6111</v>
      </c>
      <c r="J6167" s="2526" t="s">
        <v>6040</v>
      </c>
      <c r="K6167" s="2525" t="s">
        <v>6112</v>
      </c>
      <c r="L6167" s="291"/>
      <c r="M6167" s="291"/>
      <c r="N6167" s="291"/>
      <c r="O6167" s="291"/>
      <c r="S6167" s="364"/>
      <c r="Z6167" s="609" t="s">
        <v>2053</v>
      </c>
      <c r="AA6167" s="609"/>
    </row>
    <row r="6168" spans="1:27" ht="18">
      <c r="A6168" s="2712"/>
      <c r="B6168" s="371">
        <v>101</v>
      </c>
      <c r="C6168" s="371"/>
      <c r="D6168" s="2714">
        <f t="shared" ref="D6168:D6184" si="647">IF(OR(G6168="*",G6168="",G6168=0),0,COUNTIF($G$6168:$G$6184,G6168))</f>
        <v>1</v>
      </c>
      <c r="E6168" s="2719">
        <v>0</v>
      </c>
      <c r="F6168" s="294"/>
      <c r="G6168" s="1472" t="s">
        <v>4819</v>
      </c>
      <c r="H6168" s="2273"/>
      <c r="I6168" s="2296"/>
      <c r="J6168" s="2296"/>
      <c r="K6168" s="2274"/>
      <c r="L6168" s="291"/>
      <c r="M6168" s="291"/>
      <c r="N6168" s="291"/>
      <c r="O6168" s="291"/>
      <c r="S6168" s="364"/>
      <c r="Z6168" s="609" t="s">
        <v>2053</v>
      </c>
      <c r="AA6168" s="609"/>
    </row>
    <row r="6169" spans="1:27" ht="18">
      <c r="A6169" s="2712"/>
      <c r="B6169" s="371">
        <v>102</v>
      </c>
      <c r="C6169" s="371"/>
      <c r="D6169" s="2714">
        <f t="shared" si="647"/>
        <v>1</v>
      </c>
      <c r="E6169" s="2719">
        <v>0</v>
      </c>
      <c r="F6169" s="294"/>
      <c r="G6169" s="1472" t="s">
        <v>4820</v>
      </c>
      <c r="H6169" s="2273"/>
      <c r="I6169" s="2296"/>
      <c r="J6169" s="2296"/>
      <c r="K6169" s="2274"/>
      <c r="L6169" s="291"/>
      <c r="M6169" s="291"/>
      <c r="N6169" s="291"/>
      <c r="O6169" s="291"/>
      <c r="S6169" s="364"/>
      <c r="Z6169" s="609" t="s">
        <v>2053</v>
      </c>
      <c r="AA6169" s="609"/>
    </row>
    <row r="6170" spans="1:27" ht="18">
      <c r="A6170" s="2712"/>
      <c r="B6170" s="371">
        <v>103</v>
      </c>
      <c r="C6170" s="371"/>
      <c r="D6170" s="2714">
        <f t="shared" si="647"/>
        <v>1</v>
      </c>
      <c r="E6170" s="2719">
        <v>1</v>
      </c>
      <c r="F6170" s="294"/>
      <c r="G6170" s="1472" t="s">
        <v>4821</v>
      </c>
      <c r="H6170" s="1474">
        <f>H6168-H6169</f>
        <v>0</v>
      </c>
      <c r="I6170" s="2296"/>
      <c r="J6170" s="2296"/>
      <c r="K6170" s="2274"/>
      <c r="L6170" s="291"/>
      <c r="M6170" s="291"/>
      <c r="N6170" s="291"/>
      <c r="O6170" s="291"/>
      <c r="S6170" s="364"/>
      <c r="Z6170" s="609" t="s">
        <v>2053</v>
      </c>
      <c r="AA6170" s="609"/>
    </row>
    <row r="6171" spans="1:27" ht="18">
      <c r="A6171" s="2712"/>
      <c r="B6171" s="371">
        <v>104</v>
      </c>
      <c r="C6171" s="371" t="s">
        <v>2791</v>
      </c>
      <c r="D6171" s="2714">
        <f t="shared" si="647"/>
        <v>0</v>
      </c>
      <c r="E6171" s="2719">
        <v>1</v>
      </c>
      <c r="F6171" s="294"/>
      <c r="G6171" s="2528" t="s">
        <v>2792</v>
      </c>
      <c r="H6171" s="2273"/>
      <c r="I6171" s="2296"/>
      <c r="J6171" s="2296"/>
      <c r="K6171" s="2274"/>
      <c r="L6171" s="291"/>
      <c r="M6171" s="291"/>
      <c r="N6171" s="291"/>
      <c r="O6171" s="291"/>
      <c r="S6171" s="364"/>
      <c r="Z6171" s="609" t="s">
        <v>2053</v>
      </c>
      <c r="AA6171" s="609"/>
    </row>
    <row r="6172" spans="1:27" ht="18">
      <c r="A6172" s="2712"/>
      <c r="B6172" s="371">
        <v>105</v>
      </c>
      <c r="C6172" s="371"/>
      <c r="D6172" s="2714">
        <f t="shared" si="647"/>
        <v>1</v>
      </c>
      <c r="E6172" s="2719" t="s">
        <v>41</v>
      </c>
      <c r="F6172" s="294"/>
      <c r="G6172" s="1472" t="s">
        <v>4822</v>
      </c>
      <c r="H6172" s="2273"/>
      <c r="I6172" s="2296"/>
      <c r="J6172" s="2296"/>
      <c r="K6172" s="2274"/>
      <c r="L6172" s="532"/>
      <c r="M6172" s="291"/>
      <c r="N6172" s="291"/>
      <c r="O6172" s="291"/>
      <c r="S6172" s="364"/>
      <c r="Z6172" s="609" t="s">
        <v>2053</v>
      </c>
      <c r="AA6172" s="609"/>
    </row>
    <row r="6173" spans="1:27" ht="18">
      <c r="A6173" s="2712"/>
      <c r="B6173" s="371">
        <v>105.001</v>
      </c>
      <c r="C6173" s="371"/>
      <c r="D6173" s="2714">
        <f t="shared" si="647"/>
        <v>1</v>
      </c>
      <c r="E6173" s="2719" t="s">
        <v>4823</v>
      </c>
      <c r="F6173" s="294"/>
      <c r="G6173" s="1472" t="s">
        <v>4824</v>
      </c>
      <c r="H6173" s="2273"/>
      <c r="I6173" s="2296"/>
      <c r="J6173" s="2296"/>
      <c r="K6173" s="2274"/>
      <c r="L6173" s="291"/>
      <c r="M6173" s="291"/>
      <c r="N6173" s="291"/>
      <c r="O6173" s="291"/>
      <c r="S6173" s="364"/>
      <c r="Z6173" s="609" t="s">
        <v>2053</v>
      </c>
      <c r="AA6173" s="609"/>
    </row>
    <row r="6174" spans="1:27" ht="18">
      <c r="A6174" s="2712"/>
      <c r="B6174" s="371">
        <v>105.002</v>
      </c>
      <c r="C6174" s="371"/>
      <c r="D6174" s="2714">
        <f t="shared" si="647"/>
        <v>1</v>
      </c>
      <c r="E6174" s="2719" t="s">
        <v>4825</v>
      </c>
      <c r="F6174" s="294"/>
      <c r="G6174" s="1472" t="s">
        <v>4826</v>
      </c>
      <c r="H6174" s="2273"/>
      <c r="I6174" s="2296"/>
      <c r="J6174" s="2296"/>
      <c r="K6174" s="2274"/>
      <c r="L6174" s="291"/>
      <c r="M6174" s="291"/>
      <c r="N6174" s="291"/>
      <c r="O6174" s="291"/>
      <c r="S6174" s="364"/>
      <c r="Z6174" s="609" t="s">
        <v>2053</v>
      </c>
      <c r="AA6174" s="609"/>
    </row>
    <row r="6175" spans="1:27" ht="18">
      <c r="A6175" s="2712"/>
      <c r="B6175" s="371">
        <v>105.003</v>
      </c>
      <c r="C6175" s="371"/>
      <c r="D6175" s="2714">
        <f t="shared" si="647"/>
        <v>1</v>
      </c>
      <c r="E6175" s="2719" t="s">
        <v>4825</v>
      </c>
      <c r="F6175" s="294"/>
      <c r="G6175" s="1472" t="s">
        <v>4827</v>
      </c>
      <c r="H6175" s="2273"/>
      <c r="I6175" s="2296"/>
      <c r="J6175" s="2296"/>
      <c r="K6175" s="2274"/>
      <c r="L6175" s="291"/>
      <c r="M6175" s="291"/>
      <c r="N6175" s="291"/>
      <c r="O6175" s="291"/>
      <c r="S6175" s="364"/>
      <c r="Z6175" s="609" t="s">
        <v>2053</v>
      </c>
      <c r="AA6175" s="609"/>
    </row>
    <row r="6176" spans="1:27" ht="18">
      <c r="A6176" s="2712"/>
      <c r="B6176" s="371">
        <v>105.004</v>
      </c>
      <c r="C6176" s="371"/>
      <c r="D6176" s="2714">
        <f t="shared" si="647"/>
        <v>1</v>
      </c>
      <c r="E6176" s="2719" t="s">
        <v>4825</v>
      </c>
      <c r="F6176" s="294"/>
      <c r="G6176" s="1472" t="s">
        <v>4828</v>
      </c>
      <c r="H6176" s="2273"/>
      <c r="I6176" s="2296"/>
      <c r="J6176" s="2296"/>
      <c r="K6176" s="2274"/>
      <c r="L6176" s="291"/>
      <c r="M6176" s="291"/>
      <c r="N6176" s="291"/>
      <c r="O6176" s="291"/>
      <c r="S6176" s="364"/>
      <c r="Z6176" s="609" t="s">
        <v>2053</v>
      </c>
      <c r="AA6176" s="609"/>
    </row>
    <row r="6177" spans="1:27" ht="18">
      <c r="A6177" s="2712"/>
      <c r="B6177" s="371">
        <v>105.005</v>
      </c>
      <c r="C6177" s="371" t="s">
        <v>2791</v>
      </c>
      <c r="D6177" s="2714">
        <f t="shared" si="647"/>
        <v>0</v>
      </c>
      <c r="E6177" s="2719" t="s">
        <v>4825</v>
      </c>
      <c r="F6177" s="294"/>
      <c r="G6177" s="2528" t="s">
        <v>2792</v>
      </c>
      <c r="H6177" s="2273"/>
      <c r="I6177" s="2296"/>
      <c r="J6177" s="2296"/>
      <c r="K6177" s="2274"/>
      <c r="L6177" s="291"/>
      <c r="M6177" s="291"/>
      <c r="N6177" s="291"/>
      <c r="O6177" s="291"/>
      <c r="S6177" s="364"/>
      <c r="Z6177" s="609" t="s">
        <v>2053</v>
      </c>
      <c r="AA6177" s="609"/>
    </row>
    <row r="6178" spans="1:27" ht="18">
      <c r="A6178" s="2712"/>
      <c r="B6178" s="371">
        <v>105.006</v>
      </c>
      <c r="C6178" s="371"/>
      <c r="D6178" s="2714">
        <f t="shared" si="647"/>
        <v>1</v>
      </c>
      <c r="E6178" s="2719" t="s">
        <v>4823</v>
      </c>
      <c r="F6178" s="294"/>
      <c r="G6178" s="1472" t="s">
        <v>4829</v>
      </c>
      <c r="H6178" s="2273"/>
      <c r="I6178" s="2296"/>
      <c r="J6178" s="2296"/>
      <c r="K6178" s="2274"/>
      <c r="L6178" s="291"/>
      <c r="M6178" s="291"/>
      <c r="N6178" s="291"/>
      <c r="O6178" s="291"/>
      <c r="S6178" s="364"/>
      <c r="Z6178" s="609" t="s">
        <v>2053</v>
      </c>
      <c r="AA6178" s="609"/>
    </row>
    <row r="6179" spans="1:27" ht="18">
      <c r="A6179" s="2712"/>
      <c r="B6179" s="371">
        <v>105.00700000000001</v>
      </c>
      <c r="C6179" s="371"/>
      <c r="D6179" s="2714">
        <f t="shared" si="647"/>
        <v>1</v>
      </c>
      <c r="E6179" s="2719" t="s">
        <v>4825</v>
      </c>
      <c r="F6179" s="294"/>
      <c r="G6179" s="1472" t="s">
        <v>4830</v>
      </c>
      <c r="H6179" s="2273"/>
      <c r="I6179" s="2296"/>
      <c r="J6179" s="2296" t="s">
        <v>4831</v>
      </c>
      <c r="K6179" s="2274"/>
      <c r="L6179" s="291"/>
      <c r="M6179" s="291"/>
      <c r="N6179" s="291"/>
      <c r="O6179" s="291"/>
      <c r="S6179" s="364"/>
      <c r="Z6179" s="609" t="s">
        <v>2053</v>
      </c>
      <c r="AA6179" s="609"/>
    </row>
    <row r="6180" spans="1:27" ht="18">
      <c r="A6180" s="2712"/>
      <c r="B6180" s="371">
        <v>105.008</v>
      </c>
      <c r="C6180" s="371"/>
      <c r="D6180" s="2714">
        <f t="shared" si="647"/>
        <v>1</v>
      </c>
      <c r="E6180" s="2719" t="s">
        <v>4825</v>
      </c>
      <c r="F6180" s="294"/>
      <c r="G6180" s="1472" t="s">
        <v>4832</v>
      </c>
      <c r="H6180" s="2273"/>
      <c r="I6180" s="2296"/>
      <c r="J6180" s="2296" t="s">
        <v>4831</v>
      </c>
      <c r="K6180" s="2274"/>
      <c r="L6180" s="291"/>
      <c r="M6180" s="291"/>
      <c r="N6180" s="291"/>
      <c r="O6180" s="291"/>
      <c r="S6180" s="364"/>
      <c r="Z6180" s="609" t="s">
        <v>2053</v>
      </c>
      <c r="AA6180" s="609"/>
    </row>
    <row r="6181" spans="1:27" ht="18">
      <c r="A6181" s="2712"/>
      <c r="B6181" s="371">
        <v>105.009</v>
      </c>
      <c r="C6181" s="371" t="s">
        <v>2791</v>
      </c>
      <c r="D6181" s="2714">
        <f t="shared" si="647"/>
        <v>0</v>
      </c>
      <c r="E6181" s="2719" t="s">
        <v>4825</v>
      </c>
      <c r="F6181" s="294"/>
      <c r="G6181" s="2528" t="s">
        <v>2792</v>
      </c>
      <c r="H6181" s="2273"/>
      <c r="I6181" s="2296"/>
      <c r="J6181" s="2296"/>
      <c r="K6181" s="2274"/>
      <c r="L6181" s="291"/>
      <c r="M6181" s="291"/>
      <c r="N6181" s="291"/>
      <c r="O6181" s="291"/>
      <c r="S6181" s="364"/>
      <c r="Z6181" s="609" t="s">
        <v>2053</v>
      </c>
      <c r="AA6181" s="609"/>
    </row>
    <row r="6182" spans="1:27" ht="18">
      <c r="A6182" s="2712"/>
      <c r="B6182" s="371">
        <v>105.999</v>
      </c>
      <c r="C6182" s="371"/>
      <c r="D6182" s="2714">
        <f t="shared" si="647"/>
        <v>1</v>
      </c>
      <c r="E6182" s="2719">
        <v>-1</v>
      </c>
      <c r="F6182" s="294"/>
      <c r="G6182" s="1472" t="s">
        <v>4825</v>
      </c>
      <c r="H6182" s="1474">
        <f>SUMIF($E$6167:$E$6183,$G6182,H$6167:H$6183)</f>
        <v>0</v>
      </c>
      <c r="I6182" s="2296"/>
      <c r="J6182" s="2296"/>
      <c r="K6182" s="2274"/>
      <c r="L6182" s="291"/>
      <c r="M6182" s="291"/>
      <c r="N6182" s="291"/>
      <c r="O6182" s="291"/>
      <c r="S6182" s="364"/>
      <c r="Z6182" s="609" t="s">
        <v>2053</v>
      </c>
      <c r="AA6182" s="609"/>
    </row>
    <row r="6183" spans="1:27" ht="18">
      <c r="A6183" s="2712"/>
      <c r="B6183" s="371">
        <v>106</v>
      </c>
      <c r="C6183" s="371" t="s">
        <v>2791</v>
      </c>
      <c r="D6183" s="2714">
        <f t="shared" si="647"/>
        <v>0</v>
      </c>
      <c r="E6183" s="2719">
        <v>-1</v>
      </c>
      <c r="F6183" s="294"/>
      <c r="G6183" s="2528" t="s">
        <v>2792</v>
      </c>
      <c r="H6183" s="2273"/>
      <c r="I6183" s="2296"/>
      <c r="J6183" s="2296"/>
      <c r="K6183" s="2274"/>
      <c r="L6183" s="291"/>
      <c r="M6183" s="291"/>
      <c r="N6183" s="291"/>
      <c r="O6183" s="291"/>
      <c r="S6183" s="364"/>
      <c r="Z6183" s="609" t="s">
        <v>2053</v>
      </c>
      <c r="AA6183" s="609"/>
    </row>
    <row r="6184" spans="1:27" ht="18.75" thickBot="1">
      <c r="A6184" s="2712"/>
      <c r="B6184" s="371"/>
      <c r="C6184" s="371"/>
      <c r="D6184" s="2714">
        <f t="shared" si="647"/>
        <v>1</v>
      </c>
      <c r="E6184" s="2719" t="s">
        <v>2751</v>
      </c>
      <c r="F6184" s="294"/>
      <c r="G6184" s="1527" t="s">
        <v>2752</v>
      </c>
      <c r="H6184" s="1525">
        <f>SUMPRODUCT($E6167:$E6183,H6167:H6183)</f>
        <v>0</v>
      </c>
      <c r="I6184" s="2314"/>
      <c r="J6184" s="2314"/>
      <c r="K6184" s="2264"/>
      <c r="L6184" s="291"/>
      <c r="M6184" s="291"/>
      <c r="N6184" s="291"/>
      <c r="O6184" s="291"/>
      <c r="S6184" s="364"/>
      <c r="Z6184" s="609" t="s">
        <v>2053</v>
      </c>
      <c r="AA6184" s="609"/>
    </row>
    <row r="6185" spans="1:27" ht="18">
      <c r="A6185" s="2712"/>
      <c r="B6185" s="371"/>
      <c r="C6185" s="371" t="s">
        <v>2755</v>
      </c>
      <c r="D6185" s="371"/>
      <c r="F6185" s="294"/>
      <c r="G6185" s="301"/>
      <c r="H6185" s="315"/>
      <c r="I6185" s="393"/>
      <c r="J6185" s="393"/>
      <c r="K6185" s="393"/>
      <c r="L6185" s="291"/>
      <c r="M6185" s="291"/>
      <c r="N6185" s="291"/>
      <c r="O6185" s="291"/>
      <c r="S6185" s="364"/>
      <c r="Z6185" s="609" t="s">
        <v>2053</v>
      </c>
      <c r="AA6185" s="609"/>
    </row>
    <row r="6186" spans="1:27" ht="18">
      <c r="A6186" s="2712">
        <v>7518</v>
      </c>
      <c r="B6186" s="371">
        <v>79.13</v>
      </c>
      <c r="C6186" s="2714" t="str">
        <f>VLOOKUP($A6186,Sheet_Items,2,0)</f>
        <v>经营性应收项目的减少</v>
      </c>
      <c r="D6186" s="371"/>
      <c r="E6186" s="2714" t="s">
        <v>2739</v>
      </c>
      <c r="F6186" s="294"/>
      <c r="G6186" s="536" t="str">
        <f>B6186&amp;" "&amp;C6186</f>
        <v>79.13 经营性应收项目的减少</v>
      </c>
      <c r="H6186" s="322"/>
      <c r="I6186" s="322"/>
      <c r="J6186" s="306" t="s">
        <v>4206</v>
      </c>
      <c r="K6186" s="341">
        <f>VLOOKUP($A6186,Sheet_Trialbal,6,0)</f>
        <v>-20087869.739999998</v>
      </c>
      <c r="L6186" s="342"/>
      <c r="M6186" s="306"/>
      <c r="N6186" s="341"/>
      <c r="O6186" s="306"/>
      <c r="P6186" s="301"/>
      <c r="S6186" s="364"/>
      <c r="Z6186" s="609" t="s">
        <v>2057</v>
      </c>
      <c r="AA6186" s="609"/>
    </row>
    <row r="6187" spans="1:27" ht="36">
      <c r="A6187" s="2712" t="s">
        <v>2055</v>
      </c>
      <c r="B6187" s="371">
        <v>1</v>
      </c>
      <c r="C6187" s="371"/>
      <c r="D6187" s="2714" t="str">
        <f>VLOOKUP($A6187,Sheet_NoteList,2,0)</f>
        <v>将净利润调节为经营活动现金流量：经营性应收项目的减少</v>
      </c>
      <c r="E6187" s="2714" t="s">
        <v>2742</v>
      </c>
      <c r="F6187" s="294"/>
      <c r="G6187" s="372" t="str">
        <f>"("&amp;B6187&amp;")"&amp;D6187</f>
        <v>(1)将净利润调节为经营活动现金流量：经营性应收项目的减少</v>
      </c>
      <c r="H6187" s="1515" t="str">
        <f>$A6187</f>
        <v>7518a</v>
      </c>
      <c r="I6187" s="343" t="s">
        <v>2743</v>
      </c>
      <c r="J6187" s="301" t="s">
        <v>4712</v>
      </c>
      <c r="K6187" s="2208">
        <f>J6211</f>
        <v>-17159161.23</v>
      </c>
      <c r="L6187" s="345">
        <f>IF(ROUND(K6186-K6187,2)=0,"F/S",ROUND(K6186-K6187,2))</f>
        <v>-2928708.51</v>
      </c>
      <c r="M6187" s="532" t="s">
        <v>4713</v>
      </c>
      <c r="N6187" s="3083"/>
      <c r="O6187" s="315"/>
      <c r="P6187" s="301"/>
      <c r="S6187" s="364"/>
      <c r="Z6187" s="609" t="s">
        <v>2057</v>
      </c>
      <c r="AA6187" s="609"/>
    </row>
    <row r="6188" spans="1:27" ht="0.75" customHeight="1" thickBot="1">
      <c r="A6188" s="2712"/>
      <c r="B6188" s="371"/>
      <c r="C6188" s="371"/>
      <c r="D6188" s="371"/>
      <c r="F6188" s="294"/>
      <c r="G6188" s="294" t="s">
        <v>4833</v>
      </c>
      <c r="H6188" s="294" t="s">
        <v>2747</v>
      </c>
      <c r="I6188" s="294" t="s">
        <v>2748</v>
      </c>
      <c r="J6188" s="294" t="s">
        <v>3256</v>
      </c>
      <c r="K6188" s="294" t="s">
        <v>2898</v>
      </c>
      <c r="L6188" s="291"/>
      <c r="M6188" s="291"/>
      <c r="N6188" s="291"/>
      <c r="O6188" s="291"/>
      <c r="S6188" s="364"/>
      <c r="Z6188" s="609" t="s">
        <v>2057</v>
      </c>
      <c r="AA6188" s="609"/>
    </row>
    <row r="6189" spans="1:27" ht="18">
      <c r="A6189" s="2712"/>
      <c r="B6189" s="371"/>
      <c r="C6189" s="371"/>
      <c r="D6189" s="371"/>
      <c r="E6189" s="2714" t="s">
        <v>2749</v>
      </c>
      <c r="F6189" s="294"/>
      <c r="G6189" s="1562" t="s">
        <v>47</v>
      </c>
      <c r="H6189" s="1563" t="s">
        <v>3276</v>
      </c>
      <c r="I6189" s="1563" t="s">
        <v>3273</v>
      </c>
      <c r="J6189" s="1563" t="s">
        <v>3275</v>
      </c>
      <c r="K6189" s="1564" t="s">
        <v>2508</v>
      </c>
      <c r="L6189" s="291"/>
      <c r="M6189" s="291"/>
      <c r="N6189" s="291"/>
      <c r="O6189" s="291"/>
      <c r="S6189" s="364"/>
      <c r="Z6189" s="609" t="s">
        <v>2057</v>
      </c>
      <c r="AA6189" s="609"/>
    </row>
    <row r="6190" spans="1:27" ht="18">
      <c r="A6190" s="2712"/>
      <c r="B6190" s="371">
        <v>101</v>
      </c>
      <c r="C6190" s="371"/>
      <c r="D6190" s="2714">
        <f t="shared" ref="D6190:D6211" si="648">IF(OR(G6190="*",G6190="",G6190=0),0,COUNTIF($G$6190:$G$6211,G6190))</f>
        <v>1</v>
      </c>
      <c r="E6190" s="2719" t="s">
        <v>41</v>
      </c>
      <c r="F6190" s="294"/>
      <c r="G6190" s="308" t="s">
        <v>4834</v>
      </c>
      <c r="H6190" s="309"/>
      <c r="I6190" s="309"/>
      <c r="J6190" s="309"/>
      <c r="K6190" s="388"/>
      <c r="L6190" s="291"/>
      <c r="M6190" s="291"/>
      <c r="N6190" s="291"/>
      <c r="O6190" s="291"/>
      <c r="S6190" s="364"/>
      <c r="Z6190" s="609" t="s">
        <v>2057</v>
      </c>
      <c r="AA6190" s="609"/>
    </row>
    <row r="6191" spans="1:27" ht="18">
      <c r="A6191" s="2712"/>
      <c r="B6191" s="371">
        <v>101.001</v>
      </c>
      <c r="C6191" s="371"/>
      <c r="D6191" s="2714">
        <f t="shared" si="648"/>
        <v>1</v>
      </c>
      <c r="E6191" s="2719" t="s">
        <v>4835</v>
      </c>
      <c r="F6191" s="294"/>
      <c r="G6191" s="308" t="s">
        <v>109</v>
      </c>
      <c r="H6191" s="309">
        <f>BS!G12+BS!G14</f>
        <v>3532481.3</v>
      </c>
      <c r="I6191" s="309">
        <f>BS!H12</f>
        <v>2024958.1</v>
      </c>
      <c r="J6191" s="1474">
        <f t="shared" ref="J6191:J6196" si="649">I6191-H6191</f>
        <v>-1507523.2</v>
      </c>
      <c r="K6191" s="388"/>
      <c r="L6191" s="291"/>
      <c r="M6191" s="291"/>
      <c r="N6191" s="291"/>
      <c r="O6191" s="291"/>
      <c r="S6191" s="364"/>
      <c r="Z6191" s="609" t="s">
        <v>2057</v>
      </c>
      <c r="AA6191" s="609"/>
    </row>
    <row r="6192" spans="1:27" ht="18">
      <c r="A6192" s="2712"/>
      <c r="B6192" s="371">
        <v>101.002</v>
      </c>
      <c r="C6192" s="371"/>
      <c r="D6192" s="2714">
        <f t="shared" si="648"/>
        <v>1</v>
      </c>
      <c r="E6192" s="2719" t="s">
        <v>4835</v>
      </c>
      <c r="F6192" s="294"/>
      <c r="G6192" s="308" t="s">
        <v>124</v>
      </c>
      <c r="H6192" s="309">
        <f>BS!G13+AJE!O106</f>
        <v>52134727.899999999</v>
      </c>
      <c r="I6192" s="309">
        <f>BS!H13</f>
        <v>43128210.229999997</v>
      </c>
      <c r="J6192" s="1474">
        <f t="shared" si="649"/>
        <v>-9006517.6699999999</v>
      </c>
      <c r="K6192" s="388"/>
      <c r="L6192" s="291"/>
      <c r="M6192" s="291"/>
      <c r="N6192" s="291"/>
      <c r="O6192" s="291"/>
      <c r="S6192" s="364"/>
      <c r="Z6192" s="609" t="s">
        <v>2057</v>
      </c>
      <c r="AA6192" s="609"/>
    </row>
    <row r="6193" spans="1:27" ht="18">
      <c r="A6193" s="2712"/>
      <c r="B6193" s="371">
        <v>101.003</v>
      </c>
      <c r="C6193" s="371"/>
      <c r="D6193" s="2714">
        <f t="shared" si="648"/>
        <v>1</v>
      </c>
      <c r="E6193" s="2719" t="s">
        <v>4835</v>
      </c>
      <c r="F6193" s="294"/>
      <c r="G6193" s="308" t="s">
        <v>162</v>
      </c>
      <c r="H6193" s="309">
        <f>BS!G15</f>
        <v>1491719.74</v>
      </c>
      <c r="I6193" s="309">
        <f>BS!H15</f>
        <v>2419762.12</v>
      </c>
      <c r="J6193" s="1474">
        <f t="shared" si="649"/>
        <v>928042.38</v>
      </c>
      <c r="K6193" s="388"/>
      <c r="L6193" s="291"/>
      <c r="M6193" s="291"/>
      <c r="N6193" s="291"/>
      <c r="O6193" s="291"/>
      <c r="S6193" s="364"/>
      <c r="Z6193" s="609" t="s">
        <v>2057</v>
      </c>
      <c r="AA6193" s="609"/>
    </row>
    <row r="6194" spans="1:27" ht="18">
      <c r="A6194" s="2712"/>
      <c r="B6194" s="371">
        <v>101.004</v>
      </c>
      <c r="C6194" s="371"/>
      <c r="D6194" s="2714">
        <f t="shared" si="648"/>
        <v>1</v>
      </c>
      <c r="E6194" s="2719" t="s">
        <v>4835</v>
      </c>
      <c r="F6194" s="294"/>
      <c r="G6194" s="308" t="s">
        <v>201</v>
      </c>
      <c r="H6194" s="309">
        <f>BS!G16</f>
        <v>8760929.7400000002</v>
      </c>
      <c r="I6194" s="309">
        <f>BS!H16</f>
        <v>1187767</v>
      </c>
      <c r="J6194" s="1474">
        <f t="shared" si="649"/>
        <v>-7573162.7400000002</v>
      </c>
      <c r="K6194" s="388"/>
      <c r="L6194" s="291"/>
      <c r="M6194" s="291"/>
      <c r="N6194" s="291"/>
      <c r="O6194" s="291"/>
      <c r="S6194" s="364"/>
      <c r="Z6194" s="609" t="s">
        <v>2057</v>
      </c>
      <c r="AA6194" s="609"/>
    </row>
    <row r="6195" spans="1:27" ht="18">
      <c r="A6195" s="2712"/>
      <c r="B6195" s="371">
        <v>101.005</v>
      </c>
      <c r="C6195" s="371"/>
      <c r="D6195" s="2714">
        <f t="shared" si="648"/>
        <v>1</v>
      </c>
      <c r="E6195" s="2719" t="s">
        <v>4835</v>
      </c>
      <c r="F6195" s="294"/>
      <c r="G6195" s="308" t="s">
        <v>247</v>
      </c>
      <c r="H6195" s="309">
        <f>BS!G22</f>
        <v>0</v>
      </c>
      <c r="I6195" s="309">
        <f>BS!H22</f>
        <v>0</v>
      </c>
      <c r="J6195" s="1474">
        <f t="shared" si="649"/>
        <v>0</v>
      </c>
      <c r="K6195" s="388"/>
      <c r="L6195" s="291"/>
      <c r="M6195" s="291"/>
      <c r="N6195" s="291"/>
      <c r="O6195" s="291"/>
      <c r="S6195" s="364"/>
      <c r="Z6195" s="609" t="s">
        <v>2057</v>
      </c>
      <c r="AA6195" s="609"/>
    </row>
    <row r="6196" spans="1:27" ht="18">
      <c r="A6196" s="2712"/>
      <c r="B6196" s="371">
        <v>101.006</v>
      </c>
      <c r="C6196" s="371" t="s">
        <v>2791</v>
      </c>
      <c r="D6196" s="2714">
        <f t="shared" si="648"/>
        <v>0</v>
      </c>
      <c r="E6196" s="2719" t="s">
        <v>4835</v>
      </c>
      <c r="F6196" s="294"/>
      <c r="G6196" s="1561" t="s">
        <v>2792</v>
      </c>
      <c r="H6196" s="309"/>
      <c r="I6196" s="309"/>
      <c r="J6196" s="1474">
        <f t="shared" si="649"/>
        <v>0</v>
      </c>
      <c r="K6196" s="388"/>
      <c r="L6196" s="291"/>
      <c r="M6196" s="291"/>
      <c r="N6196" s="291"/>
      <c r="O6196" s="291"/>
      <c r="S6196" s="364"/>
      <c r="Z6196" s="609" t="s">
        <v>2057</v>
      </c>
      <c r="AA6196" s="609"/>
    </row>
    <row r="6197" spans="1:27" ht="18">
      <c r="A6197" s="2712"/>
      <c r="B6197" s="371">
        <v>101.999</v>
      </c>
      <c r="C6197" s="371"/>
      <c r="D6197" s="2714">
        <f t="shared" si="648"/>
        <v>1</v>
      </c>
      <c r="E6197" s="2719">
        <v>1</v>
      </c>
      <c r="F6197" s="294"/>
      <c r="G6197" s="308" t="s">
        <v>4835</v>
      </c>
      <c r="H6197" s="1474">
        <f>SUMIF($E$6189:$E$6210,$G6197,H$6189:H$6210)</f>
        <v>65919858.68</v>
      </c>
      <c r="I6197" s="1474">
        <f>SUMIF($E$6189:$E$6210,$G6197,I$6189:I$6210)</f>
        <v>48760697.450000003</v>
      </c>
      <c r="J6197" s="1474">
        <f>SUMIF($E$6189:$E$6210,$G6197,J$6189:J$6210)</f>
        <v>-17159161.23</v>
      </c>
      <c r="K6197" s="388"/>
      <c r="L6197" s="291"/>
      <c r="M6197" s="291"/>
      <c r="N6197" s="291"/>
      <c r="O6197" s="291"/>
      <c r="S6197" s="364"/>
      <c r="Z6197" s="609" t="s">
        <v>2057</v>
      </c>
      <c r="AA6197" s="609"/>
    </row>
    <row r="6198" spans="1:27" ht="18">
      <c r="A6198" s="2712"/>
      <c r="B6198" s="371">
        <v>102</v>
      </c>
      <c r="C6198" s="371"/>
      <c r="D6198" s="2714">
        <f t="shared" si="648"/>
        <v>1</v>
      </c>
      <c r="E6198" s="2719" t="s">
        <v>41</v>
      </c>
      <c r="F6198" s="294"/>
      <c r="G6198" s="308" t="s">
        <v>4836</v>
      </c>
      <c r="H6198" s="309"/>
      <c r="I6198" s="309"/>
      <c r="J6198" s="309"/>
      <c r="K6198" s="388"/>
      <c r="L6198" s="532"/>
      <c r="M6198" s="291"/>
      <c r="N6198" s="291"/>
      <c r="O6198" s="291"/>
      <c r="S6198" s="364"/>
      <c r="Z6198" s="609" t="s">
        <v>2057</v>
      </c>
      <c r="AA6198" s="609"/>
    </row>
    <row r="6199" spans="1:27" ht="18">
      <c r="A6199" s="2712"/>
      <c r="B6199" s="371">
        <v>102.001</v>
      </c>
      <c r="C6199" s="371"/>
      <c r="D6199" s="2714">
        <f t="shared" si="648"/>
        <v>1</v>
      </c>
      <c r="E6199" s="2719" t="s">
        <v>4823</v>
      </c>
      <c r="F6199" s="294"/>
      <c r="G6199" s="308" t="s">
        <v>4837</v>
      </c>
      <c r="H6199" s="309"/>
      <c r="I6199" s="309"/>
      <c r="J6199" s="309"/>
      <c r="K6199" s="388"/>
      <c r="L6199" s="291"/>
      <c r="M6199" s="291"/>
      <c r="N6199" s="291"/>
      <c r="O6199" s="291"/>
      <c r="S6199" s="364"/>
      <c r="Z6199" s="609" t="s">
        <v>2057</v>
      </c>
      <c r="AA6199" s="609"/>
    </row>
    <row r="6200" spans="1:27" ht="18">
      <c r="A6200" s="2712"/>
      <c r="B6200" s="371">
        <v>102.002</v>
      </c>
      <c r="C6200" s="371"/>
      <c r="D6200" s="2714">
        <f t="shared" si="648"/>
        <v>1</v>
      </c>
      <c r="E6200" s="2719" t="s">
        <v>4838</v>
      </c>
      <c r="F6200" s="294"/>
      <c r="G6200" s="308" t="s">
        <v>4839</v>
      </c>
      <c r="H6200" s="309"/>
      <c r="I6200" s="309"/>
      <c r="J6200" s="1474">
        <f t="shared" ref="J6200:J6210" si="650">I6200-H6200</f>
        <v>0</v>
      </c>
      <c r="K6200" s="388"/>
      <c r="L6200" s="291"/>
      <c r="M6200" s="291"/>
      <c r="N6200" s="291"/>
      <c r="O6200" s="291"/>
      <c r="S6200" s="364"/>
      <c r="Z6200" s="609" t="s">
        <v>2057</v>
      </c>
      <c r="AA6200" s="609"/>
    </row>
    <row r="6201" spans="1:27" ht="24">
      <c r="A6201" s="2712"/>
      <c r="B6201" s="371">
        <v>102.003</v>
      </c>
      <c r="C6201" s="371"/>
      <c r="D6201" s="2714">
        <f t="shared" si="648"/>
        <v>1</v>
      </c>
      <c r="E6201" s="2719" t="s">
        <v>4838</v>
      </c>
      <c r="F6201" s="294"/>
      <c r="G6201" s="308" t="s">
        <v>4840</v>
      </c>
      <c r="H6201" s="309"/>
      <c r="I6201" s="309"/>
      <c r="J6201" s="1474">
        <f t="shared" si="650"/>
        <v>0</v>
      </c>
      <c r="K6201" s="388"/>
      <c r="L6201" s="291"/>
      <c r="M6201" s="291"/>
      <c r="N6201" s="291"/>
      <c r="O6201" s="291"/>
      <c r="S6201" s="364"/>
      <c r="Z6201" s="609" t="s">
        <v>2057</v>
      </c>
      <c r="AA6201" s="609"/>
    </row>
    <row r="6202" spans="1:27" ht="24">
      <c r="A6202" s="2712"/>
      <c r="B6202" s="371">
        <v>102.004</v>
      </c>
      <c r="C6202" s="371"/>
      <c r="D6202" s="2714">
        <f t="shared" si="648"/>
        <v>1</v>
      </c>
      <c r="E6202" s="2719" t="s">
        <v>4838</v>
      </c>
      <c r="F6202" s="294"/>
      <c r="G6202" s="308" t="s">
        <v>4841</v>
      </c>
      <c r="H6202" s="309"/>
      <c r="I6202" s="309"/>
      <c r="J6202" s="1474">
        <f t="shared" si="650"/>
        <v>0</v>
      </c>
      <c r="K6202" s="388"/>
      <c r="L6202" s="291"/>
      <c r="M6202" s="291"/>
      <c r="N6202" s="291"/>
      <c r="O6202" s="291"/>
      <c r="S6202" s="364"/>
      <c r="Z6202" s="609" t="s">
        <v>2057</v>
      </c>
      <c r="AA6202" s="609"/>
    </row>
    <row r="6203" spans="1:27" ht="18">
      <c r="A6203" s="2712"/>
      <c r="B6203" s="371">
        <v>102.005</v>
      </c>
      <c r="C6203" s="371"/>
      <c r="D6203" s="2714">
        <f t="shared" si="648"/>
        <v>1</v>
      </c>
      <c r="E6203" s="2719" t="s">
        <v>4838</v>
      </c>
      <c r="F6203" s="294"/>
      <c r="G6203" s="308" t="s">
        <v>4842</v>
      </c>
      <c r="H6203" s="309"/>
      <c r="I6203" s="309"/>
      <c r="J6203" s="1474">
        <f t="shared" si="650"/>
        <v>0</v>
      </c>
      <c r="K6203" s="388"/>
      <c r="L6203" s="291"/>
      <c r="M6203" s="291"/>
      <c r="N6203" s="291"/>
      <c r="O6203" s="291"/>
      <c r="S6203" s="364"/>
      <c r="Z6203" s="609" t="s">
        <v>2057</v>
      </c>
      <c r="AA6203" s="609"/>
    </row>
    <row r="6204" spans="1:27" ht="18">
      <c r="A6204" s="2712"/>
      <c r="B6204" s="371">
        <v>102.006</v>
      </c>
      <c r="C6204" s="371"/>
      <c r="D6204" s="2714">
        <f t="shared" si="648"/>
        <v>1</v>
      </c>
      <c r="E6204" s="2719" t="s">
        <v>4838</v>
      </c>
      <c r="F6204" s="294"/>
      <c r="G6204" s="308" t="s">
        <v>4843</v>
      </c>
      <c r="H6204" s="309"/>
      <c r="I6204" s="309"/>
      <c r="J6204" s="1474">
        <f t="shared" si="650"/>
        <v>0</v>
      </c>
      <c r="K6204" s="388"/>
      <c r="L6204" s="291"/>
      <c r="M6204" s="291"/>
      <c r="N6204" s="291"/>
      <c r="O6204" s="291"/>
      <c r="S6204" s="364"/>
      <c r="Z6204" s="609" t="s">
        <v>2057</v>
      </c>
      <c r="AA6204" s="609"/>
    </row>
    <row r="6205" spans="1:27" ht="18">
      <c r="A6205" s="2712"/>
      <c r="B6205" s="371">
        <v>102.00700000000001</v>
      </c>
      <c r="C6205" s="371" t="s">
        <v>2791</v>
      </c>
      <c r="D6205" s="2714">
        <f t="shared" si="648"/>
        <v>0</v>
      </c>
      <c r="E6205" s="2719" t="s">
        <v>4838</v>
      </c>
      <c r="F6205" s="294"/>
      <c r="G6205" s="1561" t="s">
        <v>2792</v>
      </c>
      <c r="H6205" s="309"/>
      <c r="I6205" s="309"/>
      <c r="J6205" s="1474">
        <f t="shared" si="650"/>
        <v>0</v>
      </c>
      <c r="K6205" s="388"/>
      <c r="L6205" s="291"/>
      <c r="M6205" s="291"/>
      <c r="N6205" s="291"/>
      <c r="O6205" s="291"/>
      <c r="S6205" s="364"/>
      <c r="Z6205" s="609" t="s">
        <v>2057</v>
      </c>
      <c r="AA6205" s="609"/>
    </row>
    <row r="6206" spans="1:27" ht="18">
      <c r="A6206" s="2712"/>
      <c r="B6206" s="371">
        <v>102.008</v>
      </c>
      <c r="C6206" s="371"/>
      <c r="D6206" s="2714">
        <f t="shared" si="648"/>
        <v>1</v>
      </c>
      <c r="E6206" s="2719" t="s">
        <v>4823</v>
      </c>
      <c r="F6206" s="294"/>
      <c r="G6206" s="308" t="s">
        <v>4844</v>
      </c>
      <c r="H6206" s="309"/>
      <c r="I6206" s="309"/>
      <c r="J6206" s="1474">
        <f t="shared" si="650"/>
        <v>0</v>
      </c>
      <c r="K6206" s="388"/>
      <c r="L6206" s="291"/>
      <c r="M6206" s="291"/>
      <c r="N6206" s="291"/>
      <c r="O6206" s="291"/>
      <c r="S6206" s="364"/>
      <c r="Z6206" s="609" t="s">
        <v>2057</v>
      </c>
      <c r="AA6206" s="609"/>
    </row>
    <row r="6207" spans="1:27" ht="18">
      <c r="A6207" s="2712"/>
      <c r="B6207" s="371">
        <v>102.009</v>
      </c>
      <c r="C6207" s="371"/>
      <c r="D6207" s="2714">
        <f t="shared" si="648"/>
        <v>1</v>
      </c>
      <c r="E6207" s="2719" t="s">
        <v>4838</v>
      </c>
      <c r="F6207" s="294"/>
      <c r="G6207" s="308" t="s">
        <v>4845</v>
      </c>
      <c r="H6207" s="309"/>
      <c r="I6207" s="309"/>
      <c r="J6207" s="1474">
        <f t="shared" si="650"/>
        <v>0</v>
      </c>
      <c r="K6207" s="388"/>
      <c r="L6207" s="291"/>
      <c r="M6207" s="291"/>
      <c r="N6207" s="291"/>
      <c r="O6207" s="291"/>
      <c r="S6207" s="364"/>
      <c r="Z6207" s="609" t="s">
        <v>2057</v>
      </c>
      <c r="AA6207" s="609"/>
    </row>
    <row r="6208" spans="1:27" ht="18">
      <c r="A6208" s="2712"/>
      <c r="B6208" s="371">
        <v>102.01</v>
      </c>
      <c r="C6208" s="371" t="s">
        <v>2791</v>
      </c>
      <c r="D6208" s="2714">
        <f t="shared" si="648"/>
        <v>0</v>
      </c>
      <c r="E6208" s="2719" t="s">
        <v>4838</v>
      </c>
      <c r="F6208" s="294"/>
      <c r="G6208" s="1561" t="s">
        <v>2792</v>
      </c>
      <c r="H6208" s="309"/>
      <c r="I6208" s="309"/>
      <c r="J6208" s="1474">
        <f t="shared" si="650"/>
        <v>0</v>
      </c>
      <c r="K6208" s="388"/>
      <c r="L6208" s="291"/>
      <c r="M6208" s="291"/>
      <c r="N6208" s="291"/>
      <c r="O6208" s="291"/>
      <c r="S6208" s="364"/>
      <c r="Z6208" s="609" t="s">
        <v>2057</v>
      </c>
      <c r="AA6208" s="609"/>
    </row>
    <row r="6209" spans="1:27" ht="18">
      <c r="A6209" s="2712"/>
      <c r="B6209" s="371">
        <v>102.999</v>
      </c>
      <c r="C6209" s="371"/>
      <c r="D6209" s="2714">
        <f t="shared" si="648"/>
        <v>1</v>
      </c>
      <c r="E6209" s="2719">
        <v>-1</v>
      </c>
      <c r="F6209" s="294"/>
      <c r="G6209" s="308" t="s">
        <v>4838</v>
      </c>
      <c r="H6209" s="1474">
        <f>SUMIF($E$6189:$E$6210,$G6209,H$6189:H$6210)</f>
        <v>0</v>
      </c>
      <c r="I6209" s="1474">
        <f>SUMIF($E$6189:$E$6210,$G6209,I$6189:I$6210)</f>
        <v>0</v>
      </c>
      <c r="J6209" s="1474">
        <f>SUMIF($E$6189:$E$6210,$G6209,J$6189:J$6210)</f>
        <v>0</v>
      </c>
      <c r="K6209" s="388"/>
      <c r="L6209" s="291"/>
      <c r="M6209" s="291"/>
      <c r="N6209" s="291"/>
      <c r="O6209" s="291"/>
      <c r="S6209" s="364"/>
      <c r="Z6209" s="609" t="s">
        <v>2057</v>
      </c>
      <c r="AA6209" s="609"/>
    </row>
    <row r="6210" spans="1:27" ht="18">
      <c r="A6210" s="2712"/>
      <c r="B6210" s="371">
        <v>103</v>
      </c>
      <c r="C6210" s="371" t="s">
        <v>2791</v>
      </c>
      <c r="D6210" s="2714">
        <f t="shared" si="648"/>
        <v>0</v>
      </c>
      <c r="E6210" s="2719">
        <v>-1</v>
      </c>
      <c r="F6210" s="294"/>
      <c r="G6210" s="1561" t="s">
        <v>2792</v>
      </c>
      <c r="H6210" s="309"/>
      <c r="I6210" s="309"/>
      <c r="J6210" s="1474">
        <f t="shared" si="650"/>
        <v>0</v>
      </c>
      <c r="K6210" s="388"/>
      <c r="L6210" s="291"/>
      <c r="M6210" s="291"/>
      <c r="N6210" s="291"/>
      <c r="O6210" s="291"/>
      <c r="S6210" s="364"/>
      <c r="Z6210" s="609" t="s">
        <v>2057</v>
      </c>
      <c r="AA6210" s="609"/>
    </row>
    <row r="6211" spans="1:27" ht="18.75" thickBot="1">
      <c r="A6211" s="2712"/>
      <c r="B6211" s="371"/>
      <c r="C6211" s="371"/>
      <c r="D6211" s="2714">
        <f t="shared" si="648"/>
        <v>1</v>
      </c>
      <c r="E6211" s="2719" t="s">
        <v>2751</v>
      </c>
      <c r="F6211" s="294"/>
      <c r="G6211" s="1527" t="s">
        <v>2752</v>
      </c>
      <c r="H6211" s="1525">
        <f>SUMPRODUCT($E6189:$E6210,H6189:H6210)</f>
        <v>65919858.68</v>
      </c>
      <c r="I6211" s="1525">
        <f>SUMPRODUCT($E6189:$E6210,I6189:I6210)</f>
        <v>48760697.450000003</v>
      </c>
      <c r="J6211" s="1525">
        <f>SUMPRODUCT($E6189:$E6210,J6189:J6210)</f>
        <v>-17159161.23</v>
      </c>
      <c r="K6211" s="1569"/>
      <c r="L6211" s="291"/>
      <c r="M6211" s="291"/>
      <c r="N6211" s="291"/>
      <c r="O6211" s="291"/>
      <c r="S6211" s="364"/>
      <c r="Z6211" s="609" t="s">
        <v>2057</v>
      </c>
      <c r="AA6211" s="609"/>
    </row>
    <row r="6212" spans="1:27" ht="18">
      <c r="A6212" s="2712"/>
      <c r="B6212" s="371"/>
      <c r="C6212" s="371" t="s">
        <v>2755</v>
      </c>
      <c r="D6212" s="371"/>
      <c r="F6212" s="294"/>
      <c r="G6212" s="301"/>
      <c r="H6212" s="315"/>
      <c r="I6212" s="315"/>
      <c r="J6212" s="315"/>
      <c r="K6212" s="393"/>
      <c r="L6212" s="291"/>
      <c r="M6212" s="291"/>
      <c r="N6212" s="291"/>
      <c r="O6212" s="291"/>
      <c r="S6212" s="364"/>
      <c r="Z6212" s="609" t="s">
        <v>2057</v>
      </c>
      <c r="AA6212" s="609"/>
    </row>
    <row r="6213" spans="1:27" ht="18">
      <c r="A6213" s="2712">
        <v>7519</v>
      </c>
      <c r="B6213" s="371">
        <v>79.14</v>
      </c>
      <c r="C6213" s="2714" t="str">
        <f>VLOOKUP($A6213,Sheet_Items,2,0)</f>
        <v>经营性应付项目的增加</v>
      </c>
      <c r="D6213" s="371"/>
      <c r="E6213" s="2714" t="s">
        <v>2739</v>
      </c>
      <c r="F6213" s="294"/>
      <c r="G6213" s="536" t="str">
        <f>B6213&amp;" "&amp;C6213</f>
        <v>79.14 经营性应付项目的增加</v>
      </c>
      <c r="H6213" s="322"/>
      <c r="I6213" s="322"/>
      <c r="J6213" s="306" t="s">
        <v>4206</v>
      </c>
      <c r="K6213" s="341">
        <f>VLOOKUP($A6213,Sheet_Trialbal,6,0)</f>
        <v>22638982.079999998</v>
      </c>
      <c r="L6213" s="342"/>
      <c r="M6213" s="306"/>
      <c r="N6213" s="341"/>
      <c r="O6213" s="306"/>
      <c r="P6213" s="301"/>
      <c r="S6213" s="364"/>
      <c r="Z6213" s="609" t="s">
        <v>2060</v>
      </c>
      <c r="AA6213" s="609"/>
    </row>
    <row r="6214" spans="1:27" ht="36">
      <c r="A6214" s="2712" t="s">
        <v>2058</v>
      </c>
      <c r="B6214" s="371">
        <v>1</v>
      </c>
      <c r="C6214" s="371"/>
      <c r="D6214" s="2714" t="str">
        <f>VLOOKUP($A6214,Sheet_NoteList,2,0)</f>
        <v>将净利润调节为经营活动现金流量：经营性应付项目的增加</v>
      </c>
      <c r="E6214" s="2714" t="s">
        <v>2742</v>
      </c>
      <c r="F6214" s="294"/>
      <c r="G6214" s="372" t="str">
        <f>"("&amp;B6214&amp;")"&amp;D6214</f>
        <v>(1)将净利润调节为经营活动现金流量：经营性应付项目的增加</v>
      </c>
      <c r="H6214" s="1515" t="str">
        <f>$A6214</f>
        <v>7519a</v>
      </c>
      <c r="I6214" s="343" t="s">
        <v>2743</v>
      </c>
      <c r="J6214" s="301" t="s">
        <v>4712</v>
      </c>
      <c r="K6214" s="2208">
        <f>J6240</f>
        <v>-21087417.920000002</v>
      </c>
      <c r="L6214" s="345">
        <f>IF(ROUND(K6213-K6214,2)=0,"F/S",ROUND(K6213-K6214,2))</f>
        <v>43726400</v>
      </c>
      <c r="M6214" s="532" t="s">
        <v>4713</v>
      </c>
      <c r="N6214" s="3083"/>
      <c r="O6214" s="315"/>
      <c r="P6214" s="301"/>
      <c r="S6214" s="364"/>
      <c r="Z6214" s="609" t="s">
        <v>2060</v>
      </c>
      <c r="AA6214" s="609"/>
    </row>
    <row r="6215" spans="1:27" ht="0.75" customHeight="1" thickBot="1">
      <c r="A6215" s="2712"/>
      <c r="B6215" s="371"/>
      <c r="C6215" s="371"/>
      <c r="D6215" s="371"/>
      <c r="F6215" s="294"/>
      <c r="G6215" s="294" t="s">
        <v>4846</v>
      </c>
      <c r="H6215" s="294" t="s">
        <v>2747</v>
      </c>
      <c r="I6215" s="294" t="s">
        <v>2748</v>
      </c>
      <c r="J6215" s="294" t="s">
        <v>3250</v>
      </c>
      <c r="K6215" s="294" t="s">
        <v>2898</v>
      </c>
      <c r="L6215" s="291"/>
      <c r="M6215" s="291"/>
      <c r="N6215" s="291"/>
      <c r="O6215" s="291"/>
      <c r="S6215" s="364"/>
      <c r="Z6215" s="609" t="s">
        <v>2060</v>
      </c>
      <c r="AA6215" s="609"/>
    </row>
    <row r="6216" spans="1:27" ht="18">
      <c r="A6216" s="2712"/>
      <c r="B6216" s="371"/>
      <c r="C6216" s="371"/>
      <c r="D6216" s="371"/>
      <c r="E6216" s="2714" t="s">
        <v>2749</v>
      </c>
      <c r="F6216" s="294"/>
      <c r="G6216" s="1562" t="s">
        <v>47</v>
      </c>
      <c r="H6216" s="1563" t="s">
        <v>3276</v>
      </c>
      <c r="I6216" s="1563" t="s">
        <v>3273</v>
      </c>
      <c r="J6216" s="1563" t="s">
        <v>3274</v>
      </c>
      <c r="K6216" s="1564" t="s">
        <v>2508</v>
      </c>
      <c r="L6216" s="291"/>
      <c r="M6216" s="291"/>
      <c r="N6216" s="291"/>
      <c r="O6216" s="291"/>
      <c r="S6216" s="364"/>
      <c r="Z6216" s="609" t="s">
        <v>2060</v>
      </c>
      <c r="AA6216" s="609"/>
    </row>
    <row r="6217" spans="1:27" ht="18">
      <c r="A6217" s="2712"/>
      <c r="B6217" s="371">
        <v>101</v>
      </c>
      <c r="C6217" s="371"/>
      <c r="D6217" s="2714">
        <f t="shared" ref="D6217:D6240" si="651">IF(OR(G6217="*",G6217="",G6217=0),0,COUNTIF($G$6217:$G$6240,G6217))</f>
        <v>1</v>
      </c>
      <c r="E6217" s="2719" t="s">
        <v>41</v>
      </c>
      <c r="F6217" s="294"/>
      <c r="G6217" s="308" t="s">
        <v>4847</v>
      </c>
      <c r="H6217" s="309"/>
      <c r="I6217" s="309"/>
      <c r="J6217" s="309"/>
      <c r="K6217" s="388"/>
      <c r="L6217" s="291"/>
      <c r="M6217" s="291"/>
      <c r="N6217" s="291"/>
      <c r="O6217" s="291"/>
      <c r="S6217" s="364"/>
      <c r="Z6217" s="609" t="s">
        <v>2060</v>
      </c>
      <c r="AA6217" s="609"/>
    </row>
    <row r="6218" spans="1:27" ht="18">
      <c r="A6218" s="2712"/>
      <c r="B6218" s="371">
        <v>101.001</v>
      </c>
      <c r="C6218" s="371"/>
      <c r="D6218" s="2714">
        <f t="shared" si="651"/>
        <v>1</v>
      </c>
      <c r="E6218" s="2719" t="s">
        <v>4848</v>
      </c>
      <c r="F6218" s="294"/>
      <c r="G6218" s="308" t="s">
        <v>471</v>
      </c>
      <c r="H6218" s="309">
        <f>BS!K12</f>
        <v>0</v>
      </c>
      <c r="I6218" s="309">
        <f>BS!L12</f>
        <v>42762500</v>
      </c>
      <c r="J6218" s="1474">
        <f t="shared" ref="J6218:J6225" si="652">H6218-I6218</f>
        <v>-42762500</v>
      </c>
      <c r="K6218" s="388"/>
      <c r="L6218" s="291"/>
      <c r="M6218" s="291"/>
      <c r="N6218" s="291"/>
      <c r="O6218" s="291"/>
      <c r="S6218" s="364"/>
      <c r="Z6218" s="609" t="s">
        <v>2060</v>
      </c>
      <c r="AA6218" s="609"/>
    </row>
    <row r="6219" spans="1:27" ht="18">
      <c r="A6219" s="2712"/>
      <c r="B6219" s="371">
        <v>101.002</v>
      </c>
      <c r="C6219" s="371"/>
      <c r="D6219" s="2714">
        <f t="shared" si="651"/>
        <v>1</v>
      </c>
      <c r="E6219" s="2719" t="s">
        <v>4848</v>
      </c>
      <c r="F6219" s="294"/>
      <c r="G6219" s="308" t="s">
        <v>476</v>
      </c>
      <c r="H6219" s="309">
        <f>BS!K13</f>
        <v>60014311.829999998</v>
      </c>
      <c r="I6219" s="309">
        <f>BS!L13</f>
        <v>35943625.149999999</v>
      </c>
      <c r="J6219" s="1474">
        <f t="shared" si="652"/>
        <v>24070686.68</v>
      </c>
      <c r="K6219" s="388"/>
      <c r="L6219" s="291"/>
      <c r="M6219" s="291"/>
      <c r="N6219" s="291"/>
      <c r="O6219" s="291"/>
      <c r="S6219" s="364"/>
      <c r="Z6219" s="609" t="s">
        <v>2060</v>
      </c>
      <c r="AA6219" s="609"/>
    </row>
    <row r="6220" spans="1:27" ht="18">
      <c r="A6220" s="2712"/>
      <c r="B6220" s="371">
        <v>101.003</v>
      </c>
      <c r="C6220" s="371"/>
      <c r="D6220" s="2714">
        <f t="shared" si="651"/>
        <v>1</v>
      </c>
      <c r="E6220" s="2719" t="s">
        <v>4848</v>
      </c>
      <c r="F6220" s="294"/>
      <c r="G6220" s="308" t="s">
        <v>484</v>
      </c>
      <c r="H6220" s="309">
        <f>BS!K14</f>
        <v>1190488.93</v>
      </c>
      <c r="I6220" s="309">
        <f>BS!L14</f>
        <v>2572903.23</v>
      </c>
      <c r="J6220" s="1474">
        <f t="shared" si="652"/>
        <v>-1382414.3</v>
      </c>
      <c r="K6220" s="388"/>
      <c r="L6220" s="291"/>
      <c r="M6220" s="291"/>
      <c r="N6220" s="291"/>
      <c r="O6220" s="291"/>
      <c r="S6220" s="364"/>
      <c r="Z6220" s="609" t="s">
        <v>2060</v>
      </c>
      <c r="AA6220" s="609"/>
    </row>
    <row r="6221" spans="1:27" ht="18">
      <c r="A6221" s="2712"/>
      <c r="B6221" s="371">
        <v>101.004</v>
      </c>
      <c r="C6221" s="371"/>
      <c r="D6221" s="2714">
        <f t="shared" si="651"/>
        <v>1</v>
      </c>
      <c r="E6221" s="2719" t="s">
        <v>4848</v>
      </c>
      <c r="F6221" s="294"/>
      <c r="G6221" s="308" t="s">
        <v>489</v>
      </c>
      <c r="H6221" s="309">
        <f>BS!K15</f>
        <v>6350911.7800000003</v>
      </c>
      <c r="I6221" s="309">
        <f>BS!L15</f>
        <v>6936778.7800000003</v>
      </c>
      <c r="J6221" s="1474">
        <f t="shared" si="652"/>
        <v>-585867</v>
      </c>
      <c r="K6221" s="388"/>
      <c r="L6221" s="291"/>
      <c r="M6221" s="291"/>
      <c r="N6221" s="291"/>
      <c r="O6221" s="291"/>
      <c r="S6221" s="364"/>
      <c r="Z6221" s="609" t="s">
        <v>2060</v>
      </c>
      <c r="AA6221" s="609"/>
    </row>
    <row r="6222" spans="1:27" ht="18">
      <c r="A6222" s="2712"/>
      <c r="B6222" s="371">
        <v>101.005</v>
      </c>
      <c r="C6222" s="371"/>
      <c r="D6222" s="2714">
        <f t="shared" si="651"/>
        <v>1</v>
      </c>
      <c r="E6222" s="2719" t="s">
        <v>4848</v>
      </c>
      <c r="F6222" s="294"/>
      <c r="G6222" s="308" t="s">
        <v>494</v>
      </c>
      <c r="H6222" s="309">
        <f>BS!K16</f>
        <v>4883645.8</v>
      </c>
      <c r="I6222" s="309">
        <f>BS!L16</f>
        <v>7888725.9500000002</v>
      </c>
      <c r="J6222" s="1474">
        <f t="shared" si="652"/>
        <v>-3005080.15</v>
      </c>
      <c r="K6222" s="388"/>
      <c r="L6222" s="291"/>
      <c r="M6222" s="291"/>
      <c r="N6222" s="291"/>
      <c r="O6222" s="291"/>
      <c r="S6222" s="364"/>
      <c r="Z6222" s="609" t="s">
        <v>2060</v>
      </c>
      <c r="AA6222" s="609"/>
    </row>
    <row r="6223" spans="1:27" ht="18">
      <c r="A6223" s="2712"/>
      <c r="B6223" s="371">
        <v>101.006</v>
      </c>
      <c r="C6223" s="371"/>
      <c r="D6223" s="2714">
        <f t="shared" si="651"/>
        <v>1</v>
      </c>
      <c r="E6223" s="2719" t="s">
        <v>4848</v>
      </c>
      <c r="F6223" s="294"/>
      <c r="G6223" s="308" t="s">
        <v>513</v>
      </c>
      <c r="H6223" s="309">
        <f>BS!K17</f>
        <v>11058441.74</v>
      </c>
      <c r="I6223" s="309">
        <f>BS!L17</f>
        <v>61340818.75</v>
      </c>
      <c r="J6223" s="1474">
        <f t="shared" si="652"/>
        <v>-50282377.009999998</v>
      </c>
      <c r="K6223" s="388"/>
      <c r="L6223" s="291"/>
      <c r="M6223" s="291"/>
      <c r="N6223" s="291"/>
      <c r="O6223" s="291"/>
      <c r="S6223" s="364"/>
      <c r="Z6223" s="609" t="s">
        <v>2060</v>
      </c>
      <c r="AA6223" s="609"/>
    </row>
    <row r="6224" spans="1:27" ht="18">
      <c r="A6224" s="2712"/>
      <c r="B6224" s="371">
        <v>101.00700000000001</v>
      </c>
      <c r="C6224" s="371"/>
      <c r="D6224" s="2714">
        <f t="shared" si="651"/>
        <v>1</v>
      </c>
      <c r="E6224" s="2719" t="s">
        <v>4848</v>
      </c>
      <c r="F6224" s="294"/>
      <c r="G6224" s="308" t="s">
        <v>534</v>
      </c>
      <c r="H6224" s="309"/>
      <c r="I6224" s="309"/>
      <c r="J6224" s="1474">
        <f t="shared" si="652"/>
        <v>0</v>
      </c>
      <c r="K6224" s="388"/>
      <c r="L6224" s="291"/>
      <c r="M6224" s="291"/>
      <c r="N6224" s="291"/>
      <c r="O6224" s="291"/>
      <c r="S6224" s="364"/>
      <c r="Z6224" s="609" t="s">
        <v>2060</v>
      </c>
      <c r="AA6224" s="609"/>
    </row>
    <row r="6225" spans="1:27" ht="18">
      <c r="A6225" s="2712"/>
      <c r="B6225" s="371">
        <v>101.008</v>
      </c>
      <c r="C6225" s="371" t="s">
        <v>2791</v>
      </c>
      <c r="D6225" s="2714">
        <f t="shared" si="651"/>
        <v>0</v>
      </c>
      <c r="E6225" s="2719" t="s">
        <v>4848</v>
      </c>
      <c r="F6225" s="294"/>
      <c r="G6225" s="1561" t="s">
        <v>2792</v>
      </c>
      <c r="H6225" s="309"/>
      <c r="I6225" s="309"/>
      <c r="J6225" s="1474">
        <f t="shared" si="652"/>
        <v>0</v>
      </c>
      <c r="K6225" s="388"/>
      <c r="L6225" s="291"/>
      <c r="M6225" s="291"/>
      <c r="N6225" s="291"/>
      <c r="O6225" s="291"/>
      <c r="S6225" s="364"/>
      <c r="Z6225" s="609" t="s">
        <v>2060</v>
      </c>
      <c r="AA6225" s="609"/>
    </row>
    <row r="6226" spans="1:27" ht="18">
      <c r="A6226" s="2712"/>
      <c r="B6226" s="371">
        <v>101.999</v>
      </c>
      <c r="C6226" s="371"/>
      <c r="D6226" s="2714">
        <f t="shared" si="651"/>
        <v>1</v>
      </c>
      <c r="E6226" s="2719">
        <v>1</v>
      </c>
      <c r="F6226" s="294"/>
      <c r="G6226" s="308" t="s">
        <v>4848</v>
      </c>
      <c r="H6226" s="1474">
        <f>SUMIF($E$6216:$E$6239,$G6226,H$6216:H$6239)</f>
        <v>83497800.079999998</v>
      </c>
      <c r="I6226" s="1474">
        <f>SUMIF($E$6216:$E$6239,$G6226,I$6216:I$6239)</f>
        <v>157445351.86000001</v>
      </c>
      <c r="J6226" s="1474">
        <f>SUMIF($E$6216:$E$6239,$G6226,J$6216:J$6239)</f>
        <v>-73947551.780000001</v>
      </c>
      <c r="K6226" s="388"/>
      <c r="L6226" s="291"/>
      <c r="M6226" s="291"/>
      <c r="N6226" s="291"/>
      <c r="O6226" s="291"/>
      <c r="S6226" s="364"/>
      <c r="Z6226" s="609" t="s">
        <v>2060</v>
      </c>
      <c r="AA6226" s="609"/>
    </row>
    <row r="6227" spans="1:27" ht="18">
      <c r="A6227" s="2712"/>
      <c r="B6227" s="371">
        <v>102</v>
      </c>
      <c r="C6227" s="371"/>
      <c r="D6227" s="2714">
        <f t="shared" si="651"/>
        <v>1</v>
      </c>
      <c r="E6227" s="2719" t="s">
        <v>41</v>
      </c>
      <c r="F6227" s="294"/>
      <c r="G6227" s="308" t="s">
        <v>4849</v>
      </c>
      <c r="H6227" s="309"/>
      <c r="I6227" s="309"/>
      <c r="J6227" s="309"/>
      <c r="K6227" s="388"/>
      <c r="L6227" s="532"/>
      <c r="M6227" s="291"/>
      <c r="N6227" s="291"/>
      <c r="O6227" s="291"/>
      <c r="S6227" s="364"/>
      <c r="Z6227" s="609" t="s">
        <v>2060</v>
      </c>
      <c r="AA6227" s="609"/>
    </row>
    <row r="6228" spans="1:27" ht="18">
      <c r="A6228" s="2712"/>
      <c r="B6228" s="371">
        <v>102.001</v>
      </c>
      <c r="C6228" s="371"/>
      <c r="D6228" s="2714">
        <f t="shared" si="651"/>
        <v>1</v>
      </c>
      <c r="E6228" s="2719" t="s">
        <v>4823</v>
      </c>
      <c r="F6228" s="294"/>
      <c r="G6228" s="308" t="s">
        <v>4850</v>
      </c>
      <c r="H6228" s="309"/>
      <c r="I6228" s="309"/>
      <c r="J6228" s="309"/>
      <c r="K6228" s="388"/>
      <c r="L6228" s="291"/>
      <c r="M6228" s="291"/>
      <c r="N6228" s="291"/>
      <c r="O6228" s="291"/>
      <c r="S6228" s="364"/>
      <c r="Z6228" s="609" t="s">
        <v>2060</v>
      </c>
      <c r="AA6228" s="609"/>
    </row>
    <row r="6229" spans="1:27" ht="24">
      <c r="A6229" s="2712"/>
      <c r="B6229" s="371">
        <v>102.002</v>
      </c>
      <c r="C6229" s="371"/>
      <c r="D6229" s="2714">
        <f t="shared" si="651"/>
        <v>1</v>
      </c>
      <c r="E6229" s="2719" t="s">
        <v>4851</v>
      </c>
      <c r="F6229" s="294"/>
      <c r="G6229" s="308" t="s">
        <v>4852</v>
      </c>
      <c r="H6229" s="309"/>
      <c r="I6229" s="309"/>
      <c r="J6229" s="1474">
        <f t="shared" ref="J6229:J6236" si="653">H6229-I6229</f>
        <v>0</v>
      </c>
      <c r="K6229" s="388"/>
      <c r="L6229" s="291"/>
      <c r="M6229" s="291"/>
      <c r="N6229" s="291"/>
      <c r="O6229" s="291"/>
      <c r="S6229" s="364"/>
      <c r="Z6229" s="609" t="s">
        <v>2060</v>
      </c>
      <c r="AA6229" s="609"/>
    </row>
    <row r="6230" spans="1:27" ht="24">
      <c r="A6230" s="2712"/>
      <c r="B6230" s="371">
        <v>102.003</v>
      </c>
      <c r="C6230" s="371"/>
      <c r="D6230" s="2714">
        <f t="shared" si="651"/>
        <v>1</v>
      </c>
      <c r="E6230" s="2719" t="s">
        <v>4851</v>
      </c>
      <c r="F6230" s="294"/>
      <c r="G6230" s="308" t="s">
        <v>4853</v>
      </c>
      <c r="H6230" s="309">
        <v>2916420.95</v>
      </c>
      <c r="I6230" s="309">
        <f>CF底稿!E72</f>
        <v>9126549.8100000005</v>
      </c>
      <c r="J6230" s="1474">
        <f t="shared" si="653"/>
        <v>-6210128.8600000003</v>
      </c>
      <c r="K6230" s="388"/>
      <c r="L6230" s="291"/>
      <c r="M6230" s="291"/>
      <c r="N6230" s="291"/>
      <c r="O6230" s="291"/>
      <c r="S6230" s="364"/>
      <c r="Z6230" s="609" t="s">
        <v>2060</v>
      </c>
      <c r="AA6230" s="609"/>
    </row>
    <row r="6231" spans="1:27" ht="24">
      <c r="A6231" s="2712"/>
      <c r="B6231" s="371">
        <v>102.004</v>
      </c>
      <c r="C6231" s="371"/>
      <c r="D6231" s="2714">
        <f t="shared" si="651"/>
        <v>1</v>
      </c>
      <c r="E6231" s="2719" t="s">
        <v>4851</v>
      </c>
      <c r="F6231" s="294"/>
      <c r="G6231" s="308" t="s">
        <v>4854</v>
      </c>
      <c r="H6231" s="309"/>
      <c r="I6231" s="309"/>
      <c r="J6231" s="1474">
        <f t="shared" si="653"/>
        <v>0</v>
      </c>
      <c r="K6231" s="388"/>
      <c r="L6231" s="291"/>
      <c r="M6231" s="291"/>
      <c r="N6231" s="291"/>
      <c r="O6231" s="291"/>
      <c r="S6231" s="364"/>
      <c r="Z6231" s="609" t="s">
        <v>2060</v>
      </c>
      <c r="AA6231" s="609"/>
    </row>
    <row r="6232" spans="1:27" ht="18">
      <c r="A6232" s="2712"/>
      <c r="B6232" s="371">
        <v>102.005</v>
      </c>
      <c r="C6232" s="371"/>
      <c r="D6232" s="2714">
        <f t="shared" si="651"/>
        <v>1</v>
      </c>
      <c r="E6232" s="2719" t="s">
        <v>4851</v>
      </c>
      <c r="F6232" s="294"/>
      <c r="G6232" s="308" t="s">
        <v>4855</v>
      </c>
      <c r="H6232" s="309"/>
      <c r="I6232" s="309"/>
      <c r="J6232" s="1474">
        <f t="shared" si="653"/>
        <v>0</v>
      </c>
      <c r="K6232" s="388"/>
      <c r="L6232" s="291"/>
      <c r="M6232" s="291"/>
      <c r="N6232" s="291"/>
      <c r="O6232" s="291"/>
      <c r="S6232" s="364"/>
      <c r="Z6232" s="609" t="s">
        <v>2060</v>
      </c>
      <c r="AA6232" s="609"/>
    </row>
    <row r="6233" spans="1:27" ht="18">
      <c r="A6233" s="2712"/>
      <c r="B6233" s="371">
        <v>102.006</v>
      </c>
      <c r="C6233" s="371"/>
      <c r="D6233" s="2714">
        <f t="shared" si="651"/>
        <v>1</v>
      </c>
      <c r="E6233" s="2719" t="s">
        <v>4851</v>
      </c>
      <c r="F6233" s="294"/>
      <c r="G6233" s="308" t="s">
        <v>4856</v>
      </c>
      <c r="H6233" s="309"/>
      <c r="I6233" s="309"/>
      <c r="J6233" s="1474">
        <f t="shared" si="653"/>
        <v>0</v>
      </c>
      <c r="K6233" s="388"/>
      <c r="L6233" s="291"/>
      <c r="M6233" s="291"/>
      <c r="N6233" s="291"/>
      <c r="O6233" s="291"/>
      <c r="S6233" s="364"/>
      <c r="Z6233" s="609" t="s">
        <v>2060</v>
      </c>
      <c r="AA6233" s="609"/>
    </row>
    <row r="6234" spans="1:27" ht="18">
      <c r="A6234" s="2712"/>
      <c r="B6234" s="371">
        <v>102.00700000000001</v>
      </c>
      <c r="C6234" s="371" t="s">
        <v>2791</v>
      </c>
      <c r="D6234" s="2714">
        <f t="shared" si="651"/>
        <v>0</v>
      </c>
      <c r="E6234" s="2719" t="s">
        <v>4851</v>
      </c>
      <c r="F6234" s="294"/>
      <c r="G6234" s="1561" t="s">
        <v>2792</v>
      </c>
      <c r="H6234" s="309"/>
      <c r="I6234" s="309"/>
      <c r="J6234" s="1474">
        <f t="shared" si="653"/>
        <v>0</v>
      </c>
      <c r="K6234" s="388"/>
      <c r="L6234" s="291"/>
      <c r="M6234" s="291"/>
      <c r="N6234" s="291"/>
      <c r="O6234" s="291"/>
      <c r="S6234" s="364"/>
      <c r="Z6234" s="609" t="s">
        <v>2060</v>
      </c>
      <c r="AA6234" s="609"/>
    </row>
    <row r="6235" spans="1:27" ht="18">
      <c r="A6235" s="2712"/>
      <c r="B6235" s="371">
        <v>102.008</v>
      </c>
      <c r="C6235" s="371"/>
      <c r="D6235" s="2714">
        <f t="shared" si="651"/>
        <v>1</v>
      </c>
      <c r="E6235" s="2719" t="s">
        <v>4823</v>
      </c>
      <c r="F6235" s="294"/>
      <c r="G6235" s="308" t="s">
        <v>4857</v>
      </c>
      <c r="H6235" s="309"/>
      <c r="I6235" s="309"/>
      <c r="J6235" s="1474">
        <f t="shared" si="653"/>
        <v>0</v>
      </c>
      <c r="K6235" s="388"/>
      <c r="L6235" s="291"/>
      <c r="M6235" s="291"/>
      <c r="N6235" s="291"/>
      <c r="O6235" s="291"/>
      <c r="S6235" s="364"/>
      <c r="Z6235" s="609" t="s">
        <v>2060</v>
      </c>
      <c r="AA6235" s="609"/>
    </row>
    <row r="6236" spans="1:27" ht="18">
      <c r="A6236" s="2712"/>
      <c r="B6236" s="371">
        <v>102.009</v>
      </c>
      <c r="C6236" s="371"/>
      <c r="D6236" s="2714">
        <f t="shared" si="651"/>
        <v>1</v>
      </c>
      <c r="E6236" s="2719" t="s">
        <v>4851</v>
      </c>
      <c r="F6236" s="294"/>
      <c r="G6236" s="308" t="s">
        <v>4858</v>
      </c>
      <c r="H6236" s="309"/>
      <c r="I6236" s="309"/>
      <c r="J6236" s="1474">
        <f t="shared" si="653"/>
        <v>0</v>
      </c>
      <c r="K6236" s="388"/>
      <c r="L6236" s="291"/>
      <c r="M6236" s="291"/>
      <c r="N6236" s="291"/>
      <c r="O6236" s="291"/>
      <c r="S6236" s="364"/>
      <c r="Z6236" s="609" t="s">
        <v>2060</v>
      </c>
      <c r="AA6236" s="609"/>
    </row>
    <row r="6237" spans="1:27" ht="18">
      <c r="A6237" s="2712"/>
      <c r="B6237" s="371">
        <v>102.01</v>
      </c>
      <c r="C6237" s="371" t="s">
        <v>2791</v>
      </c>
      <c r="D6237" s="2714">
        <f t="shared" si="651"/>
        <v>1</v>
      </c>
      <c r="E6237" s="2719" t="s">
        <v>4851</v>
      </c>
      <c r="F6237" s="294"/>
      <c r="G6237" s="1561" t="s">
        <v>7768</v>
      </c>
      <c r="H6237" s="309"/>
      <c r="I6237" s="309"/>
      <c r="J6237" s="1474">
        <f>CF底稿!E134-CF底稿!E133</f>
        <v>-46650005</v>
      </c>
      <c r="K6237" s="388"/>
      <c r="L6237" s="291"/>
      <c r="M6237" s="291"/>
      <c r="N6237" s="291"/>
      <c r="O6237" s="291"/>
      <c r="S6237" s="364"/>
      <c r="Z6237" s="609" t="s">
        <v>2060</v>
      </c>
      <c r="AA6237" s="609"/>
    </row>
    <row r="6238" spans="1:27" ht="18">
      <c r="A6238" s="2712"/>
      <c r="B6238" s="371">
        <v>102.999</v>
      </c>
      <c r="C6238" s="371"/>
      <c r="D6238" s="2714">
        <f t="shared" si="651"/>
        <v>1</v>
      </c>
      <c r="E6238" s="2719">
        <v>-1</v>
      </c>
      <c r="F6238" s="294"/>
      <c r="G6238" s="308" t="s">
        <v>4851</v>
      </c>
      <c r="H6238" s="1474">
        <f>SUMIF($E$6216:$E$6239,$G6238,H$6216:H$6239)</f>
        <v>2916420.95</v>
      </c>
      <c r="I6238" s="1474">
        <f>SUMIF($E$6216:$E$6239,$G6238,I$6216:I$6239)</f>
        <v>9126549.8100000005</v>
      </c>
      <c r="J6238" s="1474">
        <f>SUMIF($E$6216:$E$6239,$G6238,J$6216:J$6239)</f>
        <v>-52860133.859999999</v>
      </c>
      <c r="K6238" s="388"/>
      <c r="L6238" s="291"/>
      <c r="M6238" s="291"/>
      <c r="N6238" s="291"/>
      <c r="O6238" s="291"/>
      <c r="S6238" s="364"/>
      <c r="Z6238" s="609" t="s">
        <v>2060</v>
      </c>
      <c r="AA6238" s="609"/>
    </row>
    <row r="6239" spans="1:27" ht="18">
      <c r="A6239" s="2712"/>
      <c r="B6239" s="371">
        <v>103</v>
      </c>
      <c r="C6239" s="371" t="s">
        <v>2791</v>
      </c>
      <c r="D6239" s="2714">
        <f t="shared" si="651"/>
        <v>0</v>
      </c>
      <c r="E6239" s="2719">
        <v>-1</v>
      </c>
      <c r="F6239" s="294"/>
      <c r="G6239" s="1561" t="s">
        <v>2792</v>
      </c>
      <c r="H6239" s="309"/>
      <c r="I6239" s="309"/>
      <c r="J6239" s="309"/>
      <c r="K6239" s="388"/>
      <c r="L6239" s="291"/>
      <c r="M6239" s="291"/>
      <c r="N6239" s="291"/>
      <c r="O6239" s="291"/>
      <c r="S6239" s="364"/>
      <c r="Z6239" s="609" t="s">
        <v>2060</v>
      </c>
      <c r="AA6239" s="609"/>
    </row>
    <row r="6240" spans="1:27" ht="18.75" thickBot="1">
      <c r="A6240" s="2712"/>
      <c r="B6240" s="371"/>
      <c r="C6240" s="371"/>
      <c r="D6240" s="2714">
        <f t="shared" si="651"/>
        <v>1</v>
      </c>
      <c r="E6240" s="2719" t="s">
        <v>2751</v>
      </c>
      <c r="F6240" s="294"/>
      <c r="G6240" s="1527" t="s">
        <v>2752</v>
      </c>
      <c r="H6240" s="1525">
        <f>SUMPRODUCT($E6216:$E6239,H6216:H6239)</f>
        <v>80581379.129999995</v>
      </c>
      <c r="I6240" s="1525">
        <f>SUMPRODUCT($E6216:$E6239,I6216:I6239)</f>
        <v>148318802.05000001</v>
      </c>
      <c r="J6240" s="1525">
        <f>SUMPRODUCT($E6216:$E6239,J6216:J6239)</f>
        <v>-21087417.920000002</v>
      </c>
      <c r="K6240" s="1569"/>
      <c r="L6240" s="291"/>
      <c r="M6240" s="291"/>
      <c r="N6240" s="291"/>
      <c r="O6240" s="291"/>
      <c r="S6240" s="364"/>
      <c r="Z6240" s="609" t="s">
        <v>2060</v>
      </c>
      <c r="AA6240" s="609"/>
    </row>
    <row r="6241" spans="1:27" ht="18">
      <c r="A6241" s="2712"/>
      <c r="B6241" s="371"/>
      <c r="C6241" s="371" t="s">
        <v>2755</v>
      </c>
      <c r="D6241" s="371"/>
      <c r="F6241" s="294"/>
      <c r="G6241" s="301"/>
      <c r="H6241" s="315"/>
      <c r="I6241" s="315"/>
      <c r="J6241" s="315"/>
      <c r="K6241" s="393"/>
      <c r="L6241" s="291"/>
      <c r="M6241" s="291"/>
      <c r="N6241" s="291"/>
      <c r="O6241" s="291"/>
      <c r="S6241" s="364"/>
      <c r="Z6241" s="609" t="s">
        <v>2060</v>
      </c>
      <c r="AA6241" s="609"/>
    </row>
    <row r="6242" spans="1:27" ht="18">
      <c r="A6242" s="2712">
        <v>7523</v>
      </c>
      <c r="B6242" s="371">
        <v>79.150000000000006</v>
      </c>
      <c r="C6242" s="2714" t="str">
        <f>VLOOKUP($A6242,Sheet_Items,2,0)</f>
        <v>其他将净利润调节为经营活动现金流量项目</v>
      </c>
      <c r="D6242" s="371"/>
      <c r="E6242" s="2714" t="s">
        <v>2739</v>
      </c>
      <c r="F6242" s="294"/>
      <c r="G6242" s="536" t="str">
        <f>B6242&amp;" "&amp;C6242</f>
        <v>79.15 其他将净利润调节为经营活动现金流量项目</v>
      </c>
      <c r="H6242" s="322"/>
      <c r="I6242" s="322"/>
      <c r="J6242" s="306" t="s">
        <v>4206</v>
      </c>
      <c r="K6242" s="341">
        <f>VLOOKUP($A6242,Sheet_Trialbal,6,0)</f>
        <v>-3833037.43</v>
      </c>
      <c r="L6242" s="342"/>
      <c r="M6242" s="306"/>
      <c r="N6242" s="341"/>
      <c r="O6242" s="306"/>
      <c r="P6242" s="301"/>
      <c r="S6242" s="364"/>
      <c r="Z6242" s="609" t="s">
        <v>2063</v>
      </c>
      <c r="AA6242" s="609"/>
    </row>
    <row r="6243" spans="1:27" ht="24">
      <c r="A6243" s="2712" t="s">
        <v>2061</v>
      </c>
      <c r="B6243" s="371">
        <v>1</v>
      </c>
      <c r="C6243" s="371"/>
      <c r="D6243" s="2714" t="str">
        <f>VLOOKUP($A6243,Sheet_NoteList,2,0)</f>
        <v>将净利润调节为经营活动现金流量：其他项目</v>
      </c>
      <c r="E6243" s="2714" t="s">
        <v>2742</v>
      </c>
      <c r="F6243" s="294"/>
      <c r="G6243" s="372" t="str">
        <f>"("&amp;B6243&amp;")"&amp;D6243</f>
        <v>(1)将净利润调节为经营活动现金流量：其他项目</v>
      </c>
      <c r="H6243" s="1515" t="str">
        <f>$A6243</f>
        <v>7523a</v>
      </c>
      <c r="I6243" s="343" t="s">
        <v>2743</v>
      </c>
      <c r="J6243" s="301" t="s">
        <v>4712</v>
      </c>
      <c r="K6243" s="2208">
        <f>H6249</f>
        <v>0</v>
      </c>
      <c r="L6243" s="345">
        <f>IF(ROUND(K6242-K6243,2)=0,"F/S",ROUND(K6242-K6243,2))</f>
        <v>-3833037.43</v>
      </c>
      <c r="M6243" s="532" t="s">
        <v>4713</v>
      </c>
      <c r="N6243" s="3083"/>
      <c r="O6243" s="315"/>
      <c r="P6243" s="301"/>
      <c r="S6243" s="364"/>
      <c r="Z6243" s="609" t="s">
        <v>2063</v>
      </c>
      <c r="AA6243" s="609"/>
    </row>
    <row r="6244" spans="1:27" ht="0.75" customHeight="1" thickBot="1">
      <c r="A6244" s="2712"/>
      <c r="B6244" s="371"/>
      <c r="C6244" s="371"/>
      <c r="D6244" s="371"/>
      <c r="F6244" s="294"/>
      <c r="G6244" s="294" t="s">
        <v>4859</v>
      </c>
      <c r="H6244" s="294" t="s">
        <v>3472</v>
      </c>
      <c r="I6244" s="294" t="s">
        <v>2821</v>
      </c>
      <c r="J6244" s="291"/>
      <c r="K6244" s="291"/>
      <c r="L6244" s="291"/>
      <c r="M6244" s="291"/>
      <c r="S6244" s="364"/>
      <c r="Z6244" s="609" t="s">
        <v>2063</v>
      </c>
      <c r="AA6244" s="609"/>
    </row>
    <row r="6245" spans="1:27" ht="18">
      <c r="A6245" s="2712"/>
      <c r="B6245" s="371"/>
      <c r="C6245" s="371"/>
      <c r="D6245" s="371"/>
      <c r="E6245" s="2714" t="s">
        <v>2749</v>
      </c>
      <c r="F6245" s="294"/>
      <c r="G6245" s="1562" t="s">
        <v>47</v>
      </c>
      <c r="H6245" s="1563" t="s">
        <v>2587</v>
      </c>
      <c r="I6245" s="1564" t="s">
        <v>2508</v>
      </c>
      <c r="J6245" s="291"/>
      <c r="K6245" s="291"/>
      <c r="L6245" s="291"/>
      <c r="M6245" s="291"/>
      <c r="S6245" s="364"/>
      <c r="Z6245" s="609" t="s">
        <v>2063</v>
      </c>
      <c r="AA6245" s="609"/>
    </row>
    <row r="6246" spans="1:27" ht="18">
      <c r="A6246" s="2712"/>
      <c r="B6246" s="371">
        <v>101</v>
      </c>
      <c r="C6246" s="371" t="s">
        <v>2791</v>
      </c>
      <c r="D6246" s="2714">
        <f>IF(OR(G6246="*",G6246="",G6246=0),0,COUNTIF($G$6246:$G$6249,G6246))</f>
        <v>0</v>
      </c>
      <c r="E6246" s="2719">
        <v>1</v>
      </c>
      <c r="F6246" s="294"/>
      <c r="G6246" s="1561" t="s">
        <v>2792</v>
      </c>
      <c r="H6246" s="309"/>
      <c r="I6246" s="388"/>
      <c r="J6246" s="291"/>
      <c r="K6246" s="291"/>
      <c r="L6246" s="291"/>
      <c r="M6246" s="291"/>
      <c r="S6246" s="364"/>
      <c r="Z6246" s="609" t="s">
        <v>2063</v>
      </c>
      <c r="AA6246" s="609"/>
    </row>
    <row r="6247" spans="1:27" ht="18">
      <c r="A6247" s="2712"/>
      <c r="B6247" s="371">
        <v>102</v>
      </c>
      <c r="C6247" s="371" t="s">
        <v>2791</v>
      </c>
      <c r="D6247" s="2714">
        <f>IF(OR(G6247="*",G6247="",G6247=0),0,COUNTIF($G$6246:$G$6249,G6247))</f>
        <v>0</v>
      </c>
      <c r="E6247" s="2719">
        <v>1</v>
      </c>
      <c r="F6247" s="294"/>
      <c r="G6247" s="1561" t="s">
        <v>2792</v>
      </c>
      <c r="H6247" s="309"/>
      <c r="I6247" s="388"/>
      <c r="J6247" s="291"/>
      <c r="K6247" s="291"/>
      <c r="L6247" s="291"/>
      <c r="M6247" s="291"/>
      <c r="S6247" s="364"/>
      <c r="Z6247" s="609" t="s">
        <v>2063</v>
      </c>
      <c r="AA6247" s="609"/>
    </row>
    <row r="6248" spans="1:27" ht="18">
      <c r="A6248" s="2712"/>
      <c r="B6248" s="371">
        <v>103</v>
      </c>
      <c r="C6248" s="371" t="s">
        <v>2791</v>
      </c>
      <c r="D6248" s="2714">
        <f>IF(OR(G6248="*",G6248="",G6248=0),0,COUNTIF($G$6246:$G$6249,G6248))</f>
        <v>0</v>
      </c>
      <c r="E6248" s="2719">
        <v>1</v>
      </c>
      <c r="F6248" s="294"/>
      <c r="G6248" s="1561" t="s">
        <v>2792</v>
      </c>
      <c r="H6248" s="309"/>
      <c r="I6248" s="388"/>
      <c r="J6248" s="291"/>
      <c r="K6248" s="291"/>
      <c r="L6248" s="291"/>
      <c r="M6248" s="291"/>
      <c r="S6248" s="364"/>
      <c r="Z6248" s="609" t="s">
        <v>2063</v>
      </c>
      <c r="AA6248" s="609"/>
    </row>
    <row r="6249" spans="1:27" ht="18.75" thickBot="1">
      <c r="A6249" s="2712"/>
      <c r="B6249" s="371"/>
      <c r="C6249" s="371"/>
      <c r="D6249" s="2714">
        <f>IF(OR(G6249="*",G6249="",G6249=0),0,COUNTIF($G$6246:$G$6249,G6249))</f>
        <v>1</v>
      </c>
      <c r="E6249" s="2719" t="s">
        <v>2751</v>
      </c>
      <c r="F6249" s="294"/>
      <c r="G6249" s="1527" t="s">
        <v>2752</v>
      </c>
      <c r="H6249" s="1525">
        <f>SUMPRODUCT($E6245:$E6248,H6245:H6248)</f>
        <v>0</v>
      </c>
      <c r="I6249" s="1569"/>
      <c r="J6249" s="291"/>
      <c r="K6249" s="291"/>
      <c r="L6249" s="291"/>
      <c r="M6249" s="291"/>
      <c r="S6249" s="364"/>
      <c r="Z6249" s="609" t="s">
        <v>2063</v>
      </c>
      <c r="AA6249" s="609"/>
    </row>
    <row r="6250" spans="1:27" ht="18">
      <c r="A6250" s="2712"/>
      <c r="B6250" s="371"/>
      <c r="C6250" s="371" t="s">
        <v>2755</v>
      </c>
      <c r="D6250" s="371"/>
      <c r="F6250" s="294"/>
      <c r="G6250" s="301"/>
      <c r="H6250" s="315"/>
      <c r="I6250" s="393"/>
      <c r="J6250" s="291"/>
      <c r="K6250" s="291"/>
      <c r="L6250" s="291"/>
      <c r="M6250" s="291"/>
      <c r="S6250" s="364"/>
      <c r="Z6250" s="609" t="s">
        <v>2063</v>
      </c>
      <c r="AA6250" s="609"/>
    </row>
    <row r="6251" spans="1:27" ht="12.75" thickBot="1">
      <c r="S6251" s="364"/>
    </row>
    <row r="6252" spans="1:27">
      <c r="A6252" s="2716"/>
      <c r="B6252" s="2716"/>
      <c r="C6252" s="2716"/>
      <c r="D6252" s="2716"/>
      <c r="E6252" s="2720"/>
      <c r="F6252" s="633"/>
      <c r="G6252" s="634"/>
      <c r="H6252" s="634"/>
      <c r="I6252" s="634"/>
      <c r="J6252" s="634"/>
      <c r="K6252" s="634"/>
      <c r="L6252" s="634"/>
      <c r="M6252" s="634"/>
      <c r="N6252" s="634"/>
      <c r="O6252" s="634"/>
      <c r="P6252" s="634"/>
      <c r="Q6252" s="634"/>
      <c r="R6252" s="634"/>
    </row>
    <row r="6253" spans="1:27" ht="18">
      <c r="A6253" s="2717"/>
      <c r="F6253" s="635" t="s">
        <v>3002</v>
      </c>
      <c r="G6253" s="2505" t="s">
        <v>6823</v>
      </c>
      <c r="H6253" s="2506"/>
      <c r="I6253" s="2507"/>
      <c r="J6253" s="2507"/>
      <c r="K6253" s="2507"/>
      <c r="L6253" s="2507"/>
      <c r="M6253" s="2507"/>
      <c r="N6253" s="2507"/>
      <c r="O6253" s="2507"/>
      <c r="P6253" s="532" t="s">
        <v>4860</v>
      </c>
    </row>
    <row r="6254" spans="1:27" ht="18">
      <c r="A6254" s="2717"/>
      <c r="D6254" s="369" t="s">
        <v>2527</v>
      </c>
      <c r="E6254" s="2714" t="s">
        <v>6824</v>
      </c>
      <c r="F6254" s="287" t="s">
        <v>2528</v>
      </c>
      <c r="G6254" s="2508" t="s">
        <v>6825</v>
      </c>
      <c r="H6254" s="2506"/>
      <c r="I6254" s="2506"/>
      <c r="J6254" s="2506"/>
      <c r="K6254" s="2506"/>
      <c r="L6254" s="2508" t="s">
        <v>6826</v>
      </c>
      <c r="M6254" s="2507"/>
      <c r="N6254" s="2507"/>
      <c r="O6254" s="2508" t="s">
        <v>6827</v>
      </c>
    </row>
    <row r="6255" spans="1:27" ht="18">
      <c r="A6255" s="2717"/>
      <c r="D6255" s="369" t="s">
        <v>69</v>
      </c>
      <c r="E6255" s="2721">
        <f t="shared" ref="E6255:E6318" si="654">IF(OR(L6255="#Logical!",O6255="#Logical!"),9,SUM(ABS(SUM(L6255)),ABS(SUM(O6255))))</f>
        <v>0</v>
      </c>
      <c r="F6255" s="287">
        <v>1</v>
      </c>
      <c r="G6255" s="288" t="s">
        <v>6828</v>
      </c>
      <c r="L6255" s="636" t="str">
        <f>HYPERLINK("[105_个别报表_2019年度_山东天安_V0.1.xlsx]Notes!CheckA"&amp;$D6255,$L$10)</f>
        <v>F/S</v>
      </c>
      <c r="O6255" s="636" t="str">
        <f>HYPERLINK("[105_个别报表_2019年度_山东天安_V0.1.xlsx]Notes!CheckB"&amp;$D6255,$O$10)</f>
        <v>F/S</v>
      </c>
    </row>
    <row r="6256" spans="1:27" ht="18">
      <c r="A6256" s="2717"/>
      <c r="D6256" s="369" t="s">
        <v>45</v>
      </c>
      <c r="E6256" s="2721">
        <f t="shared" si="654"/>
        <v>0</v>
      </c>
      <c r="F6256" s="287">
        <v>2</v>
      </c>
      <c r="G6256" s="288" t="s">
        <v>6829</v>
      </c>
      <c r="L6256" s="636" t="str">
        <f>HYPERLINK("[105_个别报表_2019年度_山东天安_V0.1.xlsx]Notes!CheckA"&amp;$D6256,$L$20)</f>
        <v>F/S</v>
      </c>
      <c r="O6256" s="636" t="str">
        <f>HYPERLINK("[105_个别报表_2019年度_山东天安_V0.1.xlsx]Notes!CheckB"&amp;$D6256,$O$20)</f>
        <v>F/S</v>
      </c>
    </row>
    <row r="6257" spans="1:15" ht="18">
      <c r="A6257" s="2717"/>
      <c r="D6257" s="369" t="s">
        <v>88</v>
      </c>
      <c r="E6257" s="2721">
        <f t="shared" si="654"/>
        <v>0</v>
      </c>
      <c r="F6257" s="287">
        <v>3</v>
      </c>
      <c r="G6257" s="288" t="s">
        <v>6830</v>
      </c>
      <c r="L6257" s="636">
        <f>HYPERLINK("[105_个别报表_2019年度_山东天安_V0.1.xlsx]Notes!CheckA"&amp;$D6257,$L$59)</f>
        <v>0</v>
      </c>
      <c r="O6257" s="636" t="str">
        <f>HYPERLINK("[105_个别报表_2019年度_山东天安_V0.1.xlsx]Notes!CheckB"&amp;$D6257,$O$59)</f>
        <v/>
      </c>
    </row>
    <row r="6258" spans="1:15" ht="18">
      <c r="A6258" s="2717"/>
      <c r="D6258" s="369" t="s">
        <v>135</v>
      </c>
      <c r="E6258" s="2721">
        <f t="shared" si="654"/>
        <v>0</v>
      </c>
      <c r="F6258" s="287">
        <v>4</v>
      </c>
      <c r="G6258" s="288" t="s">
        <v>6831</v>
      </c>
      <c r="L6258" s="636" t="str">
        <f>HYPERLINK("[105_个别报表_2019年度_山东天安_V0.1.xlsx]Notes!CheckA"&amp;$D6258,$L$71)</f>
        <v>F/S</v>
      </c>
      <c r="O6258" s="636" t="str">
        <f>HYPERLINK("[105_个别报表_2019年度_山东天安_V0.1.xlsx]Notes!CheckB"&amp;$D6258,$O$71)</f>
        <v>F/S</v>
      </c>
    </row>
    <row r="6259" spans="1:15" ht="18">
      <c r="A6259" s="2717"/>
      <c r="D6259" s="369" t="s">
        <v>106</v>
      </c>
      <c r="E6259" s="2721">
        <f t="shared" si="654"/>
        <v>0</v>
      </c>
      <c r="F6259" s="287">
        <v>5</v>
      </c>
      <c r="G6259" s="288" t="s">
        <v>6832</v>
      </c>
      <c r="L6259" s="636" t="str">
        <f>HYPERLINK("[105_个别报表_2019年度_山东天安_V0.1.xlsx]Notes!CheckA"&amp;$D6259,$L$90)</f>
        <v>F/S</v>
      </c>
      <c r="O6259" s="636" t="str">
        <f>HYPERLINK("[105_个别报表_2019年度_山东天安_V0.1.xlsx]Notes!CheckB"&amp;$D6259,$O$90)</f>
        <v>F/S</v>
      </c>
    </row>
    <row r="6260" spans="1:15" ht="18">
      <c r="A6260" s="2717"/>
      <c r="D6260" s="369" t="s">
        <v>148</v>
      </c>
      <c r="E6260" s="2721">
        <f t="shared" si="654"/>
        <v>0</v>
      </c>
      <c r="F6260" s="287">
        <v>6</v>
      </c>
      <c r="G6260" s="288" t="s">
        <v>6833</v>
      </c>
      <c r="L6260" s="636" t="str">
        <f>HYPERLINK("[105_个别报表_2019年度_山东天安_V0.1.xlsx]Notes!CheckA"&amp;$D6260,$L$109)</f>
        <v>F/S</v>
      </c>
      <c r="O6260" s="636" t="str">
        <f>HYPERLINK("[105_个别报表_2019年度_山东天安_V0.1.xlsx]Notes!CheckB"&amp;$D6260,$O$109)</f>
        <v>F/S</v>
      </c>
    </row>
    <row r="6261" spans="1:15" ht="18">
      <c r="A6261" s="2717"/>
      <c r="D6261" s="369" t="s">
        <v>159</v>
      </c>
      <c r="E6261" s="2721">
        <f t="shared" si="654"/>
        <v>0</v>
      </c>
      <c r="F6261" s="287">
        <v>7</v>
      </c>
      <c r="G6261" s="288" t="s">
        <v>6834</v>
      </c>
      <c r="L6261" s="636" t="str">
        <f>HYPERLINK("[105_个别报表_2019年度_山东天安_V0.1.xlsx]Notes!CheckA"&amp;$D6261,$L$120)</f>
        <v>F/S</v>
      </c>
      <c r="O6261" s="636" t="str">
        <f>HYPERLINK("[105_个别报表_2019年度_山东天安_V0.1.xlsx]Notes!CheckB"&amp;$D6261,$O$120)</f>
        <v>F/S</v>
      </c>
    </row>
    <row r="6262" spans="1:15" ht="18">
      <c r="A6262" s="2717"/>
      <c r="D6262" s="369" t="s">
        <v>170</v>
      </c>
      <c r="E6262" s="2721">
        <f t="shared" si="654"/>
        <v>0</v>
      </c>
      <c r="F6262" s="287">
        <v>8</v>
      </c>
      <c r="G6262" s="288" t="s">
        <v>6835</v>
      </c>
      <c r="L6262" s="636">
        <f>HYPERLINK("[105_个别报表_2019年度_山东天安_V0.1.xlsx]Notes!CheckA"&amp;$D6262,$L$138)</f>
        <v>0</v>
      </c>
      <c r="O6262" s="636">
        <f>HYPERLINK("[105_个别报表_2019年度_山东天安_V0.1.xlsx]Notes!CheckB"&amp;$D6262,$O$138)</f>
        <v>0</v>
      </c>
    </row>
    <row r="6263" spans="1:15" ht="18">
      <c r="A6263" s="2717"/>
      <c r="D6263" s="369" t="s">
        <v>178</v>
      </c>
      <c r="E6263" s="2721">
        <f t="shared" si="654"/>
        <v>0</v>
      </c>
      <c r="F6263" s="287">
        <v>9</v>
      </c>
      <c r="G6263" s="288" t="s">
        <v>6836</v>
      </c>
      <c r="L6263" s="636">
        <f>HYPERLINK("[105_个别报表_2019年度_山东天安_V0.1.xlsx]Notes!CheckA"&amp;$D6263,$L$146)</f>
        <v>0</v>
      </c>
      <c r="O6263" s="636">
        <f>HYPERLINK("[105_个别报表_2019年度_山东天安_V0.1.xlsx]Notes!CheckB"&amp;$D6263,$O$146)</f>
        <v>0</v>
      </c>
    </row>
    <row r="6264" spans="1:15" ht="18">
      <c r="A6264" s="2717"/>
      <c r="D6264" s="369" t="s">
        <v>189</v>
      </c>
      <c r="E6264" s="2721">
        <f t="shared" si="654"/>
        <v>0</v>
      </c>
      <c r="F6264" s="287">
        <v>10</v>
      </c>
      <c r="G6264" s="288" t="s">
        <v>6837</v>
      </c>
      <c r="L6264" s="636">
        <f>HYPERLINK("[105_个别报表_2019年度_山东天安_V0.1.xlsx]Notes!CheckA"&amp;$D6264,$L$160)</f>
        <v>0</v>
      </c>
      <c r="O6264" s="636">
        <f>HYPERLINK("[105_个别报表_2019年度_山东天安_V0.1.xlsx]Notes!CheckB"&amp;$D6264,$O$160)</f>
        <v>0</v>
      </c>
    </row>
    <row r="6265" spans="1:15" ht="18">
      <c r="A6265" s="2717"/>
      <c r="D6265" s="369" t="s">
        <v>199</v>
      </c>
      <c r="E6265" s="2721">
        <f t="shared" si="654"/>
        <v>0</v>
      </c>
      <c r="F6265" s="287">
        <v>11</v>
      </c>
      <c r="G6265" s="288" t="s">
        <v>6838</v>
      </c>
      <c r="L6265" s="636" t="str">
        <f>HYPERLINK("[105_个别报表_2019年度_山东天安_V0.1.xlsx]Notes!CheckA"&amp;$D6265,$L$170)</f>
        <v>F/S</v>
      </c>
      <c r="O6265" s="636">
        <f>HYPERLINK("[105_个别报表_2019年度_山东天安_V0.1.xlsx]Notes!CheckB"&amp;$D6265,$O$170)</f>
        <v>0</v>
      </c>
    </row>
    <row r="6266" spans="1:15" ht="18">
      <c r="A6266" s="2717"/>
      <c r="D6266" s="369" t="s">
        <v>209</v>
      </c>
      <c r="E6266" s="2721">
        <f t="shared" si="654"/>
        <v>0</v>
      </c>
      <c r="F6266" s="287">
        <v>12</v>
      </c>
      <c r="G6266" s="288" t="s">
        <v>6839</v>
      </c>
      <c r="L6266" s="636">
        <f>HYPERLINK("[105_个别报表_2019年度_山东天安_V0.1.xlsx]Notes!CheckA"&amp;$D6266,$L$192)</f>
        <v>0</v>
      </c>
      <c r="O6266" s="636">
        <f>HYPERLINK("[105_个别报表_2019年度_山东天安_V0.1.xlsx]Notes!CheckB"&amp;$D6266,$O$192)</f>
        <v>0</v>
      </c>
    </row>
    <row r="6267" spans="1:15" ht="18">
      <c r="A6267" s="2717"/>
      <c r="D6267" s="369" t="s">
        <v>219</v>
      </c>
      <c r="E6267" s="2721">
        <f t="shared" si="654"/>
        <v>0</v>
      </c>
      <c r="F6267" s="287">
        <v>13</v>
      </c>
      <c r="G6267" s="288" t="s">
        <v>6840</v>
      </c>
      <c r="L6267" s="636">
        <f>HYPERLINK("[105_个别报表_2019年度_山东天安_V0.1.xlsx]Notes!CheckA"&amp;$D6267,$L$214)</f>
        <v>0</v>
      </c>
      <c r="O6267" s="636">
        <f>HYPERLINK("[105_个别报表_2019年度_山东天安_V0.1.xlsx]Notes!CheckB"&amp;$D6267,$O$214)</f>
        <v>0</v>
      </c>
    </row>
    <row r="6268" spans="1:15" ht="18">
      <c r="A6268" s="2717"/>
      <c r="D6268" s="369" t="s">
        <v>6115</v>
      </c>
      <c r="E6268" s="2721">
        <f t="shared" si="654"/>
        <v>2024958.1</v>
      </c>
      <c r="F6268" s="287">
        <v>14</v>
      </c>
      <c r="G6268" s="288" t="s">
        <v>6841</v>
      </c>
      <c r="L6268" s="636" t="str">
        <f>HYPERLINK("[105_个别报表_2019年度_山东天安_V0.1.xlsx]Notes!CheckA"&amp;$D6268,$L$236)</f>
        <v>F/S</v>
      </c>
      <c r="O6268" s="636">
        <f>HYPERLINK("[105_个别报表_2019年度_山东天安_V0.1.xlsx]Notes!CheckB"&amp;$D6268,$O$236)</f>
        <v>2024958.1</v>
      </c>
    </row>
    <row r="6269" spans="1:15" ht="18">
      <c r="A6269" s="2717"/>
      <c r="D6269" s="369" t="s">
        <v>227</v>
      </c>
      <c r="E6269" s="2721">
        <f t="shared" si="654"/>
        <v>0</v>
      </c>
      <c r="F6269" s="287">
        <v>15</v>
      </c>
      <c r="G6269" s="288" t="s">
        <v>6842</v>
      </c>
      <c r="L6269" s="636">
        <f>HYPERLINK("[105_个别报表_2019年度_山东天安_V0.1.xlsx]Notes!CheckA"&amp;$D6269,$L$251)</f>
        <v>0</v>
      </c>
      <c r="O6269" s="636">
        <f>HYPERLINK("[105_个别报表_2019年度_山东天安_V0.1.xlsx]Notes!CheckB"&amp;$D6269,$O$251)</f>
        <v>0</v>
      </c>
    </row>
    <row r="6270" spans="1:15" ht="18">
      <c r="A6270" s="2717"/>
      <c r="D6270" s="369" t="s">
        <v>235</v>
      </c>
      <c r="E6270" s="2721">
        <f t="shared" si="654"/>
        <v>0</v>
      </c>
      <c r="F6270" s="287">
        <v>16</v>
      </c>
      <c r="G6270" s="288" t="s">
        <v>6843</v>
      </c>
      <c r="L6270" s="636">
        <f>HYPERLINK("[105_个别报表_2019年度_山东天安_V0.1.xlsx]Notes!CheckA"&amp;$D6270,$L$273)</f>
        <v>0</v>
      </c>
      <c r="O6270" s="636">
        <f>HYPERLINK("[105_个别报表_2019年度_山东天安_V0.1.xlsx]Notes!CheckB"&amp;$D6270,$O$273)</f>
        <v>0</v>
      </c>
    </row>
    <row r="6271" spans="1:15" ht="18">
      <c r="A6271" s="2717"/>
      <c r="D6271" s="369" t="s">
        <v>245</v>
      </c>
      <c r="E6271" s="2721">
        <f t="shared" si="654"/>
        <v>0</v>
      </c>
      <c r="F6271" s="287">
        <v>17</v>
      </c>
      <c r="G6271" s="288" t="s">
        <v>6844</v>
      </c>
      <c r="L6271" s="636">
        <f>HYPERLINK("[105_个别报表_2019年度_山东天安_V0.1.xlsx]Notes!CheckA"&amp;$D6271,$L$286)</f>
        <v>0</v>
      </c>
      <c r="O6271" s="636">
        <f>HYPERLINK("[105_个别报表_2019年度_山东天安_V0.1.xlsx]Notes!CheckB"&amp;$D6271,$O$286)</f>
        <v>0</v>
      </c>
    </row>
    <row r="6272" spans="1:15" ht="18">
      <c r="A6272" s="2717"/>
      <c r="D6272" s="369" t="s">
        <v>255</v>
      </c>
      <c r="E6272" s="2721">
        <f t="shared" si="654"/>
        <v>0</v>
      </c>
      <c r="F6272" s="287">
        <v>18</v>
      </c>
      <c r="G6272" s="288" t="s">
        <v>6845</v>
      </c>
      <c r="L6272" s="636">
        <f>HYPERLINK("[105_个别报表_2019年度_山东天安_V0.1.xlsx]Notes!CheckA"&amp;$D6272,$L$293)</f>
        <v>0</v>
      </c>
      <c r="O6272" s="636">
        <f>HYPERLINK("[105_个别报表_2019年度_山东天安_V0.1.xlsx]Notes!CheckB"&amp;$D6272,$O$293)</f>
        <v>0</v>
      </c>
    </row>
    <row r="6273" spans="1:15" ht="18">
      <c r="A6273" s="2717"/>
      <c r="D6273" s="369" t="s">
        <v>5583</v>
      </c>
      <c r="E6273" s="2721">
        <f t="shared" si="654"/>
        <v>2024958.1</v>
      </c>
      <c r="F6273" s="287">
        <v>19</v>
      </c>
      <c r="G6273" s="288" t="s">
        <v>6846</v>
      </c>
      <c r="L6273" s="636" t="str">
        <f>HYPERLINK("[105_个别报表_2019年度_山东天安_V0.1.xlsx]Notes!CheckA"&amp;$D6273,$L$306)</f>
        <v>F/S</v>
      </c>
      <c r="O6273" s="636">
        <f>HYPERLINK("[105_个别报表_2019年度_山东天安_V0.1.xlsx]Notes!CheckB"&amp;$D6273,$O$306)</f>
        <v>2024958.1</v>
      </c>
    </row>
    <row r="6274" spans="1:15" ht="18">
      <c r="A6274" s="2717"/>
      <c r="D6274" s="369" t="s">
        <v>271</v>
      </c>
      <c r="E6274" s="2721">
        <f t="shared" si="654"/>
        <v>73003.06</v>
      </c>
      <c r="F6274" s="287">
        <v>20</v>
      </c>
      <c r="G6274" s="288" t="s">
        <v>6847</v>
      </c>
      <c r="L6274" s="636" t="str">
        <f>HYPERLINK("[105_个别报表_2019年度_山东天安_V0.1.xlsx]Notes!CheckA"&amp;$D6274,$L$317)</f>
        <v>F/S</v>
      </c>
      <c r="O6274" s="636">
        <f>HYPERLINK("[105_个别报表_2019年度_山东天安_V0.1.xlsx]Notes!CheckB"&amp;$D6274,$O$317)</f>
        <v>73003.06</v>
      </c>
    </row>
    <row r="6275" spans="1:15" ht="18">
      <c r="A6275" s="2717"/>
      <c r="D6275" s="369" t="s">
        <v>281</v>
      </c>
      <c r="E6275" s="2721">
        <f t="shared" si="654"/>
        <v>0</v>
      </c>
      <c r="F6275" s="287">
        <v>21</v>
      </c>
      <c r="G6275" s="288" t="s">
        <v>6848</v>
      </c>
      <c r="L6275" s="636" t="str">
        <f>HYPERLINK("[105_个别报表_2019年度_山东天安_V0.1.xlsx]Notes!CheckA"&amp;$D6275,$L$334)</f>
        <v>F/S</v>
      </c>
      <c r="O6275" s="636">
        <f>HYPERLINK("[105_个别报表_2019年度_山东天安_V0.1.xlsx]Notes!CheckB"&amp;$D6275,$O$334)</f>
        <v>0</v>
      </c>
    </row>
    <row r="6276" spans="1:15" ht="18">
      <c r="A6276" s="2717"/>
      <c r="D6276" s="369" t="s">
        <v>302</v>
      </c>
      <c r="E6276" s="2721">
        <f t="shared" si="654"/>
        <v>0</v>
      </c>
      <c r="F6276" s="287">
        <v>22</v>
      </c>
      <c r="G6276" s="288" t="s">
        <v>6849</v>
      </c>
      <c r="L6276" s="636">
        <f>HYPERLINK("[105_个别报表_2019年度_山东天安_V0.1.xlsx]Notes!CheckA"&amp;$D6276,$L$356)</f>
        <v>0</v>
      </c>
      <c r="O6276" s="636">
        <f>HYPERLINK("[105_个别报表_2019年度_山东天安_V0.1.xlsx]Notes!CheckB"&amp;$D6276,$O$356)</f>
        <v>0</v>
      </c>
    </row>
    <row r="6277" spans="1:15" ht="18">
      <c r="A6277" s="2717"/>
      <c r="D6277" s="369" t="s">
        <v>310</v>
      </c>
      <c r="E6277" s="2721">
        <f t="shared" si="654"/>
        <v>0</v>
      </c>
      <c r="F6277" s="287">
        <v>23</v>
      </c>
      <c r="G6277" s="288" t="s">
        <v>6850</v>
      </c>
      <c r="L6277" s="636">
        <f>HYPERLINK("[105_个别报表_2019年度_山东天安_V0.1.xlsx]Notes!CheckA"&amp;$D6277,$L$378)</f>
        <v>0</v>
      </c>
      <c r="O6277" s="636">
        <f>HYPERLINK("[105_个别报表_2019年度_山东天安_V0.1.xlsx]Notes!CheckB"&amp;$D6277,$O$378)</f>
        <v>0</v>
      </c>
    </row>
    <row r="6278" spans="1:15" ht="18">
      <c r="A6278" s="2717"/>
      <c r="D6278" s="369" t="s">
        <v>316</v>
      </c>
      <c r="E6278" s="2721">
        <f t="shared" si="654"/>
        <v>0</v>
      </c>
      <c r="F6278" s="287">
        <v>24</v>
      </c>
      <c r="G6278" s="288" t="s">
        <v>6851</v>
      </c>
      <c r="L6278" s="636">
        <f>HYPERLINK("[105_个别报表_2019年度_山东天安_V0.1.xlsx]Notes!CheckA"&amp;$D6278,$L$400)</f>
        <v>0</v>
      </c>
      <c r="O6278" s="636">
        <f>HYPERLINK("[105_个别报表_2019年度_山东天安_V0.1.xlsx]Notes!CheckB"&amp;$D6278,$O$400)</f>
        <v>0</v>
      </c>
    </row>
    <row r="6279" spans="1:15" ht="18">
      <c r="A6279" s="2717"/>
      <c r="D6279" s="369">
        <v>112202</v>
      </c>
      <c r="E6279" s="2721">
        <f t="shared" si="654"/>
        <v>0</v>
      </c>
      <c r="F6279" s="287">
        <v>25</v>
      </c>
      <c r="G6279" s="288" t="s">
        <v>6852</v>
      </c>
      <c r="L6279" s="636">
        <f>HYPERLINK("[105_个别报表_2019年度_山东天安_V0.1.xlsx]Notes!CheckA"&amp;$D6279,$L$415)</f>
        <v>0</v>
      </c>
      <c r="O6279" s="636">
        <f>HYPERLINK("[105_个别报表_2019年度_山东天安_V0.1.xlsx]Notes!CheckB"&amp;$D6279,$O$415)</f>
        <v>0</v>
      </c>
    </row>
    <row r="6280" spans="1:15" ht="18">
      <c r="A6280" s="2717"/>
      <c r="D6280" s="369" t="s">
        <v>292</v>
      </c>
      <c r="E6280" s="2721">
        <f t="shared" si="654"/>
        <v>73003.06</v>
      </c>
      <c r="F6280" s="287">
        <v>26</v>
      </c>
      <c r="G6280" s="288" t="s">
        <v>6853</v>
      </c>
      <c r="L6280" s="636">
        <f>HYPERLINK("[105_个别报表_2019年度_山东天安_V0.1.xlsx]Notes!CheckA"&amp;$D6280,$L$430)</f>
        <v>0</v>
      </c>
      <c r="O6280" s="636">
        <f>HYPERLINK("[105_个别报表_2019年度_山东天安_V0.1.xlsx]Notes!CheckB"&amp;$D6280,$O$430)</f>
        <v>73003.06</v>
      </c>
    </row>
    <row r="6281" spans="1:15" ht="18">
      <c r="A6281" s="2717"/>
      <c r="D6281" s="369" t="s">
        <v>5107</v>
      </c>
      <c r="E6281" s="2721">
        <f t="shared" si="654"/>
        <v>0</v>
      </c>
      <c r="F6281" s="287">
        <v>27</v>
      </c>
      <c r="G6281" s="288" t="s">
        <v>6854</v>
      </c>
      <c r="L6281" s="636">
        <f>HYPERLINK("[105_个别报表_2019年度_山东天安_V0.1.xlsx]Notes!CheckA"&amp;$D6281,$L$448)</f>
        <v>0</v>
      </c>
      <c r="O6281" s="636">
        <f>HYPERLINK("[105_个别报表_2019年度_山东天安_V0.1.xlsx]Notes!CheckB"&amp;$D6281,$O$448)</f>
        <v>0</v>
      </c>
    </row>
    <row r="6282" spans="1:15" ht="18">
      <c r="A6282" s="2717"/>
      <c r="D6282" s="369" t="s">
        <v>5108</v>
      </c>
      <c r="E6282" s="2721">
        <f t="shared" si="654"/>
        <v>0</v>
      </c>
      <c r="F6282" s="287">
        <v>28</v>
      </c>
      <c r="G6282" s="288" t="s">
        <v>6855</v>
      </c>
      <c r="L6282" s="636">
        <f>HYPERLINK("[105_个别报表_2019年度_山东天安_V0.1.xlsx]Notes!CheckA"&amp;$D6282,$L$468)</f>
        <v>0</v>
      </c>
      <c r="O6282" s="636">
        <f>HYPERLINK("[105_个别报表_2019年度_山东天安_V0.1.xlsx]Notes!CheckB"&amp;$D6282,$O$468)</f>
        <v>0</v>
      </c>
    </row>
    <row r="6283" spans="1:15" ht="18">
      <c r="A6283" s="2717"/>
      <c r="D6283" s="369" t="s">
        <v>335</v>
      </c>
      <c r="E6283" s="2721">
        <f t="shared" si="654"/>
        <v>0</v>
      </c>
      <c r="F6283" s="287">
        <v>29</v>
      </c>
      <c r="G6283" s="288" t="s">
        <v>6856</v>
      </c>
      <c r="L6283" s="636">
        <f>HYPERLINK("[105_个别报表_2019年度_山东天安_V0.1.xlsx]Notes!CheckA"&amp;$D6283,$L$579)</f>
        <v>0</v>
      </c>
      <c r="O6283" s="636">
        <f>HYPERLINK("[105_个别报表_2019年度_山东天安_V0.1.xlsx]Notes!CheckB"&amp;$D6283,$O$579)</f>
        <v>0</v>
      </c>
    </row>
    <row r="6284" spans="1:15" ht="18">
      <c r="A6284" s="2717"/>
      <c r="D6284" s="369" t="s">
        <v>342</v>
      </c>
      <c r="E6284" s="2721">
        <f t="shared" si="654"/>
        <v>0</v>
      </c>
      <c r="F6284" s="287">
        <v>30</v>
      </c>
      <c r="G6284" s="288" t="s">
        <v>6857</v>
      </c>
      <c r="L6284" s="636" t="str">
        <f>HYPERLINK("[105_个别报表_2019年度_山东天安_V0.1.xlsx]Notes!CheckA"&amp;$D6284,$L$601)</f>
        <v/>
      </c>
      <c r="O6284" s="636">
        <f>HYPERLINK("[105_个别报表_2019年度_山东天安_V0.1.xlsx]Notes!CheckB"&amp;$D6284,$O$601)</f>
        <v>0</v>
      </c>
    </row>
    <row r="6285" spans="1:15" ht="18">
      <c r="A6285" s="2717"/>
      <c r="D6285" s="369" t="s">
        <v>349</v>
      </c>
      <c r="E6285" s="2721">
        <f t="shared" si="654"/>
        <v>0</v>
      </c>
      <c r="F6285" s="287">
        <v>31</v>
      </c>
      <c r="G6285" s="288" t="s">
        <v>6858</v>
      </c>
      <c r="L6285" s="636">
        <f>HYPERLINK("[105_个别报表_2019年度_山东天安_V0.1.xlsx]Notes!CheckA"&amp;$D6285,$L$611)</f>
        <v>0</v>
      </c>
      <c r="O6285" s="636">
        <f>HYPERLINK("[105_个别报表_2019年度_山东天安_V0.1.xlsx]Notes!CheckB"&amp;$D6285,$O$611)</f>
        <v>0</v>
      </c>
    </row>
    <row r="6286" spans="1:15" ht="18">
      <c r="A6286" s="2717"/>
      <c r="D6286" s="369" t="s">
        <v>357</v>
      </c>
      <c r="E6286" s="2721">
        <f t="shared" si="654"/>
        <v>0</v>
      </c>
      <c r="F6286" s="287">
        <v>32</v>
      </c>
      <c r="G6286" s="288" t="s">
        <v>6859</v>
      </c>
      <c r="L6286" s="636">
        <f>HYPERLINK("[105_个别报表_2019年度_山东天安_V0.1.xlsx]Notes!CheckA"&amp;$D6286,$L$618)</f>
        <v>0</v>
      </c>
      <c r="O6286" s="636" t="str">
        <f>HYPERLINK("[105_个别报表_2019年度_山东天安_V0.1.xlsx]Notes!CheckB"&amp;$D6286,$O$618)</f>
        <v/>
      </c>
    </row>
    <row r="6287" spans="1:15" ht="18">
      <c r="A6287" s="2717"/>
      <c r="D6287" s="369" t="s">
        <v>365</v>
      </c>
      <c r="E6287" s="2721">
        <f t="shared" si="654"/>
        <v>0</v>
      </c>
      <c r="F6287" s="287">
        <v>33</v>
      </c>
      <c r="G6287" s="288" t="s">
        <v>6860</v>
      </c>
      <c r="L6287" s="636">
        <f>HYPERLINK("[105_个别报表_2019年度_山东天安_V0.1.xlsx]Notes!CheckA"&amp;$D6287,$L$629)</f>
        <v>0</v>
      </c>
      <c r="O6287" s="636" t="str">
        <f>HYPERLINK("[105_个别报表_2019年度_山东天安_V0.1.xlsx]Notes!CheckB"&amp;$D6287,$O$629)</f>
        <v/>
      </c>
    </row>
    <row r="6288" spans="1:15" ht="18">
      <c r="A6288" s="2717"/>
      <c r="D6288" s="369" t="s">
        <v>372</v>
      </c>
      <c r="E6288" s="2721">
        <f t="shared" si="654"/>
        <v>0</v>
      </c>
      <c r="F6288" s="287">
        <v>34</v>
      </c>
      <c r="G6288" s="288" t="s">
        <v>6861</v>
      </c>
      <c r="L6288" s="636">
        <f>HYPERLINK("[105_个别报表_2019年度_山东天安_V0.1.xlsx]Notes!CheckA"&amp;$D6288,$L$648)</f>
        <v>0</v>
      </c>
      <c r="O6288" s="636" t="str">
        <f>HYPERLINK("[105_个别报表_2019年度_山东天安_V0.1.xlsx]Notes!CheckB"&amp;$D6288,$O$648)</f>
        <v/>
      </c>
    </row>
    <row r="6289" spans="1:15" ht="18">
      <c r="A6289" s="2717"/>
      <c r="D6289" s="369" t="s">
        <v>379</v>
      </c>
      <c r="E6289" s="2721">
        <f t="shared" si="654"/>
        <v>0</v>
      </c>
      <c r="F6289" s="287">
        <v>35</v>
      </c>
      <c r="G6289" s="288" t="s">
        <v>6862</v>
      </c>
      <c r="L6289" s="636">
        <f>HYPERLINK("[105_个别报表_2019年度_山东天安_V0.1.xlsx]Notes!CheckA"&amp;$D6289,$L$658)</f>
        <v>0</v>
      </c>
      <c r="O6289" s="636">
        <f>HYPERLINK("[105_个别报表_2019年度_山东天安_V0.1.xlsx]Notes!CheckB"&amp;$D6289,$O$658)</f>
        <v>0</v>
      </c>
    </row>
    <row r="6290" spans="1:15" ht="18">
      <c r="A6290" s="2717"/>
      <c r="D6290" s="369" t="s">
        <v>419</v>
      </c>
      <c r="E6290" s="2721">
        <f t="shared" si="654"/>
        <v>0</v>
      </c>
      <c r="F6290" s="287">
        <v>36</v>
      </c>
      <c r="G6290" s="288" t="s">
        <v>6863</v>
      </c>
      <c r="L6290" s="636" t="str">
        <f>HYPERLINK("[105_个别报表_2019年度_山东天安_V0.1.xlsx]Notes!CheckA"&amp;$D6290,$L$668)</f>
        <v/>
      </c>
      <c r="O6290" s="636">
        <f>HYPERLINK("[105_个别报表_2019年度_山东天安_V0.1.xlsx]Notes!CheckB"&amp;$D6290,$O$668)</f>
        <v>0</v>
      </c>
    </row>
    <row r="6291" spans="1:15" ht="18">
      <c r="A6291" s="2717"/>
      <c r="D6291" s="369" t="s">
        <v>425</v>
      </c>
      <c r="E6291" s="2721">
        <f t="shared" si="654"/>
        <v>0</v>
      </c>
      <c r="F6291" s="287">
        <v>37</v>
      </c>
      <c r="G6291" s="288" t="s">
        <v>6864</v>
      </c>
      <c r="L6291" s="636">
        <f>HYPERLINK("[105_个别报表_2019年度_山东天安_V0.1.xlsx]Notes!CheckA"&amp;$D6291,$L$678)</f>
        <v>0</v>
      </c>
      <c r="O6291" s="636">
        <f>HYPERLINK("[105_个别报表_2019年度_山东天安_V0.1.xlsx]Notes!CheckB"&amp;$D6291,$O$678)</f>
        <v>0</v>
      </c>
    </row>
    <row r="6292" spans="1:15" ht="18">
      <c r="A6292" s="2717"/>
      <c r="D6292" s="369" t="s">
        <v>432</v>
      </c>
      <c r="E6292" s="2721">
        <f t="shared" si="654"/>
        <v>0</v>
      </c>
      <c r="F6292" s="287">
        <v>38</v>
      </c>
      <c r="G6292" s="288" t="s">
        <v>6865</v>
      </c>
      <c r="L6292" s="636">
        <f>HYPERLINK("[105_个别报表_2019年度_山东天安_V0.1.xlsx]Notes!CheckA"&amp;$D6292,$L$689)</f>
        <v>0</v>
      </c>
      <c r="O6292" s="636">
        <f>HYPERLINK("[105_个别报表_2019年度_山东天安_V0.1.xlsx]Notes!CheckB"&amp;$D6292,$O$689)</f>
        <v>0</v>
      </c>
    </row>
    <row r="6293" spans="1:15" ht="18">
      <c r="A6293" s="2717"/>
      <c r="D6293" s="369" t="s">
        <v>446</v>
      </c>
      <c r="E6293" s="2721">
        <f t="shared" si="654"/>
        <v>0</v>
      </c>
      <c r="F6293" s="287">
        <v>39</v>
      </c>
      <c r="G6293" s="288" t="s">
        <v>6866</v>
      </c>
      <c r="L6293" s="636" t="str">
        <f>HYPERLINK("[105_个别报表_2019年度_山东天安_V0.1.xlsx]Notes!CheckA"&amp;$D6293,$L$699)</f>
        <v>F/S</v>
      </c>
      <c r="O6293" s="636" t="str">
        <f>HYPERLINK("[105_个别报表_2019年度_山东天安_V0.1.xlsx]Notes!CheckB"&amp;$D6293,$O$699)</f>
        <v>F/S</v>
      </c>
    </row>
    <row r="6294" spans="1:15" ht="18">
      <c r="A6294" s="2717"/>
      <c r="D6294" s="369" t="s">
        <v>453</v>
      </c>
      <c r="E6294" s="2721">
        <f t="shared" si="654"/>
        <v>0</v>
      </c>
      <c r="F6294" s="287">
        <v>40</v>
      </c>
      <c r="G6294" s="288" t="s">
        <v>6867</v>
      </c>
      <c r="L6294" s="636">
        <f>HYPERLINK("[105_个别报表_2019年度_山东天安_V0.1.xlsx]Notes!CheckA"&amp;$D6294,$L$707)</f>
        <v>0</v>
      </c>
      <c r="O6294" s="636">
        <f>HYPERLINK("[105_个别报表_2019年度_山东天安_V0.1.xlsx]Notes!CheckB"&amp;$D6294,$O$707)</f>
        <v>0</v>
      </c>
    </row>
    <row r="6295" spans="1:15" ht="18">
      <c r="A6295" s="2717"/>
      <c r="D6295" s="369" t="s">
        <v>456</v>
      </c>
      <c r="E6295" s="2721">
        <f t="shared" si="654"/>
        <v>0</v>
      </c>
      <c r="F6295" s="287">
        <v>41</v>
      </c>
      <c r="G6295" s="288" t="s">
        <v>6868</v>
      </c>
      <c r="L6295" s="636">
        <f>HYPERLINK("[105_个别报表_2019年度_山东天安_V0.1.xlsx]Notes!CheckA"&amp;$D6295,$L$722)</f>
        <v>0</v>
      </c>
      <c r="O6295" s="636">
        <f>HYPERLINK("[105_个别报表_2019年度_山东天安_V0.1.xlsx]Notes!CheckB"&amp;$D6295,$O$722)</f>
        <v>0</v>
      </c>
    </row>
    <row r="6296" spans="1:15" ht="18">
      <c r="A6296" s="2717"/>
      <c r="D6296" s="369" t="s">
        <v>461</v>
      </c>
      <c r="E6296" s="2721">
        <f t="shared" si="654"/>
        <v>0</v>
      </c>
      <c r="F6296" s="287">
        <v>42</v>
      </c>
      <c r="G6296" s="288" t="s">
        <v>6869</v>
      </c>
      <c r="L6296" s="636">
        <f>HYPERLINK("[105_个别报表_2019年度_山东天安_V0.1.xlsx]Notes!CheckA"&amp;$D6296,$L$741)</f>
        <v>0</v>
      </c>
      <c r="O6296" s="636">
        <f>HYPERLINK("[105_个别报表_2019年度_山东天安_V0.1.xlsx]Notes!CheckB"&amp;$D6296,$O$741)</f>
        <v>0</v>
      </c>
    </row>
    <row r="6297" spans="1:15" ht="18">
      <c r="A6297" s="2717"/>
      <c r="D6297" s="369" t="s">
        <v>466</v>
      </c>
      <c r="E6297" s="2721">
        <f t="shared" si="654"/>
        <v>0</v>
      </c>
      <c r="F6297" s="287">
        <v>43</v>
      </c>
      <c r="G6297" s="288" t="s">
        <v>6870</v>
      </c>
      <c r="L6297" s="636">
        <f>HYPERLINK("[105_个别报表_2019年度_山东天安_V0.1.xlsx]Notes!CheckA"&amp;$D6297,$L$763)</f>
        <v>0</v>
      </c>
      <c r="O6297" s="636">
        <f>HYPERLINK("[105_个别报表_2019年度_山东天安_V0.1.xlsx]Notes!CheckB"&amp;$D6297,$O$763)</f>
        <v>0</v>
      </c>
    </row>
    <row r="6298" spans="1:15" ht="18">
      <c r="A6298" s="2717"/>
      <c r="D6298" s="369" t="s">
        <v>6368</v>
      </c>
      <c r="E6298" s="2721">
        <f t="shared" si="654"/>
        <v>0</v>
      </c>
      <c r="F6298" s="287">
        <v>44</v>
      </c>
      <c r="G6298" s="288" t="s">
        <v>6871</v>
      </c>
      <c r="L6298" s="636">
        <f>HYPERLINK("[105_个别报表_2019年度_山东天安_V0.1.xlsx]Notes!CheckA"&amp;$D6298,$L$778)</f>
        <v>0</v>
      </c>
      <c r="O6298" s="636">
        <f>HYPERLINK("[105_个别报表_2019年度_山东天安_V0.1.xlsx]Notes!CheckB"&amp;$D6298,$O$778)</f>
        <v>0</v>
      </c>
    </row>
    <row r="6299" spans="1:15" ht="18">
      <c r="A6299" s="2717"/>
      <c r="D6299" s="369" t="s">
        <v>6369</v>
      </c>
      <c r="E6299" s="2721">
        <f t="shared" si="654"/>
        <v>0</v>
      </c>
      <c r="F6299" s="287">
        <v>45</v>
      </c>
      <c r="G6299" s="288" t="s">
        <v>6872</v>
      </c>
      <c r="L6299" s="636">
        <f>HYPERLINK("[105_个别报表_2019年度_山东天安_V0.1.xlsx]Notes!CheckA"&amp;$D6299,$L$793)</f>
        <v>0</v>
      </c>
      <c r="O6299" s="636">
        <f>HYPERLINK("[105_个别报表_2019年度_山东天安_V0.1.xlsx]Notes!CheckB"&amp;$D6299,$O$793)</f>
        <v>0</v>
      </c>
    </row>
    <row r="6300" spans="1:15" ht="18">
      <c r="A6300" s="2717"/>
      <c r="D6300" s="369" t="s">
        <v>6370</v>
      </c>
      <c r="E6300" s="2721">
        <f t="shared" si="654"/>
        <v>0</v>
      </c>
      <c r="F6300" s="287">
        <v>46</v>
      </c>
      <c r="G6300" s="288" t="s">
        <v>6873</v>
      </c>
      <c r="L6300" s="636">
        <f>HYPERLINK("[105_个别报表_2019年度_山东天安_V0.1.xlsx]Notes!CheckA"&amp;$D6300,$L$812)</f>
        <v>0</v>
      </c>
      <c r="O6300" s="636">
        <f>HYPERLINK("[105_个别报表_2019年度_山东天安_V0.1.xlsx]Notes!CheckB"&amp;$D6300,$O$812)</f>
        <v>0</v>
      </c>
    </row>
    <row r="6301" spans="1:15" ht="18">
      <c r="A6301" s="2717"/>
      <c r="D6301" s="369" t="s">
        <v>6371</v>
      </c>
      <c r="E6301" s="2721">
        <f t="shared" si="654"/>
        <v>0</v>
      </c>
      <c r="F6301" s="287">
        <v>47</v>
      </c>
      <c r="G6301" s="288" t="s">
        <v>6874</v>
      </c>
      <c r="L6301" s="636">
        <f>HYPERLINK("[105_个别报表_2019年度_山东天安_V0.1.xlsx]Notes!CheckA"&amp;$D6301,$L$834)</f>
        <v>0</v>
      </c>
      <c r="O6301" s="636">
        <f>HYPERLINK("[105_个别报表_2019年度_山东天安_V0.1.xlsx]Notes!CheckB"&amp;$D6301,$O$834)</f>
        <v>0</v>
      </c>
    </row>
    <row r="6302" spans="1:15" ht="18">
      <c r="A6302" s="2717"/>
      <c r="D6302" s="369" t="s">
        <v>470</v>
      </c>
      <c r="E6302" s="2721">
        <f t="shared" si="654"/>
        <v>3532481.3</v>
      </c>
      <c r="F6302" s="287">
        <v>48</v>
      </c>
      <c r="G6302" s="288" t="s">
        <v>6875</v>
      </c>
      <c r="L6302" s="636">
        <f>HYPERLINK("[105_个别报表_2019年度_山东天安_V0.1.xlsx]Notes!CheckA"&amp;$D6302,$L$849)</f>
        <v>3532481.3</v>
      </c>
      <c r="O6302" s="636">
        <f>HYPERLINK("[105_个别报表_2019年度_山东天安_V0.1.xlsx]Notes!CheckB"&amp;$D6302,$O$849)</f>
        <v>0</v>
      </c>
    </row>
    <row r="6303" spans="1:15" ht="18">
      <c r="A6303" s="2717"/>
      <c r="D6303" s="369" t="s">
        <v>473</v>
      </c>
      <c r="E6303" s="2721">
        <f t="shared" si="654"/>
        <v>0</v>
      </c>
      <c r="F6303" s="287">
        <v>49</v>
      </c>
      <c r="G6303" s="288" t="s">
        <v>6876</v>
      </c>
      <c r="L6303" s="636" t="str">
        <f>HYPERLINK("[105_个别报表_2019年度_山东天安_V0.1.xlsx]Notes!CheckA"&amp;$D6303,$L$860)</f>
        <v>F/S</v>
      </c>
      <c r="O6303" s="636" t="str">
        <f>HYPERLINK("[105_个别报表_2019年度_山东天安_V0.1.xlsx]Notes!CheckB"&amp;$D6303,$O$860)</f>
        <v>F/S</v>
      </c>
    </row>
    <row r="6304" spans="1:15" ht="18">
      <c r="A6304" s="2717"/>
      <c r="D6304" s="369" t="s">
        <v>478</v>
      </c>
      <c r="E6304" s="2721">
        <f t="shared" si="654"/>
        <v>0</v>
      </c>
      <c r="F6304" s="287">
        <v>50</v>
      </c>
      <c r="G6304" s="288" t="s">
        <v>6877</v>
      </c>
      <c r="L6304" s="636" t="str">
        <f>HYPERLINK("[105_个别报表_2019年度_山东天安_V0.1.xlsx]Notes!CheckA"&amp;$D6304,$L$872)</f>
        <v/>
      </c>
      <c r="O6304" s="636" t="str">
        <f>HYPERLINK("[105_个别报表_2019年度_山东天安_V0.1.xlsx]Notes!CheckB"&amp;$D6304,$O$872)</f>
        <v/>
      </c>
    </row>
    <row r="6305" spans="1:15" ht="18">
      <c r="A6305" s="2717"/>
      <c r="D6305" s="369" t="s">
        <v>482</v>
      </c>
      <c r="E6305" s="2721">
        <f t="shared" si="654"/>
        <v>0</v>
      </c>
      <c r="F6305" s="287">
        <v>51</v>
      </c>
      <c r="G6305" s="288" t="s">
        <v>6878</v>
      </c>
      <c r="L6305" s="636">
        <f>HYPERLINK("[105_个别报表_2019年度_山东天安_V0.1.xlsx]Notes!CheckA"&amp;$D6305,$L$891)</f>
        <v>0</v>
      </c>
      <c r="O6305" s="636" t="str">
        <f>HYPERLINK("[105_个别报表_2019年度_山东天安_V0.1.xlsx]Notes!CheckB"&amp;$D6305,$O$891)</f>
        <v/>
      </c>
    </row>
    <row r="6306" spans="1:15" ht="18">
      <c r="A6306" s="2717"/>
      <c r="D6306" s="369" t="s">
        <v>497</v>
      </c>
      <c r="E6306" s="2721">
        <f t="shared" si="654"/>
        <v>0</v>
      </c>
      <c r="F6306" s="287">
        <v>52</v>
      </c>
      <c r="G6306" s="288" t="s">
        <v>6879</v>
      </c>
      <c r="L6306" s="636">
        <f>HYPERLINK("[105_个别报表_2019年度_山东天安_V0.1.xlsx]Notes!CheckA"&amp;$D6306,$L$901)</f>
        <v>0</v>
      </c>
      <c r="O6306" s="636">
        <f>HYPERLINK("[105_个别报表_2019年度_山东天安_V0.1.xlsx]Notes!CheckB"&amp;$D6306,$O$901)</f>
        <v>0</v>
      </c>
    </row>
    <row r="6307" spans="1:15" ht="18">
      <c r="A6307" s="2717"/>
      <c r="D6307" s="369" t="s">
        <v>492</v>
      </c>
      <c r="E6307" s="2721">
        <f t="shared" si="654"/>
        <v>0</v>
      </c>
      <c r="F6307" s="287">
        <v>53</v>
      </c>
      <c r="G6307" s="288" t="s">
        <v>6880</v>
      </c>
      <c r="L6307" s="636">
        <f>HYPERLINK("[105_个别报表_2019年度_山东天安_V0.1.xlsx]Notes!CheckA"&amp;$D6307,$L$911)</f>
        <v>0</v>
      </c>
      <c r="O6307" s="636">
        <f>HYPERLINK("[105_个别报表_2019年度_山东天安_V0.1.xlsx]Notes!CheckB"&amp;$D6307,$O$911)</f>
        <v>0</v>
      </c>
    </row>
    <row r="6308" spans="1:15" ht="18">
      <c r="A6308" s="2717"/>
      <c r="D6308" s="369" t="s">
        <v>505</v>
      </c>
      <c r="E6308" s="2721">
        <f t="shared" si="654"/>
        <v>0</v>
      </c>
      <c r="F6308" s="287">
        <v>54</v>
      </c>
      <c r="G6308" s="288" t="s">
        <v>6881</v>
      </c>
      <c r="L6308" s="636">
        <f>HYPERLINK("[105_个别报表_2019年度_山东天安_V0.1.xlsx]Notes!CheckA"&amp;$D6308,$L$921)</f>
        <v>0</v>
      </c>
      <c r="O6308" s="636">
        <f>HYPERLINK("[105_个别报表_2019年度_山东天安_V0.1.xlsx]Notes!CheckB"&amp;$D6308,$O$921)</f>
        <v>0</v>
      </c>
    </row>
    <row r="6309" spans="1:15" ht="18">
      <c r="A6309" s="2717"/>
      <c r="D6309" s="369" t="s">
        <v>510</v>
      </c>
      <c r="E6309" s="2721">
        <f t="shared" si="654"/>
        <v>0</v>
      </c>
      <c r="F6309" s="287">
        <v>55</v>
      </c>
      <c r="G6309" s="288" t="s">
        <v>6882</v>
      </c>
      <c r="L6309" s="636">
        <f>HYPERLINK("[105_个别报表_2019年度_山东天安_V0.1.xlsx]Notes!CheckA"&amp;$D6309,$L$935)</f>
        <v>0</v>
      </c>
      <c r="O6309" s="636">
        <f>HYPERLINK("[105_个别报表_2019年度_山东天安_V0.1.xlsx]Notes!CheckB"&amp;$D6309,$O$935)</f>
        <v>0</v>
      </c>
    </row>
    <row r="6310" spans="1:15" ht="18">
      <c r="A6310" s="2717"/>
      <c r="D6310" s="369" t="s">
        <v>516</v>
      </c>
      <c r="E6310" s="2721">
        <f t="shared" si="654"/>
        <v>0</v>
      </c>
      <c r="F6310" s="287">
        <v>56</v>
      </c>
      <c r="G6310" s="288" t="s">
        <v>6883</v>
      </c>
      <c r="L6310" s="636" t="str">
        <f>HYPERLINK("[105_个别报表_2019年度_山东天安_V0.1.xlsx]Notes!CheckA"&amp;$D6310,$L$945)</f>
        <v>F/S</v>
      </c>
      <c r="O6310" s="636" t="str">
        <f>HYPERLINK("[105_个别报表_2019年度_山东天安_V0.1.xlsx]Notes!CheckB"&amp;$D6310,$O$945)</f>
        <v>F/S</v>
      </c>
    </row>
    <row r="6311" spans="1:15" ht="18">
      <c r="A6311" s="2717"/>
      <c r="D6311" s="369" t="s">
        <v>522</v>
      </c>
      <c r="E6311" s="2721">
        <f t="shared" si="654"/>
        <v>0</v>
      </c>
      <c r="F6311" s="287">
        <v>57</v>
      </c>
      <c r="G6311" s="288" t="s">
        <v>6884</v>
      </c>
      <c r="L6311" s="636">
        <f>HYPERLINK("[105_个别报表_2019年度_山东天安_V0.1.xlsx]Notes!CheckA"&amp;$D6311,$L$957)</f>
        <v>0</v>
      </c>
      <c r="O6311" s="636">
        <f>HYPERLINK("[105_个别报表_2019年度_山东天安_V0.1.xlsx]Notes!CheckB"&amp;$D6311,$O$957)</f>
        <v>0</v>
      </c>
    </row>
    <row r="6312" spans="1:15" ht="18">
      <c r="A6312" s="2717"/>
      <c r="D6312" s="369" t="s">
        <v>526</v>
      </c>
      <c r="E6312" s="2721">
        <f t="shared" si="654"/>
        <v>0</v>
      </c>
      <c r="F6312" s="287">
        <v>58</v>
      </c>
      <c r="G6312" s="288" t="s">
        <v>6885</v>
      </c>
      <c r="L6312" s="636" t="str">
        <f>HYPERLINK("[105_个别报表_2019年度_山东天安_V0.1.xlsx]Notes!CheckA"&amp;$D6312,$L$968)</f>
        <v>F/S</v>
      </c>
      <c r="O6312" s="636" t="str">
        <f>HYPERLINK("[105_个别报表_2019年度_山东天安_V0.1.xlsx]Notes!CheckB"&amp;$D6312,$O$968)</f>
        <v>F/S</v>
      </c>
    </row>
    <row r="6313" spans="1:15" ht="18">
      <c r="A6313" s="2717"/>
      <c r="D6313" s="369" t="s">
        <v>532</v>
      </c>
      <c r="E6313" s="2721">
        <f t="shared" si="654"/>
        <v>0</v>
      </c>
      <c r="F6313" s="287">
        <v>59</v>
      </c>
      <c r="G6313" s="288" t="s">
        <v>6886</v>
      </c>
      <c r="L6313" s="636">
        <f>HYPERLINK("[105_个别报表_2019年度_山东天安_V0.1.xlsx]Notes!CheckA"&amp;$D6313,$L$978)</f>
        <v>0</v>
      </c>
      <c r="O6313" s="636">
        <f>HYPERLINK("[105_个别报表_2019年度_山东天安_V0.1.xlsx]Notes!CheckB"&amp;$D6313,$O$978)</f>
        <v>0</v>
      </c>
    </row>
    <row r="6314" spans="1:15" ht="18">
      <c r="A6314" s="2717"/>
      <c r="D6314" s="369" t="s">
        <v>538</v>
      </c>
      <c r="E6314" s="2721">
        <f t="shared" si="654"/>
        <v>0</v>
      </c>
      <c r="F6314" s="287">
        <v>60</v>
      </c>
      <c r="G6314" s="288" t="s">
        <v>6887</v>
      </c>
      <c r="L6314" s="636" t="str">
        <f>HYPERLINK("[105_个别报表_2019年度_山东天安_V0.1.xlsx]Notes!CheckA"&amp;$D6314,$L$989)</f>
        <v>F/S</v>
      </c>
      <c r="O6314" s="636" t="str">
        <f>HYPERLINK("[105_个别报表_2019年度_山东天安_V0.1.xlsx]Notes!CheckB"&amp;$D6314,$O$989)</f>
        <v>F/S</v>
      </c>
    </row>
    <row r="6315" spans="1:15" ht="18">
      <c r="A6315" s="2717"/>
      <c r="D6315" s="369" t="s">
        <v>544</v>
      </c>
      <c r="E6315" s="2721">
        <f t="shared" si="654"/>
        <v>9872543.4199999999</v>
      </c>
      <c r="F6315" s="287">
        <v>61</v>
      </c>
      <c r="G6315" s="288" t="s">
        <v>6888</v>
      </c>
      <c r="L6315" s="636">
        <f>HYPERLINK("[105_个别报表_2019年度_山东天安_V0.1.xlsx]Notes!CheckA"&amp;$D6315,$L$1014)</f>
        <v>-8760929.7400000002</v>
      </c>
      <c r="O6315" s="636">
        <f>HYPERLINK("[105_个别报表_2019年度_山东天安_V0.1.xlsx]Notes!CheckB"&amp;$D6315,$O$1014)</f>
        <v>-1111613.68</v>
      </c>
    </row>
    <row r="6316" spans="1:15" ht="18">
      <c r="A6316" s="2717"/>
      <c r="D6316" s="369">
        <v>122100</v>
      </c>
      <c r="E6316" s="2721">
        <f t="shared" si="654"/>
        <v>0</v>
      </c>
      <c r="F6316" s="287">
        <v>62</v>
      </c>
      <c r="G6316" s="288" t="s">
        <v>6889</v>
      </c>
      <c r="L6316" s="636" t="str">
        <f>HYPERLINK("[105_个别报表_2019年度_山东天安_V0.1.xlsx]Notes!CheckA"&amp;$D6316,$L$1028)</f>
        <v>F/S</v>
      </c>
      <c r="O6316" s="636">
        <f>HYPERLINK("[105_个别报表_2019年度_山东天安_V0.1.xlsx]Notes!CheckB"&amp;$D6316,$O$1028)</f>
        <v>0</v>
      </c>
    </row>
    <row r="6317" spans="1:15" ht="18">
      <c r="A6317" s="2717"/>
      <c r="D6317" s="369">
        <v>122101</v>
      </c>
      <c r="E6317" s="2721">
        <f t="shared" si="654"/>
        <v>0</v>
      </c>
      <c r="F6317" s="287">
        <v>63</v>
      </c>
      <c r="G6317" s="288" t="s">
        <v>6890</v>
      </c>
      <c r="L6317" s="636">
        <f>HYPERLINK("[105_个别报表_2019年度_山东天安_V0.1.xlsx]Notes!CheckA"&amp;$D6317,$L$1044)</f>
        <v>0</v>
      </c>
      <c r="O6317" s="636">
        <f>HYPERLINK("[105_个别报表_2019年度_山东天安_V0.1.xlsx]Notes!CheckB"&amp;$D6317,$O$1044)</f>
        <v>0</v>
      </c>
    </row>
    <row r="6318" spans="1:15" ht="18">
      <c r="A6318" s="2717"/>
      <c r="D6318" s="369">
        <v>122111</v>
      </c>
      <c r="E6318" s="2721">
        <f t="shared" si="654"/>
        <v>9872543.4199999999</v>
      </c>
      <c r="F6318" s="287">
        <v>64</v>
      </c>
      <c r="G6318" s="288" t="s">
        <v>6891</v>
      </c>
      <c r="L6318" s="636">
        <f>HYPERLINK("[105_个别报表_2019年度_山东天安_V0.1.xlsx]Notes!CheckA"&amp;$D6318,$L$1058)</f>
        <v>8760929.7400000002</v>
      </c>
      <c r="O6318" s="636">
        <f>HYPERLINK("[105_个别报表_2019年度_山东天安_V0.1.xlsx]Notes!CheckB"&amp;$D6318,$O$1058)</f>
        <v>1111613.68</v>
      </c>
    </row>
    <row r="6319" spans="1:15" ht="18">
      <c r="A6319" s="2717"/>
      <c r="D6319" s="369">
        <v>122112</v>
      </c>
      <c r="E6319" s="2721">
        <f t="shared" ref="E6319:E6382" si="655">IF(OR(L6319="#Logical!",O6319="#Logical!"),9,SUM(ABS(SUM(L6319)),ABS(SUM(O6319))))</f>
        <v>0</v>
      </c>
      <c r="F6319" s="287">
        <v>65</v>
      </c>
      <c r="G6319" s="288" t="s">
        <v>6892</v>
      </c>
      <c r="L6319" s="636">
        <f>HYPERLINK("[105_个别报表_2019年度_山东天安_V0.1.xlsx]Notes!CheckA"&amp;$D6319,$L$1080)</f>
        <v>0</v>
      </c>
      <c r="O6319" s="636">
        <f>HYPERLINK("[105_个别报表_2019年度_山东天安_V0.1.xlsx]Notes!CheckB"&amp;$D6319,$O$1080)</f>
        <v>0</v>
      </c>
    </row>
    <row r="6320" spans="1:15" ht="18">
      <c r="A6320" s="2717"/>
      <c r="D6320" s="369">
        <v>122113</v>
      </c>
      <c r="E6320" s="2721">
        <f t="shared" si="655"/>
        <v>0</v>
      </c>
      <c r="F6320" s="287">
        <v>66</v>
      </c>
      <c r="G6320" s="288" t="s">
        <v>6893</v>
      </c>
      <c r="L6320" s="636">
        <f>HYPERLINK("[105_个别报表_2019年度_山东天安_V0.1.xlsx]Notes!CheckA"&amp;$D6320,$L$1102)</f>
        <v>0</v>
      </c>
      <c r="O6320" s="636">
        <f>HYPERLINK("[105_个别报表_2019年度_山东天安_V0.1.xlsx]Notes!CheckB"&amp;$D6320,$O$1102)</f>
        <v>0</v>
      </c>
    </row>
    <row r="6321" spans="1:15" ht="18">
      <c r="A6321" s="2717"/>
      <c r="D6321" s="369">
        <v>122114</v>
      </c>
      <c r="E6321" s="2721">
        <f t="shared" si="655"/>
        <v>0</v>
      </c>
      <c r="F6321" s="287">
        <v>67</v>
      </c>
      <c r="G6321" s="288" t="s">
        <v>6894</v>
      </c>
      <c r="L6321" s="636">
        <f>HYPERLINK("[105_个别报表_2019年度_山东天安_V0.1.xlsx]Notes!CheckA"&amp;$D6321,$L$1117)</f>
        <v>0</v>
      </c>
      <c r="O6321" s="636">
        <f>HYPERLINK("[105_个别报表_2019年度_山东天安_V0.1.xlsx]Notes!CheckB"&amp;$D6321,$O$1117)</f>
        <v>0</v>
      </c>
    </row>
    <row r="6322" spans="1:15" ht="18">
      <c r="A6322" s="2717"/>
      <c r="D6322" s="369">
        <v>122102</v>
      </c>
      <c r="E6322" s="2721">
        <f t="shared" si="655"/>
        <v>0</v>
      </c>
      <c r="F6322" s="287">
        <v>68</v>
      </c>
      <c r="G6322" s="288" t="s">
        <v>6895</v>
      </c>
      <c r="L6322" s="636">
        <f>HYPERLINK("[105_个别报表_2019年度_山东天安_V0.1.xlsx]Notes!CheckA"&amp;$D6322,$L$1132)</f>
        <v>0</v>
      </c>
      <c r="O6322" s="636">
        <f>HYPERLINK("[105_个别报表_2019年度_山东天安_V0.1.xlsx]Notes!CheckB"&amp;$D6322,$O$1132)</f>
        <v>0</v>
      </c>
    </row>
    <row r="6323" spans="1:15" ht="18">
      <c r="A6323" s="2717"/>
      <c r="D6323" s="369">
        <v>122121</v>
      </c>
      <c r="E6323" s="2721">
        <f t="shared" si="655"/>
        <v>0</v>
      </c>
      <c r="F6323" s="287">
        <v>69</v>
      </c>
      <c r="G6323" s="288" t="s">
        <v>6896</v>
      </c>
      <c r="L6323" s="636">
        <f>HYPERLINK("[105_个别报表_2019年度_山东天安_V0.1.xlsx]Notes!CheckA"&amp;$D6323,$L$1146)</f>
        <v>0</v>
      </c>
      <c r="O6323" s="636">
        <f>HYPERLINK("[105_个别报表_2019年度_山东天安_V0.1.xlsx]Notes!CheckB"&amp;$D6323,$O$1146)</f>
        <v>0</v>
      </c>
    </row>
    <row r="6324" spans="1:15" ht="18">
      <c r="A6324" s="2717"/>
      <c r="D6324" s="369">
        <v>122122</v>
      </c>
      <c r="E6324" s="2721">
        <f t="shared" si="655"/>
        <v>0</v>
      </c>
      <c r="F6324" s="287">
        <v>70</v>
      </c>
      <c r="G6324" s="288" t="s">
        <v>6897</v>
      </c>
      <c r="L6324" s="636">
        <f>HYPERLINK("[105_个别报表_2019年度_山东天安_V0.1.xlsx]Notes!CheckA"&amp;$D6324,$L$1168)</f>
        <v>0</v>
      </c>
      <c r="O6324" s="636">
        <f>HYPERLINK("[105_个别报表_2019年度_山东天安_V0.1.xlsx]Notes!CheckB"&amp;$D6324,$O$1168)</f>
        <v>0</v>
      </c>
    </row>
    <row r="6325" spans="1:15" ht="18">
      <c r="A6325" s="2717"/>
      <c r="D6325" s="369">
        <v>122123</v>
      </c>
      <c r="E6325" s="2721">
        <f t="shared" si="655"/>
        <v>0</v>
      </c>
      <c r="F6325" s="287">
        <v>71</v>
      </c>
      <c r="G6325" s="288" t="s">
        <v>6898</v>
      </c>
      <c r="L6325" s="636">
        <f>HYPERLINK("[105_个别报表_2019年度_山东天安_V0.1.xlsx]Notes!CheckA"&amp;$D6325,$L$1190)</f>
        <v>0</v>
      </c>
      <c r="O6325" s="636">
        <f>HYPERLINK("[105_个别报表_2019年度_山东天安_V0.1.xlsx]Notes!CheckB"&amp;$D6325,$O$1190)</f>
        <v>0</v>
      </c>
    </row>
    <row r="6326" spans="1:15" ht="18">
      <c r="A6326" s="2717"/>
      <c r="D6326" s="369">
        <v>122124</v>
      </c>
      <c r="E6326" s="2721">
        <f t="shared" si="655"/>
        <v>0</v>
      </c>
      <c r="F6326" s="287">
        <v>72</v>
      </c>
      <c r="G6326" s="288" t="s">
        <v>6899</v>
      </c>
      <c r="L6326" s="636">
        <f>HYPERLINK("[105_个别报表_2019年度_山东天安_V0.1.xlsx]Notes!CheckA"&amp;$D6326,$L$1205)</f>
        <v>0</v>
      </c>
      <c r="O6326" s="636">
        <f>HYPERLINK("[105_个别报表_2019年度_山东天安_V0.1.xlsx]Notes!CheckB"&amp;$D6326,$O$1205)</f>
        <v>0</v>
      </c>
    </row>
    <row r="6327" spans="1:15" ht="18">
      <c r="A6327" s="2717"/>
      <c r="D6327" s="369">
        <v>122103</v>
      </c>
      <c r="E6327" s="2721">
        <f t="shared" si="655"/>
        <v>0</v>
      </c>
      <c r="F6327" s="287">
        <v>73</v>
      </c>
      <c r="G6327" s="288" t="s">
        <v>6900</v>
      </c>
      <c r="L6327" s="636">
        <f>HYPERLINK("[105_个别报表_2019年度_山东天安_V0.1.xlsx]Notes!CheckA"&amp;$D6327,$L$1220)</f>
        <v>0</v>
      </c>
      <c r="O6327" s="636">
        <f>HYPERLINK("[105_个别报表_2019年度_山东天安_V0.1.xlsx]Notes!CheckB"&amp;$D6327,$O$1220)</f>
        <v>0</v>
      </c>
    </row>
    <row r="6328" spans="1:15" ht="18">
      <c r="A6328" s="2717"/>
      <c r="D6328" s="369">
        <v>122131</v>
      </c>
      <c r="E6328" s="2721">
        <f t="shared" si="655"/>
        <v>0</v>
      </c>
      <c r="F6328" s="287">
        <v>74</v>
      </c>
      <c r="G6328" s="288" t="s">
        <v>6901</v>
      </c>
      <c r="L6328" s="636">
        <f>HYPERLINK("[105_个别报表_2019年度_山东天安_V0.1.xlsx]Notes!CheckA"&amp;$D6328,$L$1235)</f>
        <v>0</v>
      </c>
      <c r="O6328" s="636">
        <f>HYPERLINK("[105_个别报表_2019年度_山东天安_V0.1.xlsx]Notes!CheckB"&amp;$D6328,$O$1235)</f>
        <v>0</v>
      </c>
    </row>
    <row r="6329" spans="1:15" ht="18">
      <c r="A6329" s="2717"/>
      <c r="D6329" s="369">
        <v>122132</v>
      </c>
      <c r="E6329" s="2721">
        <f t="shared" si="655"/>
        <v>0</v>
      </c>
      <c r="F6329" s="287">
        <v>75</v>
      </c>
      <c r="G6329" s="288" t="s">
        <v>6902</v>
      </c>
      <c r="L6329" s="636">
        <f>HYPERLINK("[105_个别报表_2019年度_山东天安_V0.1.xlsx]Notes!CheckA"&amp;$D6329,$L$1257)</f>
        <v>0</v>
      </c>
      <c r="O6329" s="636">
        <f>HYPERLINK("[105_个别报表_2019年度_山东天安_V0.1.xlsx]Notes!CheckB"&amp;$D6329,$O$1257)</f>
        <v>0</v>
      </c>
    </row>
    <row r="6330" spans="1:15" ht="18">
      <c r="A6330" s="2717"/>
      <c r="D6330" s="369">
        <v>122133</v>
      </c>
      <c r="E6330" s="2721">
        <f t="shared" si="655"/>
        <v>9872543.4199999999</v>
      </c>
      <c r="F6330" s="287">
        <v>76</v>
      </c>
      <c r="G6330" s="288" t="s">
        <v>6903</v>
      </c>
      <c r="L6330" s="636">
        <f>HYPERLINK("[105_个别报表_2019年度_山东天安_V0.1.xlsx]Notes!CheckA"&amp;$D6330,$L$1279)</f>
        <v>8760929.7400000002</v>
      </c>
      <c r="O6330" s="636">
        <f>HYPERLINK("[105_个别报表_2019年度_山东天安_V0.1.xlsx]Notes!CheckB"&amp;$D6330,$O$1279)</f>
        <v>1111613.68</v>
      </c>
    </row>
    <row r="6331" spans="1:15" ht="18">
      <c r="A6331" s="2717"/>
      <c r="D6331" s="369">
        <v>122134</v>
      </c>
      <c r="E6331" s="2721">
        <f t="shared" si="655"/>
        <v>9872543.4199999999</v>
      </c>
      <c r="F6331" s="287">
        <v>77</v>
      </c>
      <c r="G6331" s="288" t="s">
        <v>6904</v>
      </c>
      <c r="L6331" s="636">
        <f>HYPERLINK("[105_个别报表_2019年度_山东天安_V0.1.xlsx]Notes!CheckA"&amp;$D6331,$L$1294)</f>
        <v>8760929.7400000002</v>
      </c>
      <c r="O6331" s="636">
        <f>HYPERLINK("[105_个别报表_2019年度_山东天安_V0.1.xlsx]Notes!CheckB"&amp;$D6331,$O$1294)</f>
        <v>1111613.68</v>
      </c>
    </row>
    <row r="6332" spans="1:15" ht="18">
      <c r="A6332" s="2717"/>
      <c r="D6332" s="369" t="s">
        <v>558</v>
      </c>
      <c r="E6332" s="2721">
        <f t="shared" si="655"/>
        <v>0</v>
      </c>
      <c r="F6332" s="287">
        <v>78</v>
      </c>
      <c r="G6332" s="288" t="s">
        <v>6905</v>
      </c>
      <c r="L6332" s="636">
        <f>HYPERLINK("[105_个别报表_2019年度_山东天安_V0.1.xlsx]Notes!CheckA"&amp;$D6332,$L$1309)</f>
        <v>0</v>
      </c>
      <c r="O6332" s="636" t="str">
        <f>HYPERLINK("[105_个别报表_2019年度_山东天安_V0.1.xlsx]Notes!CheckB"&amp;$D6332,$O$1309)</f>
        <v>F/S</v>
      </c>
    </row>
    <row r="6333" spans="1:15" ht="18">
      <c r="A6333" s="2717"/>
      <c r="D6333" s="369" t="s">
        <v>569</v>
      </c>
      <c r="E6333" s="2721">
        <f t="shared" si="655"/>
        <v>0</v>
      </c>
      <c r="F6333" s="287">
        <v>79</v>
      </c>
      <c r="G6333" s="288" t="s">
        <v>6906</v>
      </c>
      <c r="L6333" s="636">
        <f>HYPERLINK("[105_个别报表_2019年度_山东天安_V0.1.xlsx]Notes!CheckA"&amp;$D6333,$L$1328)</f>
        <v>0</v>
      </c>
      <c r="O6333" s="636">
        <f>HYPERLINK("[105_个别报表_2019年度_山东天安_V0.1.xlsx]Notes!CheckB"&amp;$D6333,$O$1328)</f>
        <v>0</v>
      </c>
    </row>
    <row r="6334" spans="1:15" ht="18">
      <c r="A6334" s="2717"/>
      <c r="D6334" s="369" t="s">
        <v>575</v>
      </c>
      <c r="E6334" s="2721">
        <f t="shared" si="655"/>
        <v>0</v>
      </c>
      <c r="F6334" s="287">
        <v>80</v>
      </c>
      <c r="G6334" s="288" t="s">
        <v>6907</v>
      </c>
      <c r="L6334" s="636">
        <f>HYPERLINK("[105_个别报表_2019年度_山东天安_V0.1.xlsx]Notes!CheckA"&amp;$D6334,$L$1350)</f>
        <v>0</v>
      </c>
      <c r="O6334" s="636">
        <f>HYPERLINK("[105_个别报表_2019年度_山东天安_V0.1.xlsx]Notes!CheckB"&amp;$D6334,$O$1350)</f>
        <v>0</v>
      </c>
    </row>
    <row r="6335" spans="1:15" ht="18">
      <c r="A6335" s="2717"/>
      <c r="D6335" s="369" t="s">
        <v>579</v>
      </c>
      <c r="E6335" s="2721">
        <f t="shared" si="655"/>
        <v>0</v>
      </c>
      <c r="F6335" s="287">
        <v>81</v>
      </c>
      <c r="G6335" s="288" t="s">
        <v>6908</v>
      </c>
      <c r="L6335" s="636">
        <f>HYPERLINK("[105_个别报表_2019年度_山东天安_V0.1.xlsx]Notes!CheckA"&amp;$D6335,$L$1471)</f>
        <v>0</v>
      </c>
      <c r="O6335" s="636">
        <f>HYPERLINK("[105_个别报表_2019年度_山东天安_V0.1.xlsx]Notes!CheckB"&amp;$D6335,$O$1471)</f>
        <v>0</v>
      </c>
    </row>
    <row r="6336" spans="1:15" ht="18">
      <c r="A6336" s="2717"/>
      <c r="D6336" s="369">
        <v>122104</v>
      </c>
      <c r="E6336" s="2721">
        <f t="shared" si="655"/>
        <v>9872543.4199999999</v>
      </c>
      <c r="F6336" s="287">
        <v>82</v>
      </c>
      <c r="G6336" s="288" t="s">
        <v>6909</v>
      </c>
      <c r="L6336" s="636">
        <f>HYPERLINK("[105_个别报表_2019年度_山东天安_V0.1.xlsx]Notes!CheckA"&amp;$D6336,$L$1493)</f>
        <v>8760929.7400000002</v>
      </c>
      <c r="O6336" s="636">
        <f>HYPERLINK("[105_个别报表_2019年度_山东天安_V0.1.xlsx]Notes!CheckB"&amp;$D6336,$O$1493)</f>
        <v>1111613.68</v>
      </c>
    </row>
    <row r="6337" spans="1:15" ht="18">
      <c r="A6337" s="2717"/>
      <c r="D6337" s="369" t="s">
        <v>584</v>
      </c>
      <c r="E6337" s="2721">
        <f t="shared" si="655"/>
        <v>0</v>
      </c>
      <c r="F6337" s="287">
        <v>83</v>
      </c>
      <c r="G6337" s="288" t="s">
        <v>6910</v>
      </c>
      <c r="L6337" s="636">
        <f>HYPERLINK("[105_个别报表_2019年度_山东天安_V0.1.xlsx]Notes!CheckA"&amp;$D6337,$L$1512)</f>
        <v>0</v>
      </c>
      <c r="O6337" s="636">
        <f>HYPERLINK("[105_个别报表_2019年度_山东天安_V0.1.xlsx]Notes!CheckB"&amp;$D6337,$O$1512)</f>
        <v>0</v>
      </c>
    </row>
    <row r="6338" spans="1:15" ht="18">
      <c r="A6338" s="2717"/>
      <c r="D6338" s="369" t="s">
        <v>590</v>
      </c>
      <c r="E6338" s="2721">
        <f t="shared" si="655"/>
        <v>9872543.4199999999</v>
      </c>
      <c r="F6338" s="287">
        <v>84</v>
      </c>
      <c r="G6338" s="288" t="s">
        <v>6911</v>
      </c>
      <c r="L6338" s="636">
        <f>HYPERLINK("[105_个别报表_2019年度_山东天安_V0.1.xlsx]Notes!CheckA"&amp;$D6338,$L$1522)</f>
        <v>8760929.7400000002</v>
      </c>
      <c r="O6338" s="636">
        <f>HYPERLINK("[105_个别报表_2019年度_山东天安_V0.1.xlsx]Notes!CheckB"&amp;$D6338,$O$1522)</f>
        <v>1111613.68</v>
      </c>
    </row>
    <row r="6339" spans="1:15" ht="18">
      <c r="A6339" s="2717"/>
      <c r="D6339" s="369" t="s">
        <v>595</v>
      </c>
      <c r="E6339" s="2721">
        <f t="shared" si="655"/>
        <v>0</v>
      </c>
      <c r="F6339" s="287">
        <v>85</v>
      </c>
      <c r="G6339" s="288" t="s">
        <v>6912</v>
      </c>
      <c r="L6339" s="636">
        <f>HYPERLINK("[105_个别报表_2019年度_山东天安_V0.1.xlsx]Notes!CheckA"&amp;$D6339,$L$1529)</f>
        <v>0</v>
      </c>
      <c r="O6339" s="636" t="str">
        <f>HYPERLINK("[105_个别报表_2019年度_山东天安_V0.1.xlsx]Notes!CheckB"&amp;$D6339,$O$1529)</f>
        <v/>
      </c>
    </row>
    <row r="6340" spans="1:15" ht="18">
      <c r="A6340" s="2717"/>
      <c r="D6340" s="369" t="s">
        <v>600</v>
      </c>
      <c r="E6340" s="2721">
        <f t="shared" si="655"/>
        <v>0</v>
      </c>
      <c r="F6340" s="287">
        <v>86</v>
      </c>
      <c r="G6340" s="288" t="s">
        <v>6913</v>
      </c>
      <c r="L6340" s="636" t="str">
        <f>HYPERLINK("[105_个别报表_2019年度_山东天安_V0.1.xlsx]Notes!CheckA"&amp;$D6340,$L$1540)</f>
        <v/>
      </c>
      <c r="O6340" s="636" t="str">
        <f>HYPERLINK("[105_个别报表_2019年度_山东天安_V0.1.xlsx]Notes!CheckB"&amp;$D6340,$O$1540)</f>
        <v/>
      </c>
    </row>
    <row r="6341" spans="1:15" ht="18">
      <c r="A6341" s="2717"/>
      <c r="D6341" s="369" t="s">
        <v>605</v>
      </c>
      <c r="E6341" s="2721">
        <f t="shared" si="655"/>
        <v>0</v>
      </c>
      <c r="F6341" s="287">
        <v>87</v>
      </c>
      <c r="G6341" s="288" t="s">
        <v>6914</v>
      </c>
      <c r="L6341" s="636" t="str">
        <f>HYPERLINK("[105_个别报表_2019年度_山东天安_V0.1.xlsx]Notes!CheckA"&amp;$D6341,$L$1559)</f>
        <v/>
      </c>
      <c r="O6341" s="636" t="str">
        <f>HYPERLINK("[105_个别报表_2019年度_山东天安_V0.1.xlsx]Notes!CheckB"&amp;$D6341,$O$1559)</f>
        <v/>
      </c>
    </row>
    <row r="6342" spans="1:15" ht="18">
      <c r="A6342" s="2717"/>
      <c r="D6342" s="369" t="s">
        <v>609</v>
      </c>
      <c r="E6342" s="2721">
        <f t="shared" si="655"/>
        <v>0</v>
      </c>
      <c r="F6342" s="287">
        <v>88</v>
      </c>
      <c r="G6342" s="288" t="s">
        <v>6915</v>
      </c>
      <c r="L6342" s="636">
        <f>HYPERLINK("[105_个别报表_2019年度_山东天安_V0.1.xlsx]Notes!CheckA"&amp;$D6342,$L$1569)</f>
        <v>0</v>
      </c>
      <c r="O6342" s="636" t="str">
        <f>HYPERLINK("[105_个别报表_2019年度_山东天安_V0.1.xlsx]Notes!CheckB"&amp;$D6342,$O$1569)</f>
        <v/>
      </c>
    </row>
    <row r="6343" spans="1:15" ht="18">
      <c r="A6343" s="2717"/>
      <c r="D6343" s="369" t="s">
        <v>615</v>
      </c>
      <c r="E6343" s="2721">
        <f t="shared" si="655"/>
        <v>0</v>
      </c>
      <c r="F6343" s="287">
        <v>89</v>
      </c>
      <c r="G6343" s="288" t="s">
        <v>6916</v>
      </c>
      <c r="L6343" s="636">
        <f>HYPERLINK("[105_个别报表_2019年度_山东天安_V0.1.xlsx]Notes!CheckA"&amp;$D6343,$L$1579)</f>
        <v>0</v>
      </c>
      <c r="O6343" s="636">
        <f>HYPERLINK("[105_个别报表_2019年度_山东天安_V0.1.xlsx]Notes!CheckB"&amp;$D6343,$O$1579)</f>
        <v>0</v>
      </c>
    </row>
    <row r="6344" spans="1:15" ht="18">
      <c r="A6344" s="2717"/>
      <c r="D6344" s="369" t="s">
        <v>629</v>
      </c>
      <c r="E6344" s="2721">
        <f t="shared" si="655"/>
        <v>0</v>
      </c>
      <c r="F6344" s="287">
        <v>90</v>
      </c>
      <c r="G6344" s="288" t="s">
        <v>6917</v>
      </c>
      <c r="L6344" s="636" t="str">
        <f>HYPERLINK("[105_个别报表_2019年度_山东天安_V0.1.xlsx]Notes!CheckA"&amp;$D6344,$L$1589)</f>
        <v/>
      </c>
      <c r="O6344" s="636">
        <f>HYPERLINK("[105_个别报表_2019年度_山东天安_V0.1.xlsx]Notes!CheckB"&amp;$D6344,$O$1589)</f>
        <v>0</v>
      </c>
    </row>
    <row r="6345" spans="1:15" ht="18">
      <c r="A6345" s="2717"/>
      <c r="D6345" s="369" t="s">
        <v>654</v>
      </c>
      <c r="E6345" s="2721">
        <f t="shared" si="655"/>
        <v>0</v>
      </c>
      <c r="F6345" s="287">
        <v>91</v>
      </c>
      <c r="G6345" s="288" t="s">
        <v>6918</v>
      </c>
      <c r="L6345" s="636">
        <f>HYPERLINK("[105_个别报表_2019年度_山东天安_V0.1.xlsx]Notes!CheckA"&amp;$D6345,$L$1599)</f>
        <v>0</v>
      </c>
      <c r="O6345" s="636">
        <f>HYPERLINK("[105_个别报表_2019年度_山东天安_V0.1.xlsx]Notes!CheckB"&amp;$D6345,$O$1599)</f>
        <v>0</v>
      </c>
    </row>
    <row r="6346" spans="1:15" ht="18">
      <c r="A6346" s="2717"/>
      <c r="D6346" s="369" t="s">
        <v>663</v>
      </c>
      <c r="E6346" s="2721">
        <f t="shared" si="655"/>
        <v>0</v>
      </c>
      <c r="F6346" s="287">
        <v>92</v>
      </c>
      <c r="G6346" s="288" t="s">
        <v>6919</v>
      </c>
      <c r="L6346" s="636">
        <f>HYPERLINK("[105_个别报表_2019年度_山东天安_V0.1.xlsx]Notes!CheckA"&amp;$D6346,$L$1609)</f>
        <v>0</v>
      </c>
      <c r="O6346" s="636">
        <f>HYPERLINK("[105_个别报表_2019年度_山东天安_V0.1.xlsx]Notes!CheckB"&amp;$D6346,$O$1609)</f>
        <v>0</v>
      </c>
    </row>
    <row r="6347" spans="1:15" ht="18">
      <c r="A6347" s="2717"/>
      <c r="D6347" s="369" t="s">
        <v>668</v>
      </c>
      <c r="E6347" s="2721">
        <f t="shared" si="655"/>
        <v>0</v>
      </c>
      <c r="F6347" s="287">
        <v>93</v>
      </c>
      <c r="G6347" s="288" t="s">
        <v>6920</v>
      </c>
      <c r="L6347" s="636" t="str">
        <f>HYPERLINK("[105_个别报表_2019年度_山东天安_V0.1.xlsx]Notes!CheckA"&amp;$D6347,$L$1619)</f>
        <v>F/S</v>
      </c>
      <c r="O6347" s="636" t="str">
        <f>HYPERLINK("[105_个别报表_2019年度_山东天安_V0.1.xlsx]Notes!CheckB"&amp;$D6347,$O$1619)</f>
        <v>F/S</v>
      </c>
    </row>
    <row r="6348" spans="1:15" ht="18">
      <c r="A6348" s="2717"/>
      <c r="D6348" s="369" t="s">
        <v>674</v>
      </c>
      <c r="E6348" s="2721">
        <f t="shared" si="655"/>
        <v>0</v>
      </c>
      <c r="F6348" s="287">
        <v>94</v>
      </c>
      <c r="G6348" s="288" t="s">
        <v>6921</v>
      </c>
      <c r="L6348" s="636">
        <f>HYPERLINK("[105_个别报表_2019年度_山东天安_V0.1.xlsx]Notes!CheckA"&amp;$D6348,$L$1638)</f>
        <v>0</v>
      </c>
      <c r="O6348" s="636">
        <f>HYPERLINK("[105_个别报表_2019年度_山东天安_V0.1.xlsx]Notes!CheckB"&amp;$D6348,$O$1638)</f>
        <v>0</v>
      </c>
    </row>
    <row r="6349" spans="1:15" ht="18">
      <c r="A6349" s="2717"/>
      <c r="D6349" s="369" t="s">
        <v>678</v>
      </c>
      <c r="E6349" s="2721">
        <f t="shared" si="655"/>
        <v>0</v>
      </c>
      <c r="F6349" s="287">
        <v>95</v>
      </c>
      <c r="G6349" s="288" t="s">
        <v>6922</v>
      </c>
      <c r="L6349" s="636">
        <f>HYPERLINK("[105_个别报表_2019年度_山东天安_V0.1.xlsx]Notes!CheckA"&amp;$D6349,$L$1657)</f>
        <v>0</v>
      </c>
      <c r="O6349" s="636">
        <f>HYPERLINK("[105_个别报表_2019年度_山东天安_V0.1.xlsx]Notes!CheckB"&amp;$D6349,$O$1657)</f>
        <v>0</v>
      </c>
    </row>
    <row r="6350" spans="1:15" ht="18">
      <c r="A6350" s="2717"/>
      <c r="D6350" s="369" t="s">
        <v>683</v>
      </c>
      <c r="E6350" s="2721">
        <f t="shared" si="655"/>
        <v>0</v>
      </c>
      <c r="F6350" s="287">
        <v>96</v>
      </c>
      <c r="G6350" s="288" t="s">
        <v>6923</v>
      </c>
      <c r="L6350" s="636">
        <f>HYPERLINK("[105_个别报表_2019年度_山东天安_V0.1.xlsx]Notes!CheckA"&amp;$D6350,$L$1667)</f>
        <v>0</v>
      </c>
      <c r="O6350" s="636">
        <f>HYPERLINK("[105_个别报表_2019年度_山东天安_V0.1.xlsx]Notes!CheckB"&amp;$D6350,$O$1667)</f>
        <v>0</v>
      </c>
    </row>
    <row r="6351" spans="1:15" ht="18">
      <c r="A6351" s="2717"/>
      <c r="D6351" s="369" t="s">
        <v>691</v>
      </c>
      <c r="E6351" s="2721">
        <f t="shared" si="655"/>
        <v>0</v>
      </c>
      <c r="F6351" s="287">
        <v>97</v>
      </c>
      <c r="G6351" s="288" t="s">
        <v>6924</v>
      </c>
      <c r="L6351" s="636">
        <f>HYPERLINK("[105_个别报表_2019年度_山东天安_V0.1.xlsx]Notes!CheckA"&amp;$D6351,$L$1684)</f>
        <v>0</v>
      </c>
      <c r="O6351" s="636">
        <f>HYPERLINK("[105_个别报表_2019年度_山东天安_V0.1.xlsx]Notes!CheckB"&amp;$D6351,$O$1684)</f>
        <v>0</v>
      </c>
    </row>
    <row r="6352" spans="1:15" ht="18">
      <c r="A6352" s="2717"/>
      <c r="D6352" s="369" t="s">
        <v>695</v>
      </c>
      <c r="E6352" s="2721">
        <f t="shared" si="655"/>
        <v>0</v>
      </c>
      <c r="F6352" s="287">
        <v>98</v>
      </c>
      <c r="G6352" s="288" t="s">
        <v>6925</v>
      </c>
      <c r="L6352" s="636">
        <f>HYPERLINK("[105_个别报表_2019年度_山东天安_V0.1.xlsx]Notes!CheckA"&amp;$D6352,$L$1701)</f>
        <v>0</v>
      </c>
      <c r="O6352" s="636">
        <f>HYPERLINK("[105_个别报表_2019年度_山东天安_V0.1.xlsx]Notes!CheckB"&amp;$D6352,$O$1701)</f>
        <v>0</v>
      </c>
    </row>
    <row r="6353" spans="1:15" ht="18">
      <c r="A6353" s="2717"/>
      <c r="D6353" s="369" t="s">
        <v>699</v>
      </c>
      <c r="E6353" s="2721">
        <f t="shared" si="655"/>
        <v>0</v>
      </c>
      <c r="F6353" s="287">
        <v>99</v>
      </c>
      <c r="G6353" s="288" t="s">
        <v>6926</v>
      </c>
      <c r="L6353" s="636">
        <f>HYPERLINK("[105_个别报表_2019年度_山东天安_V0.1.xlsx]Notes!CheckA"&amp;$D6353,$L$1718)</f>
        <v>0</v>
      </c>
      <c r="O6353" s="636">
        <f>HYPERLINK("[105_个别报表_2019年度_山东天安_V0.1.xlsx]Notes!CheckB"&amp;$D6353,$O$1718)</f>
        <v>0</v>
      </c>
    </row>
    <row r="6354" spans="1:15" ht="18">
      <c r="A6354" s="2717"/>
      <c r="D6354" s="369" t="s">
        <v>703</v>
      </c>
      <c r="E6354" s="2721">
        <f t="shared" si="655"/>
        <v>0</v>
      </c>
      <c r="F6354" s="287">
        <v>100</v>
      </c>
      <c r="G6354" s="288" t="s">
        <v>6927</v>
      </c>
      <c r="L6354" s="636">
        <f>HYPERLINK("[105_个别报表_2019年度_山东天安_V0.1.xlsx]Notes!CheckA"&amp;$D6354,$L$1728)</f>
        <v>0</v>
      </c>
      <c r="O6354" s="636">
        <f>HYPERLINK("[105_个别报表_2019年度_山东天安_V0.1.xlsx]Notes!CheckB"&amp;$D6354,$O$1728)</f>
        <v>0</v>
      </c>
    </row>
    <row r="6355" spans="1:15" ht="18">
      <c r="A6355" s="2717"/>
      <c r="D6355" s="369" t="s">
        <v>687</v>
      </c>
      <c r="E6355" s="2721">
        <f t="shared" si="655"/>
        <v>0</v>
      </c>
      <c r="F6355" s="287">
        <v>101</v>
      </c>
      <c r="G6355" s="288" t="s">
        <v>6928</v>
      </c>
      <c r="L6355" s="636">
        <f>HYPERLINK("[105_个别报表_2019年度_山东天安_V0.1.xlsx]Notes!CheckA"&amp;$D6355,$L$1738)</f>
        <v>0</v>
      </c>
      <c r="O6355" s="636">
        <f>HYPERLINK("[105_个别报表_2019年度_山东天安_V0.1.xlsx]Notes!CheckB"&amp;$D6355,$O$1738)</f>
        <v>0</v>
      </c>
    </row>
    <row r="6356" spans="1:15" ht="18">
      <c r="A6356" s="2717"/>
      <c r="D6356" s="369" t="s">
        <v>709</v>
      </c>
      <c r="E6356" s="2721">
        <f t="shared" si="655"/>
        <v>0</v>
      </c>
      <c r="F6356" s="287">
        <v>102</v>
      </c>
      <c r="G6356" s="288" t="s">
        <v>6929</v>
      </c>
      <c r="L6356" s="636">
        <f>HYPERLINK("[105_个别报表_2019年度_山东天安_V0.1.xlsx]Notes!CheckA"&amp;$D6356,$L$1755)</f>
        <v>0</v>
      </c>
      <c r="O6356" s="636">
        <f>HYPERLINK("[105_个别报表_2019年度_山东天安_V0.1.xlsx]Notes!CheckB"&amp;$D6356,$O$1755)</f>
        <v>0</v>
      </c>
    </row>
    <row r="6357" spans="1:15" ht="18">
      <c r="A6357" s="2717"/>
      <c r="D6357" s="369" t="s">
        <v>730</v>
      </c>
      <c r="E6357" s="2721">
        <f t="shared" si="655"/>
        <v>0</v>
      </c>
      <c r="F6357" s="287">
        <v>103</v>
      </c>
      <c r="G6357" s="288" t="s">
        <v>6930</v>
      </c>
      <c r="L6357" s="636">
        <f>HYPERLINK("[105_个别报表_2019年度_山东天安_V0.1.xlsx]Notes!CheckA"&amp;$D6357,$L$1766)</f>
        <v>0</v>
      </c>
      <c r="O6357" s="636">
        <f>HYPERLINK("[105_个别报表_2019年度_山东天安_V0.1.xlsx]Notes!CheckB"&amp;$D6357,$O$1766)</f>
        <v>0</v>
      </c>
    </row>
    <row r="6358" spans="1:15" ht="18">
      <c r="A6358" s="2717"/>
      <c r="D6358" s="369" t="s">
        <v>721</v>
      </c>
      <c r="E6358" s="2721">
        <f t="shared" si="655"/>
        <v>0</v>
      </c>
      <c r="F6358" s="287">
        <v>104</v>
      </c>
      <c r="G6358" s="288" t="s">
        <v>6931</v>
      </c>
      <c r="L6358" s="636">
        <f>HYPERLINK("[105_个别报表_2019年度_山东天安_V0.1.xlsx]Notes!CheckA"&amp;$D6358,$L$1776)</f>
        <v>0</v>
      </c>
      <c r="O6358" s="636">
        <f>HYPERLINK("[105_个别报表_2019年度_山东天安_V0.1.xlsx]Notes!CheckB"&amp;$D6358,$O$1776)</f>
        <v>0</v>
      </c>
    </row>
    <row r="6359" spans="1:15" ht="18">
      <c r="A6359" s="2717"/>
      <c r="D6359" s="369" t="s">
        <v>747</v>
      </c>
      <c r="E6359" s="2721">
        <f t="shared" si="655"/>
        <v>0</v>
      </c>
      <c r="F6359" s="287">
        <v>105</v>
      </c>
      <c r="G6359" s="288" t="s">
        <v>6932</v>
      </c>
      <c r="L6359" s="636" t="str">
        <f>HYPERLINK("[105_个别报表_2019年度_山东天安_V0.1.xlsx]Notes!CheckA"&amp;$D6359,$L$1792)</f>
        <v>F/S</v>
      </c>
      <c r="O6359" s="636" t="str">
        <f>HYPERLINK("[105_个别报表_2019年度_山东天安_V0.1.xlsx]Notes!CheckB"&amp;$D6359,$O$1792)</f>
        <v>F/S</v>
      </c>
    </row>
    <row r="6360" spans="1:15" ht="18">
      <c r="A6360" s="2717"/>
      <c r="D6360" s="369" t="s">
        <v>752</v>
      </c>
      <c r="E6360" s="2721">
        <f t="shared" si="655"/>
        <v>0</v>
      </c>
      <c r="F6360" s="287">
        <v>106</v>
      </c>
      <c r="G6360" s="288" t="s">
        <v>6933</v>
      </c>
      <c r="L6360" s="636">
        <f>HYPERLINK("[105_个别报表_2019年度_山东天安_V0.1.xlsx]Notes!CheckA"&amp;$D6360,$L$1801)</f>
        <v>0</v>
      </c>
      <c r="O6360" s="636">
        <f>HYPERLINK("[105_个别报表_2019年度_山东天安_V0.1.xlsx]Notes!CheckB"&amp;$D6360,$O$1801)</f>
        <v>0</v>
      </c>
    </row>
    <row r="6361" spans="1:15" ht="18">
      <c r="A6361" s="2717"/>
      <c r="D6361" s="369" t="s">
        <v>756</v>
      </c>
      <c r="E6361" s="2721">
        <f t="shared" si="655"/>
        <v>0</v>
      </c>
      <c r="F6361" s="287">
        <v>107</v>
      </c>
      <c r="G6361" s="288" t="s">
        <v>6934</v>
      </c>
      <c r="L6361" s="636" t="str">
        <f>HYPERLINK("[105_个别报表_2019年度_山东天安_V0.1.xlsx]Notes!CheckA"&amp;$D6361,$L$1814)</f>
        <v>F/S</v>
      </c>
      <c r="O6361" s="636" t="str">
        <f>HYPERLINK("[105_个别报表_2019年度_山东天安_V0.1.xlsx]Notes!CheckB"&amp;$D6361,$O$1814)</f>
        <v>F/S</v>
      </c>
    </row>
    <row r="6362" spans="1:15" ht="18">
      <c r="A6362" s="2717"/>
      <c r="D6362" s="369" t="s">
        <v>762</v>
      </c>
      <c r="E6362" s="2721">
        <f t="shared" si="655"/>
        <v>0</v>
      </c>
      <c r="F6362" s="287">
        <v>108</v>
      </c>
      <c r="G6362" s="288" t="s">
        <v>6935</v>
      </c>
      <c r="L6362" s="636" t="str">
        <f>HYPERLINK("[105_个别报表_2019年度_山东天安_V0.1.xlsx]Notes!CheckA"&amp;$D6362,$L$1825)</f>
        <v>F/S</v>
      </c>
      <c r="O6362" s="636" t="str">
        <f>HYPERLINK("[105_个别报表_2019年度_山东天安_V0.1.xlsx]Notes!CheckB"&amp;$D6362,$O$1825)</f>
        <v>F/S</v>
      </c>
    </row>
    <row r="6363" spans="1:15" ht="18">
      <c r="A6363" s="2717"/>
      <c r="D6363" s="369" t="s">
        <v>768</v>
      </c>
      <c r="E6363" s="2721">
        <f t="shared" si="655"/>
        <v>0</v>
      </c>
      <c r="F6363" s="287">
        <v>109</v>
      </c>
      <c r="G6363" s="288" t="s">
        <v>6936</v>
      </c>
      <c r="L6363" s="636">
        <f>HYPERLINK("[105_个别报表_2019年度_山东天安_V0.1.xlsx]Notes!CheckA"&amp;$D6363,$L$1840)</f>
        <v>0</v>
      </c>
      <c r="O6363" s="636">
        <f>HYPERLINK("[105_个别报表_2019年度_山东天安_V0.1.xlsx]Notes!CheckB"&amp;$D6363,$O$1840)</f>
        <v>0</v>
      </c>
    </row>
    <row r="6364" spans="1:15" ht="18">
      <c r="A6364" s="2717"/>
      <c r="D6364" s="369" t="s">
        <v>773</v>
      </c>
      <c r="E6364" s="2721">
        <f t="shared" ca="1" si="655"/>
        <v>0</v>
      </c>
      <c r="F6364" s="287">
        <v>110</v>
      </c>
      <c r="G6364" s="288" t="s">
        <v>6937</v>
      </c>
      <c r="L6364" s="636" t="str">
        <f ca="1">HYPERLINK("[105_个别报表_2019年度_山东天安_V0.1.xlsx]Notes!CheckA"&amp;$D6364,$L$1855)</f>
        <v>F/S</v>
      </c>
      <c r="O6364" s="636" t="str">
        <f>HYPERLINK("[105_个别报表_2019年度_山东天安_V0.1.xlsx]Notes!CheckB"&amp;$D6364,$O$1855)</f>
        <v>F/S</v>
      </c>
    </row>
    <row r="6365" spans="1:15" ht="18">
      <c r="A6365" s="2717"/>
      <c r="D6365" s="369" t="s">
        <v>788</v>
      </c>
      <c r="E6365" s="2721">
        <f t="shared" si="655"/>
        <v>0</v>
      </c>
      <c r="F6365" s="287">
        <v>111</v>
      </c>
      <c r="G6365" s="288" t="s">
        <v>6938</v>
      </c>
      <c r="L6365" s="636">
        <f>HYPERLINK("[105_个别报表_2019年度_山东天安_V0.1.xlsx]Notes!CheckA"&amp;$D6365,$L$1871)</f>
        <v>0</v>
      </c>
      <c r="O6365" s="636">
        <f>HYPERLINK("[105_个别报表_2019年度_山东天安_V0.1.xlsx]Notes!CheckB"&amp;$D6365,$O$1871)</f>
        <v>0</v>
      </c>
    </row>
    <row r="6366" spans="1:15" ht="18">
      <c r="A6366" s="2717"/>
      <c r="D6366" s="369" t="s">
        <v>792</v>
      </c>
      <c r="E6366" s="2721">
        <f t="shared" si="655"/>
        <v>0</v>
      </c>
      <c r="F6366" s="287">
        <v>112</v>
      </c>
      <c r="G6366" s="288" t="s">
        <v>6939</v>
      </c>
      <c r="L6366" s="636">
        <f>HYPERLINK("[105_个别报表_2019年度_山东天安_V0.1.xlsx]Notes!CheckA"&amp;$D6366,$L$1884)</f>
        <v>0</v>
      </c>
      <c r="O6366" s="636">
        <f>HYPERLINK("[105_个别报表_2019年度_山东天安_V0.1.xlsx]Notes!CheckB"&amp;$D6366,$O$1884)</f>
        <v>0</v>
      </c>
    </row>
    <row r="6367" spans="1:15" ht="18">
      <c r="A6367" s="2717"/>
      <c r="D6367" s="369" t="s">
        <v>795</v>
      </c>
      <c r="E6367" s="2721">
        <f t="shared" si="655"/>
        <v>0</v>
      </c>
      <c r="F6367" s="287">
        <v>113</v>
      </c>
      <c r="G6367" s="288" t="s">
        <v>6940</v>
      </c>
      <c r="L6367" s="636">
        <f>HYPERLINK("[105_个别报表_2019年度_山东天安_V0.1.xlsx]Notes!CheckA"&amp;$D6367,$L$1897)</f>
        <v>0</v>
      </c>
      <c r="O6367" s="636">
        <f>HYPERLINK("[105_个别报表_2019年度_山东天安_V0.1.xlsx]Notes!CheckB"&amp;$D6367,$O$1897)</f>
        <v>0</v>
      </c>
    </row>
    <row r="6368" spans="1:15" ht="18">
      <c r="A6368" s="2717"/>
      <c r="D6368" s="369" t="s">
        <v>799</v>
      </c>
      <c r="E6368" s="2721">
        <f t="shared" si="655"/>
        <v>0</v>
      </c>
      <c r="F6368" s="287">
        <v>114</v>
      </c>
      <c r="G6368" s="288" t="s">
        <v>6941</v>
      </c>
      <c r="L6368" s="636" t="str">
        <f>HYPERLINK("[105_个别报表_2019年度_山东天安_V0.1.xlsx]Notes!CheckA"&amp;$D6368,$L$1910)</f>
        <v>F/S</v>
      </c>
      <c r="O6368" s="636" t="str">
        <f>HYPERLINK("[105_个别报表_2019年度_山东天安_V0.1.xlsx]Notes!CheckB"&amp;$D6368,$O$1910)</f>
        <v>F/S</v>
      </c>
    </row>
    <row r="6369" spans="1:15" ht="18">
      <c r="A6369" s="2717"/>
      <c r="D6369" s="369" t="s">
        <v>784</v>
      </c>
      <c r="E6369" s="2721">
        <f t="shared" si="655"/>
        <v>0</v>
      </c>
      <c r="F6369" s="287">
        <v>115</v>
      </c>
      <c r="G6369" s="288" t="s">
        <v>6942</v>
      </c>
      <c r="L6369" s="636">
        <f>HYPERLINK("[105_个别报表_2019年度_山东天安_V0.1.xlsx]Notes!CheckA"&amp;$D6369,$L$1929)</f>
        <v>0</v>
      </c>
      <c r="O6369" s="636">
        <f>HYPERLINK("[105_个别报表_2019年度_山东天安_V0.1.xlsx]Notes!CheckB"&amp;$D6369,$O$1929)</f>
        <v>0</v>
      </c>
    </row>
    <row r="6370" spans="1:15" ht="18">
      <c r="A6370" s="2717"/>
      <c r="D6370" s="369" t="s">
        <v>804</v>
      </c>
      <c r="E6370" s="2721">
        <f t="shared" si="655"/>
        <v>0</v>
      </c>
      <c r="F6370" s="287">
        <v>116</v>
      </c>
      <c r="G6370" s="288" t="s">
        <v>6943</v>
      </c>
      <c r="L6370" s="636" t="str">
        <f>HYPERLINK("[105_个别报表_2019年度_山东天安_V0.1.xlsx]Notes!CheckA"&amp;$D6370,$L$1949)</f>
        <v>F/S</v>
      </c>
      <c r="O6370" s="636" t="str">
        <f>HYPERLINK("[105_个别报表_2019年度_山东天安_V0.1.xlsx]Notes!CheckB"&amp;$D6370,$O$1949)</f>
        <v>F/S</v>
      </c>
    </row>
    <row r="6371" spans="1:15" ht="18">
      <c r="A6371" s="2717"/>
      <c r="D6371" s="369" t="s">
        <v>830</v>
      </c>
      <c r="E6371" s="2721">
        <f t="shared" si="655"/>
        <v>0</v>
      </c>
      <c r="F6371" s="287">
        <v>117</v>
      </c>
      <c r="G6371" s="288" t="s">
        <v>6944</v>
      </c>
      <c r="L6371" s="636">
        <f>HYPERLINK("[105_个别报表_2019年度_山东天安_V0.1.xlsx]Notes!CheckA"&amp;$D6371,$L$1963)</f>
        <v>0</v>
      </c>
      <c r="O6371" s="636">
        <f>HYPERLINK("[105_个别报表_2019年度_山东天安_V0.1.xlsx]Notes!CheckB"&amp;$D6371,$O$1963)</f>
        <v>0</v>
      </c>
    </row>
    <row r="6372" spans="1:15" ht="18">
      <c r="A6372" s="2717"/>
      <c r="D6372" s="369" t="s">
        <v>813</v>
      </c>
      <c r="E6372" s="2721">
        <f t="shared" si="655"/>
        <v>0</v>
      </c>
      <c r="F6372" s="287">
        <v>118</v>
      </c>
      <c r="G6372" s="288" t="s">
        <v>6945</v>
      </c>
      <c r="L6372" s="636">
        <f>HYPERLINK("[105_个别报表_2019年度_山东天安_V0.1.xlsx]Notes!CheckA"&amp;$D6372,$L$1973)</f>
        <v>0</v>
      </c>
      <c r="O6372" s="636">
        <f>HYPERLINK("[105_个别报表_2019年度_山东天安_V0.1.xlsx]Notes!CheckB"&amp;$D6372,$O$1973)</f>
        <v>0</v>
      </c>
    </row>
    <row r="6373" spans="1:15" ht="18">
      <c r="A6373" s="2717"/>
      <c r="D6373" s="369" t="s">
        <v>817</v>
      </c>
      <c r="E6373" s="2721">
        <f t="shared" si="655"/>
        <v>0</v>
      </c>
      <c r="F6373" s="287">
        <v>119</v>
      </c>
      <c r="G6373" s="288" t="s">
        <v>6946</v>
      </c>
      <c r="L6373" s="636">
        <f>HYPERLINK("[105_个别报表_2019年度_山东天安_V0.1.xlsx]Notes!CheckA"&amp;$D6373,$L$1988)</f>
        <v>0</v>
      </c>
      <c r="O6373" s="636">
        <f>HYPERLINK("[105_个别报表_2019年度_山东天安_V0.1.xlsx]Notes!CheckB"&amp;$D6373,$O$1988)</f>
        <v>0</v>
      </c>
    </row>
    <row r="6374" spans="1:15" ht="18">
      <c r="A6374" s="2717"/>
      <c r="D6374" s="369" t="s">
        <v>821</v>
      </c>
      <c r="E6374" s="2721">
        <f t="shared" si="655"/>
        <v>0</v>
      </c>
      <c r="F6374" s="287">
        <v>120</v>
      </c>
      <c r="G6374" s="288" t="s">
        <v>6947</v>
      </c>
      <c r="L6374" s="636">
        <f>HYPERLINK("[105_个别报表_2019年度_山东天安_V0.1.xlsx]Notes!CheckA"&amp;$D6374,$L$2003)</f>
        <v>0</v>
      </c>
      <c r="O6374" s="636">
        <f>HYPERLINK("[105_个别报表_2019年度_山东天安_V0.1.xlsx]Notes!CheckB"&amp;$D6374,$O$2003)</f>
        <v>0</v>
      </c>
    </row>
    <row r="6375" spans="1:15" ht="18">
      <c r="A6375" s="2717"/>
      <c r="D6375" s="369" t="s">
        <v>825</v>
      </c>
      <c r="E6375" s="2721">
        <f t="shared" si="655"/>
        <v>0</v>
      </c>
      <c r="F6375" s="287">
        <v>121</v>
      </c>
      <c r="G6375" s="288" t="s">
        <v>6948</v>
      </c>
      <c r="L6375" s="636">
        <f>HYPERLINK("[105_个别报表_2019年度_山东天安_V0.1.xlsx]Notes!CheckA"&amp;$D6375,$L$2023)</f>
        <v>0</v>
      </c>
      <c r="O6375" s="636">
        <f>HYPERLINK("[105_个别报表_2019年度_山东天安_V0.1.xlsx]Notes!CheckB"&amp;$D6375,$O$2023)</f>
        <v>0</v>
      </c>
    </row>
    <row r="6376" spans="1:15" ht="18">
      <c r="A6376" s="2717"/>
      <c r="D6376" s="369" t="s">
        <v>847</v>
      </c>
      <c r="E6376" s="2721">
        <f t="shared" si="655"/>
        <v>0</v>
      </c>
      <c r="F6376" s="287">
        <v>122</v>
      </c>
      <c r="G6376" s="288" t="s">
        <v>6949</v>
      </c>
      <c r="L6376" s="636" t="str">
        <f>HYPERLINK("[105_个别报表_2019年度_山东天安_V0.1.xlsx]Notes!CheckA"&amp;$D6376,$L$2034)</f>
        <v>F/S</v>
      </c>
      <c r="O6376" s="636" t="str">
        <f>HYPERLINK("[105_个别报表_2019年度_山东天安_V0.1.xlsx]Notes!CheckB"&amp;$D6376,$O$2034)</f>
        <v>F/S</v>
      </c>
    </row>
    <row r="6377" spans="1:15" ht="18">
      <c r="A6377" s="2717"/>
      <c r="D6377" s="369" t="s">
        <v>853</v>
      </c>
      <c r="E6377" s="2721">
        <f t="shared" si="655"/>
        <v>0</v>
      </c>
      <c r="F6377" s="287">
        <v>123</v>
      </c>
      <c r="G6377" s="288" t="s">
        <v>6950</v>
      </c>
      <c r="L6377" s="636">
        <f>HYPERLINK("[105_个别报表_2019年度_山东天安_V0.1.xlsx]Notes!CheckA"&amp;$D6377,$L$2050)</f>
        <v>0</v>
      </c>
      <c r="O6377" s="636">
        <f>HYPERLINK("[105_个别报表_2019年度_山东天安_V0.1.xlsx]Notes!CheckB"&amp;$D6377,$O$2050)</f>
        <v>0</v>
      </c>
    </row>
    <row r="6378" spans="1:15" ht="18">
      <c r="A6378" s="2717"/>
      <c r="D6378" s="369" t="s">
        <v>859</v>
      </c>
      <c r="E6378" s="2721">
        <f t="shared" si="655"/>
        <v>0</v>
      </c>
      <c r="F6378" s="287">
        <v>124</v>
      </c>
      <c r="G6378" s="288" t="s">
        <v>6951</v>
      </c>
      <c r="L6378" s="636">
        <f>HYPERLINK("[105_个别报表_2019年度_山东天安_V0.1.xlsx]Notes!CheckA"&amp;$D6378,$L$2065)</f>
        <v>0</v>
      </c>
      <c r="O6378" s="636">
        <f>HYPERLINK("[105_个别报表_2019年度_山东天安_V0.1.xlsx]Notes!CheckB"&amp;$D6378,$O$2065)</f>
        <v>0</v>
      </c>
    </row>
    <row r="6379" spans="1:15" ht="18">
      <c r="A6379" s="2717"/>
      <c r="D6379" s="369" t="s">
        <v>885</v>
      </c>
      <c r="E6379" s="2721">
        <f t="shared" si="655"/>
        <v>0</v>
      </c>
      <c r="F6379" s="287">
        <v>125</v>
      </c>
      <c r="G6379" s="288" t="s">
        <v>6952</v>
      </c>
      <c r="L6379" s="636">
        <f>HYPERLINK("[105_个别报表_2019年度_山东天安_V0.1.xlsx]Notes!CheckA"&amp;$D6379,$L$2081)</f>
        <v>0</v>
      </c>
      <c r="O6379" s="636">
        <f>HYPERLINK("[105_个别报表_2019年度_山东天安_V0.1.xlsx]Notes!CheckB"&amp;$D6379,$O$2081)</f>
        <v>0</v>
      </c>
    </row>
    <row r="6380" spans="1:15" ht="18">
      <c r="A6380" s="2717"/>
      <c r="D6380" s="369" t="s">
        <v>889</v>
      </c>
      <c r="E6380" s="2721">
        <f t="shared" si="655"/>
        <v>0</v>
      </c>
      <c r="F6380" s="287">
        <v>126</v>
      </c>
      <c r="G6380" s="288" t="s">
        <v>6953</v>
      </c>
      <c r="L6380" s="636">
        <f>HYPERLINK("[105_个别报表_2019年度_山东天安_V0.1.xlsx]Notes!CheckA"&amp;$D6380,$L$2094)</f>
        <v>0</v>
      </c>
      <c r="O6380" s="636">
        <f>HYPERLINK("[105_个别报表_2019年度_山东天安_V0.1.xlsx]Notes!CheckB"&amp;$D6380,$O$2094)</f>
        <v>0</v>
      </c>
    </row>
    <row r="6381" spans="1:15" ht="18">
      <c r="A6381" s="2717"/>
      <c r="D6381" s="369" t="s">
        <v>894</v>
      </c>
      <c r="E6381" s="2721">
        <f t="shared" si="655"/>
        <v>0</v>
      </c>
      <c r="F6381" s="287">
        <v>127</v>
      </c>
      <c r="G6381" s="288" t="s">
        <v>6954</v>
      </c>
      <c r="L6381" s="636">
        <f>HYPERLINK("[105_个别报表_2019年度_山东天安_V0.1.xlsx]Notes!CheckA"&amp;$D6381,$L$2107)</f>
        <v>0</v>
      </c>
      <c r="O6381" s="636">
        <f>HYPERLINK("[105_个别报表_2019年度_山东天安_V0.1.xlsx]Notes!CheckB"&amp;$D6381,$O$2107)</f>
        <v>0</v>
      </c>
    </row>
    <row r="6382" spans="1:15" ht="18">
      <c r="A6382" s="2717"/>
      <c r="D6382" s="369" t="s">
        <v>898</v>
      </c>
      <c r="E6382" s="2721">
        <f t="shared" si="655"/>
        <v>0</v>
      </c>
      <c r="F6382" s="287">
        <v>128</v>
      </c>
      <c r="G6382" s="288" t="s">
        <v>6955</v>
      </c>
      <c r="L6382" s="636">
        <f>HYPERLINK("[105_个别报表_2019年度_山东天安_V0.1.xlsx]Notes!CheckA"&amp;$D6382,$L$2120)</f>
        <v>0</v>
      </c>
      <c r="O6382" s="636">
        <f>HYPERLINK("[105_个别报表_2019年度_山东天安_V0.1.xlsx]Notes!CheckB"&amp;$D6382,$O$2120)</f>
        <v>0</v>
      </c>
    </row>
    <row r="6383" spans="1:15" ht="18">
      <c r="A6383" s="2717"/>
      <c r="D6383" s="369" t="s">
        <v>880</v>
      </c>
      <c r="E6383" s="2721">
        <f t="shared" ref="E6383:E6446" si="656">IF(OR(L6383="#Logical!",O6383="#Logical!"),9,SUM(ABS(SUM(L6383)),ABS(SUM(O6383))))</f>
        <v>0</v>
      </c>
      <c r="F6383" s="287">
        <v>129</v>
      </c>
      <c r="G6383" s="288" t="s">
        <v>6956</v>
      </c>
      <c r="L6383" s="636">
        <f>HYPERLINK("[105_个别报表_2019年度_山东天安_V0.1.xlsx]Notes!CheckA"&amp;$D6383,$L$2139)</f>
        <v>0</v>
      </c>
      <c r="O6383" s="636">
        <f>HYPERLINK("[105_个别报表_2019年度_山东天安_V0.1.xlsx]Notes!CheckB"&amp;$D6383,$O$2139)</f>
        <v>0</v>
      </c>
    </row>
    <row r="6384" spans="1:15" ht="18">
      <c r="A6384" s="2717"/>
      <c r="D6384" s="369" t="s">
        <v>902</v>
      </c>
      <c r="E6384" s="2721">
        <f t="shared" si="656"/>
        <v>0</v>
      </c>
      <c r="F6384" s="287">
        <v>130</v>
      </c>
      <c r="G6384" s="288" t="s">
        <v>6957</v>
      </c>
      <c r="L6384" s="636" t="str">
        <f>HYPERLINK("[105_个别报表_2019年度_山东天安_V0.1.xlsx]Notes!CheckA"&amp;$D6384,$L$2159)</f>
        <v>F/S</v>
      </c>
      <c r="O6384" s="636" t="str">
        <f>HYPERLINK("[105_个别报表_2019年度_山东天安_V0.1.xlsx]Notes!CheckB"&amp;$D6384,$O$2159)</f>
        <v>F/S</v>
      </c>
    </row>
    <row r="6385" spans="1:15" ht="18">
      <c r="A6385" s="2717"/>
      <c r="D6385" s="369" t="s">
        <v>910</v>
      </c>
      <c r="E6385" s="2721">
        <f t="shared" si="656"/>
        <v>0</v>
      </c>
      <c r="F6385" s="287">
        <v>131</v>
      </c>
      <c r="G6385" s="288" t="s">
        <v>6958</v>
      </c>
      <c r="L6385" s="636">
        <f>HYPERLINK("[105_个别报表_2019年度_山东天安_V0.1.xlsx]Notes!CheckA"&amp;$D6385,$L$2173)</f>
        <v>0</v>
      </c>
      <c r="O6385" s="636">
        <f>HYPERLINK("[105_个别报表_2019年度_山东天安_V0.1.xlsx]Notes!CheckB"&amp;$D6385,$O$2173)</f>
        <v>0</v>
      </c>
    </row>
    <row r="6386" spans="1:15" ht="18">
      <c r="A6386" s="2717"/>
      <c r="D6386" s="369" t="s">
        <v>917</v>
      </c>
      <c r="E6386" s="2721">
        <f t="shared" si="656"/>
        <v>0</v>
      </c>
      <c r="F6386" s="287">
        <v>132</v>
      </c>
      <c r="G6386" s="288" t="s">
        <v>6959</v>
      </c>
      <c r="L6386" s="636">
        <f>HYPERLINK("[105_个别报表_2019年度_山东天安_V0.1.xlsx]Notes!CheckA"&amp;$D6386,$L$2183)</f>
        <v>0</v>
      </c>
      <c r="O6386" s="636">
        <f>HYPERLINK("[105_个别报表_2019年度_山东天安_V0.1.xlsx]Notes!CheckB"&amp;$D6386,$O$2183)</f>
        <v>0</v>
      </c>
    </row>
    <row r="6387" spans="1:15" ht="18">
      <c r="A6387" s="2717"/>
      <c r="D6387" s="369" t="s">
        <v>5585</v>
      </c>
      <c r="E6387" s="2721">
        <f t="shared" si="656"/>
        <v>0</v>
      </c>
      <c r="F6387" s="287">
        <v>133</v>
      </c>
      <c r="G6387" s="288" t="s">
        <v>6960</v>
      </c>
      <c r="L6387" s="636" t="str">
        <f>HYPERLINK("[105_个别报表_2019年度_山东天安_V0.1.xlsx]Notes!CheckA"&amp;$D6387,$L$2193)</f>
        <v>F/S</v>
      </c>
      <c r="O6387" s="636" t="str">
        <f>HYPERLINK("[105_个别报表_2019年度_山东天安_V0.1.xlsx]Notes!CheckB"&amp;$D6387,$O$2193)</f>
        <v>F/S</v>
      </c>
    </row>
    <row r="6388" spans="1:15" ht="18">
      <c r="A6388" s="2717"/>
      <c r="D6388" s="369" t="s">
        <v>923</v>
      </c>
      <c r="E6388" s="2721">
        <f t="shared" si="656"/>
        <v>0</v>
      </c>
      <c r="F6388" s="287">
        <v>134</v>
      </c>
      <c r="G6388" s="288" t="s">
        <v>6961</v>
      </c>
      <c r="L6388" s="636" t="str">
        <f>HYPERLINK("[105_个别报表_2019年度_山东天安_V0.1.xlsx]Notes!CheckA"&amp;$D6388,$L$2204)</f>
        <v>F/S</v>
      </c>
      <c r="O6388" s="636" t="str">
        <f>HYPERLINK("[105_个别报表_2019年度_山东天安_V0.1.xlsx]Notes!CheckB"&amp;$D6388,$O$2204)</f>
        <v>F/S</v>
      </c>
    </row>
    <row r="6389" spans="1:15" ht="18">
      <c r="A6389" s="2717"/>
      <c r="D6389" s="369" t="s">
        <v>5917</v>
      </c>
      <c r="E6389" s="2721">
        <f t="shared" si="656"/>
        <v>0</v>
      </c>
      <c r="F6389" s="287">
        <v>135</v>
      </c>
      <c r="G6389" s="288" t="s">
        <v>6962</v>
      </c>
      <c r="L6389" s="636" t="str">
        <f>HYPERLINK("[105_个别报表_2019年度_山东天安_V0.1.xlsx]Notes!CheckA"&amp;$D6389,$L$2220)</f>
        <v>F/S</v>
      </c>
      <c r="O6389" s="636">
        <f>HYPERLINK("[105_个别报表_2019年度_山东天安_V0.1.xlsx]Notes!CheckB"&amp;$D6389,$O$2220)</f>
        <v>0</v>
      </c>
    </row>
    <row r="6390" spans="1:15" ht="18">
      <c r="A6390" s="2717"/>
      <c r="D6390" s="369" t="s">
        <v>928</v>
      </c>
      <c r="E6390" s="2721">
        <f t="shared" si="656"/>
        <v>0</v>
      </c>
      <c r="F6390" s="287">
        <v>136</v>
      </c>
      <c r="G6390" s="288" t="s">
        <v>6963</v>
      </c>
      <c r="L6390" s="636">
        <f>HYPERLINK("[105_个别报表_2019年度_山东天安_V0.1.xlsx]Notes!CheckA"&amp;$D6390,$L$2236)</f>
        <v>0</v>
      </c>
      <c r="O6390" s="636">
        <f>HYPERLINK("[105_个别报表_2019年度_山东天安_V0.1.xlsx]Notes!CheckB"&amp;$D6390,$O$2236)</f>
        <v>0</v>
      </c>
    </row>
    <row r="6391" spans="1:15" ht="18">
      <c r="A6391" s="2717"/>
      <c r="D6391" s="369" t="s">
        <v>931</v>
      </c>
      <c r="E6391" s="2721">
        <f t="shared" si="656"/>
        <v>0</v>
      </c>
      <c r="F6391" s="287">
        <v>137</v>
      </c>
      <c r="G6391" s="288" t="s">
        <v>6964</v>
      </c>
      <c r="L6391" s="636">
        <f>HYPERLINK("[105_个别报表_2019年度_山东天安_V0.1.xlsx]Notes!CheckA"&amp;$D6391,$L$2249)</f>
        <v>0</v>
      </c>
      <c r="O6391" s="636">
        <f>HYPERLINK("[105_个别报表_2019年度_山东天安_V0.1.xlsx]Notes!CheckB"&amp;$D6391,$O$2249)</f>
        <v>0</v>
      </c>
    </row>
    <row r="6392" spans="1:15" ht="18">
      <c r="A6392" s="2717"/>
      <c r="D6392" s="369" t="s">
        <v>934</v>
      </c>
      <c r="E6392" s="2721">
        <f t="shared" si="656"/>
        <v>0</v>
      </c>
      <c r="F6392" s="287">
        <v>138</v>
      </c>
      <c r="G6392" s="288" t="s">
        <v>6965</v>
      </c>
      <c r="L6392" s="636">
        <f>HYPERLINK("[105_个别报表_2019年度_山东天安_V0.1.xlsx]Notes!CheckA"&amp;$D6392,$L$2262)</f>
        <v>0</v>
      </c>
      <c r="O6392" s="636">
        <f>HYPERLINK("[105_个别报表_2019年度_山东天安_V0.1.xlsx]Notes!CheckB"&amp;$D6392,$O$2262)</f>
        <v>0</v>
      </c>
    </row>
    <row r="6393" spans="1:15" ht="18">
      <c r="A6393" s="2717"/>
      <c r="D6393" s="369" t="s">
        <v>946</v>
      </c>
      <c r="E6393" s="2721">
        <f t="shared" si="656"/>
        <v>0</v>
      </c>
      <c r="F6393" s="287">
        <v>139</v>
      </c>
      <c r="G6393" s="288" t="s">
        <v>6966</v>
      </c>
      <c r="L6393" s="636">
        <f>HYPERLINK("[105_个别报表_2019年度_山东天安_V0.1.xlsx]Notes!CheckA"&amp;$D6393,$L$2275)</f>
        <v>0</v>
      </c>
      <c r="O6393" s="636">
        <f>HYPERLINK("[105_个别报表_2019年度_山东天安_V0.1.xlsx]Notes!CheckB"&amp;$D6393,$O$2275)</f>
        <v>0</v>
      </c>
    </row>
    <row r="6394" spans="1:15" ht="18">
      <c r="A6394" s="2717"/>
      <c r="D6394" s="369" t="s">
        <v>949</v>
      </c>
      <c r="E6394" s="2721">
        <f t="shared" si="656"/>
        <v>0</v>
      </c>
      <c r="F6394" s="287">
        <v>140</v>
      </c>
      <c r="G6394" s="288" t="s">
        <v>6967</v>
      </c>
      <c r="L6394" s="636">
        <f>HYPERLINK("[105_个别报表_2019年度_山东天安_V0.1.xlsx]Notes!CheckA"&amp;$D6394,$L$2295)</f>
        <v>0</v>
      </c>
      <c r="O6394" s="636">
        <f>HYPERLINK("[105_个别报表_2019年度_山东天安_V0.1.xlsx]Notes!CheckB"&amp;$D6394,$O$2295)</f>
        <v>0</v>
      </c>
    </row>
    <row r="6395" spans="1:15" ht="18">
      <c r="A6395" s="2717"/>
      <c r="D6395" s="369" t="s">
        <v>939</v>
      </c>
      <c r="E6395" s="2721">
        <f t="shared" si="656"/>
        <v>0</v>
      </c>
      <c r="F6395" s="287">
        <v>141</v>
      </c>
      <c r="G6395" s="288" t="s">
        <v>6968</v>
      </c>
      <c r="L6395" s="636">
        <f>HYPERLINK("[105_个别报表_2019年度_山东天安_V0.1.xlsx]Notes!CheckA"&amp;$D6395,$L$2317)</f>
        <v>0</v>
      </c>
      <c r="O6395" s="636">
        <f>HYPERLINK("[105_个别报表_2019年度_山东天安_V0.1.xlsx]Notes!CheckB"&amp;$D6395,$O$2317)</f>
        <v>0</v>
      </c>
    </row>
    <row r="6396" spans="1:15" ht="18">
      <c r="A6396" s="2717"/>
      <c r="D6396" s="369" t="s">
        <v>954</v>
      </c>
      <c r="E6396" s="2721">
        <f t="shared" si="656"/>
        <v>0</v>
      </c>
      <c r="F6396" s="287">
        <v>142</v>
      </c>
      <c r="G6396" s="288" t="s">
        <v>6969</v>
      </c>
      <c r="L6396" s="636">
        <f>HYPERLINK("[105_个别报表_2019年度_山东天安_V0.1.xlsx]Notes!CheckA"&amp;$D6396,$L$2332)</f>
        <v>0</v>
      </c>
      <c r="O6396" s="636">
        <f>HYPERLINK("[105_个别报表_2019年度_山东天安_V0.1.xlsx]Notes!CheckB"&amp;$D6396,$O$2332)</f>
        <v>0</v>
      </c>
    </row>
    <row r="6397" spans="1:15" ht="18">
      <c r="A6397" s="2717"/>
      <c r="D6397" s="369" t="s">
        <v>951</v>
      </c>
      <c r="E6397" s="2721">
        <f t="shared" si="656"/>
        <v>0</v>
      </c>
      <c r="F6397" s="287">
        <v>143</v>
      </c>
      <c r="G6397" s="288" t="s">
        <v>6970</v>
      </c>
      <c r="L6397" s="636">
        <f>HYPERLINK("[105_个别报表_2019年度_山东天安_V0.1.xlsx]Notes!CheckA"&amp;$D6397,$L$2351)</f>
        <v>0</v>
      </c>
      <c r="O6397" s="636">
        <f>HYPERLINK("[105_个别报表_2019年度_山东天安_V0.1.xlsx]Notes!CheckB"&amp;$D6397,$O$2351)</f>
        <v>0</v>
      </c>
    </row>
    <row r="6398" spans="1:15" ht="18">
      <c r="A6398" s="2717"/>
      <c r="D6398" s="369" t="s">
        <v>973</v>
      </c>
      <c r="E6398" s="2721">
        <f t="shared" si="656"/>
        <v>0</v>
      </c>
      <c r="F6398" s="287">
        <v>144</v>
      </c>
      <c r="G6398" s="288" t="s">
        <v>6971</v>
      </c>
      <c r="L6398" s="636">
        <f>HYPERLINK("[105_个别报表_2019年度_山东天安_V0.1.xlsx]Notes!CheckA"&amp;$D6398,$L$2370)</f>
        <v>0</v>
      </c>
      <c r="O6398" s="636">
        <f>HYPERLINK("[105_个别报表_2019年度_山东天安_V0.1.xlsx]Notes!CheckB"&amp;$D6398,$O$2370)</f>
        <v>0</v>
      </c>
    </row>
    <row r="6399" spans="1:15" ht="18">
      <c r="A6399" s="2717"/>
      <c r="D6399" s="369" t="s">
        <v>959</v>
      </c>
      <c r="E6399" s="2721">
        <f t="shared" si="656"/>
        <v>0</v>
      </c>
      <c r="F6399" s="287">
        <v>145</v>
      </c>
      <c r="G6399" s="288" t="s">
        <v>6972</v>
      </c>
      <c r="L6399" s="636">
        <f>HYPERLINK("[105_个别报表_2019年度_山东天安_V0.1.xlsx]Notes!CheckA"&amp;$D6399,$L$2380)</f>
        <v>0</v>
      </c>
      <c r="O6399" s="636">
        <f>HYPERLINK("[105_个别报表_2019年度_山东天安_V0.1.xlsx]Notes!CheckB"&amp;$D6399,$O$2380)</f>
        <v>0</v>
      </c>
    </row>
    <row r="6400" spans="1:15" ht="18">
      <c r="A6400" s="2717"/>
      <c r="D6400" s="369" t="s">
        <v>969</v>
      </c>
      <c r="E6400" s="2721">
        <f t="shared" si="656"/>
        <v>0</v>
      </c>
      <c r="F6400" s="287">
        <v>146</v>
      </c>
      <c r="G6400" s="288" t="s">
        <v>6973</v>
      </c>
      <c r="L6400" s="636" t="str">
        <f>HYPERLINK("[105_个别报表_2019年度_山东天安_V0.1.xlsx]Notes!CheckA"&amp;$D6400,$L$2393)</f>
        <v>F/S</v>
      </c>
      <c r="O6400" s="636" t="str">
        <f>HYPERLINK("[105_个别报表_2019年度_山东天安_V0.1.xlsx]Notes!CheckB"&amp;$D6400,$O$2393)</f>
        <v>F/S</v>
      </c>
    </row>
    <row r="6401" spans="1:15" ht="18">
      <c r="A6401" s="2717"/>
      <c r="D6401" s="369" t="s">
        <v>977</v>
      </c>
      <c r="E6401" s="2721">
        <f t="shared" si="656"/>
        <v>0</v>
      </c>
      <c r="F6401" s="287">
        <v>147</v>
      </c>
      <c r="G6401" s="288" t="s">
        <v>6974</v>
      </c>
      <c r="L6401" s="636">
        <f>HYPERLINK("[105_个别报表_2019年度_山东天安_V0.1.xlsx]Notes!CheckA"&amp;$D6401,$L$2403)</f>
        <v>0</v>
      </c>
      <c r="O6401" s="636">
        <f>HYPERLINK("[105_个别报表_2019年度_山东天安_V0.1.xlsx]Notes!CheckB"&amp;$D6401,$O$2403)</f>
        <v>0</v>
      </c>
    </row>
    <row r="6402" spans="1:15" ht="18">
      <c r="A6402" s="2717"/>
      <c r="D6402" s="369" t="s">
        <v>5619</v>
      </c>
      <c r="E6402" s="2721">
        <f t="shared" si="656"/>
        <v>0</v>
      </c>
      <c r="F6402" s="287">
        <v>148</v>
      </c>
      <c r="G6402" s="288" t="s">
        <v>6975</v>
      </c>
      <c r="L6402" s="636" t="str">
        <f>HYPERLINK("[105_个别报表_2019年度_山东天安_V0.1.xlsx]Notes!CheckA"&amp;$D6402,$L$2414)</f>
        <v>F/S</v>
      </c>
      <c r="O6402" s="636" t="str">
        <f>HYPERLINK("[105_个别报表_2019年度_山东天安_V0.1.xlsx]Notes!CheckB"&amp;$D6402,$O$2414)</f>
        <v>F/S</v>
      </c>
    </row>
    <row r="6403" spans="1:15" ht="18">
      <c r="A6403" s="2717"/>
      <c r="D6403" s="369" t="s">
        <v>5620</v>
      </c>
      <c r="E6403" s="2721">
        <f t="shared" si="656"/>
        <v>0</v>
      </c>
      <c r="F6403" s="287">
        <v>149</v>
      </c>
      <c r="G6403" s="288" t="s">
        <v>6976</v>
      </c>
      <c r="L6403" s="636" t="str">
        <f>HYPERLINK("[105_个别报表_2019年度_山东天安_V0.1.xlsx]Notes!CheckA"&amp;$D6403,$L$2433)</f>
        <v>F/S</v>
      </c>
      <c r="O6403" s="636" t="str">
        <f>HYPERLINK("[105_个别报表_2019年度_山东天安_V0.1.xlsx]Notes!CheckB"&amp;$D6403,$O$2433)</f>
        <v>F/S</v>
      </c>
    </row>
    <row r="6404" spans="1:15" ht="18">
      <c r="A6404" s="2717"/>
      <c r="D6404" s="369" t="s">
        <v>982</v>
      </c>
      <c r="E6404" s="2721">
        <f t="shared" si="656"/>
        <v>0</v>
      </c>
      <c r="F6404" s="287">
        <v>150</v>
      </c>
      <c r="G6404" s="288" t="s">
        <v>6977</v>
      </c>
      <c r="L6404" s="636">
        <f>HYPERLINK("[105_个别报表_2019年度_山东天安_V0.1.xlsx]Notes!CheckA"&amp;$D6404,$L$2465)</f>
        <v>0</v>
      </c>
      <c r="O6404" s="636">
        <f>HYPERLINK("[105_个别报表_2019年度_山东天安_V0.1.xlsx]Notes!CheckB"&amp;$D6404,$O$2465)</f>
        <v>0</v>
      </c>
    </row>
    <row r="6405" spans="1:15" ht="18">
      <c r="A6405" s="2717"/>
      <c r="D6405" s="369" t="s">
        <v>993</v>
      </c>
      <c r="E6405" s="2721">
        <f t="shared" si="656"/>
        <v>0</v>
      </c>
      <c r="F6405" s="287">
        <v>151</v>
      </c>
      <c r="G6405" s="288" t="s">
        <v>6978</v>
      </c>
      <c r="L6405" s="636" t="str">
        <f>HYPERLINK("[105_个别报表_2019年度_山东天安_V0.1.xlsx]Notes!CheckA"&amp;$D6405,$L$2499)</f>
        <v>F/S</v>
      </c>
      <c r="O6405" s="636" t="str">
        <f>HYPERLINK("[105_个别报表_2019年度_山东天安_V0.1.xlsx]Notes!CheckB"&amp;$D6405,$O$2499)</f>
        <v>F/S</v>
      </c>
    </row>
    <row r="6406" spans="1:15" ht="18">
      <c r="A6406" s="2717"/>
      <c r="D6406" s="369" t="s">
        <v>1000</v>
      </c>
      <c r="E6406" s="2721">
        <f t="shared" si="656"/>
        <v>0</v>
      </c>
      <c r="F6406" s="287">
        <v>152</v>
      </c>
      <c r="G6406" s="288" t="s">
        <v>6979</v>
      </c>
      <c r="L6406" s="636">
        <f>HYPERLINK("[105_个别报表_2019年度_山东天安_V0.1.xlsx]Notes!CheckA"&amp;$D6406,$L$2508)</f>
        <v>0</v>
      </c>
      <c r="O6406" s="636">
        <f>HYPERLINK("[105_个别报表_2019年度_山东天安_V0.1.xlsx]Notes!CheckB"&amp;$D6406,$O$2508)</f>
        <v>0</v>
      </c>
    </row>
    <row r="6407" spans="1:15" ht="18">
      <c r="A6407" s="2717"/>
      <c r="D6407" s="369" t="s">
        <v>1006</v>
      </c>
      <c r="E6407" s="2721">
        <f t="shared" si="656"/>
        <v>0</v>
      </c>
      <c r="F6407" s="287">
        <v>153</v>
      </c>
      <c r="G6407" s="288" t="s">
        <v>6980</v>
      </c>
      <c r="L6407" s="636" t="str">
        <f>HYPERLINK("[105_个别报表_2019年度_山东天安_V0.1.xlsx]Notes!CheckA"&amp;$D6407,$L$2522)</f>
        <v>F/S</v>
      </c>
      <c r="O6407" s="636" t="str">
        <f>HYPERLINK("[105_个别报表_2019年度_山东天安_V0.1.xlsx]Notes!CheckB"&amp;$D6407,$O$2522)</f>
        <v>F/S</v>
      </c>
    </row>
    <row r="6408" spans="1:15" ht="18">
      <c r="A6408" s="2717"/>
      <c r="D6408" s="369" t="s">
        <v>5615</v>
      </c>
      <c r="E6408" s="2721">
        <f t="shared" si="656"/>
        <v>0</v>
      </c>
      <c r="F6408" s="287">
        <v>154</v>
      </c>
      <c r="G6408" s="288" t="s">
        <v>6981</v>
      </c>
      <c r="L6408" s="636">
        <f>HYPERLINK("[105_个别报表_2019年度_山东天安_V0.1.xlsx]Notes!CheckA"&amp;$D6408,$L$2532)</f>
        <v>0</v>
      </c>
      <c r="O6408" s="636">
        <f>HYPERLINK("[105_个别报表_2019年度_山东天安_V0.1.xlsx]Notes!CheckB"&amp;$D6408,$O$2532)</f>
        <v>0</v>
      </c>
    </row>
    <row r="6409" spans="1:15" ht="18">
      <c r="A6409" s="2717"/>
      <c r="D6409" s="369" t="s">
        <v>5616</v>
      </c>
      <c r="E6409" s="2721">
        <f t="shared" si="656"/>
        <v>0</v>
      </c>
      <c r="F6409" s="287">
        <v>155</v>
      </c>
      <c r="G6409" s="288" t="s">
        <v>6982</v>
      </c>
      <c r="L6409" s="636">
        <f>HYPERLINK("[105_个别报表_2019年度_山东天安_V0.1.xlsx]Notes!CheckA"&amp;$D6409,$L$2545)</f>
        <v>0</v>
      </c>
      <c r="O6409" s="636">
        <f>HYPERLINK("[105_个别报表_2019年度_山东天安_V0.1.xlsx]Notes!CheckB"&amp;$D6409,$O$2545)</f>
        <v>0</v>
      </c>
    </row>
    <row r="6410" spans="1:15" ht="18">
      <c r="A6410" s="2717"/>
      <c r="D6410" s="369" t="s">
        <v>1051</v>
      </c>
      <c r="E6410" s="2721">
        <f t="shared" si="656"/>
        <v>0</v>
      </c>
      <c r="F6410" s="287">
        <v>156</v>
      </c>
      <c r="G6410" s="288" t="s">
        <v>6983</v>
      </c>
      <c r="L6410" s="636" t="str">
        <f>HYPERLINK("[105_个别报表_2019年度_山东天安_V0.1.xlsx]Notes!CheckA"&amp;$D6410,$L$2559)</f>
        <v>F/S</v>
      </c>
      <c r="O6410" s="636" t="str">
        <f>HYPERLINK("[105_个别报表_2019年度_山东天安_V0.1.xlsx]Notes!CheckB"&amp;$D6410,$O$2559)</f>
        <v>F/S</v>
      </c>
    </row>
    <row r="6411" spans="1:15" ht="18">
      <c r="A6411" s="2717"/>
      <c r="D6411" s="369" t="s">
        <v>1058</v>
      </c>
      <c r="E6411" s="2721">
        <f t="shared" si="656"/>
        <v>0</v>
      </c>
      <c r="F6411" s="287">
        <v>157</v>
      </c>
      <c r="G6411" s="288" t="s">
        <v>6984</v>
      </c>
      <c r="L6411" s="636" t="str">
        <f>HYPERLINK("[105_个别报表_2019年度_山东天安_V0.1.xlsx]Notes!CheckA"&amp;$D6411,$L$2601)</f>
        <v>F/S</v>
      </c>
      <c r="O6411" s="636" t="str">
        <f>HYPERLINK("[105_个别报表_2019年度_山东天安_V0.1.xlsx]Notes!CheckB"&amp;$D6411,$O$2601)</f>
        <v>F/S</v>
      </c>
    </row>
    <row r="6412" spans="1:15" ht="18">
      <c r="A6412" s="2717"/>
      <c r="D6412" s="369" t="s">
        <v>1062</v>
      </c>
      <c r="E6412" s="2721">
        <f t="shared" si="656"/>
        <v>0</v>
      </c>
      <c r="F6412" s="287">
        <v>158</v>
      </c>
      <c r="G6412" s="288" t="s">
        <v>6985</v>
      </c>
      <c r="L6412" s="636">
        <f>HYPERLINK("[105_个别报表_2019年度_山东天安_V0.1.xlsx]Notes!CheckA"&amp;$D6412,$L$2620)</f>
        <v>0</v>
      </c>
      <c r="O6412" s="636">
        <f>HYPERLINK("[105_个别报表_2019年度_山东天安_V0.1.xlsx]Notes!CheckB"&amp;$D6412,$O$2620)</f>
        <v>0</v>
      </c>
    </row>
    <row r="6413" spans="1:15" ht="18">
      <c r="A6413" s="2717"/>
      <c r="D6413" s="369" t="s">
        <v>1088</v>
      </c>
      <c r="E6413" s="2721">
        <f t="shared" si="656"/>
        <v>0</v>
      </c>
      <c r="F6413" s="287">
        <v>159</v>
      </c>
      <c r="G6413" s="288" t="s">
        <v>6986</v>
      </c>
      <c r="L6413" s="636">
        <f>HYPERLINK("[105_个别报表_2019年度_山东天安_V0.1.xlsx]Notes!CheckA"&amp;$D6413,$L$2630)</f>
        <v>0</v>
      </c>
      <c r="O6413" s="636">
        <f>HYPERLINK("[105_个别报表_2019年度_山东天安_V0.1.xlsx]Notes!CheckB"&amp;$D6413,$O$2630)</f>
        <v>0</v>
      </c>
    </row>
    <row r="6414" spans="1:15" ht="18">
      <c r="A6414" s="2717"/>
      <c r="D6414" s="369" t="s">
        <v>1098</v>
      </c>
      <c r="E6414" s="2721">
        <f t="shared" si="656"/>
        <v>0</v>
      </c>
      <c r="F6414" s="287">
        <v>160</v>
      </c>
      <c r="G6414" s="288" t="s">
        <v>6987</v>
      </c>
      <c r="L6414" s="636" t="str">
        <f>HYPERLINK("[105_个别报表_2019年度_山东天安_V0.1.xlsx]Notes!CheckA"&amp;$D6414,$L$2641)</f>
        <v>F/S</v>
      </c>
      <c r="O6414" s="636" t="str">
        <f>HYPERLINK("[105_个别报表_2019年度_山东天安_V0.1.xlsx]Notes!CheckB"&amp;$D6414,$O$2641)</f>
        <v>F/S</v>
      </c>
    </row>
    <row r="6415" spans="1:15" ht="18">
      <c r="A6415" s="2717"/>
      <c r="D6415" s="369" t="s">
        <v>1105</v>
      </c>
      <c r="E6415" s="2721">
        <f t="shared" si="656"/>
        <v>0</v>
      </c>
      <c r="F6415" s="287">
        <v>161</v>
      </c>
      <c r="G6415" s="288" t="s">
        <v>6988</v>
      </c>
      <c r="L6415" s="636" t="str">
        <f>HYPERLINK("[105_个别报表_2019年度_山东天安_V0.1.xlsx]Notes!CheckA"&amp;$D6415,$L$2650)</f>
        <v>F/S</v>
      </c>
      <c r="O6415" s="636" t="str">
        <f>HYPERLINK("[105_个别报表_2019年度_山东天安_V0.1.xlsx]Notes!CheckB"&amp;$D6415,$O$2650)</f>
        <v>F/S</v>
      </c>
    </row>
    <row r="6416" spans="1:15" ht="18">
      <c r="A6416" s="2717"/>
      <c r="D6416" s="369" t="s">
        <v>1116</v>
      </c>
      <c r="E6416" s="2721">
        <f t="shared" si="656"/>
        <v>0</v>
      </c>
      <c r="F6416" s="287">
        <v>162</v>
      </c>
      <c r="G6416" s="288" t="s">
        <v>6989</v>
      </c>
      <c r="L6416" s="636" t="str">
        <f>HYPERLINK("[105_个别报表_2019年度_山东天安_V0.1.xlsx]Notes!CheckA"&amp;$D6416,$L$2707)</f>
        <v/>
      </c>
      <c r="O6416" s="636">
        <f>HYPERLINK("[105_个别报表_2019年度_山东天安_V0.1.xlsx]Notes!CheckB"&amp;$D6416,$O$2707)</f>
        <v>0</v>
      </c>
    </row>
    <row r="6417" spans="1:15" ht="18">
      <c r="A6417" s="2717"/>
      <c r="D6417" s="369" t="s">
        <v>1120</v>
      </c>
      <c r="E6417" s="2721">
        <f t="shared" si="656"/>
        <v>0</v>
      </c>
      <c r="F6417" s="287">
        <v>163</v>
      </c>
      <c r="G6417" s="288" t="s">
        <v>6990</v>
      </c>
      <c r="L6417" s="636">
        <f>HYPERLINK("[105_个别报表_2019年度_山东天安_V0.1.xlsx]Notes!CheckA"&amp;$D6417,$L$2721)</f>
        <v>0</v>
      </c>
      <c r="O6417" s="636">
        <f>HYPERLINK("[105_个别报表_2019年度_山东天安_V0.1.xlsx]Notes!CheckB"&amp;$D6417,$O$2721)</f>
        <v>0</v>
      </c>
    </row>
    <row r="6418" spans="1:15" ht="18">
      <c r="A6418" s="2717"/>
      <c r="D6418" s="369" t="s">
        <v>1126</v>
      </c>
      <c r="E6418" s="2721">
        <f t="shared" si="656"/>
        <v>0</v>
      </c>
      <c r="F6418" s="287">
        <v>164</v>
      </c>
      <c r="G6418" s="288" t="s">
        <v>6991</v>
      </c>
      <c r="L6418" s="636">
        <f>HYPERLINK("[105_个别报表_2019年度_山东天安_V0.1.xlsx]Notes!CheckA"&amp;$D6418,$L$2735)</f>
        <v>0</v>
      </c>
      <c r="O6418" s="636">
        <f>HYPERLINK("[105_个别报表_2019年度_山东天安_V0.1.xlsx]Notes!CheckB"&amp;$D6418,$O$2735)</f>
        <v>0</v>
      </c>
    </row>
    <row r="6419" spans="1:15" ht="18">
      <c r="A6419" s="2717"/>
      <c r="D6419" s="369" t="s">
        <v>1131</v>
      </c>
      <c r="E6419" s="2721">
        <f t="shared" si="656"/>
        <v>179175858.13999999</v>
      </c>
      <c r="F6419" s="287">
        <v>165</v>
      </c>
      <c r="G6419" s="288" t="s">
        <v>6992</v>
      </c>
      <c r="L6419" s="636">
        <f>HYPERLINK("[105_个别报表_2019年度_山东天安_V0.1.xlsx]Notes!CheckA"&amp;$D6419,$L$2750)</f>
        <v>80029486.859999999</v>
      </c>
      <c r="O6419" s="636">
        <f>HYPERLINK("[105_个别报表_2019年度_山东天安_V0.1.xlsx]Notes!CheckB"&amp;$D6419,$O$2750)</f>
        <v>99146371.280000001</v>
      </c>
    </row>
    <row r="6420" spans="1:15" ht="18">
      <c r="A6420" s="2717"/>
      <c r="D6420" s="369" t="s">
        <v>1136</v>
      </c>
      <c r="E6420" s="2721">
        <f t="shared" si="656"/>
        <v>0</v>
      </c>
      <c r="F6420" s="287">
        <v>166</v>
      </c>
      <c r="G6420" s="288" t="s">
        <v>6993</v>
      </c>
      <c r="L6420" s="636">
        <f>HYPERLINK("[105_个别报表_2019年度_山东天安_V0.1.xlsx]Notes!CheckA"&amp;$D6420,$L$2763)</f>
        <v>0</v>
      </c>
      <c r="O6420" s="636">
        <f>HYPERLINK("[105_个别报表_2019年度_山东天安_V0.1.xlsx]Notes!CheckB"&amp;$D6420,$O$2763)</f>
        <v>0</v>
      </c>
    </row>
    <row r="6421" spans="1:15" ht="18">
      <c r="A6421" s="2717"/>
      <c r="D6421" s="369" t="s">
        <v>1156</v>
      </c>
      <c r="E6421" s="2721">
        <f t="shared" si="656"/>
        <v>0</v>
      </c>
      <c r="F6421" s="287">
        <v>167</v>
      </c>
      <c r="G6421" s="288" t="s">
        <v>6994</v>
      </c>
      <c r="L6421" s="636">
        <f>HYPERLINK("[105_个别报表_2019年度_山东天安_V0.1.xlsx]Notes!CheckA"&amp;$D6421,$L$2773)</f>
        <v>0</v>
      </c>
      <c r="O6421" s="636">
        <f>HYPERLINK("[105_个别报表_2019年度_山东天安_V0.1.xlsx]Notes!CheckB"&amp;$D6421,$O$2773)</f>
        <v>0</v>
      </c>
    </row>
    <row r="6422" spans="1:15" ht="18">
      <c r="A6422" s="2717"/>
      <c r="D6422" s="369" t="s">
        <v>1162</v>
      </c>
      <c r="E6422" s="2721">
        <f t="shared" si="656"/>
        <v>0</v>
      </c>
      <c r="F6422" s="287">
        <v>168</v>
      </c>
      <c r="G6422" s="288" t="s">
        <v>6995</v>
      </c>
      <c r="L6422" s="636">
        <f>HYPERLINK("[105_个别报表_2019年度_山东天安_V0.1.xlsx]Notes!CheckA"&amp;$D6422,$L$2783)</f>
        <v>0</v>
      </c>
      <c r="O6422" s="636">
        <f>HYPERLINK("[105_个别报表_2019年度_山东天安_V0.1.xlsx]Notes!CheckB"&amp;$D6422,$O$2783)</f>
        <v>0</v>
      </c>
    </row>
    <row r="6423" spans="1:15" ht="18">
      <c r="A6423" s="2717"/>
      <c r="D6423" s="369" t="s">
        <v>1165</v>
      </c>
      <c r="E6423" s="2721">
        <f t="shared" si="656"/>
        <v>0</v>
      </c>
      <c r="F6423" s="287">
        <v>169</v>
      </c>
      <c r="G6423" s="288" t="s">
        <v>6996</v>
      </c>
      <c r="L6423" s="636" t="str">
        <f>HYPERLINK("[105_个别报表_2019年度_山东天安_V0.1.xlsx]Notes!CheckA"&amp;$D6423,$L$2799)</f>
        <v>F/S</v>
      </c>
      <c r="O6423" s="636" t="str">
        <f>HYPERLINK("[105_个别报表_2019年度_山东天安_V0.1.xlsx]Notes!CheckB"&amp;$D6423,$O$2799)</f>
        <v>F/S</v>
      </c>
    </row>
    <row r="6424" spans="1:15" ht="18">
      <c r="A6424" s="2717"/>
      <c r="D6424" s="369" t="s">
        <v>1170</v>
      </c>
      <c r="E6424" s="2721">
        <f t="shared" si="656"/>
        <v>0</v>
      </c>
      <c r="F6424" s="287">
        <v>170</v>
      </c>
      <c r="G6424" s="288" t="s">
        <v>6997</v>
      </c>
      <c r="L6424" s="636" t="str">
        <f>HYPERLINK("[105_个别报表_2019年度_山东天安_V0.1.xlsx]Notes!CheckA"&amp;$D6424,$L$2812)</f>
        <v>F/S</v>
      </c>
      <c r="O6424" s="636" t="str">
        <f>HYPERLINK("[105_个别报表_2019年度_山东天安_V0.1.xlsx]Notes!CheckB"&amp;$D6424,$O$2812)</f>
        <v>F/S</v>
      </c>
    </row>
    <row r="6425" spans="1:15" ht="18">
      <c r="A6425" s="2717"/>
      <c r="D6425" s="369" t="s">
        <v>1174</v>
      </c>
      <c r="E6425" s="2721">
        <f t="shared" si="656"/>
        <v>0</v>
      </c>
      <c r="F6425" s="287">
        <v>171</v>
      </c>
      <c r="G6425" s="288" t="s">
        <v>6998</v>
      </c>
      <c r="L6425" s="636">
        <f>HYPERLINK("[105_个别报表_2019年度_山东天安_V0.1.xlsx]Notes!CheckA"&amp;$D6425,$L$2823)</f>
        <v>0</v>
      </c>
      <c r="O6425" s="636">
        <f>HYPERLINK("[105_个别报表_2019年度_山东天安_V0.1.xlsx]Notes!CheckB"&amp;$D6425,$O$2823)</f>
        <v>0</v>
      </c>
    </row>
    <row r="6426" spans="1:15" ht="18">
      <c r="A6426" s="2717"/>
      <c r="D6426" s="369" t="s">
        <v>1179</v>
      </c>
      <c r="E6426" s="2721">
        <f t="shared" si="656"/>
        <v>6520426.7699999996</v>
      </c>
      <c r="F6426" s="287">
        <v>172</v>
      </c>
      <c r="G6426" s="288" t="s">
        <v>6999</v>
      </c>
      <c r="L6426" s="636" t="str">
        <f>HYPERLINK("[105_个别报表_2019年度_山东天安_V0.1.xlsx]Notes!CheckA"&amp;$D6426,$L$2832)</f>
        <v>F/S</v>
      </c>
      <c r="O6426" s="636">
        <f>HYPERLINK("[105_个别报表_2019年度_山东天安_V0.1.xlsx]Notes!CheckB"&amp;$D6426,$O$2832)</f>
        <v>6520426.7699999996</v>
      </c>
    </row>
    <row r="6427" spans="1:15" ht="18">
      <c r="A6427" s="2717"/>
      <c r="D6427" s="369" t="s">
        <v>1190</v>
      </c>
      <c r="E6427" s="2721">
        <f t="shared" si="656"/>
        <v>0</v>
      </c>
      <c r="F6427" s="287">
        <v>173</v>
      </c>
      <c r="G6427" s="288" t="s">
        <v>7000</v>
      </c>
      <c r="L6427" s="636">
        <f>HYPERLINK("[105_个别报表_2019年度_山东天安_V0.1.xlsx]Notes!CheckA"&amp;$D6427,$L$2849)</f>
        <v>0</v>
      </c>
      <c r="O6427" s="636">
        <f>HYPERLINK("[105_个别报表_2019年度_山东天安_V0.1.xlsx]Notes!CheckB"&amp;$D6427,$O$2849)</f>
        <v>0</v>
      </c>
    </row>
    <row r="6428" spans="1:15" ht="18">
      <c r="A6428" s="2717"/>
      <c r="D6428" s="369" t="s">
        <v>1193</v>
      </c>
      <c r="E6428" s="2721">
        <f t="shared" si="656"/>
        <v>0</v>
      </c>
      <c r="F6428" s="287">
        <v>174</v>
      </c>
      <c r="G6428" s="288" t="s">
        <v>7001</v>
      </c>
      <c r="L6428" s="636">
        <f>HYPERLINK("[105_个别报表_2019年度_山东天安_V0.1.xlsx]Notes!CheckA"&amp;$D6428,$L$2864)</f>
        <v>0</v>
      </c>
      <c r="O6428" s="636">
        <f>HYPERLINK("[105_个别报表_2019年度_山东天安_V0.1.xlsx]Notes!CheckB"&amp;$D6428,$O$2864)</f>
        <v>0</v>
      </c>
    </row>
    <row r="6429" spans="1:15" ht="18">
      <c r="A6429" s="2717"/>
      <c r="D6429" s="369" t="s">
        <v>1186</v>
      </c>
      <c r="E6429" s="2721">
        <f t="shared" si="656"/>
        <v>73891698.739999995</v>
      </c>
      <c r="F6429" s="287">
        <v>175</v>
      </c>
      <c r="G6429" s="288" t="s">
        <v>7002</v>
      </c>
      <c r="L6429" s="636">
        <f>HYPERLINK("[105_个别报表_2019年度_山东天安_V0.1.xlsx]Notes!CheckA"&amp;$D6429,$L$2879)</f>
        <v>29940410.460000001</v>
      </c>
      <c r="O6429" s="636">
        <f>HYPERLINK("[105_个别报表_2019年度_山东天安_V0.1.xlsx]Notes!CheckB"&amp;$D6429,$O$2879)</f>
        <v>43951288.280000001</v>
      </c>
    </row>
    <row r="6430" spans="1:15" ht="18">
      <c r="A6430" s="2717"/>
      <c r="D6430" s="369" t="s">
        <v>1198</v>
      </c>
      <c r="E6430" s="2721">
        <f t="shared" si="656"/>
        <v>6520426.7699999996</v>
      </c>
      <c r="F6430" s="287">
        <v>176</v>
      </c>
      <c r="G6430" s="288" t="s">
        <v>7003</v>
      </c>
      <c r="L6430" s="636" t="str">
        <f>HYPERLINK("[105_个别报表_2019年度_山东天安_V0.1.xlsx]Notes!CheckA"&amp;$D6430,$L$2910)</f>
        <v>F/S</v>
      </c>
      <c r="O6430" s="636">
        <f>HYPERLINK("[105_个别报表_2019年度_山东天安_V0.1.xlsx]Notes!CheckB"&amp;$D6430,$O$2910)</f>
        <v>-6520426.7699999996</v>
      </c>
    </row>
    <row r="6431" spans="1:15" ht="18">
      <c r="A6431" s="2717"/>
      <c r="D6431" s="369" t="s">
        <v>1205</v>
      </c>
      <c r="E6431" s="2721">
        <f t="shared" si="656"/>
        <v>0</v>
      </c>
      <c r="F6431" s="287">
        <v>177</v>
      </c>
      <c r="G6431" s="288" t="s">
        <v>7004</v>
      </c>
      <c r="L6431" s="636">
        <f>HYPERLINK("[105_个别报表_2019年度_山东天安_V0.1.xlsx]Notes!CheckA"&amp;$D6431,$L$2922)</f>
        <v>0</v>
      </c>
      <c r="O6431" s="636">
        <f>HYPERLINK("[105_个别报表_2019年度_山东天安_V0.1.xlsx]Notes!CheckB"&amp;$D6431,$O$2922)</f>
        <v>0</v>
      </c>
    </row>
    <row r="6432" spans="1:15" ht="18">
      <c r="A6432" s="2717"/>
      <c r="D6432" s="369" t="s">
        <v>1223</v>
      </c>
      <c r="E6432" s="2721">
        <f t="shared" si="656"/>
        <v>0</v>
      </c>
      <c r="F6432" s="287">
        <v>178</v>
      </c>
      <c r="G6432" s="288" t="s">
        <v>7005</v>
      </c>
      <c r="L6432" s="636" t="str">
        <f>HYPERLINK("[105_个别报表_2019年度_山东天安_V0.1.xlsx]Notes!CheckA"&amp;$D6432,$L$2984)</f>
        <v>F/S</v>
      </c>
      <c r="O6432" s="636" t="str">
        <f>HYPERLINK("[105_个别报表_2019年度_山东天安_V0.1.xlsx]Notes!CheckB"&amp;$D6432,$O$2984)</f>
        <v>F/S</v>
      </c>
    </row>
    <row r="6433" spans="1:15" ht="18">
      <c r="A6433" s="2717"/>
      <c r="D6433" s="369" t="s">
        <v>1233</v>
      </c>
      <c r="E6433" s="2721">
        <f t="shared" si="656"/>
        <v>0</v>
      </c>
      <c r="F6433" s="287">
        <v>179</v>
      </c>
      <c r="G6433" s="288" t="s">
        <v>7006</v>
      </c>
      <c r="L6433" s="636" t="str">
        <f>HYPERLINK("[105_个别报表_2019年度_山东天安_V0.1.xlsx]Notes!CheckA"&amp;$D6433,$L$3008)</f>
        <v>F/S</v>
      </c>
      <c r="O6433" s="636" t="str">
        <f>HYPERLINK("[105_个别报表_2019年度_山东天安_V0.1.xlsx]Notes!CheckB"&amp;$D6433,$O$3008)</f>
        <v>F/S</v>
      </c>
    </row>
    <row r="6434" spans="1:15" ht="18">
      <c r="A6434" s="2717"/>
      <c r="D6434" s="369" t="s">
        <v>1245</v>
      </c>
      <c r="E6434" s="2721">
        <f t="shared" si="656"/>
        <v>0</v>
      </c>
      <c r="F6434" s="287">
        <v>180</v>
      </c>
      <c r="G6434" s="288" t="s">
        <v>7007</v>
      </c>
      <c r="L6434" s="636">
        <f>HYPERLINK("[105_个别报表_2019年度_山东天安_V0.1.xlsx]Notes!CheckA"&amp;$D6434,$L$3045)</f>
        <v>0</v>
      </c>
      <c r="O6434" s="636">
        <f>HYPERLINK("[105_个别报表_2019年度_山东天安_V0.1.xlsx]Notes!CheckB"&amp;$D6434,$O$3045)</f>
        <v>0</v>
      </c>
    </row>
    <row r="6435" spans="1:15" ht="18">
      <c r="A6435" s="2717"/>
      <c r="D6435" s="369" t="s">
        <v>1264</v>
      </c>
      <c r="E6435" s="2721">
        <f t="shared" si="656"/>
        <v>0</v>
      </c>
      <c r="F6435" s="287">
        <v>181</v>
      </c>
      <c r="G6435" s="288" t="s">
        <v>7008</v>
      </c>
      <c r="L6435" s="636">
        <f>HYPERLINK("[105_个别报表_2019年度_山东天安_V0.1.xlsx]Notes!CheckA"&amp;$D6435,$L$3115)</f>
        <v>0</v>
      </c>
      <c r="O6435" s="636">
        <f>HYPERLINK("[105_个别报表_2019年度_山东天安_V0.1.xlsx]Notes!CheckB"&amp;$D6435,$O$3115)</f>
        <v>0</v>
      </c>
    </row>
    <row r="6436" spans="1:15" ht="18">
      <c r="A6436" s="2717"/>
      <c r="D6436" s="369" t="s">
        <v>1269</v>
      </c>
      <c r="E6436" s="2721">
        <f t="shared" si="656"/>
        <v>0</v>
      </c>
      <c r="F6436" s="287">
        <v>182</v>
      </c>
      <c r="G6436" s="288" t="s">
        <v>7009</v>
      </c>
      <c r="L6436" s="636">
        <f>HYPERLINK("[105_个别报表_2019年度_山东天安_V0.1.xlsx]Notes!CheckA"&amp;$D6436,$L$3128)</f>
        <v>0</v>
      </c>
      <c r="O6436" s="636">
        <f>HYPERLINK("[105_个别报表_2019年度_山东天安_V0.1.xlsx]Notes!CheckB"&amp;$D6436,$O$3128)</f>
        <v>0</v>
      </c>
    </row>
    <row r="6437" spans="1:15" ht="18">
      <c r="A6437" s="2717"/>
      <c r="D6437" s="369" t="s">
        <v>6051</v>
      </c>
      <c r="E6437" s="2721">
        <f t="shared" si="656"/>
        <v>0</v>
      </c>
      <c r="F6437" s="287">
        <v>183</v>
      </c>
      <c r="G6437" s="288" t="s">
        <v>7010</v>
      </c>
      <c r="L6437" s="636">
        <f>HYPERLINK("[105_个别报表_2019年度_山东天安_V0.1.xlsx]Notes!CheckA"&amp;$D6437,$L$3138)</f>
        <v>0</v>
      </c>
      <c r="O6437" s="636">
        <f>HYPERLINK("[105_个别报表_2019年度_山东天安_V0.1.xlsx]Notes!CheckB"&amp;$D6437,$O$3138)</f>
        <v>0</v>
      </c>
    </row>
    <row r="6438" spans="1:15" ht="18">
      <c r="A6438" s="2717"/>
      <c r="D6438" s="369" t="s">
        <v>6052</v>
      </c>
      <c r="E6438" s="2721">
        <f t="shared" si="656"/>
        <v>43812994.359999999</v>
      </c>
      <c r="F6438" s="287">
        <v>184</v>
      </c>
      <c r="G6438" s="288" t="s">
        <v>7011</v>
      </c>
      <c r="L6438" s="636">
        <f>HYPERLINK("[105_个别报表_2019年度_山东天安_V0.1.xlsx]Notes!CheckA"&amp;$D6438,$L$3151)</f>
        <v>22921846.190000001</v>
      </c>
      <c r="O6438" s="636">
        <f>HYPERLINK("[105_个别报表_2019年度_山东天安_V0.1.xlsx]Notes!CheckB"&amp;$D6438,$O$3151)</f>
        <v>20891148.170000002</v>
      </c>
    </row>
    <row r="6439" spans="1:15" ht="18">
      <c r="A6439" s="2717"/>
      <c r="D6439" s="369" t="s">
        <v>1274</v>
      </c>
      <c r="E6439" s="2721">
        <f t="shared" si="656"/>
        <v>0</v>
      </c>
      <c r="F6439" s="287">
        <v>185</v>
      </c>
      <c r="G6439" s="288" t="s">
        <v>7012</v>
      </c>
      <c r="L6439" s="636">
        <f>HYPERLINK("[105_个别报表_2019年度_山东天安_V0.1.xlsx]Notes!CheckA"&amp;$D6439,$L$3164)</f>
        <v>0</v>
      </c>
      <c r="O6439" s="636">
        <f>HYPERLINK("[105_个别报表_2019年度_山东天安_V0.1.xlsx]Notes!CheckB"&amp;$D6439,$O$3164)</f>
        <v>0</v>
      </c>
    </row>
    <row r="6440" spans="1:15" ht="18">
      <c r="A6440" s="2717"/>
      <c r="D6440" s="369" t="s">
        <v>6064</v>
      </c>
      <c r="E6440" s="2721">
        <f t="shared" si="656"/>
        <v>0</v>
      </c>
      <c r="F6440" s="287">
        <v>186</v>
      </c>
      <c r="G6440" s="288" t="s">
        <v>7013</v>
      </c>
      <c r="L6440" s="636" t="str">
        <f>HYPERLINK("[105_个别报表_2019年度_山东天安_V0.1.xlsx]Notes!CheckA"&amp;$D6440,$L$3177)</f>
        <v>F/S</v>
      </c>
      <c r="O6440" s="636" t="str">
        <f>HYPERLINK("[105_个别报表_2019年度_山东天安_V0.1.xlsx]Notes!CheckB"&amp;$D6440,$O$3177)</f>
        <v>F/S</v>
      </c>
    </row>
    <row r="6441" spans="1:15" ht="18">
      <c r="A6441" s="2717"/>
      <c r="D6441" s="369" t="s">
        <v>1294</v>
      </c>
      <c r="E6441" s="2721">
        <f t="shared" si="656"/>
        <v>0</v>
      </c>
      <c r="F6441" s="287">
        <v>187</v>
      </c>
      <c r="G6441" s="288" t="s">
        <v>7014</v>
      </c>
      <c r="L6441" s="636" t="str">
        <f>HYPERLINK("[105_个别报表_2019年度_山东天安_V0.1.xlsx]Notes!CheckA"&amp;$D6441,$L$3190)</f>
        <v>F/S</v>
      </c>
      <c r="O6441" s="636" t="str">
        <f>HYPERLINK("[105_个别报表_2019年度_山东天安_V0.1.xlsx]Notes!CheckB"&amp;$D6441,$O$3190)</f>
        <v>F/S</v>
      </c>
    </row>
    <row r="6442" spans="1:15" ht="18">
      <c r="A6442" s="2717"/>
      <c r="D6442" s="369" t="s">
        <v>1300</v>
      </c>
      <c r="E6442" s="2721">
        <f t="shared" si="656"/>
        <v>0</v>
      </c>
      <c r="F6442" s="287">
        <v>188</v>
      </c>
      <c r="G6442" s="288" t="s">
        <v>7015</v>
      </c>
      <c r="L6442" s="636">
        <f>HYPERLINK("[105_个别报表_2019年度_山东天安_V0.1.xlsx]Notes!CheckA"&amp;$D6442,$L$3202)</f>
        <v>0</v>
      </c>
      <c r="O6442" s="636">
        <f>HYPERLINK("[105_个别报表_2019年度_山东天安_V0.1.xlsx]Notes!CheckB"&amp;$D6442,$O$3202)</f>
        <v>0</v>
      </c>
    </row>
    <row r="6443" spans="1:15" ht="18">
      <c r="A6443" s="2717"/>
      <c r="D6443" s="369" t="s">
        <v>1304</v>
      </c>
      <c r="E6443" s="2721">
        <f t="shared" si="656"/>
        <v>0</v>
      </c>
      <c r="F6443" s="287">
        <v>189</v>
      </c>
      <c r="G6443" s="288" t="s">
        <v>7016</v>
      </c>
      <c r="L6443" s="636" t="str">
        <f>HYPERLINK("[105_个别报表_2019年度_山东天安_V0.1.xlsx]Notes!CheckA"&amp;$D6443,$L$3215)</f>
        <v>F/S</v>
      </c>
      <c r="O6443" s="636" t="str">
        <f>HYPERLINK("[105_个别报表_2019年度_山东天安_V0.1.xlsx]Notes!CheckB"&amp;$D6443,$O$3215)</f>
        <v>F/S</v>
      </c>
    </row>
    <row r="6444" spans="1:15" ht="18">
      <c r="A6444" s="2717"/>
      <c r="D6444" s="369" t="s">
        <v>1310</v>
      </c>
      <c r="E6444" s="2721">
        <f t="shared" si="656"/>
        <v>0</v>
      </c>
      <c r="F6444" s="287">
        <v>190</v>
      </c>
      <c r="G6444" s="288" t="s">
        <v>7017</v>
      </c>
      <c r="L6444" s="636">
        <f>HYPERLINK("[105_个别报表_2019年度_山东天安_V0.1.xlsx]Notes!CheckA"&amp;$D6444,$L$3227)</f>
        <v>0</v>
      </c>
      <c r="O6444" s="636">
        <f>HYPERLINK("[105_个别报表_2019年度_山东天安_V0.1.xlsx]Notes!CheckB"&amp;$D6444,$O$3227)</f>
        <v>0</v>
      </c>
    </row>
    <row r="6445" spans="1:15" ht="18">
      <c r="A6445" s="2717"/>
      <c r="D6445" s="369" t="s">
        <v>1315</v>
      </c>
      <c r="E6445" s="2721">
        <f t="shared" si="656"/>
        <v>0</v>
      </c>
      <c r="F6445" s="287">
        <v>191</v>
      </c>
      <c r="G6445" s="288" t="s">
        <v>7018</v>
      </c>
      <c r="L6445" s="636" t="str">
        <f>HYPERLINK("[105_个别报表_2019年度_山东天安_V0.1.xlsx]Notes!CheckA"&amp;$D6445,$L$3242)</f>
        <v>F/S</v>
      </c>
      <c r="O6445" s="636" t="str">
        <f>HYPERLINK("[105_个别报表_2019年度_山东天安_V0.1.xlsx]Notes!CheckB"&amp;$D6445,$O$3242)</f>
        <v>F/S</v>
      </c>
    </row>
    <row r="6446" spans="1:15" ht="18">
      <c r="A6446" s="2717"/>
      <c r="D6446" s="369" t="s">
        <v>1321</v>
      </c>
      <c r="E6446" s="2721">
        <f t="shared" si="656"/>
        <v>0</v>
      </c>
      <c r="F6446" s="287">
        <v>192</v>
      </c>
      <c r="G6446" s="288" t="s">
        <v>7019</v>
      </c>
      <c r="L6446" s="636" t="str">
        <f>HYPERLINK("[105_个别报表_2019年度_山东天安_V0.1.xlsx]Notes!CheckA"&amp;$D6446,$L$3258)</f>
        <v>F/S</v>
      </c>
      <c r="O6446" s="636" t="str">
        <f>HYPERLINK("[105_个别报表_2019年度_山东天安_V0.1.xlsx]Notes!CheckB"&amp;$D6446,$O$3258)</f>
        <v>F/S</v>
      </c>
    </row>
    <row r="6447" spans="1:15" ht="18">
      <c r="A6447" s="2717"/>
      <c r="D6447" s="369" t="s">
        <v>1326</v>
      </c>
      <c r="E6447" s="2721">
        <f t="shared" ref="E6447:E6510" si="657">IF(OR(L6447="#Logical!",O6447="#Logical!"),9,SUM(ABS(SUM(L6447)),ABS(SUM(O6447))))</f>
        <v>0</v>
      </c>
      <c r="F6447" s="287">
        <v>193</v>
      </c>
      <c r="G6447" s="288" t="s">
        <v>7020</v>
      </c>
      <c r="L6447" s="636">
        <f>HYPERLINK("[105_个别报表_2019年度_山东天安_V0.1.xlsx]Notes!CheckA"&amp;$D6447,$L$3271)</f>
        <v>0</v>
      </c>
      <c r="O6447" s="636">
        <f>HYPERLINK("[105_个别报表_2019年度_山东天安_V0.1.xlsx]Notes!CheckB"&amp;$D6447,$O$3271)</f>
        <v>0</v>
      </c>
    </row>
    <row r="6448" spans="1:15" ht="18">
      <c r="A6448" s="2717"/>
      <c r="D6448" s="369" t="s">
        <v>1331</v>
      </c>
      <c r="E6448" s="2721">
        <f t="shared" si="657"/>
        <v>0</v>
      </c>
      <c r="F6448" s="287">
        <v>194</v>
      </c>
      <c r="G6448" s="288" t="s">
        <v>7021</v>
      </c>
      <c r="L6448" s="636">
        <f>HYPERLINK("[105_个别报表_2019年度_山东天安_V0.1.xlsx]Notes!CheckA"&amp;$D6448,$L$3278)</f>
        <v>0</v>
      </c>
      <c r="O6448" s="636">
        <f>HYPERLINK("[105_个别报表_2019年度_山东天安_V0.1.xlsx]Notes!CheckB"&amp;$D6448,$O$3278)</f>
        <v>0</v>
      </c>
    </row>
    <row r="6449" spans="1:15" ht="18">
      <c r="A6449" s="2717"/>
      <c r="D6449" s="369" t="s">
        <v>1336</v>
      </c>
      <c r="E6449" s="2721">
        <f t="shared" si="657"/>
        <v>0</v>
      </c>
      <c r="F6449" s="287">
        <v>195</v>
      </c>
      <c r="G6449" s="288" t="s">
        <v>7022</v>
      </c>
      <c r="L6449" s="636">
        <f>HYPERLINK("[105_个别报表_2019年度_山东天安_V0.1.xlsx]Notes!CheckA"&amp;$D6449,$L$3288)</f>
        <v>0</v>
      </c>
      <c r="O6449" s="636">
        <f>HYPERLINK("[105_个别报表_2019年度_山东天安_V0.1.xlsx]Notes!CheckB"&amp;$D6449,$O$3288)</f>
        <v>0</v>
      </c>
    </row>
    <row r="6450" spans="1:15" ht="18">
      <c r="A6450" s="2717"/>
      <c r="D6450" s="369" t="s">
        <v>1341</v>
      </c>
      <c r="E6450" s="2721">
        <f t="shared" si="657"/>
        <v>0</v>
      </c>
      <c r="F6450" s="287">
        <v>196</v>
      </c>
      <c r="G6450" s="288" t="s">
        <v>7023</v>
      </c>
      <c r="L6450" s="636" t="str">
        <f>HYPERLINK("[105_个别报表_2019年度_山东天安_V0.1.xlsx]Notes!CheckA"&amp;$D6450,$L$3308)</f>
        <v>F/S</v>
      </c>
      <c r="O6450" s="636" t="str">
        <f>HYPERLINK("[105_个别报表_2019年度_山东天安_V0.1.xlsx]Notes!CheckB"&amp;$D6450,$O$3308)</f>
        <v>F/S</v>
      </c>
    </row>
    <row r="6451" spans="1:15" ht="18">
      <c r="A6451" s="2717"/>
      <c r="D6451" s="369" t="s">
        <v>1357</v>
      </c>
      <c r="E6451" s="2721">
        <f t="shared" si="657"/>
        <v>0</v>
      </c>
      <c r="F6451" s="287">
        <v>197</v>
      </c>
      <c r="G6451" s="288" t="s">
        <v>7024</v>
      </c>
      <c r="L6451" s="636" t="str">
        <f>HYPERLINK("[105_个别报表_2019年度_山东天安_V0.1.xlsx]Notes!CheckA"&amp;$D6451,$L$3321)</f>
        <v>F/S</v>
      </c>
      <c r="O6451" s="636" t="str">
        <f>HYPERLINK("[105_个别报表_2019年度_山东天安_V0.1.xlsx]Notes!CheckB"&amp;$D6451,$O$3321)</f>
        <v>F/S</v>
      </c>
    </row>
    <row r="6452" spans="1:15" ht="18">
      <c r="A6452" s="2717"/>
      <c r="D6452" s="369" t="s">
        <v>1369</v>
      </c>
      <c r="E6452" s="2721">
        <f t="shared" si="657"/>
        <v>0</v>
      </c>
      <c r="F6452" s="287">
        <v>198</v>
      </c>
      <c r="G6452" s="288" t="s">
        <v>7025</v>
      </c>
      <c r="L6452" s="636">
        <f>HYPERLINK("[105_个别报表_2019年度_山东天安_V0.1.xlsx]Notes!CheckA"&amp;$D6452,$L$3331)</f>
        <v>0</v>
      </c>
      <c r="O6452" s="636">
        <f>HYPERLINK("[105_个别报表_2019年度_山东天安_V0.1.xlsx]Notes!CheckB"&amp;$D6452,$O$3331)</f>
        <v>0</v>
      </c>
    </row>
    <row r="6453" spans="1:15" ht="18">
      <c r="A6453" s="2717"/>
      <c r="D6453" s="369" t="s">
        <v>1375</v>
      </c>
      <c r="E6453" s="2721">
        <f t="shared" si="657"/>
        <v>0</v>
      </c>
      <c r="F6453" s="287">
        <v>199</v>
      </c>
      <c r="G6453" s="288" t="s">
        <v>7026</v>
      </c>
      <c r="L6453" s="636">
        <f>HYPERLINK("[105_个别报表_2019年度_山东天安_V0.1.xlsx]Notes!CheckA"&amp;$D6453,$L$3341)</f>
        <v>0</v>
      </c>
      <c r="O6453" s="636">
        <f>HYPERLINK("[105_个别报表_2019年度_山东天安_V0.1.xlsx]Notes!CheckB"&amp;$D6453,$O$3341)</f>
        <v>0</v>
      </c>
    </row>
    <row r="6454" spans="1:15" ht="18">
      <c r="A6454" s="2717"/>
      <c r="D6454" s="369" t="s">
        <v>1380</v>
      </c>
      <c r="E6454" s="2721">
        <f t="shared" si="657"/>
        <v>0</v>
      </c>
      <c r="F6454" s="287">
        <v>200</v>
      </c>
      <c r="G6454" s="288" t="s">
        <v>7027</v>
      </c>
      <c r="L6454" s="636">
        <f>HYPERLINK("[105_个别报表_2019年度_山东天安_V0.1.xlsx]Notes!CheckA"&amp;$D6454,$L$3351)</f>
        <v>0</v>
      </c>
      <c r="O6454" s="636">
        <f>HYPERLINK("[105_个别报表_2019年度_山东天安_V0.1.xlsx]Notes!CheckB"&amp;$D6454,$O$3351)</f>
        <v>0</v>
      </c>
    </row>
    <row r="6455" spans="1:15" ht="18">
      <c r="A6455" s="2717"/>
      <c r="D6455" s="369" t="s">
        <v>1363</v>
      </c>
      <c r="E6455" s="2721">
        <f t="shared" si="657"/>
        <v>0</v>
      </c>
      <c r="F6455" s="287">
        <v>201</v>
      </c>
      <c r="G6455" s="288" t="s">
        <v>7028</v>
      </c>
      <c r="L6455" s="636">
        <f>HYPERLINK("[105_个别报表_2019年度_山东天安_V0.1.xlsx]Notes!CheckA"&amp;$D6455,$L$3361)</f>
        <v>0</v>
      </c>
      <c r="O6455" s="636">
        <f>HYPERLINK("[105_个别报表_2019年度_山东天安_V0.1.xlsx]Notes!CheckB"&amp;$D6455,$O$3361)</f>
        <v>0</v>
      </c>
    </row>
    <row r="6456" spans="1:15" ht="18">
      <c r="A6456" s="2717"/>
      <c r="D6456" s="369" t="s">
        <v>1385</v>
      </c>
      <c r="E6456" s="2721">
        <f t="shared" si="657"/>
        <v>0</v>
      </c>
      <c r="F6456" s="287">
        <v>202</v>
      </c>
      <c r="G6456" s="288" t="s">
        <v>7029</v>
      </c>
      <c r="L6456" s="636">
        <f>HYPERLINK("[105_个别报表_2019年度_山东天安_V0.1.xlsx]Notes!CheckA"&amp;$D6456,$L$3372)</f>
        <v>0</v>
      </c>
      <c r="O6456" s="636">
        <f>HYPERLINK("[105_个别报表_2019年度_山东天安_V0.1.xlsx]Notes!CheckB"&amp;$D6456,$O$3372)</f>
        <v>0</v>
      </c>
    </row>
    <row r="6457" spans="1:15" ht="18">
      <c r="A6457" s="2717"/>
      <c r="D6457" s="369" t="s">
        <v>1395</v>
      </c>
      <c r="E6457" s="2721">
        <f t="shared" si="657"/>
        <v>0</v>
      </c>
      <c r="F6457" s="287">
        <v>203</v>
      </c>
      <c r="G6457" s="288" t="s">
        <v>7030</v>
      </c>
      <c r="L6457" s="636" t="str">
        <f>HYPERLINK("[105_个别报表_2019年度_山东天安_V0.1.xlsx]Notes!CheckA"&amp;$D6457,$L$3383)</f>
        <v>F/S</v>
      </c>
      <c r="O6457" s="636" t="str">
        <f>HYPERLINK("[105_个别报表_2019年度_山东天安_V0.1.xlsx]Notes!CheckB"&amp;$D6457,$O$3383)</f>
        <v>F/S</v>
      </c>
    </row>
    <row r="6458" spans="1:15" ht="18">
      <c r="A6458" s="2717"/>
      <c r="D6458" s="369" t="s">
        <v>1400</v>
      </c>
      <c r="E6458" s="2721">
        <f t="shared" si="657"/>
        <v>0</v>
      </c>
      <c r="F6458" s="287">
        <v>204</v>
      </c>
      <c r="G6458" s="288" t="s">
        <v>7031</v>
      </c>
      <c r="L6458" s="636" t="str">
        <f>HYPERLINK("[105_个别报表_2019年度_山东天安_V0.1.xlsx]Notes!CheckA"&amp;$D6458,$L$3396)</f>
        <v>F/S</v>
      </c>
      <c r="O6458" s="636" t="str">
        <f>HYPERLINK("[105_个别报表_2019年度_山东天安_V0.1.xlsx]Notes!CheckB"&amp;$D6458,$O$3396)</f>
        <v>F/S</v>
      </c>
    </row>
    <row r="6459" spans="1:15" ht="18">
      <c r="A6459" s="2717"/>
      <c r="D6459" s="369" t="s">
        <v>1390</v>
      </c>
      <c r="E6459" s="2721">
        <f t="shared" si="657"/>
        <v>0</v>
      </c>
      <c r="F6459" s="287">
        <v>205</v>
      </c>
      <c r="G6459" s="288" t="s">
        <v>7032</v>
      </c>
      <c r="L6459" s="636" t="str">
        <f>HYPERLINK("[105_个别报表_2019年度_山东天安_V0.1.xlsx]Notes!CheckA"&amp;$D6459,$L$3411)</f>
        <v>F/S</v>
      </c>
      <c r="O6459" s="636" t="str">
        <f>HYPERLINK("[105_个别报表_2019年度_山东天安_V0.1.xlsx]Notes!CheckB"&amp;$D6459,$O$3411)</f>
        <v>F/S</v>
      </c>
    </row>
    <row r="6460" spans="1:15" ht="18">
      <c r="A6460" s="2717"/>
      <c r="D6460" s="369" t="s">
        <v>1405</v>
      </c>
      <c r="E6460" s="2721">
        <f t="shared" si="657"/>
        <v>0</v>
      </c>
      <c r="F6460" s="287">
        <v>206</v>
      </c>
      <c r="G6460" s="288" t="s">
        <v>7033</v>
      </c>
      <c r="L6460" s="636" t="str">
        <f>HYPERLINK("[105_个别报表_2019年度_山东天安_V0.1.xlsx]Notes!CheckA"&amp;$D6460,$L$3423)</f>
        <v>F/S</v>
      </c>
      <c r="O6460" s="636" t="str">
        <f>HYPERLINK("[105_个别报表_2019年度_山东天安_V0.1.xlsx]Notes!CheckB"&amp;$D6460,$O$3423)</f>
        <v>F/S</v>
      </c>
    </row>
    <row r="6461" spans="1:15" ht="18">
      <c r="A6461" s="2717"/>
      <c r="D6461" s="369" t="s">
        <v>1410</v>
      </c>
      <c r="E6461" s="2721">
        <f t="shared" si="657"/>
        <v>0</v>
      </c>
      <c r="F6461" s="287">
        <v>207</v>
      </c>
      <c r="G6461" s="288" t="s">
        <v>7034</v>
      </c>
      <c r="L6461" s="636" t="str">
        <f>HYPERLINK("[105_个别报表_2019年度_山东天安_V0.1.xlsx]Notes!CheckA"&amp;$D6461,$L$3434)</f>
        <v>F/S</v>
      </c>
      <c r="O6461" s="636" t="str">
        <f>HYPERLINK("[105_个别报表_2019年度_山东天安_V0.1.xlsx]Notes!CheckB"&amp;$D6461,$O$3434)</f>
        <v>F/S</v>
      </c>
    </row>
    <row r="6462" spans="1:15" ht="18">
      <c r="A6462" s="2717"/>
      <c r="D6462" s="369" t="s">
        <v>1416</v>
      </c>
      <c r="E6462" s="2721">
        <f t="shared" si="657"/>
        <v>0</v>
      </c>
      <c r="F6462" s="287">
        <v>208</v>
      </c>
      <c r="G6462" s="288" t="s">
        <v>7035</v>
      </c>
      <c r="L6462" s="636" t="str">
        <f>HYPERLINK("[105_个别报表_2019年度_山东天安_V0.1.xlsx]Notes!CheckA"&amp;$D6462,$L$3445)</f>
        <v>F/S</v>
      </c>
      <c r="O6462" s="636" t="str">
        <f>HYPERLINK("[105_个别报表_2019年度_山东天安_V0.1.xlsx]Notes!CheckB"&amp;$D6462,$O$3445)</f>
        <v>F/S</v>
      </c>
    </row>
    <row r="6463" spans="1:15" ht="18">
      <c r="A6463" s="2717"/>
      <c r="D6463" s="369" t="s">
        <v>1427</v>
      </c>
      <c r="E6463" s="2721">
        <f t="shared" si="657"/>
        <v>95957936.980000004</v>
      </c>
      <c r="F6463" s="287">
        <v>209</v>
      </c>
      <c r="G6463" s="288" t="s">
        <v>7036</v>
      </c>
      <c r="L6463" s="636">
        <f>HYPERLINK("[105_个别报表_2019年度_山东天安_V0.1.xlsx]Notes!CheckA"&amp;$D6463,$L$3456)</f>
        <v>60014311.829999998</v>
      </c>
      <c r="O6463" s="636">
        <f>HYPERLINK("[105_个别报表_2019年度_山东天安_V0.1.xlsx]Notes!CheckB"&amp;$D6463,$O$3456)</f>
        <v>35943625.149999999</v>
      </c>
    </row>
    <row r="6464" spans="1:15" ht="18">
      <c r="A6464" s="2717"/>
      <c r="D6464" s="369" t="s">
        <v>1421</v>
      </c>
      <c r="E6464" s="2721">
        <f t="shared" si="657"/>
        <v>0</v>
      </c>
      <c r="F6464" s="287">
        <v>210</v>
      </c>
      <c r="G6464" s="288" t="s">
        <v>7037</v>
      </c>
      <c r="L6464" s="636" t="str">
        <f>HYPERLINK("[105_个别报表_2019年度_山东天安_V0.1.xlsx]Notes!CheckA"&amp;$D6464,$L$3473)</f>
        <v/>
      </c>
      <c r="O6464" s="636">
        <f>HYPERLINK("[105_个别报表_2019年度_山东天安_V0.1.xlsx]Notes!CheckB"&amp;$D6464,$O$3473)</f>
        <v>0</v>
      </c>
    </row>
    <row r="6465" spans="1:15" ht="18">
      <c r="A6465" s="2717"/>
      <c r="D6465" s="369" t="s">
        <v>1437</v>
      </c>
      <c r="E6465" s="2721">
        <f t="shared" si="657"/>
        <v>0</v>
      </c>
      <c r="F6465" s="287">
        <v>211</v>
      </c>
      <c r="G6465" s="288" t="s">
        <v>7038</v>
      </c>
      <c r="L6465" s="636">
        <f>HYPERLINK("[105_个别报表_2019年度_山东天安_V0.1.xlsx]Notes!CheckA"&amp;$D6465,$L$3483)</f>
        <v>0</v>
      </c>
      <c r="O6465" s="636" t="str">
        <f>HYPERLINK("[105_个别报表_2019年度_山东天安_V0.1.xlsx]Notes!CheckB"&amp;$D6465,$O$3483)</f>
        <v/>
      </c>
    </row>
    <row r="6466" spans="1:15" ht="18">
      <c r="A6466" s="2717"/>
      <c r="D6466" s="369" t="s">
        <v>1432</v>
      </c>
      <c r="E6466" s="2721">
        <f t="shared" si="657"/>
        <v>0</v>
      </c>
      <c r="F6466" s="287">
        <v>212</v>
      </c>
      <c r="G6466" s="288" t="s">
        <v>7039</v>
      </c>
      <c r="L6466" s="636">
        <f>HYPERLINK("[105_个别报表_2019年度_山东天安_V0.1.xlsx]Notes!CheckA"&amp;$D6466,$L$3493)</f>
        <v>0</v>
      </c>
      <c r="O6466" s="636">
        <f>HYPERLINK("[105_个别报表_2019年度_山东天安_V0.1.xlsx]Notes!CheckB"&amp;$D6466,$O$3493)</f>
        <v>0</v>
      </c>
    </row>
    <row r="6467" spans="1:15" ht="18">
      <c r="A6467" s="2717"/>
      <c r="D6467" s="369" t="s">
        <v>1443</v>
      </c>
      <c r="E6467" s="2721">
        <f t="shared" si="657"/>
        <v>0</v>
      </c>
      <c r="F6467" s="287">
        <v>213</v>
      </c>
      <c r="G6467" s="288" t="s">
        <v>7040</v>
      </c>
      <c r="L6467" s="636" t="str">
        <f>HYPERLINK("[105_个别报表_2019年度_山东天安_V0.1.xlsx]Notes!CheckA"&amp;$D6467,$L$3503)</f>
        <v/>
      </c>
      <c r="O6467" s="636">
        <f>HYPERLINK("[105_个别报表_2019年度_山东天安_V0.1.xlsx]Notes!CheckB"&amp;$D6467,$O$3503)</f>
        <v>0</v>
      </c>
    </row>
    <row r="6468" spans="1:15" ht="18">
      <c r="A6468" s="2717"/>
      <c r="D6468" s="369" t="s">
        <v>1448</v>
      </c>
      <c r="E6468" s="2721">
        <f t="shared" si="657"/>
        <v>0</v>
      </c>
      <c r="F6468" s="287">
        <v>214</v>
      </c>
      <c r="G6468" s="288" t="s">
        <v>7041</v>
      </c>
      <c r="L6468" s="636">
        <f>HYPERLINK("[105_个别报表_2019年度_山东天安_V0.1.xlsx]Notes!CheckA"&amp;$D6468,$L$3513)</f>
        <v>0</v>
      </c>
      <c r="O6468" s="636">
        <f>HYPERLINK("[105_个别报表_2019年度_山东天安_V0.1.xlsx]Notes!CheckB"&amp;$D6468,$O$3513)</f>
        <v>0</v>
      </c>
    </row>
    <row r="6469" spans="1:15" ht="18">
      <c r="A6469" s="2717"/>
      <c r="D6469" s="369" t="s">
        <v>1458</v>
      </c>
      <c r="E6469" s="2721">
        <f t="shared" si="657"/>
        <v>0</v>
      </c>
      <c r="F6469" s="287">
        <v>215</v>
      </c>
      <c r="G6469" s="288" t="s">
        <v>7042</v>
      </c>
      <c r="L6469" s="636" t="str">
        <f>HYPERLINK("[105_个别报表_2019年度_山东天安_V0.1.xlsx]Notes!CheckA"&amp;$D6469,$L$3533)</f>
        <v>F/S</v>
      </c>
      <c r="O6469" s="636" t="str">
        <f>HYPERLINK("[105_个别报表_2019年度_山东天安_V0.1.xlsx]Notes!CheckB"&amp;$D6469,$O$3533)</f>
        <v>F/S</v>
      </c>
    </row>
    <row r="6470" spans="1:15" ht="18">
      <c r="A6470" s="2717"/>
      <c r="D6470" s="369" t="s">
        <v>1490</v>
      </c>
      <c r="E6470" s="2721">
        <f t="shared" si="657"/>
        <v>0</v>
      </c>
      <c r="F6470" s="287">
        <v>216</v>
      </c>
      <c r="G6470" s="288" t="s">
        <v>7043</v>
      </c>
      <c r="L6470" s="636" t="str">
        <f>HYPERLINK("[105_个别报表_2019年度_山东天安_V0.1.xlsx]Notes!CheckA"&amp;$D6470,$L$3543)</f>
        <v>F/S</v>
      </c>
      <c r="O6470" s="636" t="str">
        <f>HYPERLINK("[105_个别报表_2019年度_山东天安_V0.1.xlsx]Notes!CheckB"&amp;$D6470,$O$3543)</f>
        <v>F/S</v>
      </c>
    </row>
    <row r="6471" spans="1:15" ht="18">
      <c r="A6471" s="2717"/>
      <c r="D6471" s="369" t="s">
        <v>1463</v>
      </c>
      <c r="E6471" s="2721">
        <f t="shared" si="657"/>
        <v>0</v>
      </c>
      <c r="F6471" s="287">
        <v>217</v>
      </c>
      <c r="G6471" s="288" t="s">
        <v>7044</v>
      </c>
      <c r="L6471" s="636" t="str">
        <f>HYPERLINK("[105_个别报表_2019年度_山东天安_V0.1.xlsx]Notes!CheckA"&amp;$D6471,$L$3560)</f>
        <v/>
      </c>
      <c r="O6471" s="636">
        <f>HYPERLINK("[105_个别报表_2019年度_山东天安_V0.1.xlsx]Notes!CheckB"&amp;$D6471,$O$3560)</f>
        <v>0</v>
      </c>
    </row>
    <row r="6472" spans="1:15" ht="18">
      <c r="A6472" s="2717"/>
      <c r="D6472" s="369" t="s">
        <v>1469</v>
      </c>
      <c r="E6472" s="2721">
        <f t="shared" si="657"/>
        <v>0</v>
      </c>
      <c r="F6472" s="287">
        <v>218</v>
      </c>
      <c r="G6472" s="288" t="s">
        <v>7045</v>
      </c>
      <c r="L6472" s="636">
        <f>HYPERLINK("[105_个别报表_2019年度_山东天安_V0.1.xlsx]Notes!CheckA"&amp;$D6472,$L$3570)</f>
        <v>0</v>
      </c>
      <c r="O6472" s="636">
        <f>HYPERLINK("[105_个别报表_2019年度_山东天安_V0.1.xlsx]Notes!CheckB"&amp;$D6472,$O$3570)</f>
        <v>0</v>
      </c>
    </row>
    <row r="6473" spans="1:15" ht="18">
      <c r="A6473" s="2717"/>
      <c r="D6473" s="369" t="s">
        <v>1485</v>
      </c>
      <c r="E6473" s="2721">
        <f t="shared" si="657"/>
        <v>0</v>
      </c>
      <c r="F6473" s="287">
        <v>219</v>
      </c>
      <c r="G6473" s="288" t="s">
        <v>7046</v>
      </c>
      <c r="L6473" s="636" t="str">
        <f>HYPERLINK("[105_个别报表_2019年度_山东天安_V0.1.xlsx]Notes!CheckA"&amp;$D6473,$L$3580)</f>
        <v/>
      </c>
      <c r="O6473" s="636" t="str">
        <f>HYPERLINK("[105_个别报表_2019年度_山东天安_V0.1.xlsx]Notes!CheckB"&amp;$D6473,$O$3580)</f>
        <v/>
      </c>
    </row>
    <row r="6474" spans="1:15" ht="18">
      <c r="A6474" s="2717"/>
      <c r="D6474" s="369" t="s">
        <v>1474</v>
      </c>
      <c r="E6474" s="2721">
        <f t="shared" si="657"/>
        <v>0</v>
      </c>
      <c r="F6474" s="287">
        <v>220</v>
      </c>
      <c r="G6474" s="288" t="s">
        <v>7047</v>
      </c>
      <c r="L6474" s="636">
        <f>HYPERLINK("[105_个别报表_2019年度_山东天安_V0.1.xlsx]Notes!CheckA"&amp;$D6474,$L$3590)</f>
        <v>0</v>
      </c>
      <c r="O6474" s="636">
        <f>HYPERLINK("[105_个别报表_2019年度_山东天安_V0.1.xlsx]Notes!CheckB"&amp;$D6474,$O$3590)</f>
        <v>0</v>
      </c>
    </row>
    <row r="6475" spans="1:15" ht="18">
      <c r="A6475" s="2717"/>
      <c r="D6475" s="369" t="s">
        <v>1495</v>
      </c>
      <c r="E6475" s="2721">
        <f t="shared" si="657"/>
        <v>0</v>
      </c>
      <c r="F6475" s="287">
        <v>221</v>
      </c>
      <c r="G6475" s="288" t="s">
        <v>7048</v>
      </c>
      <c r="L6475" s="636">
        <f>HYPERLINK("[105_个别报表_2019年度_山东天安_V0.1.xlsx]Notes!CheckA"&amp;$D6475,$L$3600)</f>
        <v>0</v>
      </c>
      <c r="O6475" s="636">
        <f>HYPERLINK("[105_个别报表_2019年度_山东天安_V0.1.xlsx]Notes!CheckB"&amp;$D6475,$O$3600)</f>
        <v>0</v>
      </c>
    </row>
    <row r="6476" spans="1:15" ht="18">
      <c r="A6476" s="2717"/>
      <c r="D6476" s="369" t="s">
        <v>1500</v>
      </c>
      <c r="E6476" s="2721">
        <f t="shared" si="657"/>
        <v>0</v>
      </c>
      <c r="F6476" s="287">
        <v>222</v>
      </c>
      <c r="G6476" s="288" t="s">
        <v>7049</v>
      </c>
      <c r="L6476" s="636" t="str">
        <f>HYPERLINK("[105_个别报表_2019年度_山东天安_V0.1.xlsx]Notes!CheckA"&amp;$D6476,$L$3620)</f>
        <v>F/S</v>
      </c>
      <c r="O6476" s="636" t="str">
        <f>HYPERLINK("[105_个别报表_2019年度_山东天安_V0.1.xlsx]Notes!CheckB"&amp;$D6476,$O$3620)</f>
        <v>F/S</v>
      </c>
    </row>
    <row r="6477" spans="1:15" ht="18">
      <c r="A6477" s="2717"/>
      <c r="D6477" s="369" t="s">
        <v>1505</v>
      </c>
      <c r="E6477" s="2721">
        <f t="shared" si="657"/>
        <v>0</v>
      </c>
      <c r="F6477" s="287">
        <v>223</v>
      </c>
      <c r="G6477" s="288" t="s">
        <v>7050</v>
      </c>
      <c r="L6477" s="636">
        <f>HYPERLINK("[105_个别报表_2019年度_山东天安_V0.1.xlsx]Notes!CheckA"&amp;$D6477,$L$3630)</f>
        <v>0</v>
      </c>
      <c r="O6477" s="636">
        <f>HYPERLINK("[105_个别报表_2019年度_山东天安_V0.1.xlsx]Notes!CheckB"&amp;$D6477,$O$3630)</f>
        <v>0</v>
      </c>
    </row>
    <row r="6478" spans="1:15" ht="18">
      <c r="A6478" s="2717"/>
      <c r="D6478" s="369" t="s">
        <v>1510</v>
      </c>
      <c r="E6478" s="2721">
        <f t="shared" si="657"/>
        <v>0</v>
      </c>
      <c r="F6478" s="287">
        <v>224</v>
      </c>
      <c r="G6478" s="288" t="s">
        <v>7051</v>
      </c>
      <c r="L6478" s="636">
        <f>HYPERLINK("[105_个别报表_2019年度_山东天安_V0.1.xlsx]Notes!CheckA"&amp;$D6478,$L$3659)</f>
        <v>0</v>
      </c>
      <c r="O6478" s="636">
        <f>HYPERLINK("[105_个别报表_2019年度_山东天安_V0.1.xlsx]Notes!CheckB"&amp;$D6478,$O$3659)</f>
        <v>0</v>
      </c>
    </row>
    <row r="6479" spans="1:15" ht="18">
      <c r="A6479" s="2717"/>
      <c r="D6479" s="369" t="s">
        <v>1515</v>
      </c>
      <c r="E6479" s="2721">
        <f t="shared" si="657"/>
        <v>0</v>
      </c>
      <c r="F6479" s="287">
        <v>225</v>
      </c>
      <c r="G6479" s="288" t="s">
        <v>7052</v>
      </c>
      <c r="L6479" s="636">
        <f>HYPERLINK("[105_个别报表_2019年度_山东天安_V0.1.xlsx]Notes!CheckA"&amp;$D6479,$L$3683)</f>
        <v>0</v>
      </c>
      <c r="O6479" s="636">
        <f>HYPERLINK("[105_个别报表_2019年度_山东天安_V0.1.xlsx]Notes!CheckB"&amp;$D6479,$O$3683)</f>
        <v>0</v>
      </c>
    </row>
    <row r="6480" spans="1:15" ht="18">
      <c r="A6480" s="2717"/>
      <c r="D6480" s="369" t="s">
        <v>1520</v>
      </c>
      <c r="E6480" s="2721">
        <f t="shared" si="657"/>
        <v>0</v>
      </c>
      <c r="F6480" s="287">
        <v>226</v>
      </c>
      <c r="G6480" s="288" t="s">
        <v>7053</v>
      </c>
      <c r="L6480" s="636">
        <f>HYPERLINK("[105_个别报表_2019年度_山东天安_V0.1.xlsx]Notes!CheckA"&amp;$D6480,$L$3715)</f>
        <v>0</v>
      </c>
      <c r="O6480" s="636">
        <f>HYPERLINK("[105_个别报表_2019年度_山东天安_V0.1.xlsx]Notes!CheckB"&amp;$D6480,$O$3715)</f>
        <v>0</v>
      </c>
    </row>
    <row r="6481" spans="1:15" ht="18">
      <c r="A6481" s="2717"/>
      <c r="D6481" s="369" t="s">
        <v>1528</v>
      </c>
      <c r="E6481" s="2721">
        <f t="shared" si="657"/>
        <v>0</v>
      </c>
      <c r="F6481" s="287">
        <v>227</v>
      </c>
      <c r="G6481" s="288" t="s">
        <v>7054</v>
      </c>
      <c r="L6481" s="636" t="str">
        <f>HYPERLINK("[105_个别报表_2019年度_山东天安_V0.1.xlsx]Notes!CheckA"&amp;$D6481,$L$3729)</f>
        <v>F/S</v>
      </c>
      <c r="O6481" s="636" t="str">
        <f>HYPERLINK("[105_个别报表_2019年度_山东天安_V0.1.xlsx]Notes!CheckB"&amp;$D6481,$O$3729)</f>
        <v>F/S</v>
      </c>
    </row>
    <row r="6482" spans="1:15" ht="18">
      <c r="A6482" s="2717"/>
      <c r="D6482" s="369" t="s">
        <v>1533</v>
      </c>
      <c r="E6482" s="2721">
        <f t="shared" si="657"/>
        <v>0</v>
      </c>
      <c r="F6482" s="287">
        <v>228</v>
      </c>
      <c r="G6482" s="288" t="s">
        <v>7055</v>
      </c>
      <c r="L6482" s="636">
        <f>HYPERLINK("[105_个别报表_2019年度_山东天安_V0.1.xlsx]Notes!CheckA"&amp;$D6482,$L$3748)</f>
        <v>0</v>
      </c>
      <c r="O6482" s="636">
        <f>HYPERLINK("[105_个别报表_2019年度_山东天安_V0.1.xlsx]Notes!CheckB"&amp;$D6482,$O$3748)</f>
        <v>0</v>
      </c>
    </row>
    <row r="6483" spans="1:15" ht="18">
      <c r="A6483" s="2717"/>
      <c r="D6483" s="369" t="s">
        <v>1594</v>
      </c>
      <c r="E6483" s="2721">
        <f t="shared" si="657"/>
        <v>0</v>
      </c>
      <c r="F6483" s="287">
        <v>229</v>
      </c>
      <c r="G6483" s="288" t="s">
        <v>7056</v>
      </c>
      <c r="L6483" s="636">
        <f>HYPERLINK("[105_个别报表_2019年度_山东天安_V0.1.xlsx]Notes!CheckA"&amp;$D6483,$L$3762)</f>
        <v>0</v>
      </c>
      <c r="O6483" s="636">
        <f>HYPERLINK("[105_个别报表_2019年度_山东天安_V0.1.xlsx]Notes!CheckB"&amp;$D6483,$O$3762)</f>
        <v>0</v>
      </c>
    </row>
    <row r="6484" spans="1:15" ht="18">
      <c r="A6484" s="2717"/>
      <c r="D6484" s="369" t="s">
        <v>1538</v>
      </c>
      <c r="E6484" s="2721">
        <f t="shared" si="657"/>
        <v>0</v>
      </c>
      <c r="F6484" s="287">
        <v>230</v>
      </c>
      <c r="G6484" s="288" t="s">
        <v>7057</v>
      </c>
      <c r="L6484" s="636" t="str">
        <f>HYPERLINK("[105_个别报表_2019年度_山东天安_V0.1.xlsx]Notes!CheckA"&amp;$D6484,$L$3772)</f>
        <v>F/S</v>
      </c>
      <c r="O6484" s="636" t="str">
        <f>HYPERLINK("[105_个别报表_2019年度_山东天安_V0.1.xlsx]Notes!CheckB"&amp;$D6484,$O$3772)</f>
        <v>F/S</v>
      </c>
    </row>
    <row r="6485" spans="1:15" ht="18">
      <c r="A6485" s="2717"/>
      <c r="D6485" s="369" t="s">
        <v>1543</v>
      </c>
      <c r="E6485" s="2721">
        <f t="shared" si="657"/>
        <v>0</v>
      </c>
      <c r="F6485" s="287">
        <v>231</v>
      </c>
      <c r="G6485" s="288" t="s">
        <v>7058</v>
      </c>
      <c r="L6485" s="636">
        <f>HYPERLINK("[105_个别报表_2019年度_山东天安_V0.1.xlsx]Notes!CheckA"&amp;$D6485,$L$3792)</f>
        <v>0</v>
      </c>
      <c r="O6485" s="636">
        <f>HYPERLINK("[105_个别报表_2019年度_山东天安_V0.1.xlsx]Notes!CheckB"&amp;$D6485,$O$3792)</f>
        <v>0</v>
      </c>
    </row>
    <row r="6486" spans="1:15" ht="18">
      <c r="A6486" s="2717"/>
      <c r="D6486" s="369" t="s">
        <v>1549</v>
      </c>
      <c r="E6486" s="2721">
        <f t="shared" si="657"/>
        <v>0</v>
      </c>
      <c r="F6486" s="287">
        <v>232</v>
      </c>
      <c r="G6486" s="288" t="s">
        <v>7059</v>
      </c>
      <c r="L6486" s="636" t="str">
        <f>HYPERLINK("[105_个别报表_2019年度_山东天安_V0.1.xlsx]Notes!CheckA"&amp;$D6486,$L$3803)</f>
        <v>F/S</v>
      </c>
      <c r="O6486" s="636" t="str">
        <f>HYPERLINK("[105_个别报表_2019年度_山东天安_V0.1.xlsx]Notes!CheckB"&amp;$D6486,$O$3803)</f>
        <v>F/S</v>
      </c>
    </row>
    <row r="6487" spans="1:15" ht="18">
      <c r="A6487" s="2717"/>
      <c r="D6487" s="369" t="s">
        <v>1554</v>
      </c>
      <c r="E6487" s="2721">
        <f t="shared" si="657"/>
        <v>0</v>
      </c>
      <c r="F6487" s="287">
        <v>233</v>
      </c>
      <c r="G6487" s="288" t="s">
        <v>7060</v>
      </c>
      <c r="L6487" s="636">
        <f>HYPERLINK("[105_个别报表_2019年度_山东天安_V0.1.xlsx]Notes!CheckA"&amp;$D6487,$L$3820)</f>
        <v>0</v>
      </c>
      <c r="O6487" s="636">
        <f>HYPERLINK("[105_个别报表_2019年度_山东天安_V0.1.xlsx]Notes!CheckB"&amp;$D6487,$O$3820)</f>
        <v>0</v>
      </c>
    </row>
    <row r="6488" spans="1:15" ht="18">
      <c r="A6488" s="2717"/>
      <c r="D6488" s="369" t="s">
        <v>1559</v>
      </c>
      <c r="E6488" s="2721">
        <f t="shared" si="657"/>
        <v>0</v>
      </c>
      <c r="F6488" s="287">
        <v>234</v>
      </c>
      <c r="G6488" s="288" t="s">
        <v>7061</v>
      </c>
      <c r="L6488" s="636" t="str">
        <f>HYPERLINK("[105_个别报表_2019年度_山东天安_V0.1.xlsx]Notes!CheckA"&amp;$D6488,$L$3831)</f>
        <v>F/S</v>
      </c>
      <c r="O6488" s="636" t="str">
        <f>HYPERLINK("[105_个别报表_2019年度_山东天安_V0.1.xlsx]Notes!CheckB"&amp;$D6488,$O$3831)</f>
        <v>F/S</v>
      </c>
    </row>
    <row r="6489" spans="1:15" ht="18">
      <c r="A6489" s="2717"/>
      <c r="D6489" s="369" t="s">
        <v>1569</v>
      </c>
      <c r="E6489" s="2721">
        <f t="shared" si="657"/>
        <v>72399260.489999995</v>
      </c>
      <c r="F6489" s="287">
        <v>235</v>
      </c>
      <c r="G6489" s="288" t="s">
        <v>7062</v>
      </c>
      <c r="L6489" s="636">
        <f>HYPERLINK("[105_个别报表_2019年度_山东天安_V0.1.xlsx]Notes!CheckA"&amp;$D6489,$L$3841)</f>
        <v>11058441.74</v>
      </c>
      <c r="O6489" s="636">
        <f>HYPERLINK("[105_个别报表_2019年度_山东天安_V0.1.xlsx]Notes!CheckB"&amp;$D6489,$O$3841)</f>
        <v>61340818.75</v>
      </c>
    </row>
    <row r="6490" spans="1:15" ht="18">
      <c r="A6490" s="2717"/>
      <c r="D6490" s="369" t="s">
        <v>1564</v>
      </c>
      <c r="E6490" s="2721">
        <f t="shared" si="657"/>
        <v>0</v>
      </c>
      <c r="F6490" s="287">
        <v>236</v>
      </c>
      <c r="G6490" s="288" t="s">
        <v>7063</v>
      </c>
      <c r="L6490" s="636" t="str">
        <f>HYPERLINK("[105_个别报表_2019年度_山东天安_V0.1.xlsx]Notes!CheckA"&amp;$D6490,$L$3858)</f>
        <v/>
      </c>
      <c r="O6490" s="636">
        <f>HYPERLINK("[105_个别报表_2019年度_山东天安_V0.1.xlsx]Notes!CheckB"&amp;$D6490,$O$3858)</f>
        <v>0</v>
      </c>
    </row>
    <row r="6491" spans="1:15" ht="18">
      <c r="A6491" s="2717"/>
      <c r="D6491" s="369" t="s">
        <v>1579</v>
      </c>
      <c r="E6491" s="2721">
        <f t="shared" si="657"/>
        <v>0</v>
      </c>
      <c r="F6491" s="287">
        <v>237</v>
      </c>
      <c r="G6491" s="288" t="s">
        <v>7064</v>
      </c>
      <c r="L6491" s="636" t="str">
        <f>HYPERLINK("[105_个别报表_2019年度_山东天安_V0.1.xlsx]Notes!CheckA"&amp;$D6491,$L$3868)</f>
        <v/>
      </c>
      <c r="O6491" s="636">
        <f>HYPERLINK("[105_个别报表_2019年度_山东天安_V0.1.xlsx]Notes!CheckB"&amp;$D6491,$O$3868)</f>
        <v>0</v>
      </c>
    </row>
    <row r="6492" spans="1:15" ht="18">
      <c r="A6492" s="2717"/>
      <c r="D6492" s="369" t="s">
        <v>1584</v>
      </c>
      <c r="E6492" s="2721">
        <f t="shared" si="657"/>
        <v>0</v>
      </c>
      <c r="F6492" s="287">
        <v>238</v>
      </c>
      <c r="G6492" s="288" t="s">
        <v>7065</v>
      </c>
      <c r="L6492" s="636">
        <f>HYPERLINK("[105_个别报表_2019年度_山东天安_V0.1.xlsx]Notes!CheckA"&amp;$D6492,$L$3878)</f>
        <v>0</v>
      </c>
      <c r="O6492" s="636">
        <f>HYPERLINK("[105_个别报表_2019年度_山东天安_V0.1.xlsx]Notes!CheckB"&amp;$D6492,$O$3878)</f>
        <v>0</v>
      </c>
    </row>
    <row r="6493" spans="1:15" ht="18">
      <c r="A6493" s="2717"/>
      <c r="D6493" s="369" t="s">
        <v>1574</v>
      </c>
      <c r="E6493" s="2721">
        <f t="shared" si="657"/>
        <v>0</v>
      </c>
      <c r="F6493" s="287">
        <v>239</v>
      </c>
      <c r="G6493" s="288" t="s">
        <v>7066</v>
      </c>
      <c r="L6493" s="636">
        <f>HYPERLINK("[105_个别报表_2019年度_山东天安_V0.1.xlsx]Notes!CheckA"&amp;$D6493,$L$3888)</f>
        <v>0</v>
      </c>
      <c r="O6493" s="636">
        <f>HYPERLINK("[105_个别报表_2019年度_山东天安_V0.1.xlsx]Notes!CheckB"&amp;$D6493,$O$3888)</f>
        <v>0</v>
      </c>
    </row>
    <row r="6494" spans="1:15" ht="18">
      <c r="A6494" s="2717"/>
      <c r="D6494" s="369" t="s">
        <v>1589</v>
      </c>
      <c r="E6494" s="2721">
        <f t="shared" si="657"/>
        <v>0</v>
      </c>
      <c r="F6494" s="287">
        <v>240</v>
      </c>
      <c r="G6494" s="288" t="s">
        <v>7067</v>
      </c>
      <c r="L6494" s="636">
        <f>HYPERLINK("[105_个别报表_2019年度_山东天安_V0.1.xlsx]Notes!CheckA"&amp;$D6494,$L$3898)</f>
        <v>0</v>
      </c>
      <c r="O6494" s="636">
        <f>HYPERLINK("[105_个别报表_2019年度_山东天安_V0.1.xlsx]Notes!CheckB"&amp;$D6494,$O$3898)</f>
        <v>0</v>
      </c>
    </row>
    <row r="6495" spans="1:15" ht="18">
      <c r="A6495" s="2717"/>
      <c r="D6495" s="369" t="s">
        <v>1599</v>
      </c>
      <c r="E6495" s="2721">
        <f t="shared" si="657"/>
        <v>0</v>
      </c>
      <c r="F6495" s="287">
        <v>241</v>
      </c>
      <c r="G6495" s="288" t="s">
        <v>7068</v>
      </c>
      <c r="L6495" s="636" t="str">
        <f>HYPERLINK("[105_个别报表_2019年度_山东天安_V0.1.xlsx]Notes!CheckA"&amp;$D6495,$L$3918)</f>
        <v>F/S</v>
      </c>
      <c r="O6495" s="636" t="str">
        <f>HYPERLINK("[105_个别报表_2019年度_山东天安_V0.1.xlsx]Notes!CheckB"&amp;$D6495,$O$3918)</f>
        <v>F/S</v>
      </c>
    </row>
    <row r="6496" spans="1:15" ht="18">
      <c r="A6496" s="2717"/>
      <c r="D6496" s="369" t="s">
        <v>1603</v>
      </c>
      <c r="E6496" s="2721">
        <f t="shared" si="657"/>
        <v>0</v>
      </c>
      <c r="F6496" s="287">
        <v>242</v>
      </c>
      <c r="G6496" s="288" t="s">
        <v>7069</v>
      </c>
      <c r="L6496" s="636" t="str">
        <f>HYPERLINK("[105_个别报表_2019年度_山东天安_V0.1.xlsx]Notes!CheckA"&amp;$D6496,$L$3929)</f>
        <v>F/S</v>
      </c>
      <c r="O6496" s="636" t="str">
        <f>HYPERLINK("[105_个别报表_2019年度_山东天安_V0.1.xlsx]Notes!CheckB"&amp;$D6496,$O$3929)</f>
        <v>F/S</v>
      </c>
    </row>
    <row r="6497" spans="1:15" ht="18">
      <c r="A6497" s="2717"/>
      <c r="D6497" s="369" t="s">
        <v>1608</v>
      </c>
      <c r="E6497" s="2721">
        <f t="shared" si="657"/>
        <v>0</v>
      </c>
      <c r="F6497" s="287">
        <v>243</v>
      </c>
      <c r="G6497" s="288" t="s">
        <v>7070</v>
      </c>
      <c r="L6497" s="636" t="str">
        <f>HYPERLINK("[105_个别报表_2019年度_山东天安_V0.1.xlsx]Notes!CheckA"&amp;$D6497,$L$3939)</f>
        <v/>
      </c>
      <c r="O6497" s="636" t="str">
        <f>HYPERLINK("[105_个别报表_2019年度_山东天安_V0.1.xlsx]Notes!CheckB"&amp;$D6497,$O$3939)</f>
        <v/>
      </c>
    </row>
    <row r="6498" spans="1:15" ht="18">
      <c r="A6498" s="2717"/>
      <c r="D6498" s="369" t="s">
        <v>1612</v>
      </c>
      <c r="E6498" s="2721">
        <f t="shared" si="657"/>
        <v>0</v>
      </c>
      <c r="F6498" s="287">
        <v>244</v>
      </c>
      <c r="G6498" s="288" t="s">
        <v>7071</v>
      </c>
      <c r="L6498" s="636" t="str">
        <f>HYPERLINK("[105_个别报表_2019年度_山东天安_V0.1.xlsx]Notes!CheckA"&amp;$D6498,$L$3949)</f>
        <v/>
      </c>
      <c r="O6498" s="636" t="str">
        <f>HYPERLINK("[105_个别报表_2019年度_山东天安_V0.1.xlsx]Notes!CheckB"&amp;$D6498,$O$3949)</f>
        <v/>
      </c>
    </row>
    <row r="6499" spans="1:15" ht="18">
      <c r="A6499" s="2717"/>
      <c r="D6499" s="369" t="s">
        <v>1617</v>
      </c>
      <c r="E6499" s="2721">
        <f t="shared" si="657"/>
        <v>0</v>
      </c>
      <c r="F6499" s="287">
        <v>245</v>
      </c>
      <c r="G6499" s="288" t="s">
        <v>7072</v>
      </c>
      <c r="L6499" s="636" t="str">
        <f>HYPERLINK("[105_个别报表_2019年度_山东天安_V0.1.xlsx]Notes!CheckA"&amp;$D6499,$L$3959)</f>
        <v/>
      </c>
      <c r="O6499" s="636" t="str">
        <f>HYPERLINK("[105_个别报表_2019年度_山东天安_V0.1.xlsx]Notes!CheckB"&amp;$D6499,$O$3959)</f>
        <v/>
      </c>
    </row>
    <row r="6500" spans="1:15" ht="18">
      <c r="A6500" s="2717"/>
      <c r="D6500" s="369" t="s">
        <v>1621</v>
      </c>
      <c r="E6500" s="2721">
        <f t="shared" si="657"/>
        <v>0</v>
      </c>
      <c r="F6500" s="287">
        <v>246</v>
      </c>
      <c r="G6500" s="288" t="s">
        <v>7073</v>
      </c>
      <c r="L6500" s="636" t="str">
        <f>HYPERLINK("[105_个别报表_2019年度_山东天安_V0.1.xlsx]Notes!CheckA"&amp;$D6500,$L$3970)</f>
        <v>F/S</v>
      </c>
      <c r="O6500" s="636" t="str">
        <f>HYPERLINK("[105_个别报表_2019年度_山东天安_V0.1.xlsx]Notes!CheckB"&amp;$D6500,$O$3970)</f>
        <v>F/S</v>
      </c>
    </row>
    <row r="6501" spans="1:15" ht="18">
      <c r="A6501" s="2717"/>
      <c r="D6501" s="369" t="s">
        <v>1626</v>
      </c>
      <c r="E6501" s="2721">
        <f t="shared" si="657"/>
        <v>0</v>
      </c>
      <c r="F6501" s="287">
        <v>247</v>
      </c>
      <c r="G6501" s="288" t="s">
        <v>7074</v>
      </c>
      <c r="L6501" s="636">
        <f>HYPERLINK("[105_个别报表_2019年度_山东天安_V0.1.xlsx]Notes!CheckA"&amp;$D6501,$L$3981)</f>
        <v>0</v>
      </c>
      <c r="O6501" s="636">
        <f>HYPERLINK("[105_个别报表_2019年度_山东天安_V0.1.xlsx]Notes!CheckB"&amp;$D6501,$O$3981)</f>
        <v>0</v>
      </c>
    </row>
    <row r="6502" spans="1:15" ht="18">
      <c r="A6502" s="2717"/>
      <c r="D6502" s="369" t="s">
        <v>1637</v>
      </c>
      <c r="E6502" s="2721">
        <f t="shared" si="657"/>
        <v>0</v>
      </c>
      <c r="F6502" s="287">
        <v>248</v>
      </c>
      <c r="G6502" s="288" t="s">
        <v>7075</v>
      </c>
      <c r="L6502" s="636" t="str">
        <f>HYPERLINK("[105_个别报表_2019年度_山东天安_V0.1.xlsx]Notes!CheckA"&amp;$D6502,$L$3999)</f>
        <v>F/S</v>
      </c>
      <c r="O6502" s="636" t="str">
        <f>HYPERLINK("[105_个别报表_2019年度_山东天安_V0.1.xlsx]Notes!CheckB"&amp;$D6502,$O$3999)</f>
        <v>F/S</v>
      </c>
    </row>
    <row r="6503" spans="1:15" ht="18">
      <c r="A6503" s="2717"/>
      <c r="D6503" s="369" t="s">
        <v>1642</v>
      </c>
      <c r="E6503" s="2721">
        <f t="shared" si="657"/>
        <v>0</v>
      </c>
      <c r="F6503" s="287">
        <v>249</v>
      </c>
      <c r="G6503" s="288" t="s">
        <v>7076</v>
      </c>
      <c r="L6503" s="636">
        <f>HYPERLINK("[105_个别报表_2019年度_山东天安_V0.1.xlsx]Notes!CheckA"&amp;$D6503,$L$4012)</f>
        <v>0</v>
      </c>
      <c r="O6503" s="636">
        <f>HYPERLINK("[105_个别报表_2019年度_山东天安_V0.1.xlsx]Notes!CheckB"&amp;$D6503,$O$4012)</f>
        <v>0</v>
      </c>
    </row>
    <row r="6504" spans="1:15" ht="18">
      <c r="A6504" s="2717"/>
      <c r="D6504" s="369" t="s">
        <v>1647</v>
      </c>
      <c r="E6504" s="2721">
        <f t="shared" si="657"/>
        <v>0</v>
      </c>
      <c r="F6504" s="287">
        <v>250</v>
      </c>
      <c r="G6504" s="288" t="s">
        <v>7077</v>
      </c>
      <c r="L6504" s="636">
        <f>HYPERLINK("[105_个别报表_2019年度_山东天安_V0.1.xlsx]Notes!CheckA"&amp;$D6504,$L$4022)</f>
        <v>0</v>
      </c>
      <c r="O6504" s="636">
        <f>HYPERLINK("[105_个别报表_2019年度_山东天安_V0.1.xlsx]Notes!CheckB"&amp;$D6504,$O$4022)</f>
        <v>0</v>
      </c>
    </row>
    <row r="6505" spans="1:15" ht="18">
      <c r="A6505" s="2717"/>
      <c r="D6505" s="369" t="s">
        <v>1652</v>
      </c>
      <c r="E6505" s="2721">
        <f t="shared" si="657"/>
        <v>0</v>
      </c>
      <c r="F6505" s="287">
        <v>251</v>
      </c>
      <c r="G6505" s="288" t="s">
        <v>7078</v>
      </c>
      <c r="L6505" s="636">
        <f>HYPERLINK("[105_个别报表_2019年度_山东天安_V0.1.xlsx]Notes!CheckA"&amp;$D6505,$L$4032)</f>
        <v>0</v>
      </c>
      <c r="O6505" s="636">
        <f>HYPERLINK("[105_个别报表_2019年度_山东天安_V0.1.xlsx]Notes!CheckB"&amp;$D6505,$O$4032)</f>
        <v>0</v>
      </c>
    </row>
    <row r="6506" spans="1:15" ht="18">
      <c r="A6506" s="2717"/>
      <c r="D6506" s="369" t="s">
        <v>1657</v>
      </c>
      <c r="E6506" s="2721">
        <f t="shared" si="657"/>
        <v>0</v>
      </c>
      <c r="F6506" s="287">
        <v>252</v>
      </c>
      <c r="G6506" s="288" t="s">
        <v>7079</v>
      </c>
      <c r="L6506" s="636">
        <f>HYPERLINK("[105_个别报表_2019年度_山东天安_V0.1.xlsx]Notes!CheckA"&amp;$D6506,$L$4042)</f>
        <v>0</v>
      </c>
      <c r="O6506" s="636">
        <f>HYPERLINK("[105_个别报表_2019年度_山东天安_V0.1.xlsx]Notes!CheckB"&amp;$D6506,$O$4042)</f>
        <v>0</v>
      </c>
    </row>
    <row r="6507" spans="1:15" ht="18">
      <c r="A6507" s="2717"/>
      <c r="D6507" s="369" t="s">
        <v>1662</v>
      </c>
      <c r="E6507" s="2721">
        <f t="shared" si="657"/>
        <v>0</v>
      </c>
      <c r="F6507" s="287">
        <v>253</v>
      </c>
      <c r="G6507" s="288" t="s">
        <v>7080</v>
      </c>
      <c r="L6507" s="636" t="str">
        <f>HYPERLINK("[105_个别报表_2019年度_山东天安_V0.1.xlsx]Notes!CheckA"&amp;$D6507,$L$4053)</f>
        <v>F/S</v>
      </c>
      <c r="O6507" s="636" t="str">
        <f>HYPERLINK("[105_个别报表_2019年度_山东天安_V0.1.xlsx]Notes!CheckB"&amp;$D6507,$O$4053)</f>
        <v>F/S</v>
      </c>
    </row>
    <row r="6508" spans="1:15" ht="18">
      <c r="A6508" s="2717"/>
      <c r="D6508" s="369" t="s">
        <v>1667</v>
      </c>
      <c r="E6508" s="2721">
        <f t="shared" si="657"/>
        <v>0</v>
      </c>
      <c r="F6508" s="287">
        <v>254</v>
      </c>
      <c r="G6508" s="288" t="s">
        <v>7081</v>
      </c>
      <c r="L6508" s="636">
        <f>HYPERLINK("[105_个别报表_2019年度_山东天安_V0.1.xlsx]Notes!CheckA"&amp;$D6508,$L$4063)</f>
        <v>0</v>
      </c>
      <c r="O6508" s="636">
        <f>HYPERLINK("[105_个别报表_2019年度_山东天安_V0.1.xlsx]Notes!CheckB"&amp;$D6508,$O$4063)</f>
        <v>0</v>
      </c>
    </row>
    <row r="6509" spans="1:15" ht="18">
      <c r="A6509" s="2717"/>
      <c r="D6509" s="369" t="s">
        <v>1671</v>
      </c>
      <c r="E6509" s="2721">
        <f t="shared" si="657"/>
        <v>0</v>
      </c>
      <c r="F6509" s="287">
        <v>255</v>
      </c>
      <c r="G6509" s="288" t="s">
        <v>7082</v>
      </c>
      <c r="L6509" s="636">
        <f>HYPERLINK("[105_个别报表_2019年度_山东天安_V0.1.xlsx]Notes!CheckA"&amp;$D6509,$L$4076)</f>
        <v>0</v>
      </c>
      <c r="O6509" s="636">
        <f>HYPERLINK("[105_个别报表_2019年度_山东天安_V0.1.xlsx]Notes!CheckB"&amp;$D6509,$O$4076)</f>
        <v>0</v>
      </c>
    </row>
    <row r="6510" spans="1:15" ht="18">
      <c r="A6510" s="2717"/>
      <c r="D6510" s="369" t="s">
        <v>1677</v>
      </c>
      <c r="E6510" s="2721">
        <f t="shared" si="657"/>
        <v>0</v>
      </c>
      <c r="F6510" s="287">
        <v>256</v>
      </c>
      <c r="G6510" s="288" t="s">
        <v>7083</v>
      </c>
      <c r="L6510" s="636">
        <f>HYPERLINK("[105_个别报表_2019年度_山东天安_V0.1.xlsx]Notes!CheckA"&amp;$D6510,$L$4086)</f>
        <v>0</v>
      </c>
      <c r="O6510" s="636">
        <f>HYPERLINK("[105_个别报表_2019年度_山东天安_V0.1.xlsx]Notes!CheckB"&amp;$D6510,$O$4086)</f>
        <v>0</v>
      </c>
    </row>
    <row r="6511" spans="1:15" ht="18">
      <c r="A6511" s="2717"/>
      <c r="D6511" s="369" t="s">
        <v>5587</v>
      </c>
      <c r="E6511" s="2721">
        <f t="shared" ref="E6511:E6574" si="658">IF(OR(L6511="#Logical!",O6511="#Logical!"),9,SUM(ABS(SUM(L6511)),ABS(SUM(O6511))))</f>
        <v>0</v>
      </c>
      <c r="F6511" s="287">
        <v>257</v>
      </c>
      <c r="G6511" s="288" t="s">
        <v>7084</v>
      </c>
      <c r="L6511" s="636" t="str">
        <f>HYPERLINK("[105_个别报表_2019年度_山东天安_V0.1.xlsx]Notes!CheckA"&amp;$D6511,$L$4098)</f>
        <v>F/S</v>
      </c>
      <c r="O6511" s="636" t="str">
        <f>HYPERLINK("[105_个别报表_2019年度_山东天安_V0.1.xlsx]Notes!CheckB"&amp;$D6511,$O$4098)</f>
        <v>F/S</v>
      </c>
    </row>
    <row r="6512" spans="1:15" ht="18">
      <c r="A6512" s="2717"/>
      <c r="D6512" s="369" t="s">
        <v>1682</v>
      </c>
      <c r="E6512" s="2721">
        <f t="shared" si="658"/>
        <v>0</v>
      </c>
      <c r="F6512" s="287">
        <v>258</v>
      </c>
      <c r="G6512" s="288" t="s">
        <v>7085</v>
      </c>
      <c r="L6512" s="636">
        <f>HYPERLINK("[105_个别报表_2019年度_山东天安_V0.1.xlsx]Notes!CheckA"&amp;$D6512,$L$4109)</f>
        <v>0</v>
      </c>
      <c r="O6512" s="636">
        <f>HYPERLINK("[105_个别报表_2019年度_山东天安_V0.1.xlsx]Notes!CheckB"&amp;$D6512,$O$4109)</f>
        <v>0</v>
      </c>
    </row>
    <row r="6513" spans="1:15" ht="18">
      <c r="A6513" s="2717"/>
      <c r="D6513" s="369" t="s">
        <v>1687</v>
      </c>
      <c r="E6513" s="2721">
        <f t="shared" si="658"/>
        <v>0</v>
      </c>
      <c r="F6513" s="287">
        <v>259</v>
      </c>
      <c r="G6513" s="288" t="s">
        <v>7086</v>
      </c>
      <c r="L6513" s="636" t="str">
        <f>HYPERLINK("[105_个别报表_2019年度_山东天安_V0.1.xlsx]Notes!CheckA"&amp;$D6513,$L$4120)</f>
        <v>F/S</v>
      </c>
      <c r="O6513" s="636" t="str">
        <f>HYPERLINK("[105_个别报表_2019年度_山东天安_V0.1.xlsx]Notes!CheckB"&amp;$D6513,$O$4120)</f>
        <v>F/S</v>
      </c>
    </row>
    <row r="6514" spans="1:15" ht="18">
      <c r="A6514" s="2717"/>
      <c r="D6514" s="369" t="s">
        <v>1692</v>
      </c>
      <c r="E6514" s="2721">
        <f t="shared" si="658"/>
        <v>0</v>
      </c>
      <c r="F6514" s="287">
        <v>260</v>
      </c>
      <c r="G6514" s="288" t="s">
        <v>7087</v>
      </c>
      <c r="L6514" s="636">
        <f>HYPERLINK("[105_个别报表_2019年度_山东天安_V0.1.xlsx]Notes!CheckA"&amp;$D6514,$L$4138)</f>
        <v>0</v>
      </c>
      <c r="O6514" s="636" t="str">
        <f>HYPERLINK("[105_个别报表_2019年度_山东天安_V0.1.xlsx]Notes!CheckB"&amp;$D6514,$O$4138)</f>
        <v/>
      </c>
    </row>
    <row r="6515" spans="1:15" ht="18">
      <c r="A6515" s="2717"/>
      <c r="D6515" s="369" t="s">
        <v>1697</v>
      </c>
      <c r="E6515" s="2721">
        <f t="shared" si="658"/>
        <v>0</v>
      </c>
      <c r="F6515" s="287">
        <v>261</v>
      </c>
      <c r="G6515" s="288" t="s">
        <v>7088</v>
      </c>
      <c r="L6515" s="636" t="str">
        <f>HYPERLINK("[105_个别报表_2019年度_山东天安_V0.1.xlsx]Notes!CheckA"&amp;$D6515,$L$4149)</f>
        <v>F/S</v>
      </c>
      <c r="O6515" s="636" t="str">
        <f>HYPERLINK("[105_个别报表_2019年度_山东天安_V0.1.xlsx]Notes!CheckB"&amp;$D6515,$O$4149)</f>
        <v>F/S</v>
      </c>
    </row>
    <row r="6516" spans="1:15" ht="18">
      <c r="A6516" s="2717"/>
      <c r="D6516" s="369" t="s">
        <v>1702</v>
      </c>
      <c r="E6516" s="2721">
        <f t="shared" si="658"/>
        <v>0</v>
      </c>
      <c r="F6516" s="287">
        <v>262</v>
      </c>
      <c r="G6516" s="288" t="s">
        <v>7089</v>
      </c>
      <c r="L6516" s="636">
        <f>HYPERLINK("[105_个别报表_2019年度_山东天安_V0.1.xlsx]Notes!CheckA"&amp;$D6516,$L$4159)</f>
        <v>0</v>
      </c>
      <c r="O6516" s="636" t="str">
        <f>HYPERLINK("[105_个别报表_2019年度_山东天安_V0.1.xlsx]Notes!CheckB"&amp;$D6516,$O$4159)</f>
        <v/>
      </c>
    </row>
    <row r="6517" spans="1:15" ht="18">
      <c r="A6517" s="2717"/>
      <c r="D6517" s="369" t="s">
        <v>1707</v>
      </c>
      <c r="E6517" s="2721">
        <f t="shared" si="658"/>
        <v>0</v>
      </c>
      <c r="F6517" s="287">
        <v>263</v>
      </c>
      <c r="G6517" s="288" t="s">
        <v>7090</v>
      </c>
      <c r="L6517" s="636" t="str">
        <f>HYPERLINK("[105_个别报表_2019年度_山东天安_V0.1.xlsx]Notes!CheckA"&amp;$D6517,$L$4170)</f>
        <v>F/S</v>
      </c>
      <c r="O6517" s="636" t="str">
        <f>HYPERLINK("[105_个别报表_2019年度_山东天安_V0.1.xlsx]Notes!CheckB"&amp;$D6517,$O$4170)</f>
        <v>F/S</v>
      </c>
    </row>
    <row r="6518" spans="1:15" ht="18">
      <c r="A6518" s="2717"/>
      <c r="D6518" s="369" t="s">
        <v>1712</v>
      </c>
      <c r="E6518" s="2721">
        <f t="shared" si="658"/>
        <v>0</v>
      </c>
      <c r="F6518" s="287">
        <v>264</v>
      </c>
      <c r="G6518" s="288" t="s">
        <v>7091</v>
      </c>
      <c r="L6518" s="636">
        <f>HYPERLINK("[105_个别报表_2019年度_山东天安_V0.1.xlsx]Notes!CheckA"&amp;$D6518,$L$4180)</f>
        <v>0</v>
      </c>
      <c r="O6518" s="636">
        <f>HYPERLINK("[105_个别报表_2019年度_山东天安_V0.1.xlsx]Notes!CheckB"&amp;$D6518,$O$4180)</f>
        <v>0</v>
      </c>
    </row>
    <row r="6519" spans="1:15" ht="18">
      <c r="A6519" s="2717"/>
      <c r="D6519" s="369" t="s">
        <v>1717</v>
      </c>
      <c r="E6519" s="2721">
        <f t="shared" si="658"/>
        <v>0</v>
      </c>
      <c r="F6519" s="287">
        <v>265</v>
      </c>
      <c r="G6519" s="288" t="s">
        <v>7092</v>
      </c>
      <c r="L6519" s="636">
        <f>HYPERLINK("[105_个别报表_2019年度_山东天安_V0.1.xlsx]Notes!CheckA"&amp;$D6519,$L$4200)</f>
        <v>0</v>
      </c>
      <c r="O6519" s="636">
        <f>HYPERLINK("[105_个别报表_2019年度_山东天安_V0.1.xlsx]Notes!CheckB"&amp;$D6519,$O$4200)</f>
        <v>0</v>
      </c>
    </row>
    <row r="6520" spans="1:15" ht="18">
      <c r="A6520" s="2717"/>
      <c r="D6520" s="369" t="s">
        <v>1722</v>
      </c>
      <c r="E6520" s="2721">
        <f t="shared" si="658"/>
        <v>0</v>
      </c>
      <c r="F6520" s="287">
        <v>266</v>
      </c>
      <c r="G6520" s="288" t="s">
        <v>7093</v>
      </c>
      <c r="L6520" s="636">
        <f>HYPERLINK("[105_个别报表_2019年度_山东天安_V0.1.xlsx]Notes!CheckA"&amp;$D6520,$L$4215)</f>
        <v>0</v>
      </c>
      <c r="O6520" s="636">
        <f>HYPERLINK("[105_个别报表_2019年度_山东天安_V0.1.xlsx]Notes!CheckB"&amp;$D6520,$O$4215)</f>
        <v>0</v>
      </c>
    </row>
    <row r="6521" spans="1:15" ht="18">
      <c r="A6521" s="2717"/>
      <c r="D6521" s="369" t="s">
        <v>1736</v>
      </c>
      <c r="E6521" s="2721">
        <f t="shared" si="658"/>
        <v>0</v>
      </c>
      <c r="F6521" s="287">
        <v>267</v>
      </c>
      <c r="G6521" s="288" t="s">
        <v>7094</v>
      </c>
      <c r="L6521" s="636">
        <f>HYPERLINK("[105_个别报表_2019年度_山东天安_V0.1.xlsx]Notes!CheckA"&amp;$D6521,$L$4224)</f>
        <v>0</v>
      </c>
      <c r="O6521" s="636">
        <f>HYPERLINK("[105_个别报表_2019年度_山东天安_V0.1.xlsx]Notes!CheckB"&amp;$D6521,$O$4224)</f>
        <v>0</v>
      </c>
    </row>
    <row r="6522" spans="1:15" ht="18">
      <c r="A6522" s="2717"/>
      <c r="D6522" s="369" t="s">
        <v>1741</v>
      </c>
      <c r="E6522" s="2721">
        <f t="shared" si="658"/>
        <v>0</v>
      </c>
      <c r="F6522" s="287">
        <v>268</v>
      </c>
      <c r="G6522" s="288" t="s">
        <v>7095</v>
      </c>
      <c r="L6522" s="636">
        <f>HYPERLINK("[105_个别报表_2019年度_山东天安_V0.1.xlsx]Notes!CheckA"&amp;$D6522,$L$4235)</f>
        <v>0</v>
      </c>
      <c r="O6522" s="636">
        <f>HYPERLINK("[105_个别报表_2019年度_山东天安_V0.1.xlsx]Notes!CheckB"&amp;$D6522,$O$4235)</f>
        <v>0</v>
      </c>
    </row>
    <row r="6523" spans="1:15" ht="18">
      <c r="A6523" s="2717"/>
      <c r="D6523" s="369" t="s">
        <v>1746</v>
      </c>
      <c r="E6523" s="2721">
        <f t="shared" si="658"/>
        <v>0</v>
      </c>
      <c r="F6523" s="287">
        <v>269</v>
      </c>
      <c r="G6523" s="288" t="s">
        <v>7096</v>
      </c>
      <c r="L6523" s="636" t="str">
        <f>HYPERLINK("[105_个别报表_2019年度_山东天安_V0.1.xlsx]Notes!CheckA"&amp;$D6523,$L$4249)</f>
        <v>F/S</v>
      </c>
      <c r="O6523" s="636" t="str">
        <f>HYPERLINK("[105_个别报表_2019年度_山东天安_V0.1.xlsx]Notes!CheckB"&amp;$D6523,$O$4249)</f>
        <v>F/S</v>
      </c>
    </row>
    <row r="6524" spans="1:15" ht="18">
      <c r="A6524" s="2717"/>
      <c r="D6524" s="369" t="s">
        <v>1751</v>
      </c>
      <c r="E6524" s="2721">
        <f t="shared" si="658"/>
        <v>0</v>
      </c>
      <c r="F6524" s="287">
        <v>270</v>
      </c>
      <c r="G6524" s="288" t="s">
        <v>7097</v>
      </c>
      <c r="L6524" s="636" t="str">
        <f>HYPERLINK("[105_个别报表_2019年度_山东天安_V0.1.xlsx]Notes!CheckA"&amp;$D6524,$L$4263)</f>
        <v>F/S</v>
      </c>
      <c r="O6524" s="636" t="str">
        <f>HYPERLINK("[105_个别报表_2019年度_山东天安_V0.1.xlsx]Notes!CheckB"&amp;$D6524,$O$4263)</f>
        <v>F/S</v>
      </c>
    </row>
    <row r="6525" spans="1:15" ht="18">
      <c r="A6525" s="2717"/>
      <c r="D6525" s="369" t="s">
        <v>1756</v>
      </c>
      <c r="E6525" s="2721">
        <f t="shared" si="658"/>
        <v>0</v>
      </c>
      <c r="F6525" s="287">
        <v>271</v>
      </c>
      <c r="G6525" s="288" t="s">
        <v>7098</v>
      </c>
      <c r="L6525" s="636">
        <f>HYPERLINK("[105_个别报表_2019年度_山东天安_V0.1.xlsx]Notes!CheckA"&amp;$D6525,$L$4271)</f>
        <v>0</v>
      </c>
      <c r="O6525" s="636">
        <f>HYPERLINK("[105_个别报表_2019年度_山东天安_V0.1.xlsx]Notes!CheckB"&amp;$D6525,$O$4271)</f>
        <v>0</v>
      </c>
    </row>
    <row r="6526" spans="1:15" ht="18">
      <c r="A6526" s="2717"/>
      <c r="D6526" s="369" t="s">
        <v>1761</v>
      </c>
      <c r="E6526" s="2721">
        <f t="shared" si="658"/>
        <v>0</v>
      </c>
      <c r="F6526" s="287">
        <v>272</v>
      </c>
      <c r="G6526" s="288" t="s">
        <v>7099</v>
      </c>
      <c r="L6526" s="636" t="str">
        <f>HYPERLINK("[105_个别报表_2019年度_山东天安_V0.1.xlsx]Notes!CheckA"&amp;$D6526,$L$4289)</f>
        <v>F/S</v>
      </c>
      <c r="O6526" s="636" t="str">
        <f>HYPERLINK("[105_个别报表_2019年度_山东天安_V0.1.xlsx]Notes!CheckB"&amp;$D6526,$O$4289)</f>
        <v>F/S</v>
      </c>
    </row>
    <row r="6527" spans="1:15" ht="18">
      <c r="A6527" s="2717"/>
      <c r="D6527" s="369" t="s">
        <v>1766</v>
      </c>
      <c r="E6527" s="2721">
        <f t="shared" si="658"/>
        <v>0</v>
      </c>
      <c r="F6527" s="287">
        <v>273</v>
      </c>
      <c r="G6527" s="288" t="s">
        <v>7100</v>
      </c>
      <c r="L6527" s="636">
        <f>HYPERLINK("[105_个别报表_2019年度_山东天安_V0.1.xlsx]Notes!CheckA"&amp;$D6527,$L$4299)</f>
        <v>0</v>
      </c>
      <c r="O6527" s="636">
        <f>HYPERLINK("[105_个别报表_2019年度_山东天安_V0.1.xlsx]Notes!CheckB"&amp;$D6527,$O$4299)</f>
        <v>0</v>
      </c>
    </row>
    <row r="6528" spans="1:15" ht="18">
      <c r="A6528" s="2717"/>
      <c r="D6528" s="369" t="s">
        <v>1774</v>
      </c>
      <c r="E6528" s="2721">
        <f t="shared" si="658"/>
        <v>0</v>
      </c>
      <c r="F6528" s="287">
        <v>274</v>
      </c>
      <c r="G6528" s="288" t="s">
        <v>7101</v>
      </c>
      <c r="L6528" s="636">
        <f>HYPERLINK("[105_个别报表_2019年度_山东天安_V0.1.xlsx]Notes!CheckA"&amp;$D6528,$L$4310)</f>
        <v>0</v>
      </c>
      <c r="O6528" s="636">
        <f>HYPERLINK("[105_个别报表_2019年度_山东天安_V0.1.xlsx]Notes!CheckB"&amp;$D6528,$O$4310)</f>
        <v>0</v>
      </c>
    </row>
    <row r="6529" spans="1:15" ht="18">
      <c r="A6529" s="2717"/>
      <c r="D6529" s="369" t="s">
        <v>1780</v>
      </c>
      <c r="E6529" s="2721">
        <f t="shared" si="658"/>
        <v>0</v>
      </c>
      <c r="F6529" s="287">
        <v>275</v>
      </c>
      <c r="G6529" s="288" t="s">
        <v>7102</v>
      </c>
      <c r="L6529" s="636" t="str">
        <f>HYPERLINK("[105_个别报表_2019年度_山东天安_V0.1.xlsx]Notes!CheckA"&amp;$D6529,$L$4319)</f>
        <v>F/S</v>
      </c>
      <c r="O6529" s="636" t="str">
        <f>HYPERLINK("[105_个别报表_2019年度_山东天安_V0.1.xlsx]Notes!CheckB"&amp;$D6529,$O$4319)</f>
        <v>F/S</v>
      </c>
    </row>
    <row r="6530" spans="1:15" ht="18">
      <c r="A6530" s="2717"/>
      <c r="D6530" s="369" t="s">
        <v>1790</v>
      </c>
      <c r="E6530" s="2721">
        <f t="shared" si="658"/>
        <v>0</v>
      </c>
      <c r="F6530" s="287">
        <v>276</v>
      </c>
      <c r="G6530" s="288" t="s">
        <v>7103</v>
      </c>
      <c r="L6530" s="636">
        <f>HYPERLINK("[105_个别报表_2019年度_山东天安_V0.1.xlsx]Notes!CheckA"&amp;$D6530,$L$4332)</f>
        <v>0</v>
      </c>
      <c r="O6530" s="636">
        <f>HYPERLINK("[105_个别报表_2019年度_山东天安_V0.1.xlsx]Notes!CheckB"&amp;$D6530,$O$4332)</f>
        <v>0</v>
      </c>
    </row>
    <row r="6531" spans="1:15" ht="18">
      <c r="A6531" s="2717"/>
      <c r="D6531" s="369" t="s">
        <v>1795</v>
      </c>
      <c r="E6531" s="2721">
        <f t="shared" si="658"/>
        <v>0</v>
      </c>
      <c r="F6531" s="287">
        <v>277</v>
      </c>
      <c r="G6531" s="288" t="s">
        <v>7104</v>
      </c>
      <c r="L6531" s="636" t="str">
        <f>HYPERLINK("[105_个别报表_2019年度_山东天安_V0.1.xlsx]Notes!CheckA"&amp;$D6531,$L$4342)</f>
        <v>F/S</v>
      </c>
      <c r="O6531" s="636" t="str">
        <f>HYPERLINK("[105_个别报表_2019年度_山东天安_V0.1.xlsx]Notes!CheckB"&amp;$D6531,$O$4342)</f>
        <v>F/S</v>
      </c>
    </row>
    <row r="6532" spans="1:15" ht="18">
      <c r="A6532" s="2717"/>
      <c r="D6532" s="369" t="s">
        <v>1785</v>
      </c>
      <c r="E6532" s="2721">
        <f t="shared" si="658"/>
        <v>0</v>
      </c>
      <c r="F6532" s="287">
        <v>278</v>
      </c>
      <c r="G6532" s="288" t="s">
        <v>7105</v>
      </c>
      <c r="L6532" s="636" t="str">
        <f>HYPERLINK("[105_个别报表_2019年度_山东天安_V0.1.xlsx]Notes!CheckA"&amp;$D6532,$L$4353)</f>
        <v>F/S</v>
      </c>
      <c r="O6532" s="636" t="str">
        <f>HYPERLINK("[105_个别报表_2019年度_山东天安_V0.1.xlsx]Notes!CheckB"&amp;$D6532,$O$4353)</f>
        <v>F/S</v>
      </c>
    </row>
    <row r="6533" spans="1:15" ht="18">
      <c r="A6533" s="2717"/>
      <c r="D6533" s="369" t="s">
        <v>1828</v>
      </c>
      <c r="E6533" s="2721">
        <f t="shared" si="658"/>
        <v>0</v>
      </c>
      <c r="F6533" s="287">
        <v>279</v>
      </c>
      <c r="G6533" s="288" t="s">
        <v>7106</v>
      </c>
      <c r="L6533" s="636" t="str">
        <f>HYPERLINK("[105_个别报表_2019年度_山东天安_V0.1.xlsx]Notes!CheckA"&amp;$D6533,$L$4362)</f>
        <v>F/S</v>
      </c>
      <c r="O6533" s="636" t="str">
        <f>HYPERLINK("[105_个别报表_2019年度_山东天安_V0.1.xlsx]Notes!CheckB"&amp;$D6533,$O$4362)</f>
        <v>F/S</v>
      </c>
    </row>
    <row r="6534" spans="1:15" ht="18">
      <c r="A6534" s="2717"/>
      <c r="D6534" s="369" t="s">
        <v>1831</v>
      </c>
      <c r="E6534" s="2721">
        <f t="shared" si="658"/>
        <v>0</v>
      </c>
      <c r="F6534" s="287">
        <v>280</v>
      </c>
      <c r="G6534" s="288" t="s">
        <v>7107</v>
      </c>
      <c r="L6534" s="636" t="str">
        <f>HYPERLINK("[105_个别报表_2019年度_山东天安_V0.1.xlsx]Notes!CheckA"&amp;$D6534,$L$4369)</f>
        <v>F/S</v>
      </c>
      <c r="O6534" s="636" t="str">
        <f>HYPERLINK("[105_个别报表_2019年度_山东天安_V0.1.xlsx]Notes!CheckB"&amp;$D6534,$O$4369)</f>
        <v>F/S</v>
      </c>
    </row>
    <row r="6535" spans="1:15" ht="18">
      <c r="A6535" s="2717"/>
      <c r="D6535" s="369" t="s">
        <v>1837</v>
      </c>
      <c r="E6535" s="2721">
        <f t="shared" si="658"/>
        <v>0</v>
      </c>
      <c r="F6535" s="287">
        <v>281</v>
      </c>
      <c r="G6535" s="288" t="s">
        <v>7108</v>
      </c>
      <c r="L6535" s="636" t="str">
        <f>HYPERLINK("[105_个别报表_2019年度_山东天安_V0.1.xlsx]Notes!CheckA"&amp;$D6535,$L$4415)</f>
        <v>F/S</v>
      </c>
      <c r="O6535" s="636" t="str">
        <f>HYPERLINK("[105_个别报表_2019年度_山东天安_V0.1.xlsx]Notes!CheckB"&amp;$D6535,$O$4415)</f>
        <v>F/S</v>
      </c>
    </row>
    <row r="6536" spans="1:15" ht="18">
      <c r="A6536" s="2717"/>
      <c r="D6536" s="369" t="s">
        <v>1805</v>
      </c>
      <c r="E6536" s="2721">
        <f t="shared" si="658"/>
        <v>0</v>
      </c>
      <c r="F6536" s="287">
        <v>282</v>
      </c>
      <c r="G6536" s="288" t="s">
        <v>7109</v>
      </c>
      <c r="L6536" s="636" t="str">
        <f>HYPERLINK("[105_个别报表_2019年度_山东天安_V0.1.xlsx]Notes!CheckA"&amp;$D6536,$L$4426)</f>
        <v>F/S</v>
      </c>
      <c r="O6536" s="636" t="str">
        <f>HYPERLINK("[105_个别报表_2019年度_山东天安_V0.1.xlsx]Notes!CheckB"&amp;$D6536,$O$4426)</f>
        <v>F/S</v>
      </c>
    </row>
    <row r="6537" spans="1:15" ht="18">
      <c r="A6537" s="2717"/>
      <c r="D6537" s="369" t="s">
        <v>1815</v>
      </c>
      <c r="E6537" s="2721">
        <f t="shared" si="658"/>
        <v>0</v>
      </c>
      <c r="F6537" s="287">
        <v>283</v>
      </c>
      <c r="G6537" s="288" t="s">
        <v>7110</v>
      </c>
      <c r="L6537" s="636" t="str">
        <f>HYPERLINK("[105_个别报表_2019年度_山东天安_V0.1.xlsx]Notes!CheckA"&amp;$D6537,$L$4451)</f>
        <v>F/S</v>
      </c>
      <c r="O6537" s="636" t="str">
        <f>HYPERLINK("[105_个别报表_2019年度_山东天安_V0.1.xlsx]Notes!CheckB"&amp;$D6537,$O$4451)</f>
        <v>F/S</v>
      </c>
    </row>
    <row r="6538" spans="1:15" ht="18">
      <c r="A6538" s="2717"/>
      <c r="D6538" s="369" t="s">
        <v>1820</v>
      </c>
      <c r="E6538" s="2721">
        <f t="shared" si="658"/>
        <v>0</v>
      </c>
      <c r="F6538" s="287">
        <v>284</v>
      </c>
      <c r="G6538" s="288" t="s">
        <v>7111</v>
      </c>
      <c r="L6538" s="636" t="str">
        <f>HYPERLINK("[105_个别报表_2019年度_山东天安_V0.1.xlsx]Notes!CheckA"&amp;$D6538,$L$4459)</f>
        <v>F/S</v>
      </c>
      <c r="O6538" s="636" t="str">
        <f>HYPERLINK("[105_个别报表_2019年度_山东天安_V0.1.xlsx]Notes!CheckB"&amp;$D6538,$O$4459)</f>
        <v>F/S</v>
      </c>
    </row>
    <row r="6539" spans="1:15" ht="18">
      <c r="A6539" s="2717"/>
      <c r="D6539" s="369" t="s">
        <v>1824</v>
      </c>
      <c r="E6539" s="2721">
        <f t="shared" si="658"/>
        <v>0</v>
      </c>
      <c r="F6539" s="287">
        <v>285</v>
      </c>
      <c r="G6539" s="288" t="s">
        <v>7112</v>
      </c>
      <c r="L6539" s="636">
        <f>HYPERLINK("[105_个别报表_2019年度_山东天安_V0.1.xlsx]Notes!CheckA"&amp;$D6539,$L$4476)</f>
        <v>0</v>
      </c>
      <c r="O6539" s="636">
        <f>HYPERLINK("[105_个别报表_2019年度_山东天安_V0.1.xlsx]Notes!CheckB"&amp;$D6539,$O$4476)</f>
        <v>0</v>
      </c>
    </row>
    <row r="6540" spans="1:15" ht="18">
      <c r="A6540" s="2717"/>
      <c r="D6540" s="369" t="s">
        <v>1844</v>
      </c>
      <c r="E6540" s="2721">
        <f t="shared" si="658"/>
        <v>418770842.07999998</v>
      </c>
      <c r="F6540" s="287">
        <v>286</v>
      </c>
      <c r="G6540" s="288" t="s">
        <v>7113</v>
      </c>
      <c r="L6540" s="636">
        <f>HYPERLINK("[105_个别报表_2019年度_山东天安_V0.1.xlsx]Notes!CheckA"&amp;$D6540,$L$4490)</f>
        <v>-231319311.91</v>
      </c>
      <c r="O6540" s="636">
        <f>HYPERLINK("[105_个别报表_2019年度_山东天安_V0.1.xlsx]Notes!CheckB"&amp;$D6540,$O$4490)</f>
        <v>-187451530.16999999</v>
      </c>
    </row>
    <row r="6541" spans="1:15" ht="18">
      <c r="A6541" s="2717"/>
      <c r="D6541" s="369" t="s">
        <v>1848</v>
      </c>
      <c r="E6541" s="2721">
        <f t="shared" si="658"/>
        <v>0</v>
      </c>
      <c r="F6541" s="287">
        <v>287</v>
      </c>
      <c r="G6541" s="288" t="s">
        <v>7114</v>
      </c>
      <c r="L6541" s="636" t="str">
        <f>HYPERLINK("[105_个别报表_2019年度_山东天安_V0.1.xlsx]Notes!CheckA"&amp;$D6541,$L$4500)</f>
        <v>F/S</v>
      </c>
      <c r="O6541" s="636" t="str">
        <f>HYPERLINK("[105_个别报表_2019年度_山东天安_V0.1.xlsx]Notes!CheckB"&amp;$D6541,$O$4500)</f>
        <v>F/S</v>
      </c>
    </row>
    <row r="6542" spans="1:15" ht="18">
      <c r="A6542" s="2717"/>
      <c r="D6542" s="369" t="s">
        <v>1851</v>
      </c>
      <c r="E6542" s="2721">
        <f t="shared" si="658"/>
        <v>0</v>
      </c>
      <c r="F6542" s="287">
        <v>288</v>
      </c>
      <c r="G6542" s="288" t="s">
        <v>7115</v>
      </c>
      <c r="L6542" s="636" t="str">
        <f>HYPERLINK("[105_个别报表_2019年度_山东天安_V0.1.xlsx]Notes!CheckA"&amp;$D6542,$L$4509)</f>
        <v>F/S</v>
      </c>
      <c r="O6542" s="636" t="str">
        <f>HYPERLINK("[105_个别报表_2019年度_山东天安_V0.1.xlsx]Notes!CheckB"&amp;$D6542,$O$4509)</f>
        <v>F/S</v>
      </c>
    </row>
    <row r="6543" spans="1:15" ht="18">
      <c r="A6543" s="2717"/>
      <c r="D6543" s="369" t="s">
        <v>1854</v>
      </c>
      <c r="E6543" s="2721">
        <f t="shared" si="658"/>
        <v>0</v>
      </c>
      <c r="F6543" s="287">
        <v>289</v>
      </c>
      <c r="G6543" s="288" t="s">
        <v>7116</v>
      </c>
      <c r="L6543" s="636" t="str">
        <f>HYPERLINK("[105_个别报表_2019年度_山东天安_V0.1.xlsx]Notes!CheckA"&amp;$D6543,$L$4518)</f>
        <v>F/S</v>
      </c>
      <c r="O6543" s="636" t="str">
        <f>HYPERLINK("[105_个别报表_2019年度_山东天安_V0.1.xlsx]Notes!CheckB"&amp;$D6543,$O$4518)</f>
        <v>F/S</v>
      </c>
    </row>
    <row r="6544" spans="1:15" ht="18">
      <c r="A6544" s="2717"/>
      <c r="D6544" s="369" t="s">
        <v>1859</v>
      </c>
      <c r="E6544" s="2721">
        <f t="shared" si="658"/>
        <v>100049697.78</v>
      </c>
      <c r="F6544" s="287">
        <v>290</v>
      </c>
      <c r="G6544" s="288" t="s">
        <v>7117</v>
      </c>
      <c r="L6544" s="636" t="str">
        <f>HYPERLINK("[105_个别报表_2019年度_山东天安_V0.1.xlsx]Notes!CheckA"&amp;$D6544,$L$4542)</f>
        <v>F/S</v>
      </c>
      <c r="O6544" s="636">
        <f>HYPERLINK("[105_个别报表_2019年度_山东天安_V0.1.xlsx]Notes!CheckB"&amp;$D6544,$O$4542)</f>
        <v>100049697.78</v>
      </c>
    </row>
    <row r="6545" spans="1:15" ht="18">
      <c r="A6545" s="2717"/>
      <c r="D6545" s="369" t="s">
        <v>1863</v>
      </c>
      <c r="E6545" s="2721">
        <f t="shared" si="658"/>
        <v>100049697.78</v>
      </c>
      <c r="F6545" s="287">
        <v>291</v>
      </c>
      <c r="G6545" s="288" t="s">
        <v>7118</v>
      </c>
      <c r="L6545" s="636" t="str">
        <f>HYPERLINK("[105_个别报表_2019年度_山东天安_V0.1.xlsx]Notes!CheckA"&amp;$D6545,$L$4565)</f>
        <v>F/S</v>
      </c>
      <c r="O6545" s="636">
        <f>HYPERLINK("[105_个别报表_2019年度_山东天安_V0.1.xlsx]Notes!CheckB"&amp;$D6545,$O$4565)</f>
        <v>100049697.78</v>
      </c>
    </row>
    <row r="6546" spans="1:15" ht="18">
      <c r="A6546" s="2717"/>
      <c r="D6546" s="369" t="s">
        <v>1868</v>
      </c>
      <c r="E6546" s="2721">
        <f t="shared" si="658"/>
        <v>0</v>
      </c>
      <c r="F6546" s="287">
        <v>292</v>
      </c>
      <c r="G6546" s="288" t="s">
        <v>7119</v>
      </c>
      <c r="L6546" s="636">
        <f>HYPERLINK("[105_个别报表_2019年度_山东天安_V0.1.xlsx]Notes!CheckA"&amp;$D6546,$L$4584)</f>
        <v>0</v>
      </c>
      <c r="O6546" s="636">
        <f>HYPERLINK("[105_个别报表_2019年度_山东天安_V0.1.xlsx]Notes!CheckB"&amp;$D6546,$O$4584)</f>
        <v>0</v>
      </c>
    </row>
    <row r="6547" spans="1:15" ht="18">
      <c r="A6547" s="2717"/>
      <c r="D6547" s="369" t="s">
        <v>1872</v>
      </c>
      <c r="E6547" s="2721">
        <f t="shared" si="658"/>
        <v>0</v>
      </c>
      <c r="F6547" s="287">
        <v>293</v>
      </c>
      <c r="G6547" s="288" t="s">
        <v>7120</v>
      </c>
      <c r="L6547" s="636">
        <f>HYPERLINK("[105_个别报表_2019年度_山东天安_V0.1.xlsx]Notes!CheckA"&amp;$D6547,$L$4599)</f>
        <v>0</v>
      </c>
      <c r="O6547" s="636">
        <f>HYPERLINK("[105_个别报表_2019年度_山东天安_V0.1.xlsx]Notes!CheckB"&amp;$D6547,$O$4599)</f>
        <v>0</v>
      </c>
    </row>
    <row r="6548" spans="1:15" ht="18">
      <c r="A6548" s="2717"/>
      <c r="D6548" s="369" t="s">
        <v>1840</v>
      </c>
      <c r="E6548" s="2721">
        <f t="shared" si="658"/>
        <v>0</v>
      </c>
      <c r="F6548" s="287">
        <v>294</v>
      </c>
      <c r="G6548" s="288" t="s">
        <v>7121</v>
      </c>
      <c r="L6548" s="636">
        <f>HYPERLINK("[105_个别报表_2019年度_山东天安_V0.1.xlsx]Notes!CheckA"&amp;$D6548,$L$4614)</f>
        <v>0</v>
      </c>
      <c r="O6548" s="636">
        <f>HYPERLINK("[105_个别报表_2019年度_山东天安_V0.1.xlsx]Notes!CheckB"&amp;$D6548,$O$4614)</f>
        <v>0</v>
      </c>
    </row>
    <row r="6549" spans="1:15" ht="18">
      <c r="A6549" s="2717"/>
      <c r="D6549" s="369" t="s">
        <v>1894</v>
      </c>
      <c r="E6549" s="2721">
        <f t="shared" si="658"/>
        <v>0</v>
      </c>
      <c r="F6549" s="287">
        <v>295</v>
      </c>
      <c r="G6549" s="288" t="s">
        <v>7122</v>
      </c>
      <c r="L6549" s="636">
        <f>HYPERLINK("[105_个别报表_2019年度_山东天安_V0.1.xlsx]Notes!CheckA"&amp;$D6549,$L$4624)</f>
        <v>0</v>
      </c>
      <c r="O6549" s="636">
        <f>HYPERLINK("[105_个别报表_2019年度_山东天安_V0.1.xlsx]Notes!CheckB"&amp;$D6549,$O$4624)</f>
        <v>0</v>
      </c>
    </row>
    <row r="6550" spans="1:15" ht="18">
      <c r="A6550" s="2717"/>
      <c r="D6550" s="369" t="s">
        <v>1897</v>
      </c>
      <c r="E6550" s="2721">
        <f t="shared" si="658"/>
        <v>6554133.3899999997</v>
      </c>
      <c r="F6550" s="287">
        <v>296</v>
      </c>
      <c r="G6550" s="288" t="s">
        <v>4248</v>
      </c>
      <c r="L6550" s="636" t="str">
        <f>HYPERLINK("[105_个别报表_2019年度_山东天安_V0.1.xlsx]Notes!CheckA"&amp;$D6550,$L$4635)</f>
        <v>F/S</v>
      </c>
      <c r="O6550" s="636">
        <f>HYPERLINK("[105_个别报表_2019年度_山东天安_V0.1.xlsx]Notes!CheckB"&amp;$D6550,$O$4635)</f>
        <v>6554133.3899999997</v>
      </c>
    </row>
    <row r="6551" spans="1:15" ht="18">
      <c r="A6551" s="2717"/>
      <c r="D6551" s="369" t="s">
        <v>1901</v>
      </c>
      <c r="E6551" s="2721">
        <f t="shared" si="658"/>
        <v>0</v>
      </c>
      <c r="F6551" s="287">
        <v>297</v>
      </c>
      <c r="G6551" s="288" t="s">
        <v>7123</v>
      </c>
      <c r="L6551" s="636">
        <f>HYPERLINK("[105_个别报表_2019年度_山东天安_V0.1.xlsx]Notes!CheckA"&amp;$D6551,$L$4654)</f>
        <v>0</v>
      </c>
      <c r="O6551" s="636">
        <f>HYPERLINK("[105_个别报表_2019年度_山东天安_V0.1.xlsx]Notes!CheckB"&amp;$D6551,$O$4654)</f>
        <v>0</v>
      </c>
    </row>
    <row r="6552" spans="1:15" ht="18">
      <c r="A6552" s="2717"/>
      <c r="D6552" s="369" t="s">
        <v>1905</v>
      </c>
      <c r="E6552" s="2721">
        <f t="shared" si="658"/>
        <v>2</v>
      </c>
      <c r="F6552" s="287">
        <v>298</v>
      </c>
      <c r="G6552" s="288" t="s">
        <v>7124</v>
      </c>
      <c r="L6552" s="636">
        <f>HYPERLINK("[105_个别报表_2019年度_山东天安_V0.1.xlsx]Notes!CheckA"&amp;$D6552,$L$4665)</f>
        <v>1</v>
      </c>
      <c r="O6552" s="636">
        <f>HYPERLINK("[105_个别报表_2019年度_山东天安_V0.1.xlsx]Notes!CheckB"&amp;$D6552,$O$4665)</f>
        <v>1</v>
      </c>
    </row>
    <row r="6553" spans="1:15" ht="18">
      <c r="A6553" s="2717"/>
      <c r="D6553" s="369" t="s">
        <v>1910</v>
      </c>
      <c r="E6553" s="2721">
        <f t="shared" si="658"/>
        <v>9</v>
      </c>
      <c r="F6553" s="287">
        <v>299</v>
      </c>
      <c r="G6553" s="288" t="s">
        <v>7125</v>
      </c>
      <c r="L6553" s="636" t="str">
        <f>HYPERLINK("[105_个别报表_2019年度_山东天安_V0.1.xlsx]Notes!CheckA"&amp;$D6553,$L$4685)</f>
        <v>#Logical!</v>
      </c>
      <c r="O6553" s="636" t="str">
        <f>HYPERLINK("[105_个别报表_2019年度_山东天安_V0.1.xlsx]Notes!CheckB"&amp;$D6553,$O$4685)</f>
        <v/>
      </c>
    </row>
    <row r="6554" spans="1:15" ht="18">
      <c r="A6554" s="2717"/>
      <c r="D6554" s="369" t="s">
        <v>1913</v>
      </c>
      <c r="E6554" s="2721">
        <f t="shared" si="658"/>
        <v>1</v>
      </c>
      <c r="F6554" s="287">
        <v>300</v>
      </c>
      <c r="G6554" s="288" t="s">
        <v>7126</v>
      </c>
      <c r="L6554" s="636">
        <f>HYPERLINK("[105_个别报表_2019年度_山东天安_V0.1.xlsx]Notes!CheckA"&amp;$D6554,$L$4696)</f>
        <v>1</v>
      </c>
      <c r="O6554" s="636">
        <f>HYPERLINK("[105_个别报表_2019年度_山东天安_V0.1.xlsx]Notes!CheckB"&amp;$D6554,$O$4696)</f>
        <v>0</v>
      </c>
    </row>
    <row r="6555" spans="1:15" ht="18">
      <c r="A6555" s="2717"/>
      <c r="D6555" s="369" t="s">
        <v>1916</v>
      </c>
      <c r="E6555" s="2721">
        <f t="shared" si="658"/>
        <v>0</v>
      </c>
      <c r="F6555" s="287">
        <v>301</v>
      </c>
      <c r="G6555" s="288" t="s">
        <v>7127</v>
      </c>
      <c r="L6555" s="636">
        <f>HYPERLINK("[105_个别报表_2019年度_山东天安_V0.1.xlsx]Notes!CheckA"&amp;$D6555,$L$4716)</f>
        <v>0</v>
      </c>
      <c r="O6555" s="636">
        <f>HYPERLINK("[105_个别报表_2019年度_山东天安_V0.1.xlsx]Notes!CheckB"&amp;$D6555,$O$4716)</f>
        <v>0</v>
      </c>
    </row>
    <row r="6556" spans="1:15" ht="18">
      <c r="A6556" s="2717"/>
      <c r="D6556" s="369" t="s">
        <v>1924</v>
      </c>
      <c r="E6556" s="2721">
        <f t="shared" si="658"/>
        <v>0</v>
      </c>
      <c r="F6556" s="287">
        <v>302</v>
      </c>
      <c r="G6556" s="288" t="s">
        <v>7128</v>
      </c>
      <c r="L6556" s="636" t="str">
        <f>HYPERLINK("[105_个别报表_2019年度_山东天安_V0.1.xlsx]Notes!CheckA"&amp;$D6556,$L$4727)</f>
        <v>F/S</v>
      </c>
      <c r="O6556" s="636" t="str">
        <f>HYPERLINK("[105_个别报表_2019年度_山东天安_V0.1.xlsx]Notes!CheckB"&amp;$D6556,$O$4727)</f>
        <v>F/S</v>
      </c>
    </row>
    <row r="6557" spans="1:15" ht="18">
      <c r="A6557" s="2717"/>
      <c r="D6557" s="369" t="s">
        <v>6167</v>
      </c>
      <c r="E6557" s="2721">
        <f t="shared" si="658"/>
        <v>0</v>
      </c>
      <c r="F6557" s="287">
        <v>303</v>
      </c>
      <c r="G6557" s="288" t="s">
        <v>7129</v>
      </c>
      <c r="L6557" s="636" t="str">
        <f>HYPERLINK("[105_个别报表_2019年度_山东天安_V0.1.xlsx]Notes!CheckA"&amp;$D6557,$L$4738)</f>
        <v>F/S</v>
      </c>
      <c r="O6557" s="636" t="str">
        <f>HYPERLINK("[105_个别报表_2019年度_山东天安_V0.1.xlsx]Notes!CheckB"&amp;$D6557,$O$4738)</f>
        <v>F/S</v>
      </c>
    </row>
    <row r="6558" spans="1:15" ht="18">
      <c r="A6558" s="2717"/>
      <c r="D6558" s="369" t="s">
        <v>1919</v>
      </c>
      <c r="E6558" s="2721">
        <f t="shared" si="658"/>
        <v>2</v>
      </c>
      <c r="F6558" s="287">
        <v>304</v>
      </c>
      <c r="G6558" s="288" t="s">
        <v>7130</v>
      </c>
      <c r="L6558" s="636">
        <f>HYPERLINK("[105_个别报表_2019年度_山东天安_V0.1.xlsx]Notes!CheckA"&amp;$D6558,$L$4752)</f>
        <v>1</v>
      </c>
      <c r="O6558" s="636">
        <f>HYPERLINK("[105_个别报表_2019年度_山东天安_V0.1.xlsx]Notes!CheckB"&amp;$D6558,$O$4752)</f>
        <v>1</v>
      </c>
    </row>
    <row r="6559" spans="1:15" ht="18">
      <c r="A6559" s="2717"/>
      <c r="D6559" s="369" t="s">
        <v>1922</v>
      </c>
      <c r="E6559" s="2721">
        <f t="shared" si="658"/>
        <v>0</v>
      </c>
      <c r="F6559" s="287">
        <v>305</v>
      </c>
      <c r="G6559" s="288" t="s">
        <v>7131</v>
      </c>
      <c r="L6559" s="636">
        <f>HYPERLINK("[105_个别报表_2019年度_山东天安_V0.1.xlsx]Notes!CheckA"&amp;$D6559,$L$4767)</f>
        <v>0</v>
      </c>
      <c r="O6559" s="636">
        <f>HYPERLINK("[105_个别报表_2019年度_山东天安_V0.1.xlsx]Notes!CheckB"&amp;$D6559,$O$4767)</f>
        <v>0</v>
      </c>
    </row>
    <row r="6560" spans="1:15" ht="18">
      <c r="A6560" s="2717"/>
      <c r="D6560" s="369" t="s">
        <v>1891</v>
      </c>
      <c r="E6560" s="2721">
        <f t="shared" si="658"/>
        <v>0</v>
      </c>
      <c r="F6560" s="287">
        <v>306</v>
      </c>
      <c r="G6560" s="288" t="s">
        <v>7132</v>
      </c>
      <c r="L6560" s="636" t="str">
        <f>HYPERLINK("[105_个别报表_2019年度_山东天安_V0.1.xlsx]Notes!CheckA"&amp;$D6560,$L$4778)</f>
        <v>F/S</v>
      </c>
      <c r="O6560" s="636" t="str">
        <f>HYPERLINK("[105_个别报表_2019年度_山东天安_V0.1.xlsx]Notes!CheckB"&amp;$D6560,$O$4778)</f>
        <v>F/S</v>
      </c>
    </row>
    <row r="6561" spans="1:15" ht="18">
      <c r="A6561" s="2717"/>
      <c r="D6561" s="369" t="s">
        <v>1885</v>
      </c>
      <c r="E6561" s="2721">
        <f t="shared" si="658"/>
        <v>300300</v>
      </c>
      <c r="F6561" s="287">
        <v>307</v>
      </c>
      <c r="G6561" s="288" t="s">
        <v>7133</v>
      </c>
      <c r="L6561" s="636" t="str">
        <f>HYPERLINK("[105_个别报表_2019年度_山东天安_V0.1.xlsx]Notes!CheckA"&amp;$D6561,$L$4801)</f>
        <v>F/S</v>
      </c>
      <c r="O6561" s="636">
        <f>HYPERLINK("[105_个别报表_2019年度_山东天安_V0.1.xlsx]Notes!CheckB"&amp;$D6561,$O$4801)</f>
        <v>300300</v>
      </c>
    </row>
    <row r="6562" spans="1:15" ht="18">
      <c r="A6562" s="2717"/>
      <c r="D6562" s="369" t="s">
        <v>1882</v>
      </c>
      <c r="E6562" s="2721">
        <f t="shared" si="658"/>
        <v>0</v>
      </c>
      <c r="F6562" s="287">
        <v>308</v>
      </c>
      <c r="G6562" s="288" t="s">
        <v>7134</v>
      </c>
      <c r="L6562" s="636" t="str">
        <f>HYPERLINK("[105_个别报表_2019年度_山东天安_V0.1.xlsx]Notes!CheckA"&amp;$D6562,$L$4823)</f>
        <v>F/S</v>
      </c>
      <c r="O6562" s="636" t="str">
        <f>HYPERLINK("[105_个别报表_2019年度_山东天安_V0.1.xlsx]Notes!CheckB"&amp;$D6562,$O$4823)</f>
        <v>F/S</v>
      </c>
    </row>
    <row r="6563" spans="1:15" ht="18">
      <c r="A6563" s="2717"/>
      <c r="D6563" s="369" t="s">
        <v>6089</v>
      </c>
      <c r="E6563" s="2721">
        <f t="shared" si="658"/>
        <v>0</v>
      </c>
      <c r="F6563" s="287">
        <v>309</v>
      </c>
      <c r="G6563" s="288" t="s">
        <v>7135</v>
      </c>
      <c r="L6563" s="636" t="str">
        <f>HYPERLINK("[105_个别报表_2019年度_山东天安_V0.1.xlsx]Notes!CheckA"&amp;$D6563,$L$4837)</f>
        <v>F/S</v>
      </c>
      <c r="O6563" s="636" t="str">
        <f>HYPERLINK("[105_个别报表_2019年度_山东天安_V0.1.xlsx]Notes!CheckB"&amp;$D6563,$O$4837)</f>
        <v>F/S</v>
      </c>
    </row>
    <row r="6564" spans="1:15" ht="18">
      <c r="A6564" s="2717"/>
      <c r="D6564" s="369" t="s">
        <v>1930</v>
      </c>
      <c r="E6564" s="2721">
        <f t="shared" si="658"/>
        <v>0</v>
      </c>
      <c r="F6564" s="287">
        <v>310</v>
      </c>
      <c r="G6564" s="288" t="s">
        <v>7136</v>
      </c>
      <c r="L6564" s="636" t="str">
        <f>HYPERLINK("[105_个别报表_2019年度_山东天安_V0.1.xlsx]Notes!CheckA"&amp;$D6564,$L$4864)</f>
        <v>F/S</v>
      </c>
      <c r="O6564" s="636" t="str">
        <f>HYPERLINK("[105_个别报表_2019年度_山东天安_V0.1.xlsx]Notes!CheckB"&amp;$D6564,$O$4864)</f>
        <v>F/S</v>
      </c>
    </row>
    <row r="6565" spans="1:15" ht="18">
      <c r="A6565" s="2717"/>
      <c r="D6565" s="369" t="s">
        <v>1927</v>
      </c>
      <c r="E6565" s="2721">
        <f t="shared" si="658"/>
        <v>9046997.6899999995</v>
      </c>
      <c r="F6565" s="287">
        <v>311</v>
      </c>
      <c r="G6565" s="288" t="s">
        <v>7137</v>
      </c>
      <c r="L6565" s="636" t="str">
        <f>HYPERLINK("[105_个别报表_2019年度_山东天安_V0.1.xlsx]Notes!CheckA"&amp;$D6565,$L$4878)</f>
        <v>F/S</v>
      </c>
      <c r="O6565" s="636">
        <f>HYPERLINK("[105_个别报表_2019年度_山东天安_V0.1.xlsx]Notes!CheckB"&amp;$D6565,$O$4878)</f>
        <v>-9046997.6899999995</v>
      </c>
    </row>
    <row r="6566" spans="1:15" ht="18">
      <c r="A6566" s="2717"/>
      <c r="D6566" s="369" t="s">
        <v>1888</v>
      </c>
      <c r="E6566" s="2721">
        <f t="shared" si="658"/>
        <v>0</v>
      </c>
      <c r="F6566" s="287">
        <v>312</v>
      </c>
      <c r="G6566" s="288" t="s">
        <v>7138</v>
      </c>
      <c r="L6566" s="636" t="str">
        <f>HYPERLINK("[105_个别报表_2019年度_山东天安_V0.1.xlsx]Notes!CheckA"&amp;$D6566,$L$4900)</f>
        <v>F/S</v>
      </c>
      <c r="O6566" s="636" t="str">
        <f>HYPERLINK("[105_个别报表_2019年度_山东天安_V0.1.xlsx]Notes!CheckB"&amp;$D6566,$O$4900)</f>
        <v>F/S</v>
      </c>
    </row>
    <row r="6567" spans="1:15" ht="18">
      <c r="A6567" s="2717"/>
      <c r="D6567" s="369" t="s">
        <v>1933</v>
      </c>
      <c r="E6567" s="2721">
        <f t="shared" si="658"/>
        <v>52566.02</v>
      </c>
      <c r="F6567" s="287">
        <v>313</v>
      </c>
      <c r="G6567" s="288" t="s">
        <v>7139</v>
      </c>
      <c r="L6567" s="636" t="str">
        <f>HYPERLINK("[105_个别报表_2019年度_山东天安_V0.1.xlsx]Notes!CheckA"&amp;$D6567,$L$4915)</f>
        <v>F/S</v>
      </c>
      <c r="O6567" s="636">
        <f>HYPERLINK("[105_个别报表_2019年度_山东天安_V0.1.xlsx]Notes!CheckB"&amp;$D6567,$O$4915)</f>
        <v>52566.02</v>
      </c>
    </row>
    <row r="6568" spans="1:15" ht="18">
      <c r="A6568" s="2717"/>
      <c r="D6568" s="369" t="s">
        <v>1935</v>
      </c>
      <c r="E6568" s="2721">
        <f t="shared" si="658"/>
        <v>0</v>
      </c>
      <c r="F6568" s="287">
        <v>314</v>
      </c>
      <c r="G6568" s="288" t="s">
        <v>7140</v>
      </c>
      <c r="L6568" s="636">
        <f>HYPERLINK("[105_个别报表_2019年度_山东天安_V0.1.xlsx]Notes!CheckA"&amp;$D6568,$L$4928)</f>
        <v>0</v>
      </c>
      <c r="O6568" s="636">
        <f>HYPERLINK("[105_个别报表_2019年度_山东天安_V0.1.xlsx]Notes!CheckB"&amp;$D6568,$O$4928)</f>
        <v>0</v>
      </c>
    </row>
    <row r="6569" spans="1:15" ht="18">
      <c r="A6569" s="2717"/>
      <c r="D6569" s="369" t="s">
        <v>1937</v>
      </c>
      <c r="E6569" s="2721">
        <f t="shared" si="658"/>
        <v>0</v>
      </c>
      <c r="F6569" s="287">
        <v>315</v>
      </c>
      <c r="G6569" s="288" t="s">
        <v>7141</v>
      </c>
      <c r="L6569" s="636" t="str">
        <f>HYPERLINK("[105_个别报表_2019年度_山东天安_V0.1.xlsx]Notes!CheckA"&amp;$D6569,$L$4946)</f>
        <v>F/S</v>
      </c>
      <c r="O6569" s="636" t="str">
        <f>HYPERLINK("[105_个别报表_2019年度_山东天安_V0.1.xlsx]Notes!CheckB"&amp;$D6569,$O$4946)</f>
        <v>F/S</v>
      </c>
    </row>
    <row r="6570" spans="1:15" ht="18">
      <c r="A6570" s="2717"/>
      <c r="D6570" s="369" t="s">
        <v>1939</v>
      </c>
      <c r="E6570" s="2721">
        <f t="shared" si="658"/>
        <v>1544915.31</v>
      </c>
      <c r="F6570" s="287">
        <v>316</v>
      </c>
      <c r="G6570" s="288" t="s">
        <v>7142</v>
      </c>
      <c r="L6570" s="636" t="str">
        <f>HYPERLINK("[105_个别报表_2019年度_山东天安_V0.1.xlsx]Notes!CheckA"&amp;$D6570,$L$4959)</f>
        <v>F/S</v>
      </c>
      <c r="O6570" s="636">
        <f>HYPERLINK("[105_个别报表_2019年度_山东天安_V0.1.xlsx]Notes!CheckB"&amp;$D6570,$O$4959)</f>
        <v>1544915.31</v>
      </c>
    </row>
    <row r="6571" spans="1:15" ht="18">
      <c r="A6571" s="2717"/>
      <c r="D6571" s="369" t="s">
        <v>1941</v>
      </c>
      <c r="E6571" s="2721">
        <f t="shared" si="658"/>
        <v>1544915.31</v>
      </c>
      <c r="F6571" s="287">
        <v>317</v>
      </c>
      <c r="G6571" s="288" t="s">
        <v>7143</v>
      </c>
      <c r="L6571" s="636" t="str">
        <f>HYPERLINK("[105_个别报表_2019年度_山东天安_V0.1.xlsx]Notes!CheckA"&amp;$D6571,$L$4967)</f>
        <v>F/S</v>
      </c>
      <c r="O6571" s="636">
        <f>HYPERLINK("[105_个别报表_2019年度_山东天安_V0.1.xlsx]Notes!CheckB"&amp;$D6571,$O$4967)</f>
        <v>1544915.31</v>
      </c>
    </row>
    <row r="6572" spans="1:15" ht="18">
      <c r="A6572" s="2717"/>
      <c r="D6572" s="369" t="s">
        <v>2193</v>
      </c>
      <c r="E6572" s="2721">
        <f t="shared" si="658"/>
        <v>0</v>
      </c>
      <c r="F6572" s="287">
        <v>318</v>
      </c>
      <c r="G6572" s="288" t="s">
        <v>7144</v>
      </c>
      <c r="L6572" s="636">
        <f>HYPERLINK("[105_个别报表_2019年度_山东天安_V0.1.xlsx]Notes!CheckA"&amp;$D6572,$L$4986)</f>
        <v>0</v>
      </c>
      <c r="O6572" s="636">
        <f>HYPERLINK("[105_个别报表_2019年度_山东天安_V0.1.xlsx]Notes!CheckB"&amp;$D6572,$O$4986)</f>
        <v>0</v>
      </c>
    </row>
    <row r="6573" spans="1:15" ht="18">
      <c r="A6573" s="2717"/>
      <c r="D6573" s="369" t="s">
        <v>2197</v>
      </c>
      <c r="E6573" s="2721">
        <f t="shared" si="658"/>
        <v>0</v>
      </c>
      <c r="F6573" s="287">
        <v>319</v>
      </c>
      <c r="G6573" s="288" t="s">
        <v>7145</v>
      </c>
      <c r="L6573" s="636">
        <f>HYPERLINK("[105_个别报表_2019年度_山东天安_V0.1.xlsx]Notes!CheckA"&amp;$D6573,$L$5000)</f>
        <v>0</v>
      </c>
      <c r="O6573" s="636">
        <f>HYPERLINK("[105_个别报表_2019年度_山东天安_V0.1.xlsx]Notes!CheckB"&amp;$D6573,$O$5000)</f>
        <v>0</v>
      </c>
    </row>
    <row r="6574" spans="1:15" ht="18">
      <c r="A6574" s="2717"/>
      <c r="D6574" s="369" t="s">
        <v>2200</v>
      </c>
      <c r="E6574" s="2721">
        <f t="shared" si="658"/>
        <v>0</v>
      </c>
      <c r="F6574" s="287">
        <v>320</v>
      </c>
      <c r="G6574" s="288" t="s">
        <v>7146</v>
      </c>
      <c r="L6574" s="636">
        <f>HYPERLINK("[105_个别报表_2019年度_山东天安_V0.1.xlsx]Notes!CheckA"&amp;$D6574,$L$5010)</f>
        <v>0</v>
      </c>
      <c r="O6574" s="636">
        <f>HYPERLINK("[105_个别报表_2019年度_山东天安_V0.1.xlsx]Notes!CheckB"&amp;$D6574,$O$5010)</f>
        <v>0</v>
      </c>
    </row>
    <row r="6575" spans="1:15" ht="18">
      <c r="A6575" s="2717"/>
      <c r="D6575" s="369" t="s">
        <v>1946</v>
      </c>
      <c r="E6575" s="2721">
        <f t="shared" ref="E6575:E6638" si="659">IF(OR(L6575="#Logical!",O6575="#Logical!"),9,SUM(ABS(SUM(L6575)),ABS(SUM(O6575))))</f>
        <v>1</v>
      </c>
      <c r="F6575" s="287">
        <v>321</v>
      </c>
      <c r="G6575" s="288" t="s">
        <v>7147</v>
      </c>
      <c r="L6575" s="636">
        <f>HYPERLINK("[105_个别报表_2019年度_山东天安_V0.1.xlsx]Notes!CheckA"&amp;$D6575,$L$5022)</f>
        <v>1</v>
      </c>
      <c r="O6575" s="636">
        <f>HYPERLINK("[105_个别报表_2019年度_山东天安_V0.1.xlsx]Notes!CheckB"&amp;$D6575,$O$5022)</f>
        <v>0</v>
      </c>
    </row>
    <row r="6576" spans="1:15" ht="18">
      <c r="A6576" s="2717"/>
      <c r="D6576" s="369" t="s">
        <v>1957</v>
      </c>
      <c r="E6576" s="2721">
        <f t="shared" si="659"/>
        <v>1</v>
      </c>
      <c r="F6576" s="287">
        <v>322</v>
      </c>
      <c r="G6576" s="288" t="s">
        <v>7148</v>
      </c>
      <c r="L6576" s="636">
        <f>HYPERLINK("[105_个别报表_2019年度_山东天安_V0.1.xlsx]Notes!CheckA"&amp;$D6576,$L$5038)</f>
        <v>1</v>
      </c>
      <c r="O6576" s="636">
        <f>HYPERLINK("[105_个别报表_2019年度_山东天安_V0.1.xlsx]Notes!CheckB"&amp;$D6576,$O$5038)</f>
        <v>0</v>
      </c>
    </row>
    <row r="6577" spans="1:15" ht="18">
      <c r="A6577" s="2717"/>
      <c r="D6577" s="369" t="s">
        <v>1971</v>
      </c>
      <c r="E6577" s="2721">
        <f t="shared" si="659"/>
        <v>0</v>
      </c>
      <c r="F6577" s="287">
        <v>323</v>
      </c>
      <c r="G6577" s="288" t="s">
        <v>7149</v>
      </c>
      <c r="L6577" s="636" t="str">
        <f>HYPERLINK("[105_个别报表_2019年度_山东天安_V0.1.xlsx]Notes!CheckA"&amp;$D6577,$L$5054)</f>
        <v/>
      </c>
      <c r="O6577" s="636" t="str">
        <f>HYPERLINK("[105_个别报表_2019年度_山东天安_V0.1.xlsx]Notes!CheckB"&amp;$D6577,$O$5054)</f>
        <v/>
      </c>
    </row>
    <row r="6578" spans="1:15" ht="18">
      <c r="A6578" s="2717"/>
      <c r="D6578" s="369" t="s">
        <v>1978</v>
      </c>
      <c r="E6578" s="2721">
        <f t="shared" si="659"/>
        <v>0</v>
      </c>
      <c r="F6578" s="287">
        <v>324</v>
      </c>
      <c r="G6578" s="288" t="s">
        <v>7150</v>
      </c>
      <c r="L6578" s="636" t="str">
        <f>HYPERLINK("[105_个别报表_2019年度_山东天安_V0.1.xlsx]Notes!CheckA"&amp;$D6578,$L$5065)</f>
        <v/>
      </c>
      <c r="O6578" s="636" t="str">
        <f>HYPERLINK("[105_个别报表_2019年度_山东天安_V0.1.xlsx]Notes!CheckB"&amp;$D6578,$O$5065)</f>
        <v/>
      </c>
    </row>
    <row r="6579" spans="1:15" ht="18">
      <c r="A6579" s="2717"/>
      <c r="D6579" s="369" t="s">
        <v>1983</v>
      </c>
      <c r="E6579" s="2721">
        <f t="shared" si="659"/>
        <v>1</v>
      </c>
      <c r="F6579" s="287">
        <v>325</v>
      </c>
      <c r="G6579" s="288" t="s">
        <v>7151</v>
      </c>
      <c r="L6579" s="636">
        <f>HYPERLINK("[105_个别报表_2019年度_山东天安_V0.1.xlsx]Notes!CheckA"&amp;$D6579,$L$5076)</f>
        <v>1</v>
      </c>
      <c r="O6579" s="636" t="str">
        <f>HYPERLINK("[105_个别报表_2019年度_山东天安_V0.1.xlsx]Notes!CheckB"&amp;$D6579,$O$5076)</f>
        <v/>
      </c>
    </row>
    <row r="6580" spans="1:15" ht="18">
      <c r="A6580" s="2717"/>
      <c r="D6580" s="369" t="s">
        <v>1990</v>
      </c>
      <c r="E6580" s="2721">
        <f t="shared" si="659"/>
        <v>1</v>
      </c>
      <c r="F6580" s="287">
        <v>326</v>
      </c>
      <c r="G6580" s="288" t="s">
        <v>7152</v>
      </c>
      <c r="L6580" s="636">
        <f>HYPERLINK("[105_个别报表_2019年度_山东天安_V0.1.xlsx]Notes!CheckA"&amp;$D6580,$L$5087)</f>
        <v>1</v>
      </c>
      <c r="O6580" s="636">
        <f>HYPERLINK("[105_个别报表_2019年度_山东天安_V0.1.xlsx]Notes!CheckB"&amp;$D6580,$O$5087)</f>
        <v>0</v>
      </c>
    </row>
    <row r="6581" spans="1:15" ht="18">
      <c r="A6581" s="2717"/>
      <c r="D6581" s="369" t="s">
        <v>1993</v>
      </c>
      <c r="E6581" s="2721">
        <f t="shared" si="659"/>
        <v>0</v>
      </c>
      <c r="F6581" s="287">
        <v>327</v>
      </c>
      <c r="G6581" s="288" t="s">
        <v>7153</v>
      </c>
      <c r="L6581" s="636">
        <f>HYPERLINK("[105_个别报表_2019年度_山东天安_V0.1.xlsx]Notes!CheckA"&amp;$D6581,$L$5098)</f>
        <v>0</v>
      </c>
      <c r="O6581" s="636">
        <f>HYPERLINK("[105_个别报表_2019年度_山东天安_V0.1.xlsx]Notes!CheckB"&amp;$D6581,$O$5098)</f>
        <v>0</v>
      </c>
    </row>
    <row r="6582" spans="1:15" ht="18">
      <c r="A6582" s="2717"/>
      <c r="D6582" s="369" t="s">
        <v>1996</v>
      </c>
      <c r="E6582" s="2721">
        <f t="shared" si="659"/>
        <v>0</v>
      </c>
      <c r="F6582" s="287">
        <v>328</v>
      </c>
      <c r="G6582" s="288" t="s">
        <v>7154</v>
      </c>
      <c r="L6582" s="636">
        <f>HYPERLINK("[105_个别报表_2019年度_山东天安_V0.1.xlsx]Notes!CheckA"&amp;$D6582,$L$5121)</f>
        <v>0</v>
      </c>
      <c r="O6582" s="636">
        <f>HYPERLINK("[105_个别报表_2019年度_山东天安_V0.1.xlsx]Notes!CheckB"&amp;$D6582,$O$5121)</f>
        <v>0</v>
      </c>
    </row>
    <row r="6583" spans="1:15" ht="18">
      <c r="A6583" s="2717"/>
      <c r="D6583" s="369" t="s">
        <v>1998</v>
      </c>
      <c r="E6583" s="2721">
        <f t="shared" si="659"/>
        <v>0</v>
      </c>
      <c r="F6583" s="287">
        <v>329</v>
      </c>
      <c r="G6583" s="288" t="s">
        <v>7155</v>
      </c>
      <c r="L6583" s="636">
        <f>HYPERLINK("[105_个别报表_2019年度_山东天安_V0.1.xlsx]Notes!CheckA"&amp;$D6583,$L$5129)</f>
        <v>0</v>
      </c>
      <c r="O6583" s="636">
        <f>HYPERLINK("[105_个别报表_2019年度_山东天安_V0.1.xlsx]Notes!CheckB"&amp;$D6583,$O$5129)</f>
        <v>0</v>
      </c>
    </row>
    <row r="6584" spans="1:15" ht="18">
      <c r="A6584" s="2717"/>
      <c r="D6584" s="369" t="s">
        <v>2008</v>
      </c>
      <c r="E6584" s="2721">
        <f t="shared" si="659"/>
        <v>0</v>
      </c>
      <c r="F6584" s="287">
        <v>330</v>
      </c>
      <c r="G6584" s="288" t="s">
        <v>7156</v>
      </c>
      <c r="L6584" s="636">
        <f>HYPERLINK("[105_个别报表_2019年度_山东天安_V0.1.xlsx]Notes!CheckA"&amp;$D6584,$L$5138)</f>
        <v>0</v>
      </c>
      <c r="O6584" s="636">
        <f>HYPERLINK("[105_个别报表_2019年度_山东天安_V0.1.xlsx]Notes!CheckB"&amp;$D6584,$O$5138)</f>
        <v>0</v>
      </c>
    </row>
    <row r="6585" spans="1:15" ht="18">
      <c r="A6585" s="2717"/>
      <c r="D6585" s="369" t="s">
        <v>2010</v>
      </c>
      <c r="E6585" s="2721">
        <f t="shared" si="659"/>
        <v>0</v>
      </c>
      <c r="F6585" s="287">
        <v>331</v>
      </c>
      <c r="G6585" s="288" t="s">
        <v>7157</v>
      </c>
      <c r="L6585" s="636">
        <f>HYPERLINK("[105_个别报表_2019年度_山东天安_V0.1.xlsx]Notes!CheckA"&amp;$D6585,$L$5148)</f>
        <v>0</v>
      </c>
      <c r="O6585" s="636">
        <f>HYPERLINK("[105_个别报表_2019年度_山东天安_V0.1.xlsx]Notes!CheckB"&amp;$D6585,$O$5148)</f>
        <v>0</v>
      </c>
    </row>
    <row r="6586" spans="1:15" ht="18">
      <c r="A6586" s="2717"/>
      <c r="D6586" s="369" t="s">
        <v>2003</v>
      </c>
      <c r="E6586" s="2721">
        <f t="shared" si="659"/>
        <v>0</v>
      </c>
      <c r="F6586" s="287">
        <v>332</v>
      </c>
      <c r="G6586" s="288" t="s">
        <v>7158</v>
      </c>
      <c r="L6586" s="636">
        <f>HYPERLINK("[105_个别报表_2019年度_山东天安_V0.1.xlsx]Notes!CheckA"&amp;$D6586,$L$5158)</f>
        <v>0</v>
      </c>
      <c r="O6586" s="636">
        <f>HYPERLINK("[105_个别报表_2019年度_山东天安_V0.1.xlsx]Notes!CheckB"&amp;$D6586,$O$5158)</f>
        <v>0</v>
      </c>
    </row>
    <row r="6587" spans="1:15" ht="18">
      <c r="A6587" s="2717"/>
      <c r="D6587" s="369" t="s">
        <v>2006</v>
      </c>
      <c r="E6587" s="2721">
        <f t="shared" si="659"/>
        <v>0</v>
      </c>
      <c r="F6587" s="287">
        <v>333</v>
      </c>
      <c r="G6587" s="288" t="s">
        <v>7159</v>
      </c>
      <c r="L6587" s="636">
        <f>HYPERLINK("[105_个别报表_2019年度_山东天安_V0.1.xlsx]Notes!CheckA"&amp;$D6587,$L$5174)</f>
        <v>0</v>
      </c>
      <c r="O6587" s="636">
        <f>HYPERLINK("[105_个别报表_2019年度_山东天安_V0.1.xlsx]Notes!CheckB"&amp;$D6587,$O$5174)</f>
        <v>0</v>
      </c>
    </row>
    <row r="6588" spans="1:15" ht="18">
      <c r="A6588" s="2717"/>
      <c r="D6588" s="369" t="s">
        <v>2100</v>
      </c>
      <c r="E6588" s="2721">
        <f t="shared" si="659"/>
        <v>0</v>
      </c>
      <c r="F6588" s="287">
        <v>334</v>
      </c>
      <c r="G6588" s="288" t="s">
        <v>7160</v>
      </c>
      <c r="L6588" s="636">
        <f>HYPERLINK("[105_个别报表_2019年度_山东天安_V0.1.xlsx]Notes!CheckA"&amp;$D6588,$L$5185)</f>
        <v>0</v>
      </c>
      <c r="O6588" s="636">
        <f>HYPERLINK("[105_个别报表_2019年度_山东天安_V0.1.xlsx]Notes!CheckB"&amp;$D6588,$O$5185)</f>
        <v>0</v>
      </c>
    </row>
    <row r="6589" spans="1:15" ht="18">
      <c r="A6589" s="2717"/>
      <c r="D6589" s="369" t="s">
        <v>1351</v>
      </c>
      <c r="E6589" s="2721">
        <f t="shared" si="659"/>
        <v>0</v>
      </c>
      <c r="F6589" s="287">
        <v>335</v>
      </c>
      <c r="G6589" s="288" t="s">
        <v>7161</v>
      </c>
      <c r="L6589" s="636">
        <f>HYPERLINK("[105_个别报表_2019年度_山东天安_V0.1.xlsx]Notes!CheckA"&amp;$D6589,$L$5196)</f>
        <v>0</v>
      </c>
      <c r="O6589" s="636">
        <f>HYPERLINK("[105_个别报表_2019年度_山东天安_V0.1.xlsx]Notes!CheckB"&amp;$D6589,$O$5196)</f>
        <v>0</v>
      </c>
    </row>
    <row r="6590" spans="1:15" ht="18">
      <c r="A6590" s="2717"/>
      <c r="D6590" s="369" t="s">
        <v>1347</v>
      </c>
      <c r="E6590" s="2721">
        <f t="shared" si="659"/>
        <v>0</v>
      </c>
      <c r="F6590" s="287">
        <v>336</v>
      </c>
      <c r="G6590" s="288" t="s">
        <v>7162</v>
      </c>
      <c r="L6590" s="636">
        <f>HYPERLINK("[105_个别报表_2019年度_山东天安_V0.1.xlsx]Notes!CheckA"&amp;$D6590,$L$5210)</f>
        <v>0</v>
      </c>
      <c r="O6590" s="636">
        <f>HYPERLINK("[105_个别报表_2019年度_山东天安_V0.1.xlsx]Notes!CheckB"&amp;$D6590,$O$5210)</f>
        <v>0</v>
      </c>
    </row>
    <row r="6591" spans="1:15" ht="18">
      <c r="A6591" s="2717"/>
      <c r="D6591" s="369" t="s">
        <v>2156</v>
      </c>
      <c r="E6591" s="2721">
        <f t="shared" si="659"/>
        <v>0</v>
      </c>
      <c r="F6591" s="287">
        <v>337</v>
      </c>
      <c r="G6591" s="288" t="s">
        <v>7163</v>
      </c>
      <c r="L6591" s="636">
        <f>HYPERLINK("[105_个别报表_2019年度_山东天安_V0.1.xlsx]Notes!CheckA"&amp;$D6591,$L$5277)</f>
        <v>0</v>
      </c>
      <c r="O6591" s="636">
        <f>HYPERLINK("[105_个别报表_2019年度_山东天安_V0.1.xlsx]Notes!CheckB"&amp;$D6591,$O$5277)</f>
        <v>0</v>
      </c>
    </row>
    <row r="6592" spans="1:15" ht="18">
      <c r="A6592" s="2717"/>
      <c r="D6592" s="369" t="s">
        <v>2176</v>
      </c>
      <c r="E6592" s="2721">
        <f t="shared" si="659"/>
        <v>0</v>
      </c>
      <c r="F6592" s="287">
        <v>338</v>
      </c>
      <c r="G6592" s="288" t="s">
        <v>7164</v>
      </c>
      <c r="L6592" s="636">
        <f>HYPERLINK("[105_个别报表_2019年度_山东天安_V0.1.xlsx]Notes!CheckA"&amp;$D6592,$L$5292)</f>
        <v>0</v>
      </c>
      <c r="O6592" s="636">
        <f>HYPERLINK("[105_个别报表_2019年度_山东天安_V0.1.xlsx]Notes!CheckB"&amp;$D6592,$O$5292)</f>
        <v>0</v>
      </c>
    </row>
    <row r="6593" spans="1:15" ht="18">
      <c r="A6593" s="2717"/>
      <c r="D6593" s="369" t="s">
        <v>2178</v>
      </c>
      <c r="E6593" s="2721">
        <f t="shared" si="659"/>
        <v>0</v>
      </c>
      <c r="F6593" s="287">
        <v>339</v>
      </c>
      <c r="G6593" s="288" t="s">
        <v>7165</v>
      </c>
      <c r="L6593" s="636">
        <f>HYPERLINK("[105_个别报表_2019年度_山东天安_V0.1.xlsx]Notes!CheckA"&amp;$D6593,$L$5307)</f>
        <v>0</v>
      </c>
      <c r="O6593" s="636">
        <f>HYPERLINK("[105_个别报表_2019年度_山东天安_V0.1.xlsx]Notes!CheckB"&amp;$D6593,$O$5307)</f>
        <v>0</v>
      </c>
    </row>
    <row r="6594" spans="1:15" ht="18">
      <c r="A6594" s="2717"/>
      <c r="D6594" s="369" t="s">
        <v>2111</v>
      </c>
      <c r="E6594" s="2721">
        <f t="shared" si="659"/>
        <v>0</v>
      </c>
      <c r="F6594" s="287">
        <v>340</v>
      </c>
      <c r="G6594" s="288" t="s">
        <v>7166</v>
      </c>
      <c r="L6594" s="636">
        <f>HYPERLINK("[105_个别报表_2019年度_山东天安_V0.1.xlsx]Notes!CheckA"&amp;$D6594,$L$5321)</f>
        <v>0</v>
      </c>
      <c r="O6594" s="636">
        <f>HYPERLINK("[105_个别报表_2019年度_山东天安_V0.1.xlsx]Notes!CheckB"&amp;$D6594,$O$5321)</f>
        <v>0</v>
      </c>
    </row>
    <row r="6595" spans="1:15" ht="18">
      <c r="A6595" s="2717"/>
      <c r="D6595" s="369" t="s">
        <v>2113</v>
      </c>
      <c r="E6595" s="2721">
        <f t="shared" si="659"/>
        <v>0</v>
      </c>
      <c r="F6595" s="287">
        <v>341</v>
      </c>
      <c r="G6595" s="288" t="s">
        <v>7167</v>
      </c>
      <c r="L6595" s="636">
        <f>HYPERLINK("[105_个别报表_2019年度_山东天安_V0.1.xlsx]Notes!CheckA"&amp;$D6595,$L$5338)</f>
        <v>0</v>
      </c>
      <c r="O6595" s="636">
        <f>HYPERLINK("[105_个别报表_2019年度_山东天安_V0.1.xlsx]Notes!CheckB"&amp;$D6595,$O$5338)</f>
        <v>0</v>
      </c>
    </row>
    <row r="6596" spans="1:15" ht="18">
      <c r="A6596" s="2717"/>
      <c r="D6596" s="369" t="s">
        <v>2115</v>
      </c>
      <c r="E6596" s="2721">
        <f t="shared" si="659"/>
        <v>0</v>
      </c>
      <c r="F6596" s="287">
        <v>342</v>
      </c>
      <c r="G6596" s="288" t="s">
        <v>7168</v>
      </c>
      <c r="L6596" s="636">
        <f>HYPERLINK("[105_个别报表_2019年度_山东天安_V0.1.xlsx]Notes!CheckA"&amp;$D6596,$L$5355)</f>
        <v>0</v>
      </c>
      <c r="O6596" s="636">
        <f>HYPERLINK("[105_个别报表_2019年度_山东天安_V0.1.xlsx]Notes!CheckB"&amp;$D6596,$O$5355)</f>
        <v>0</v>
      </c>
    </row>
    <row r="6597" spans="1:15" ht="18">
      <c r="A6597" s="2717"/>
      <c r="D6597" s="369" t="s">
        <v>2117</v>
      </c>
      <c r="E6597" s="2721">
        <f t="shared" si="659"/>
        <v>0</v>
      </c>
      <c r="F6597" s="287">
        <v>343</v>
      </c>
      <c r="G6597" s="288" t="s">
        <v>7169</v>
      </c>
      <c r="L6597" s="636">
        <f>HYPERLINK("[105_个别报表_2019年度_山东天安_V0.1.xlsx]Notes!CheckA"&amp;$D6597,$L$5371)</f>
        <v>0</v>
      </c>
      <c r="O6597" s="636">
        <f>HYPERLINK("[105_个别报表_2019年度_山东天安_V0.1.xlsx]Notes!CheckB"&amp;$D6597,$O$5371)</f>
        <v>0</v>
      </c>
    </row>
    <row r="6598" spans="1:15" ht="18">
      <c r="A6598" s="2717"/>
      <c r="D6598" s="369" t="s">
        <v>2120</v>
      </c>
      <c r="E6598" s="2721">
        <f t="shared" si="659"/>
        <v>0</v>
      </c>
      <c r="F6598" s="287">
        <v>344</v>
      </c>
      <c r="G6598" s="288" t="s">
        <v>7170</v>
      </c>
      <c r="L6598" s="636">
        <f>HYPERLINK("[105_个别报表_2019年度_山东天安_V0.1.xlsx]Notes!CheckA"&amp;$D6598,$L$5387)</f>
        <v>0</v>
      </c>
      <c r="O6598" s="636">
        <f>HYPERLINK("[105_个别报表_2019年度_山东天安_V0.1.xlsx]Notes!CheckB"&amp;$D6598,$O$5387)</f>
        <v>0</v>
      </c>
    </row>
    <row r="6599" spans="1:15" ht="18">
      <c r="A6599" s="2717"/>
      <c r="D6599" s="369" t="s">
        <v>2125</v>
      </c>
      <c r="E6599" s="2721">
        <f t="shared" si="659"/>
        <v>0</v>
      </c>
      <c r="F6599" s="287">
        <v>345</v>
      </c>
      <c r="G6599" s="288" t="s">
        <v>7171</v>
      </c>
      <c r="L6599" s="636">
        <f>HYPERLINK("[105_个别报表_2019年度_山东天安_V0.1.xlsx]Notes!CheckA"&amp;$D6599,$L$5421)</f>
        <v>0</v>
      </c>
      <c r="O6599" s="636">
        <f>HYPERLINK("[105_个别报表_2019年度_山东天安_V0.1.xlsx]Notes!CheckB"&amp;$D6599,$O$5421)</f>
        <v>0</v>
      </c>
    </row>
    <row r="6600" spans="1:15" ht="18">
      <c r="A6600" s="2717"/>
      <c r="D6600" s="369" t="s">
        <v>2127</v>
      </c>
      <c r="E6600" s="2721">
        <f t="shared" si="659"/>
        <v>0</v>
      </c>
      <c r="F6600" s="287">
        <v>346</v>
      </c>
      <c r="G6600" s="288" t="s">
        <v>7172</v>
      </c>
      <c r="L6600" s="636">
        <f>HYPERLINK("[105_个别报表_2019年度_山东天安_V0.1.xlsx]Notes!CheckA"&amp;$D6600,$L$5456)</f>
        <v>0</v>
      </c>
      <c r="O6600" s="636">
        <f>HYPERLINK("[105_个别报表_2019年度_山东天安_V0.1.xlsx]Notes!CheckB"&amp;$D6600,$O$5456)</f>
        <v>0</v>
      </c>
    </row>
    <row r="6601" spans="1:15" ht="18">
      <c r="A6601" s="2717"/>
      <c r="D6601" s="369" t="s">
        <v>2149</v>
      </c>
      <c r="E6601" s="2721">
        <f t="shared" si="659"/>
        <v>0</v>
      </c>
      <c r="F6601" s="287">
        <v>347</v>
      </c>
      <c r="G6601" s="288" t="s">
        <v>7173</v>
      </c>
      <c r="L6601" s="636">
        <f>HYPERLINK("[105_个别报表_2019年度_山东天安_V0.1.xlsx]Notes!CheckA"&amp;$D6601,$L$5550)</f>
        <v>0</v>
      </c>
      <c r="O6601" s="636">
        <f>HYPERLINK("[105_个别报表_2019年度_山东天安_V0.1.xlsx]Notes!CheckB"&amp;$D6601,$O$5550)</f>
        <v>0</v>
      </c>
    </row>
    <row r="6602" spans="1:15" ht="18">
      <c r="A6602" s="2717"/>
      <c r="D6602" s="369" t="s">
        <v>2160</v>
      </c>
      <c r="E6602" s="2721">
        <f t="shared" si="659"/>
        <v>0</v>
      </c>
      <c r="F6602" s="287">
        <v>348</v>
      </c>
      <c r="G6602" s="288" t="s">
        <v>7174</v>
      </c>
      <c r="L6602" s="636">
        <f>HYPERLINK("[105_个别报表_2019年度_山东天安_V0.1.xlsx]Notes!CheckA"&amp;$D6602,$L$5559)</f>
        <v>0</v>
      </c>
      <c r="O6602" s="636">
        <f>HYPERLINK("[105_个别报表_2019年度_山东天安_V0.1.xlsx]Notes!CheckB"&amp;$D6602,$O$5559)</f>
        <v>0</v>
      </c>
    </row>
    <row r="6603" spans="1:15" ht="18">
      <c r="A6603" s="2717"/>
      <c r="D6603" s="369" t="s">
        <v>2144</v>
      </c>
      <c r="E6603" s="2721">
        <f t="shared" si="659"/>
        <v>0</v>
      </c>
      <c r="F6603" s="287">
        <v>349</v>
      </c>
      <c r="G6603" s="288" t="s">
        <v>7175</v>
      </c>
      <c r="L6603" s="636">
        <f>HYPERLINK("[105_个别报表_2019年度_山东天安_V0.1.xlsx]Notes!CheckA"&amp;$D6603,$L$5577)</f>
        <v>0</v>
      </c>
      <c r="O6603" s="636">
        <f>HYPERLINK("[105_个别报表_2019年度_山东天安_V0.1.xlsx]Notes!CheckB"&amp;$D6603,$O$5577)</f>
        <v>0</v>
      </c>
    </row>
    <row r="6604" spans="1:15" ht="18">
      <c r="A6604" s="2717"/>
      <c r="D6604" s="369" t="s">
        <v>2130</v>
      </c>
      <c r="E6604" s="2721">
        <f t="shared" si="659"/>
        <v>0</v>
      </c>
      <c r="F6604" s="287">
        <v>350</v>
      </c>
      <c r="G6604" s="288" t="s">
        <v>7176</v>
      </c>
      <c r="L6604" s="636">
        <f>HYPERLINK("[105_个别报表_2019年度_山东天安_V0.1.xlsx]Notes!CheckA"&amp;$D6604,$L$5603)</f>
        <v>0</v>
      </c>
      <c r="O6604" s="636">
        <f>HYPERLINK("[105_个别报表_2019年度_山东天安_V0.1.xlsx]Notes!CheckB"&amp;$D6604,$O$5603)</f>
        <v>0</v>
      </c>
    </row>
    <row r="6605" spans="1:15" ht="18">
      <c r="A6605" s="2717"/>
      <c r="D6605" s="369" t="s">
        <v>2064</v>
      </c>
      <c r="E6605" s="2721">
        <f t="shared" si="659"/>
        <v>0</v>
      </c>
      <c r="F6605" s="287">
        <v>351</v>
      </c>
      <c r="G6605" s="288" t="s">
        <v>7177</v>
      </c>
      <c r="L6605" s="636">
        <f>HYPERLINK("[105_个别报表_2019年度_山东天安_V0.1.xlsx]Notes!CheckA"&amp;$D6605,$L$5623)</f>
        <v>0</v>
      </c>
      <c r="O6605" s="636">
        <f>HYPERLINK("[105_个别报表_2019年度_山东天安_V0.1.xlsx]Notes!CheckB"&amp;$D6605,$O$5623)</f>
        <v>0</v>
      </c>
    </row>
    <row r="6606" spans="1:15" ht="18">
      <c r="A6606" s="2717"/>
      <c r="D6606" s="369" t="s">
        <v>2067</v>
      </c>
      <c r="E6606" s="2721">
        <f t="shared" si="659"/>
        <v>0</v>
      </c>
      <c r="F6606" s="287">
        <v>352</v>
      </c>
      <c r="G6606" s="288" t="s">
        <v>7178</v>
      </c>
      <c r="L6606" s="636">
        <f>HYPERLINK("[105_个别报表_2019年度_山东天安_V0.1.xlsx]Notes!CheckA"&amp;$D6606,$L$5636)</f>
        <v>0</v>
      </c>
      <c r="O6606" s="636">
        <f>HYPERLINK("[105_个别报表_2019年度_山东天安_V0.1.xlsx]Notes!CheckB"&amp;$D6606,$O$5636)</f>
        <v>0</v>
      </c>
    </row>
    <row r="6607" spans="1:15" ht="18">
      <c r="A6607" s="2717"/>
      <c r="D6607" s="369" t="s">
        <v>2069</v>
      </c>
      <c r="E6607" s="2721">
        <f t="shared" si="659"/>
        <v>0</v>
      </c>
      <c r="F6607" s="287">
        <v>353</v>
      </c>
      <c r="G6607" s="288" t="s">
        <v>7179</v>
      </c>
      <c r="L6607" s="636">
        <f>HYPERLINK("[105_个别报表_2019年度_山东天安_V0.1.xlsx]Notes!CheckA"&amp;$D6607,$L$5649)</f>
        <v>0</v>
      </c>
      <c r="O6607" s="636">
        <f>HYPERLINK("[105_个别报表_2019年度_山东天安_V0.1.xlsx]Notes!CheckB"&amp;$D6607,$O$5649)</f>
        <v>0</v>
      </c>
    </row>
    <row r="6608" spans="1:15" ht="18">
      <c r="A6608" s="2717"/>
      <c r="D6608" s="369" t="s">
        <v>2072</v>
      </c>
      <c r="E6608" s="2721">
        <f t="shared" si="659"/>
        <v>0</v>
      </c>
      <c r="F6608" s="287">
        <v>354</v>
      </c>
      <c r="G6608" s="288" t="s">
        <v>7180</v>
      </c>
      <c r="L6608" s="636">
        <f>HYPERLINK("[105_个别报表_2019年度_山东天安_V0.1.xlsx]Notes!CheckA"&amp;$D6608,$L$5659)</f>
        <v>0</v>
      </c>
      <c r="O6608" s="636">
        <f>HYPERLINK("[105_个别报表_2019年度_山东天安_V0.1.xlsx]Notes!CheckB"&amp;$D6608,$O$5659)</f>
        <v>0</v>
      </c>
    </row>
    <row r="6609" spans="1:15" ht="18">
      <c r="A6609" s="2717"/>
      <c r="D6609" s="369" t="s">
        <v>2075</v>
      </c>
      <c r="E6609" s="2721">
        <f t="shared" si="659"/>
        <v>0</v>
      </c>
      <c r="F6609" s="287">
        <v>355</v>
      </c>
      <c r="G6609" s="288" t="s">
        <v>7181</v>
      </c>
      <c r="L6609" s="636">
        <f>HYPERLINK("[105_个别报表_2019年度_山东天安_V0.1.xlsx]Notes!CheckA"&amp;$D6609,$L$5669)</f>
        <v>0</v>
      </c>
      <c r="O6609" s="636">
        <f>HYPERLINK("[105_个别报表_2019年度_山东天安_V0.1.xlsx]Notes!CheckB"&amp;$D6609,$O$5669)</f>
        <v>0</v>
      </c>
    </row>
    <row r="6610" spans="1:15" ht="18">
      <c r="A6610" s="2717"/>
      <c r="D6610" s="369" t="s">
        <v>2077</v>
      </c>
      <c r="E6610" s="2721">
        <f t="shared" si="659"/>
        <v>0</v>
      </c>
      <c r="F6610" s="287">
        <v>356</v>
      </c>
      <c r="G6610" s="288" t="s">
        <v>7182</v>
      </c>
      <c r="L6610" s="636">
        <f>HYPERLINK("[105_个别报表_2019年度_山东天安_V0.1.xlsx]Notes!CheckA"&amp;$D6610,$L$5679)</f>
        <v>0</v>
      </c>
      <c r="O6610" s="636">
        <f>HYPERLINK("[105_个别报表_2019年度_山东天安_V0.1.xlsx]Notes!CheckB"&amp;$D6610,$O$5679)</f>
        <v>0</v>
      </c>
    </row>
    <row r="6611" spans="1:15" ht="18">
      <c r="A6611" s="2717"/>
      <c r="D6611" s="369" t="s">
        <v>2079</v>
      </c>
      <c r="E6611" s="2721">
        <f t="shared" si="659"/>
        <v>0</v>
      </c>
      <c r="F6611" s="287">
        <v>357</v>
      </c>
      <c r="G6611" s="288" t="s">
        <v>7183</v>
      </c>
      <c r="L6611" s="636">
        <f>HYPERLINK("[105_个别报表_2019年度_山东天安_V0.1.xlsx]Notes!CheckA"&amp;$D6611,$L$5689)</f>
        <v>0</v>
      </c>
      <c r="O6611" s="636">
        <f>HYPERLINK("[105_个别报表_2019年度_山东天安_V0.1.xlsx]Notes!CheckB"&amp;$D6611,$O$5689)</f>
        <v>0</v>
      </c>
    </row>
    <row r="6612" spans="1:15" ht="18">
      <c r="A6612" s="2717"/>
      <c r="D6612" s="369" t="s">
        <v>2081</v>
      </c>
      <c r="E6612" s="2721">
        <f t="shared" si="659"/>
        <v>0</v>
      </c>
      <c r="F6612" s="287">
        <v>358</v>
      </c>
      <c r="G6612" s="288" t="s">
        <v>7184</v>
      </c>
      <c r="L6612" s="636">
        <f>HYPERLINK("[105_个别报表_2019年度_山东天安_V0.1.xlsx]Notes!CheckA"&amp;$D6612,$L$5699)</f>
        <v>0</v>
      </c>
      <c r="O6612" s="636">
        <f>HYPERLINK("[105_个别报表_2019年度_山东天安_V0.1.xlsx]Notes!CheckB"&amp;$D6612,$O$5699)</f>
        <v>0</v>
      </c>
    </row>
    <row r="6613" spans="1:15" ht="18">
      <c r="A6613" s="2717"/>
      <c r="D6613" s="369" t="s">
        <v>2083</v>
      </c>
      <c r="E6613" s="2721">
        <f t="shared" si="659"/>
        <v>0</v>
      </c>
      <c r="F6613" s="287">
        <v>359</v>
      </c>
      <c r="G6613" s="288" t="s">
        <v>7185</v>
      </c>
      <c r="L6613" s="636">
        <f>HYPERLINK("[105_个别报表_2019年度_山东天安_V0.1.xlsx]Notes!CheckA"&amp;$D6613,$L$5709)</f>
        <v>0</v>
      </c>
      <c r="O6613" s="636">
        <f>HYPERLINK("[105_个别报表_2019年度_山东天安_V0.1.xlsx]Notes!CheckB"&amp;$D6613,$O$5709)</f>
        <v>0</v>
      </c>
    </row>
    <row r="6614" spans="1:15" ht="18">
      <c r="A6614" s="2717"/>
      <c r="D6614" s="369" t="s">
        <v>2085</v>
      </c>
      <c r="E6614" s="2721">
        <f t="shared" si="659"/>
        <v>0</v>
      </c>
      <c r="F6614" s="287">
        <v>360</v>
      </c>
      <c r="G6614" s="288" t="s">
        <v>7186</v>
      </c>
      <c r="L6614" s="636">
        <f>HYPERLINK("[105_个别报表_2019年度_山东天安_V0.1.xlsx]Notes!CheckA"&amp;$D6614,$L$5719)</f>
        <v>0</v>
      </c>
      <c r="O6614" s="636">
        <f>HYPERLINK("[105_个别报表_2019年度_山东天安_V0.1.xlsx]Notes!CheckB"&amp;$D6614,$O$5719)</f>
        <v>0</v>
      </c>
    </row>
    <row r="6615" spans="1:15" ht="18">
      <c r="A6615" s="2717"/>
      <c r="D6615" s="369" t="s">
        <v>2088</v>
      </c>
      <c r="E6615" s="2721">
        <f t="shared" si="659"/>
        <v>0</v>
      </c>
      <c r="F6615" s="287">
        <v>361</v>
      </c>
      <c r="G6615" s="288" t="s">
        <v>7187</v>
      </c>
      <c r="L6615" s="636">
        <f>HYPERLINK("[105_个别报表_2019年度_山东天安_V0.1.xlsx]Notes!CheckA"&amp;$D6615,$L$5729)</f>
        <v>0</v>
      </c>
      <c r="O6615" s="636">
        <f>HYPERLINK("[105_个别报表_2019年度_山东天安_V0.1.xlsx]Notes!CheckB"&amp;$D6615,$O$5729)</f>
        <v>0</v>
      </c>
    </row>
    <row r="6616" spans="1:15" ht="18">
      <c r="A6616" s="2717"/>
      <c r="D6616" s="369" t="s">
        <v>2091</v>
      </c>
      <c r="E6616" s="2721">
        <f t="shared" si="659"/>
        <v>0</v>
      </c>
      <c r="F6616" s="287">
        <v>362</v>
      </c>
      <c r="G6616" s="288" t="s">
        <v>7188</v>
      </c>
      <c r="L6616" s="636">
        <f>HYPERLINK("[105_个别报表_2019年度_山东天安_V0.1.xlsx]Notes!CheckA"&amp;$D6616,$L$5739)</f>
        <v>0</v>
      </c>
      <c r="O6616" s="636">
        <f>HYPERLINK("[105_个别报表_2019年度_山东天安_V0.1.xlsx]Notes!CheckB"&amp;$D6616,$O$5739)</f>
        <v>0</v>
      </c>
    </row>
    <row r="6617" spans="1:15" ht="18">
      <c r="A6617" s="2717"/>
      <c r="D6617" s="369" t="s">
        <v>2094</v>
      </c>
      <c r="E6617" s="2721">
        <f t="shared" si="659"/>
        <v>0</v>
      </c>
      <c r="F6617" s="287">
        <v>363</v>
      </c>
      <c r="G6617" s="288" t="s">
        <v>7189</v>
      </c>
      <c r="L6617" s="636">
        <f>HYPERLINK("[105_个别报表_2019年度_山东天安_V0.1.xlsx]Notes!CheckA"&amp;$D6617,$L$5747)</f>
        <v>0</v>
      </c>
      <c r="O6617" s="636">
        <f>HYPERLINK("[105_个别报表_2019年度_山东天安_V0.1.xlsx]Notes!CheckB"&amp;$D6617,$O$5747)</f>
        <v>0</v>
      </c>
    </row>
    <row r="6618" spans="1:15" ht="18">
      <c r="A6618" s="2717"/>
      <c r="D6618" s="369" t="s">
        <v>2096</v>
      </c>
      <c r="E6618" s="2721">
        <f t="shared" si="659"/>
        <v>0</v>
      </c>
      <c r="F6618" s="287">
        <v>364</v>
      </c>
      <c r="G6618" s="288" t="s">
        <v>7190</v>
      </c>
      <c r="L6618" s="636">
        <f>HYPERLINK("[105_个别报表_2019年度_山东天安_V0.1.xlsx]Notes!CheckA"&amp;$D6618,$L$5762)</f>
        <v>0</v>
      </c>
      <c r="O6618" s="636">
        <f>HYPERLINK("[105_个别报表_2019年度_山东天安_V0.1.xlsx]Notes!CheckB"&amp;$D6618,$O$5762)</f>
        <v>0</v>
      </c>
    </row>
    <row r="6619" spans="1:15" ht="18">
      <c r="A6619" s="2717"/>
      <c r="D6619" s="369" t="s">
        <v>2153</v>
      </c>
      <c r="E6619" s="2721">
        <f t="shared" si="659"/>
        <v>0</v>
      </c>
      <c r="F6619" s="287">
        <v>365</v>
      </c>
      <c r="G6619" s="288" t="s">
        <v>7191</v>
      </c>
      <c r="L6619" s="636">
        <f>HYPERLINK("[105_个别报表_2019年度_山东天安_V0.1.xlsx]Notes!CheckA"&amp;$D6619,$L$5776)</f>
        <v>0</v>
      </c>
      <c r="O6619" s="636">
        <f>HYPERLINK("[105_个别报表_2019年度_山东天安_V0.1.xlsx]Notes!CheckB"&amp;$D6619,$O$5776)</f>
        <v>0</v>
      </c>
    </row>
    <row r="6620" spans="1:15" ht="18">
      <c r="A6620" s="2717"/>
      <c r="D6620" s="369" t="s">
        <v>2181</v>
      </c>
      <c r="E6620" s="2721">
        <f t="shared" si="659"/>
        <v>0</v>
      </c>
      <c r="F6620" s="287">
        <v>366</v>
      </c>
      <c r="G6620" s="288" t="s">
        <v>7192</v>
      </c>
      <c r="L6620" s="636">
        <f>HYPERLINK("[105_个别报表_2019年度_山东天安_V0.1.xlsx]Notes!CheckA"&amp;$D6620,$L$5806)</f>
        <v>0</v>
      </c>
      <c r="O6620" s="636">
        <f>HYPERLINK("[105_个别报表_2019年度_山东天安_V0.1.xlsx]Notes!CheckB"&amp;$D6620,$O$5806)</f>
        <v>0</v>
      </c>
    </row>
    <row r="6621" spans="1:15" ht="18">
      <c r="A6621" s="2717"/>
      <c r="D6621" s="369" t="s">
        <v>2187</v>
      </c>
      <c r="E6621" s="2721">
        <f t="shared" si="659"/>
        <v>0</v>
      </c>
      <c r="F6621" s="287">
        <v>367</v>
      </c>
      <c r="G6621" s="288" t="s">
        <v>7193</v>
      </c>
      <c r="L6621" s="636">
        <f>HYPERLINK("[105_个别报表_2019年度_山东天安_V0.1.xlsx]Notes!CheckA"&amp;$D6621,$L$5838)</f>
        <v>0</v>
      </c>
      <c r="O6621" s="636">
        <f>HYPERLINK("[105_个别报表_2019年度_山东天安_V0.1.xlsx]Notes!CheckB"&amp;$D6621,$O$5838)</f>
        <v>0</v>
      </c>
    </row>
    <row r="6622" spans="1:15" ht="18">
      <c r="A6622" s="2717"/>
      <c r="D6622" s="369" t="s">
        <v>2184</v>
      </c>
      <c r="E6622" s="2721">
        <f t="shared" si="659"/>
        <v>0</v>
      </c>
      <c r="F6622" s="287">
        <v>368</v>
      </c>
      <c r="G6622" s="288" t="s">
        <v>7194</v>
      </c>
      <c r="L6622" s="636">
        <f>HYPERLINK("[105_个别报表_2019年度_山东天安_V0.1.xlsx]Notes!CheckA"&amp;$D6622,$L$5848)</f>
        <v>0</v>
      </c>
      <c r="O6622" s="636">
        <f>HYPERLINK("[105_个别报表_2019年度_山东天安_V0.1.xlsx]Notes!CheckB"&amp;$D6622,$O$5848)</f>
        <v>0</v>
      </c>
    </row>
    <row r="6623" spans="1:15" ht="18">
      <c r="A6623" s="2717"/>
      <c r="D6623" s="369" t="s">
        <v>2190</v>
      </c>
      <c r="E6623" s="2721">
        <f t="shared" si="659"/>
        <v>0</v>
      </c>
      <c r="F6623" s="287">
        <v>369</v>
      </c>
      <c r="G6623" s="288" t="s">
        <v>7195</v>
      </c>
      <c r="L6623" s="636">
        <f>HYPERLINK("[105_个别报表_2019年度_山东天安_V0.1.xlsx]Notes!CheckA"&amp;$D6623,$L$5858)</f>
        <v>0</v>
      </c>
      <c r="O6623" s="636">
        <f>HYPERLINK("[105_个别报表_2019年度_山东天安_V0.1.xlsx]Notes!CheckB"&amp;$D6623,$O$5858)</f>
        <v>0</v>
      </c>
    </row>
    <row r="6624" spans="1:15" ht="18">
      <c r="A6624" s="2717"/>
      <c r="D6624" s="369" t="s">
        <v>1944</v>
      </c>
      <c r="E6624" s="2721">
        <f t="shared" si="659"/>
        <v>179675938.56999999</v>
      </c>
      <c r="F6624" s="287">
        <v>370</v>
      </c>
      <c r="G6624" s="288" t="s">
        <v>7196</v>
      </c>
      <c r="L6624" s="636">
        <f>HYPERLINK("[105_个别报表_2019年度_山东天安_V0.1.xlsx]Notes!CheckA"&amp;$D6624,$L$5870)</f>
        <v>179675938.56999999</v>
      </c>
      <c r="O6624" s="636">
        <f>HYPERLINK("[105_个别报表_2019年度_山东天安_V0.1.xlsx]Notes!CheckB"&amp;$D6624,$O$5870)</f>
        <v>0</v>
      </c>
    </row>
    <row r="6625" spans="1:15" ht="18">
      <c r="A6625" s="2717"/>
      <c r="D6625" s="369" t="s">
        <v>1948</v>
      </c>
      <c r="E6625" s="2721">
        <f t="shared" si="659"/>
        <v>1544811.94</v>
      </c>
      <c r="F6625" s="287">
        <v>371</v>
      </c>
      <c r="G6625" s="288" t="s">
        <v>7197</v>
      </c>
      <c r="L6625" s="636">
        <f>HYPERLINK("[105_个别报表_2019年度_山东天安_V0.1.xlsx]Notes!CheckA"&amp;$D6625,$L$5881)</f>
        <v>1544811.94</v>
      </c>
      <c r="O6625" s="636">
        <f>HYPERLINK("[105_个别报表_2019年度_山东天安_V0.1.xlsx]Notes!CheckB"&amp;$D6625,$O$5881)</f>
        <v>0</v>
      </c>
    </row>
    <row r="6626" spans="1:15" ht="18">
      <c r="A6626" s="2717"/>
      <c r="D6626" s="369" t="s">
        <v>1951</v>
      </c>
      <c r="E6626" s="2721">
        <f t="shared" si="659"/>
        <v>80109210.730000004</v>
      </c>
      <c r="F6626" s="287">
        <v>372</v>
      </c>
      <c r="G6626" s="288" t="s">
        <v>7198</v>
      </c>
      <c r="L6626" s="636">
        <f>HYPERLINK("[105_个别报表_2019年度_山东天安_V0.1.xlsx]Notes!CheckA"&amp;$D6626,$L$5892)</f>
        <v>80109210.730000004</v>
      </c>
      <c r="O6626" s="636">
        <f>HYPERLINK("[105_个别报表_2019年度_山东天安_V0.1.xlsx]Notes!CheckB"&amp;$D6626,$O$5892)</f>
        <v>0</v>
      </c>
    </row>
    <row r="6627" spans="1:15" ht="18">
      <c r="A6627" s="2717"/>
      <c r="D6627" s="369" t="s">
        <v>1953</v>
      </c>
      <c r="E6627" s="2721">
        <f t="shared" si="659"/>
        <v>23778472.57</v>
      </c>
      <c r="F6627" s="287">
        <v>373</v>
      </c>
      <c r="G6627" s="288" t="s">
        <v>7199</v>
      </c>
      <c r="L6627" s="636">
        <f>HYPERLINK("[105_个别报表_2019年度_山东天安_V0.1.xlsx]Notes!CheckA"&amp;$D6627,$L$5903)</f>
        <v>23778472.57</v>
      </c>
      <c r="O6627" s="636">
        <f>HYPERLINK("[105_个别报表_2019年度_山东天安_V0.1.xlsx]Notes!CheckB"&amp;$D6627,$O$5903)</f>
        <v>0</v>
      </c>
    </row>
    <row r="6628" spans="1:15" ht="18">
      <c r="A6628" s="2717"/>
      <c r="D6628" s="369" t="s">
        <v>1955</v>
      </c>
      <c r="E6628" s="2721">
        <f t="shared" si="659"/>
        <v>17409545.82</v>
      </c>
      <c r="F6628" s="287">
        <v>374</v>
      </c>
      <c r="G6628" s="288" t="s">
        <v>7200</v>
      </c>
      <c r="L6628" s="636">
        <f>HYPERLINK("[105_个别报表_2019年度_山东天安_V0.1.xlsx]Notes!CheckA"&amp;$D6628,$L$5914)</f>
        <v>17409545.82</v>
      </c>
      <c r="O6628" s="636">
        <f>HYPERLINK("[105_个别报表_2019年度_山东天安_V0.1.xlsx]Notes!CheckB"&amp;$D6628,$O$5914)</f>
        <v>0</v>
      </c>
    </row>
    <row r="6629" spans="1:15" ht="18">
      <c r="A6629" s="2717"/>
      <c r="D6629" s="369" t="s">
        <v>1960</v>
      </c>
      <c r="E6629" s="2721">
        <f t="shared" si="659"/>
        <v>29188633.84</v>
      </c>
      <c r="F6629" s="287">
        <v>375</v>
      </c>
      <c r="G6629" s="288" t="s">
        <v>7201</v>
      </c>
      <c r="L6629" s="636">
        <f>HYPERLINK("[105_个别报表_2019年度_山东天安_V0.1.xlsx]Notes!CheckA"&amp;$D6629,$L$5925)</f>
        <v>29188633.84</v>
      </c>
      <c r="O6629" s="636">
        <f>HYPERLINK("[105_个别报表_2019年度_山东天安_V0.1.xlsx]Notes!CheckB"&amp;$D6629,$O$5925)</f>
        <v>0</v>
      </c>
    </row>
    <row r="6630" spans="1:15" ht="18">
      <c r="A6630" s="2717"/>
      <c r="D6630" s="369" t="s">
        <v>1963</v>
      </c>
      <c r="E6630" s="2721">
        <f t="shared" si="659"/>
        <v>0</v>
      </c>
      <c r="F6630" s="287">
        <v>376</v>
      </c>
      <c r="G6630" s="288" t="s">
        <v>7202</v>
      </c>
      <c r="L6630" s="636" t="str">
        <f>HYPERLINK("[105_个别报表_2019年度_山东天安_V0.1.xlsx]Notes!CheckA"&amp;$D6630,$L$5936)</f>
        <v>F/S</v>
      </c>
      <c r="O6630" s="636">
        <f>HYPERLINK("[105_个别报表_2019年度_山东天安_V0.1.xlsx]Notes!CheckB"&amp;$D6630,$O$5936)</f>
        <v>0</v>
      </c>
    </row>
    <row r="6631" spans="1:15" ht="18">
      <c r="A6631" s="2717"/>
      <c r="D6631" s="369" t="s">
        <v>1965</v>
      </c>
      <c r="E6631" s="2721">
        <f t="shared" si="659"/>
        <v>0</v>
      </c>
      <c r="F6631" s="287">
        <v>377</v>
      </c>
      <c r="G6631" s="288" t="s">
        <v>7203</v>
      </c>
      <c r="L6631" s="636" t="str">
        <f>HYPERLINK("[105_个别报表_2019年度_山东天安_V0.1.xlsx]Notes!CheckA"&amp;$D6631,$L$5947)</f>
        <v>F/S</v>
      </c>
      <c r="O6631" s="636">
        <f>HYPERLINK("[105_个别报表_2019年度_山东天安_V0.1.xlsx]Notes!CheckB"&amp;$D6631,$O$5947)</f>
        <v>0</v>
      </c>
    </row>
    <row r="6632" spans="1:15" ht="18">
      <c r="A6632" s="2717"/>
      <c r="D6632" s="369" t="s">
        <v>1967</v>
      </c>
      <c r="E6632" s="2721">
        <f t="shared" si="659"/>
        <v>4370781.55</v>
      </c>
      <c r="F6632" s="287">
        <v>378</v>
      </c>
      <c r="G6632" s="288" t="s">
        <v>7204</v>
      </c>
      <c r="L6632" s="636">
        <f>HYPERLINK("[105_个别报表_2019年度_山东天安_V0.1.xlsx]Notes!CheckA"&amp;$D6632,$L$5958)</f>
        <v>4370781.55</v>
      </c>
      <c r="O6632" s="636">
        <f>HYPERLINK("[105_个别报表_2019年度_山东天安_V0.1.xlsx]Notes!CheckB"&amp;$D6632,$O$5958)</f>
        <v>0</v>
      </c>
    </row>
    <row r="6633" spans="1:15" ht="18">
      <c r="A6633" s="2717"/>
      <c r="D6633" s="369" t="s">
        <v>1973</v>
      </c>
      <c r="E6633" s="2721">
        <f t="shared" si="659"/>
        <v>13529178</v>
      </c>
      <c r="F6633" s="287">
        <v>379</v>
      </c>
      <c r="G6633" s="288" t="s">
        <v>7205</v>
      </c>
      <c r="L6633" s="636">
        <f>HYPERLINK("[105_个别报表_2019年度_山东天安_V0.1.xlsx]Notes!CheckA"&amp;$D6633,$L$5977)</f>
        <v>13529178</v>
      </c>
      <c r="O6633" s="636">
        <f>HYPERLINK("[105_个别报表_2019年度_山东天安_V0.1.xlsx]Notes!CheckB"&amp;$D6633,$O$5977)</f>
        <v>0</v>
      </c>
    </row>
    <row r="6634" spans="1:15" ht="18">
      <c r="A6634" s="2717"/>
      <c r="D6634" s="369" t="s">
        <v>1975</v>
      </c>
      <c r="E6634" s="2721">
        <f t="shared" si="659"/>
        <v>0</v>
      </c>
      <c r="F6634" s="287">
        <v>380</v>
      </c>
      <c r="G6634" s="288" t="s">
        <v>7206</v>
      </c>
      <c r="L6634" s="636" t="str">
        <f>HYPERLINK("[105_个别报表_2019年度_山东天安_V0.1.xlsx]Notes!CheckA"&amp;$D6634,$L$5998)</f>
        <v>F/S</v>
      </c>
      <c r="O6634" s="636">
        <f>HYPERLINK("[105_个别报表_2019年度_山东天安_V0.1.xlsx]Notes!CheckB"&amp;$D6634,$O$5998)</f>
        <v>0</v>
      </c>
    </row>
    <row r="6635" spans="1:15" ht="18">
      <c r="A6635" s="2717"/>
      <c r="D6635" s="369" t="s">
        <v>1980</v>
      </c>
      <c r="E6635" s="2721">
        <f t="shared" si="659"/>
        <v>0</v>
      </c>
      <c r="F6635" s="287">
        <v>381</v>
      </c>
      <c r="G6635" s="288" t="s">
        <v>7207</v>
      </c>
      <c r="L6635" s="636" t="str">
        <f>HYPERLINK("[105_个别报表_2019年度_山东天安_V0.1.xlsx]Notes!CheckA"&amp;$D6635,$L$6009)</f>
        <v>F/S</v>
      </c>
      <c r="O6635" s="636">
        <f>HYPERLINK("[105_个别报表_2019年度_山东天安_V0.1.xlsx]Notes!CheckB"&amp;$D6635,$O$6009)</f>
        <v>0</v>
      </c>
    </row>
    <row r="6636" spans="1:15" ht="18">
      <c r="A6636" s="2717"/>
      <c r="D6636" s="369" t="s">
        <v>1986</v>
      </c>
      <c r="E6636" s="2721">
        <f t="shared" si="659"/>
        <v>0</v>
      </c>
      <c r="F6636" s="287">
        <v>382</v>
      </c>
      <c r="G6636" s="288" t="s">
        <v>7208</v>
      </c>
      <c r="L6636" s="636" t="str">
        <f>HYPERLINK("[105_个别报表_2019年度_山东天安_V0.1.xlsx]Notes!CheckA"&amp;$D6636,$L$6021)</f>
        <v>F/S</v>
      </c>
      <c r="O6636" s="636">
        <f>HYPERLINK("[105_个别报表_2019年度_山东天安_V0.1.xlsx]Notes!CheckB"&amp;$D6636,$O$6021)</f>
        <v>0</v>
      </c>
    </row>
    <row r="6637" spans="1:15" ht="18">
      <c r="A6637" s="2717"/>
      <c r="D6637" s="369" t="s">
        <v>1988</v>
      </c>
      <c r="E6637" s="2721">
        <f t="shared" si="659"/>
        <v>2094341.69</v>
      </c>
      <c r="F6637" s="287">
        <v>383</v>
      </c>
      <c r="G6637" s="288" t="s">
        <v>7209</v>
      </c>
      <c r="L6637" s="636">
        <f>HYPERLINK("[105_个别报表_2019年度_山东天安_V0.1.xlsx]Notes!CheckA"&amp;$D6637,$L$6033)</f>
        <v>2094341.69</v>
      </c>
      <c r="O6637" s="636">
        <f>HYPERLINK("[105_个别报表_2019年度_山东天安_V0.1.xlsx]Notes!CheckB"&amp;$D6637,$O$6033)</f>
        <v>0</v>
      </c>
    </row>
    <row r="6638" spans="1:15" ht="18">
      <c r="A6638" s="2717"/>
      <c r="D6638" s="369" t="s">
        <v>2012</v>
      </c>
      <c r="E6638" s="2721">
        <f t="shared" si="659"/>
        <v>13357245.939999999</v>
      </c>
      <c r="F6638" s="287">
        <v>384</v>
      </c>
      <c r="G6638" s="288" t="s">
        <v>7210</v>
      </c>
      <c r="L6638" s="636">
        <f>HYPERLINK("[105_个别报表_2019年度_山东天安_V0.1.xlsx]Notes!CheckA"&amp;$D6638,$L$6056)</f>
        <v>13357245.939999999</v>
      </c>
      <c r="O6638" s="636">
        <f>HYPERLINK("[105_个别报表_2019年度_山东天安_V0.1.xlsx]Notes!CheckB"&amp;$D6638,$O$6056)</f>
        <v>0</v>
      </c>
    </row>
    <row r="6639" spans="1:15" ht="18">
      <c r="A6639" s="2717"/>
      <c r="D6639" s="369" t="s">
        <v>2015</v>
      </c>
      <c r="E6639" s="2721">
        <f t="shared" ref="E6639:E6652" si="660">IF(OR(L6639="#Logical!",O6639="#Logical!"),9,SUM(ABS(SUM(L6639)),ABS(SUM(O6639))))</f>
        <v>18205614.109999999</v>
      </c>
      <c r="F6639" s="287">
        <v>385</v>
      </c>
      <c r="G6639" s="288" t="s">
        <v>7211</v>
      </c>
      <c r="L6639" s="636">
        <f>HYPERLINK("[105_个别报表_2019年度_山东天安_V0.1.xlsx]Notes!CheckA"&amp;$D6639,$L$6065)</f>
        <v>18205614.109999999</v>
      </c>
      <c r="O6639" s="636">
        <f>HYPERLINK("[105_个别报表_2019年度_山东天安_V0.1.xlsx]Notes!CheckB"&amp;$D6639,$O$6065)</f>
        <v>0</v>
      </c>
    </row>
    <row r="6640" spans="1:15" ht="18">
      <c r="A6640" s="2717"/>
      <c r="D6640" s="369" t="s">
        <v>2018</v>
      </c>
      <c r="E6640" s="2721">
        <f t="shared" si="660"/>
        <v>507056.61</v>
      </c>
      <c r="F6640" s="287">
        <v>386</v>
      </c>
      <c r="G6640" s="288" t="s">
        <v>7212</v>
      </c>
      <c r="L6640" s="636">
        <f>HYPERLINK("[105_个别报表_2019年度_山东天安_V0.1.xlsx]Notes!CheckA"&amp;$D6640,$L$6076)</f>
        <v>507056.61</v>
      </c>
      <c r="O6640" s="636">
        <f>HYPERLINK("[105_个别报表_2019年度_山东天安_V0.1.xlsx]Notes!CheckB"&amp;$D6640,$O$6076)</f>
        <v>0</v>
      </c>
    </row>
    <row r="6641" spans="1:15" ht="18">
      <c r="A6641" s="2717"/>
      <c r="D6641" s="369" t="s">
        <v>2022</v>
      </c>
      <c r="E6641" s="2721">
        <f t="shared" si="660"/>
        <v>991288.81</v>
      </c>
      <c r="F6641" s="287">
        <v>387</v>
      </c>
      <c r="G6641" s="288" t="s">
        <v>7213</v>
      </c>
      <c r="L6641" s="636">
        <f>HYPERLINK("[105_个别报表_2019年度_山东天安_V0.1.xlsx]Notes!CheckA"&amp;$D6641,$L$6085)</f>
        <v>991288.81</v>
      </c>
      <c r="O6641" s="636">
        <f>HYPERLINK("[105_个别报表_2019年度_山东天安_V0.1.xlsx]Notes!CheckB"&amp;$D6641,$O$6085)</f>
        <v>0</v>
      </c>
    </row>
    <row r="6642" spans="1:15" ht="18">
      <c r="A6642" s="2717"/>
      <c r="D6642" s="369" t="s">
        <v>2026</v>
      </c>
      <c r="E6642" s="2721">
        <f t="shared" si="660"/>
        <v>4370781.55</v>
      </c>
      <c r="F6642" s="287">
        <v>388</v>
      </c>
      <c r="G6642" s="288" t="s">
        <v>7214</v>
      </c>
      <c r="L6642" s="636">
        <f>HYPERLINK("[105_个别报表_2019年度_山东天安_V0.1.xlsx]Notes!CheckA"&amp;$D6642,$L$6094)</f>
        <v>-4370781.55</v>
      </c>
      <c r="O6642" s="636">
        <f>HYPERLINK("[105_个别报表_2019年度_山东天安_V0.1.xlsx]Notes!CheckB"&amp;$D6642,$O$6094)</f>
        <v>0</v>
      </c>
    </row>
    <row r="6643" spans="1:15" ht="18">
      <c r="A6643" s="2717"/>
      <c r="D6643" s="369" t="s">
        <v>2030</v>
      </c>
      <c r="E6643" s="2721">
        <f t="shared" si="660"/>
        <v>1573265.7</v>
      </c>
      <c r="F6643" s="287">
        <v>389</v>
      </c>
      <c r="G6643" s="288" t="s">
        <v>7215</v>
      </c>
      <c r="L6643" s="636">
        <f>HYPERLINK("[105_个别报表_2019年度_山东天安_V0.1.xlsx]Notes!CheckA"&amp;$D6643,$L$6108)</f>
        <v>1573265.7</v>
      </c>
      <c r="O6643" s="636">
        <f>HYPERLINK("[105_个别报表_2019年度_山东天安_V0.1.xlsx]Notes!CheckB"&amp;$D6643,$O$6108)</f>
        <v>0</v>
      </c>
    </row>
    <row r="6644" spans="1:15" ht="18">
      <c r="A6644" s="2717"/>
      <c r="D6644" s="369" t="s">
        <v>2035</v>
      </c>
      <c r="E6644" s="2721">
        <f t="shared" si="660"/>
        <v>0</v>
      </c>
      <c r="F6644" s="287">
        <v>390</v>
      </c>
      <c r="G6644" s="288" t="s">
        <v>7216</v>
      </c>
      <c r="L6644" s="636" t="str">
        <f>HYPERLINK("[105_个别报表_2019年度_山东天安_V0.1.xlsx]Notes!CheckA"&amp;$D6644,$L$6118)</f>
        <v>F/S</v>
      </c>
      <c r="O6644" s="636">
        <f>HYPERLINK("[105_个别报表_2019年度_山东天安_V0.1.xlsx]Notes!CheckB"&amp;$D6644,$O$6118)</f>
        <v>0</v>
      </c>
    </row>
    <row r="6645" spans="1:15" ht="18">
      <c r="A6645" s="2717"/>
      <c r="D6645" s="369" t="s">
        <v>2038</v>
      </c>
      <c r="E6645" s="2721">
        <f t="shared" si="660"/>
        <v>2758672.02</v>
      </c>
      <c r="F6645" s="287">
        <v>391</v>
      </c>
      <c r="G6645" s="288" t="s">
        <v>7217</v>
      </c>
      <c r="L6645" s="636">
        <f>HYPERLINK("[105_个别报表_2019年度_山东天安_V0.1.xlsx]Notes!CheckA"&amp;$D6645,$L$6127)</f>
        <v>2758672.02</v>
      </c>
      <c r="O6645" s="636">
        <f>HYPERLINK("[105_个别报表_2019年度_山东天安_V0.1.xlsx]Notes!CheckB"&amp;$D6645,$O$6127)</f>
        <v>0</v>
      </c>
    </row>
    <row r="6646" spans="1:15" ht="18">
      <c r="A6646" s="2717"/>
      <c r="D6646" s="369" t="s">
        <v>2042</v>
      </c>
      <c r="E6646" s="2721">
        <f t="shared" si="660"/>
        <v>0</v>
      </c>
      <c r="F6646" s="287">
        <v>392</v>
      </c>
      <c r="G6646" s="288" t="s">
        <v>7218</v>
      </c>
      <c r="L6646" s="636" t="str">
        <f>HYPERLINK("[105_个别报表_2019年度_山东天安_V0.1.xlsx]Notes!CheckA"&amp;$D6646,$L$6138)</f>
        <v>F/S</v>
      </c>
      <c r="O6646" s="636">
        <f>HYPERLINK("[105_个别报表_2019年度_山东天安_V0.1.xlsx]Notes!CheckB"&amp;$D6646,$O$6138)</f>
        <v>0</v>
      </c>
    </row>
    <row r="6647" spans="1:15" ht="18">
      <c r="A6647" s="2717"/>
      <c r="D6647" s="369" t="s">
        <v>2045</v>
      </c>
      <c r="E6647" s="2721">
        <f t="shared" si="660"/>
        <v>1147332.1499999999</v>
      </c>
      <c r="F6647" s="287">
        <v>393</v>
      </c>
      <c r="G6647" s="288" t="s">
        <v>7219</v>
      </c>
      <c r="L6647" s="636">
        <f>HYPERLINK("[105_个别报表_2019年度_山东天安_V0.1.xlsx]Notes!CheckA"&amp;$D6647,$L$6147)</f>
        <v>-1147332.1499999999</v>
      </c>
      <c r="O6647" s="636">
        <f>HYPERLINK("[105_个别报表_2019年度_山东天安_V0.1.xlsx]Notes!CheckB"&amp;$D6647,$O$6147)</f>
        <v>0</v>
      </c>
    </row>
    <row r="6648" spans="1:15" ht="18">
      <c r="A6648" s="2717"/>
      <c r="D6648" s="369" t="s">
        <v>2048</v>
      </c>
      <c r="E6648" s="2721">
        <f t="shared" si="660"/>
        <v>0</v>
      </c>
      <c r="F6648" s="287">
        <v>394</v>
      </c>
      <c r="G6648" s="288" t="s">
        <v>7220</v>
      </c>
      <c r="L6648" s="636" t="str">
        <f>HYPERLINK("[105_个别报表_2019年度_山东天安_V0.1.xlsx]Notes!CheckA"&amp;$D6648,$L$6156)</f>
        <v>F/S</v>
      </c>
      <c r="O6648" s="636">
        <f>HYPERLINK("[105_个别报表_2019年度_山东天安_V0.1.xlsx]Notes!CheckB"&amp;$D6648,$O$6156)</f>
        <v>0</v>
      </c>
    </row>
    <row r="6649" spans="1:15" ht="18">
      <c r="A6649" s="2717"/>
      <c r="D6649" s="369" t="s">
        <v>2051</v>
      </c>
      <c r="E6649" s="2721">
        <f t="shared" si="660"/>
        <v>12779747.49</v>
      </c>
      <c r="F6649" s="287">
        <v>395</v>
      </c>
      <c r="G6649" s="288" t="s">
        <v>7221</v>
      </c>
      <c r="L6649" s="636">
        <f>HYPERLINK("[105_个别报表_2019年度_山东天安_V0.1.xlsx]Notes!CheckA"&amp;$D6649,$L$6165)</f>
        <v>12779747.49</v>
      </c>
      <c r="O6649" s="636">
        <f>HYPERLINK("[105_个别报表_2019年度_山东天安_V0.1.xlsx]Notes!CheckB"&amp;$D6649,$O$6165)</f>
        <v>0</v>
      </c>
    </row>
    <row r="6650" spans="1:15" ht="18">
      <c r="A6650" s="2717"/>
      <c r="D6650" s="369" t="s">
        <v>2055</v>
      </c>
      <c r="E6650" s="2721">
        <f t="shared" si="660"/>
        <v>2928708.51</v>
      </c>
      <c r="F6650" s="287">
        <v>396</v>
      </c>
      <c r="G6650" s="288" t="s">
        <v>7222</v>
      </c>
      <c r="L6650" s="636">
        <f>HYPERLINK("[105_个别报表_2019年度_山东天安_V0.1.xlsx]Notes!CheckA"&amp;$D6650,$L$6187)</f>
        <v>-2928708.51</v>
      </c>
      <c r="O6650" s="636">
        <f>HYPERLINK("[105_个别报表_2019年度_山东天安_V0.1.xlsx]Notes!CheckB"&amp;$D6650,$O$6187)</f>
        <v>0</v>
      </c>
    </row>
    <row r="6651" spans="1:15" ht="18">
      <c r="A6651" s="2717"/>
      <c r="D6651" s="369" t="s">
        <v>2058</v>
      </c>
      <c r="E6651" s="2721">
        <f t="shared" si="660"/>
        <v>43726400</v>
      </c>
      <c r="F6651" s="287">
        <v>397</v>
      </c>
      <c r="G6651" s="288" t="s">
        <v>7223</v>
      </c>
      <c r="L6651" s="636">
        <f>HYPERLINK("[105_个别报表_2019年度_山东天安_V0.1.xlsx]Notes!CheckA"&amp;$D6651,$L$6214)</f>
        <v>43726400</v>
      </c>
      <c r="O6651" s="636">
        <f>HYPERLINK("[105_个别报表_2019年度_山东天安_V0.1.xlsx]Notes!CheckB"&amp;$D6651,$O$6214)</f>
        <v>0</v>
      </c>
    </row>
    <row r="6652" spans="1:15" ht="18">
      <c r="A6652" s="2717"/>
      <c r="D6652" s="369" t="s">
        <v>2061</v>
      </c>
      <c r="E6652" s="2721">
        <f t="shared" si="660"/>
        <v>3833037.43</v>
      </c>
      <c r="F6652" s="287">
        <v>398</v>
      </c>
      <c r="G6652" s="288" t="s">
        <v>7224</v>
      </c>
      <c r="L6652" s="636">
        <f>HYPERLINK("[105_个别报表_2019年度_山东天安_V0.1.xlsx]Notes!CheckA"&amp;$D6652,$L$6243)</f>
        <v>-3833037.43</v>
      </c>
      <c r="O6652" s="636">
        <f>HYPERLINK("[105_个别报表_2019年度_山东天安_V0.1.xlsx]Notes!CheckB"&amp;$D6652,$O$6243)</f>
        <v>0</v>
      </c>
    </row>
  </sheetData>
  <sheetProtection algorithmName="SHA-512" hashValue="pPcJPjhX+vLz5NSuUxYxSTEZql71t1jboNTDeNCjEjrJVwodV4A4jDxPUNqM1G1858JL7nP8tQ1stLdu2IcxKQ==" saltValue="ymcWJOTjmSRP7ivzV3Tt0Q==" spinCount="100000" sheet="1" scenarios="1" formatCells="0" autoFilter="0"/>
  <mergeCells count="355">
    <mergeCell ref="H3205:H3206"/>
    <mergeCell ref="L2278:L2279"/>
    <mergeCell ref="H3193:H3194"/>
    <mergeCell ref="L4089:M4089"/>
    <mergeCell ref="H2320:J2320"/>
    <mergeCell ref="H2653:H2654"/>
    <mergeCell ref="I2653:M2653"/>
    <mergeCell ref="N2207:N2208"/>
    <mergeCell ref="N2335:N2336"/>
    <mergeCell ref="H2835:J2835"/>
    <mergeCell ref="K2835:M2835"/>
    <mergeCell ref="H2913:J2913"/>
    <mergeCell ref="K2913:M2913"/>
    <mergeCell ref="H2925:H2926"/>
    <mergeCell ref="I2925:L2925"/>
    <mergeCell ref="M2925:N2925"/>
    <mergeCell ref="H3048:H3049"/>
    <mergeCell ref="H2987:H2988"/>
    <mergeCell ref="N4089:O4089"/>
    <mergeCell ref="Q1976:Q1977"/>
    <mergeCell ref="P2987:P2988"/>
    <mergeCell ref="P3180:P3181"/>
    <mergeCell ref="Q2468:Q2469"/>
    <mergeCell ref="M3180:M3181"/>
    <mergeCell ref="N3048:O3048"/>
    <mergeCell ref="N2653:O2653"/>
    <mergeCell ref="H2123:H2124"/>
    <mergeCell ref="I2123:I2124"/>
    <mergeCell ref="J2123:J2124"/>
    <mergeCell ref="K2123:M2123"/>
    <mergeCell ref="N2123:N2124"/>
    <mergeCell ref="H2053:K2053"/>
    <mergeCell ref="L2053:O2053"/>
    <mergeCell ref="H2298:K2298"/>
    <mergeCell ref="H1991:K1991"/>
    <mergeCell ref="K2142:K2143"/>
    <mergeCell ref="J2335:J2336"/>
    <mergeCell ref="H2162:J2162"/>
    <mergeCell ref="H2207:J2207"/>
    <mergeCell ref="H2278:I2278"/>
    <mergeCell ref="I2468:P2468"/>
    <mergeCell ref="K2354:K2355"/>
    <mergeCell ref="I2335:I2336"/>
    <mergeCell ref="Q5580:Q5581"/>
    <mergeCell ref="R2468:R2469"/>
    <mergeCell ref="R5580:R5581"/>
    <mergeCell ref="O2925:O2926"/>
    <mergeCell ref="N3180:N3181"/>
    <mergeCell ref="N4313:N4314"/>
    <mergeCell ref="N4397:N4398"/>
    <mergeCell ref="O2987:O2988"/>
    <mergeCell ref="P3048:P3049"/>
    <mergeCell ref="O3180:O3181"/>
    <mergeCell ref="O4397:O4398"/>
    <mergeCell ref="M2987:N2987"/>
    <mergeCell ref="P4372:P4373"/>
    <mergeCell ref="N4345:O4345"/>
    <mergeCell ref="P2653:P2654"/>
    <mergeCell ref="K4372:O4372"/>
    <mergeCell ref="L3218:L3219"/>
    <mergeCell ref="J3245:K3245"/>
    <mergeCell ref="J3261:K3261"/>
    <mergeCell ref="J4089:K4089"/>
    <mergeCell ref="I2987:L2987"/>
    <mergeCell ref="J5280:K5280"/>
    <mergeCell ref="J5295:K5295"/>
    <mergeCell ref="H4521:I4521"/>
    <mergeCell ref="N254:N255"/>
    <mergeCell ref="N692:N693"/>
    <mergeCell ref="N582:N583"/>
    <mergeCell ref="N852:N853"/>
    <mergeCell ref="N1474:N1475"/>
    <mergeCell ref="N1612:N1613"/>
    <mergeCell ref="I1779:I1780"/>
    <mergeCell ref="L1779:L1780"/>
    <mergeCell ref="K1474:M1474"/>
    <mergeCell ref="H1433:L1433"/>
    <mergeCell ref="I1612:J1612"/>
    <mergeCell ref="K1612:M1612"/>
    <mergeCell ref="K852:M852"/>
    <mergeCell ref="H863:I863"/>
    <mergeCell ref="J863:K863"/>
    <mergeCell ref="H1370:L1370"/>
    <mergeCell ref="H1392:L1392"/>
    <mergeCell ref="H1312:L1312"/>
    <mergeCell ref="H1474:H1475"/>
    <mergeCell ref="H1612:H1613"/>
    <mergeCell ref="H1622:J1622"/>
    <mergeCell ref="K1622:M1622"/>
    <mergeCell ref="J1474:J1475"/>
    <mergeCell ref="I1641:J1641"/>
    <mergeCell ref="G5750:G5751"/>
    <mergeCell ref="K3180:L3180"/>
    <mergeCell ref="K3193:L3193"/>
    <mergeCell ref="K3205:L3205"/>
    <mergeCell ref="J3218:K3218"/>
    <mergeCell ref="H3180:H3181"/>
    <mergeCell ref="G5572:G5573"/>
    <mergeCell ref="G5358:G5359"/>
    <mergeCell ref="G5374:G5375"/>
    <mergeCell ref="G5390:G5391"/>
    <mergeCell ref="G5424:G5425"/>
    <mergeCell ref="G5459:G5460"/>
    <mergeCell ref="G4345:G4346"/>
    <mergeCell ref="G4372:G4373"/>
    <mergeCell ref="G4397:G4398"/>
    <mergeCell ref="G4493:G4494"/>
    <mergeCell ref="G4521:G4522"/>
    <mergeCell ref="G4545:G4546"/>
    <mergeCell ref="G4568:G4569"/>
    <mergeCell ref="G3205:G3206"/>
    <mergeCell ref="I3193:J3193"/>
    <mergeCell ref="I3205:J3205"/>
    <mergeCell ref="L5280:L5281"/>
    <mergeCell ref="G5341:G5342"/>
    <mergeCell ref="K1641:L1641"/>
    <mergeCell ref="J1779:K1779"/>
    <mergeCell ref="H1804:K1804"/>
    <mergeCell ref="L1804:O1804"/>
    <mergeCell ref="H1828:J1828"/>
    <mergeCell ref="K1828:M1828"/>
    <mergeCell ref="H1843:K1843"/>
    <mergeCell ref="L1843:O1843"/>
    <mergeCell ref="H1641:H1642"/>
    <mergeCell ref="H1779:H1780"/>
    <mergeCell ref="M1641:M1642"/>
    <mergeCell ref="H1952:J1952"/>
    <mergeCell ref="K1952:M1952"/>
    <mergeCell ref="H1976:K1976"/>
    <mergeCell ref="M1991:M1992"/>
    <mergeCell ref="L1991:L1992"/>
    <mergeCell ref="H1913:H1914"/>
    <mergeCell ref="I1913:I1914"/>
    <mergeCell ref="J1913:J1914"/>
    <mergeCell ref="N1913:N1914"/>
    <mergeCell ref="K1913:M1913"/>
    <mergeCell ref="K1932:K1933"/>
    <mergeCell ref="K2162:M2162"/>
    <mergeCell ref="K2207:M2207"/>
    <mergeCell ref="H2335:H2336"/>
    <mergeCell ref="H2468:H2469"/>
    <mergeCell ref="J2278:K2278"/>
    <mergeCell ref="I3218:I3219"/>
    <mergeCell ref="I4372:I4373"/>
    <mergeCell ref="I5280:I5281"/>
    <mergeCell ref="I5295:I5296"/>
    <mergeCell ref="H4397:H4398"/>
    <mergeCell ref="J4345:K4345"/>
    <mergeCell ref="L4345:M4345"/>
    <mergeCell ref="L4322:L4323"/>
    <mergeCell ref="K2335:M2335"/>
    <mergeCell ref="H4545:I4545"/>
    <mergeCell ref="J4545:K4545"/>
    <mergeCell ref="H4568:I4568"/>
    <mergeCell ref="J4568:K4568"/>
    <mergeCell ref="M4322:M4323"/>
    <mergeCell ref="I4238:J4238"/>
    <mergeCell ref="I4313:M4313"/>
    <mergeCell ref="J4322:K4322"/>
    <mergeCell ref="L5295:L5296"/>
    <mergeCell ref="M3193:M3194"/>
    <mergeCell ref="G5324:G5325"/>
    <mergeCell ref="G3218:G3219"/>
    <mergeCell ref="G3245:G3246"/>
    <mergeCell ref="G3261:G3262"/>
    <mergeCell ref="G4089:G4090"/>
    <mergeCell ref="G4238:G4239"/>
    <mergeCell ref="H3218:H3219"/>
    <mergeCell ref="G4313:G4314"/>
    <mergeCell ref="G4322:G4323"/>
    <mergeCell ref="H3245:I3245"/>
    <mergeCell ref="H3261:I3261"/>
    <mergeCell ref="H4089:I4089"/>
    <mergeCell ref="G5280:G5281"/>
    <mergeCell ref="H5295:H5296"/>
    <mergeCell ref="G5295:G5296"/>
    <mergeCell ref="I4397:M4397"/>
    <mergeCell ref="H4238:H4239"/>
    <mergeCell ref="H4313:H4314"/>
    <mergeCell ref="H4372:H4373"/>
    <mergeCell ref="H4322:I4322"/>
    <mergeCell ref="G5580:G5581"/>
    <mergeCell ref="I3048:M3048"/>
    <mergeCell ref="I3180:J3180"/>
    <mergeCell ref="M3205:M3206"/>
    <mergeCell ref="G2142:G2143"/>
    <mergeCell ref="G2162:G2163"/>
    <mergeCell ref="G2207:G2208"/>
    <mergeCell ref="G2468:G2469"/>
    <mergeCell ref="G2925:G2926"/>
    <mergeCell ref="G2987:G2988"/>
    <mergeCell ref="G2653:G2654"/>
    <mergeCell ref="G2835:G2836"/>
    <mergeCell ref="G2913:G2914"/>
    <mergeCell ref="J5580:J5581"/>
    <mergeCell ref="J4521:K4521"/>
    <mergeCell ref="H4493:I4493"/>
    <mergeCell ref="J4493:K4493"/>
    <mergeCell ref="J4372:J4373"/>
    <mergeCell ref="H4345:I4345"/>
    <mergeCell ref="G3048:G3049"/>
    <mergeCell ref="G3180:G3181"/>
    <mergeCell ref="G3193:G3194"/>
    <mergeCell ref="H5580:H5581"/>
    <mergeCell ref="H5280:H5281"/>
    <mergeCell ref="G1312:G1313"/>
    <mergeCell ref="G1414:G1415"/>
    <mergeCell ref="G1120:G1121"/>
    <mergeCell ref="G1331:G1332"/>
    <mergeCell ref="G1353:G1354"/>
    <mergeCell ref="G1474:G1475"/>
    <mergeCell ref="G1061:G1062"/>
    <mergeCell ref="G1083:G1084"/>
    <mergeCell ref="G1105:G1106"/>
    <mergeCell ref="G1149:G1150"/>
    <mergeCell ref="G1171:G1172"/>
    <mergeCell ref="G1193:G1194"/>
    <mergeCell ref="G1208:G1209"/>
    <mergeCell ref="G1238:G1239"/>
    <mergeCell ref="G1260:G1261"/>
    <mergeCell ref="G1282:G1283"/>
    <mergeCell ref="G1297:G1298"/>
    <mergeCell ref="G1370:G1371"/>
    <mergeCell ref="G1392:G1393"/>
    <mergeCell ref="H1297:J1297"/>
    <mergeCell ref="H1120:J1120"/>
    <mergeCell ref="H1331:K1331"/>
    <mergeCell ref="H1353:J1353"/>
    <mergeCell ref="J852:J853"/>
    <mergeCell ref="H1061:K1061"/>
    <mergeCell ref="G852:G853"/>
    <mergeCell ref="G863:G864"/>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50:L5750"/>
    <mergeCell ref="H5324:L5324"/>
    <mergeCell ref="H5341:L5341"/>
    <mergeCell ref="H5358:M5358"/>
    <mergeCell ref="H5374:M5374"/>
    <mergeCell ref="H5750:H5751"/>
    <mergeCell ref="I5750:J5750"/>
    <mergeCell ref="H5390:J5390"/>
    <mergeCell ref="H5424:J5424"/>
    <mergeCell ref="H5459:K5459"/>
    <mergeCell ref="K5580:L5580"/>
    <mergeCell ref="M5580:P5580"/>
    <mergeCell ref="I5580:I5581"/>
    <mergeCell ref="H5505:K5505"/>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3:G2054"/>
    <mergeCell ref="G2123:G2124"/>
    <mergeCell ref="G766:G767"/>
    <mergeCell ref="H451:K451"/>
    <mergeCell ref="H471:J471"/>
    <mergeCell ref="G471:G472"/>
    <mergeCell ref="G451:G452"/>
    <mergeCell ref="K692:M692"/>
    <mergeCell ref="K582:M582"/>
    <mergeCell ref="H725:K725"/>
    <mergeCell ref="J582:J583"/>
    <mergeCell ref="H538:J538"/>
    <mergeCell ref="H692:H693"/>
    <mergeCell ref="H582:H583"/>
    <mergeCell ref="I692:J692"/>
    <mergeCell ref="I582:I583"/>
    <mergeCell ref="G725:G726"/>
    <mergeCell ref="G744:G745"/>
    <mergeCell ref="G538:G539"/>
    <mergeCell ref="G692:G693"/>
    <mergeCell ref="G582:G583"/>
    <mergeCell ref="G710:G711"/>
    <mergeCell ref="H710:K710"/>
    <mergeCell ref="I852:I853"/>
    <mergeCell ref="G5505:G5506"/>
    <mergeCell ref="G1913:G1914"/>
    <mergeCell ref="G1496:G1497"/>
    <mergeCell ref="H2417:J2417"/>
    <mergeCell ref="K2417:M2417"/>
    <mergeCell ref="G2417:G2418"/>
    <mergeCell ref="H1414:K1414"/>
    <mergeCell ref="G1622:G1623"/>
    <mergeCell ref="G1641:G1642"/>
    <mergeCell ref="G1779:G1780"/>
    <mergeCell ref="G1804:G1805"/>
    <mergeCell ref="G1828:G1829"/>
    <mergeCell ref="G1843:G1844"/>
    <mergeCell ref="G1932:G1933"/>
    <mergeCell ref="G1952:G1953"/>
    <mergeCell ref="G1976:G1977"/>
    <mergeCell ref="G1991:G1992"/>
    <mergeCell ref="G1433:G1434"/>
    <mergeCell ref="G1612:G1613"/>
    <mergeCell ref="G2320:G2321"/>
    <mergeCell ref="G2278:G2279"/>
    <mergeCell ref="G2298:G2299"/>
    <mergeCell ref="G2354:G2355"/>
    <mergeCell ref="G2335:G2336"/>
    <mergeCell ref="H744:K744"/>
    <mergeCell ref="H766:K766"/>
    <mergeCell ref="H781:K781"/>
    <mergeCell ref="H815:K815"/>
    <mergeCell ref="H837:K837"/>
    <mergeCell ref="H1966:K1966"/>
    <mergeCell ref="G1966:G1967"/>
    <mergeCell ref="G781:G782"/>
    <mergeCell ref="H796:K796"/>
    <mergeCell ref="G796:G797"/>
    <mergeCell ref="G815:G816"/>
    <mergeCell ref="G837:G838"/>
    <mergeCell ref="I1474:I1475"/>
    <mergeCell ref="H852:H853"/>
    <mergeCell ref="H1083:J1083"/>
    <mergeCell ref="H1105:J1105"/>
    <mergeCell ref="K1496:K1497"/>
    <mergeCell ref="H1149:K1149"/>
    <mergeCell ref="H1171:J1171"/>
    <mergeCell ref="H1193:J1193"/>
    <mergeCell ref="H1208:J1208"/>
    <mergeCell ref="H1238:K1238"/>
    <mergeCell ref="H1260:J1260"/>
    <mergeCell ref="H1282:J1282"/>
  </mergeCells>
  <phoneticPr fontId="163" type="noConversion"/>
  <conditionalFormatting sqref="I7">
    <cfRule type="cellIs" dxfId="3849" priority="2825" stopIfTrue="1" operator="equal">
      <formula>0</formula>
    </cfRule>
    <cfRule type="cellIs" dxfId="3848" priority="2826" stopIfTrue="1" operator="notEqual">
      <formula>0</formula>
    </cfRule>
  </conditionalFormatting>
  <conditionalFormatting sqref="P7">
    <cfRule type="cellIs" dxfId="3847" priority="2819" stopIfTrue="1" operator="equal">
      <formula>0</formula>
    </cfRule>
    <cfRule type="cellIs" dxfId="3846" priority="2820" stopIfTrue="1" operator="notEqual">
      <formula>0</formula>
    </cfRule>
  </conditionalFormatting>
  <conditionalFormatting sqref="Q90 Q1522:Q1528 Q2003:Q2014 Q5623:Q5648 Q5747:Q5774 Q1801:Q1812 Q699:Q706 Q2650:Q2652 Q71:Q88 Q1871:Q1947 Q5387 Q5421:Q5454 Q2193:Q2202 Q4098:Q4107 Q911 Q2414:Q2464 Q1028:Q1219 Q891 Q1855 Q2065 Q2220:Q2235 Q2317 Q2332:Q2350 Q793:Q851 Q689 Q170:Q315 Q500 Q430:Q485 Q1471:Q1511 Q1309:Q1367 Q1389 Q1411 Q1430 Q1451 Q1461 Q1609 Q1657 Q1667 Q1738 Q2654:Q2707 Q2721 Q2735 Q2750:Q2762 Q1766 Q2370 Q3361 Q4042 Q5776:Q5804 Q5502 Q5550:Q5558 Q5277 Q5292:Q5319 Q722:Q778 Q2081 Q2094 Q2107 Q2120:Q2138">
    <cfRule type="expression" dxfId="3845" priority="4244" stopIfTrue="1">
      <formula>$Q71="请输入"</formula>
    </cfRule>
  </conditionalFormatting>
  <conditionalFormatting sqref="I109 I5603 I5277 I5292 I5307 I5623 I5636 I5649 I5659 I5669 I5679 I5689 I5699 I5709 I5719 I5729 I5739 I5747 I5762 I3590 I2193 I911 I1493 I1058 I1080 I1102 I1117 I1309 I1328 I1350 I1471 I1910 I1871 I1897 I2081 I2094 I2107 I2120 I2332 I2317 I1884 I468 I689 I668 I485 I500 I430 I891 I1367 I1389 I1411 I1430 I1451 I1461 I1609 I1657 I1667 I1738 I2370 I2707 I2721 I2735 I2750 I1589 I1766 I2773 I3361 I4042 I4224">
    <cfRule type="expression" dxfId="3844" priority="2481" stopIfTrue="1">
      <formula>$I109="适用"</formula>
    </cfRule>
    <cfRule type="expression" dxfId="3843" priority="2482" stopIfTrue="1">
      <formula>$I109="不适用"</formula>
    </cfRule>
  </conditionalFormatting>
  <conditionalFormatting sqref="I317">
    <cfRule type="expression" dxfId="3842" priority="951" stopIfTrue="1">
      <formula>$I317="适用"</formula>
    </cfRule>
    <cfRule type="expression" dxfId="3841" priority="952" stopIfTrue="1">
      <formula>$I317="不适用"</formula>
    </cfRule>
  </conditionalFormatting>
  <conditionalFormatting sqref="I334">
    <cfRule type="expression" dxfId="3840" priority="945" stopIfTrue="1">
      <formula>$I334="适用"</formula>
    </cfRule>
    <cfRule type="expression" dxfId="3839" priority="946" stopIfTrue="1">
      <formula>$I334="不适用"</formula>
    </cfRule>
  </conditionalFormatting>
  <conditionalFormatting sqref="I356">
    <cfRule type="expression" dxfId="3838" priority="939" stopIfTrue="1">
      <formula>$I356="适用"</formula>
    </cfRule>
    <cfRule type="expression" dxfId="3837" priority="940" stopIfTrue="1">
      <formula>$I356="不适用"</formula>
    </cfRule>
  </conditionalFormatting>
  <conditionalFormatting sqref="I378">
    <cfRule type="expression" dxfId="3836" priority="933" stopIfTrue="1">
      <formula>$I378="适用"</formula>
    </cfRule>
    <cfRule type="expression" dxfId="3835" priority="934" stopIfTrue="1">
      <formula>$I378="不适用"</formula>
    </cfRule>
  </conditionalFormatting>
  <conditionalFormatting sqref="I400">
    <cfRule type="expression" dxfId="3834" priority="923" stopIfTrue="1">
      <formula>$I400="适用"</formula>
    </cfRule>
    <cfRule type="expression" dxfId="3833" priority="924" stopIfTrue="1">
      <formula>$I400="不适用"</formula>
    </cfRule>
  </conditionalFormatting>
  <conditionalFormatting sqref="Q515">
    <cfRule type="expression" dxfId="3832" priority="4253" stopIfTrue="1">
      <formula>$Q515="请输入"</formula>
    </cfRule>
  </conditionalFormatting>
  <conditionalFormatting sqref="G525 G93:G106 G1416:G1421 G894:G899 G2604:G2618 G4045:G4050 G1817:G1822 G1806:G1811 G1498:G1510 G2655:G2698 G490:G498 G4867:G4875 G4638:G4641 G5310:G5318 G5213:G5274 G5282:G5290 G4903:G4912 G5352:G5353 G5124:G5127 G4644:G4652">
    <cfRule type="expression" dxfId="3831" priority="930">
      <formula>$D93&gt;1</formula>
    </cfRule>
    <cfRule type="expression" dxfId="3830" priority="931">
      <formula>$C93="%IN"</formula>
    </cfRule>
    <cfRule type="expression" dxfId="3829" priority="932" stopIfTrue="1">
      <formula>$E93=0</formula>
    </cfRule>
  </conditionalFormatting>
  <conditionalFormatting sqref="Q535">
    <cfRule type="expression" dxfId="3828" priority="4254" stopIfTrue="1">
      <formula>$Q535="请输入"</formula>
    </cfRule>
  </conditionalFormatting>
  <conditionalFormatting sqref="I579">
    <cfRule type="expression" dxfId="3827" priority="917" stopIfTrue="1">
      <formula>$I579="适用"</formula>
    </cfRule>
    <cfRule type="expression" dxfId="3826" priority="918" stopIfTrue="1">
      <formula>$I579="不适用"</formula>
    </cfRule>
  </conditionalFormatting>
  <conditionalFormatting sqref="Q601">
    <cfRule type="expression" dxfId="3825" priority="4258" stopIfTrue="1">
      <formula>$Q601="请输入"</formula>
    </cfRule>
  </conditionalFormatting>
  <conditionalFormatting sqref="I611">
    <cfRule type="expression" dxfId="3824" priority="914" stopIfTrue="1">
      <formula>$I611="适用"</formula>
    </cfRule>
    <cfRule type="expression" dxfId="3823" priority="915" stopIfTrue="1">
      <formula>$I611="不适用"</formula>
    </cfRule>
  </conditionalFormatting>
  <conditionalFormatting sqref="Q618">
    <cfRule type="expression" dxfId="3822" priority="4259" stopIfTrue="1">
      <formula>$Q618="请输入"</formula>
    </cfRule>
  </conditionalFormatting>
  <conditionalFormatting sqref="G3364:G3369 G1769:G1774 G505:G513 G1372:G1380 G1394:G1402 G5606:G5620 G5692:G5697 G5712:G5717 G5732:G5737 G5742:G5744 G4755:G4765 G5132:G5136 G4881:G4897 G5151:G5156 G5141:G5146 G4962:G4965 G4668:G4683">
    <cfRule type="expression" dxfId="3821" priority="907" stopIfTrue="1">
      <formula>$D505&gt;1</formula>
    </cfRule>
    <cfRule type="expression" dxfId="3820" priority="908" stopIfTrue="1">
      <formula>$C505="%IN"</formula>
    </cfRule>
  </conditionalFormatting>
  <conditionalFormatting sqref="Q629">
    <cfRule type="expression" dxfId="3819" priority="4260" stopIfTrue="1">
      <formula>$Q629="请输入"</formula>
    </cfRule>
  </conditionalFormatting>
  <conditionalFormatting sqref="Q648">
    <cfRule type="expression" dxfId="3818" priority="4261" stopIfTrue="1">
      <formula>$Q648="请输入"</formula>
    </cfRule>
  </conditionalFormatting>
  <conditionalFormatting sqref="Q658">
    <cfRule type="expression" dxfId="3817" priority="4262" stopIfTrue="1">
      <formula>$Q658="请输入"</formula>
    </cfRule>
  </conditionalFormatting>
  <conditionalFormatting sqref="Q668">
    <cfRule type="expression" dxfId="3816" priority="4264" stopIfTrue="1">
      <formula>$Q668="请输入"</formula>
    </cfRule>
  </conditionalFormatting>
  <conditionalFormatting sqref="Q678">
    <cfRule type="expression" dxfId="3815" priority="4265" stopIfTrue="1">
      <formula>$Q678="请输入"</formula>
    </cfRule>
  </conditionalFormatting>
  <conditionalFormatting sqref="I699">
    <cfRule type="expression" dxfId="3814" priority="1021" stopIfTrue="1">
      <formula>$I699="适用"</formula>
    </cfRule>
    <cfRule type="expression" dxfId="3813" priority="1022" stopIfTrue="1">
      <formula>$I699="不适用"</formula>
    </cfRule>
  </conditionalFormatting>
  <conditionalFormatting sqref="I707">
    <cfRule type="expression" dxfId="3812" priority="1018" stopIfTrue="1">
      <formula>$I707="适用"</formula>
    </cfRule>
    <cfRule type="expression" dxfId="3811" priority="1019" stopIfTrue="1">
      <formula>$I707="不适用"</formula>
    </cfRule>
  </conditionalFormatting>
  <conditionalFormatting sqref="I722">
    <cfRule type="expression" dxfId="3810" priority="1015" stopIfTrue="1">
      <formula>$I722="适用"</formula>
    </cfRule>
    <cfRule type="expression" dxfId="3809" priority="1016" stopIfTrue="1">
      <formula>$I722="不适用"</formula>
    </cfRule>
  </conditionalFormatting>
  <conditionalFormatting sqref="I741">
    <cfRule type="expression" dxfId="3808" priority="1012" stopIfTrue="1">
      <formula>$I741="适用"</formula>
    </cfRule>
    <cfRule type="expression" dxfId="3807" priority="1013" stopIfTrue="1">
      <formula>$I741="不适用"</formula>
    </cfRule>
  </conditionalFormatting>
  <conditionalFormatting sqref="I849">
    <cfRule type="expression" dxfId="3806" priority="1009" stopIfTrue="1">
      <formula>$I849="适用"</formula>
    </cfRule>
    <cfRule type="expression" dxfId="3805" priority="1010" stopIfTrue="1">
      <formula>$I849="不适用"</formula>
    </cfRule>
  </conditionalFormatting>
  <conditionalFormatting sqref="Q860">
    <cfRule type="expression" dxfId="3804" priority="4266" stopIfTrue="1">
      <formula>$Q860="请输入"</formula>
    </cfRule>
  </conditionalFormatting>
  <conditionalFormatting sqref="Q872">
    <cfRule type="expression" dxfId="3803" priority="4268" stopIfTrue="1">
      <formula>$Q872="请输入"</formula>
    </cfRule>
  </conditionalFormatting>
  <conditionalFormatting sqref="I901">
    <cfRule type="expression" dxfId="3802" priority="1441" stopIfTrue="1">
      <formula>$I901="适用"</formula>
    </cfRule>
    <cfRule type="expression" dxfId="3801" priority="1442" stopIfTrue="1">
      <formula>$I901="不适用"</formula>
    </cfRule>
  </conditionalFormatting>
  <conditionalFormatting sqref="I935">
    <cfRule type="expression" dxfId="3800" priority="1124" stopIfTrue="1">
      <formula>$I935="适用"</formula>
    </cfRule>
    <cfRule type="expression" dxfId="3799" priority="1125" stopIfTrue="1">
      <formula>$I935="不适用"</formula>
    </cfRule>
  </conditionalFormatting>
  <conditionalFormatting sqref="Q945">
    <cfRule type="expression" dxfId="3798" priority="4273" stopIfTrue="1">
      <formula>$Q945="请输入"</formula>
    </cfRule>
  </conditionalFormatting>
  <conditionalFormatting sqref="Q957">
    <cfRule type="expression" dxfId="3797" priority="4274" stopIfTrue="1">
      <formula>$Q957="请输入"</formula>
    </cfRule>
  </conditionalFormatting>
  <conditionalFormatting sqref="Q968">
    <cfRule type="expression" dxfId="3796" priority="4275" stopIfTrue="1">
      <formula>$Q968="请输入"</formula>
    </cfRule>
  </conditionalFormatting>
  <conditionalFormatting sqref="I978">
    <cfRule type="expression" dxfId="3795" priority="2467" stopIfTrue="1">
      <formula>$I978="适用"</formula>
    </cfRule>
    <cfRule type="expression" dxfId="3794" priority="2468" stopIfTrue="1">
      <formula>$I978="不适用"</formula>
    </cfRule>
  </conditionalFormatting>
  <conditionalFormatting sqref="Q978">
    <cfRule type="expression" dxfId="3793" priority="4276" stopIfTrue="1">
      <formula>$Q978="请输入"</formula>
    </cfRule>
  </conditionalFormatting>
  <conditionalFormatting sqref="I1044">
    <cfRule type="expression" dxfId="3792" priority="986" stopIfTrue="1">
      <formula>$I1044="适用"</formula>
    </cfRule>
    <cfRule type="expression" dxfId="3791" priority="987" stopIfTrue="1">
      <formula>$I1044="不适用"</formula>
    </cfRule>
  </conditionalFormatting>
  <conditionalFormatting sqref="I1220">
    <cfRule type="expression" dxfId="3790" priority="980" stopIfTrue="1">
      <formula>$I1220="适用"</formula>
    </cfRule>
    <cfRule type="expression" dxfId="3789" priority="981" stopIfTrue="1">
      <formula>$I1220="不适用"</formula>
    </cfRule>
  </conditionalFormatting>
  <conditionalFormatting sqref="Q1512">
    <cfRule type="expression" dxfId="3788" priority="4284" stopIfTrue="1">
      <formula>$Q1512="请输入"</formula>
    </cfRule>
  </conditionalFormatting>
  <conditionalFormatting sqref="I1522">
    <cfRule type="expression" dxfId="3787" priority="956" stopIfTrue="1">
      <formula>$I1522="适用"</formula>
    </cfRule>
    <cfRule type="expression" dxfId="3786" priority="957" stopIfTrue="1">
      <formula>$I1522="不适用"</formula>
    </cfRule>
  </conditionalFormatting>
  <conditionalFormatting sqref="Q1529">
    <cfRule type="expression" dxfId="3785" priority="4285" stopIfTrue="1">
      <formula>$Q1529="请输入"</formula>
    </cfRule>
  </conditionalFormatting>
  <conditionalFormatting sqref="Q1540">
    <cfRule type="expression" dxfId="3784" priority="4287" stopIfTrue="1">
      <formula>$Q1540="请输入"</formula>
    </cfRule>
  </conditionalFormatting>
  <conditionalFormatting sqref="Q1559">
    <cfRule type="expression" dxfId="3783" priority="4288" stopIfTrue="1">
      <formula>$Q1559="请输入"</formula>
    </cfRule>
  </conditionalFormatting>
  <conditionalFormatting sqref="Q1569">
    <cfRule type="expression" dxfId="3782" priority="4289" stopIfTrue="1">
      <formula>$Q1569="请输入"</formula>
    </cfRule>
  </conditionalFormatting>
  <conditionalFormatting sqref="Q1579">
    <cfRule type="expression" dxfId="3781" priority="4290" stopIfTrue="1">
      <formula>$Q1579="请输入"</formula>
    </cfRule>
  </conditionalFormatting>
  <conditionalFormatting sqref="Q1589">
    <cfRule type="expression" dxfId="3780" priority="4292" stopIfTrue="1">
      <formula>$Q1589="请输入"</formula>
    </cfRule>
  </conditionalFormatting>
  <conditionalFormatting sqref="Q1599">
    <cfRule type="expression" dxfId="3779" priority="4293" stopIfTrue="1">
      <formula>$Q1599="请输入"</formula>
    </cfRule>
  </conditionalFormatting>
  <conditionalFormatting sqref="Q1619">
    <cfRule type="expression" dxfId="3778" priority="4294" stopIfTrue="1">
      <formula>$Q1619="请输入"</formula>
    </cfRule>
  </conditionalFormatting>
  <conditionalFormatting sqref="Q1638">
    <cfRule type="expression" dxfId="3777" priority="4295" stopIfTrue="1">
      <formula>$Q1638="请输入"</formula>
    </cfRule>
  </conditionalFormatting>
  <conditionalFormatting sqref="Q1684">
    <cfRule type="expression" dxfId="3776" priority="4298" stopIfTrue="1">
      <formula>$Q1684="请输入"</formula>
    </cfRule>
  </conditionalFormatting>
  <conditionalFormatting sqref="Q1701">
    <cfRule type="expression" dxfId="3775" priority="4299" stopIfTrue="1">
      <formula>$Q1701="请输入"</formula>
    </cfRule>
  </conditionalFormatting>
  <conditionalFormatting sqref="Q1718">
    <cfRule type="expression" dxfId="3774" priority="4300" stopIfTrue="1">
      <formula>$Q1718="请输入"</formula>
    </cfRule>
  </conditionalFormatting>
  <conditionalFormatting sqref="I1755">
    <cfRule type="expression" dxfId="3773" priority="1435" stopIfTrue="1">
      <formula>$I1755="适用"</formula>
    </cfRule>
    <cfRule type="expression" dxfId="3772" priority="1436" stopIfTrue="1">
      <formula>$I1755="不适用"</formula>
    </cfRule>
  </conditionalFormatting>
  <conditionalFormatting sqref="Q1755">
    <cfRule type="expression" dxfId="3771" priority="4303" stopIfTrue="1">
      <formula>$Q1755="请输入"</formula>
    </cfRule>
  </conditionalFormatting>
  <conditionalFormatting sqref="I1792">
    <cfRule type="expression" dxfId="3770" priority="2403" stopIfTrue="1">
      <formula>$I1792="适用"</formula>
    </cfRule>
    <cfRule type="expression" dxfId="3769" priority="2404" stopIfTrue="1">
      <formula>$I1792="不适用"</formula>
    </cfRule>
  </conditionalFormatting>
  <conditionalFormatting sqref="Q1792">
    <cfRule type="expression" dxfId="3768" priority="4309" stopIfTrue="1">
      <formula>$Q1792="请输入"</formula>
    </cfRule>
  </conditionalFormatting>
  <conditionalFormatting sqref="I1801">
    <cfRule type="expression" dxfId="3767" priority="893" stopIfTrue="1">
      <formula>$I1801="适用"</formula>
    </cfRule>
    <cfRule type="expression" dxfId="3766" priority="894" stopIfTrue="1">
      <formula>$I1801="不适用"</formula>
    </cfRule>
  </conditionalFormatting>
  <conditionalFormatting sqref="Q1814">
    <cfRule type="expression" dxfId="3765" priority="4310" stopIfTrue="1">
      <formula>$Q1814="请输入"</formula>
    </cfRule>
  </conditionalFormatting>
  <conditionalFormatting sqref="I1825">
    <cfRule type="expression" dxfId="3764" priority="890" stopIfTrue="1">
      <formula>$I1825="适用"</formula>
    </cfRule>
    <cfRule type="expression" dxfId="3763" priority="891" stopIfTrue="1">
      <formula>$I1825="不适用"</formula>
    </cfRule>
  </conditionalFormatting>
  <conditionalFormatting sqref="I1840">
    <cfRule type="expression" dxfId="3762" priority="887" stopIfTrue="1">
      <formula>$I1840="适用"</formula>
    </cfRule>
    <cfRule type="expression" dxfId="3761" priority="888" stopIfTrue="1">
      <formula>$I1840="不适用"</formula>
    </cfRule>
  </conditionalFormatting>
  <conditionalFormatting sqref="I1855">
    <cfRule type="expression" dxfId="3760" priority="884" stopIfTrue="1">
      <formula>$I1855="适用"</formula>
    </cfRule>
    <cfRule type="expression" dxfId="3759" priority="885" stopIfTrue="1">
      <formula>$I1855="不适用"</formula>
    </cfRule>
  </conditionalFormatting>
  <conditionalFormatting sqref="I1929">
    <cfRule type="expression" dxfId="3758" priority="869" stopIfTrue="1">
      <formula>$I1929="适用"</formula>
    </cfRule>
    <cfRule type="expression" dxfId="3757" priority="870" stopIfTrue="1">
      <formula>$I1929="不适用"</formula>
    </cfRule>
  </conditionalFormatting>
  <conditionalFormatting sqref="Q1949">
    <cfRule type="expression" dxfId="3756" priority="4311" stopIfTrue="1">
      <formula>$Q1949="请输入"</formula>
    </cfRule>
  </conditionalFormatting>
  <conditionalFormatting sqref="I1963">
    <cfRule type="expression" dxfId="3755" priority="2395" stopIfTrue="1">
      <formula>$I1963="适用"</formula>
    </cfRule>
    <cfRule type="expression" dxfId="3754" priority="2396" stopIfTrue="1">
      <formula>$I1963="不适用"</formula>
    </cfRule>
  </conditionalFormatting>
  <conditionalFormatting sqref="Q1963">
    <cfRule type="expression" dxfId="3753" priority="4312" stopIfTrue="1">
      <formula>$Q1963="请输入"</formula>
    </cfRule>
  </conditionalFormatting>
  <conditionalFormatting sqref="I1973">
    <cfRule type="expression" dxfId="3752" priority="836" stopIfTrue="1">
      <formula>$I1973="适用"</formula>
    </cfRule>
    <cfRule type="expression" dxfId="3751" priority="837" stopIfTrue="1">
      <formula>$I1973="不适用"</formula>
    </cfRule>
  </conditionalFormatting>
  <conditionalFormatting sqref="I1988">
    <cfRule type="expression" dxfId="3750" priority="833" stopIfTrue="1">
      <formula>$I1988="适用"</formula>
    </cfRule>
    <cfRule type="expression" dxfId="3749" priority="834" stopIfTrue="1">
      <formula>$I1988="不适用"</formula>
    </cfRule>
  </conditionalFormatting>
  <conditionalFormatting sqref="I2003">
    <cfRule type="expression" dxfId="3748" priority="830" stopIfTrue="1">
      <formula>$I2003="适用"</formula>
    </cfRule>
    <cfRule type="expression" dxfId="3747" priority="831" stopIfTrue="1">
      <formula>$I2003="不适用"</formula>
    </cfRule>
  </conditionalFormatting>
  <conditionalFormatting sqref="Q2015">
    <cfRule type="expression" dxfId="3746" priority="4314" stopIfTrue="1">
      <formula>$Q2015="请输入"</formula>
    </cfRule>
  </conditionalFormatting>
  <conditionalFormatting sqref="I2023">
    <cfRule type="expression" dxfId="3745" priority="2379" stopIfTrue="1">
      <formula>$I2023="适用"</formula>
    </cfRule>
    <cfRule type="expression" dxfId="3744" priority="2380" stopIfTrue="1">
      <formula>$I2023="不适用"</formula>
    </cfRule>
  </conditionalFormatting>
  <conditionalFormatting sqref="Q2023">
    <cfRule type="expression" dxfId="3743" priority="4318" stopIfTrue="1">
      <formula>$Q2023="请输入"</formula>
    </cfRule>
  </conditionalFormatting>
  <conditionalFormatting sqref="I2034">
    <cfRule type="expression" dxfId="3742" priority="827" stopIfTrue="1">
      <formula>$I2034="适用"</formula>
    </cfRule>
    <cfRule type="expression" dxfId="3741" priority="828" stopIfTrue="1">
      <formula>$I2034="不适用"</formula>
    </cfRule>
  </conditionalFormatting>
  <conditionalFormatting sqref="I2050">
    <cfRule type="expression" dxfId="3740" priority="820" stopIfTrue="1">
      <formula>$I2050="适用"</formula>
    </cfRule>
    <cfRule type="expression" dxfId="3739" priority="821" stopIfTrue="1">
      <formula>$I2050="不适用"</formula>
    </cfRule>
  </conditionalFormatting>
  <conditionalFormatting sqref="I2065">
    <cfRule type="expression" dxfId="3738" priority="817" stopIfTrue="1">
      <formula>$I2065="适用"</formula>
    </cfRule>
    <cfRule type="expression" dxfId="3737" priority="818" stopIfTrue="1">
      <formula>$I2065="不适用"</formula>
    </cfRule>
  </conditionalFormatting>
  <conditionalFormatting sqref="I2139">
    <cfRule type="expression" dxfId="3736" priority="805" stopIfTrue="1">
      <formula>$I2139="适用"</formula>
    </cfRule>
    <cfRule type="expression" dxfId="3735" priority="806" stopIfTrue="1">
      <formula>$I2139="不适用"</formula>
    </cfRule>
  </conditionalFormatting>
  <conditionalFormatting sqref="Q2159">
    <cfRule type="expression" dxfId="3734" priority="4319" stopIfTrue="1">
      <formula>$Q2159="请输入"</formula>
    </cfRule>
  </conditionalFormatting>
  <conditionalFormatting sqref="I2173">
    <cfRule type="expression" dxfId="3733" priority="2369" stopIfTrue="1">
      <formula>$I2173="适用"</formula>
    </cfRule>
    <cfRule type="expression" dxfId="3732" priority="2370" stopIfTrue="1">
      <formula>$I2173="不适用"</formula>
    </cfRule>
  </conditionalFormatting>
  <conditionalFormatting sqref="Q2173">
    <cfRule type="expression" dxfId="3731" priority="4320" stopIfTrue="1">
      <formula>$Q2173="请输入"</formula>
    </cfRule>
  </conditionalFormatting>
  <conditionalFormatting sqref="I2183">
    <cfRule type="expression" dxfId="3730" priority="2363" stopIfTrue="1">
      <formula>$I2183="适用"</formula>
    </cfRule>
    <cfRule type="expression" dxfId="3729" priority="2364" stopIfTrue="1">
      <formula>$I2183="不适用"</formula>
    </cfRule>
  </conditionalFormatting>
  <conditionalFormatting sqref="Q2183">
    <cfRule type="expression" dxfId="3728" priority="4321" stopIfTrue="1">
      <formula>$Q2183="请输入"</formula>
    </cfRule>
  </conditionalFormatting>
  <conditionalFormatting sqref="Q2204">
    <cfRule type="expression" dxfId="3727" priority="4322" stopIfTrue="1">
      <formula>$Q2204="请输入"</formula>
    </cfRule>
  </conditionalFormatting>
  <conditionalFormatting sqref="I2236">
    <cfRule type="expression" dxfId="3726" priority="781" stopIfTrue="1">
      <formula>$I2236="适用"</formula>
    </cfRule>
    <cfRule type="expression" dxfId="3725" priority="782" stopIfTrue="1">
      <formula>$I2236="不适用"</formula>
    </cfRule>
  </conditionalFormatting>
  <conditionalFormatting sqref="I2249">
    <cfRule type="expression" dxfId="3724" priority="778" stopIfTrue="1">
      <formula>$I2249="适用"</formula>
    </cfRule>
    <cfRule type="expression" dxfId="3723" priority="779" stopIfTrue="1">
      <formula>$I2249="不适用"</formula>
    </cfRule>
  </conditionalFormatting>
  <conditionalFormatting sqref="I2262">
    <cfRule type="expression" dxfId="3722" priority="772" stopIfTrue="1">
      <formula>$I2262="适用"</formula>
    </cfRule>
    <cfRule type="expression" dxfId="3721" priority="773" stopIfTrue="1">
      <formula>$I2262="不适用"</formula>
    </cfRule>
  </conditionalFormatting>
  <conditionalFormatting sqref="I2275">
    <cfRule type="expression" dxfId="3720" priority="754" stopIfTrue="1">
      <formula>$I2275="适用"</formula>
    </cfRule>
    <cfRule type="expression" dxfId="3719" priority="755" stopIfTrue="1">
      <formula>$I2275="不适用"</formula>
    </cfRule>
  </conditionalFormatting>
  <conditionalFormatting sqref="I2295">
    <cfRule type="expression" dxfId="3718" priority="751" stopIfTrue="1">
      <formula>$I2295="适用"</formula>
    </cfRule>
    <cfRule type="expression" dxfId="3717" priority="752" stopIfTrue="1">
      <formula>$I2295="不适用"</formula>
    </cfRule>
  </conditionalFormatting>
  <conditionalFormatting sqref="I2351">
    <cfRule type="expression" dxfId="3716" priority="748" stopIfTrue="1">
      <formula>$I2351="适用"</formula>
    </cfRule>
    <cfRule type="expression" dxfId="3715" priority="749" stopIfTrue="1">
      <formula>$I2351="不适用"</formula>
    </cfRule>
  </conditionalFormatting>
  <conditionalFormatting sqref="I2380">
    <cfRule type="expression" dxfId="3714" priority="736" stopIfTrue="1">
      <formula>$I2380="适用"</formula>
    </cfRule>
    <cfRule type="expression" dxfId="3713" priority="737" stopIfTrue="1">
      <formula>$I2380="不适用"</formula>
    </cfRule>
  </conditionalFormatting>
  <conditionalFormatting sqref="I2393">
    <cfRule type="expression" dxfId="3712" priority="2766" stopIfTrue="1">
      <formula>$I2393="适用"</formula>
    </cfRule>
    <cfRule type="expression" dxfId="3711" priority="2767" stopIfTrue="1">
      <formula>$I2393="不适用"</formula>
    </cfRule>
  </conditionalFormatting>
  <conditionalFormatting sqref="Q2393">
    <cfRule type="expression" dxfId="3710" priority="4323" stopIfTrue="1">
      <formula>$Q2393="请输入"</formula>
    </cfRule>
  </conditionalFormatting>
  <conditionalFormatting sqref="I2403">
    <cfRule type="expression" dxfId="3709" priority="1973" stopIfTrue="1">
      <formula>$I2403="适用"</formula>
    </cfRule>
    <cfRule type="expression" dxfId="3708" priority="1974" stopIfTrue="1">
      <formula>$I2403="不适用"</formula>
    </cfRule>
  </conditionalFormatting>
  <conditionalFormatting sqref="Q2403">
    <cfRule type="expression" dxfId="3707" priority="4327" stopIfTrue="1">
      <formula>$Q2403="请输入"</formula>
    </cfRule>
  </conditionalFormatting>
  <conditionalFormatting sqref="I2499">
    <cfRule type="expression" dxfId="3706" priority="733" stopIfTrue="1">
      <formula>$I2499="适用"</formula>
    </cfRule>
    <cfRule type="expression" dxfId="3705" priority="734" stopIfTrue="1">
      <formula>$I2499="不适用"</formula>
    </cfRule>
  </conditionalFormatting>
  <conditionalFormatting sqref="I2508">
    <cfRule type="expression" dxfId="3704" priority="730" stopIfTrue="1">
      <formula>$I2508="适用"</formula>
    </cfRule>
    <cfRule type="expression" dxfId="3703" priority="731" stopIfTrue="1">
      <formula>$I2508="不适用"</formula>
    </cfRule>
  </conditionalFormatting>
  <conditionalFormatting sqref="I2522">
    <cfRule type="expression" dxfId="3702" priority="727" stopIfTrue="1">
      <formula>$I2522="适用"</formula>
    </cfRule>
    <cfRule type="expression" dxfId="3701" priority="728" stopIfTrue="1">
      <formula>$I2522="不适用"</formula>
    </cfRule>
  </conditionalFormatting>
  <conditionalFormatting sqref="Q2601">
    <cfRule type="expression" dxfId="3700" priority="4342" stopIfTrue="1">
      <formula>$Q2601="请输入"</formula>
    </cfRule>
  </conditionalFormatting>
  <conditionalFormatting sqref="Q2620">
    <cfRule type="expression" dxfId="3699" priority="4343" stopIfTrue="1">
      <formula>$Q2620="请输入"</formula>
    </cfRule>
  </conditionalFormatting>
  <conditionalFormatting sqref="I2641">
    <cfRule type="expression" dxfId="3698" priority="1119" stopIfTrue="1">
      <formula>$I2641="适用"</formula>
    </cfRule>
    <cfRule type="expression" dxfId="3697" priority="1120" stopIfTrue="1">
      <formula>$I2641="不适用"</formula>
    </cfRule>
  </conditionalFormatting>
  <conditionalFormatting sqref="Q2763">
    <cfRule type="expression" dxfId="3696" priority="4352" stopIfTrue="1">
      <formula>$Q2763="请输入"</formula>
    </cfRule>
  </conditionalFormatting>
  <conditionalFormatting sqref="I2783">
    <cfRule type="expression" dxfId="3695" priority="1427" stopIfTrue="1">
      <formula>$I2783="适用"</formula>
    </cfRule>
    <cfRule type="expression" dxfId="3694" priority="1428" stopIfTrue="1">
      <formula>$I2783="不适用"</formula>
    </cfRule>
  </conditionalFormatting>
  <conditionalFormatting sqref="I2799">
    <cfRule type="expression" dxfId="3693" priority="691" stopIfTrue="1">
      <formula>$I2799="适用"</formula>
    </cfRule>
    <cfRule type="expression" dxfId="3692" priority="692" stopIfTrue="1">
      <formula>$I2799="不适用"</formula>
    </cfRule>
  </conditionalFormatting>
  <conditionalFormatting sqref="I2823">
    <cfRule type="expression" dxfId="3691" priority="1114" stopIfTrue="1">
      <formula>$I2823="适用"</formula>
    </cfRule>
    <cfRule type="expression" dxfId="3690" priority="1115" stopIfTrue="1">
      <formula>$I2823="不适用"</formula>
    </cfRule>
  </conditionalFormatting>
  <conditionalFormatting sqref="Q2832">
    <cfRule type="expression" dxfId="3689" priority="4355" stopIfTrue="1">
      <formula>$Q2832="请输入"</formula>
    </cfRule>
  </conditionalFormatting>
  <conditionalFormatting sqref="Q2849">
    <cfRule type="expression" dxfId="3688" priority="4356" stopIfTrue="1">
      <formula>$Q2849="请输入"</formula>
    </cfRule>
  </conditionalFormatting>
  <conditionalFormatting sqref="Q2864">
    <cfRule type="expression" dxfId="3687" priority="4357" stopIfTrue="1">
      <formula>$Q2864="请输入"</formula>
    </cfRule>
  </conditionalFormatting>
  <conditionalFormatting sqref="I2879">
    <cfRule type="expression" dxfId="3686" priority="682" stopIfTrue="1">
      <formula>$I2879="适用"</formula>
    </cfRule>
    <cfRule type="expression" dxfId="3685" priority="683" stopIfTrue="1">
      <formula>$I2879="不适用"</formula>
    </cfRule>
  </conditionalFormatting>
  <conditionalFormatting sqref="Q2899">
    <cfRule type="expression" dxfId="3684" priority="4358" stopIfTrue="1">
      <formula>$Q2899="请输入"</formula>
    </cfRule>
  </conditionalFormatting>
  <conditionalFormatting sqref="I2910">
    <cfRule type="expression" dxfId="3683" priority="1086" stopIfTrue="1">
      <formula>$I2910="适用"</formula>
    </cfRule>
    <cfRule type="expression" dxfId="3682" priority="1087" stopIfTrue="1">
      <formula>$I2910="不适用"</formula>
    </cfRule>
  </conditionalFormatting>
  <conditionalFormatting sqref="I2922">
    <cfRule type="expression" dxfId="3681" priority="2095" stopIfTrue="1">
      <formula>$I2922="适用"</formula>
    </cfRule>
    <cfRule type="expression" dxfId="3680" priority="2096" stopIfTrue="1">
      <formula>$I2922="不适用"</formula>
    </cfRule>
  </conditionalFormatting>
  <conditionalFormatting sqref="Q2922">
    <cfRule type="expression" dxfId="3679" priority="4361" stopIfTrue="1">
      <formula>$Q2922="请输入"</formula>
    </cfRule>
  </conditionalFormatting>
  <conditionalFormatting sqref="Q2984">
    <cfRule type="expression" dxfId="3678" priority="4365" stopIfTrue="1">
      <formula>$Q2984="请输入"</formula>
    </cfRule>
  </conditionalFormatting>
  <conditionalFormatting sqref="I3008">
    <cfRule type="expression" dxfId="3677" priority="679" stopIfTrue="1">
      <formula>$I3008="适用"</formula>
    </cfRule>
    <cfRule type="expression" dxfId="3676" priority="680" stopIfTrue="1">
      <formula>$I3008="不适用"</formula>
    </cfRule>
  </conditionalFormatting>
  <conditionalFormatting sqref="I3045">
    <cfRule type="expression" dxfId="3675" priority="2279" stopIfTrue="1">
      <formula>$I3045="适用"</formula>
    </cfRule>
    <cfRule type="expression" dxfId="3674" priority="2280" stopIfTrue="1">
      <formula>$I3045="不适用"</formula>
    </cfRule>
  </conditionalFormatting>
  <conditionalFormatting sqref="Q3045">
    <cfRule type="expression" dxfId="3673" priority="4367" stopIfTrue="1">
      <formula>$Q3045="请输入"</formula>
    </cfRule>
  </conditionalFormatting>
  <conditionalFormatting sqref="I3115">
    <cfRule type="expression" dxfId="3672" priority="667" stopIfTrue="1">
      <formula>$I3115="适用"</formula>
    </cfRule>
    <cfRule type="expression" dxfId="3671" priority="668" stopIfTrue="1">
      <formula>$I3115="不适用"</formula>
    </cfRule>
  </conditionalFormatting>
  <conditionalFormatting sqref="I3128">
    <cfRule type="expression" dxfId="3670" priority="2263" stopIfTrue="1">
      <formula>$I3128="适用"</formula>
    </cfRule>
    <cfRule type="expression" dxfId="3669" priority="2264" stopIfTrue="1">
      <formula>$I3128="不适用"</formula>
    </cfRule>
  </conditionalFormatting>
  <conditionalFormatting sqref="Q3128">
    <cfRule type="expression" dxfId="3668" priority="4370" stopIfTrue="1">
      <formula>$Q3128="请输入"</formula>
    </cfRule>
  </conditionalFormatting>
  <conditionalFormatting sqref="I3164">
    <cfRule type="expression" dxfId="3667" priority="1419" stopIfTrue="1">
      <formula>$I3164="适用"</formula>
    </cfRule>
    <cfRule type="expression" dxfId="3666" priority="1420" stopIfTrue="1">
      <formula>$I3164="不适用"</formula>
    </cfRule>
  </conditionalFormatting>
  <conditionalFormatting sqref="Q3177">
    <cfRule type="expression" dxfId="3665" priority="4374" stopIfTrue="1">
      <formula>$Q3177="请输入"</formula>
    </cfRule>
  </conditionalFormatting>
  <conditionalFormatting sqref="Q3190">
    <cfRule type="expression" dxfId="3664" priority="4375" stopIfTrue="1">
      <formula>$Q3190="请输入"</formula>
    </cfRule>
  </conditionalFormatting>
  <conditionalFormatting sqref="I3202">
    <cfRule type="expression" dxfId="3663" priority="2229" stopIfTrue="1">
      <formula>$I3202="适用"</formula>
    </cfRule>
    <cfRule type="expression" dxfId="3662" priority="2230" stopIfTrue="1">
      <formula>$I3202="不适用"</formula>
    </cfRule>
  </conditionalFormatting>
  <conditionalFormatting sqref="Q3202">
    <cfRule type="expression" dxfId="3661" priority="4376" stopIfTrue="1">
      <formula>$Q3202="请输入"</formula>
    </cfRule>
  </conditionalFormatting>
  <conditionalFormatting sqref="Q3215">
    <cfRule type="expression" dxfId="3660" priority="4377" stopIfTrue="1">
      <formula>$Q3215="请输入"</formula>
    </cfRule>
  </conditionalFormatting>
  <conditionalFormatting sqref="I3227">
    <cfRule type="expression" dxfId="3659" priority="1413" stopIfTrue="1">
      <formula>$I3227="适用"</formula>
    </cfRule>
    <cfRule type="expression" dxfId="3658" priority="1414" stopIfTrue="1">
      <formula>$I3227="不适用"</formula>
    </cfRule>
  </conditionalFormatting>
  <conditionalFormatting sqref="Q3242">
    <cfRule type="expression" dxfId="3657" priority="4378" stopIfTrue="1">
      <formula>$Q3242="请输入"</formula>
    </cfRule>
  </conditionalFormatting>
  <conditionalFormatting sqref="Q3258">
    <cfRule type="expression" dxfId="3656" priority="4379" stopIfTrue="1">
      <formula>$Q3258="请输入"</formula>
    </cfRule>
  </conditionalFormatting>
  <conditionalFormatting sqref="Q3271">
    <cfRule type="expression" dxfId="3655" priority="4380" stopIfTrue="1">
      <formula>$Q3271="请输入"</formula>
    </cfRule>
  </conditionalFormatting>
  <conditionalFormatting sqref="Q3278">
    <cfRule type="expression" dxfId="3654" priority="4381" stopIfTrue="1">
      <formula>$Q3278="请输入"</formula>
    </cfRule>
  </conditionalFormatting>
  <conditionalFormatting sqref="Q3288">
    <cfRule type="expression" dxfId="3653" priority="4382" stopIfTrue="1">
      <formula>$Q3288="请输入"</formula>
    </cfRule>
  </conditionalFormatting>
  <conditionalFormatting sqref="H3303">
    <cfRule type="expression" dxfId="3652" priority="4235">
      <formula>AND(H$3303&lt;&gt;0,H$3303&lt;&gt;"")</formula>
    </cfRule>
    <cfRule type="expression" dxfId="3651" priority="4236" stopIfTrue="1">
      <formula>H$3304&lt;&gt;"√"</formula>
    </cfRule>
  </conditionalFormatting>
  <conditionalFormatting sqref="I3303">
    <cfRule type="expression" dxfId="3650" priority="4237">
      <formula>AND(I$3303&lt;&gt;0,I$3303&lt;&gt;"")</formula>
    </cfRule>
    <cfRule type="expression" dxfId="3649" priority="4238" stopIfTrue="1">
      <formula>I$3304&lt;&gt;"√"</formula>
    </cfRule>
  </conditionalFormatting>
  <conditionalFormatting sqref="K3305">
    <cfRule type="expression" dxfId="3648" priority="4239">
      <formula>AND($K$3305&lt;&gt;0,$K$3305&lt;&gt;"")</formula>
    </cfRule>
    <cfRule type="expression" dxfId="3647" priority="4240" stopIfTrue="1">
      <formula>$L$3305&lt;&gt;"√"</formula>
    </cfRule>
  </conditionalFormatting>
  <conditionalFormatting sqref="Q3308">
    <cfRule type="expression" dxfId="3646" priority="4383" stopIfTrue="1">
      <formula>$Q3308="请输入"</formula>
    </cfRule>
  </conditionalFormatting>
  <conditionalFormatting sqref="Q3321">
    <cfRule type="expression" dxfId="3645" priority="4384" stopIfTrue="1">
      <formula>$Q3321="请输入"</formula>
    </cfRule>
  </conditionalFormatting>
  <conditionalFormatting sqref="I3331">
    <cfRule type="expression" dxfId="3644" priority="1803" stopIfTrue="1">
      <formula>$I3331="适用"</formula>
    </cfRule>
    <cfRule type="expression" dxfId="3643" priority="1804" stopIfTrue="1">
      <formula>$I3331="不适用"</formula>
    </cfRule>
  </conditionalFormatting>
  <conditionalFormatting sqref="I3341">
    <cfRule type="expression" dxfId="3642" priority="1797" stopIfTrue="1">
      <formula>$I3341="适用"</formula>
    </cfRule>
    <cfRule type="expression" dxfId="3641" priority="1798" stopIfTrue="1">
      <formula>$I3341="不适用"</formula>
    </cfRule>
  </conditionalFormatting>
  <conditionalFormatting sqref="I3351">
    <cfRule type="expression" dxfId="3640" priority="1791" stopIfTrue="1">
      <formula>$I3351="适用"</formula>
    </cfRule>
    <cfRule type="expression" dxfId="3639" priority="1792" stopIfTrue="1">
      <formula>$I3351="不适用"</formula>
    </cfRule>
  </conditionalFormatting>
  <conditionalFormatting sqref="I3372">
    <cfRule type="expression" dxfId="3638" priority="2754" stopIfTrue="1">
      <formula>$I3372="适用"</formula>
    </cfRule>
    <cfRule type="expression" dxfId="3637" priority="2755" stopIfTrue="1">
      <formula>$I3372="不适用"</formula>
    </cfRule>
  </conditionalFormatting>
  <conditionalFormatting sqref="Q3372">
    <cfRule type="expression" dxfId="3636" priority="4389" stopIfTrue="1">
      <formula>$Q3372="请输入"</formula>
    </cfRule>
  </conditionalFormatting>
  <conditionalFormatting sqref="I3383">
    <cfRule type="expression" dxfId="3635" priority="664" stopIfTrue="1">
      <formula>$I3383="适用"</formula>
    </cfRule>
    <cfRule type="expression" dxfId="3634" priority="665" stopIfTrue="1">
      <formula>$I3383="不适用"</formula>
    </cfRule>
  </conditionalFormatting>
  <conditionalFormatting sqref="I3396">
    <cfRule type="expression" dxfId="3633" priority="661" stopIfTrue="1">
      <formula>$I3396="适用"</formula>
    </cfRule>
    <cfRule type="expression" dxfId="3632" priority="662" stopIfTrue="1">
      <formula>$I3396="不适用"</formula>
    </cfRule>
  </conditionalFormatting>
  <conditionalFormatting sqref="Q3411">
    <cfRule type="expression" dxfId="3631" priority="4390" stopIfTrue="1">
      <formula>$Q3411="请输入"</formula>
    </cfRule>
  </conditionalFormatting>
  <conditionalFormatting sqref="I3423">
    <cfRule type="expression" dxfId="3630" priority="2219" stopIfTrue="1">
      <formula>$I3423="适用"</formula>
    </cfRule>
    <cfRule type="expression" dxfId="3629" priority="2220" stopIfTrue="1">
      <formula>$I3423="不适用"</formula>
    </cfRule>
  </conditionalFormatting>
  <conditionalFormatting sqref="Q3423">
    <cfRule type="expression" dxfId="3628" priority="4391" stopIfTrue="1">
      <formula>$Q3423="请输入"</formula>
    </cfRule>
  </conditionalFormatting>
  <conditionalFormatting sqref="Q3434">
    <cfRule type="expression" dxfId="3627" priority="4392" stopIfTrue="1">
      <formula>$Q3434="请输入"</formula>
    </cfRule>
  </conditionalFormatting>
  <conditionalFormatting sqref="I3445">
    <cfRule type="expression" dxfId="3626" priority="2729" stopIfTrue="1">
      <formula>$I3445="适用"</formula>
    </cfRule>
    <cfRule type="expression" dxfId="3625" priority="2730" stopIfTrue="1">
      <formula>$I3445="不适用"</formula>
    </cfRule>
    <cfRule type="expression" dxfId="3624" priority="2736" stopIfTrue="1">
      <formula>$I3445="适用"</formula>
    </cfRule>
    <cfRule type="expression" dxfId="3623" priority="2737" stopIfTrue="1">
      <formula>$I3445="不适用"</formula>
    </cfRule>
  </conditionalFormatting>
  <conditionalFormatting sqref="Q3445">
    <cfRule type="expression" dxfId="3622" priority="4393" stopIfTrue="1">
      <formula>$Q3445="请输入"</formula>
    </cfRule>
  </conditionalFormatting>
  <conditionalFormatting sqref="I3456">
    <cfRule type="expression" dxfId="3621" priority="1515" stopIfTrue="1">
      <formula>$I3456="适用"</formula>
    </cfRule>
    <cfRule type="expression" dxfId="3620" priority="1516" stopIfTrue="1">
      <formula>$I3456="不适用"</formula>
    </cfRule>
    <cfRule type="expression" dxfId="3619" priority="1517" stopIfTrue="1">
      <formula>$I3456="适用"</formula>
    </cfRule>
    <cfRule type="expression" dxfId="3618" priority="1518" stopIfTrue="1">
      <formula>$I3456="不适用"</formula>
    </cfRule>
  </conditionalFormatting>
  <conditionalFormatting sqref="I3473">
    <cfRule type="expression" dxfId="3617" priority="1471" stopIfTrue="1">
      <formula>$I3473="适用"</formula>
    </cfRule>
    <cfRule type="expression" dxfId="3616" priority="1472" stopIfTrue="1">
      <formula>$I3473="不适用"</formula>
    </cfRule>
  </conditionalFormatting>
  <conditionalFormatting sqref="Q3473">
    <cfRule type="expression" dxfId="3615" priority="4395" stopIfTrue="1">
      <formula>$Q3473="请输入"</formula>
    </cfRule>
  </conditionalFormatting>
  <conditionalFormatting sqref="Q3483">
    <cfRule type="expression" dxfId="3614" priority="4396" stopIfTrue="1">
      <formula>$Q3483="请输入"</formula>
    </cfRule>
  </conditionalFormatting>
  <conditionalFormatting sqref="Q3493">
    <cfRule type="expression" dxfId="3613" priority="4397" stopIfTrue="1">
      <formula>$Q3493="请输入"</formula>
    </cfRule>
  </conditionalFormatting>
  <conditionalFormatting sqref="I3533">
    <cfRule type="expression" dxfId="3612" priority="2686" stopIfTrue="1">
      <formula>$I3533="适用"</formula>
    </cfRule>
    <cfRule type="expression" dxfId="3611" priority="2687" stopIfTrue="1">
      <formula>$I3533="不适用"</formula>
    </cfRule>
    <cfRule type="expression" dxfId="3610" priority="2694" stopIfTrue="1">
      <formula>$I3533="适用"</formula>
    </cfRule>
    <cfRule type="expression" dxfId="3609" priority="2695" stopIfTrue="1">
      <formula>$I3533="不适用"</formula>
    </cfRule>
  </conditionalFormatting>
  <conditionalFormatting sqref="Q3533">
    <cfRule type="expression" dxfId="3608" priority="4399" stopIfTrue="1">
      <formula>$Q3533="请输入"</formula>
    </cfRule>
  </conditionalFormatting>
  <conditionalFormatting sqref="I3543">
    <cfRule type="expression" dxfId="3607" priority="1505" stopIfTrue="1">
      <formula>$I3543="适用"</formula>
    </cfRule>
    <cfRule type="expression" dxfId="3606" priority="1506" stopIfTrue="1">
      <formula>$I3543="不适用"</formula>
    </cfRule>
    <cfRule type="expression" dxfId="3605" priority="1507" stopIfTrue="1">
      <formula>$I3543="适用"</formula>
    </cfRule>
    <cfRule type="expression" dxfId="3604" priority="1508" stopIfTrue="1">
      <formula>$I3543="不适用"</formula>
    </cfRule>
  </conditionalFormatting>
  <conditionalFormatting sqref="Q3560">
    <cfRule type="expression" dxfId="3603" priority="4401" stopIfTrue="1">
      <formula>$Q3560="请输入"</formula>
    </cfRule>
  </conditionalFormatting>
  <conditionalFormatting sqref="I3570">
    <cfRule type="expression" dxfId="3602" priority="2201" stopIfTrue="1">
      <formula>$I3570="适用"</formula>
    </cfRule>
    <cfRule type="expression" dxfId="3601" priority="2202" stopIfTrue="1">
      <formula>$I3570="不适用"</formula>
    </cfRule>
  </conditionalFormatting>
  <conditionalFormatting sqref="Q3570">
    <cfRule type="expression" dxfId="3600" priority="4402" stopIfTrue="1">
      <formula>$Q3570="请输入"</formula>
    </cfRule>
  </conditionalFormatting>
  <conditionalFormatting sqref="Q3580">
    <cfRule type="expression" dxfId="3599" priority="4403" stopIfTrue="1">
      <formula>$Q3580="请输入"</formula>
    </cfRule>
  </conditionalFormatting>
  <conditionalFormatting sqref="Q3590">
    <cfRule type="expression" dxfId="3598" priority="4405" stopIfTrue="1">
      <formula>$Q3590="请输入"</formula>
    </cfRule>
  </conditionalFormatting>
  <conditionalFormatting sqref="I3600">
    <cfRule type="expression" dxfId="3597" priority="1773" stopIfTrue="1">
      <formula>$I3600="适用"</formula>
    </cfRule>
    <cfRule type="expression" dxfId="3596" priority="1774" stopIfTrue="1">
      <formula>$I3600="不适用"</formula>
    </cfRule>
  </conditionalFormatting>
  <conditionalFormatting sqref="Q3620">
    <cfRule type="expression" dxfId="3595" priority="4406" stopIfTrue="1">
      <formula>$Q3620="请输入"</formula>
    </cfRule>
  </conditionalFormatting>
  <conditionalFormatting sqref="I3630">
    <cfRule type="expression" dxfId="3594" priority="2191" stopIfTrue="1">
      <formula>$I3630="适用"</formula>
    </cfRule>
    <cfRule type="expression" dxfId="3593" priority="2192" stopIfTrue="1">
      <formula>$I3630="不适用"</formula>
    </cfRule>
  </conditionalFormatting>
  <conditionalFormatting sqref="Q3630">
    <cfRule type="expression" dxfId="3592" priority="4407" stopIfTrue="1">
      <formula>$Q3630="请输入"</formula>
    </cfRule>
  </conditionalFormatting>
  <conditionalFormatting sqref="I3659">
    <cfRule type="expression" dxfId="3591" priority="2185" stopIfTrue="1">
      <formula>$I3659="适用"</formula>
    </cfRule>
    <cfRule type="expression" dxfId="3590" priority="2186" stopIfTrue="1">
      <formula>$I3659="不适用"</formula>
    </cfRule>
  </conditionalFormatting>
  <conditionalFormatting sqref="Q3659">
    <cfRule type="expression" dxfId="3589" priority="4408" stopIfTrue="1">
      <formula>$Q3659="请输入"</formula>
    </cfRule>
  </conditionalFormatting>
  <conditionalFormatting sqref="I3683">
    <cfRule type="expression" dxfId="3588" priority="1461" stopIfTrue="1">
      <formula>$I3683="适用"</formula>
    </cfRule>
    <cfRule type="expression" dxfId="3587" priority="1462" stopIfTrue="1">
      <formula>$I3683="不适用"</formula>
    </cfRule>
  </conditionalFormatting>
  <conditionalFormatting sqref="I3715">
    <cfRule type="expression" dxfId="3586" priority="1447" stopIfTrue="1">
      <formula>$I3715="适用"</formula>
    </cfRule>
    <cfRule type="expression" dxfId="3585" priority="1448" stopIfTrue="1">
      <formula>$I3715="不适用"</formula>
    </cfRule>
  </conditionalFormatting>
  <conditionalFormatting sqref="I3729">
    <cfRule type="expression" dxfId="3584" priority="654" stopIfTrue="1">
      <formula>$I3729="适用"</formula>
    </cfRule>
    <cfRule type="expression" dxfId="3583" priority="655" stopIfTrue="1">
      <formula>$I3729="不适用"</formula>
    </cfRule>
  </conditionalFormatting>
  <conditionalFormatting sqref="Q3729">
    <cfRule type="expression" dxfId="3582" priority="4410" stopIfTrue="1">
      <formula>$Q3729="请输入"</formula>
    </cfRule>
  </conditionalFormatting>
  <conditionalFormatting sqref="I3748">
    <cfRule type="expression" dxfId="3581" priority="1457" stopIfTrue="1">
      <formula>$I3748="适用"</formula>
    </cfRule>
    <cfRule type="expression" dxfId="3580" priority="1458" stopIfTrue="1">
      <formula>$I3748="不适用"</formula>
    </cfRule>
  </conditionalFormatting>
  <conditionalFormatting sqref="I3762">
    <cfRule type="expression" dxfId="3579" priority="1104" stopIfTrue="1">
      <formula>$I3762="适用"</formula>
    </cfRule>
    <cfRule type="expression" dxfId="3578" priority="1105" stopIfTrue="1">
      <formula>$I3762="不适用"</formula>
    </cfRule>
  </conditionalFormatting>
  <conditionalFormatting sqref="Q3772">
    <cfRule type="expression" dxfId="3577" priority="4411" stopIfTrue="1">
      <formula>$Q3772="请输入"</formula>
    </cfRule>
  </conditionalFormatting>
  <conditionalFormatting sqref="I3792">
    <cfRule type="expression" dxfId="3576" priority="2179" stopIfTrue="1">
      <formula>$I3792="适用"</formula>
    </cfRule>
    <cfRule type="expression" dxfId="3575" priority="2180" stopIfTrue="1">
      <formula>$I3792="不适用"</formula>
    </cfRule>
  </conditionalFormatting>
  <conditionalFormatting sqref="Q3792">
    <cfRule type="expression" dxfId="3574" priority="4412" stopIfTrue="1">
      <formula>$Q3792="请输入"</formula>
    </cfRule>
  </conditionalFormatting>
  <conditionalFormatting sqref="Q3803">
    <cfRule type="expression" dxfId="3573" priority="4413" stopIfTrue="1">
      <formula>$Q3803="请输入"</formula>
    </cfRule>
  </conditionalFormatting>
  <conditionalFormatting sqref="I3820">
    <cfRule type="expression" dxfId="3572" priority="2173" stopIfTrue="1">
      <formula>$I3820="适用"</formula>
    </cfRule>
    <cfRule type="expression" dxfId="3571" priority="2174" stopIfTrue="1">
      <formula>$I3820="不适用"</formula>
    </cfRule>
  </conditionalFormatting>
  <conditionalFormatting sqref="Q3820">
    <cfRule type="expression" dxfId="3570" priority="4414" stopIfTrue="1">
      <formula>$Q3820="请输入"</formula>
    </cfRule>
  </conditionalFormatting>
  <conditionalFormatting sqref="I3831">
    <cfRule type="expression" dxfId="3569" priority="2643" stopIfTrue="1">
      <formula>$I3831="适用"</formula>
    </cfRule>
    <cfRule type="expression" dxfId="3568" priority="2644" stopIfTrue="1">
      <formula>$I3831="不适用"</formula>
    </cfRule>
    <cfRule type="expression" dxfId="3567" priority="2651" stopIfTrue="1">
      <formula>$I3831="适用"</formula>
    </cfRule>
    <cfRule type="expression" dxfId="3566" priority="2652" stopIfTrue="1">
      <formula>$I3831="不适用"</formula>
    </cfRule>
  </conditionalFormatting>
  <conditionalFormatting sqref="Q3831">
    <cfRule type="expression" dxfId="3565" priority="4415" stopIfTrue="1">
      <formula>$Q3831="请输入"</formula>
    </cfRule>
  </conditionalFormatting>
  <conditionalFormatting sqref="I3841">
    <cfRule type="expression" dxfId="3564" priority="1493" stopIfTrue="1">
      <formula>$I3841="适用"</formula>
    </cfRule>
    <cfRule type="expression" dxfId="3563" priority="1494" stopIfTrue="1">
      <formula>$I3841="不适用"</formula>
    </cfRule>
    <cfRule type="expression" dxfId="3562" priority="1495" stopIfTrue="1">
      <formula>$I3841="适用"</formula>
    </cfRule>
    <cfRule type="expression" dxfId="3561" priority="1496" stopIfTrue="1">
      <formula>$I3841="不适用"</formula>
    </cfRule>
  </conditionalFormatting>
  <conditionalFormatting sqref="Q3858">
    <cfRule type="expression" dxfId="3560" priority="4417" stopIfTrue="1">
      <formula>$Q3858="请输入"</formula>
    </cfRule>
  </conditionalFormatting>
  <conditionalFormatting sqref="I3868">
    <cfRule type="expression" dxfId="3559" priority="1479" stopIfTrue="1">
      <formula>$I3868="适用"</formula>
    </cfRule>
    <cfRule type="expression" dxfId="3558" priority="1480" stopIfTrue="1">
      <formula>$I3868="不适用"</formula>
    </cfRule>
  </conditionalFormatting>
  <conditionalFormatting sqref="Q3878">
    <cfRule type="expression" dxfId="3557" priority="4419" stopIfTrue="1">
      <formula>$Q3878="请输入"</formula>
    </cfRule>
  </conditionalFormatting>
  <conditionalFormatting sqref="G3880">
    <cfRule type="expression" dxfId="3556" priority="2167" stopIfTrue="1">
      <formula>$D3880&gt;1</formula>
    </cfRule>
    <cfRule type="expression" dxfId="3555" priority="2168" stopIfTrue="1">
      <formula>$C3880="%IN"</formula>
    </cfRule>
  </conditionalFormatting>
  <conditionalFormatting sqref="Q3888">
    <cfRule type="expression" dxfId="3554" priority="4420" stopIfTrue="1">
      <formula>$Q3888="请输入"</formula>
    </cfRule>
  </conditionalFormatting>
  <conditionalFormatting sqref="Q3929">
    <cfRule type="expression" dxfId="3553" priority="4421" stopIfTrue="1">
      <formula>$Q3929="请输入"</formula>
    </cfRule>
  </conditionalFormatting>
  <conditionalFormatting sqref="Q3939">
    <cfRule type="expression" dxfId="3552" priority="4422" stopIfTrue="1">
      <formula>$Q3939="请输入"</formula>
    </cfRule>
  </conditionalFormatting>
  <conditionalFormatting sqref="Q3949">
    <cfRule type="expression" dxfId="3551" priority="4423" stopIfTrue="1">
      <formula>$Q3949="请输入"</formula>
    </cfRule>
  </conditionalFormatting>
  <conditionalFormatting sqref="Q3959">
    <cfRule type="expression" dxfId="3550" priority="4424" stopIfTrue="1">
      <formula>$Q3959="请输入"</formula>
    </cfRule>
  </conditionalFormatting>
  <conditionalFormatting sqref="Q3970">
    <cfRule type="expression" dxfId="3549" priority="4425" stopIfTrue="1">
      <formula>$Q3970="请输入"</formula>
    </cfRule>
  </conditionalFormatting>
  <conditionalFormatting sqref="I3981">
    <cfRule type="expression" dxfId="3548" priority="2165" stopIfTrue="1">
      <formula>$I3981="适用"</formula>
    </cfRule>
    <cfRule type="expression" dxfId="3547" priority="2166" stopIfTrue="1">
      <formula>$I3981="不适用"</formula>
    </cfRule>
  </conditionalFormatting>
  <conditionalFormatting sqref="Q3981">
    <cfRule type="expression" dxfId="3546" priority="4426" stopIfTrue="1">
      <formula>$Q3981="请输入"</formula>
    </cfRule>
  </conditionalFormatting>
  <conditionalFormatting sqref="L3994">
    <cfRule type="expression" dxfId="3545" priority="4045">
      <formula>AND(L$3994&lt;&gt;0,L$3994&lt;&gt;"")</formula>
    </cfRule>
    <cfRule type="expression" dxfId="3544" priority="4046" stopIfTrue="1">
      <formula>L$3995&lt;&gt;"√"</formula>
    </cfRule>
  </conditionalFormatting>
  <conditionalFormatting sqref="Q3994">
    <cfRule type="expression" dxfId="3543" priority="4047">
      <formula>AND(Q$3994&lt;&gt;0,Q$3994&lt;&gt;"")</formula>
    </cfRule>
    <cfRule type="expression" dxfId="3542" priority="4048" stopIfTrue="1">
      <formula>Q$3995&lt;&gt;"√"</formula>
    </cfRule>
  </conditionalFormatting>
  <conditionalFormatting sqref="K3996">
    <cfRule type="expression" dxfId="3541" priority="4049">
      <formula>AND($K$3996&lt;&gt;0,$K$3996&lt;&gt;"")</formula>
    </cfRule>
    <cfRule type="expression" dxfId="3540" priority="4050" stopIfTrue="1">
      <formula>$L$3996&lt;&gt;"√"</formula>
    </cfRule>
  </conditionalFormatting>
  <conditionalFormatting sqref="Q3999">
    <cfRule type="expression" dxfId="3539" priority="4428" stopIfTrue="1">
      <formula>$Q3999="请输入"</formula>
    </cfRule>
  </conditionalFormatting>
  <conditionalFormatting sqref="I4012">
    <cfRule type="expression" dxfId="3538" priority="1761" stopIfTrue="1">
      <formula>$I4012="适用"</formula>
    </cfRule>
    <cfRule type="expression" dxfId="3537" priority="1762" stopIfTrue="1">
      <formula>$I4012="不适用"</formula>
    </cfRule>
  </conditionalFormatting>
  <conditionalFormatting sqref="I4022">
    <cfRule type="expression" dxfId="3536" priority="1487" stopIfTrue="1">
      <formula>$I4022="适用"</formula>
    </cfRule>
    <cfRule type="expression" dxfId="3535" priority="1488" stopIfTrue="1">
      <formula>$I4022="不适用"</formula>
    </cfRule>
  </conditionalFormatting>
  <conditionalFormatting sqref="I4032">
    <cfRule type="expression" dxfId="3534" priority="1755" stopIfTrue="1">
      <formula>$I4032="适用"</formula>
    </cfRule>
    <cfRule type="expression" dxfId="3533" priority="1756" stopIfTrue="1">
      <formula>$I4032="不适用"</formula>
    </cfRule>
  </conditionalFormatting>
  <conditionalFormatting sqref="I4053">
    <cfRule type="expression" dxfId="3532" priority="2159" stopIfTrue="1">
      <formula>$I4053="适用"</formula>
    </cfRule>
    <cfRule type="expression" dxfId="3531" priority="2160" stopIfTrue="1">
      <formula>$I4053="不适用"</formula>
    </cfRule>
  </conditionalFormatting>
  <conditionalFormatting sqref="Q4053">
    <cfRule type="expression" dxfId="3530" priority="4433" stopIfTrue="1">
      <formula>$Q4053="请输入"</formula>
    </cfRule>
  </conditionalFormatting>
  <conditionalFormatting sqref="Q4063">
    <cfRule type="expression" dxfId="3529" priority="4434" stopIfTrue="1">
      <formula>$Q4063="请输入"</formula>
    </cfRule>
  </conditionalFormatting>
  <conditionalFormatting sqref="I4076">
    <cfRule type="expression" dxfId="3528" priority="1887" stopIfTrue="1">
      <formula>$I4076="适用"</formula>
    </cfRule>
    <cfRule type="expression" dxfId="3527" priority="1888" stopIfTrue="1">
      <formula>$I4076="不适用"</formula>
    </cfRule>
  </conditionalFormatting>
  <conditionalFormatting sqref="Q4076">
    <cfRule type="expression" dxfId="3526" priority="4435" stopIfTrue="1">
      <formula>$Q4076="请输入"</formula>
    </cfRule>
  </conditionalFormatting>
  <conditionalFormatting sqref="Q4086">
    <cfRule type="expression" dxfId="3525" priority="4436" stopIfTrue="1">
      <formula>$Q4086="请输入"</formula>
    </cfRule>
  </conditionalFormatting>
  <conditionalFormatting sqref="I4109">
    <cfRule type="expression" dxfId="3524" priority="1099" stopIfTrue="1">
      <formula>$I4109="适用"</formula>
    </cfRule>
    <cfRule type="expression" dxfId="3523" priority="1100" stopIfTrue="1">
      <formula>$I4109="不适用"</formula>
    </cfRule>
  </conditionalFormatting>
  <conditionalFormatting sqref="I4115">
    <cfRule type="expression" dxfId="3522" priority="1074">
      <formula>$D4115&gt;1</formula>
    </cfRule>
    <cfRule type="expression" dxfId="3521" priority="1075">
      <formula>$C4115="%IN"</formula>
    </cfRule>
    <cfRule type="expression" dxfId="3520" priority="1076" stopIfTrue="1">
      <formula>$E4115=0</formula>
    </cfRule>
  </conditionalFormatting>
  <conditionalFormatting sqref="I4120">
    <cfRule type="expression" dxfId="3519" priority="2521" stopIfTrue="1">
      <formula>$I4120="适用"</formula>
    </cfRule>
    <cfRule type="expression" dxfId="3518" priority="2522" stopIfTrue="1">
      <formula>$I4120="不适用"</formula>
    </cfRule>
  </conditionalFormatting>
  <conditionalFormatting sqref="Q4120">
    <cfRule type="expression" dxfId="3517" priority="4437" stopIfTrue="1">
      <formula>$Q4120="请输入"</formula>
    </cfRule>
  </conditionalFormatting>
  <conditionalFormatting sqref="I4138">
    <cfRule type="expression" dxfId="3516" priority="1957" stopIfTrue="1">
      <formula>$I4138="适用"</formula>
    </cfRule>
    <cfRule type="expression" dxfId="3515" priority="1958" stopIfTrue="1">
      <formula>$I4138="不适用"</formula>
    </cfRule>
  </conditionalFormatting>
  <conditionalFormatting sqref="Q4138">
    <cfRule type="expression" dxfId="3514" priority="4438" stopIfTrue="1">
      <formula>$Q4138="请输入"</formula>
    </cfRule>
  </conditionalFormatting>
  <conditionalFormatting sqref="I4170">
    <cfRule type="expression" dxfId="3513" priority="2143" stopIfTrue="1">
      <formula>$I4170="适用"</formula>
    </cfRule>
    <cfRule type="expression" dxfId="3512" priority="2144" stopIfTrue="1">
      <formula>$I4170="不适用"</formula>
    </cfRule>
  </conditionalFormatting>
  <conditionalFormatting sqref="Q4170">
    <cfRule type="expression" dxfId="3511" priority="4439" stopIfTrue="1">
      <formula>$Q4170="请输入"</formula>
    </cfRule>
  </conditionalFormatting>
  <conditionalFormatting sqref="Q4180">
    <cfRule type="expression" dxfId="3510" priority="4440" stopIfTrue="1">
      <formula>$Q4180="请输入"</formula>
    </cfRule>
  </conditionalFormatting>
  <conditionalFormatting sqref="Q4200">
    <cfRule type="expression" dxfId="3509" priority="4441" stopIfTrue="1">
      <formula>$Q4200="请输入"</formula>
    </cfRule>
  </conditionalFormatting>
  <conditionalFormatting sqref="Q4215">
    <cfRule type="expression" dxfId="3508" priority="4442" stopIfTrue="1">
      <formula>$Q4215="请输入"</formula>
    </cfRule>
  </conditionalFormatting>
  <conditionalFormatting sqref="Q4224">
    <cfRule type="expression" dxfId="3507" priority="4445" stopIfTrue="1">
      <formula>$Q4224="请输入"</formula>
    </cfRule>
  </conditionalFormatting>
  <conditionalFormatting sqref="Q4235">
    <cfRule type="expression" dxfId="3506" priority="4446" stopIfTrue="1">
      <formula>$Q4235="请输入"</formula>
    </cfRule>
  </conditionalFormatting>
  <conditionalFormatting sqref="Q4249">
    <cfRule type="expression" dxfId="3505" priority="4449" stopIfTrue="1">
      <formula>$Q4249="请输入"</formula>
    </cfRule>
  </conditionalFormatting>
  <conditionalFormatting sqref="I4263">
    <cfRule type="expression" dxfId="3504" priority="2139" stopIfTrue="1">
      <formula>$I4263="适用"</formula>
    </cfRule>
    <cfRule type="expression" dxfId="3503" priority="2140" stopIfTrue="1">
      <formula>$I4263="不适用"</formula>
    </cfRule>
  </conditionalFormatting>
  <conditionalFormatting sqref="Q4263">
    <cfRule type="expression" dxfId="3502" priority="4450" stopIfTrue="1">
      <formula>$Q4263="请输入"</formula>
    </cfRule>
  </conditionalFormatting>
  <conditionalFormatting sqref="I4271">
    <cfRule type="expression" dxfId="3501" priority="2125" stopIfTrue="1">
      <formula>$I4271="适用"</formula>
    </cfRule>
    <cfRule type="expression" dxfId="3500" priority="2126" stopIfTrue="1">
      <formula>$I4271="不适用"</formula>
    </cfRule>
  </conditionalFormatting>
  <conditionalFormatting sqref="Q4271">
    <cfRule type="expression" dxfId="3499" priority="4451" stopIfTrue="1">
      <formula>$Q4271="请输入"</formula>
    </cfRule>
  </conditionalFormatting>
  <conditionalFormatting sqref="Q4289">
    <cfRule type="expression" dxfId="3498" priority="4452" stopIfTrue="1">
      <formula>$Q4289="请输入"</formula>
    </cfRule>
  </conditionalFormatting>
  <conditionalFormatting sqref="I4299">
    <cfRule type="expression" dxfId="3497" priority="1935" stopIfTrue="1">
      <formula>$I4299="适用"</formula>
    </cfRule>
    <cfRule type="expression" dxfId="3496" priority="1936" stopIfTrue="1">
      <formula>$I4299="不适用"</formula>
    </cfRule>
  </conditionalFormatting>
  <conditionalFormatting sqref="Q4310">
    <cfRule type="expression" dxfId="3495" priority="4453" stopIfTrue="1">
      <formula>$Q4310="请输入"</formula>
    </cfRule>
  </conditionalFormatting>
  <conditionalFormatting sqref="I4332">
    <cfRule type="expression" dxfId="3494" priority="1879" stopIfTrue="1">
      <formula>$I4332="适用"</formula>
    </cfRule>
    <cfRule type="expression" dxfId="3493" priority="1880" stopIfTrue="1">
      <formula>$I4332="不适用"</formula>
    </cfRule>
  </conditionalFormatting>
  <conditionalFormatting sqref="Q4332">
    <cfRule type="expression" dxfId="3492" priority="4455" stopIfTrue="1">
      <formula>$Q4332="请输入"</formula>
    </cfRule>
  </conditionalFormatting>
  <conditionalFormatting sqref="I4342">
    <cfRule type="expression" dxfId="3491" priority="2075" stopIfTrue="1">
      <formula>$I4342="适用"</formula>
    </cfRule>
    <cfRule type="expression" dxfId="3490" priority="2076" stopIfTrue="1">
      <formula>$I4342="不适用"</formula>
    </cfRule>
  </conditionalFormatting>
  <conditionalFormatting sqref="Q4342">
    <cfRule type="expression" dxfId="3489" priority="4456" stopIfTrue="1">
      <formula>$Q4342="请输入"</formula>
    </cfRule>
  </conditionalFormatting>
  <conditionalFormatting sqref="Q4353">
    <cfRule type="expression" dxfId="3488" priority="4458" stopIfTrue="1">
      <formula>$Q4353="请输入"</formula>
    </cfRule>
  </conditionalFormatting>
  <conditionalFormatting sqref="I4369">
    <cfRule type="expression" dxfId="3487" priority="617" stopIfTrue="1">
      <formula>$I4369="适用"</formula>
    </cfRule>
    <cfRule type="expression" dxfId="3486" priority="618" stopIfTrue="1">
      <formula>$I4369="不适用"</formula>
    </cfRule>
  </conditionalFormatting>
  <conditionalFormatting sqref="Q4394">
    <cfRule type="expression" dxfId="3485" priority="4460" stopIfTrue="1">
      <formula>$Q4394="请输入"</formula>
    </cfRule>
  </conditionalFormatting>
  <conditionalFormatting sqref="I4426">
    <cfRule type="expression" dxfId="3484" priority="602" stopIfTrue="1">
      <formula>$I4426="适用"</formula>
    </cfRule>
    <cfRule type="expression" dxfId="3483" priority="603" stopIfTrue="1">
      <formula>$I4426="不适用"</formula>
    </cfRule>
  </conditionalFormatting>
  <conditionalFormatting sqref="Q4439">
    <cfRule type="expression" dxfId="3482" priority="4462" stopIfTrue="1">
      <formula>$Q4439="请输入"</formula>
    </cfRule>
  </conditionalFormatting>
  <conditionalFormatting sqref="Q4459">
    <cfRule type="expression" dxfId="3481" priority="4464" stopIfTrue="1">
      <formula>$Q4459="请输入"</formula>
    </cfRule>
  </conditionalFormatting>
  <conditionalFormatting sqref="I4490">
    <cfRule type="expression" dxfId="3480" priority="599" stopIfTrue="1">
      <formula>$I4490="适用"</formula>
    </cfRule>
    <cfRule type="expression" dxfId="3479" priority="600" stopIfTrue="1">
      <formula>$I4490="不适用"</formula>
    </cfRule>
  </conditionalFormatting>
  <conditionalFormatting sqref="Q4500">
    <cfRule type="expression" dxfId="3478" priority="4466" stopIfTrue="1">
      <formula>$Q4500="请输入"</formula>
    </cfRule>
  </conditionalFormatting>
  <conditionalFormatting sqref="Q4509">
    <cfRule type="expression" dxfId="3477" priority="4467" stopIfTrue="1">
      <formula>$Q4509="请输入"</formula>
    </cfRule>
  </conditionalFormatting>
  <conditionalFormatting sqref="Q4518">
    <cfRule type="expression" dxfId="3476" priority="4468" stopIfTrue="1">
      <formula>$Q4518="请输入"</formula>
    </cfRule>
  </conditionalFormatting>
  <conditionalFormatting sqref="H4538">
    <cfRule type="expression" dxfId="3475" priority="4083">
      <formula>AND(H$4538&lt;&gt;0,H$4538&lt;&gt;"")</formula>
    </cfRule>
    <cfRule type="expression" dxfId="3474" priority="4084" stopIfTrue="1">
      <formula>H$4539&lt;&gt;"√"</formula>
    </cfRule>
  </conditionalFormatting>
  <conditionalFormatting sqref="I4538">
    <cfRule type="expression" dxfId="3473" priority="4085">
      <formula>AND(I$4538&lt;&gt;0,I$4538&lt;&gt;"")</formula>
    </cfRule>
    <cfRule type="expression" dxfId="3472" priority="4086" stopIfTrue="1">
      <formula>I$4539&lt;&gt;"√"</formula>
    </cfRule>
  </conditionalFormatting>
  <conditionalFormatting sqref="J4538">
    <cfRule type="expression" dxfId="3471" priority="4087">
      <formula>AND(J$4538&lt;&gt;0,J$4538&lt;&gt;"")</formula>
    </cfRule>
    <cfRule type="expression" dxfId="3470" priority="4088" stopIfTrue="1">
      <formula>J$4539&lt;&gt;"√"</formula>
    </cfRule>
  </conditionalFormatting>
  <conditionalFormatting sqref="K4538">
    <cfRule type="expression" dxfId="3469" priority="4089">
      <formula>AND(K$4538&lt;&gt;0,K$4538&lt;&gt;"")</formula>
    </cfRule>
    <cfRule type="expression" dxfId="3468" priority="4090" stopIfTrue="1">
      <formula>K$4539&lt;&gt;"√"</formula>
    </cfRule>
  </conditionalFormatting>
  <conditionalFormatting sqref="K4540">
    <cfRule type="expression" dxfId="3467" priority="4091">
      <formula>AND($K$4540&lt;&gt;0,$K$4540&lt;&gt;"")</formula>
    </cfRule>
    <cfRule type="expression" dxfId="3466" priority="4092" stopIfTrue="1">
      <formula>$L$4540&lt;&gt;"√"</formula>
    </cfRule>
  </conditionalFormatting>
  <conditionalFormatting sqref="Q4542">
    <cfRule type="expression" dxfId="3465" priority="4469" stopIfTrue="1">
      <formula>$Q4542="请输入"</formula>
    </cfRule>
  </conditionalFormatting>
  <conditionalFormatting sqref="H4561">
    <cfRule type="expression" dxfId="3464" priority="4093">
      <formula>AND(H$4561&lt;&gt;0,H$4561&lt;&gt;"")</formula>
    </cfRule>
    <cfRule type="expression" dxfId="3463" priority="4094" stopIfTrue="1">
      <formula>H$4562&lt;&gt;"√"</formula>
    </cfRule>
  </conditionalFormatting>
  <conditionalFormatting sqref="I4561">
    <cfRule type="expression" dxfId="3462" priority="4095">
      <formula>AND(I$4561&lt;&gt;0,I$4561&lt;&gt;"")</formula>
    </cfRule>
    <cfRule type="expression" dxfId="3461" priority="4096" stopIfTrue="1">
      <formula>I$4562&lt;&gt;"√"</formula>
    </cfRule>
  </conditionalFormatting>
  <conditionalFormatting sqref="J4561">
    <cfRule type="expression" dxfId="3460" priority="4097">
      <formula>AND(J$4561&lt;&gt;0,J$4561&lt;&gt;"")</formula>
    </cfRule>
    <cfRule type="expression" dxfId="3459" priority="4098" stopIfTrue="1">
      <formula>J$4562&lt;&gt;"√"</formula>
    </cfRule>
  </conditionalFormatting>
  <conditionalFormatting sqref="K4561">
    <cfRule type="expression" dxfId="3458" priority="4099">
      <formula>AND(K$4561&lt;&gt;0,K$4561&lt;&gt;"")</formula>
    </cfRule>
    <cfRule type="expression" dxfId="3457" priority="4100" stopIfTrue="1">
      <formula>K$4562&lt;&gt;"√"</formula>
    </cfRule>
  </conditionalFormatting>
  <conditionalFormatting sqref="K4563">
    <cfRule type="expression" dxfId="3456" priority="4101">
      <formula>AND($K$4563&lt;&gt;0,$K$4563&lt;&gt;"")</formula>
    </cfRule>
    <cfRule type="expression" dxfId="3455" priority="4102" stopIfTrue="1">
      <formula>$L$4563&lt;&gt;"√"</formula>
    </cfRule>
  </conditionalFormatting>
  <conditionalFormatting sqref="Q4565">
    <cfRule type="expression" dxfId="3454" priority="4470" stopIfTrue="1">
      <formula>$Q4565="请输入"</formula>
    </cfRule>
  </conditionalFormatting>
  <conditionalFormatting sqref="H4580">
    <cfRule type="expression" dxfId="3453" priority="4103">
      <formula>AND(H$4580&lt;&gt;0,H$4580&lt;&gt;"")</formula>
    </cfRule>
    <cfRule type="expression" dxfId="3452" priority="4104" stopIfTrue="1">
      <formula>H$4581&lt;&gt;"√"</formula>
    </cfRule>
  </conditionalFormatting>
  <conditionalFormatting sqref="I4580">
    <cfRule type="expression" dxfId="3451" priority="4105">
      <formula>AND(I$4580&lt;&gt;0,I$4580&lt;&gt;"")</formula>
    </cfRule>
    <cfRule type="expression" dxfId="3450" priority="4106" stopIfTrue="1">
      <formula>I$4581&lt;&gt;"√"</formula>
    </cfRule>
  </conditionalFormatting>
  <conditionalFormatting sqref="J4580">
    <cfRule type="expression" dxfId="3449" priority="4107">
      <formula>AND(J$4580&lt;&gt;0,J$4580&lt;&gt;"")</formula>
    </cfRule>
    <cfRule type="expression" dxfId="3448" priority="4108" stopIfTrue="1">
      <formula>J$4581&lt;&gt;"√"</formula>
    </cfRule>
  </conditionalFormatting>
  <conditionalFormatting sqref="K4580">
    <cfRule type="expression" dxfId="3447" priority="4109">
      <formula>AND(K$4580&lt;&gt;0,K$4580&lt;&gt;"")</formula>
    </cfRule>
    <cfRule type="expression" dxfId="3446" priority="4110" stopIfTrue="1">
      <formula>K$4581&lt;&gt;"√"</formula>
    </cfRule>
  </conditionalFormatting>
  <conditionalFormatting sqref="K4582">
    <cfRule type="expression" dxfId="3445" priority="4111">
      <formula>AND($K$4582&lt;&gt;0,$K$4582&lt;&gt;"")</formula>
    </cfRule>
    <cfRule type="expression" dxfId="3444" priority="4112" stopIfTrue="1">
      <formula>$L$4582&lt;&gt;"√"</formula>
    </cfRule>
  </conditionalFormatting>
  <conditionalFormatting sqref="I4584">
    <cfRule type="expression" dxfId="3443" priority="1749" stopIfTrue="1">
      <formula>$I4584="适用"</formula>
    </cfRule>
    <cfRule type="expression" dxfId="3442" priority="1750" stopIfTrue="1">
      <formula>$I4584="不适用"</formula>
    </cfRule>
  </conditionalFormatting>
  <conditionalFormatting sqref="I4599">
    <cfRule type="expression" dxfId="3441" priority="1743" stopIfTrue="1">
      <formula>$I4599="适用"</formula>
    </cfRule>
    <cfRule type="expression" dxfId="3440" priority="1744" stopIfTrue="1">
      <formula>$I4599="不适用"</formula>
    </cfRule>
  </conditionalFormatting>
  <conditionalFormatting sqref="Q4635">
    <cfRule type="expression" dxfId="3439" priority="4471" stopIfTrue="1">
      <formula>$Q4635="请输入"</formula>
    </cfRule>
  </conditionalFormatting>
  <conditionalFormatting sqref="I4654">
    <cfRule type="expression" dxfId="3438" priority="1399" stopIfTrue="1">
      <formula>$I4654="适用"</formula>
    </cfRule>
    <cfRule type="expression" dxfId="3437" priority="1400" stopIfTrue="1">
      <formula>$I4654="不适用"</formula>
    </cfRule>
  </conditionalFormatting>
  <conditionalFormatting sqref="Q4665">
    <cfRule type="expression" dxfId="3436" priority="4472" stopIfTrue="1">
      <formula>$Q4665="请输入"</formula>
    </cfRule>
  </conditionalFormatting>
  <conditionalFormatting sqref="I4685">
    <cfRule type="expression" dxfId="3435" priority="1393" stopIfTrue="1">
      <formula>$I4685="适用"</formula>
    </cfRule>
    <cfRule type="expression" dxfId="3434" priority="1394" stopIfTrue="1">
      <formula>$I4685="不适用"</formula>
    </cfRule>
  </conditionalFormatting>
  <conditionalFormatting sqref="Q4696">
    <cfRule type="expression" dxfId="3433" priority="4473" stopIfTrue="1">
      <formula>$Q4696="请输入"</formula>
    </cfRule>
  </conditionalFormatting>
  <conditionalFormatting sqref="I4716">
    <cfRule type="expression" dxfId="3432" priority="1385" stopIfTrue="1">
      <formula>$I4716="适用"</formula>
    </cfRule>
    <cfRule type="expression" dxfId="3431" priority="1386" stopIfTrue="1">
      <formula>$I4716="不适用"</formula>
    </cfRule>
  </conditionalFormatting>
  <conditionalFormatting sqref="I4727">
    <cfRule type="expression" dxfId="3430" priority="1094" stopIfTrue="1">
      <formula>$I4727="适用"</formula>
    </cfRule>
    <cfRule type="expression" dxfId="3429" priority="1095" stopIfTrue="1">
      <formula>$I4727="不适用"</formula>
    </cfRule>
  </conditionalFormatting>
  <conditionalFormatting sqref="Q4752">
    <cfRule type="expression" dxfId="3428" priority="4474" stopIfTrue="1">
      <formula>$Q4752="请输入"</formula>
    </cfRule>
  </conditionalFormatting>
  <conditionalFormatting sqref="I4767">
    <cfRule type="expression" dxfId="3427" priority="1379" stopIfTrue="1">
      <formula>$I4767="适用"</formula>
    </cfRule>
    <cfRule type="expression" dxfId="3426" priority="1380" stopIfTrue="1">
      <formula>$I4767="不适用"</formula>
    </cfRule>
  </conditionalFormatting>
  <conditionalFormatting sqref="Q4878">
    <cfRule type="expression" dxfId="3425" priority="4475" stopIfTrue="1">
      <formula>$Q4878="请输入"</formula>
    </cfRule>
  </conditionalFormatting>
  <conditionalFormatting sqref="I4900">
    <cfRule type="expression" dxfId="3424" priority="1172" stopIfTrue="1">
      <formula>$I4900="适用"</formula>
    </cfRule>
    <cfRule type="expression" dxfId="3423" priority="1173" stopIfTrue="1">
      <formula>$I4900="不适用"</formula>
    </cfRule>
  </conditionalFormatting>
  <conditionalFormatting sqref="Q4915">
    <cfRule type="expression" dxfId="3422" priority="4478" stopIfTrue="1">
      <formula>$Q4915="请输入"</formula>
    </cfRule>
  </conditionalFormatting>
  <conditionalFormatting sqref="Q4928">
    <cfRule type="expression" dxfId="3421" priority="4479" stopIfTrue="1">
      <formula>$Q4928="请输入"</formula>
    </cfRule>
  </conditionalFormatting>
  <conditionalFormatting sqref="H4941">
    <cfRule type="expression" dxfId="3420" priority="4113">
      <formula>AND(H$4941&lt;&gt;0,H$4941&lt;&gt;"")</formula>
    </cfRule>
    <cfRule type="expression" dxfId="3419" priority="4114" stopIfTrue="1">
      <formula>H$4942&lt;&gt;"√"</formula>
    </cfRule>
  </conditionalFormatting>
  <conditionalFormatting sqref="I4941">
    <cfRule type="expression" dxfId="3418" priority="4115">
      <formula>AND(I$4941&lt;&gt;0,I$4941&lt;&gt;"")</formula>
    </cfRule>
    <cfRule type="expression" dxfId="3417" priority="4116" stopIfTrue="1">
      <formula>I$4942&lt;&gt;"√"</formula>
    </cfRule>
  </conditionalFormatting>
  <conditionalFormatting sqref="K4943">
    <cfRule type="expression" dxfId="3416" priority="4117">
      <formula>AND($K$4943&lt;&gt;0,$K$4943&lt;&gt;"")</formula>
    </cfRule>
    <cfRule type="expression" dxfId="3415" priority="4118" stopIfTrue="1">
      <formula>$L$4943&lt;&gt;"√"</formula>
    </cfRule>
  </conditionalFormatting>
  <conditionalFormatting sqref="Q4946">
    <cfRule type="expression" dxfId="3414" priority="4480" stopIfTrue="1">
      <formula>$Q4946="请输入"</formula>
    </cfRule>
  </conditionalFormatting>
  <conditionalFormatting sqref="Q4959">
    <cfRule type="expression" dxfId="3413" priority="4481" stopIfTrue="1">
      <formula>$Q4959="请输入"</formula>
    </cfRule>
  </conditionalFormatting>
  <conditionalFormatting sqref="Q4967">
    <cfRule type="expression" dxfId="3412" priority="4482" stopIfTrue="1">
      <formula>$Q4967="请输入"</formula>
    </cfRule>
  </conditionalFormatting>
  <conditionalFormatting sqref="I4986">
    <cfRule type="expression" dxfId="3411" priority="1371" stopIfTrue="1">
      <formula>$I4986="适用"</formula>
    </cfRule>
    <cfRule type="expression" dxfId="3410" priority="1372" stopIfTrue="1">
      <formula>$I4986="不适用"</formula>
    </cfRule>
  </conditionalFormatting>
  <conditionalFormatting sqref="I5000">
    <cfRule type="expression" dxfId="3409" priority="1365" stopIfTrue="1">
      <formula>$I5000="适用"</formula>
    </cfRule>
    <cfRule type="expression" dxfId="3408" priority="1366" stopIfTrue="1">
      <formula>$I5000="不适用"</formula>
    </cfRule>
  </conditionalFormatting>
  <conditionalFormatting sqref="I5010">
    <cfRule type="expression" dxfId="3407" priority="1359" stopIfTrue="1">
      <formula>$I5010="适用"</formula>
    </cfRule>
    <cfRule type="expression" dxfId="3406" priority="1360" stopIfTrue="1">
      <formula>$I5010="不适用"</formula>
    </cfRule>
  </conditionalFormatting>
  <conditionalFormatting sqref="Q5022">
    <cfRule type="expression" dxfId="3405" priority="4483" stopIfTrue="1">
      <formula>$Q5022="请输入"</formula>
    </cfRule>
  </conditionalFormatting>
  <conditionalFormatting sqref="Q5038">
    <cfRule type="expression" dxfId="3404" priority="4484" stopIfTrue="1">
      <formula>$Q5038="请输入"</formula>
    </cfRule>
  </conditionalFormatting>
  <conditionalFormatting sqref="Q5054">
    <cfRule type="expression" dxfId="3403" priority="4485" stopIfTrue="1">
      <formula>$Q5054="请输入"</formula>
    </cfRule>
  </conditionalFormatting>
  <conditionalFormatting sqref="Q5065">
    <cfRule type="expression" dxfId="3402" priority="4486" stopIfTrue="1">
      <formula>$Q5065="请输入"</formula>
    </cfRule>
  </conditionalFormatting>
  <conditionalFormatting sqref="Q5076">
    <cfRule type="expression" dxfId="3401" priority="4487" stopIfTrue="1">
      <formula>$Q5076="请输入"</formula>
    </cfRule>
  </conditionalFormatting>
  <conditionalFormatting sqref="Q5087">
    <cfRule type="expression" dxfId="3400" priority="4488" stopIfTrue="1">
      <formula>$Q5087="请输入"</formula>
    </cfRule>
  </conditionalFormatting>
  <conditionalFormatting sqref="Q5098">
    <cfRule type="expression" dxfId="3399" priority="4489" stopIfTrue="1">
      <formula>$Q5098="请输入"</formula>
    </cfRule>
  </conditionalFormatting>
  <conditionalFormatting sqref="Q5129">
    <cfRule type="expression" dxfId="3398" priority="4490" stopIfTrue="1">
      <formula>$Q5129="请输入"</formula>
    </cfRule>
  </conditionalFormatting>
  <conditionalFormatting sqref="Q5158">
    <cfRule type="expression" dxfId="3397" priority="4491" stopIfTrue="1">
      <formula>$Q5158="请输入"</formula>
    </cfRule>
  </conditionalFormatting>
  <conditionalFormatting sqref="I5185">
    <cfRule type="expression" dxfId="3396" priority="1929" stopIfTrue="1">
      <formula>$I5185="适用"</formula>
    </cfRule>
    <cfRule type="expression" dxfId="3395" priority="1930" stopIfTrue="1">
      <formula>$I5185="不适用"</formula>
    </cfRule>
  </conditionalFormatting>
  <conditionalFormatting sqref="I5210">
    <cfRule type="expression" dxfId="3394" priority="1921" stopIfTrue="1">
      <formula>$I5210="适用"</formula>
    </cfRule>
    <cfRule type="expression" dxfId="3393" priority="1922" stopIfTrue="1">
      <formula>$I5210="不适用"</formula>
    </cfRule>
  </conditionalFormatting>
  <conditionalFormatting sqref="I5321">
    <cfRule type="expression" dxfId="3392" priority="576" stopIfTrue="1">
      <formula>$I5321="适用"</formula>
    </cfRule>
    <cfRule type="expression" dxfId="3391" priority="577" stopIfTrue="1">
      <formula>$I5321="不适用"</formula>
    </cfRule>
  </conditionalFormatting>
  <conditionalFormatting sqref="I5338">
    <cfRule type="expression" dxfId="3390" priority="573" stopIfTrue="1">
      <formula>$I5338="适用"</formula>
    </cfRule>
    <cfRule type="expression" dxfId="3389" priority="574" stopIfTrue="1">
      <formula>$I5338="不适用"</formula>
    </cfRule>
  </conditionalFormatting>
  <conditionalFormatting sqref="G5297:G5305">
    <cfRule type="expression" dxfId="3388" priority="564">
      <formula>$D5297&gt;1</formula>
    </cfRule>
    <cfRule type="expression" dxfId="3387" priority="565">
      <formula>$C5297="%IN"</formula>
    </cfRule>
    <cfRule type="expression" dxfId="3386" priority="566" stopIfTrue="1">
      <formula>$E5297=0</formula>
    </cfRule>
  </conditionalFormatting>
  <conditionalFormatting sqref="I5355">
    <cfRule type="expression" dxfId="3385" priority="567" stopIfTrue="1">
      <formula>$I5355="适用"</formula>
    </cfRule>
    <cfRule type="expression" dxfId="3384" priority="568" stopIfTrue="1">
      <formula>$I5355="不适用"</formula>
    </cfRule>
  </conditionalFormatting>
  <conditionalFormatting sqref="I5371">
    <cfRule type="expression" dxfId="3383" priority="558" stopIfTrue="1">
      <formula>$I5371="适用"</formula>
    </cfRule>
    <cfRule type="expression" dxfId="3382" priority="559" stopIfTrue="1">
      <formula>$I5371="不适用"</formula>
    </cfRule>
  </conditionalFormatting>
  <conditionalFormatting sqref="I5387">
    <cfRule type="expression" dxfId="3381" priority="552" stopIfTrue="1">
      <formula>$I5387="适用"</formula>
    </cfRule>
    <cfRule type="expression" dxfId="3380" priority="553" stopIfTrue="1">
      <formula>$I5387="不适用"</formula>
    </cfRule>
  </conditionalFormatting>
  <conditionalFormatting sqref="I5421">
    <cfRule type="expression" dxfId="3379" priority="549" stopIfTrue="1">
      <formula>$I5421="适用"</formula>
    </cfRule>
    <cfRule type="expression" dxfId="3378" priority="550" stopIfTrue="1">
      <formula>$I5421="不适用"</formula>
    </cfRule>
  </conditionalFormatting>
  <conditionalFormatting sqref="I5456">
    <cfRule type="expression" dxfId="3377" priority="1865" stopIfTrue="1">
      <formula>$I5456="适用"</formula>
    </cfRule>
    <cfRule type="expression" dxfId="3376" priority="1866" stopIfTrue="1">
      <formula>$I5456="不适用"</formula>
    </cfRule>
  </conditionalFormatting>
  <conditionalFormatting sqref="I5550">
    <cfRule type="expression" dxfId="3375" priority="546" stopIfTrue="1">
      <formula>$I5550="适用"</formula>
    </cfRule>
    <cfRule type="expression" dxfId="3374" priority="547" stopIfTrue="1">
      <formula>$I5550="不适用"</formula>
    </cfRule>
  </conditionalFormatting>
  <conditionalFormatting sqref="I5559">
    <cfRule type="expression" dxfId="3373" priority="543" stopIfTrue="1">
      <formula>$I5559="适用"</formula>
    </cfRule>
    <cfRule type="expression" dxfId="3372" priority="544" stopIfTrue="1">
      <formula>$I5559="不适用"</formula>
    </cfRule>
  </conditionalFormatting>
  <conditionalFormatting sqref="I5577">
    <cfRule type="expression" dxfId="3371" priority="1829" stopIfTrue="1">
      <formula>$I5577="适用"</formula>
    </cfRule>
    <cfRule type="expression" dxfId="3370" priority="1830" stopIfTrue="1">
      <formula>$I5577="不适用"</formula>
    </cfRule>
  </conditionalFormatting>
  <conditionalFormatting sqref="G5587">
    <cfRule type="expression" dxfId="3369" priority="538" stopIfTrue="1">
      <formula>$D5587&gt;1</formula>
    </cfRule>
    <cfRule type="expression" dxfId="3368" priority="539" stopIfTrue="1">
      <formula>$C5587="%IN"</formula>
    </cfRule>
  </conditionalFormatting>
  <conditionalFormatting sqref="G5588">
    <cfRule type="expression" dxfId="3367" priority="536" stopIfTrue="1">
      <formula>$D5588&gt;1</formula>
    </cfRule>
    <cfRule type="expression" dxfId="3366" priority="537" stopIfTrue="1">
      <formula>$C5588="%IN"</formula>
    </cfRule>
  </conditionalFormatting>
  <conditionalFormatting sqref="G5589">
    <cfRule type="expression" dxfId="3365" priority="534" stopIfTrue="1">
      <formula>$D5589&gt;1</formula>
    </cfRule>
    <cfRule type="expression" dxfId="3364" priority="535" stopIfTrue="1">
      <formula>$C5589="%IN"</formula>
    </cfRule>
  </conditionalFormatting>
  <conditionalFormatting sqref="I5776">
    <cfRule type="expression" dxfId="3363" priority="1167" stopIfTrue="1">
      <formula>$I5776="适用"</formula>
    </cfRule>
    <cfRule type="expression" dxfId="3362" priority="1168" stopIfTrue="1">
      <formula>$I5776="不适用"</formula>
    </cfRule>
  </conditionalFormatting>
  <conditionalFormatting sqref="I5806">
    <cfRule type="expression" dxfId="3361" priority="1911" stopIfTrue="1">
      <formula>$I5806="适用"</formula>
    </cfRule>
    <cfRule type="expression" dxfId="3360" priority="1912" stopIfTrue="1">
      <formula>$I5806="不适用"</formula>
    </cfRule>
  </conditionalFormatting>
  <conditionalFormatting sqref="I5838">
    <cfRule type="expression" dxfId="3359" priority="1903" stopIfTrue="1">
      <formula>$I5838="适用"</formula>
    </cfRule>
    <cfRule type="expression" dxfId="3358" priority="1904" stopIfTrue="1">
      <formula>$I5838="不适用"</formula>
    </cfRule>
  </conditionalFormatting>
  <conditionalFormatting sqref="I5848">
    <cfRule type="expression" dxfId="3357" priority="1897" stopIfTrue="1">
      <formula>$I5848="适用"</formula>
    </cfRule>
    <cfRule type="expression" dxfId="3356" priority="1898" stopIfTrue="1">
      <formula>$I5848="不适用"</formula>
    </cfRule>
  </conditionalFormatting>
  <conditionalFormatting sqref="I5858">
    <cfRule type="expression" dxfId="3355" priority="1891" stopIfTrue="1">
      <formula>$I5858="适用"</formula>
    </cfRule>
    <cfRule type="expression" dxfId="3354" priority="1892" stopIfTrue="1">
      <formula>$I5858="不适用"</formula>
    </cfRule>
  </conditionalFormatting>
  <conditionalFormatting sqref="I5870">
    <cfRule type="expression" dxfId="3353" priority="1535" stopIfTrue="1">
      <formula>$I5870="适用"</formula>
    </cfRule>
    <cfRule type="expression" dxfId="3352" priority="1536" stopIfTrue="1">
      <formula>$I5870="不适用"</formula>
    </cfRule>
  </conditionalFormatting>
  <conditionalFormatting sqref="I5881">
    <cfRule type="expression" dxfId="3351" priority="1541" stopIfTrue="1">
      <formula>$I5881="适用"</formula>
    </cfRule>
    <cfRule type="expression" dxfId="3350" priority="1542" stopIfTrue="1">
      <formula>$I5881="不适用"</formula>
    </cfRule>
  </conditionalFormatting>
  <conditionalFormatting sqref="I5892">
    <cfRule type="expression" dxfId="3349" priority="1551" stopIfTrue="1">
      <formula>$I5892="适用"</formula>
    </cfRule>
    <cfRule type="expression" dxfId="3348" priority="1552" stopIfTrue="1">
      <formula>$I5892="不适用"</formula>
    </cfRule>
  </conditionalFormatting>
  <conditionalFormatting sqref="I5903">
    <cfRule type="expression" dxfId="3347" priority="1561" stopIfTrue="1">
      <formula>$I5903="适用"</formula>
    </cfRule>
    <cfRule type="expression" dxfId="3346" priority="1562" stopIfTrue="1">
      <formula>$I5903="不适用"</formula>
    </cfRule>
  </conditionalFormatting>
  <conditionalFormatting sqref="I5914">
    <cfRule type="expression" dxfId="3345" priority="1571" stopIfTrue="1">
      <formula>$I5914="适用"</formula>
    </cfRule>
    <cfRule type="expression" dxfId="3344" priority="1572" stopIfTrue="1">
      <formula>$I5914="不适用"</formula>
    </cfRule>
  </conditionalFormatting>
  <conditionalFormatting sqref="I5925">
    <cfRule type="expression" dxfId="3343" priority="1581" stopIfTrue="1">
      <formula>$I5925="适用"</formula>
    </cfRule>
    <cfRule type="expression" dxfId="3342" priority="1582" stopIfTrue="1">
      <formula>$I5925="不适用"</formula>
    </cfRule>
  </conditionalFormatting>
  <conditionalFormatting sqref="I5936">
    <cfRule type="expression" dxfId="3341" priority="1595" stopIfTrue="1">
      <formula>$I5936="适用"</formula>
    </cfRule>
    <cfRule type="expression" dxfId="3340" priority="1596" stopIfTrue="1">
      <formula>$I5936="不适用"</formula>
    </cfRule>
  </conditionalFormatting>
  <conditionalFormatting sqref="I5947">
    <cfRule type="expression" dxfId="3339" priority="1605" stopIfTrue="1">
      <formula>$I5947="适用"</formula>
    </cfRule>
    <cfRule type="expression" dxfId="3338" priority="1606" stopIfTrue="1">
      <formula>$I5947="不适用"</formula>
    </cfRule>
  </conditionalFormatting>
  <conditionalFormatting sqref="I5958">
    <cfRule type="expression" dxfId="3337" priority="1611" stopIfTrue="1">
      <formula>$I5958="适用"</formula>
    </cfRule>
    <cfRule type="expression" dxfId="3336" priority="1612" stopIfTrue="1">
      <formula>$I5958="不适用"</formula>
    </cfRule>
  </conditionalFormatting>
  <conditionalFormatting sqref="I5998">
    <cfRule type="expression" dxfId="3335" priority="1633" stopIfTrue="1">
      <formula>$I5998="适用"</formula>
    </cfRule>
    <cfRule type="expression" dxfId="3334" priority="1634" stopIfTrue="1">
      <formula>$I5998="不适用"</formula>
    </cfRule>
  </conditionalFormatting>
  <conditionalFormatting sqref="I6009">
    <cfRule type="expression" dxfId="3333" priority="1643" stopIfTrue="1">
      <formula>$I6009="适用"</formula>
    </cfRule>
    <cfRule type="expression" dxfId="3332" priority="1644" stopIfTrue="1">
      <formula>$I6009="不适用"</formula>
    </cfRule>
  </conditionalFormatting>
  <conditionalFormatting sqref="I6021">
    <cfRule type="expression" dxfId="3331" priority="1653" stopIfTrue="1">
      <formula>$I6021="适用"</formula>
    </cfRule>
    <cfRule type="expression" dxfId="3330" priority="1654" stopIfTrue="1">
      <formula>$I6021="不适用"</formula>
    </cfRule>
  </conditionalFormatting>
  <conditionalFormatting sqref="I6033">
    <cfRule type="expression" dxfId="3329" priority="1663" stopIfTrue="1">
      <formula>$I6033="适用"</formula>
    </cfRule>
    <cfRule type="expression" dxfId="3328" priority="1664" stopIfTrue="1">
      <formula>$I6033="不适用"</formula>
    </cfRule>
  </conditionalFormatting>
  <conditionalFormatting sqref="G540:G550">
    <cfRule type="expression" dxfId="3327" priority="4764">
      <formula>$D540&gt;1</formula>
    </cfRule>
    <cfRule type="expression" dxfId="3326" priority="4765">
      <formula>$C540="%IN"</formula>
    </cfRule>
    <cfRule type="expression" dxfId="3325" priority="4766" stopIfTrue="1">
      <formula>$E540=0</formula>
    </cfRule>
  </conditionalFormatting>
  <conditionalFormatting sqref="G865:G870">
    <cfRule type="expression" dxfId="3324" priority="4692">
      <formula>$D865&gt;1</formula>
    </cfRule>
    <cfRule type="expression" dxfId="3323" priority="4693">
      <formula>$C865="%IN"</formula>
    </cfRule>
    <cfRule type="expression" dxfId="3322" priority="4694" stopIfTrue="1">
      <formula>$E865=0</formula>
    </cfRule>
  </conditionalFormatting>
  <conditionalFormatting sqref="G938:G942">
    <cfRule type="expression" dxfId="3321" priority="4593">
      <formula>$D938&gt;1</formula>
    </cfRule>
    <cfRule type="expression" dxfId="3320" priority="4594">
      <formula>$C938="%IN"</formula>
    </cfRule>
    <cfRule type="expression" dxfId="3319" priority="4595" stopIfTrue="1">
      <formula>$E938=0</formula>
    </cfRule>
  </conditionalFormatting>
  <conditionalFormatting sqref="G1687:G1692">
    <cfRule type="expression" dxfId="3318" priority="3227" stopIfTrue="1">
      <formula>$D1687&gt;1</formula>
    </cfRule>
    <cfRule type="expression" dxfId="3317" priority="3228" stopIfTrue="1">
      <formula>$C1687="%IN"</formula>
    </cfRule>
  </conditionalFormatting>
  <conditionalFormatting sqref="G1704:G1709">
    <cfRule type="expression" dxfId="3316" priority="3229" stopIfTrue="1">
      <formula>$D1704&gt;1</formula>
    </cfRule>
    <cfRule type="expression" dxfId="3315" priority="3230" stopIfTrue="1">
      <formula>$C1704="%IN"</formula>
    </cfRule>
  </conditionalFormatting>
  <conditionalFormatting sqref="G1830:G1838">
    <cfRule type="expression" dxfId="3314" priority="4791">
      <formula>$D1830&gt;1</formula>
    </cfRule>
    <cfRule type="expression" dxfId="3313" priority="4792">
      <formula>$C1830="%IN"</formula>
    </cfRule>
    <cfRule type="expression" dxfId="3312" priority="4793" stopIfTrue="1">
      <formula>$E1830=0</formula>
    </cfRule>
  </conditionalFormatting>
  <conditionalFormatting sqref="G1845:G1853">
    <cfRule type="expression" dxfId="3311" priority="4794">
      <formula>$D1845&gt;1</formula>
    </cfRule>
    <cfRule type="expression" dxfId="3310" priority="4795">
      <formula>$C1845="%IN"</formula>
    </cfRule>
    <cfRule type="expression" dxfId="3309" priority="4796" stopIfTrue="1">
      <formula>$E1845=0</formula>
    </cfRule>
  </conditionalFormatting>
  <conditionalFormatting sqref="G2164:G2171">
    <cfRule type="expression" dxfId="3308" priority="3789" stopIfTrue="1">
      <formula>$D2164&gt;1</formula>
    </cfRule>
    <cfRule type="expression" dxfId="3307" priority="3790" stopIfTrue="1">
      <formula>$C2164="%IN"</formula>
    </cfRule>
  </conditionalFormatting>
  <conditionalFormatting sqref="G2176:G2181">
    <cfRule type="expression" dxfId="3306" priority="3657" stopIfTrue="1">
      <formula>$D2176&gt;1</formula>
    </cfRule>
    <cfRule type="expression" dxfId="3305" priority="3658" stopIfTrue="1">
      <formula>$C2176="%IN"</formula>
    </cfRule>
  </conditionalFormatting>
  <conditionalFormatting sqref="G2356:G2368">
    <cfRule type="expression" dxfId="3304" priority="4899">
      <formula>$D2356&gt;1</formula>
    </cfRule>
    <cfRule type="expression" dxfId="3303" priority="4900">
      <formula>$C2356="%IN"</formula>
    </cfRule>
    <cfRule type="expression" dxfId="3302" priority="4901" stopIfTrue="1">
      <formula>$E2356=0</formula>
    </cfRule>
  </conditionalFormatting>
  <conditionalFormatting sqref="G2502:G2506">
    <cfRule type="expression" dxfId="3301" priority="5150">
      <formula>$D2502&gt;1</formula>
    </cfRule>
    <cfRule type="expression" dxfId="3300" priority="5151">
      <formula>$C2502="%IN"</formula>
    </cfRule>
    <cfRule type="expression" dxfId="3299" priority="5152" stopIfTrue="1">
      <formula>$E2502=0</formula>
    </cfRule>
  </conditionalFormatting>
  <conditionalFormatting sqref="G2525:G2530">
    <cfRule type="expression" dxfId="3298" priority="5153">
      <formula>$D2525&gt;1</formula>
    </cfRule>
    <cfRule type="expression" dxfId="3297" priority="5154">
      <formula>$C2525="%IN"</formula>
    </cfRule>
    <cfRule type="expression" dxfId="3296" priority="5155" stopIfTrue="1">
      <formula>$E2525=0</formula>
    </cfRule>
  </conditionalFormatting>
  <conditionalFormatting sqref="G2623:G2628">
    <cfRule type="expression" dxfId="3295" priority="5007">
      <formula>$D2623&gt;1</formula>
    </cfRule>
    <cfRule type="expression" dxfId="3294" priority="5008">
      <formula>$C2623="%IN"</formula>
    </cfRule>
    <cfRule type="expression" dxfId="3293" priority="5009" stopIfTrue="1">
      <formula>$E2623=0</formula>
    </cfRule>
  </conditionalFormatting>
  <conditionalFormatting sqref="G2644:G2647">
    <cfRule type="expression" dxfId="3292" priority="5156">
      <formula>$D2644&gt;1</formula>
    </cfRule>
    <cfRule type="expression" dxfId="3291" priority="5157">
      <formula>$C2644="%IN"</formula>
    </cfRule>
    <cfRule type="expression" dxfId="3290" priority="5158" stopIfTrue="1">
      <formula>$E2644=0</formula>
    </cfRule>
  </conditionalFormatting>
  <conditionalFormatting sqref="G2802:G2810">
    <cfRule type="expression" dxfId="3289" priority="5159">
      <formula>$D2802&gt;1</formula>
    </cfRule>
    <cfRule type="expression" dxfId="3288" priority="5160">
      <formula>$C2802="%IN"</formula>
    </cfRule>
    <cfRule type="expression" dxfId="3287" priority="5161" stopIfTrue="1">
      <formula>$E2802=0</formula>
    </cfRule>
  </conditionalFormatting>
  <conditionalFormatting sqref="G2826:G2829">
    <cfRule type="expression" dxfId="3286" priority="5162">
      <formula>$D2826&gt;1</formula>
    </cfRule>
    <cfRule type="expression" dxfId="3285" priority="5163">
      <formula>$C2826="%IN"</formula>
    </cfRule>
    <cfRule type="expression" dxfId="3284" priority="5164" stopIfTrue="1">
      <formula>$E2826=0</formula>
    </cfRule>
  </conditionalFormatting>
  <conditionalFormatting sqref="G2915:G2919">
    <cfRule type="expression" dxfId="3283" priority="4962">
      <formula>$D2915&gt;1</formula>
    </cfRule>
    <cfRule type="expression" dxfId="3282" priority="4963">
      <formula>$C2915="%IN"</formula>
    </cfRule>
    <cfRule type="expression" dxfId="3281" priority="4964" stopIfTrue="1">
      <formula>$E2915=0</formula>
    </cfRule>
  </conditionalFormatting>
  <conditionalFormatting sqref="G3182:G3187">
    <cfRule type="expression" dxfId="3280" priority="3707" stopIfTrue="1">
      <formula>$D3182&gt;1</formula>
    </cfRule>
    <cfRule type="expression" dxfId="3279" priority="3708" stopIfTrue="1">
      <formula>$C3182="%IN"</formula>
    </cfRule>
  </conditionalFormatting>
  <conditionalFormatting sqref="G3220:G3225">
    <cfRule type="expression" dxfId="3278" priority="4971">
      <formula>$D3220&gt;1</formula>
    </cfRule>
    <cfRule type="expression" dxfId="3277" priority="4972">
      <formula>$C3220="%IN"</formula>
    </cfRule>
    <cfRule type="expression" dxfId="3276" priority="4973" stopIfTrue="1">
      <formula>$E3220=0</formula>
    </cfRule>
  </conditionalFormatting>
  <conditionalFormatting sqref="G3230:G3237">
    <cfRule type="expression" dxfId="3275" priority="3931" stopIfTrue="1">
      <formula>$D3230&gt;1</formula>
    </cfRule>
    <cfRule type="expression" dxfId="3274" priority="3932" stopIfTrue="1">
      <formula>$C3230="%IN"</formula>
    </cfRule>
  </conditionalFormatting>
  <conditionalFormatting sqref="G3311:G3318">
    <cfRule type="expression" dxfId="3273" priority="5174">
      <formula>$D3311&gt;1</formula>
    </cfRule>
    <cfRule type="expression" dxfId="3272" priority="5175">
      <formula>$C3311="%IN"</formula>
    </cfRule>
    <cfRule type="expression" dxfId="3271" priority="5176" stopIfTrue="1">
      <formula>$E3311=0</formula>
    </cfRule>
  </conditionalFormatting>
  <conditionalFormatting sqref="G3324:G3329">
    <cfRule type="expression" dxfId="3270" priority="5177">
      <formula>$D3324&gt;1</formula>
    </cfRule>
    <cfRule type="expression" dxfId="3269" priority="5178">
      <formula>$C3324="%IN"</formula>
    </cfRule>
    <cfRule type="expression" dxfId="3268" priority="5179" stopIfTrue="1">
      <formula>$E3324=0</formula>
    </cfRule>
  </conditionalFormatting>
  <conditionalFormatting sqref="G3386:G3394">
    <cfRule type="expression" dxfId="3267" priority="4980">
      <formula>$D3386&gt;1</formula>
    </cfRule>
    <cfRule type="expression" dxfId="3266" priority="4981">
      <formula>$C3386="%IN"</formula>
    </cfRule>
    <cfRule type="expression" dxfId="3265" priority="4982" stopIfTrue="1">
      <formula>$E3386=0</formula>
    </cfRule>
  </conditionalFormatting>
  <conditionalFormatting sqref="G3399:G3407">
    <cfRule type="expression" dxfId="3264" priority="4983">
      <formula>$D3399&gt;1</formula>
    </cfRule>
    <cfRule type="expression" dxfId="3263" priority="4984">
      <formula>$C3399="%IN"</formula>
    </cfRule>
    <cfRule type="expression" dxfId="3262" priority="4985" stopIfTrue="1">
      <formula>$E3399=0</formula>
    </cfRule>
  </conditionalFormatting>
  <conditionalFormatting sqref="G3426:G3431">
    <cfRule type="expression" dxfId="3261" priority="5183">
      <formula>$D3426&gt;1</formula>
    </cfRule>
    <cfRule type="expression" dxfId="3260" priority="5184">
      <formula>$C3426="%IN"</formula>
    </cfRule>
    <cfRule type="expression" dxfId="3259" priority="5185" stopIfTrue="1">
      <formula>$E3426=0</formula>
    </cfRule>
  </conditionalFormatting>
  <conditionalFormatting sqref="G3437:G3441">
    <cfRule type="expression" dxfId="3258" priority="5186">
      <formula>$D3437&gt;1</formula>
    </cfRule>
    <cfRule type="expression" dxfId="3257" priority="5187">
      <formula>$C3437="%IN"</formula>
    </cfRule>
    <cfRule type="expression" dxfId="3256" priority="5188" stopIfTrue="1">
      <formula>$E3437=0</formula>
    </cfRule>
  </conditionalFormatting>
  <conditionalFormatting sqref="G3536:G3541">
    <cfRule type="expression" dxfId="3255" priority="5192">
      <formula>$D3536&gt;1</formula>
    </cfRule>
    <cfRule type="expression" dxfId="3254" priority="5193">
      <formula>$C3536="%IN"</formula>
    </cfRule>
    <cfRule type="expression" dxfId="3253" priority="5194" stopIfTrue="1">
      <formula>$E3536=0</formula>
    </cfRule>
  </conditionalFormatting>
  <conditionalFormatting sqref="G3563:G3568">
    <cfRule type="expression" dxfId="3252" priority="3371" stopIfTrue="1">
      <formula>$D3563&gt;1</formula>
    </cfRule>
    <cfRule type="expression" dxfId="3251" priority="3372" stopIfTrue="1">
      <formula>$C3563="%IN"</formula>
    </cfRule>
  </conditionalFormatting>
  <conditionalFormatting sqref="G3603:G3617">
    <cfRule type="expression" dxfId="3250" priority="3925" stopIfTrue="1">
      <formula>$D3603&gt;1</formula>
    </cfRule>
    <cfRule type="expression" dxfId="3249" priority="3926" stopIfTrue="1">
      <formula>$C3603="%IN"</formula>
    </cfRule>
  </conditionalFormatting>
  <conditionalFormatting sqref="G3732:G3746">
    <cfRule type="expression" dxfId="3248" priority="652" stopIfTrue="1">
      <formula>$D3732&gt;1</formula>
    </cfRule>
    <cfRule type="expression" dxfId="3247" priority="653" stopIfTrue="1">
      <formula>$C3732="%IN"</formula>
    </cfRule>
  </conditionalFormatting>
  <conditionalFormatting sqref="G3751:G3759">
    <cfRule type="expression" dxfId="3246" priority="3953" stopIfTrue="1">
      <formula>$D3751&gt;1</formula>
    </cfRule>
    <cfRule type="expression" dxfId="3245" priority="3954" stopIfTrue="1">
      <formula>$C3751="%IN"</formula>
    </cfRule>
  </conditionalFormatting>
  <conditionalFormatting sqref="G3765:G3769">
    <cfRule type="expression" dxfId="3244" priority="5198">
      <formula>$D3765&gt;1</formula>
    </cfRule>
    <cfRule type="expression" dxfId="3243" priority="5199">
      <formula>$C3765="%IN"</formula>
    </cfRule>
    <cfRule type="expression" dxfId="3242" priority="5200" stopIfTrue="1">
      <formula>$E3765=0</formula>
    </cfRule>
  </conditionalFormatting>
  <conditionalFormatting sqref="G3823:G3828">
    <cfRule type="expression" dxfId="3241" priority="3749" stopIfTrue="1">
      <formula>$D3823&gt;1</formula>
    </cfRule>
    <cfRule type="expression" dxfId="3240" priority="3750" stopIfTrue="1">
      <formula>$C3823="%IN"</formula>
    </cfRule>
  </conditionalFormatting>
  <conditionalFormatting sqref="G3901:G3915">
    <cfRule type="expression" dxfId="3239" priority="3929" stopIfTrue="1">
      <formula>$D3901&gt;1</formula>
    </cfRule>
    <cfRule type="expression" dxfId="3238" priority="3930" stopIfTrue="1">
      <formula>$C3901="%IN"</formula>
    </cfRule>
  </conditionalFormatting>
  <conditionalFormatting sqref="G3921:G3926">
    <cfRule type="expression" dxfId="3237" priority="5213">
      <formula>$D3921&gt;1</formula>
    </cfRule>
    <cfRule type="expression" dxfId="3236" priority="5214">
      <formula>$C3921="%IN"</formula>
    </cfRule>
    <cfRule type="expression" dxfId="3235" priority="5215" stopIfTrue="1">
      <formula>$E3921=0</formula>
    </cfRule>
  </conditionalFormatting>
  <conditionalFormatting sqref="G3973:G3979">
    <cfRule type="expression" dxfId="3234" priority="5219">
      <formula>$D3973&gt;1</formula>
    </cfRule>
    <cfRule type="expression" dxfId="3233" priority="5220">
      <formula>$C3973="%IN"</formula>
    </cfRule>
    <cfRule type="expression" dxfId="3232" priority="5221" stopIfTrue="1">
      <formula>$E3973=0</formula>
    </cfRule>
  </conditionalFormatting>
  <conditionalFormatting sqref="G3984:G3989">
    <cfRule type="expression" dxfId="3231" priority="3761" stopIfTrue="1">
      <formula>$D3984&gt;1</formula>
    </cfRule>
    <cfRule type="expression" dxfId="3230" priority="3762" stopIfTrue="1">
      <formula>$C3984="%IN"</formula>
    </cfRule>
  </conditionalFormatting>
  <conditionalFormatting sqref="G4056:G4061">
    <cfRule type="expression" dxfId="3229" priority="5225">
      <formula>$D4056&gt;1</formula>
    </cfRule>
    <cfRule type="expression" dxfId="3228" priority="5226">
      <formula>$C4056="%IN"</formula>
    </cfRule>
    <cfRule type="expression" dxfId="3227" priority="5227" stopIfTrue="1">
      <formula>$E4056=0</formula>
    </cfRule>
  </conditionalFormatting>
  <conditionalFormatting sqref="G4066:G4074">
    <cfRule type="expression" dxfId="3226" priority="3763" stopIfTrue="1">
      <formula>$D4066&gt;1</formula>
    </cfRule>
    <cfRule type="expression" dxfId="3225" priority="3764" stopIfTrue="1">
      <formula>$C4066="%IN"</formula>
    </cfRule>
  </conditionalFormatting>
  <conditionalFormatting sqref="G4091:G4096">
    <cfRule type="expression" dxfId="3224" priority="3881" stopIfTrue="1">
      <formula>$D4091&gt;1</formula>
    </cfRule>
    <cfRule type="expression" dxfId="3223" priority="3882" stopIfTrue="1">
      <formula>$C4091="%IN"</formula>
    </cfRule>
  </conditionalFormatting>
  <conditionalFormatting sqref="G4112:G4117">
    <cfRule type="expression" dxfId="3222" priority="5228">
      <formula>$D4112&gt;1</formula>
    </cfRule>
    <cfRule type="expression" dxfId="3221" priority="5229">
      <formula>$C4112="%IN"</formula>
    </cfRule>
    <cfRule type="expression" dxfId="3220" priority="5230" stopIfTrue="1">
      <formula>$E4112=0</formula>
    </cfRule>
  </conditionalFormatting>
  <conditionalFormatting sqref="G4252:G4260">
    <cfRule type="expression" dxfId="3219" priority="5249">
      <formula>$D4252&gt;1</formula>
    </cfRule>
    <cfRule type="expression" dxfId="3218" priority="5250">
      <formula>$C4252="%IN"</formula>
    </cfRule>
    <cfRule type="expression" dxfId="3217" priority="5251" stopIfTrue="1">
      <formula>$E4252=0</formula>
    </cfRule>
  </conditionalFormatting>
  <conditionalFormatting sqref="G4429:G4437">
    <cfRule type="expression" dxfId="3216" priority="5031">
      <formula>$D4429&gt;1</formula>
    </cfRule>
    <cfRule type="expression" dxfId="3215" priority="5032">
      <formula>$C4429="%IN"</formula>
    </cfRule>
    <cfRule type="expression" dxfId="3214" priority="5033" stopIfTrue="1">
      <formula>$E4429=0</formula>
    </cfRule>
  </conditionalFormatting>
  <conditionalFormatting sqref="G4462:G4474">
    <cfRule type="expression" dxfId="3213" priority="5255">
      <formula>$D4462&gt;1</formula>
    </cfRule>
    <cfRule type="expression" dxfId="3212" priority="5256">
      <formula>$C4462="%IN"</formula>
    </cfRule>
    <cfRule type="expression" dxfId="3211" priority="5257" stopIfTrue="1">
      <formula>$E4462=0</formula>
    </cfRule>
  </conditionalFormatting>
  <conditionalFormatting sqref="G5161:G5172">
    <cfRule type="expression" dxfId="3210" priority="4161" stopIfTrue="1">
      <formula>$D5161&gt;1</formula>
    </cfRule>
    <cfRule type="expression" dxfId="3209" priority="4162" stopIfTrue="1">
      <formula>$C5161="%IN"</formula>
    </cfRule>
    <cfRule type="expression" dxfId="3208" priority="4163" stopIfTrue="1">
      <formula>$E5161=0</formula>
    </cfRule>
  </conditionalFormatting>
  <conditionalFormatting sqref="G5360:G5369">
    <cfRule type="expression" dxfId="3207" priority="5061">
      <formula>$D5360&gt;1</formula>
    </cfRule>
    <cfRule type="expression" dxfId="3206" priority="5062">
      <formula>$C5360="%IN"</formula>
    </cfRule>
    <cfRule type="expression" dxfId="3205" priority="5063" stopIfTrue="1">
      <formula>$E5360=0</formula>
    </cfRule>
  </conditionalFormatting>
  <conditionalFormatting sqref="G5376:G5385">
    <cfRule type="expression" dxfId="3204" priority="5064">
      <formula>$D5376&gt;1</formula>
    </cfRule>
    <cfRule type="expression" dxfId="3203" priority="5065">
      <formula>$C5376="%IN"</formula>
    </cfRule>
    <cfRule type="expression" dxfId="3202" priority="5066" stopIfTrue="1">
      <formula>$E5376=0</formula>
    </cfRule>
  </conditionalFormatting>
  <conditionalFormatting sqref="G5562:G5575">
    <cfRule type="expression" dxfId="3201" priority="5079">
      <formula>$D5562&gt;1</formula>
    </cfRule>
    <cfRule type="expression" dxfId="3200" priority="5080">
      <formula>$C5562="%IN"</formula>
    </cfRule>
    <cfRule type="expression" dxfId="3199" priority="5081" stopIfTrue="1">
      <formula>$E5562=0</formula>
    </cfRule>
  </conditionalFormatting>
  <conditionalFormatting sqref="G5582:G5586">
    <cfRule type="expression" dxfId="3198" priority="1827" stopIfTrue="1">
      <formula>$D5582&gt;1</formula>
    </cfRule>
    <cfRule type="expression" dxfId="3197" priority="1828" stopIfTrue="1">
      <formula>$C5582="%IN"</formula>
    </cfRule>
  </conditionalFormatting>
  <conditionalFormatting sqref="G5779:G5795">
    <cfRule type="expression" dxfId="3196" priority="4587">
      <formula>$D5779&gt;1</formula>
    </cfRule>
    <cfRule type="expression" dxfId="3195" priority="4588">
      <formula>$C5779="%IN"</formula>
    </cfRule>
    <cfRule type="expression" dxfId="3194" priority="4589" stopIfTrue="1">
      <formula>$E5779=0</formula>
    </cfRule>
  </conditionalFormatting>
  <conditionalFormatting sqref="G5809:G5836">
    <cfRule type="expression" dxfId="3193" priority="5103">
      <formula>$D5809&gt;1</formula>
    </cfRule>
    <cfRule type="expression" dxfId="3192" priority="5104">
      <formula>$C5809="%IN"</formula>
    </cfRule>
    <cfRule type="expression" dxfId="3191" priority="5105" stopIfTrue="1">
      <formula>$E5809=0</formula>
    </cfRule>
  </conditionalFormatting>
  <conditionalFormatting sqref="G5841:G5846">
    <cfRule type="expression" dxfId="3190" priority="3833" stopIfTrue="1">
      <formula>$D5841&gt;1</formula>
    </cfRule>
    <cfRule type="expression" dxfId="3189" priority="3834" stopIfTrue="1">
      <formula>$C5841="%IN"</formula>
    </cfRule>
  </conditionalFormatting>
  <conditionalFormatting sqref="I5935:I5945">
    <cfRule type="expression" dxfId="3188" priority="1599" stopIfTrue="1">
      <formula>$I5935="适用"</formula>
    </cfRule>
    <cfRule type="expression" dxfId="3187" priority="1600" stopIfTrue="1">
      <formula>$I5935="不适用"</formula>
    </cfRule>
  </conditionalFormatting>
  <conditionalFormatting sqref="I5946:I5956">
    <cfRule type="expression" dxfId="3186" priority="1609" stopIfTrue="1">
      <formula>$I5946="适用"</formula>
    </cfRule>
    <cfRule type="expression" dxfId="3185" priority="1610" stopIfTrue="1">
      <formula>$I5946="不适用"</formula>
    </cfRule>
  </conditionalFormatting>
  <conditionalFormatting sqref="I5957:I5975">
    <cfRule type="expression" dxfId="3184" priority="1619" stopIfTrue="1">
      <formula>$I5957="适用"</formula>
    </cfRule>
    <cfRule type="expression" dxfId="3183" priority="1620" stopIfTrue="1">
      <formula>$I5957="不适用"</formula>
    </cfRule>
  </conditionalFormatting>
  <conditionalFormatting sqref="I5976:I5996">
    <cfRule type="expression" dxfId="3182" priority="1627" stopIfTrue="1">
      <formula>$I5976="适用"</formula>
    </cfRule>
    <cfRule type="expression" dxfId="3181" priority="1628" stopIfTrue="1">
      <formula>$I5976="不适用"</formula>
    </cfRule>
  </conditionalFormatting>
  <conditionalFormatting sqref="I5997:I6007">
    <cfRule type="expression" dxfId="3180" priority="1637" stopIfTrue="1">
      <formula>$I5997="适用"</formula>
    </cfRule>
    <cfRule type="expression" dxfId="3179" priority="1638" stopIfTrue="1">
      <formula>$I5997="不适用"</formula>
    </cfRule>
  </conditionalFormatting>
  <conditionalFormatting sqref="I6008:I6019">
    <cfRule type="expression" dxfId="3178" priority="1647" stopIfTrue="1">
      <formula>$I6008="适用"</formula>
    </cfRule>
    <cfRule type="expression" dxfId="3177" priority="1648" stopIfTrue="1">
      <formula>$I6008="不适用"</formula>
    </cfRule>
  </conditionalFormatting>
  <conditionalFormatting sqref="I6020:I6031">
    <cfRule type="expression" dxfId="3176" priority="1657" stopIfTrue="1">
      <formula>$I6020="适用"</formula>
    </cfRule>
    <cfRule type="expression" dxfId="3175" priority="1658" stopIfTrue="1">
      <formula>$I6020="不适用"</formula>
    </cfRule>
  </conditionalFormatting>
  <conditionalFormatting sqref="I6032:I6053">
    <cfRule type="expression" dxfId="3174" priority="1667" stopIfTrue="1">
      <formula>$I6032="适用"</formula>
    </cfRule>
    <cfRule type="expression" dxfId="3173" priority="1668" stopIfTrue="1">
      <formula>$I6032="不适用"</formula>
    </cfRule>
  </conditionalFormatting>
  <conditionalFormatting sqref="J5937:J5944">
    <cfRule type="expression" dxfId="3172" priority="1593" stopIfTrue="1">
      <formula>$J5937="适用"</formula>
    </cfRule>
    <cfRule type="expression" dxfId="3171" priority="1594" stopIfTrue="1">
      <formula>$J5937="不适用"</formula>
    </cfRule>
  </conditionalFormatting>
  <conditionalFormatting sqref="J5948:J5955">
    <cfRule type="expression" dxfId="3170" priority="1603" stopIfTrue="1">
      <formula>$J5948="适用"</formula>
    </cfRule>
    <cfRule type="expression" dxfId="3169" priority="1604" stopIfTrue="1">
      <formula>$J5948="不适用"</formula>
    </cfRule>
  </conditionalFormatting>
  <conditionalFormatting sqref="J5959:J5974">
    <cfRule type="expression" dxfId="3168" priority="1613" stopIfTrue="1">
      <formula>$J5959="适用"</formula>
    </cfRule>
    <cfRule type="expression" dxfId="3167" priority="1614" stopIfTrue="1">
      <formula>$J5959="不适用"</formula>
    </cfRule>
  </conditionalFormatting>
  <conditionalFormatting sqref="J5978:J5995">
    <cfRule type="expression" dxfId="3166" priority="1623" stopIfTrue="1">
      <formula>$J5978="适用"</formula>
    </cfRule>
    <cfRule type="expression" dxfId="3165" priority="1624" stopIfTrue="1">
      <formula>$J5978="不适用"</formula>
    </cfRule>
  </conditionalFormatting>
  <conditionalFormatting sqref="J5999:J6006">
    <cfRule type="expression" dxfId="3164" priority="1631" stopIfTrue="1">
      <formula>$J5999="适用"</formula>
    </cfRule>
    <cfRule type="expression" dxfId="3163" priority="1632" stopIfTrue="1">
      <formula>$J5999="不适用"</formula>
    </cfRule>
  </conditionalFormatting>
  <conditionalFormatting sqref="J6010:J6018">
    <cfRule type="expression" dxfId="3162" priority="1641" stopIfTrue="1">
      <formula>$J6010="适用"</formula>
    </cfRule>
    <cfRule type="expression" dxfId="3161" priority="1642" stopIfTrue="1">
      <formula>$J6010="不适用"</formula>
    </cfRule>
  </conditionalFormatting>
  <conditionalFormatting sqref="J6022:J6030">
    <cfRule type="expression" dxfId="3160" priority="1651" stopIfTrue="1">
      <formula>$J6022="适用"</formula>
    </cfRule>
    <cfRule type="expression" dxfId="3159" priority="1652" stopIfTrue="1">
      <formula>$J6022="不适用"</formula>
    </cfRule>
  </conditionalFormatting>
  <conditionalFormatting sqref="Q317:Q333">
    <cfRule type="expression" dxfId="3158" priority="953" stopIfTrue="1">
      <formula>$Q317="请输入"</formula>
    </cfRule>
  </conditionalFormatting>
  <conditionalFormatting sqref="Q334:Q355">
    <cfRule type="expression" dxfId="3157" priority="947" stopIfTrue="1">
      <formula>$Q334="请输入"</formula>
    </cfRule>
  </conditionalFormatting>
  <conditionalFormatting sqref="Q356:Q377">
    <cfRule type="expression" dxfId="3156" priority="941" stopIfTrue="1">
      <formula>$Q356="请输入"</formula>
    </cfRule>
  </conditionalFormatting>
  <conditionalFormatting sqref="Q378:Q399">
    <cfRule type="expression" dxfId="3155" priority="935" stopIfTrue="1">
      <formula>$Q378="请输入"</formula>
    </cfRule>
  </conditionalFormatting>
  <conditionalFormatting sqref="Q400:Q414">
    <cfRule type="expression" dxfId="3154" priority="925" stopIfTrue="1">
      <formula>$Q400="请输入"</formula>
    </cfRule>
  </conditionalFormatting>
  <conditionalFormatting sqref="Q579:Q600">
    <cfRule type="expression" dxfId="3153" priority="919" stopIfTrue="1">
      <formula>$Q579="请输入"</formula>
    </cfRule>
  </conditionalFormatting>
  <conditionalFormatting sqref="Q707">
    <cfRule type="expression" dxfId="3152" priority="1020" stopIfTrue="1">
      <formula>$Q707="请输入"</formula>
    </cfRule>
  </conditionalFormatting>
  <conditionalFormatting sqref="Q1220:Q1308">
    <cfRule type="expression" dxfId="3151" priority="982" stopIfTrue="1">
      <formula>$Q1220="请输入"</formula>
    </cfRule>
  </conditionalFormatting>
  <conditionalFormatting sqref="Q1825:Q1839">
    <cfRule type="expression" dxfId="3150" priority="892" stopIfTrue="1">
      <formula>$Q1825="请输入"</formula>
    </cfRule>
  </conditionalFormatting>
  <conditionalFormatting sqref="Q1840:Q1854">
    <cfRule type="expression" dxfId="3149" priority="889" stopIfTrue="1">
      <formula>$Q1840="请输入"</formula>
    </cfRule>
  </conditionalFormatting>
  <conditionalFormatting sqref="Q1978:Q1987 Q1973 Q1975">
    <cfRule type="expression" dxfId="3148" priority="838" stopIfTrue="1">
      <formula>$Q1973="请输入"</formula>
    </cfRule>
  </conditionalFormatting>
  <conditionalFormatting sqref="Q1988:Q2002">
    <cfRule type="expression" dxfId="3147" priority="835" stopIfTrue="1">
      <formula>$Q1988="请输入"</formula>
    </cfRule>
  </conditionalFormatting>
  <conditionalFormatting sqref="Q2041:Q2043">
    <cfRule type="expression" dxfId="3146" priority="823" stopIfTrue="1">
      <formula>$Q2041="请输入"</formula>
    </cfRule>
  </conditionalFormatting>
  <conditionalFormatting sqref="Q2050:Q2064">
    <cfRule type="expression" dxfId="3145" priority="822" stopIfTrue="1">
      <formula>$Q2050="请输入"</formula>
    </cfRule>
  </conditionalFormatting>
  <conditionalFormatting sqref="Q2139:Q2157">
    <cfRule type="expression" dxfId="3144" priority="807" stopIfTrue="1">
      <formula>$Q2139="请输入"</formula>
    </cfRule>
  </conditionalFormatting>
  <conditionalFormatting sqref="Q2236:Q2248">
    <cfRule type="expression" dxfId="3143" priority="783" stopIfTrue="1">
      <formula>$Q2236="请输入"</formula>
    </cfRule>
  </conditionalFormatting>
  <conditionalFormatting sqref="Q2249:Q2261">
    <cfRule type="expression" dxfId="3142" priority="780" stopIfTrue="1">
      <formula>$Q2249="请输入"</formula>
    </cfRule>
  </conditionalFormatting>
  <conditionalFormatting sqref="Q2262:Q2274">
    <cfRule type="expression" dxfId="3141" priority="774" stopIfTrue="1">
      <formula>$Q2262="请输入"</formula>
    </cfRule>
  </conditionalFormatting>
  <conditionalFormatting sqref="Q2295:Q2316">
    <cfRule type="expression" dxfId="3140" priority="753" stopIfTrue="1">
      <formula>$Q2295="请输入"</formula>
    </cfRule>
  </conditionalFormatting>
  <conditionalFormatting sqref="Q2351:Q2369">
    <cfRule type="expression" dxfId="3139" priority="750" stopIfTrue="1">
      <formula>$Q2351="请输入"</formula>
    </cfRule>
  </conditionalFormatting>
  <conditionalFormatting sqref="Q2508:Q2520">
    <cfRule type="expression" dxfId="3138" priority="732" stopIfTrue="1">
      <formula>$Q2508="请输入"</formula>
    </cfRule>
  </conditionalFormatting>
  <conditionalFormatting sqref="Q2799:Q2811">
    <cfRule type="expression" dxfId="3137" priority="693" stopIfTrue="1">
      <formula>$Q2799="请输入"</formula>
    </cfRule>
  </conditionalFormatting>
  <conditionalFormatting sqref="Q2879:Q2898">
    <cfRule type="expression" dxfId="3136" priority="684" stopIfTrue="1">
      <formula>$Q2879="请输入"</formula>
    </cfRule>
  </conditionalFormatting>
  <conditionalFormatting sqref="Q2910:Q2919">
    <cfRule type="expression" dxfId="3135" priority="1085" stopIfTrue="1">
      <formula>$Q2910="请输入"</formula>
    </cfRule>
  </conditionalFormatting>
  <conditionalFormatting sqref="Q3008:Q3043">
    <cfRule type="expression" dxfId="3134" priority="4249" stopIfTrue="1">
      <formula>$Q3008="请输入"</formula>
    </cfRule>
  </conditionalFormatting>
  <conditionalFormatting sqref="Q3115:Q3127">
    <cfRule type="expression" dxfId="3133" priority="669" stopIfTrue="1">
      <formula>$Q3115="请输入"</formula>
    </cfRule>
  </conditionalFormatting>
  <conditionalFormatting sqref="Q3383:Q3395">
    <cfRule type="expression" dxfId="3132" priority="666" stopIfTrue="1">
      <formula>$Q3383="请输入"</formula>
    </cfRule>
  </conditionalFormatting>
  <conditionalFormatting sqref="Q3396:Q3407 Q3409">
    <cfRule type="expression" dxfId="3131" priority="663" stopIfTrue="1">
      <formula>$Q3396="请输入"</formula>
    </cfRule>
  </conditionalFormatting>
  <conditionalFormatting sqref="Q4426:Q4438">
    <cfRule type="expression" dxfId="3130" priority="604" stopIfTrue="1">
      <formula>$Q4426="请输入"</formula>
    </cfRule>
  </conditionalFormatting>
  <conditionalFormatting sqref="Q5321:Q5337">
    <cfRule type="expression" dxfId="3129" priority="578" stopIfTrue="1">
      <formula>$Q5321="请输入"</formula>
    </cfRule>
  </conditionalFormatting>
  <conditionalFormatting sqref="Q5338:Q5354">
    <cfRule type="expression" dxfId="3128" priority="575" stopIfTrue="1">
      <formula>$Q5338="请输入"</formula>
    </cfRule>
  </conditionalFormatting>
  <conditionalFormatting sqref="Q5355:Q5370">
    <cfRule type="expression" dxfId="3127" priority="569" stopIfTrue="1">
      <formula>$Q5355="请输入"</formula>
    </cfRule>
  </conditionalFormatting>
  <conditionalFormatting sqref="Q5371:Q5386">
    <cfRule type="expression" dxfId="3126" priority="560" stopIfTrue="1">
      <formula>$Q5371="请输入"</formula>
    </cfRule>
  </conditionalFormatting>
  <conditionalFormatting sqref="Q5559:Q5576">
    <cfRule type="expression" dxfId="3125" priority="545" stopIfTrue="1">
      <formula>$Q5559="请输入"</formula>
    </cfRule>
  </conditionalFormatting>
  <conditionalFormatting sqref="K7 M7 H7 P7:P8">
    <cfRule type="cellIs" dxfId="3124" priority="2821" stopIfTrue="1" operator="equal">
      <formula>0</formula>
    </cfRule>
    <cfRule type="cellIs" dxfId="3123" priority="2822" stopIfTrue="1" operator="notEqual">
      <formula>0</formula>
    </cfRule>
  </conditionalFormatting>
  <conditionalFormatting sqref="I4778 I4801 I4823 I4850 I4864 I3918 I10 I120 I138 I146 I160 I170 I192 I214 I251 I273 I286 I293 I1014 I989 I1776 I2465 I2559 I2650">
    <cfRule type="expression" dxfId="3122" priority="2796" stopIfTrue="1">
      <formula>$I10="适用"</formula>
    </cfRule>
    <cfRule type="expression" dxfId="3121" priority="2797" stopIfTrue="1">
      <formula>$I10="不适用"</formula>
    </cfRule>
  </conditionalFormatting>
  <conditionalFormatting sqref="Q935:Q943 Q2641:Q2648 Q2823:Q2830 Q3762:Q3770 Q4109:Q4118 Q4727:Q4750 Q4900:Q4913 Q4801 Q4821 Q4823:Q4835 Q4850 Q4862 Q4864:Q4876 Q3918 Q10 Q120:Q129 Q138 Q146 Q160 Q989:Q1014 Q1776:Q1790 Q2465 Q2559:Q2600 Q4778:Q4799">
    <cfRule type="expression" dxfId="3120" priority="4251" stopIfTrue="1">
      <formula>$Q10="请输入"</formula>
    </cfRule>
  </conditionalFormatting>
  <conditionalFormatting sqref="I20 I59 I90 I535 I559 I569 I601 I515 I618 I629 I648 I658 I678 I945 I957 I860 I872 I968 I1512 I1529 I1540 I1569 I1579 I1559 I1619 I1638 I1684 I1701 I1718 I1728 I1599 I1814 I1949 I2015 I2159 I2204 I2601 I2620 I2630 I2832 I2849 I2864 I2763 I2812 I2899 I2984 I130 I3177 I3190 I3215 I3242 I3258 I3271 I3278 I3288 I3308 I3321 I3411 I3434 I3493 I3560 I3620 I3772 I3803 I3888 I3929 I3939 I3949 I3959 I3970 I3999 I4063 I3483 I3580 I3858 I3878 I4086 I3513 I3898 I3503 I4289 I4310 I4319 I4249 I4180 I4200 I4215 I4235 I4149 I4159 I4415 I4439 I4451 I4459 I4476 I4353 I4362 I4394 I4500 I4518 I4542 I4565 I4635 I4665 I4696 I4752 I4509 I4878 I4915 I4928 I4946 I4959 I4967 I5022 I5038 I5054 I5065 I5076 I5087 I5098 I5121 I5129 I5158 I5196 I5174 I5138 I5148 I6056 I6065 I6076 I6085 I6094 I6108 I6118 I6127 I6147 I6156 I6165 I6187 I6214 I6243 I6138 I5880:I5934">
    <cfRule type="expression" dxfId="3119" priority="2804" stopIfTrue="1">
      <formula>$I20="适用"</formula>
    </cfRule>
    <cfRule type="expression" dxfId="3118" priority="2805" stopIfTrue="1">
      <formula>$I20="不适用"</formula>
    </cfRule>
  </conditionalFormatting>
  <conditionalFormatting sqref="Q20 Q2812 Q4149 Q4159">
    <cfRule type="expression" dxfId="3117" priority="4241" stopIfTrue="1">
      <formula>$Q20="请输入"</formula>
    </cfRule>
  </conditionalFormatting>
  <conditionalFormatting sqref="G4918:G4926">
    <cfRule type="expression" dxfId="3116" priority="4131" stopIfTrue="1">
      <formula>$D4918&gt;1</formula>
    </cfRule>
    <cfRule type="expression" dxfId="3115" priority="4132" stopIfTrue="1">
      <formula>$C4918="%IN"</formula>
    </cfRule>
    <cfRule type="expression" dxfId="3114" priority="4133" stopIfTrue="1">
      <formula>$E4918=0</formula>
    </cfRule>
  </conditionalFormatting>
  <conditionalFormatting sqref="I71">
    <cfRule type="expression" dxfId="3113" priority="1071" stopIfTrue="1">
      <formula>$I71="适用"</formula>
    </cfRule>
    <cfRule type="expression" dxfId="3112" priority="1072" stopIfTrue="1">
      <formula>$I71="不适用"</formula>
    </cfRule>
  </conditionalFormatting>
  <conditionalFormatting sqref="O5948:O5957 L5959:L5976 O5959:O5976 L5999:L6008 O5926:O5935 L5978:L5997 O5999:O6008 L5937:L5946 O5937:O5946 L6010:L6020 L5948:L5957 L6022:L6032 O6010:O6020 O6034:O6053 O6022:O6032 O5978:O5997 L6034:L6053 O5904:O5913 L5915:L5924 O5893:O5902 L5904:L5913 O5915:O5924 L5926:L5935 O5882:O5891 L5893:L5902 O5871:O5880 L5882:L5891 O5869 L5871:L5880 L5869 O5777:O5804 L5777:L5797 O4901:O4913 L4901:L4913 L4110 L4728:L4737 R4397:R4398 O4728:O4737 L3763 O4110:O4118 O1640 O3763:O3770 L2824 O1777:O1790 O2824:O2830 L4779:L4780 O4779:O4799 L4783:L4797 L4799">
    <cfRule type="expression" dxfId="3111" priority="620" stopIfTrue="1">
      <formula>L1640="F/S"</formula>
    </cfRule>
    <cfRule type="cellIs" dxfId="3110" priority="621" stopIfTrue="1" operator="notEqual">
      <formula>0</formula>
    </cfRule>
  </conditionalFormatting>
  <conditionalFormatting sqref="G2018:G2021 G1954:G1961">
    <cfRule type="expression" dxfId="3109" priority="3115" stopIfTrue="1">
      <formula>$D1954&gt;1</formula>
    </cfRule>
    <cfRule type="expression" dxfId="3108" priority="3116" stopIfTrue="1">
      <formula>$C1954="%IN"</formula>
    </cfRule>
  </conditionalFormatting>
  <conditionalFormatting sqref="G5590:G5601">
    <cfRule type="expression" dxfId="3107" priority="725" stopIfTrue="1">
      <formula>$D5590&gt;1</formula>
    </cfRule>
    <cfRule type="expression" dxfId="3106" priority="726" stopIfTrue="1">
      <formula>$C5590="%IN"</formula>
    </cfRule>
  </conditionalFormatting>
  <conditionalFormatting sqref="Q109">
    <cfRule type="expression" dxfId="3105" priority="4246" stopIfTrue="1">
      <formula>$Q109="请输入"</formula>
    </cfRule>
  </conditionalFormatting>
  <conditionalFormatting sqref="H4116:I4116">
    <cfRule type="expression" dxfId="3104" priority="4590">
      <formula>$D4116&gt;1</formula>
    </cfRule>
    <cfRule type="expression" dxfId="3103" priority="4591">
      <formula>$C4116="%IN"</formula>
    </cfRule>
    <cfRule type="expression" dxfId="3102" priority="4592" stopIfTrue="1">
      <formula>$E4116=0</formula>
    </cfRule>
  </conditionalFormatting>
  <conditionalFormatting sqref="G4826:G4834">
    <cfRule type="expression" dxfId="3101" priority="1042">
      <formula>$D4826&gt;1</formula>
    </cfRule>
    <cfRule type="expression" dxfId="3100" priority="1043">
      <formula>$C4826="%IN"</formula>
    </cfRule>
    <cfRule type="expression" dxfId="3099" priority="1044" stopIfTrue="1">
      <formula>$E4826=0</formula>
    </cfRule>
  </conditionalFormatting>
  <conditionalFormatting sqref="Q130 Q611:Q617">
    <cfRule type="expression" dxfId="3098" priority="4247" stopIfTrue="1">
      <formula>$Q130="请输入"</formula>
    </cfRule>
  </conditionalFormatting>
  <conditionalFormatting sqref="G520:G524 G526">
    <cfRule type="expression" dxfId="3097" priority="4761">
      <formula>$D520&gt;1</formula>
    </cfRule>
    <cfRule type="expression" dxfId="3096" priority="4762">
      <formula>$C520="%IN"</formula>
    </cfRule>
    <cfRule type="expression" dxfId="3095" priority="4763" stopIfTrue="1">
      <formula>$E520=0</formula>
    </cfRule>
  </conditionalFormatting>
  <conditionalFormatting sqref="G4804:G4820">
    <cfRule type="expression" dxfId="3094" priority="905" stopIfTrue="1">
      <formula>$D4804&gt;1</formula>
    </cfRule>
    <cfRule type="expression" dxfId="3093" priority="906" stopIfTrue="1">
      <formula>$C4804="%IN"</formula>
    </cfRule>
  </conditionalFormatting>
  <conditionalFormatting sqref="G2989:G3005 G3516:G3530 G3718:G3726 G4356:G4359">
    <cfRule type="expression" dxfId="3092" priority="2453" stopIfTrue="1">
      <formula>$D2989&gt;1</formula>
    </cfRule>
    <cfRule type="expression" dxfId="3091" priority="2454" stopIfTrue="1">
      <formula>$C2989="%IN"</formula>
    </cfRule>
  </conditionalFormatting>
  <conditionalFormatting sqref="Q2034:Q2040 Q2044:Q2049">
    <cfRule type="expression" dxfId="3090" priority="829" stopIfTrue="1">
      <formula>$Q2034="请输入"</formula>
    </cfRule>
  </conditionalFormatting>
  <conditionalFormatting sqref="Q2275:Q2294 Q2380:Q2392 Q2499:Q2507 Q2522:Q2557">
    <cfRule type="expression" dxfId="3089" priority="4248" stopIfTrue="1">
      <formula>$Q2275="请输入"</formula>
    </cfRule>
  </conditionalFormatting>
  <conditionalFormatting sqref="Q4490:Q4499 Q4369:Q4371 Q4373:Q4393">
    <cfRule type="expression" dxfId="3088" priority="4250" stopIfTrue="1">
      <formula>$Q4369="请输入"</formula>
    </cfRule>
  </conditionalFormatting>
  <conditionalFormatting sqref="I4614 I4624">
    <cfRule type="expression" dxfId="3087" priority="1405" stopIfTrue="1">
      <formula>$I4614="适用"</formula>
    </cfRule>
    <cfRule type="expression" dxfId="3086" priority="1406" stopIfTrue="1">
      <formula>$I4614="不适用"</formula>
    </cfRule>
  </conditionalFormatting>
  <conditionalFormatting sqref="G5343:G5351">
    <cfRule type="expression" dxfId="3085" priority="5058">
      <formula>$D5343&gt;1</formula>
    </cfRule>
    <cfRule type="expression" dxfId="3084" priority="5059">
      <formula>$C5343="%IN"</formula>
    </cfRule>
    <cfRule type="expression" dxfId="3083" priority="5060" stopIfTrue="1">
      <formula>$E5343=0</formula>
    </cfRule>
  </conditionalFormatting>
  <conditionalFormatting sqref="I5869:I5870 I5879">
    <cfRule type="expression" dxfId="3082" priority="1539" stopIfTrue="1">
      <formula>$I5869="适用"</formula>
    </cfRule>
    <cfRule type="expression" dxfId="3081" priority="1540" stopIfTrue="1">
      <formula>$I5869="不适用"</formula>
    </cfRule>
  </conditionalFormatting>
  <conditionalFormatting sqref="J6034:J6052 J5871:J5878 J5882:J5889 J5893:J5900 J5904:J5911 J5915:J5922 J5926:J5933">
    <cfRule type="expression" dxfId="3080" priority="1661" stopIfTrue="1">
      <formula>$J5871="适用"</formula>
    </cfRule>
    <cfRule type="expression" dxfId="3079" priority="1662" stopIfTrue="1">
      <formula>$J5871="不适用"</formula>
    </cfRule>
  </conditionalFormatting>
  <conditionalFormatting sqref="G149:G158">
    <cfRule type="expression" dxfId="3078" priority="5261">
      <formula>$D149&gt;1</formula>
    </cfRule>
    <cfRule type="expression" dxfId="3077" priority="5262">
      <formula>$C149="%IN"</formula>
    </cfRule>
    <cfRule type="expression" dxfId="3076" priority="5263" stopIfTrue="1">
      <formula>$E149=0</formula>
    </cfRule>
  </conditionalFormatting>
  <conditionalFormatting sqref="G875:G889">
    <cfRule type="expression" dxfId="3075" priority="5273">
      <formula>$D875&gt;1</formula>
    </cfRule>
    <cfRule type="expression" dxfId="3074" priority="5274">
      <formula>$C875="%IN"</formula>
    </cfRule>
    <cfRule type="expression" dxfId="3073" priority="5275" stopIfTrue="1">
      <formula>$E875=0</formula>
    </cfRule>
  </conditionalFormatting>
  <conditionalFormatting sqref="G1543:G1557">
    <cfRule type="expression" dxfId="3072" priority="5282">
      <formula>$D1543&gt;1</formula>
    </cfRule>
    <cfRule type="expression" dxfId="3071" priority="5283">
      <formula>$C1543="%IN"</formula>
    </cfRule>
    <cfRule type="expression" dxfId="3070" priority="5284" stopIfTrue="1">
      <formula>$E1543=0</formula>
    </cfRule>
  </conditionalFormatting>
  <conditionalFormatting sqref="G2144:G2156">
    <cfRule type="expression" dxfId="3069" priority="5303">
      <formula>$D2144&gt;1</formula>
    </cfRule>
    <cfRule type="expression" dxfId="3068" priority="5304">
      <formula>$C2144="%IN"</formula>
    </cfRule>
    <cfRule type="expression" dxfId="3067" priority="5305" stopIfTrue="1">
      <formula>$E2144=0</formula>
    </cfRule>
  </conditionalFormatting>
  <conditionalFormatting sqref="G2562:G2599">
    <cfRule type="expression" dxfId="3066" priority="5318">
      <formula>$D2562&gt;1</formula>
    </cfRule>
    <cfRule type="expression" dxfId="3065" priority="5319">
      <formula>$C2562="%IN"</formula>
    </cfRule>
    <cfRule type="expression" dxfId="3064" priority="5320" stopIfTrue="1">
      <formula>$E2562=0</formula>
    </cfRule>
  </conditionalFormatting>
  <conditionalFormatting sqref="G3011:G3042">
    <cfRule type="expression" dxfId="3063" priority="5330">
      <formula>$D3011&gt;1</formula>
    </cfRule>
    <cfRule type="expression" dxfId="3062" priority="5331">
      <formula>$C3011="%IN"</formula>
    </cfRule>
    <cfRule type="expression" dxfId="3061" priority="5332" stopIfTrue="1">
      <formula>$E3011=0</formula>
    </cfRule>
  </conditionalFormatting>
  <conditionalFormatting sqref="G5326:G5336">
    <cfRule type="expression" dxfId="3060" priority="5342">
      <formula>$D5326&gt;1</formula>
    </cfRule>
    <cfRule type="expression" dxfId="3059" priority="5343">
      <formula>$C5326="%IN"</formula>
    </cfRule>
    <cfRule type="expression" dxfId="3058" priority="5344" stopIfTrue="1">
      <formula>$E5326=0</formula>
    </cfRule>
  </conditionalFormatting>
  <conditionalFormatting sqref="G2927:G2982">
    <cfRule type="expression" dxfId="3057" priority="5345">
      <formula>$D2927&gt;1</formula>
    </cfRule>
    <cfRule type="expression" dxfId="3056" priority="5346">
      <formula>$C2927="%IN"</formula>
    </cfRule>
    <cfRule type="expression" dxfId="3055" priority="5347" stopIfTrue="1">
      <formula>$E2927=0</formula>
    </cfRule>
  </conditionalFormatting>
  <conditionalFormatting sqref="G3050:G3105">
    <cfRule type="expression" dxfId="3054" priority="5348">
      <formula>$D3050&gt;1</formula>
    </cfRule>
    <cfRule type="expression" dxfId="3053" priority="5349">
      <formula>$C3050="%IN"</formula>
    </cfRule>
    <cfRule type="expression" dxfId="3052" priority="5350" stopIfTrue="1">
      <formula>$E3050=0</formula>
    </cfRule>
  </conditionalFormatting>
  <conditionalFormatting sqref="G2146:G2154">
    <cfRule type="expression" dxfId="3051" priority="481">
      <formula>$D2146&gt;1</formula>
    </cfRule>
    <cfRule type="expression" dxfId="3050" priority="482">
      <formula>$C2146="%IN"</formula>
    </cfRule>
    <cfRule type="expression" dxfId="3049" priority="483" stopIfTrue="1">
      <formula>$E2146=0</formula>
    </cfRule>
  </conditionalFormatting>
  <conditionalFormatting sqref="G2358:G2366">
    <cfRule type="expression" dxfId="3048" priority="478">
      <formula>$D2358&gt;1</formula>
    </cfRule>
    <cfRule type="expression" dxfId="3047" priority="479">
      <formula>$C2358="%IN"</formula>
    </cfRule>
    <cfRule type="expression" dxfId="3046" priority="480" stopIfTrue="1">
      <formula>$E2358=0</formula>
    </cfRule>
  </conditionalFormatting>
  <conditionalFormatting sqref="G2607:G2610">
    <cfRule type="expression" dxfId="3045" priority="475">
      <formula>$D2607&gt;1</formula>
    </cfRule>
    <cfRule type="expression" dxfId="3044" priority="476">
      <formula>$C2607="%IN"</formula>
    </cfRule>
    <cfRule type="expression" dxfId="3043" priority="477" stopIfTrue="1">
      <formula>$E2607=0</formula>
    </cfRule>
  </conditionalFormatting>
  <conditionalFormatting sqref="G3806:G3818">
    <cfRule type="expression" dxfId="3042" priority="5357">
      <formula>$D3806&gt;1</formula>
    </cfRule>
    <cfRule type="expression" dxfId="3041" priority="5358">
      <formula>$C3806="%IN"</formula>
    </cfRule>
    <cfRule type="expression" dxfId="3040" priority="5359" stopIfTrue="1">
      <formula>$E3806=0</formula>
    </cfRule>
  </conditionalFormatting>
  <conditionalFormatting sqref="G3775:G3790">
    <cfRule type="expression" dxfId="3039" priority="5360">
      <formula>$D3775&gt;1</formula>
    </cfRule>
    <cfRule type="expression" dxfId="3038" priority="5361">
      <formula>$C3775="%IN"</formula>
    </cfRule>
    <cfRule type="expression" dxfId="3037" priority="5362" stopIfTrue="1">
      <formula>$E3775=0</formula>
    </cfRule>
  </conditionalFormatting>
  <conditionalFormatting sqref="G4315:G4317">
    <cfRule type="expression" dxfId="3036" priority="5369">
      <formula>$D4315&gt;1</formula>
    </cfRule>
    <cfRule type="expression" dxfId="3035" priority="5370">
      <formula>$C4315="%IN"</formula>
    </cfRule>
    <cfRule type="expression" dxfId="3034" priority="5371" stopIfTrue="1">
      <formula>$E4315=0</formula>
    </cfRule>
  </conditionalFormatting>
  <conditionalFormatting sqref="G5101:G5118">
    <cfRule type="expression" dxfId="3033" priority="5384">
      <formula>$D5101&gt;1</formula>
    </cfRule>
    <cfRule type="expression" dxfId="3032" priority="5385">
      <formula>$C5101="%IN"</formula>
    </cfRule>
    <cfRule type="expression" dxfId="3031" priority="5386" stopIfTrue="1">
      <formula>$E5101=0</formula>
    </cfRule>
  </conditionalFormatting>
  <conditionalFormatting sqref="G25:G57">
    <cfRule type="expression" dxfId="3030" priority="5483">
      <formula>$D25&gt;1</formula>
    </cfRule>
    <cfRule type="expression" dxfId="3029" priority="5484">
      <formula>$C25="%IN"</formula>
    </cfRule>
    <cfRule type="expression" dxfId="3028" priority="5485" stopIfTrue="1">
      <formula>$E25=0</formula>
    </cfRule>
  </conditionalFormatting>
  <conditionalFormatting sqref="P5376:P5385 P5360:P5369 O5343:O5353 O5326:O5336 M4867:M4875 M4881:M4897 O1643:P1655 L1031:N1035 K938:L942 P854:Q857 L2223:N2227 K2644:L2647 K2826:L2829 K3765:L3769 K3932:L3937 K4638:M4652 K4962:L4965 K13:L17 L2068:L2072">
    <cfRule type="cellIs" dxfId="3027" priority="7388" stopIfTrue="1" operator="notEqual">
      <formula>0</formula>
    </cfRule>
  </conditionalFormatting>
  <conditionalFormatting sqref="L5797 L5502 L4837:L4849 L4738:L4750 L4102:L4107 L4098:L4100 L2532 L2545:L2546 L2548:L2557 L2414 L2433 L2193:L2194 L2197:L2202 L1254:L1308 L3138 L3151 L1058 L1504:L1511 L1080:L1116 L1132 L1146:L1148 L1150:L1219 L1037:L1043 L1493:L1495 L921 L1498:L1499 L1028:L1029 L1235:L1249 L2220:L2221 L2229:L2235 L763 L778 L793:L795 L448 L812:L814 L839:L848 L310:L315 L306:L307 L236:L250 L20 L468 L415 L797:L804 L817:L826 L834:L836">
    <cfRule type="expression" dxfId="3026" priority="7390" stopIfTrue="1">
      <formula>OR($L$20="F/S",$L$20="")</formula>
    </cfRule>
    <cfRule type="cellIs" dxfId="3025" priority="7391" stopIfTrue="1" operator="notEqual">
      <formula>0</formula>
    </cfRule>
  </conditionalFormatting>
  <conditionalFormatting sqref="O5797:O5804 O5502 O4837:O4849 O4738:O4750 O4098:O4107 O2532:O2557 O2414:O2464 O2193:O2202 O1028:O1043 O3138:O3151 O1058 O1493:O1511 O1080:O1116 O1132:O1219 O1235:O1308 O921 O2220:O2221 O2229:O2235 O763 O778 O793:O848 O468 O415 O448 O306:O315 O20 O236:O250">
    <cfRule type="expression" dxfId="3024" priority="7392" stopIfTrue="1">
      <formula>OR($O$20="F/S",$O$20="")</formula>
    </cfRule>
    <cfRule type="cellIs" dxfId="3023" priority="7393" stopIfTrue="1" operator="notEqual">
      <formula>0</formula>
    </cfRule>
  </conditionalFormatting>
  <conditionalFormatting sqref="L10">
    <cfRule type="expression" dxfId="3022" priority="7394" stopIfTrue="1">
      <formula>OR($L$10="F/S",$L$10="")</formula>
    </cfRule>
    <cfRule type="cellIs" dxfId="3021" priority="7395" stopIfTrue="1" operator="notEqual">
      <formula>0</formula>
    </cfRule>
  </conditionalFormatting>
  <conditionalFormatting sqref="O10">
    <cfRule type="expression" dxfId="3020" priority="7396" stopIfTrue="1">
      <formula>OR($O$10="F/S",$O$10="")</formula>
    </cfRule>
    <cfRule type="cellIs" dxfId="3019" priority="7397" stopIfTrue="1" operator="notEqual">
      <formula>0</formula>
    </cfRule>
  </conditionalFormatting>
  <conditionalFormatting sqref="L59">
    <cfRule type="expression" dxfId="3018" priority="7398" stopIfTrue="1">
      <formula>OR($L$59="F/S",$L$59="")</formula>
    </cfRule>
    <cfRule type="cellIs" dxfId="3017" priority="7399" stopIfTrue="1" operator="notEqual">
      <formula>0</formula>
    </cfRule>
  </conditionalFormatting>
  <conditionalFormatting sqref="O59">
    <cfRule type="expression" dxfId="3016" priority="7400" stopIfTrue="1">
      <formula>OR($O$59="F/S",$O$59="")</formula>
    </cfRule>
    <cfRule type="cellIs" dxfId="3015" priority="7401" stopIfTrue="1" operator="notEqual">
      <formula>0</formula>
    </cfRule>
  </conditionalFormatting>
  <conditionalFormatting sqref="L90">
    <cfRule type="expression" dxfId="3014" priority="7402" stopIfTrue="1">
      <formula>OR($L$90="F/S",$L$90="")</formula>
    </cfRule>
    <cfRule type="cellIs" dxfId="3013" priority="7403" stopIfTrue="1" operator="notEqual">
      <formula>0</formula>
    </cfRule>
  </conditionalFormatting>
  <conditionalFormatting sqref="O90">
    <cfRule type="expression" dxfId="3012" priority="7404" stopIfTrue="1">
      <formula>OR($O$90="F/S",$O$90="")</formula>
    </cfRule>
    <cfRule type="cellIs" dxfId="3011" priority="7405" stopIfTrue="1" operator="notEqual">
      <formula>0</formula>
    </cfRule>
  </conditionalFormatting>
  <conditionalFormatting sqref="L71">
    <cfRule type="expression" dxfId="3010" priority="7410" stopIfTrue="1">
      <formula>OR($L$71="F/S",$L$71="")</formula>
    </cfRule>
    <cfRule type="cellIs" dxfId="3009" priority="7411" stopIfTrue="1" operator="notEqual">
      <formula>0</formula>
    </cfRule>
  </conditionalFormatting>
  <conditionalFormatting sqref="O71">
    <cfRule type="expression" dxfId="3008" priority="7412" stopIfTrue="1">
      <formula>OR($O$71="F/S",$O$71="")</formula>
    </cfRule>
    <cfRule type="cellIs" dxfId="3007" priority="7413" stopIfTrue="1" operator="notEqual">
      <formula>0</formula>
    </cfRule>
  </conditionalFormatting>
  <conditionalFormatting sqref="L109">
    <cfRule type="expression" dxfId="3006" priority="7414" stopIfTrue="1">
      <formula>OR($L$109="F/S",$L$109="")</formula>
    </cfRule>
    <cfRule type="cellIs" dxfId="3005" priority="7415" stopIfTrue="1" operator="notEqual">
      <formula>0</formula>
    </cfRule>
  </conditionalFormatting>
  <conditionalFormatting sqref="O109">
    <cfRule type="expression" dxfId="3004" priority="7416" stopIfTrue="1">
      <formula>OR($O$109="F/S",$O$109="")</formula>
    </cfRule>
    <cfRule type="cellIs" dxfId="3003" priority="7417" stopIfTrue="1" operator="notEqual">
      <formula>0</formula>
    </cfRule>
  </conditionalFormatting>
  <conditionalFormatting sqref="L120">
    <cfRule type="expression" dxfId="3002" priority="7418" stopIfTrue="1">
      <formula>OR($L$120="F/S",$L$120="")</formula>
    </cfRule>
    <cfRule type="cellIs" dxfId="3001" priority="7419" stopIfTrue="1" operator="notEqual">
      <formula>0</formula>
    </cfRule>
  </conditionalFormatting>
  <conditionalFormatting sqref="O120">
    <cfRule type="expression" dxfId="3000" priority="7420" stopIfTrue="1">
      <formula>OR($O$120="F/S",$O$120="")</formula>
    </cfRule>
    <cfRule type="cellIs" dxfId="2999" priority="7421" stopIfTrue="1" operator="notEqual">
      <formula>0</formula>
    </cfRule>
  </conditionalFormatting>
  <conditionalFormatting sqref="L138">
    <cfRule type="expression" dxfId="2998" priority="7422" stopIfTrue="1">
      <formula>OR($L$138="F/S",$L$138="")</formula>
    </cfRule>
    <cfRule type="cellIs" dxfId="2997" priority="7423" stopIfTrue="1" operator="notEqual">
      <formula>0</formula>
    </cfRule>
  </conditionalFormatting>
  <conditionalFormatting sqref="O138">
    <cfRule type="expression" dxfId="2996" priority="7424" stopIfTrue="1">
      <formula>OR($O$138="F/S",$O$138="")</formula>
    </cfRule>
    <cfRule type="cellIs" dxfId="2995" priority="7425" stopIfTrue="1" operator="notEqual">
      <formula>0</formula>
    </cfRule>
  </conditionalFormatting>
  <conditionalFormatting sqref="L146">
    <cfRule type="expression" dxfId="2994" priority="7426" stopIfTrue="1">
      <formula>OR($L$146="F/S",$L$146="")</formula>
    </cfRule>
    <cfRule type="cellIs" dxfId="2993" priority="7427" stopIfTrue="1" operator="notEqual">
      <formula>0</formula>
    </cfRule>
  </conditionalFormatting>
  <conditionalFormatting sqref="O146">
    <cfRule type="expression" dxfId="2992" priority="7428" stopIfTrue="1">
      <formula>OR($O$146="F/S",$O$146="")</formula>
    </cfRule>
    <cfRule type="cellIs" dxfId="2991" priority="7429" stopIfTrue="1" operator="notEqual">
      <formula>0</formula>
    </cfRule>
  </conditionalFormatting>
  <conditionalFormatting sqref="L160">
    <cfRule type="expression" dxfId="2990" priority="7430" stopIfTrue="1">
      <formula>OR($L$160="F/S",$L$160="")</formula>
    </cfRule>
    <cfRule type="cellIs" dxfId="2989" priority="7431" stopIfTrue="1" operator="notEqual">
      <formula>0</formula>
    </cfRule>
  </conditionalFormatting>
  <conditionalFormatting sqref="O160">
    <cfRule type="expression" dxfId="2988" priority="7432" stopIfTrue="1">
      <formula>OR($O$160="F/S",$O$160="")</formula>
    </cfRule>
    <cfRule type="cellIs" dxfId="2987" priority="7433" stopIfTrue="1" operator="notEqual">
      <formula>0</formula>
    </cfRule>
  </conditionalFormatting>
  <conditionalFormatting sqref="L170">
    <cfRule type="expression" dxfId="2986" priority="7434" stopIfTrue="1">
      <formula>OR($L$170="F/S",$L$170="")</formula>
    </cfRule>
    <cfRule type="cellIs" dxfId="2985" priority="7435" stopIfTrue="1" operator="notEqual">
      <formula>0</formula>
    </cfRule>
  </conditionalFormatting>
  <conditionalFormatting sqref="O170">
    <cfRule type="expression" dxfId="2984" priority="7436" stopIfTrue="1">
      <formula>OR($O$170="F/S",$O$170="")</formula>
    </cfRule>
    <cfRule type="cellIs" dxfId="2983" priority="7437" stopIfTrue="1" operator="notEqual">
      <formula>0</formula>
    </cfRule>
  </conditionalFormatting>
  <conditionalFormatting sqref="L192">
    <cfRule type="expression" dxfId="2982" priority="7438" stopIfTrue="1">
      <formula>OR($L$192="F/S",$L$192="")</formula>
    </cfRule>
    <cfRule type="cellIs" dxfId="2981" priority="7439" stopIfTrue="1" operator="notEqual">
      <formula>0</formula>
    </cfRule>
  </conditionalFormatting>
  <conditionalFormatting sqref="O192">
    <cfRule type="expression" dxfId="2980" priority="7440" stopIfTrue="1">
      <formula>OR($O$192="F/S",$O$192="")</formula>
    </cfRule>
    <cfRule type="cellIs" dxfId="2979" priority="7441" stopIfTrue="1" operator="notEqual">
      <formula>0</formula>
    </cfRule>
  </conditionalFormatting>
  <conditionalFormatting sqref="L214">
    <cfRule type="expression" dxfId="2978" priority="7442" stopIfTrue="1">
      <formula>OR($L$214="F/S",$L$214="")</formula>
    </cfRule>
    <cfRule type="cellIs" dxfId="2977" priority="7443" stopIfTrue="1" operator="notEqual">
      <formula>0</formula>
    </cfRule>
  </conditionalFormatting>
  <conditionalFormatting sqref="O214">
    <cfRule type="expression" dxfId="2976" priority="7444" stopIfTrue="1">
      <formula>OR($O$214="F/S",$O$214="")</formula>
    </cfRule>
    <cfRule type="cellIs" dxfId="2975" priority="7445" stopIfTrue="1" operator="notEqual">
      <formula>0</formula>
    </cfRule>
  </conditionalFormatting>
  <conditionalFormatting sqref="L251">
    <cfRule type="expression" dxfId="2974" priority="7446" stopIfTrue="1">
      <formula>OR($L$251="F/S",$L$251="")</formula>
    </cfRule>
    <cfRule type="cellIs" dxfId="2973" priority="7447" stopIfTrue="1" operator="notEqual">
      <formula>0</formula>
    </cfRule>
  </conditionalFormatting>
  <conditionalFormatting sqref="O251">
    <cfRule type="expression" dxfId="2972" priority="7448" stopIfTrue="1">
      <formula>OR($O$251="F/S",$O$251="")</formula>
    </cfRule>
    <cfRule type="cellIs" dxfId="2971" priority="7449" stopIfTrue="1" operator="notEqual">
      <formula>0</formula>
    </cfRule>
  </conditionalFormatting>
  <conditionalFormatting sqref="L273">
    <cfRule type="expression" dxfId="2970" priority="7450" stopIfTrue="1">
      <formula>OR($L$273="F/S",$L$273="")</formula>
    </cfRule>
    <cfRule type="cellIs" dxfId="2969" priority="7451" stopIfTrue="1" operator="notEqual">
      <formula>0</formula>
    </cfRule>
  </conditionalFormatting>
  <conditionalFormatting sqref="O273">
    <cfRule type="expression" dxfId="2968" priority="7452" stopIfTrue="1">
      <formula>OR($O$273="F/S",$O$273="")</formula>
    </cfRule>
    <cfRule type="cellIs" dxfId="2967" priority="7453" stopIfTrue="1" operator="notEqual">
      <formula>0</formula>
    </cfRule>
  </conditionalFormatting>
  <conditionalFormatting sqref="L286">
    <cfRule type="expression" dxfId="2966" priority="7454" stopIfTrue="1">
      <formula>OR($L$286="F/S",$L$286="")</formula>
    </cfRule>
    <cfRule type="cellIs" dxfId="2965" priority="7455" stopIfTrue="1" operator="notEqual">
      <formula>0</formula>
    </cfRule>
  </conditionalFormatting>
  <conditionalFormatting sqref="O286">
    <cfRule type="expression" dxfId="2964" priority="7456" stopIfTrue="1">
      <formula>OR($O$286="F/S",$O$286="")</formula>
    </cfRule>
    <cfRule type="cellIs" dxfId="2963" priority="7457" stopIfTrue="1" operator="notEqual">
      <formula>0</formula>
    </cfRule>
  </conditionalFormatting>
  <conditionalFormatting sqref="L293">
    <cfRule type="expression" dxfId="2962" priority="7458" stopIfTrue="1">
      <formula>OR($L$293="F/S",$L$293="")</formula>
    </cfRule>
    <cfRule type="cellIs" dxfId="2961" priority="7459" stopIfTrue="1" operator="notEqual">
      <formula>0</formula>
    </cfRule>
  </conditionalFormatting>
  <conditionalFormatting sqref="O293">
    <cfRule type="expression" dxfId="2960" priority="7460" stopIfTrue="1">
      <formula>OR($O$293="F/S",$O$293="")</formula>
    </cfRule>
    <cfRule type="cellIs" dxfId="2959" priority="7461" stopIfTrue="1" operator="notEqual">
      <formula>0</formula>
    </cfRule>
  </conditionalFormatting>
  <conditionalFormatting sqref="L130">
    <cfRule type="expression" dxfId="2958" priority="7462" stopIfTrue="1">
      <formula>OR($L$130="F/S",$L$130="")</formula>
    </cfRule>
    <cfRule type="cellIs" dxfId="2957" priority="7463" stopIfTrue="1" operator="notEqual">
      <formula>0</formula>
    </cfRule>
  </conditionalFormatting>
  <conditionalFormatting sqref="O130">
    <cfRule type="expression" dxfId="2956" priority="7464" stopIfTrue="1">
      <formula>OR($O$130="F/S",$O$130="")</formula>
    </cfRule>
    <cfRule type="cellIs" dxfId="2955" priority="7465" stopIfTrue="1" operator="notEqual">
      <formula>0</formula>
    </cfRule>
  </conditionalFormatting>
  <conditionalFormatting sqref="L317">
    <cfRule type="expression" dxfId="2954" priority="7466" stopIfTrue="1">
      <formula>OR($L$317="F/S",$L$317="")</formula>
    </cfRule>
    <cfRule type="cellIs" dxfId="2953" priority="7467" stopIfTrue="1" operator="notEqual">
      <formula>0</formula>
    </cfRule>
  </conditionalFormatting>
  <conditionalFormatting sqref="O317">
    <cfRule type="expression" dxfId="2952" priority="7468" stopIfTrue="1">
      <formula>OR($O$317="F/S",$O$317="")</formula>
    </cfRule>
    <cfRule type="cellIs" dxfId="2951" priority="7469" stopIfTrue="1" operator="notEqual">
      <formula>0</formula>
    </cfRule>
  </conditionalFormatting>
  <conditionalFormatting sqref="L334">
    <cfRule type="expression" dxfId="2950" priority="7470" stopIfTrue="1">
      <formula>OR($L$334="F/S",$L$334="")</formula>
    </cfRule>
    <cfRule type="cellIs" dxfId="2949" priority="7471" stopIfTrue="1" operator="notEqual">
      <formula>0</formula>
    </cfRule>
  </conditionalFormatting>
  <conditionalFormatting sqref="O334">
    <cfRule type="expression" dxfId="2948" priority="7472" stopIfTrue="1">
      <formula>OR($O$334="F/S",$O$334="")</formula>
    </cfRule>
    <cfRule type="cellIs" dxfId="2947" priority="7473" stopIfTrue="1" operator="notEqual">
      <formula>0</formula>
    </cfRule>
  </conditionalFormatting>
  <conditionalFormatting sqref="L430">
    <cfRule type="expression" dxfId="2946" priority="7474" stopIfTrue="1">
      <formula>OR($L$430="F/S",$L$430="")</formula>
    </cfRule>
    <cfRule type="cellIs" dxfId="2945" priority="7475" stopIfTrue="1" operator="notEqual">
      <formula>0</formula>
    </cfRule>
  </conditionalFormatting>
  <conditionalFormatting sqref="O430">
    <cfRule type="expression" dxfId="2944" priority="7476" stopIfTrue="1">
      <formula>OR($O$430="F/S",$O$430="")</formula>
    </cfRule>
    <cfRule type="cellIs" dxfId="2943" priority="7477" stopIfTrue="1" operator="notEqual">
      <formula>0</formula>
    </cfRule>
  </conditionalFormatting>
  <conditionalFormatting sqref="L356">
    <cfRule type="expression" dxfId="2942" priority="7478" stopIfTrue="1">
      <formula>OR($L$356="F/S",$L$356="")</formula>
    </cfRule>
    <cfRule type="cellIs" dxfId="2941" priority="7479" stopIfTrue="1" operator="notEqual">
      <formula>0</formula>
    </cfRule>
  </conditionalFormatting>
  <conditionalFormatting sqref="O356">
    <cfRule type="expression" dxfId="2940" priority="7480" stopIfTrue="1">
      <formula>OR($O$356="F/S",$O$356="")</formula>
    </cfRule>
    <cfRule type="cellIs" dxfId="2939" priority="7481" stopIfTrue="1" operator="notEqual">
      <formula>0</formula>
    </cfRule>
  </conditionalFormatting>
  <conditionalFormatting sqref="L378">
    <cfRule type="expression" dxfId="2938" priority="7482" stopIfTrue="1">
      <formula>OR($L$378="F/S",$L$378="")</formula>
    </cfRule>
    <cfRule type="cellIs" dxfId="2937" priority="7483" stopIfTrue="1" operator="notEqual">
      <formula>0</formula>
    </cfRule>
  </conditionalFormatting>
  <conditionalFormatting sqref="O378">
    <cfRule type="expression" dxfId="2936" priority="7484" stopIfTrue="1">
      <formula>OR($O$378="F/S",$O$378="")</formula>
    </cfRule>
    <cfRule type="cellIs" dxfId="2935" priority="7485" stopIfTrue="1" operator="notEqual">
      <formula>0</formula>
    </cfRule>
  </conditionalFormatting>
  <conditionalFormatting sqref="L400">
    <cfRule type="expression" dxfId="2934" priority="7486" stopIfTrue="1">
      <formula>OR($L$400="F/S",$L$400="")</formula>
    </cfRule>
    <cfRule type="cellIs" dxfId="2933" priority="7487" stopIfTrue="1" operator="notEqual">
      <formula>0</formula>
    </cfRule>
  </conditionalFormatting>
  <conditionalFormatting sqref="O400">
    <cfRule type="expression" dxfId="2932" priority="7488" stopIfTrue="1">
      <formula>OR($O$400="F/S",$O$400="")</formula>
    </cfRule>
    <cfRule type="cellIs" dxfId="2931" priority="7489" stopIfTrue="1" operator="notEqual">
      <formula>0</formula>
    </cfRule>
  </conditionalFormatting>
  <conditionalFormatting sqref="L515">
    <cfRule type="expression" dxfId="2930" priority="7490" stopIfTrue="1">
      <formula>OR($L$515="F/S",$L$515="")</formula>
    </cfRule>
    <cfRule type="cellIs" dxfId="2929" priority="7491" stopIfTrue="1" operator="notEqual">
      <formula>0</formula>
    </cfRule>
  </conditionalFormatting>
  <conditionalFormatting sqref="O515">
    <cfRule type="expression" dxfId="2928" priority="7492" stopIfTrue="1">
      <formula>OR($O$515="F/S",$O$515="")</formula>
    </cfRule>
    <cfRule type="cellIs" dxfId="2927" priority="7493" stopIfTrue="1" operator="notEqual">
      <formula>0</formula>
    </cfRule>
  </conditionalFormatting>
  <conditionalFormatting sqref="L535">
    <cfRule type="expression" dxfId="2926" priority="7494" stopIfTrue="1">
      <formula>OR($L$535="F/S",$L$535="")</formula>
    </cfRule>
    <cfRule type="cellIs" dxfId="2925" priority="7495" stopIfTrue="1" operator="notEqual">
      <formula>0</formula>
    </cfRule>
  </conditionalFormatting>
  <conditionalFormatting sqref="O535">
    <cfRule type="expression" dxfId="2924" priority="7496" stopIfTrue="1">
      <formula>OR($O$535="F/S",$O$535="")</formula>
    </cfRule>
    <cfRule type="cellIs" dxfId="2923" priority="7497" stopIfTrue="1" operator="notEqual">
      <formula>0</formula>
    </cfRule>
  </conditionalFormatting>
  <conditionalFormatting sqref="L579">
    <cfRule type="expression" dxfId="2922" priority="7498" stopIfTrue="1">
      <formula>OR($L$579="F/S",$L$579="")</formula>
    </cfRule>
    <cfRule type="cellIs" dxfId="2921" priority="7499" stopIfTrue="1" operator="notEqual">
      <formula>0</formula>
    </cfRule>
  </conditionalFormatting>
  <conditionalFormatting sqref="O579">
    <cfRule type="expression" dxfId="2920" priority="7500" stopIfTrue="1">
      <formula>OR($O$579="F/S",$O$579="")</formula>
    </cfRule>
    <cfRule type="cellIs" dxfId="2919" priority="7501" stopIfTrue="1" operator="notEqual">
      <formula>0</formula>
    </cfRule>
  </conditionalFormatting>
  <conditionalFormatting sqref="L601">
    <cfRule type="expression" dxfId="2918" priority="7502" stopIfTrue="1">
      <formula>OR($L$601="F/S",$L$601="")</formula>
    </cfRule>
    <cfRule type="cellIs" dxfId="2917" priority="7503" stopIfTrue="1" operator="notEqual">
      <formula>0</formula>
    </cfRule>
  </conditionalFormatting>
  <conditionalFormatting sqref="O601">
    <cfRule type="expression" dxfId="2916" priority="7504" stopIfTrue="1">
      <formula>OR($O$601="F/S",$O$601="")</formula>
    </cfRule>
    <cfRule type="cellIs" dxfId="2915" priority="7505" stopIfTrue="1" operator="notEqual">
      <formula>0</formula>
    </cfRule>
  </conditionalFormatting>
  <conditionalFormatting sqref="L611">
    <cfRule type="expression" dxfId="2914" priority="7506" stopIfTrue="1">
      <formula>OR($L$611="F/S",$L$611="")</formula>
    </cfRule>
    <cfRule type="cellIs" dxfId="2913" priority="7507" stopIfTrue="1" operator="notEqual">
      <formula>0</formula>
    </cfRule>
  </conditionalFormatting>
  <conditionalFormatting sqref="O611">
    <cfRule type="expression" dxfId="2912" priority="7508" stopIfTrue="1">
      <formula>OR($O$611="F/S",$O$611="")</formula>
    </cfRule>
    <cfRule type="cellIs" dxfId="2911" priority="7509" stopIfTrue="1" operator="notEqual">
      <formula>0</formula>
    </cfRule>
  </conditionalFormatting>
  <conditionalFormatting sqref="L618">
    <cfRule type="expression" dxfId="2910" priority="7510" stopIfTrue="1">
      <formula>OR($L$618="F/S",$L$618="")</formula>
    </cfRule>
    <cfRule type="cellIs" dxfId="2909" priority="7511" stopIfTrue="1" operator="notEqual">
      <formula>0</formula>
    </cfRule>
  </conditionalFormatting>
  <conditionalFormatting sqref="O618">
    <cfRule type="expression" dxfId="2908" priority="7512" stopIfTrue="1">
      <formula>OR($O$618="F/S",$O$618="")</formula>
    </cfRule>
    <cfRule type="cellIs" dxfId="2907" priority="7513" stopIfTrue="1" operator="notEqual">
      <formula>0</formula>
    </cfRule>
  </conditionalFormatting>
  <conditionalFormatting sqref="L629">
    <cfRule type="expression" dxfId="2906" priority="7514" stopIfTrue="1">
      <formula>OR($L$629="F/S",$L$629="")</formula>
    </cfRule>
    <cfRule type="cellIs" dxfId="2905" priority="7515" stopIfTrue="1" operator="notEqual">
      <formula>0</formula>
    </cfRule>
  </conditionalFormatting>
  <conditionalFormatting sqref="O629">
    <cfRule type="expression" dxfId="2904" priority="7516" stopIfTrue="1">
      <formula>OR($O$629="F/S",$O$629="")</formula>
    </cfRule>
    <cfRule type="cellIs" dxfId="2903" priority="7517" stopIfTrue="1" operator="notEqual">
      <formula>0</formula>
    </cfRule>
  </conditionalFormatting>
  <conditionalFormatting sqref="L648">
    <cfRule type="expression" dxfId="2902" priority="7518" stopIfTrue="1">
      <formula>OR($L$648="F/S",$L$648="")</formula>
    </cfRule>
    <cfRule type="cellIs" dxfId="2901" priority="7519" stopIfTrue="1" operator="notEqual">
      <formula>0</formula>
    </cfRule>
  </conditionalFormatting>
  <conditionalFormatting sqref="O648">
    <cfRule type="expression" dxfId="2900" priority="7520" stopIfTrue="1">
      <formula>OR($O$648="F/S",$O$648="")</formula>
    </cfRule>
    <cfRule type="cellIs" dxfId="2899" priority="7521" stopIfTrue="1" operator="notEqual">
      <formula>0</formula>
    </cfRule>
  </conditionalFormatting>
  <conditionalFormatting sqref="L658">
    <cfRule type="expression" dxfId="2898" priority="7522" stopIfTrue="1">
      <formula>OR($L$658="F/S",$L$658="")</formula>
    </cfRule>
    <cfRule type="cellIs" dxfId="2897" priority="7523" stopIfTrue="1" operator="notEqual">
      <formula>0</formula>
    </cfRule>
  </conditionalFormatting>
  <conditionalFormatting sqref="O658">
    <cfRule type="expression" dxfId="2896" priority="7524" stopIfTrue="1">
      <formula>OR($O$658="F/S",$O$658="")</formula>
    </cfRule>
    <cfRule type="cellIs" dxfId="2895" priority="7525" stopIfTrue="1" operator="notEqual">
      <formula>0</formula>
    </cfRule>
  </conditionalFormatting>
  <conditionalFormatting sqref="L485">
    <cfRule type="expression" dxfId="2894" priority="7526" stopIfTrue="1">
      <formula>OR($L$485="F/S",$L$485="")</formula>
    </cfRule>
    <cfRule type="cellIs" dxfId="2893" priority="7527" stopIfTrue="1" operator="notEqual">
      <formula>0</formula>
    </cfRule>
  </conditionalFormatting>
  <conditionalFormatting sqref="O485">
    <cfRule type="expression" dxfId="2892" priority="7528" stopIfTrue="1">
      <formula>OR($O$485="F/S",$O$485="")</formula>
    </cfRule>
    <cfRule type="cellIs" dxfId="2891" priority="7529" stopIfTrue="1" operator="notEqual">
      <formula>0</formula>
    </cfRule>
  </conditionalFormatting>
  <conditionalFormatting sqref="L500">
    <cfRule type="expression" dxfId="2890" priority="7530" stopIfTrue="1">
      <formula>OR($L$500="F/S",$L$500="")</formula>
    </cfRule>
    <cfRule type="cellIs" dxfId="2889" priority="7531" stopIfTrue="1" operator="notEqual">
      <formula>0</formula>
    </cfRule>
  </conditionalFormatting>
  <conditionalFormatting sqref="O500">
    <cfRule type="expression" dxfId="2888" priority="7532" stopIfTrue="1">
      <formula>OR($O$500="F/S",$O$500="")</formula>
    </cfRule>
    <cfRule type="cellIs" dxfId="2887" priority="7533" stopIfTrue="1" operator="notEqual">
      <formula>0</formula>
    </cfRule>
  </conditionalFormatting>
  <conditionalFormatting sqref="L559">
    <cfRule type="expression" dxfId="2886" priority="7534" stopIfTrue="1">
      <formula>OR($L$559="F/S",$L$559="")</formula>
    </cfRule>
    <cfRule type="cellIs" dxfId="2885" priority="7535" stopIfTrue="1" operator="notEqual">
      <formula>0</formula>
    </cfRule>
  </conditionalFormatting>
  <conditionalFormatting sqref="O559">
    <cfRule type="expression" dxfId="2884" priority="7536" stopIfTrue="1">
      <formula>OR($O$559="F/S",$O$559="")</formula>
    </cfRule>
    <cfRule type="cellIs" dxfId="2883" priority="7537" stopIfTrue="1" operator="notEqual">
      <formula>0</formula>
    </cfRule>
  </conditionalFormatting>
  <conditionalFormatting sqref="L569">
    <cfRule type="expression" dxfId="2882" priority="7538" stopIfTrue="1">
      <formula>OR($L$569="F/S",$L$569="")</formula>
    </cfRule>
    <cfRule type="cellIs" dxfId="2881" priority="7539" stopIfTrue="1" operator="notEqual">
      <formula>0</formula>
    </cfRule>
  </conditionalFormatting>
  <conditionalFormatting sqref="O569">
    <cfRule type="expression" dxfId="2880" priority="7540" stopIfTrue="1">
      <formula>OR($O$569="F/S",$O$569="")</formula>
    </cfRule>
    <cfRule type="cellIs" dxfId="2879" priority="7541" stopIfTrue="1" operator="notEqual">
      <formula>0</formula>
    </cfRule>
  </conditionalFormatting>
  <conditionalFormatting sqref="L668">
    <cfRule type="expression" dxfId="2878" priority="7546" stopIfTrue="1">
      <formula>OR($L$668="F/S",$L$668="")</formula>
    </cfRule>
    <cfRule type="cellIs" dxfId="2877" priority="7547" stopIfTrue="1" operator="notEqual">
      <formula>0</formula>
    </cfRule>
  </conditionalFormatting>
  <conditionalFormatting sqref="O668">
    <cfRule type="expression" dxfId="2876" priority="7548" stopIfTrue="1">
      <formula>OR($O$668="F/S",$O$668="")</formula>
    </cfRule>
    <cfRule type="cellIs" dxfId="2875" priority="7549" stopIfTrue="1" operator="notEqual">
      <formula>0</formula>
    </cfRule>
  </conditionalFormatting>
  <conditionalFormatting sqref="L678">
    <cfRule type="expression" dxfId="2874" priority="7550" stopIfTrue="1">
      <formula>OR($L$678="F/S",$L$678="")</formula>
    </cfRule>
    <cfRule type="cellIs" dxfId="2873" priority="7551" stopIfTrue="1" operator="notEqual">
      <formula>0</formula>
    </cfRule>
  </conditionalFormatting>
  <conditionalFormatting sqref="O678">
    <cfRule type="expression" dxfId="2872" priority="7552" stopIfTrue="1">
      <formula>OR($O$678="F/S",$O$678="")</formula>
    </cfRule>
    <cfRule type="cellIs" dxfId="2871" priority="7553" stopIfTrue="1" operator="notEqual">
      <formula>0</formula>
    </cfRule>
  </conditionalFormatting>
  <conditionalFormatting sqref="L689">
    <cfRule type="expression" dxfId="2870" priority="7554" stopIfTrue="1">
      <formula>OR($L$689="F/S",$L$689="")</formula>
    </cfRule>
    <cfRule type="cellIs" dxfId="2869" priority="7555" stopIfTrue="1" operator="notEqual">
      <formula>0</formula>
    </cfRule>
  </conditionalFormatting>
  <conditionalFormatting sqref="O689">
    <cfRule type="expression" dxfId="2868" priority="7556" stopIfTrue="1">
      <formula>OR($O$689="F/S",$O$689="")</formula>
    </cfRule>
    <cfRule type="cellIs" dxfId="2867" priority="7557" stopIfTrue="1" operator="notEqual">
      <formula>0</formula>
    </cfRule>
  </conditionalFormatting>
  <conditionalFormatting sqref="L699">
    <cfRule type="expression" dxfId="2866" priority="7562" stopIfTrue="1">
      <formula>OR($L$699="F/S",$L$699="")</formula>
    </cfRule>
    <cfRule type="cellIs" dxfId="2865" priority="7563" stopIfTrue="1" operator="notEqual">
      <formula>0</formula>
    </cfRule>
  </conditionalFormatting>
  <conditionalFormatting sqref="O699">
    <cfRule type="expression" dxfId="2864" priority="7564" stopIfTrue="1">
      <formula>OR($O$699="F/S",$O$699="")</formula>
    </cfRule>
    <cfRule type="cellIs" dxfId="2863" priority="7565" stopIfTrue="1" operator="notEqual">
      <formula>0</formula>
    </cfRule>
  </conditionalFormatting>
  <conditionalFormatting sqref="L707">
    <cfRule type="expression" dxfId="2862" priority="7566" stopIfTrue="1">
      <formula>OR($L$707="F/S",$L$707="")</formula>
    </cfRule>
    <cfRule type="cellIs" dxfId="2861" priority="7567" stopIfTrue="1" operator="notEqual">
      <formula>0</formula>
    </cfRule>
  </conditionalFormatting>
  <conditionalFormatting sqref="O707">
    <cfRule type="expression" dxfId="2860" priority="7568" stopIfTrue="1">
      <formula>OR($O$707="F/S",$O$707="")</formula>
    </cfRule>
    <cfRule type="cellIs" dxfId="2859" priority="7569" stopIfTrue="1" operator="notEqual">
      <formula>0</formula>
    </cfRule>
  </conditionalFormatting>
  <conditionalFormatting sqref="L722">
    <cfRule type="expression" dxfId="2858" priority="7570" stopIfTrue="1">
      <formula>OR($L$722="F/S",$L$722="")</formula>
    </cfRule>
    <cfRule type="cellIs" dxfId="2857" priority="7571" stopIfTrue="1" operator="notEqual">
      <formula>0</formula>
    </cfRule>
  </conditionalFormatting>
  <conditionalFormatting sqref="O722">
    <cfRule type="expression" dxfId="2856" priority="7572" stopIfTrue="1">
      <formula>OR($O$722="F/S",$O$722="")</formula>
    </cfRule>
    <cfRule type="cellIs" dxfId="2855" priority="7573" stopIfTrue="1" operator="notEqual">
      <formula>0</formula>
    </cfRule>
  </conditionalFormatting>
  <conditionalFormatting sqref="L741">
    <cfRule type="expression" dxfId="2854" priority="7574" stopIfTrue="1">
      <formula>OR($L$741="F/S",$L$741="")</formula>
    </cfRule>
    <cfRule type="cellIs" dxfId="2853" priority="7575" stopIfTrue="1" operator="notEqual">
      <formula>0</formula>
    </cfRule>
  </conditionalFormatting>
  <conditionalFormatting sqref="O741">
    <cfRule type="expression" dxfId="2852" priority="7576" stopIfTrue="1">
      <formula>OR($O$741="F/S",$O$741="")</formula>
    </cfRule>
    <cfRule type="cellIs" dxfId="2851" priority="7577" stopIfTrue="1" operator="notEqual">
      <formula>0</formula>
    </cfRule>
  </conditionalFormatting>
  <conditionalFormatting sqref="L849">
    <cfRule type="expression" dxfId="2850" priority="7578" stopIfTrue="1">
      <formula>OR($L$849="F/S",$L$849="")</formula>
    </cfRule>
    <cfRule type="cellIs" dxfId="2849" priority="7579" stopIfTrue="1" operator="notEqual">
      <formula>0</formula>
    </cfRule>
  </conditionalFormatting>
  <conditionalFormatting sqref="O849">
    <cfRule type="expression" dxfId="2848" priority="7580" stopIfTrue="1">
      <formula>OR($O$849="F/S",$O$849="")</formula>
    </cfRule>
    <cfRule type="cellIs" dxfId="2847" priority="7581" stopIfTrue="1" operator="notEqual">
      <formula>0</formula>
    </cfRule>
  </conditionalFormatting>
  <conditionalFormatting sqref="L860">
    <cfRule type="expression" dxfId="2846" priority="7582" stopIfTrue="1">
      <formula>OR($L$860="F/S",$L$860="")</formula>
    </cfRule>
    <cfRule type="cellIs" dxfId="2845" priority="7583" stopIfTrue="1" operator="notEqual">
      <formula>0</formula>
    </cfRule>
  </conditionalFormatting>
  <conditionalFormatting sqref="O860">
    <cfRule type="expression" dxfId="2844" priority="7584" stopIfTrue="1">
      <formula>OR($O$860="F/S",$O$860="")</formula>
    </cfRule>
    <cfRule type="cellIs" dxfId="2843" priority="7585" stopIfTrue="1" operator="notEqual">
      <formula>0</formula>
    </cfRule>
  </conditionalFormatting>
  <conditionalFormatting sqref="L872">
    <cfRule type="expression" dxfId="2842" priority="7586" stopIfTrue="1">
      <formula>OR($L$872="F/S",$L$872="")</formula>
    </cfRule>
    <cfRule type="cellIs" dxfId="2841" priority="7587" stopIfTrue="1" operator="notEqual">
      <formula>0</formula>
    </cfRule>
  </conditionalFormatting>
  <conditionalFormatting sqref="O872">
    <cfRule type="expression" dxfId="2840" priority="7588" stopIfTrue="1">
      <formula>OR($O$872="F/S",$O$872="")</formula>
    </cfRule>
    <cfRule type="cellIs" dxfId="2839" priority="7589" stopIfTrue="1" operator="notEqual">
      <formula>0</formula>
    </cfRule>
  </conditionalFormatting>
  <conditionalFormatting sqref="L891">
    <cfRule type="expression" dxfId="2838" priority="7590" stopIfTrue="1">
      <formula>OR($L$891="F/S",$L$891="")</formula>
    </cfRule>
    <cfRule type="cellIs" dxfId="2837" priority="7591" stopIfTrue="1" operator="notEqual">
      <formula>0</formula>
    </cfRule>
  </conditionalFormatting>
  <conditionalFormatting sqref="O891">
    <cfRule type="expression" dxfId="2836" priority="7592" stopIfTrue="1">
      <formula>OR($O$891="F/S",$O$891="")</formula>
    </cfRule>
    <cfRule type="cellIs" dxfId="2835" priority="7593" stopIfTrue="1" operator="notEqual">
      <formula>0</formula>
    </cfRule>
  </conditionalFormatting>
  <conditionalFormatting sqref="L911">
    <cfRule type="expression" dxfId="2834" priority="7598" stopIfTrue="1">
      <formula>OR($L$911="F/S",$L$911="")</formula>
    </cfRule>
    <cfRule type="cellIs" dxfId="2833" priority="7599" stopIfTrue="1" operator="notEqual">
      <formula>0</formula>
    </cfRule>
  </conditionalFormatting>
  <conditionalFormatting sqref="O911">
    <cfRule type="expression" dxfId="2832" priority="7600" stopIfTrue="1">
      <formula>OR($O$911="F/S",$O$911="")</formula>
    </cfRule>
    <cfRule type="cellIs" dxfId="2831" priority="7601" stopIfTrue="1" operator="notEqual">
      <formula>0</formula>
    </cfRule>
  </conditionalFormatting>
  <conditionalFormatting sqref="L901">
    <cfRule type="expression" dxfId="2830" priority="7602" stopIfTrue="1">
      <formula>OR($L$901="F/S",$L$901="")</formula>
    </cfRule>
    <cfRule type="cellIs" dxfId="2829" priority="7603" stopIfTrue="1" operator="notEqual">
      <formula>0</formula>
    </cfRule>
  </conditionalFormatting>
  <conditionalFormatting sqref="O901">
    <cfRule type="expression" dxfId="2828" priority="7604" stopIfTrue="1">
      <formula>OR($O$901="F/S",$O$901="")</formula>
    </cfRule>
    <cfRule type="cellIs" dxfId="2827" priority="7605" stopIfTrue="1" operator="notEqual">
      <formula>0</formula>
    </cfRule>
  </conditionalFormatting>
  <conditionalFormatting sqref="L935">
    <cfRule type="expression" dxfId="2826" priority="7610" stopIfTrue="1">
      <formula>OR($L$935="F/S",$L$935="")</formula>
    </cfRule>
    <cfRule type="cellIs" dxfId="2825" priority="7611" stopIfTrue="1" operator="notEqual">
      <formula>0</formula>
    </cfRule>
  </conditionalFormatting>
  <conditionalFormatting sqref="O935">
    <cfRule type="expression" dxfId="2824" priority="7612" stopIfTrue="1">
      <formula>OR($O$935="F/S",$O$935="")</formula>
    </cfRule>
    <cfRule type="cellIs" dxfId="2823" priority="7613" stopIfTrue="1" operator="notEqual">
      <formula>0</formula>
    </cfRule>
  </conditionalFormatting>
  <conditionalFormatting sqref="L945">
    <cfRule type="expression" dxfId="2822" priority="7614" stopIfTrue="1">
      <formula>OR($L$945="F/S",$L$945="")</formula>
    </cfRule>
    <cfRule type="cellIs" dxfId="2821" priority="7615" stopIfTrue="1" operator="notEqual">
      <formula>0</formula>
    </cfRule>
  </conditionalFormatting>
  <conditionalFormatting sqref="O945">
    <cfRule type="expression" dxfId="2820" priority="7616" stopIfTrue="1">
      <formula>OR($O$945="F/S",$O$945="")</formula>
    </cfRule>
    <cfRule type="cellIs" dxfId="2819" priority="7617" stopIfTrue="1" operator="notEqual">
      <formula>0</formula>
    </cfRule>
  </conditionalFormatting>
  <conditionalFormatting sqref="L957">
    <cfRule type="expression" dxfId="2818" priority="7618" stopIfTrue="1">
      <formula>OR($L$957="F/S",$L$957="")</formula>
    </cfRule>
    <cfRule type="cellIs" dxfId="2817" priority="7619" stopIfTrue="1" operator="notEqual">
      <formula>0</formula>
    </cfRule>
  </conditionalFormatting>
  <conditionalFormatting sqref="O957">
    <cfRule type="expression" dxfId="2816" priority="7620" stopIfTrue="1">
      <formula>OR($O$957="F/S",$O$957="")</formula>
    </cfRule>
    <cfRule type="cellIs" dxfId="2815" priority="7621" stopIfTrue="1" operator="notEqual">
      <formula>0</formula>
    </cfRule>
  </conditionalFormatting>
  <conditionalFormatting sqref="L968">
    <cfRule type="expression" dxfId="2814" priority="7622" stopIfTrue="1">
      <formula>OR($L$968="F/S",$L$968="")</formula>
    </cfRule>
    <cfRule type="cellIs" dxfId="2813" priority="7623" stopIfTrue="1" operator="notEqual">
      <formula>0</formula>
    </cfRule>
  </conditionalFormatting>
  <conditionalFormatting sqref="O968">
    <cfRule type="expression" dxfId="2812" priority="7624" stopIfTrue="1">
      <formula>OR($O$968="F/S",$O$968="")</formula>
    </cfRule>
    <cfRule type="cellIs" dxfId="2811" priority="7625" stopIfTrue="1" operator="notEqual">
      <formula>0</formula>
    </cfRule>
  </conditionalFormatting>
  <conditionalFormatting sqref="L978">
    <cfRule type="expression" dxfId="2810" priority="7626" stopIfTrue="1">
      <formula>OR($L$978="F/S",$L$978="")</formula>
    </cfRule>
    <cfRule type="cellIs" dxfId="2809" priority="7627" stopIfTrue="1" operator="notEqual">
      <formula>0</formula>
    </cfRule>
  </conditionalFormatting>
  <conditionalFormatting sqref="O978">
    <cfRule type="expression" dxfId="2808" priority="7628" stopIfTrue="1">
      <formula>OR($O$978="F/S",$O$978="")</formula>
    </cfRule>
    <cfRule type="cellIs" dxfId="2807" priority="7629" stopIfTrue="1" operator="notEqual">
      <formula>0</formula>
    </cfRule>
  </conditionalFormatting>
  <conditionalFormatting sqref="L989">
    <cfRule type="expression" dxfId="2806" priority="7630" stopIfTrue="1">
      <formula>OR($L$989="F/S",$L$989="")</formula>
    </cfRule>
    <cfRule type="cellIs" dxfId="2805" priority="7631" stopIfTrue="1" operator="notEqual">
      <formula>0</formula>
    </cfRule>
  </conditionalFormatting>
  <conditionalFormatting sqref="O989">
    <cfRule type="expression" dxfId="2804" priority="7632" stopIfTrue="1">
      <formula>OR($O$989="F/S",$O$989="")</formula>
    </cfRule>
    <cfRule type="cellIs" dxfId="2803" priority="7633" stopIfTrue="1" operator="notEqual">
      <formula>0</formula>
    </cfRule>
  </conditionalFormatting>
  <conditionalFormatting sqref="L1014">
    <cfRule type="expression" dxfId="2802" priority="7634" stopIfTrue="1">
      <formula>OR($L$1014="F/S",$L$1014="")</formula>
    </cfRule>
    <cfRule type="cellIs" dxfId="2801" priority="7635" stopIfTrue="1" operator="notEqual">
      <formula>0</formula>
    </cfRule>
  </conditionalFormatting>
  <conditionalFormatting sqref="O1014">
    <cfRule type="expression" dxfId="2800" priority="7636" stopIfTrue="1">
      <formula>OR($O$1014="F/S",$O$1014="")</formula>
    </cfRule>
    <cfRule type="cellIs" dxfId="2799" priority="7637" stopIfTrue="1" operator="notEqual">
      <formula>0</formula>
    </cfRule>
  </conditionalFormatting>
  <conditionalFormatting sqref="L1044">
    <cfRule type="expression" dxfId="2798" priority="7638" stopIfTrue="1">
      <formula>OR($L$1044="F/S",$L$1044="")</formula>
    </cfRule>
    <cfRule type="cellIs" dxfId="2797" priority="7639" stopIfTrue="1" operator="notEqual">
      <formula>0</formula>
    </cfRule>
  </conditionalFormatting>
  <conditionalFormatting sqref="O1044">
    <cfRule type="expression" dxfId="2796" priority="7640" stopIfTrue="1">
      <formula>OR($O$1044="F/S",$O$1044="")</formula>
    </cfRule>
    <cfRule type="cellIs" dxfId="2795" priority="7641" stopIfTrue="1" operator="notEqual">
      <formula>0</formula>
    </cfRule>
  </conditionalFormatting>
  <conditionalFormatting sqref="L1220">
    <cfRule type="expression" dxfId="2794" priority="7642" stopIfTrue="1">
      <formula>OR($L$1220="F/S",$L$1220="")</formula>
    </cfRule>
    <cfRule type="cellIs" dxfId="2793" priority="7643" stopIfTrue="1" operator="notEqual">
      <formula>0</formula>
    </cfRule>
  </conditionalFormatting>
  <conditionalFormatting sqref="O1220">
    <cfRule type="expression" dxfId="2792" priority="7644" stopIfTrue="1">
      <formula>OR($O$1220="F/S",$O$1220="")</formula>
    </cfRule>
    <cfRule type="cellIs" dxfId="2791" priority="7645" stopIfTrue="1" operator="notEqual">
      <formula>0</formula>
    </cfRule>
  </conditionalFormatting>
  <conditionalFormatting sqref="L1309">
    <cfRule type="expression" dxfId="2790" priority="7646" stopIfTrue="1">
      <formula>OR($L$1309="F/S",$L$1309="")</formula>
    </cfRule>
    <cfRule type="cellIs" dxfId="2789" priority="7647" stopIfTrue="1" operator="notEqual">
      <formula>0</formula>
    </cfRule>
  </conditionalFormatting>
  <conditionalFormatting sqref="O1309">
    <cfRule type="expression" dxfId="2788" priority="7648" stopIfTrue="1">
      <formula>OR($O$1309="F/S",$O$1309="")</formula>
    </cfRule>
    <cfRule type="cellIs" dxfId="2787" priority="7649" stopIfTrue="1" operator="notEqual">
      <formula>0</formula>
    </cfRule>
  </conditionalFormatting>
  <conditionalFormatting sqref="L1411">
    <cfRule type="expression" dxfId="2786" priority="7650" stopIfTrue="1">
      <formula>OR($L$1411="F/S",$L$1411="")</formula>
    </cfRule>
    <cfRule type="cellIs" dxfId="2785" priority="7651" stopIfTrue="1" operator="notEqual">
      <formula>0</formula>
    </cfRule>
  </conditionalFormatting>
  <conditionalFormatting sqref="O1411">
    <cfRule type="expression" dxfId="2784" priority="7652" stopIfTrue="1">
      <formula>OR($O$1411="F/S",$O$1411="")</formula>
    </cfRule>
    <cfRule type="cellIs" dxfId="2783" priority="7653" stopIfTrue="1" operator="notEqual">
      <formula>0</formula>
    </cfRule>
  </conditionalFormatting>
  <conditionalFormatting sqref="L1117">
    <cfRule type="expression" dxfId="2782" priority="7654" stopIfTrue="1">
      <formula>OR($L$1117="F/S",$L$1117="")</formula>
    </cfRule>
    <cfRule type="cellIs" dxfId="2781" priority="7655" stopIfTrue="1" operator="notEqual">
      <formula>0</formula>
    </cfRule>
  </conditionalFormatting>
  <conditionalFormatting sqref="O1117">
    <cfRule type="expression" dxfId="2780" priority="7656" stopIfTrue="1">
      <formula>OR($O$1117="F/S",$O$1117="")</formula>
    </cfRule>
    <cfRule type="cellIs" dxfId="2779" priority="7657" stopIfTrue="1" operator="notEqual">
      <formula>0</formula>
    </cfRule>
  </conditionalFormatting>
  <conditionalFormatting sqref="L1328">
    <cfRule type="expression" dxfId="2778" priority="7658" stopIfTrue="1">
      <formula>OR($L$1328="F/S",$L$1328="")</formula>
    </cfRule>
    <cfRule type="cellIs" dxfId="2777" priority="7659" stopIfTrue="1" operator="notEqual">
      <formula>0</formula>
    </cfRule>
  </conditionalFormatting>
  <conditionalFormatting sqref="O1328">
    <cfRule type="expression" dxfId="2776" priority="7660" stopIfTrue="1">
      <formula>OR($O$1328="F/S",$O$1328="")</formula>
    </cfRule>
    <cfRule type="cellIs" dxfId="2775" priority="7661" stopIfTrue="1" operator="notEqual">
      <formula>0</formula>
    </cfRule>
  </conditionalFormatting>
  <conditionalFormatting sqref="L1350">
    <cfRule type="expression" dxfId="2774" priority="7662" stopIfTrue="1">
      <formula>OR($L$1350="F/S",$L$1350="")</formula>
    </cfRule>
    <cfRule type="cellIs" dxfId="2773" priority="7663" stopIfTrue="1" operator="notEqual">
      <formula>0</formula>
    </cfRule>
  </conditionalFormatting>
  <conditionalFormatting sqref="O1350">
    <cfRule type="expression" dxfId="2772" priority="7664" stopIfTrue="1">
      <formula>OR($O$1350="F/S",$O$1350="")</formula>
    </cfRule>
    <cfRule type="cellIs" dxfId="2771" priority="7665" stopIfTrue="1" operator="notEqual">
      <formula>0</formula>
    </cfRule>
  </conditionalFormatting>
  <conditionalFormatting sqref="L1471">
    <cfRule type="expression" dxfId="2770" priority="7666" stopIfTrue="1">
      <formula>OR($L$1471="F/S",$L$1471="")</formula>
    </cfRule>
    <cfRule type="cellIs" dxfId="2769" priority="7667" stopIfTrue="1" operator="notEqual">
      <formula>0</formula>
    </cfRule>
  </conditionalFormatting>
  <conditionalFormatting sqref="O1471">
    <cfRule type="expression" dxfId="2768" priority="7668" stopIfTrue="1">
      <formula>OR($O$1471="F/S",$O$1471="")</formula>
    </cfRule>
    <cfRule type="cellIs" dxfId="2767" priority="7669" stopIfTrue="1" operator="notEqual">
      <formula>0</formula>
    </cfRule>
  </conditionalFormatting>
  <conditionalFormatting sqref="L1512">
    <cfRule type="expression" dxfId="2766" priority="7670" stopIfTrue="1">
      <formula>OR($L$1512="F/S",$L$1512="")</formula>
    </cfRule>
    <cfRule type="cellIs" dxfId="2765" priority="7671" stopIfTrue="1" operator="notEqual">
      <formula>0</formula>
    </cfRule>
  </conditionalFormatting>
  <conditionalFormatting sqref="O1512">
    <cfRule type="expression" dxfId="2764" priority="7672" stopIfTrue="1">
      <formula>OR($O$1512="F/S",$O$1512="")</formula>
    </cfRule>
    <cfRule type="cellIs" dxfId="2763" priority="7673" stopIfTrue="1" operator="notEqual">
      <formula>0</formula>
    </cfRule>
  </conditionalFormatting>
  <conditionalFormatting sqref="L1522">
    <cfRule type="expression" dxfId="2762" priority="7674" stopIfTrue="1">
      <formula>OR($L$1522="F/S",$L$1522="")</formula>
    </cfRule>
    <cfRule type="cellIs" dxfId="2761" priority="7675" stopIfTrue="1" operator="notEqual">
      <formula>0</formula>
    </cfRule>
  </conditionalFormatting>
  <conditionalFormatting sqref="O1522">
    <cfRule type="expression" dxfId="2760" priority="7676" stopIfTrue="1">
      <formula>OR($O$1522="F/S",$O$1522="")</formula>
    </cfRule>
    <cfRule type="cellIs" dxfId="2759" priority="7677" stopIfTrue="1" operator="notEqual">
      <formula>0</formula>
    </cfRule>
  </conditionalFormatting>
  <conditionalFormatting sqref="L1529">
    <cfRule type="expression" dxfId="2758" priority="7678" stopIfTrue="1">
      <formula>OR($L$1529="F/S",$L$1529="")</formula>
    </cfRule>
    <cfRule type="cellIs" dxfId="2757" priority="7679" stopIfTrue="1" operator="notEqual">
      <formula>0</formula>
    </cfRule>
  </conditionalFormatting>
  <conditionalFormatting sqref="O1529">
    <cfRule type="expression" dxfId="2756" priority="7680" stopIfTrue="1">
      <formula>OR($O$1529="F/S",$O$1529="")</formula>
    </cfRule>
    <cfRule type="cellIs" dxfId="2755" priority="7681" stopIfTrue="1" operator="notEqual">
      <formula>0</formula>
    </cfRule>
  </conditionalFormatting>
  <conditionalFormatting sqref="L1540">
    <cfRule type="expression" dxfId="2754" priority="7682" stopIfTrue="1">
      <formula>OR($L$1540="F/S",$L$1540="")</formula>
    </cfRule>
    <cfRule type="cellIs" dxfId="2753" priority="7683" stopIfTrue="1" operator="notEqual">
      <formula>0</formula>
    </cfRule>
  </conditionalFormatting>
  <conditionalFormatting sqref="O1540">
    <cfRule type="expression" dxfId="2752" priority="7684" stopIfTrue="1">
      <formula>OR($O$1540="F/S",$O$1540="")</formula>
    </cfRule>
    <cfRule type="cellIs" dxfId="2751" priority="7685" stopIfTrue="1" operator="notEqual">
      <formula>0</formula>
    </cfRule>
  </conditionalFormatting>
  <conditionalFormatting sqref="L1559">
    <cfRule type="expression" dxfId="2750" priority="7686" stopIfTrue="1">
      <formula>OR($L$1559="F/S",$L$1559="")</formula>
    </cfRule>
    <cfRule type="cellIs" dxfId="2749" priority="7687" stopIfTrue="1" operator="notEqual">
      <formula>0</formula>
    </cfRule>
  </conditionalFormatting>
  <conditionalFormatting sqref="O1559">
    <cfRule type="expression" dxfId="2748" priority="7688" stopIfTrue="1">
      <formula>OR($O$1559="F/S",$O$1559="")</formula>
    </cfRule>
    <cfRule type="cellIs" dxfId="2747" priority="7689" stopIfTrue="1" operator="notEqual">
      <formula>0</formula>
    </cfRule>
  </conditionalFormatting>
  <conditionalFormatting sqref="L1569">
    <cfRule type="expression" dxfId="2746" priority="7690" stopIfTrue="1">
      <formula>OR($L$1569="F/S",$L$1569="")</formula>
    </cfRule>
    <cfRule type="cellIs" dxfId="2745" priority="7691" stopIfTrue="1" operator="notEqual">
      <formula>0</formula>
    </cfRule>
  </conditionalFormatting>
  <conditionalFormatting sqref="O1569">
    <cfRule type="expression" dxfId="2744" priority="7692" stopIfTrue="1">
      <formula>OR($O$1569="F/S",$O$1569="")</formula>
    </cfRule>
    <cfRule type="cellIs" dxfId="2743" priority="7693" stopIfTrue="1" operator="notEqual">
      <formula>0</formula>
    </cfRule>
  </conditionalFormatting>
  <conditionalFormatting sqref="L1579">
    <cfRule type="expression" dxfId="2742" priority="7694" stopIfTrue="1">
      <formula>OR($L$1579="F/S",$L$1579="")</formula>
    </cfRule>
    <cfRule type="cellIs" dxfId="2741" priority="7695" stopIfTrue="1" operator="notEqual">
      <formula>0</formula>
    </cfRule>
  </conditionalFormatting>
  <conditionalFormatting sqref="O1579">
    <cfRule type="expression" dxfId="2740" priority="7696" stopIfTrue="1">
      <formula>OR($O$1579="F/S",$O$1579="")</formula>
    </cfRule>
    <cfRule type="cellIs" dxfId="2739" priority="7697" stopIfTrue="1" operator="notEqual">
      <formula>0</formula>
    </cfRule>
  </conditionalFormatting>
  <conditionalFormatting sqref="L1367">
    <cfRule type="expression" dxfId="2738" priority="7698" stopIfTrue="1">
      <formula>OR($L$1367="F/S",$L$1367="")</formula>
    </cfRule>
    <cfRule type="cellIs" dxfId="2737" priority="7699" stopIfTrue="1" operator="notEqual">
      <formula>0</formula>
    </cfRule>
  </conditionalFormatting>
  <conditionalFormatting sqref="O1367">
    <cfRule type="expression" dxfId="2736" priority="7700" stopIfTrue="1">
      <formula>OR($O$1367="F/S",$O$1367="")</formula>
    </cfRule>
    <cfRule type="cellIs" dxfId="2735" priority="7701" stopIfTrue="1" operator="notEqual">
      <formula>0</formula>
    </cfRule>
  </conditionalFormatting>
  <conditionalFormatting sqref="L1389">
    <cfRule type="expression" dxfId="2734" priority="7702" stopIfTrue="1">
      <formula>OR($L$1389="F/S",$L$1389="")</formula>
    </cfRule>
    <cfRule type="cellIs" dxfId="2733" priority="7703" stopIfTrue="1" operator="notEqual">
      <formula>0</formula>
    </cfRule>
  </conditionalFormatting>
  <conditionalFormatting sqref="O1389">
    <cfRule type="expression" dxfId="2732" priority="7704" stopIfTrue="1">
      <formula>OR($O$1389="F/S",$O$1389="")</formula>
    </cfRule>
    <cfRule type="cellIs" dxfId="2731" priority="7705" stopIfTrue="1" operator="notEqual">
      <formula>0</formula>
    </cfRule>
  </conditionalFormatting>
  <conditionalFormatting sqref="L1589">
    <cfRule type="expression" dxfId="2730" priority="7706" stopIfTrue="1">
      <formula>OR($L$1589="F/S",$L$1589="")</formula>
    </cfRule>
    <cfRule type="cellIs" dxfId="2729" priority="7707" stopIfTrue="1" operator="notEqual">
      <formula>0</formula>
    </cfRule>
  </conditionalFormatting>
  <conditionalFormatting sqref="O1589">
    <cfRule type="expression" dxfId="2728" priority="7708" stopIfTrue="1">
      <formula>OR($O$1589="F/S",$O$1589="")</formula>
    </cfRule>
    <cfRule type="cellIs" dxfId="2727" priority="7709" stopIfTrue="1" operator="notEqual">
      <formula>0</formula>
    </cfRule>
  </conditionalFormatting>
  <conditionalFormatting sqref="L1430">
    <cfRule type="expression" dxfId="2726" priority="7710" stopIfTrue="1">
      <formula>OR($L$1430="F/S",$L$1430="")</formula>
    </cfRule>
    <cfRule type="cellIs" dxfId="2725" priority="7711" stopIfTrue="1" operator="notEqual">
      <formula>0</formula>
    </cfRule>
  </conditionalFormatting>
  <conditionalFormatting sqref="O1430">
    <cfRule type="expression" dxfId="2724" priority="7712" stopIfTrue="1">
      <formula>OR($O$1430="F/S",$O$1430="")</formula>
    </cfRule>
    <cfRule type="cellIs" dxfId="2723" priority="7713" stopIfTrue="1" operator="notEqual">
      <formula>0</formula>
    </cfRule>
  </conditionalFormatting>
  <conditionalFormatting sqref="L1451">
    <cfRule type="expression" dxfId="2722" priority="7714" stopIfTrue="1">
      <formula>OR($L$1451="F/S",$L$1451="")</formula>
    </cfRule>
    <cfRule type="cellIs" dxfId="2721" priority="7715" stopIfTrue="1" operator="notEqual">
      <formula>0</formula>
    </cfRule>
  </conditionalFormatting>
  <conditionalFormatting sqref="O1451">
    <cfRule type="expression" dxfId="2720" priority="7716" stopIfTrue="1">
      <formula>OR($O$1451="F/S",$O$1451="")</formula>
    </cfRule>
    <cfRule type="cellIs" dxfId="2719" priority="7717" stopIfTrue="1" operator="notEqual">
      <formula>0</formula>
    </cfRule>
  </conditionalFormatting>
  <conditionalFormatting sqref="L1461">
    <cfRule type="expression" dxfId="2718" priority="7718" stopIfTrue="1">
      <formula>OR($L$1461="F/S",$L$1461="")</formula>
    </cfRule>
    <cfRule type="cellIs" dxfId="2717" priority="7719" stopIfTrue="1" operator="notEqual">
      <formula>0</formula>
    </cfRule>
  </conditionalFormatting>
  <conditionalFormatting sqref="O1461">
    <cfRule type="expression" dxfId="2716" priority="7720" stopIfTrue="1">
      <formula>OR($O$1461="F/S",$O$1461="")</formula>
    </cfRule>
    <cfRule type="cellIs" dxfId="2715" priority="7721" stopIfTrue="1" operator="notEqual">
      <formula>0</formula>
    </cfRule>
  </conditionalFormatting>
  <conditionalFormatting sqref="L1599">
    <cfRule type="expression" dxfId="2714" priority="7722" stopIfTrue="1">
      <formula>OR($L$1599="F/S",$L$1599="")</formula>
    </cfRule>
    <cfRule type="cellIs" dxfId="2713" priority="7723" stopIfTrue="1" operator="notEqual">
      <formula>0</formula>
    </cfRule>
  </conditionalFormatting>
  <conditionalFormatting sqref="O1599">
    <cfRule type="expression" dxfId="2712" priority="7724" stopIfTrue="1">
      <formula>OR($O$1599="F/S",$O$1599="")</formula>
    </cfRule>
    <cfRule type="cellIs" dxfId="2711" priority="7725" stopIfTrue="1" operator="notEqual">
      <formula>0</formula>
    </cfRule>
  </conditionalFormatting>
  <conditionalFormatting sqref="L1609">
    <cfRule type="expression" dxfId="2710" priority="7730" stopIfTrue="1">
      <formula>OR($L$1609="F/S",$L$1609="")</formula>
    </cfRule>
    <cfRule type="cellIs" dxfId="2709" priority="7731" stopIfTrue="1" operator="notEqual">
      <formula>0</formula>
    </cfRule>
  </conditionalFormatting>
  <conditionalFormatting sqref="O1609">
    <cfRule type="expression" dxfId="2708" priority="7732" stopIfTrue="1">
      <formula>OR($O$1609="F/S",$O$1609="")</formula>
    </cfRule>
    <cfRule type="cellIs" dxfId="2707" priority="7733" stopIfTrue="1" operator="notEqual">
      <formula>0</formula>
    </cfRule>
  </conditionalFormatting>
  <conditionalFormatting sqref="L1619">
    <cfRule type="expression" dxfId="2706" priority="7734" stopIfTrue="1">
      <formula>OR($L$1619="F/S",$L$1619="")</formula>
    </cfRule>
    <cfRule type="cellIs" dxfId="2705" priority="7735" stopIfTrue="1" operator="notEqual">
      <formula>0</formula>
    </cfRule>
  </conditionalFormatting>
  <conditionalFormatting sqref="O1619">
    <cfRule type="expression" dxfId="2704" priority="7736" stopIfTrue="1">
      <formula>OR($O$1619="F/S",$O$1619="")</formula>
    </cfRule>
    <cfRule type="cellIs" dxfId="2703" priority="7737" stopIfTrue="1" operator="notEqual">
      <formula>0</formula>
    </cfRule>
  </conditionalFormatting>
  <conditionalFormatting sqref="L1638">
    <cfRule type="expression" dxfId="2702" priority="7738" stopIfTrue="1">
      <formula>OR($L$1638="F/S",$L$1638="")</formula>
    </cfRule>
    <cfRule type="cellIs" dxfId="2701" priority="7739" stopIfTrue="1" operator="notEqual">
      <formula>0</formula>
    </cfRule>
  </conditionalFormatting>
  <conditionalFormatting sqref="O1638">
    <cfRule type="expression" dxfId="2700" priority="7740" stopIfTrue="1">
      <formula>OR($O$1638="F/S",$O$1638="")</formula>
    </cfRule>
    <cfRule type="cellIs" dxfId="2699" priority="7741" stopIfTrue="1" operator="notEqual">
      <formula>0</formula>
    </cfRule>
  </conditionalFormatting>
  <conditionalFormatting sqref="L1657">
    <cfRule type="expression" dxfId="2698" priority="7742" stopIfTrue="1">
      <formula>OR($L$1657="F/S",$L$1657="")</formula>
    </cfRule>
    <cfRule type="cellIs" dxfId="2697" priority="7743" stopIfTrue="1" operator="notEqual">
      <formula>0</formula>
    </cfRule>
  </conditionalFormatting>
  <conditionalFormatting sqref="O1657">
    <cfRule type="expression" dxfId="2696" priority="7744" stopIfTrue="1">
      <formula>OR($O$1657="F/S",$O$1657="")</formula>
    </cfRule>
    <cfRule type="cellIs" dxfId="2695" priority="7745" stopIfTrue="1" operator="notEqual">
      <formula>0</formula>
    </cfRule>
  </conditionalFormatting>
  <conditionalFormatting sqref="L1667">
    <cfRule type="expression" dxfId="2694" priority="7746" stopIfTrue="1">
      <formula>OR($L$1667="F/S",$L$1667="")</formula>
    </cfRule>
    <cfRule type="cellIs" dxfId="2693" priority="7747" stopIfTrue="1" operator="notEqual">
      <formula>0</formula>
    </cfRule>
  </conditionalFormatting>
  <conditionalFormatting sqref="O1667">
    <cfRule type="expression" dxfId="2692" priority="7748" stopIfTrue="1">
      <formula>OR($O$1667="F/S",$O$1667="")</formula>
    </cfRule>
    <cfRule type="cellIs" dxfId="2691" priority="7749" stopIfTrue="1" operator="notEqual">
      <formula>0</formula>
    </cfRule>
  </conditionalFormatting>
  <conditionalFormatting sqref="L1738">
    <cfRule type="expression" dxfId="2690" priority="7750" stopIfTrue="1">
      <formula>OR($L$1738="F/S",$L$1738="")</formula>
    </cfRule>
    <cfRule type="cellIs" dxfId="2689" priority="7751" stopIfTrue="1" operator="notEqual">
      <formula>0</formula>
    </cfRule>
  </conditionalFormatting>
  <conditionalFormatting sqref="O1738">
    <cfRule type="expression" dxfId="2688" priority="7752" stopIfTrue="1">
      <formula>OR($O$1738="F/S",$O$1738="")</formula>
    </cfRule>
    <cfRule type="cellIs" dxfId="2687" priority="7753" stopIfTrue="1" operator="notEqual">
      <formula>0</formula>
    </cfRule>
  </conditionalFormatting>
  <conditionalFormatting sqref="L1684">
    <cfRule type="expression" dxfId="2686" priority="7754" stopIfTrue="1">
      <formula>OR($L$1684="F/S",$L$1684="")</formula>
    </cfRule>
    <cfRule type="cellIs" dxfId="2685" priority="7755" stopIfTrue="1" operator="notEqual">
      <formula>0</formula>
    </cfRule>
  </conditionalFormatting>
  <conditionalFormatting sqref="O1684">
    <cfRule type="expression" dxfId="2684" priority="7756" stopIfTrue="1">
      <formula>OR($O$1684="F/S",$O$1684="")</formula>
    </cfRule>
    <cfRule type="cellIs" dxfId="2683" priority="7757" stopIfTrue="1" operator="notEqual">
      <formula>0</formula>
    </cfRule>
  </conditionalFormatting>
  <conditionalFormatting sqref="L1701">
    <cfRule type="expression" dxfId="2682" priority="7758" stopIfTrue="1">
      <formula>OR($L$1701="F/S",$L$1701="")</formula>
    </cfRule>
    <cfRule type="cellIs" dxfId="2681" priority="7759" stopIfTrue="1" operator="notEqual">
      <formula>0</formula>
    </cfRule>
  </conditionalFormatting>
  <conditionalFormatting sqref="O1701">
    <cfRule type="expression" dxfId="2680" priority="7760" stopIfTrue="1">
      <formula>OR($O$1701="F/S",$O$1701="")</formula>
    </cfRule>
    <cfRule type="cellIs" dxfId="2679" priority="7761" stopIfTrue="1" operator="notEqual">
      <formula>0</formula>
    </cfRule>
  </conditionalFormatting>
  <conditionalFormatting sqref="L1718">
    <cfRule type="expression" dxfId="2678" priority="7762" stopIfTrue="1">
      <formula>OR($L$1718="F/S",$L$1718="")</formula>
    </cfRule>
    <cfRule type="cellIs" dxfId="2677" priority="7763" stopIfTrue="1" operator="notEqual">
      <formula>0</formula>
    </cfRule>
  </conditionalFormatting>
  <conditionalFormatting sqref="O1718">
    <cfRule type="expression" dxfId="2676" priority="7764" stopIfTrue="1">
      <formula>OR($O$1718="F/S",$O$1718="")</formula>
    </cfRule>
    <cfRule type="cellIs" dxfId="2675" priority="7765" stopIfTrue="1" operator="notEqual">
      <formula>0</formula>
    </cfRule>
  </conditionalFormatting>
  <conditionalFormatting sqref="L1728">
    <cfRule type="expression" dxfId="2674" priority="7766" stopIfTrue="1">
      <formula>OR($L$1728="F/S",$L$1728="")</formula>
    </cfRule>
    <cfRule type="cellIs" dxfId="2673" priority="7767" stopIfTrue="1" operator="notEqual">
      <formula>0</formula>
    </cfRule>
  </conditionalFormatting>
  <conditionalFormatting sqref="O1728">
    <cfRule type="expression" dxfId="2672" priority="7768" stopIfTrue="1">
      <formula>OR($O$1728="F/S",$O$1728="")</formula>
    </cfRule>
    <cfRule type="cellIs" dxfId="2671" priority="7769" stopIfTrue="1" operator="notEqual">
      <formula>0</formula>
    </cfRule>
  </conditionalFormatting>
  <conditionalFormatting sqref="L1755">
    <cfRule type="expression" dxfId="2670" priority="7770" stopIfTrue="1">
      <formula>OR($L$1755="F/S",$L$1755="")</formula>
    </cfRule>
    <cfRule type="cellIs" dxfId="2669" priority="7771" stopIfTrue="1" operator="notEqual">
      <formula>0</formula>
    </cfRule>
  </conditionalFormatting>
  <conditionalFormatting sqref="O1755">
    <cfRule type="expression" dxfId="2668" priority="7772" stopIfTrue="1">
      <formula>OR($O$1755="F/S",$O$1755="")</formula>
    </cfRule>
    <cfRule type="cellIs" dxfId="2667" priority="7773" stopIfTrue="1" operator="notEqual">
      <formula>0</formula>
    </cfRule>
  </conditionalFormatting>
  <conditionalFormatting sqref="L1776">
    <cfRule type="expression" dxfId="2666" priority="7778" stopIfTrue="1">
      <formula>OR($L$1776="F/S",$L$1776="")</formula>
    </cfRule>
    <cfRule type="cellIs" dxfId="2665" priority="7779" stopIfTrue="1" operator="notEqual">
      <formula>0</formula>
    </cfRule>
  </conditionalFormatting>
  <conditionalFormatting sqref="O1776">
    <cfRule type="expression" dxfId="2664" priority="7780" stopIfTrue="1">
      <formula>OR($O$1776="F/S",$O$1776="")</formula>
    </cfRule>
    <cfRule type="cellIs" dxfId="2663" priority="7781" stopIfTrue="1" operator="notEqual">
      <formula>0</formula>
    </cfRule>
  </conditionalFormatting>
  <conditionalFormatting sqref="L1766">
    <cfRule type="expression" dxfId="2662" priority="7786" stopIfTrue="1">
      <formula>OR($L$1766="F/S",$L$1766="")</formula>
    </cfRule>
    <cfRule type="cellIs" dxfId="2661" priority="7787" stopIfTrue="1" operator="notEqual">
      <formula>0</formula>
    </cfRule>
  </conditionalFormatting>
  <conditionalFormatting sqref="O1766">
    <cfRule type="expression" dxfId="2660" priority="7788" stopIfTrue="1">
      <formula>OR($O$1766="F/S",$O$1766="")</formula>
    </cfRule>
    <cfRule type="cellIs" dxfId="2659" priority="7789" stopIfTrue="1" operator="notEqual">
      <formula>0</formula>
    </cfRule>
  </conditionalFormatting>
  <conditionalFormatting sqref="L1792">
    <cfRule type="expression" dxfId="2658" priority="7802" stopIfTrue="1">
      <formula>OR($L$1792="F/S",$L$1792="")</formula>
    </cfRule>
    <cfRule type="cellIs" dxfId="2657" priority="7803" stopIfTrue="1" operator="notEqual">
      <formula>0</formula>
    </cfRule>
  </conditionalFormatting>
  <conditionalFormatting sqref="O1792">
    <cfRule type="expression" dxfId="2656" priority="7804" stopIfTrue="1">
      <formula>OR($O$1792="F/S",$O$1792="")</formula>
    </cfRule>
    <cfRule type="cellIs" dxfId="2655" priority="7805" stopIfTrue="1" operator="notEqual">
      <formula>0</formula>
    </cfRule>
  </conditionalFormatting>
  <conditionalFormatting sqref="L1801">
    <cfRule type="expression" dxfId="2654" priority="7806" stopIfTrue="1">
      <formula>OR($L$1801="F/S",$L$1801="")</formula>
    </cfRule>
    <cfRule type="cellIs" dxfId="2653" priority="7807" stopIfTrue="1" operator="notEqual">
      <formula>0</formula>
    </cfRule>
  </conditionalFormatting>
  <conditionalFormatting sqref="O1801">
    <cfRule type="expression" dxfId="2652" priority="7808" stopIfTrue="1">
      <formula>OR($O$1801="F/S",$O$1801="")</formula>
    </cfRule>
    <cfRule type="cellIs" dxfId="2651" priority="7809" stopIfTrue="1" operator="notEqual">
      <formula>0</formula>
    </cfRule>
  </conditionalFormatting>
  <conditionalFormatting sqref="L1814">
    <cfRule type="expression" dxfId="2650" priority="7810" stopIfTrue="1">
      <formula>OR($L$1814="F/S",$L$1814="")</formula>
    </cfRule>
    <cfRule type="cellIs" dxfId="2649" priority="7811" stopIfTrue="1" operator="notEqual">
      <formula>0</formula>
    </cfRule>
  </conditionalFormatting>
  <conditionalFormatting sqref="O1814">
    <cfRule type="expression" dxfId="2648" priority="7812" stopIfTrue="1">
      <formula>OR($O$1814="F/S",$O$1814="")</formula>
    </cfRule>
    <cfRule type="cellIs" dxfId="2647" priority="7813" stopIfTrue="1" operator="notEqual">
      <formula>0</formula>
    </cfRule>
  </conditionalFormatting>
  <conditionalFormatting sqref="L1825">
    <cfRule type="expression" dxfId="2646" priority="7814" stopIfTrue="1">
      <formula>OR($L$1825="F/S",$L$1825="")</formula>
    </cfRule>
    <cfRule type="cellIs" dxfId="2645" priority="7815" stopIfTrue="1" operator="notEqual">
      <formula>0</formula>
    </cfRule>
  </conditionalFormatting>
  <conditionalFormatting sqref="O1825">
    <cfRule type="expression" dxfId="2644" priority="7816" stopIfTrue="1">
      <formula>OR($O$1825="F/S",$O$1825="")</formula>
    </cfRule>
    <cfRule type="cellIs" dxfId="2643" priority="7817" stopIfTrue="1" operator="notEqual">
      <formula>0</formula>
    </cfRule>
  </conditionalFormatting>
  <conditionalFormatting sqref="L1840">
    <cfRule type="expression" dxfId="2642" priority="7818" stopIfTrue="1">
      <formula>OR($L$1840="F/S",$L$1840="")</formula>
    </cfRule>
    <cfRule type="cellIs" dxfId="2641" priority="7819" stopIfTrue="1" operator="notEqual">
      <formula>0</formula>
    </cfRule>
  </conditionalFormatting>
  <conditionalFormatting sqref="O1840">
    <cfRule type="expression" dxfId="2640" priority="7820" stopIfTrue="1">
      <formula>OR($O$1840="F/S",$O$1840="")</formula>
    </cfRule>
    <cfRule type="cellIs" dxfId="2639" priority="7821" stopIfTrue="1" operator="notEqual">
      <formula>0</formula>
    </cfRule>
  </conditionalFormatting>
  <conditionalFormatting sqref="L1855">
    <cfRule type="expression" dxfId="2638" priority="7822" stopIfTrue="1">
      <formula>OR($L$1855="F/S",$L$1855="")</formula>
    </cfRule>
    <cfRule type="cellIs" dxfId="2637" priority="7823" stopIfTrue="1" operator="notEqual">
      <formula>0</formula>
    </cfRule>
  </conditionalFormatting>
  <conditionalFormatting sqref="O1855">
    <cfRule type="expression" dxfId="2636" priority="7824" stopIfTrue="1">
      <formula>OR($O$1855="F/S",$O$1855="")</formula>
    </cfRule>
    <cfRule type="cellIs" dxfId="2635" priority="7825" stopIfTrue="1" operator="notEqual">
      <formula>0</formula>
    </cfRule>
  </conditionalFormatting>
  <conditionalFormatting sqref="L1929">
    <cfRule type="expression" dxfId="2634" priority="7838" stopIfTrue="1">
      <formula>OR($L$1929="F/S",$L$1929="")</formula>
    </cfRule>
    <cfRule type="cellIs" dxfId="2633" priority="7839" stopIfTrue="1" operator="notEqual">
      <formula>0</formula>
    </cfRule>
  </conditionalFormatting>
  <conditionalFormatting sqref="O1929">
    <cfRule type="expression" dxfId="2632" priority="7840" stopIfTrue="1">
      <formula>OR($O$1929="F/S",$O$1929="")</formula>
    </cfRule>
    <cfRule type="cellIs" dxfId="2631" priority="7841" stopIfTrue="1" operator="notEqual">
      <formula>0</formula>
    </cfRule>
  </conditionalFormatting>
  <conditionalFormatting sqref="L1871">
    <cfRule type="expression" dxfId="2630" priority="7842" stopIfTrue="1">
      <formula>OR($L$1871="F/S",$L$1871="")</formula>
    </cfRule>
    <cfRule type="cellIs" dxfId="2629" priority="7843" stopIfTrue="1" operator="notEqual">
      <formula>0</formula>
    </cfRule>
  </conditionalFormatting>
  <conditionalFormatting sqref="O1871">
    <cfRule type="expression" dxfId="2628" priority="7844" stopIfTrue="1">
      <formula>OR($O$1871="F/S",$O$1871="")</formula>
    </cfRule>
    <cfRule type="cellIs" dxfId="2627" priority="7845" stopIfTrue="1" operator="notEqual">
      <formula>0</formula>
    </cfRule>
  </conditionalFormatting>
  <conditionalFormatting sqref="L1884">
    <cfRule type="expression" dxfId="2626" priority="7846" stopIfTrue="1">
      <formula>OR($L$1884="F/S",$L$1884="")</formula>
    </cfRule>
    <cfRule type="cellIs" dxfId="2625" priority="7847" stopIfTrue="1" operator="notEqual">
      <formula>0</formula>
    </cfRule>
  </conditionalFormatting>
  <conditionalFormatting sqref="O1884">
    <cfRule type="expression" dxfId="2624" priority="7848" stopIfTrue="1">
      <formula>OR($O$1884="F/S",$O$1884="")</formula>
    </cfRule>
    <cfRule type="cellIs" dxfId="2623" priority="7849" stopIfTrue="1" operator="notEqual">
      <formula>0</formula>
    </cfRule>
  </conditionalFormatting>
  <conditionalFormatting sqref="L1897">
    <cfRule type="expression" dxfId="2622" priority="7850" stopIfTrue="1">
      <formula>OR($L$1897="F/S",$L$1897="")</formula>
    </cfRule>
    <cfRule type="cellIs" dxfId="2621" priority="7851" stopIfTrue="1" operator="notEqual">
      <formula>0</formula>
    </cfRule>
  </conditionalFormatting>
  <conditionalFormatting sqref="O1897">
    <cfRule type="expression" dxfId="2620" priority="7852" stopIfTrue="1">
      <formula>OR($O$1897="F/S",$O$1897="")</formula>
    </cfRule>
    <cfRule type="cellIs" dxfId="2619" priority="7853" stopIfTrue="1" operator="notEqual">
      <formula>0</formula>
    </cfRule>
  </conditionalFormatting>
  <conditionalFormatting sqref="L1910">
    <cfRule type="expression" dxfId="2618" priority="7854" stopIfTrue="1">
      <formula>OR($L$1910="F/S",$L$1910="")</formula>
    </cfRule>
    <cfRule type="cellIs" dxfId="2617" priority="7855" stopIfTrue="1" operator="notEqual">
      <formula>0</formula>
    </cfRule>
  </conditionalFormatting>
  <conditionalFormatting sqref="O1910">
    <cfRule type="expression" dxfId="2616" priority="7856" stopIfTrue="1">
      <formula>OR($O$1910="F/S",$O$1910="")</formula>
    </cfRule>
    <cfRule type="cellIs" dxfId="2615" priority="7857" stopIfTrue="1" operator="notEqual">
      <formula>0</formula>
    </cfRule>
  </conditionalFormatting>
  <conditionalFormatting sqref="L1949">
    <cfRule type="expression" dxfId="2614" priority="7858" stopIfTrue="1">
      <formula>OR($L$1949="F/S",$L$1949="")</formula>
    </cfRule>
    <cfRule type="cellIs" dxfId="2613" priority="7859" stopIfTrue="1" operator="notEqual">
      <formula>0</formula>
    </cfRule>
  </conditionalFormatting>
  <conditionalFormatting sqref="O1949">
    <cfRule type="expression" dxfId="2612" priority="7860" stopIfTrue="1">
      <formula>OR($O$1949="F/S",$O$1949="")</formula>
    </cfRule>
    <cfRule type="cellIs" dxfId="2611" priority="7861" stopIfTrue="1" operator="notEqual">
      <formula>0</formula>
    </cfRule>
  </conditionalFormatting>
  <conditionalFormatting sqref="L1973">
    <cfRule type="expression" dxfId="2610" priority="7866" stopIfTrue="1">
      <formula>OR($L$1973="F/S",$L$1973="")</formula>
    </cfRule>
    <cfRule type="cellIs" dxfId="2609" priority="7867" stopIfTrue="1" operator="notEqual">
      <formula>0</formula>
    </cfRule>
  </conditionalFormatting>
  <conditionalFormatting sqref="O1973">
    <cfRule type="expression" dxfId="2608" priority="7868" stopIfTrue="1">
      <formula>OR($O$1973="F/S",$O$1973="")</formula>
    </cfRule>
    <cfRule type="cellIs" dxfId="2607" priority="7869" stopIfTrue="1" operator="notEqual">
      <formula>0</formula>
    </cfRule>
  </conditionalFormatting>
  <conditionalFormatting sqref="L1988">
    <cfRule type="expression" dxfId="2606" priority="7870" stopIfTrue="1">
      <formula>OR($L$1988="F/S",$L$1988="")</formula>
    </cfRule>
    <cfRule type="cellIs" dxfId="2605" priority="7871" stopIfTrue="1" operator="notEqual">
      <formula>0</formula>
    </cfRule>
  </conditionalFormatting>
  <conditionalFormatting sqref="O1988">
    <cfRule type="expression" dxfId="2604" priority="7872" stopIfTrue="1">
      <formula>OR($O$1988="F/S",$O$1988="")</formula>
    </cfRule>
    <cfRule type="cellIs" dxfId="2603" priority="7873" stopIfTrue="1" operator="notEqual">
      <formula>0</formula>
    </cfRule>
  </conditionalFormatting>
  <conditionalFormatting sqref="L2003">
    <cfRule type="expression" dxfId="2602" priority="7874" stopIfTrue="1">
      <formula>OR($L$2003="F/S",$L$2003="")</formula>
    </cfRule>
    <cfRule type="cellIs" dxfId="2601" priority="7875" stopIfTrue="1" operator="notEqual">
      <formula>0</formula>
    </cfRule>
  </conditionalFormatting>
  <conditionalFormatting sqref="O2003">
    <cfRule type="expression" dxfId="2600" priority="7876" stopIfTrue="1">
      <formula>OR($O$2003="F/S",$O$2003="")</formula>
    </cfRule>
    <cfRule type="cellIs" dxfId="2599" priority="7877" stopIfTrue="1" operator="notEqual">
      <formula>0</formula>
    </cfRule>
  </conditionalFormatting>
  <conditionalFormatting sqref="L2023">
    <cfRule type="expression" dxfId="2598" priority="7878" stopIfTrue="1">
      <formula>OR($L$2023="F/S",$L$2023="")</formula>
    </cfRule>
    <cfRule type="cellIs" dxfId="2597" priority="7879" stopIfTrue="1" operator="notEqual">
      <formula>0</formula>
    </cfRule>
  </conditionalFormatting>
  <conditionalFormatting sqref="O2023">
    <cfRule type="expression" dxfId="2596" priority="7880" stopIfTrue="1">
      <formula>OR($O$2023="F/S",$O$2023="")</formula>
    </cfRule>
    <cfRule type="cellIs" dxfId="2595" priority="7881" stopIfTrue="1" operator="notEqual">
      <formula>0</formula>
    </cfRule>
  </conditionalFormatting>
  <conditionalFormatting sqref="L1963">
    <cfRule type="expression" dxfId="2594" priority="7882" stopIfTrue="1">
      <formula>OR($L$1963="F/S",$L$1963="")</formula>
    </cfRule>
    <cfRule type="cellIs" dxfId="2593" priority="7883" stopIfTrue="1" operator="notEqual">
      <formula>0</formula>
    </cfRule>
  </conditionalFormatting>
  <conditionalFormatting sqref="O1963">
    <cfRule type="expression" dxfId="2592" priority="7884" stopIfTrue="1">
      <formula>OR($O$1963="F/S",$O$1963="")</formula>
    </cfRule>
    <cfRule type="cellIs" dxfId="2591" priority="7885" stopIfTrue="1" operator="notEqual">
      <formula>0</formula>
    </cfRule>
  </conditionalFormatting>
  <conditionalFormatting sqref="L2015">
    <cfRule type="expression" dxfId="2590" priority="7890" stopIfTrue="1">
      <formula>OR($L$2015="F/S",$L$2015="")</formula>
    </cfRule>
    <cfRule type="cellIs" dxfId="2589" priority="7891" stopIfTrue="1" operator="notEqual">
      <formula>0</formula>
    </cfRule>
  </conditionalFormatting>
  <conditionalFormatting sqref="O2015">
    <cfRule type="expression" dxfId="2588" priority="7892" stopIfTrue="1">
      <formula>OR($O$2015="F/S",$O$2015="")</formula>
    </cfRule>
    <cfRule type="cellIs" dxfId="2587" priority="7893" stopIfTrue="1" operator="notEqual">
      <formula>0</formula>
    </cfRule>
  </conditionalFormatting>
  <conditionalFormatting sqref="L2034">
    <cfRule type="expression" dxfId="2586" priority="7894" stopIfTrue="1">
      <formula>OR($L$2034="F/S",$L$2034="")</formula>
    </cfRule>
    <cfRule type="cellIs" dxfId="2585" priority="7895" stopIfTrue="1" operator="notEqual">
      <formula>0</formula>
    </cfRule>
  </conditionalFormatting>
  <conditionalFormatting sqref="O2034">
    <cfRule type="expression" dxfId="2584" priority="7896" stopIfTrue="1">
      <formula>OR($O$2034="F/S",$O$2034="")</formula>
    </cfRule>
    <cfRule type="cellIs" dxfId="2583" priority="7897" stopIfTrue="1" operator="notEqual">
      <formula>0</formula>
    </cfRule>
  </conditionalFormatting>
  <conditionalFormatting sqref="L2050">
    <cfRule type="expression" dxfId="2582" priority="7898" stopIfTrue="1">
      <formula>OR($L$2050="F/S",$L$2050="")</formula>
    </cfRule>
    <cfRule type="cellIs" dxfId="2581" priority="7899" stopIfTrue="1" operator="notEqual">
      <formula>0</formula>
    </cfRule>
  </conditionalFormatting>
  <conditionalFormatting sqref="O2050">
    <cfRule type="expression" dxfId="2580" priority="7900" stopIfTrue="1">
      <formula>OR($O$2050="F/S",$O$2050="")</formula>
    </cfRule>
    <cfRule type="cellIs" dxfId="2579" priority="7901" stopIfTrue="1" operator="notEqual">
      <formula>0</formula>
    </cfRule>
  </conditionalFormatting>
  <conditionalFormatting sqref="L2065">
    <cfRule type="expression" dxfId="2578" priority="7902" stopIfTrue="1">
      <formula>OR($L$2065="F/S",$L$2065="")</formula>
    </cfRule>
    <cfRule type="cellIs" dxfId="2577" priority="7903" stopIfTrue="1" operator="notEqual">
      <formula>0</formula>
    </cfRule>
  </conditionalFormatting>
  <conditionalFormatting sqref="O2065">
    <cfRule type="expression" dxfId="2576" priority="7904" stopIfTrue="1">
      <formula>OR($O$2065="F/S",$O$2065="")</formula>
    </cfRule>
    <cfRule type="cellIs" dxfId="2575" priority="7905" stopIfTrue="1" operator="notEqual">
      <formula>0</formula>
    </cfRule>
  </conditionalFormatting>
  <conditionalFormatting sqref="L2139">
    <cfRule type="expression" dxfId="2574" priority="7918" stopIfTrue="1">
      <formula>OR($L$2139="F/S",$L$2139="")</formula>
    </cfRule>
    <cfRule type="cellIs" dxfId="2573" priority="7919" stopIfTrue="1" operator="notEqual">
      <formula>0</formula>
    </cfRule>
  </conditionalFormatting>
  <conditionalFormatting sqref="O2139">
    <cfRule type="expression" dxfId="2572" priority="7920" stopIfTrue="1">
      <formula>OR($O$2139="F/S",$O$2139="")</formula>
    </cfRule>
    <cfRule type="cellIs" dxfId="2571" priority="7921" stopIfTrue="1" operator="notEqual">
      <formula>0</formula>
    </cfRule>
  </conditionalFormatting>
  <conditionalFormatting sqref="L2081">
    <cfRule type="expression" dxfId="2570" priority="7922" stopIfTrue="1">
      <formula>OR($L$2081="F/S",$L$2081="")</formula>
    </cfRule>
    <cfRule type="cellIs" dxfId="2569" priority="7923" stopIfTrue="1" operator="notEqual">
      <formula>0</formula>
    </cfRule>
  </conditionalFormatting>
  <conditionalFormatting sqref="O2081">
    <cfRule type="expression" dxfId="2568" priority="7924" stopIfTrue="1">
      <formula>OR($O$2081="F/S",$O$2081="")</formula>
    </cfRule>
    <cfRule type="cellIs" dxfId="2567" priority="7925" stopIfTrue="1" operator="notEqual">
      <formula>0</formula>
    </cfRule>
  </conditionalFormatting>
  <conditionalFormatting sqref="L2094">
    <cfRule type="expression" dxfId="2566" priority="7926" stopIfTrue="1">
      <formula>OR($L$2094="F/S",$L$2094="")</formula>
    </cfRule>
    <cfRule type="cellIs" dxfId="2565" priority="7927" stopIfTrue="1" operator="notEqual">
      <formula>0</formula>
    </cfRule>
  </conditionalFormatting>
  <conditionalFormatting sqref="O2094">
    <cfRule type="expression" dxfId="2564" priority="7928" stopIfTrue="1">
      <formula>OR($O$2094="F/S",$O$2094="")</formula>
    </cfRule>
    <cfRule type="cellIs" dxfId="2563" priority="7929" stopIfTrue="1" operator="notEqual">
      <formula>0</formula>
    </cfRule>
  </conditionalFormatting>
  <conditionalFormatting sqref="L2107">
    <cfRule type="expression" dxfId="2562" priority="7930" stopIfTrue="1">
      <formula>OR($L$2107="F/S",$L$2107="")</formula>
    </cfRule>
    <cfRule type="cellIs" dxfId="2561" priority="7931" stopIfTrue="1" operator="notEqual">
      <formula>0</formula>
    </cfRule>
  </conditionalFormatting>
  <conditionalFormatting sqref="O2107">
    <cfRule type="expression" dxfId="2560" priority="7932" stopIfTrue="1">
      <formula>OR($O$2107="F/S",$O$2107="")</formula>
    </cfRule>
    <cfRule type="cellIs" dxfId="2559" priority="7933" stopIfTrue="1" operator="notEqual">
      <formula>0</formula>
    </cfRule>
  </conditionalFormatting>
  <conditionalFormatting sqref="L2120">
    <cfRule type="expression" dxfId="2558" priority="7934" stopIfTrue="1">
      <formula>OR($L$2120="F/S",$L$2120="")</formula>
    </cfRule>
    <cfRule type="cellIs" dxfId="2557" priority="7935" stopIfTrue="1" operator="notEqual">
      <formula>0</formula>
    </cfRule>
  </conditionalFormatting>
  <conditionalFormatting sqref="O2120">
    <cfRule type="expression" dxfId="2556" priority="7936" stopIfTrue="1">
      <formula>OR($O$2120="F/S",$O$2120="")</formula>
    </cfRule>
    <cfRule type="cellIs" dxfId="2555" priority="7937" stopIfTrue="1" operator="notEqual">
      <formula>0</formula>
    </cfRule>
  </conditionalFormatting>
  <conditionalFormatting sqref="L2159">
    <cfRule type="expression" dxfId="2554" priority="7938" stopIfTrue="1">
      <formula>OR($L$2159="F/S",$L$2159="")</formula>
    </cfRule>
    <cfRule type="cellIs" dxfId="2553" priority="7939" stopIfTrue="1" operator="notEqual">
      <formula>0</formula>
    </cfRule>
  </conditionalFormatting>
  <conditionalFormatting sqref="O2159">
    <cfRule type="expression" dxfId="2552" priority="7940" stopIfTrue="1">
      <formula>OR($O$2159="F/S",$O$2159="")</formula>
    </cfRule>
    <cfRule type="cellIs" dxfId="2551" priority="7941" stopIfTrue="1" operator="notEqual">
      <formula>0</formula>
    </cfRule>
  </conditionalFormatting>
  <conditionalFormatting sqref="L2173">
    <cfRule type="expression" dxfId="2550" priority="7942" stopIfTrue="1">
      <formula>OR($L$2173="F/S",$L$2173="")</formula>
    </cfRule>
    <cfRule type="cellIs" dxfId="2549" priority="7943" stopIfTrue="1" operator="notEqual">
      <formula>0</formula>
    </cfRule>
  </conditionalFormatting>
  <conditionalFormatting sqref="O2173">
    <cfRule type="expression" dxfId="2548" priority="7944" stopIfTrue="1">
      <formula>OR($O$2173="F/S",$O$2173="")</formula>
    </cfRule>
    <cfRule type="cellIs" dxfId="2547" priority="7945" stopIfTrue="1" operator="notEqual">
      <formula>0</formula>
    </cfRule>
  </conditionalFormatting>
  <conditionalFormatting sqref="L2183">
    <cfRule type="expression" dxfId="2546" priority="7946" stopIfTrue="1">
      <formula>OR($L$2183="F/S",$L$2183="")</formula>
    </cfRule>
    <cfRule type="cellIs" dxfId="2545" priority="7947" stopIfTrue="1" operator="notEqual">
      <formula>0</formula>
    </cfRule>
  </conditionalFormatting>
  <conditionalFormatting sqref="O2183">
    <cfRule type="expression" dxfId="2544" priority="7948" stopIfTrue="1">
      <formula>OR($O$2183="F/S",$O$2183="")</formula>
    </cfRule>
    <cfRule type="cellIs" dxfId="2543" priority="7949" stopIfTrue="1" operator="notEqual">
      <formula>0</formula>
    </cfRule>
  </conditionalFormatting>
  <conditionalFormatting sqref="L2204">
    <cfRule type="expression" dxfId="2542" priority="7950" stopIfTrue="1">
      <formula>OR($L$2204="F/S",$L$2204="")</formula>
    </cfRule>
    <cfRule type="cellIs" dxfId="2541" priority="7951" stopIfTrue="1" operator="notEqual">
      <formula>0</formula>
    </cfRule>
  </conditionalFormatting>
  <conditionalFormatting sqref="O2204">
    <cfRule type="expression" dxfId="2540" priority="7952" stopIfTrue="1">
      <formula>OR($O$2204="F/S",$O$2204="")</formula>
    </cfRule>
    <cfRule type="cellIs" dxfId="2539" priority="7953" stopIfTrue="1" operator="notEqual">
      <formula>0</formula>
    </cfRule>
  </conditionalFormatting>
  <conditionalFormatting sqref="L2236">
    <cfRule type="expression" dxfId="2538" priority="7954" stopIfTrue="1">
      <formula>OR($L$2236="F/S",$L$2236="")</formula>
    </cfRule>
    <cfRule type="cellIs" dxfId="2537" priority="7955" stopIfTrue="1" operator="notEqual">
      <formula>0</formula>
    </cfRule>
  </conditionalFormatting>
  <conditionalFormatting sqref="O2236">
    <cfRule type="expression" dxfId="2536" priority="7956" stopIfTrue="1">
      <formula>OR($O$2236="F/S",$O$2236="")</formula>
    </cfRule>
    <cfRule type="cellIs" dxfId="2535" priority="7957" stopIfTrue="1" operator="notEqual">
      <formula>0</formula>
    </cfRule>
  </conditionalFormatting>
  <conditionalFormatting sqref="L2249">
    <cfRule type="expression" dxfId="2534" priority="7958" stopIfTrue="1">
      <formula>OR($L$2249="F/S",$L$2249="")</formula>
    </cfRule>
    <cfRule type="cellIs" dxfId="2533" priority="7959" stopIfTrue="1" operator="notEqual">
      <formula>0</formula>
    </cfRule>
  </conditionalFormatting>
  <conditionalFormatting sqref="O2249">
    <cfRule type="expression" dxfId="2532" priority="7960" stopIfTrue="1">
      <formula>OR($O$2249="F/S",$O$2249="")</formula>
    </cfRule>
    <cfRule type="cellIs" dxfId="2531" priority="7961" stopIfTrue="1" operator="notEqual">
      <formula>0</formula>
    </cfRule>
  </conditionalFormatting>
  <conditionalFormatting sqref="L2262">
    <cfRule type="expression" dxfId="2530" priority="7962" stopIfTrue="1">
      <formula>OR($L$2262="F/S",$L$2262="")</formula>
    </cfRule>
    <cfRule type="cellIs" dxfId="2529" priority="7963" stopIfTrue="1" operator="notEqual">
      <formula>0</formula>
    </cfRule>
  </conditionalFormatting>
  <conditionalFormatting sqref="O2262">
    <cfRule type="expression" dxfId="2528" priority="7964" stopIfTrue="1">
      <formula>OR($O$2262="F/S",$O$2262="")</formula>
    </cfRule>
    <cfRule type="cellIs" dxfId="2527" priority="7965" stopIfTrue="1" operator="notEqual">
      <formula>0</formula>
    </cfRule>
  </conditionalFormatting>
  <conditionalFormatting sqref="L2317">
    <cfRule type="expression" dxfId="2526" priority="7970" stopIfTrue="1">
      <formula>OR($L$2317="F/S",$L$2317="")</formula>
    </cfRule>
    <cfRule type="cellIs" dxfId="2525" priority="7971" stopIfTrue="1" operator="notEqual">
      <formula>0</formula>
    </cfRule>
  </conditionalFormatting>
  <conditionalFormatting sqref="O2317">
    <cfRule type="expression" dxfId="2524" priority="7972" stopIfTrue="1">
      <formula>OR($O$2317="F/S",$O$2317="")</formula>
    </cfRule>
    <cfRule type="cellIs" dxfId="2523" priority="7973" stopIfTrue="1" operator="notEqual">
      <formula>0</formula>
    </cfRule>
  </conditionalFormatting>
  <conditionalFormatting sqref="L2275">
    <cfRule type="expression" dxfId="2522" priority="7982" stopIfTrue="1">
      <formula>OR($L$2275="F/S",$L$2275="")</formula>
    </cfRule>
    <cfRule type="cellIs" dxfId="2521" priority="7983" stopIfTrue="1" operator="notEqual">
      <formula>0</formula>
    </cfRule>
  </conditionalFormatting>
  <conditionalFormatting sqref="O2275">
    <cfRule type="expression" dxfId="2520" priority="7984" stopIfTrue="1">
      <formula>OR($O$2275="F/S",$O$2275="")</formula>
    </cfRule>
    <cfRule type="cellIs" dxfId="2519" priority="7985" stopIfTrue="1" operator="notEqual">
      <formula>0</formula>
    </cfRule>
  </conditionalFormatting>
  <conditionalFormatting sqref="L2295">
    <cfRule type="expression" dxfId="2518" priority="7986" stopIfTrue="1">
      <formula>OR($L$2295="F/S",$L$2295="")</formula>
    </cfRule>
    <cfRule type="cellIs" dxfId="2517" priority="7987" stopIfTrue="1" operator="notEqual">
      <formula>0</formula>
    </cfRule>
  </conditionalFormatting>
  <conditionalFormatting sqref="O2295">
    <cfRule type="expression" dxfId="2516" priority="7988" stopIfTrue="1">
      <formula>OR($O$2295="F/S",$O$2295="")</formula>
    </cfRule>
    <cfRule type="cellIs" dxfId="2515" priority="7989" stopIfTrue="1" operator="notEqual">
      <formula>0</formula>
    </cfRule>
  </conditionalFormatting>
  <conditionalFormatting sqref="L2351">
    <cfRule type="expression" dxfId="2514" priority="7990" stopIfTrue="1">
      <formula>OR($L$2351="F/S",$L$2351="")</formula>
    </cfRule>
    <cfRule type="cellIs" dxfId="2513" priority="7991" stopIfTrue="1" operator="notEqual">
      <formula>0</formula>
    </cfRule>
  </conditionalFormatting>
  <conditionalFormatting sqref="O2351">
    <cfRule type="expression" dxfId="2512" priority="7992" stopIfTrue="1">
      <formula>OR($O$2351="F/S",$O$2351="")</formula>
    </cfRule>
    <cfRule type="cellIs" dxfId="2511" priority="7993" stopIfTrue="1" operator="notEqual">
      <formula>0</formula>
    </cfRule>
  </conditionalFormatting>
  <conditionalFormatting sqref="L2332">
    <cfRule type="expression" dxfId="2510" priority="7994" stopIfTrue="1">
      <formula>OR($L$2332="F/S",$L$2332="")</formula>
    </cfRule>
    <cfRule type="cellIs" dxfId="2509" priority="7995" stopIfTrue="1" operator="notEqual">
      <formula>0</formula>
    </cfRule>
  </conditionalFormatting>
  <conditionalFormatting sqref="O2332">
    <cfRule type="expression" dxfId="2508" priority="7996" stopIfTrue="1">
      <formula>OR($O$2332="F/S",$O$2332="")</formula>
    </cfRule>
    <cfRule type="cellIs" dxfId="2507" priority="7997" stopIfTrue="1" operator="notEqual">
      <formula>0</formula>
    </cfRule>
  </conditionalFormatting>
  <conditionalFormatting sqref="L2380">
    <cfRule type="expression" dxfId="2506" priority="8002" stopIfTrue="1">
      <formula>OR($L$2380="F/S",$L$2380="")</formula>
    </cfRule>
    <cfRule type="cellIs" dxfId="2505" priority="8003" stopIfTrue="1" operator="notEqual">
      <formula>0</formula>
    </cfRule>
  </conditionalFormatting>
  <conditionalFormatting sqref="O2380">
    <cfRule type="expression" dxfId="2504" priority="8004" stopIfTrue="1">
      <formula>OR($O$2380="F/S",$O$2380="")</formula>
    </cfRule>
    <cfRule type="cellIs" dxfId="2503" priority="8005" stopIfTrue="1" operator="notEqual">
      <formula>0</formula>
    </cfRule>
  </conditionalFormatting>
  <conditionalFormatting sqref="L2393">
    <cfRule type="expression" dxfId="2502" priority="8010" stopIfTrue="1">
      <formula>OR($L$2393="F/S",$L$2393="")</formula>
    </cfRule>
    <cfRule type="cellIs" dxfId="2501" priority="8011" stopIfTrue="1" operator="notEqual">
      <formula>0</formula>
    </cfRule>
  </conditionalFormatting>
  <conditionalFormatting sqref="O2393">
    <cfRule type="expression" dxfId="2500" priority="8012" stopIfTrue="1">
      <formula>OR($O$2393="F/S",$O$2393="")</formula>
    </cfRule>
    <cfRule type="cellIs" dxfId="2499" priority="8013" stopIfTrue="1" operator="notEqual">
      <formula>0</formula>
    </cfRule>
  </conditionalFormatting>
  <conditionalFormatting sqref="L2370">
    <cfRule type="expression" dxfId="2498" priority="8014" stopIfTrue="1">
      <formula>OR($L$2370="F/S",$L$2370="")</formula>
    </cfRule>
    <cfRule type="cellIs" dxfId="2497" priority="8015" stopIfTrue="1" operator="notEqual">
      <formula>0</formula>
    </cfRule>
  </conditionalFormatting>
  <conditionalFormatting sqref="O2370">
    <cfRule type="expression" dxfId="2496" priority="8016" stopIfTrue="1">
      <formula>OR($O$2370="F/S",$O$2370="")</formula>
    </cfRule>
    <cfRule type="cellIs" dxfId="2495" priority="8017" stopIfTrue="1" operator="notEqual">
      <formula>0</formula>
    </cfRule>
  </conditionalFormatting>
  <conditionalFormatting sqref="L2403">
    <cfRule type="expression" dxfId="2494" priority="8018" stopIfTrue="1">
      <formula>OR($L$2403="F/S",$L$2403="")</formula>
    </cfRule>
    <cfRule type="cellIs" dxfId="2493" priority="8019" stopIfTrue="1" operator="notEqual">
      <formula>0</formula>
    </cfRule>
  </conditionalFormatting>
  <conditionalFormatting sqref="O2403">
    <cfRule type="expression" dxfId="2492" priority="8020" stopIfTrue="1">
      <formula>OR($O$2403="F/S",$O$2403="")</formula>
    </cfRule>
    <cfRule type="cellIs" dxfId="2491" priority="8021" stopIfTrue="1" operator="notEqual">
      <formula>0</formula>
    </cfRule>
  </conditionalFormatting>
  <conditionalFormatting sqref="L2465">
    <cfRule type="expression" dxfId="2490" priority="8022" stopIfTrue="1">
      <formula>OR($L$2465="F/S",$L$2465="")</formula>
    </cfRule>
    <cfRule type="cellIs" dxfId="2489" priority="8023" stopIfTrue="1" operator="notEqual">
      <formula>0</formula>
    </cfRule>
  </conditionalFormatting>
  <conditionalFormatting sqref="O2465">
    <cfRule type="expression" dxfId="2488" priority="8024" stopIfTrue="1">
      <formula>OR($O$2465="F/S",$O$2465="")</formula>
    </cfRule>
    <cfRule type="cellIs" dxfId="2487" priority="8025" stopIfTrue="1" operator="notEqual">
      <formula>0</formula>
    </cfRule>
  </conditionalFormatting>
  <conditionalFormatting sqref="L2499">
    <cfRule type="expression" dxfId="2486" priority="8030" stopIfTrue="1">
      <formula>OR($L$2499="F/S",$L$2499="")</formula>
    </cfRule>
    <cfRule type="cellIs" dxfId="2485" priority="8031" stopIfTrue="1" operator="notEqual">
      <formula>0</formula>
    </cfRule>
  </conditionalFormatting>
  <conditionalFormatting sqref="O2499">
    <cfRule type="expression" dxfId="2484" priority="8032" stopIfTrue="1">
      <formula>OR($O$2499="F/S",$O$2499="")</formula>
    </cfRule>
    <cfRule type="cellIs" dxfId="2483" priority="8033" stopIfTrue="1" operator="notEqual">
      <formula>0</formula>
    </cfRule>
  </conditionalFormatting>
  <conditionalFormatting sqref="L2508">
    <cfRule type="expression" dxfId="2482" priority="8034" stopIfTrue="1">
      <formula>OR($L$2508="F/S",$L$2508="")</formula>
    </cfRule>
    <cfRule type="cellIs" dxfId="2481" priority="8035" stopIfTrue="1" operator="notEqual">
      <formula>0</formula>
    </cfRule>
  </conditionalFormatting>
  <conditionalFormatting sqref="O2508">
    <cfRule type="expression" dxfId="2480" priority="8036" stopIfTrue="1">
      <formula>OR($O$2508="F/S",$O$2508="")</formula>
    </cfRule>
    <cfRule type="cellIs" dxfId="2479" priority="8037" stopIfTrue="1" operator="notEqual">
      <formula>0</formula>
    </cfRule>
  </conditionalFormatting>
  <conditionalFormatting sqref="L2522">
    <cfRule type="expression" dxfId="2478" priority="8038" stopIfTrue="1">
      <formula>OR($L$2522="F/S",$L$2522="")</formula>
    </cfRule>
    <cfRule type="cellIs" dxfId="2477" priority="8039" stopIfTrue="1" operator="notEqual">
      <formula>0</formula>
    </cfRule>
  </conditionalFormatting>
  <conditionalFormatting sqref="O2522">
    <cfRule type="expression" dxfId="2476" priority="8040" stopIfTrue="1">
      <formula>OR($O$2522="F/S",$O$2522="")</formula>
    </cfRule>
    <cfRule type="cellIs" dxfId="2475" priority="8041" stopIfTrue="1" operator="notEqual">
      <formula>0</formula>
    </cfRule>
  </conditionalFormatting>
  <conditionalFormatting sqref="L2559">
    <cfRule type="expression" dxfId="2474" priority="8074" stopIfTrue="1">
      <formula>OR($L$2559="F/S",$L$2559="")</formula>
    </cfRule>
    <cfRule type="cellIs" dxfId="2473" priority="8075" stopIfTrue="1" operator="notEqual">
      <formula>0</formula>
    </cfRule>
  </conditionalFormatting>
  <conditionalFormatting sqref="O2559">
    <cfRule type="expression" dxfId="2472" priority="8076" stopIfTrue="1">
      <formula>OR($O$2559="F/S",$O$2559="")</formula>
    </cfRule>
    <cfRule type="cellIs" dxfId="2471" priority="8077" stopIfTrue="1" operator="notEqual">
      <formula>0</formula>
    </cfRule>
  </conditionalFormatting>
  <conditionalFormatting sqref="L2601">
    <cfRule type="expression" dxfId="2470" priority="8078" stopIfTrue="1">
      <formula>OR($L$2601="F/S",$L$2601="")</formula>
    </cfRule>
    <cfRule type="cellIs" dxfId="2469" priority="8079" stopIfTrue="1" operator="notEqual">
      <formula>0</formula>
    </cfRule>
  </conditionalFormatting>
  <conditionalFormatting sqref="O2601">
    <cfRule type="expression" dxfId="2468" priority="8080" stopIfTrue="1">
      <formula>OR($O$2601="F/S",$O$2601="")</formula>
    </cfRule>
    <cfRule type="cellIs" dxfId="2467" priority="8081" stopIfTrue="1" operator="notEqual">
      <formula>0</formula>
    </cfRule>
  </conditionalFormatting>
  <conditionalFormatting sqref="L2620">
    <cfRule type="expression" dxfId="2466" priority="8082" stopIfTrue="1">
      <formula>OR($L$2620="F/S",$L$2620="")</formula>
    </cfRule>
    <cfRule type="cellIs" dxfId="2465" priority="8083" stopIfTrue="1" operator="notEqual">
      <formula>0</formula>
    </cfRule>
  </conditionalFormatting>
  <conditionalFormatting sqref="O2620">
    <cfRule type="expression" dxfId="2464" priority="8084" stopIfTrue="1">
      <formula>OR($O$2620="F/S",$O$2620="")</formula>
    </cfRule>
    <cfRule type="cellIs" dxfId="2463" priority="8085" stopIfTrue="1" operator="notEqual">
      <formula>0</formula>
    </cfRule>
  </conditionalFormatting>
  <conditionalFormatting sqref="L2630">
    <cfRule type="expression" dxfId="2462" priority="8102" stopIfTrue="1">
      <formula>OR($L$2630="F/S",$L$2630="")</formula>
    </cfRule>
    <cfRule type="cellIs" dxfId="2461" priority="8103" stopIfTrue="1" operator="notEqual">
      <formula>0</formula>
    </cfRule>
  </conditionalFormatting>
  <conditionalFormatting sqref="O2630">
    <cfRule type="expression" dxfId="2460" priority="8104" stopIfTrue="1">
      <formula>OR($O$2630="F/S",$O$2630="")</formula>
    </cfRule>
    <cfRule type="cellIs" dxfId="2459" priority="8105" stopIfTrue="1" operator="notEqual">
      <formula>0</formula>
    </cfRule>
  </conditionalFormatting>
  <conditionalFormatting sqref="L2641">
    <cfRule type="expression" dxfId="2458" priority="8110" stopIfTrue="1">
      <formula>OR($L$2641="F/S",$L$2641="")</formula>
    </cfRule>
    <cfRule type="cellIs" dxfId="2457" priority="8111" stopIfTrue="1" operator="notEqual">
      <formula>0</formula>
    </cfRule>
  </conditionalFormatting>
  <conditionalFormatting sqref="O2641">
    <cfRule type="expression" dxfId="2456" priority="8112" stopIfTrue="1">
      <formula>OR($O$2641="F/S",$O$2641="")</formula>
    </cfRule>
    <cfRule type="cellIs" dxfId="2455" priority="8113" stopIfTrue="1" operator="notEqual">
      <formula>0</formula>
    </cfRule>
  </conditionalFormatting>
  <conditionalFormatting sqref="L2650">
    <cfRule type="expression" dxfId="2454" priority="8114" stopIfTrue="1">
      <formula>OR($L$2650="F/S",$L$2650="")</formula>
    </cfRule>
    <cfRule type="cellIs" dxfId="2453" priority="8115" stopIfTrue="1" operator="notEqual">
      <formula>0</formula>
    </cfRule>
  </conditionalFormatting>
  <conditionalFormatting sqref="O2650">
    <cfRule type="expression" dxfId="2452" priority="8116" stopIfTrue="1">
      <formula>OR($O$2650="F/S",$O$2650="")</formula>
    </cfRule>
    <cfRule type="cellIs" dxfId="2451" priority="8117" stopIfTrue="1" operator="notEqual">
      <formula>0</formula>
    </cfRule>
  </conditionalFormatting>
  <conditionalFormatting sqref="L2707">
    <cfRule type="expression" dxfId="2450" priority="8122" stopIfTrue="1">
      <formula>OR($L$2707="F/S",$L$2707="")</formula>
    </cfRule>
    <cfRule type="cellIs" dxfId="2449" priority="8123" stopIfTrue="1" operator="notEqual">
      <formula>0</formula>
    </cfRule>
  </conditionalFormatting>
  <conditionalFormatting sqref="O2707">
    <cfRule type="expression" dxfId="2448" priority="8124" stopIfTrue="1">
      <formula>OR($O$2707="F/S",$O$2707="")</formula>
    </cfRule>
    <cfRule type="cellIs" dxfId="2447" priority="8125" stopIfTrue="1" operator="notEqual">
      <formula>0</formula>
    </cfRule>
  </conditionalFormatting>
  <conditionalFormatting sqref="L2721">
    <cfRule type="expression" dxfId="2446" priority="8126" stopIfTrue="1">
      <formula>OR($L$2721="F/S",$L$2721="")</formula>
    </cfRule>
    <cfRule type="cellIs" dxfId="2445" priority="8127" stopIfTrue="1" operator="notEqual">
      <formula>0</formula>
    </cfRule>
  </conditionalFormatting>
  <conditionalFormatting sqref="O2721">
    <cfRule type="expression" dxfId="2444" priority="8128" stopIfTrue="1">
      <formula>OR($O$2721="F/S",$O$2721="")</formula>
    </cfRule>
    <cfRule type="cellIs" dxfId="2443" priority="8129" stopIfTrue="1" operator="notEqual">
      <formula>0</formula>
    </cfRule>
  </conditionalFormatting>
  <conditionalFormatting sqref="L2735">
    <cfRule type="expression" dxfId="2442" priority="8130" stopIfTrue="1">
      <formula>OR($L$2735="F/S",$L$2735="")</formula>
    </cfRule>
    <cfRule type="cellIs" dxfId="2441" priority="8131" stopIfTrue="1" operator="notEqual">
      <formula>0</formula>
    </cfRule>
  </conditionalFormatting>
  <conditionalFormatting sqref="O2735">
    <cfRule type="expression" dxfId="2440" priority="8132" stopIfTrue="1">
      <formula>OR($O$2735="F/S",$O$2735="")</formula>
    </cfRule>
    <cfRule type="cellIs" dxfId="2439" priority="8133" stopIfTrue="1" operator="notEqual">
      <formula>0</formula>
    </cfRule>
  </conditionalFormatting>
  <conditionalFormatting sqref="L2750">
    <cfRule type="expression" dxfId="2438" priority="8134" stopIfTrue="1">
      <formula>OR($L$2750="F/S",$L$2750="")</formula>
    </cfRule>
    <cfRule type="cellIs" dxfId="2437" priority="8135" stopIfTrue="1" operator="notEqual">
      <formula>0</formula>
    </cfRule>
  </conditionalFormatting>
  <conditionalFormatting sqref="O2750">
    <cfRule type="expression" dxfId="2436" priority="8136" stopIfTrue="1">
      <formula>OR($O$2750="F/S",$O$2750="")</formula>
    </cfRule>
    <cfRule type="cellIs" dxfId="2435" priority="8137" stopIfTrue="1" operator="notEqual">
      <formula>0</formula>
    </cfRule>
  </conditionalFormatting>
  <conditionalFormatting sqref="L2763">
    <cfRule type="expression" dxfId="2434" priority="8138" stopIfTrue="1">
      <formula>OR($L$2763="F/S",$L$2763="")</formula>
    </cfRule>
    <cfRule type="cellIs" dxfId="2433" priority="8139" stopIfTrue="1" operator="notEqual">
      <formula>0</formula>
    </cfRule>
  </conditionalFormatting>
  <conditionalFormatting sqref="O2763">
    <cfRule type="expression" dxfId="2432" priority="8140" stopIfTrue="1">
      <formula>OR($O$2763="F/S",$O$2763="")</formula>
    </cfRule>
    <cfRule type="cellIs" dxfId="2431" priority="8141" stopIfTrue="1" operator="notEqual">
      <formula>0</formula>
    </cfRule>
  </conditionalFormatting>
  <conditionalFormatting sqref="L2773">
    <cfRule type="expression" dxfId="2430" priority="8158" stopIfTrue="1">
      <formula>OR($L$2773="F/S",$L$2773="")</formula>
    </cfRule>
    <cfRule type="cellIs" dxfId="2429" priority="8159" stopIfTrue="1" operator="notEqual">
      <formula>0</formula>
    </cfRule>
  </conditionalFormatting>
  <conditionalFormatting sqref="O2773">
    <cfRule type="expression" dxfId="2428" priority="8160" stopIfTrue="1">
      <formula>OR($O$2773="F/S",$O$2773="")</formula>
    </cfRule>
    <cfRule type="cellIs" dxfId="2427" priority="8161" stopIfTrue="1" operator="notEqual">
      <formula>0</formula>
    </cfRule>
  </conditionalFormatting>
  <conditionalFormatting sqref="L2783">
    <cfRule type="expression" dxfId="2426" priority="8166" stopIfTrue="1">
      <formula>OR($L$2783="F/S",$L$2783="")</formula>
    </cfRule>
    <cfRule type="cellIs" dxfId="2425" priority="8167" stopIfTrue="1" operator="notEqual">
      <formula>0</formula>
    </cfRule>
  </conditionalFormatting>
  <conditionalFormatting sqref="O2783">
    <cfRule type="expression" dxfId="2424" priority="8168" stopIfTrue="1">
      <formula>OR($O$2783="F/S",$O$2783="")</formula>
    </cfRule>
    <cfRule type="cellIs" dxfId="2423" priority="8169" stopIfTrue="1" operator="notEqual">
      <formula>0</formula>
    </cfRule>
  </conditionalFormatting>
  <conditionalFormatting sqref="L2799">
    <cfRule type="expression" dxfId="2422" priority="8170" stopIfTrue="1">
      <formula>OR($L$2799="F/S",$L$2799="")</formula>
    </cfRule>
    <cfRule type="cellIs" dxfId="2421" priority="8171" stopIfTrue="1" operator="notEqual">
      <formula>0</formula>
    </cfRule>
  </conditionalFormatting>
  <conditionalFormatting sqref="O2799">
    <cfRule type="expression" dxfId="2420" priority="8172" stopIfTrue="1">
      <formula>OR($O$2799="F/S",$O$2799="")</formula>
    </cfRule>
    <cfRule type="cellIs" dxfId="2419" priority="8173" stopIfTrue="1" operator="notEqual">
      <formula>0</formula>
    </cfRule>
  </conditionalFormatting>
  <conditionalFormatting sqref="L2812">
    <cfRule type="expression" dxfId="2418" priority="8174" stopIfTrue="1">
      <formula>OR($L$2812="F/S",$L$2812="")</formula>
    </cfRule>
    <cfRule type="cellIs" dxfId="2417" priority="8175" stopIfTrue="1" operator="notEqual">
      <formula>0</formula>
    </cfRule>
  </conditionalFormatting>
  <conditionalFormatting sqref="O2812">
    <cfRule type="expression" dxfId="2416" priority="8176" stopIfTrue="1">
      <formula>OR($O$2812="F/S",$O$2812="")</formula>
    </cfRule>
    <cfRule type="cellIs" dxfId="2415" priority="8177" stopIfTrue="1" operator="notEqual">
      <formula>0</formula>
    </cfRule>
  </conditionalFormatting>
  <conditionalFormatting sqref="L2823">
    <cfRule type="expression" dxfId="2414" priority="8178" stopIfTrue="1">
      <formula>OR($L$2823="F/S",$L$2823="")</formula>
    </cfRule>
    <cfRule type="cellIs" dxfId="2413" priority="8179" stopIfTrue="1" operator="notEqual">
      <formula>0</formula>
    </cfRule>
  </conditionalFormatting>
  <conditionalFormatting sqref="O2823">
    <cfRule type="expression" dxfId="2412" priority="8180" stopIfTrue="1">
      <formula>OR($O$2823="F/S",$O$2823="")</formula>
    </cfRule>
    <cfRule type="cellIs" dxfId="2411" priority="8181" stopIfTrue="1" operator="notEqual">
      <formula>0</formula>
    </cfRule>
  </conditionalFormatting>
  <conditionalFormatting sqref="L2832">
    <cfRule type="expression" dxfId="2410" priority="8182" stopIfTrue="1">
      <formula>OR($L$2832="F/S",$L$2832="")</formula>
    </cfRule>
    <cfRule type="cellIs" dxfId="2409" priority="8183" stopIfTrue="1" operator="notEqual">
      <formula>0</formula>
    </cfRule>
  </conditionalFormatting>
  <conditionalFormatting sqref="O2832">
    <cfRule type="expression" dxfId="2408" priority="8184" stopIfTrue="1">
      <formula>OR($O$2832="F/S",$O$2832="")</formula>
    </cfRule>
    <cfRule type="cellIs" dxfId="2407" priority="8185" stopIfTrue="1" operator="notEqual">
      <formula>0</formula>
    </cfRule>
  </conditionalFormatting>
  <conditionalFormatting sqref="L2879">
    <cfRule type="expression" dxfId="2406" priority="8194" stopIfTrue="1">
      <formula>OR($L$2879="F/S",$L$2879="")</formula>
    </cfRule>
    <cfRule type="cellIs" dxfId="2405" priority="8195" stopIfTrue="1" operator="notEqual">
      <formula>0</formula>
    </cfRule>
  </conditionalFormatting>
  <conditionalFormatting sqref="O2879">
    <cfRule type="expression" dxfId="2404" priority="8196" stopIfTrue="1">
      <formula>OR($O$2879="F/S",$O$2879="")</formula>
    </cfRule>
    <cfRule type="cellIs" dxfId="2403" priority="8197" stopIfTrue="1" operator="notEqual">
      <formula>0</formula>
    </cfRule>
  </conditionalFormatting>
  <conditionalFormatting sqref="L2849">
    <cfRule type="expression" dxfId="2402" priority="8198" stopIfTrue="1">
      <formula>OR($L$2849="F/S",$L$2849="")</formula>
    </cfRule>
    <cfRule type="cellIs" dxfId="2401" priority="8199" stopIfTrue="1" operator="notEqual">
      <formula>0</formula>
    </cfRule>
  </conditionalFormatting>
  <conditionalFormatting sqref="O2849">
    <cfRule type="expression" dxfId="2400" priority="8200" stopIfTrue="1">
      <formula>OR($O$2849="F/S",$O$2849="")</formula>
    </cfRule>
    <cfRule type="cellIs" dxfId="2399" priority="8201" stopIfTrue="1" operator="notEqual">
      <formula>0</formula>
    </cfRule>
  </conditionalFormatting>
  <conditionalFormatting sqref="L2864">
    <cfRule type="expression" dxfId="2398" priority="8202" stopIfTrue="1">
      <formula>OR($L$2864="F/S",$L$2864="")</formula>
    </cfRule>
    <cfRule type="cellIs" dxfId="2397" priority="8203" stopIfTrue="1" operator="notEqual">
      <formula>0</formula>
    </cfRule>
  </conditionalFormatting>
  <conditionalFormatting sqref="O2864">
    <cfRule type="expression" dxfId="2396" priority="8204" stopIfTrue="1">
      <formula>OR($O$2864="F/S",$O$2864="")</formula>
    </cfRule>
    <cfRule type="cellIs" dxfId="2395" priority="8205" stopIfTrue="1" operator="notEqual">
      <formula>0</formula>
    </cfRule>
  </conditionalFormatting>
  <conditionalFormatting sqref="L2899">
    <cfRule type="expression" dxfId="2394" priority="8206" stopIfTrue="1">
      <formula>OR($L$2899="F/S",$L$2899="")</formula>
    </cfRule>
    <cfRule type="cellIs" dxfId="2393" priority="8207" stopIfTrue="1" operator="notEqual">
      <formula>0</formula>
    </cfRule>
  </conditionalFormatting>
  <conditionalFormatting sqref="O2899">
    <cfRule type="expression" dxfId="2392" priority="8208" stopIfTrue="1">
      <formula>OR($O$2899="F/S",$O$2899="")</formula>
    </cfRule>
    <cfRule type="cellIs" dxfId="2391" priority="8209" stopIfTrue="1" operator="notEqual">
      <formula>0</formula>
    </cfRule>
  </conditionalFormatting>
  <conditionalFormatting sqref="L2910">
    <cfRule type="expression" dxfId="2390" priority="8214" stopIfTrue="1">
      <formula>OR($L$2910="F/S",$L$2910="")</formula>
    </cfRule>
    <cfRule type="cellIs" dxfId="2389" priority="8215" stopIfTrue="1" operator="notEqual">
      <formula>0</formula>
    </cfRule>
  </conditionalFormatting>
  <conditionalFormatting sqref="O2910">
    <cfRule type="expression" dxfId="2388" priority="8216" stopIfTrue="1">
      <formula>OR($O$2910="F/S",$O$2910="")</formula>
    </cfRule>
    <cfRule type="cellIs" dxfId="2387" priority="8217" stopIfTrue="1" operator="notEqual">
      <formula>0</formula>
    </cfRule>
  </conditionalFormatting>
  <conditionalFormatting sqref="L2922">
    <cfRule type="expression" dxfId="2386" priority="8218" stopIfTrue="1">
      <formula>OR($L$2922="F/S",$L$2922="")</formula>
    </cfRule>
    <cfRule type="cellIs" dxfId="2385" priority="8219" stopIfTrue="1" operator="notEqual">
      <formula>0</formula>
    </cfRule>
  </conditionalFormatting>
  <conditionalFormatting sqref="O2922">
    <cfRule type="expression" dxfId="2384" priority="8220" stopIfTrue="1">
      <formula>OR($O$2922="F/S",$O$2922="")</formula>
    </cfRule>
    <cfRule type="cellIs" dxfId="2383" priority="8221" stopIfTrue="1" operator="notEqual">
      <formula>0</formula>
    </cfRule>
  </conditionalFormatting>
  <conditionalFormatting sqref="L2984">
    <cfRule type="expression" dxfId="2382" priority="8234" stopIfTrue="1">
      <formula>OR($L$2984="F/S",$L$2984="")</formula>
    </cfRule>
    <cfRule type="cellIs" dxfId="2381" priority="8235" stopIfTrue="1" operator="notEqual">
      <formula>0</formula>
    </cfRule>
  </conditionalFormatting>
  <conditionalFormatting sqref="O2984">
    <cfRule type="expression" dxfId="2380" priority="8236" stopIfTrue="1">
      <formula>OR($O$2984="F/S",$O$2984="")</formula>
    </cfRule>
    <cfRule type="cellIs" dxfId="2379" priority="8237" stopIfTrue="1" operator="notEqual">
      <formula>0</formula>
    </cfRule>
  </conditionalFormatting>
  <conditionalFormatting sqref="L3008">
    <cfRule type="expression" dxfId="2378" priority="8242" stopIfTrue="1">
      <formula>OR($L$3008="F/S",$L$3008="")</formula>
    </cfRule>
    <cfRule type="cellIs" dxfId="2377" priority="8243" stopIfTrue="1" operator="notEqual">
      <formula>0</formula>
    </cfRule>
  </conditionalFormatting>
  <conditionalFormatting sqref="O3008">
    <cfRule type="expression" dxfId="2376" priority="8244" stopIfTrue="1">
      <formula>OR($O$3008="F/S",$O$3008="")</formula>
    </cfRule>
    <cfRule type="cellIs" dxfId="2375" priority="8245" stopIfTrue="1" operator="notEqual">
      <formula>0</formula>
    </cfRule>
  </conditionalFormatting>
  <conditionalFormatting sqref="L3045">
    <cfRule type="expression" dxfId="2374" priority="8250" stopIfTrue="1">
      <formula>OR($L$3045="F/S",$L$3045="")</formula>
    </cfRule>
    <cfRule type="cellIs" dxfId="2373" priority="8251" stopIfTrue="1" operator="notEqual">
      <formula>0</formula>
    </cfRule>
  </conditionalFormatting>
  <conditionalFormatting sqref="O3045">
    <cfRule type="expression" dxfId="2372" priority="8252" stopIfTrue="1">
      <formula>OR($O$3045="F/S",$O$3045="")</formula>
    </cfRule>
    <cfRule type="cellIs" dxfId="2371" priority="8253" stopIfTrue="1" operator="notEqual">
      <formula>0</formula>
    </cfRule>
  </conditionalFormatting>
  <conditionalFormatting sqref="L3115">
    <cfRule type="expression" dxfId="2370" priority="8266" stopIfTrue="1">
      <formula>OR($L$3115="F/S",$L$3115="")</formula>
    </cfRule>
    <cfRule type="cellIs" dxfId="2369" priority="8267" stopIfTrue="1" operator="notEqual">
      <formula>0</formula>
    </cfRule>
  </conditionalFormatting>
  <conditionalFormatting sqref="O3115">
    <cfRule type="expression" dxfId="2368" priority="8268" stopIfTrue="1">
      <formula>OR($O$3115="F/S",$O$3115="")</formula>
    </cfRule>
    <cfRule type="cellIs" dxfId="2367" priority="8269" stopIfTrue="1" operator="notEqual">
      <formula>0</formula>
    </cfRule>
  </conditionalFormatting>
  <conditionalFormatting sqref="L3128">
    <cfRule type="expression" dxfId="2366" priority="8270" stopIfTrue="1">
      <formula>OR($L$3128="F/S",$L$3128="")</formula>
    </cfRule>
    <cfRule type="cellIs" dxfId="2365" priority="8271" stopIfTrue="1" operator="notEqual">
      <formula>0</formula>
    </cfRule>
  </conditionalFormatting>
  <conditionalFormatting sqref="O3128">
    <cfRule type="expression" dxfId="2364" priority="8272" stopIfTrue="1">
      <formula>OR($O$3128="F/S",$O$3128="")</formula>
    </cfRule>
    <cfRule type="cellIs" dxfId="2363" priority="8273" stopIfTrue="1" operator="notEqual">
      <formula>0</formula>
    </cfRule>
  </conditionalFormatting>
  <conditionalFormatting sqref="L3164">
    <cfRule type="expression" dxfId="2362" priority="8274" stopIfTrue="1">
      <formula>OR($L$3164="F/S",$L$3164="")</formula>
    </cfRule>
    <cfRule type="cellIs" dxfId="2361" priority="8275" stopIfTrue="1" operator="notEqual">
      <formula>0</formula>
    </cfRule>
  </conditionalFormatting>
  <conditionalFormatting sqref="O3164">
    <cfRule type="expression" dxfId="2360" priority="8276" stopIfTrue="1">
      <formula>OR($O$3164="F/S",$O$3164="")</formula>
    </cfRule>
    <cfRule type="cellIs" dxfId="2359" priority="8277" stopIfTrue="1" operator="notEqual">
      <formula>0</formula>
    </cfRule>
  </conditionalFormatting>
  <conditionalFormatting sqref="L3177">
    <cfRule type="expression" dxfId="2358" priority="8286" stopIfTrue="1">
      <formula>OR($L$3177="F/S",$L$3177="")</formula>
    </cfRule>
    <cfRule type="cellIs" dxfId="2357" priority="8287" stopIfTrue="1" operator="notEqual">
      <formula>0</formula>
    </cfRule>
  </conditionalFormatting>
  <conditionalFormatting sqref="O3177">
    <cfRule type="expression" dxfId="2356" priority="8288" stopIfTrue="1">
      <formula>OR($O$3177="F/S",$O$3177="")</formula>
    </cfRule>
    <cfRule type="cellIs" dxfId="2355" priority="8289" stopIfTrue="1" operator="notEqual">
      <formula>0</formula>
    </cfRule>
  </conditionalFormatting>
  <conditionalFormatting sqref="L3190">
    <cfRule type="expression" dxfId="2354" priority="8290" stopIfTrue="1">
      <formula>OR($L$3190="F/S",$L$3190="")</formula>
    </cfRule>
    <cfRule type="cellIs" dxfId="2353" priority="8291" stopIfTrue="1" operator="notEqual">
      <formula>0</formula>
    </cfRule>
  </conditionalFormatting>
  <conditionalFormatting sqref="O3190">
    <cfRule type="expression" dxfId="2352" priority="8292" stopIfTrue="1">
      <formula>OR($O$3190="F/S",$O$3190="")</formula>
    </cfRule>
    <cfRule type="cellIs" dxfId="2351" priority="8293" stopIfTrue="1" operator="notEqual">
      <formula>0</formula>
    </cfRule>
  </conditionalFormatting>
  <conditionalFormatting sqref="L3202">
    <cfRule type="expression" dxfId="2350" priority="8294" stopIfTrue="1">
      <formula>OR($L$3202="F/S",$L$3202="")</formula>
    </cfRule>
    <cfRule type="cellIs" dxfId="2349" priority="8295" stopIfTrue="1" operator="notEqual">
      <formula>0</formula>
    </cfRule>
  </conditionalFormatting>
  <conditionalFormatting sqref="O3202">
    <cfRule type="expression" dxfId="2348" priority="8296" stopIfTrue="1">
      <formula>OR($O$3202="F/S",$O$3202="")</formula>
    </cfRule>
    <cfRule type="cellIs" dxfId="2347" priority="8297" stopIfTrue="1" operator="notEqual">
      <formula>0</formula>
    </cfRule>
  </conditionalFormatting>
  <conditionalFormatting sqref="L3215">
    <cfRule type="expression" dxfId="2346" priority="8298" stopIfTrue="1">
      <formula>OR($L$3215="F/S",$L$3215="")</formula>
    </cfRule>
    <cfRule type="cellIs" dxfId="2345" priority="8299" stopIfTrue="1" operator="notEqual">
      <formula>0</formula>
    </cfRule>
  </conditionalFormatting>
  <conditionalFormatting sqref="O3215">
    <cfRule type="expression" dxfId="2344" priority="8300" stopIfTrue="1">
      <formula>OR($O$3215="F/S",$O$3215="")</formula>
    </cfRule>
    <cfRule type="cellIs" dxfId="2343" priority="8301" stopIfTrue="1" operator="notEqual">
      <formula>0</formula>
    </cfRule>
  </conditionalFormatting>
  <conditionalFormatting sqref="L3227">
    <cfRule type="expression" dxfId="2342" priority="8302" stopIfTrue="1">
      <formula>OR($L$3227="F/S",$L$3227="")</formula>
    </cfRule>
    <cfRule type="cellIs" dxfId="2341" priority="8303" stopIfTrue="1" operator="notEqual">
      <formula>0</formula>
    </cfRule>
  </conditionalFormatting>
  <conditionalFormatting sqref="O3227">
    <cfRule type="expression" dxfId="2340" priority="8304" stopIfTrue="1">
      <formula>OR($O$3227="F/S",$O$3227="")</formula>
    </cfRule>
    <cfRule type="cellIs" dxfId="2339" priority="8305" stopIfTrue="1" operator="notEqual">
      <formula>0</formula>
    </cfRule>
  </conditionalFormatting>
  <conditionalFormatting sqref="L3242">
    <cfRule type="expression" dxfId="2338" priority="8306" stopIfTrue="1">
      <formula>OR($L$3242="F/S",$L$3242="")</formula>
    </cfRule>
    <cfRule type="cellIs" dxfId="2337" priority="8307" stopIfTrue="1" operator="notEqual">
      <formula>0</formula>
    </cfRule>
  </conditionalFormatting>
  <conditionalFormatting sqref="O3242">
    <cfRule type="expression" dxfId="2336" priority="8308" stopIfTrue="1">
      <formula>OR($O$3242="F/S",$O$3242="")</formula>
    </cfRule>
    <cfRule type="cellIs" dxfId="2335" priority="8309" stopIfTrue="1" operator="notEqual">
      <formula>0</formula>
    </cfRule>
  </conditionalFormatting>
  <conditionalFormatting sqref="L3258">
    <cfRule type="expression" dxfId="2334" priority="8310" stopIfTrue="1">
      <formula>OR($L$3258="F/S",$L$3258="")</formula>
    </cfRule>
    <cfRule type="cellIs" dxfId="2333" priority="8311" stopIfTrue="1" operator="notEqual">
      <formula>0</formula>
    </cfRule>
  </conditionalFormatting>
  <conditionalFormatting sqref="O3258">
    <cfRule type="expression" dxfId="2332" priority="8312" stopIfTrue="1">
      <formula>OR($O$3258="F/S",$O$3258="")</formula>
    </cfRule>
    <cfRule type="cellIs" dxfId="2331" priority="8313" stopIfTrue="1" operator="notEqual">
      <formula>0</formula>
    </cfRule>
  </conditionalFormatting>
  <conditionalFormatting sqref="L3271">
    <cfRule type="expression" dxfId="2330" priority="8314" stopIfTrue="1">
      <formula>OR($L$3271="F/S",$L$3271="")</formula>
    </cfRule>
    <cfRule type="cellIs" dxfId="2329" priority="8315" stopIfTrue="1" operator="notEqual">
      <formula>0</formula>
    </cfRule>
  </conditionalFormatting>
  <conditionalFormatting sqref="O3271">
    <cfRule type="expression" dxfId="2328" priority="8316" stopIfTrue="1">
      <formula>OR($O$3271="F/S",$O$3271="")</formula>
    </cfRule>
    <cfRule type="cellIs" dxfId="2327" priority="8317" stopIfTrue="1" operator="notEqual">
      <formula>0</formula>
    </cfRule>
  </conditionalFormatting>
  <conditionalFormatting sqref="L3278">
    <cfRule type="expression" dxfId="2326" priority="8318" stopIfTrue="1">
      <formula>OR($L$3278="F/S",$L$3278="")</formula>
    </cfRule>
    <cfRule type="cellIs" dxfId="2325" priority="8319" stopIfTrue="1" operator="notEqual">
      <formula>0</formula>
    </cfRule>
  </conditionalFormatting>
  <conditionalFormatting sqref="O3278">
    <cfRule type="expression" dxfId="2324" priority="8320" stopIfTrue="1">
      <formula>OR($O$3278="F/S",$O$3278="")</formula>
    </cfRule>
    <cfRule type="cellIs" dxfId="2323" priority="8321" stopIfTrue="1" operator="notEqual">
      <formula>0</formula>
    </cfRule>
  </conditionalFormatting>
  <conditionalFormatting sqref="L3288">
    <cfRule type="expression" dxfId="2322" priority="8322" stopIfTrue="1">
      <formula>OR($L$3288="F/S",$L$3288="")</formula>
    </cfRule>
    <cfRule type="cellIs" dxfId="2321" priority="8323" stopIfTrue="1" operator="notEqual">
      <formula>0</formula>
    </cfRule>
  </conditionalFormatting>
  <conditionalFormatting sqref="O3288">
    <cfRule type="expression" dxfId="2320" priority="8324" stopIfTrue="1">
      <formula>OR($O$3288="F/S",$O$3288="")</formula>
    </cfRule>
    <cfRule type="cellIs" dxfId="2319" priority="8325" stopIfTrue="1" operator="notEqual">
      <formula>0</formula>
    </cfRule>
  </conditionalFormatting>
  <conditionalFormatting sqref="L3308">
    <cfRule type="expression" dxfId="2318" priority="8326" stopIfTrue="1">
      <formula>OR($L$3308="F/S",$L$3308="")</formula>
    </cfRule>
    <cfRule type="cellIs" dxfId="2317" priority="8327" stopIfTrue="1" operator="notEqual">
      <formula>0</formula>
    </cfRule>
  </conditionalFormatting>
  <conditionalFormatting sqref="O3308">
    <cfRule type="expression" dxfId="2316" priority="8328" stopIfTrue="1">
      <formula>OR($O$3308="F/S",$O$3308="")</formula>
    </cfRule>
    <cfRule type="cellIs" dxfId="2315" priority="8329" stopIfTrue="1" operator="notEqual">
      <formula>0</formula>
    </cfRule>
  </conditionalFormatting>
  <conditionalFormatting sqref="L5210">
    <cfRule type="expression" dxfId="2314" priority="8330" stopIfTrue="1">
      <formula>OR($L$5210="F/S",$L$5210="")</formula>
    </cfRule>
    <cfRule type="cellIs" dxfId="2313" priority="8331" stopIfTrue="1" operator="notEqual">
      <formula>0</formula>
    </cfRule>
  </conditionalFormatting>
  <conditionalFormatting sqref="O5210">
    <cfRule type="expression" dxfId="2312" priority="8332" stopIfTrue="1">
      <formula>OR($O$5210="F/S",$O$5210="")</formula>
    </cfRule>
    <cfRule type="cellIs" dxfId="2311" priority="8333" stopIfTrue="1" operator="notEqual">
      <formula>0</formula>
    </cfRule>
  </conditionalFormatting>
  <conditionalFormatting sqref="L5196">
    <cfRule type="expression" dxfId="2310" priority="8334" stopIfTrue="1">
      <formula>OR($L$5196="F/S",$L$5196="")</formula>
    </cfRule>
    <cfRule type="cellIs" dxfId="2309" priority="8335" stopIfTrue="1" operator="notEqual">
      <formula>0</formula>
    </cfRule>
  </conditionalFormatting>
  <conditionalFormatting sqref="O5196">
    <cfRule type="expression" dxfId="2308" priority="8336" stopIfTrue="1">
      <formula>OR($O$5196="F/S",$O$5196="")</formula>
    </cfRule>
    <cfRule type="cellIs" dxfId="2307" priority="8337" stopIfTrue="1" operator="notEqual">
      <formula>0</formula>
    </cfRule>
  </conditionalFormatting>
  <conditionalFormatting sqref="L3321">
    <cfRule type="expression" dxfId="2306" priority="8338" stopIfTrue="1">
      <formula>OR($L$3321="F/S",$L$3321="")</formula>
    </cfRule>
    <cfRule type="cellIs" dxfId="2305" priority="8339" stopIfTrue="1" operator="notEqual">
      <formula>0</formula>
    </cfRule>
  </conditionalFormatting>
  <conditionalFormatting sqref="O3321">
    <cfRule type="expression" dxfId="2304" priority="8340" stopIfTrue="1">
      <formula>OR($O$3321="F/S",$O$3321="")</formula>
    </cfRule>
    <cfRule type="cellIs" dxfId="2303" priority="8341" stopIfTrue="1" operator="notEqual">
      <formula>0</formula>
    </cfRule>
  </conditionalFormatting>
  <conditionalFormatting sqref="L3361">
    <cfRule type="expression" dxfId="2302" priority="8342" stopIfTrue="1">
      <formula>OR($L$3361="F/S",$L$3361="")</formula>
    </cfRule>
    <cfRule type="cellIs" dxfId="2301" priority="8343" stopIfTrue="1" operator="notEqual">
      <formula>0</formula>
    </cfRule>
  </conditionalFormatting>
  <conditionalFormatting sqref="O3361">
    <cfRule type="expression" dxfId="2300" priority="8344" stopIfTrue="1">
      <formula>OR($O$3361="F/S",$O$3361="")</formula>
    </cfRule>
    <cfRule type="cellIs" dxfId="2299" priority="8345" stopIfTrue="1" operator="notEqual">
      <formula>0</formula>
    </cfRule>
  </conditionalFormatting>
  <conditionalFormatting sqref="L3331">
    <cfRule type="expression" dxfId="2298" priority="8346" stopIfTrue="1">
      <formula>OR($L$3331="F/S",$L$3331="")</formula>
    </cfRule>
    <cfRule type="cellIs" dxfId="2297" priority="8347" stopIfTrue="1" operator="notEqual">
      <formula>0</formula>
    </cfRule>
  </conditionalFormatting>
  <conditionalFormatting sqref="O3331">
    <cfRule type="expression" dxfId="2296" priority="8348" stopIfTrue="1">
      <formula>OR($O$3331="F/S",$O$3331="")</formula>
    </cfRule>
    <cfRule type="cellIs" dxfId="2295" priority="8349" stopIfTrue="1" operator="notEqual">
      <formula>0</formula>
    </cfRule>
  </conditionalFormatting>
  <conditionalFormatting sqref="L3341">
    <cfRule type="expression" dxfId="2294" priority="8350" stopIfTrue="1">
      <formula>OR($L$3341="F/S",$L$3341="")</formula>
    </cfRule>
    <cfRule type="cellIs" dxfId="2293" priority="8351" stopIfTrue="1" operator="notEqual">
      <formula>0</formula>
    </cfRule>
  </conditionalFormatting>
  <conditionalFormatting sqref="O3341">
    <cfRule type="expression" dxfId="2292" priority="8352" stopIfTrue="1">
      <formula>OR($O$3341="F/S",$O$3341="")</formula>
    </cfRule>
    <cfRule type="cellIs" dxfId="2291" priority="8353" stopIfTrue="1" operator="notEqual">
      <formula>0</formula>
    </cfRule>
  </conditionalFormatting>
  <conditionalFormatting sqref="L3351">
    <cfRule type="expression" dxfId="2290" priority="8354" stopIfTrue="1">
      <formula>OR($L$3351="F/S",$L$3351="")</formula>
    </cfRule>
    <cfRule type="cellIs" dxfId="2289" priority="8355" stopIfTrue="1" operator="notEqual">
      <formula>0</formula>
    </cfRule>
  </conditionalFormatting>
  <conditionalFormatting sqref="O3351">
    <cfRule type="expression" dxfId="2288" priority="8356" stopIfTrue="1">
      <formula>OR($O$3351="F/S",$O$3351="")</formula>
    </cfRule>
    <cfRule type="cellIs" dxfId="2287" priority="8357" stopIfTrue="1" operator="notEqual">
      <formula>0</formula>
    </cfRule>
  </conditionalFormatting>
  <conditionalFormatting sqref="L3372">
    <cfRule type="expression" dxfId="2286" priority="8358" stopIfTrue="1">
      <formula>OR($L$3372="F/S",$L$3372="")</formula>
    </cfRule>
    <cfRule type="cellIs" dxfId="2285" priority="8359" stopIfTrue="1" operator="notEqual">
      <formula>0</formula>
    </cfRule>
  </conditionalFormatting>
  <conditionalFormatting sqref="O3372">
    <cfRule type="expression" dxfId="2284" priority="8360" stopIfTrue="1">
      <formula>OR($O$3372="F/S",$O$3372="")</formula>
    </cfRule>
    <cfRule type="cellIs" dxfId="2283" priority="8361" stopIfTrue="1" operator="notEqual">
      <formula>0</formula>
    </cfRule>
  </conditionalFormatting>
  <conditionalFormatting sqref="L3411">
    <cfRule type="expression" dxfId="2282" priority="8362" stopIfTrue="1">
      <formula>OR($L$3411="F/S",$L$3411="")</formula>
    </cfRule>
    <cfRule type="cellIs" dxfId="2281" priority="8363" stopIfTrue="1" operator="notEqual">
      <formula>0</formula>
    </cfRule>
  </conditionalFormatting>
  <conditionalFormatting sqref="O3411">
    <cfRule type="expression" dxfId="2280" priority="8364" stopIfTrue="1">
      <formula>OR($O$3411="F/S",$O$3411="")</formula>
    </cfRule>
    <cfRule type="cellIs" dxfId="2279" priority="8365" stopIfTrue="1" operator="notEqual">
      <formula>0</formula>
    </cfRule>
  </conditionalFormatting>
  <conditionalFormatting sqref="L3383">
    <cfRule type="expression" dxfId="2278" priority="8366" stopIfTrue="1">
      <formula>OR($L$3383="F/S",$L$3383="")</formula>
    </cfRule>
    <cfRule type="cellIs" dxfId="2277" priority="8367" stopIfTrue="1" operator="notEqual">
      <formula>0</formula>
    </cfRule>
  </conditionalFormatting>
  <conditionalFormatting sqref="O3383">
    <cfRule type="expression" dxfId="2276" priority="8368" stopIfTrue="1">
      <formula>OR($O$3383="F/S",$O$3383="")</formula>
    </cfRule>
    <cfRule type="cellIs" dxfId="2275" priority="8369" stopIfTrue="1" operator="notEqual">
      <formula>0</formula>
    </cfRule>
  </conditionalFormatting>
  <conditionalFormatting sqref="L3396">
    <cfRule type="expression" dxfId="2274" priority="8370" stopIfTrue="1">
      <formula>OR($L$3396="F/S",$L$3396="")</formula>
    </cfRule>
    <cfRule type="cellIs" dxfId="2273" priority="8371" stopIfTrue="1" operator="notEqual">
      <formula>0</formula>
    </cfRule>
  </conditionalFormatting>
  <conditionalFormatting sqref="O3396">
    <cfRule type="expression" dxfId="2272" priority="8372" stopIfTrue="1">
      <formula>OR($O$3396="F/S",$O$3396="")</formula>
    </cfRule>
    <cfRule type="cellIs" dxfId="2271" priority="8373" stopIfTrue="1" operator="notEqual">
      <formula>0</formula>
    </cfRule>
  </conditionalFormatting>
  <conditionalFormatting sqref="L3423">
    <cfRule type="expression" dxfId="2270" priority="8374" stopIfTrue="1">
      <formula>OR($L$3423="F/S",$L$3423="")</formula>
    </cfRule>
    <cfRule type="cellIs" dxfId="2269" priority="8375" stopIfTrue="1" operator="notEqual">
      <formula>0</formula>
    </cfRule>
  </conditionalFormatting>
  <conditionalFormatting sqref="O3423">
    <cfRule type="expression" dxfId="2268" priority="8376" stopIfTrue="1">
      <formula>OR($O$3423="F/S",$O$3423="")</formula>
    </cfRule>
    <cfRule type="cellIs" dxfId="2267" priority="8377" stopIfTrue="1" operator="notEqual">
      <formula>0</formula>
    </cfRule>
  </conditionalFormatting>
  <conditionalFormatting sqref="L3434">
    <cfRule type="expression" dxfId="2266" priority="8378" stopIfTrue="1">
      <formula>OR($L$3434="F/S",$L$3434="")</formula>
    </cfRule>
    <cfRule type="cellIs" dxfId="2265" priority="8379" stopIfTrue="1" operator="notEqual">
      <formula>0</formula>
    </cfRule>
  </conditionalFormatting>
  <conditionalFormatting sqref="O3434">
    <cfRule type="expression" dxfId="2264" priority="8380" stopIfTrue="1">
      <formula>OR($O$3434="F/S",$O$3434="")</formula>
    </cfRule>
    <cfRule type="cellIs" dxfId="2263" priority="8381" stopIfTrue="1" operator="notEqual">
      <formula>0</formula>
    </cfRule>
  </conditionalFormatting>
  <conditionalFormatting sqref="L3445">
    <cfRule type="expression" dxfId="2262" priority="8382" stopIfTrue="1">
      <formula>OR($L$3445="F/S",$L$3445="")</formula>
    </cfRule>
    <cfRule type="cellIs" dxfId="2261" priority="8383" stopIfTrue="1" operator="notEqual">
      <formula>0</formula>
    </cfRule>
  </conditionalFormatting>
  <conditionalFormatting sqref="O3445">
    <cfRule type="expression" dxfId="2260" priority="8384" stopIfTrue="1">
      <formula>OR($O$3445="F/S",$O$3445="")</formula>
    </cfRule>
    <cfRule type="cellIs" dxfId="2259" priority="8385" stopIfTrue="1" operator="notEqual">
      <formula>0</formula>
    </cfRule>
  </conditionalFormatting>
  <conditionalFormatting sqref="L3473">
    <cfRule type="expression" dxfId="2258" priority="8386" stopIfTrue="1">
      <formula>OR($L$3473="F/S",$L$3473="")</formula>
    </cfRule>
    <cfRule type="cellIs" dxfId="2257" priority="8387" stopIfTrue="1" operator="notEqual">
      <formula>0</formula>
    </cfRule>
  </conditionalFormatting>
  <conditionalFormatting sqref="O3473">
    <cfRule type="expression" dxfId="2256" priority="8388" stopIfTrue="1">
      <formula>OR($O$3473="F/S",$O$3473="")</formula>
    </cfRule>
    <cfRule type="cellIs" dxfId="2255" priority="8389" stopIfTrue="1" operator="notEqual">
      <formula>0</formula>
    </cfRule>
  </conditionalFormatting>
  <conditionalFormatting sqref="L3456">
    <cfRule type="expression" dxfId="2254" priority="8390" stopIfTrue="1">
      <formula>OR($L$3456="F/S",$L$3456="")</formula>
    </cfRule>
    <cfRule type="cellIs" dxfId="2253" priority="8391" stopIfTrue="1" operator="notEqual">
      <formula>0</formula>
    </cfRule>
  </conditionalFormatting>
  <conditionalFormatting sqref="O3456">
    <cfRule type="expression" dxfId="2252" priority="8392" stopIfTrue="1">
      <formula>OR($O$3456="F/S",$O$3456="")</formula>
    </cfRule>
    <cfRule type="cellIs" dxfId="2251" priority="8393" stopIfTrue="1" operator="notEqual">
      <formula>0</formula>
    </cfRule>
  </conditionalFormatting>
  <conditionalFormatting sqref="L3493">
    <cfRule type="expression" dxfId="2250" priority="8394" stopIfTrue="1">
      <formula>OR($L$3493="F/S",$L$3493="")</formula>
    </cfRule>
    <cfRule type="cellIs" dxfId="2249" priority="8395" stopIfTrue="1" operator="notEqual">
      <formula>0</formula>
    </cfRule>
  </conditionalFormatting>
  <conditionalFormatting sqref="O3493">
    <cfRule type="expression" dxfId="2248" priority="8396" stopIfTrue="1">
      <formula>OR($O$3493="F/S",$O$3493="")</formula>
    </cfRule>
    <cfRule type="cellIs" dxfId="2247" priority="8397" stopIfTrue="1" operator="notEqual">
      <formula>0</formula>
    </cfRule>
  </conditionalFormatting>
  <conditionalFormatting sqref="L3483">
    <cfRule type="expression" dxfId="2246" priority="8398" stopIfTrue="1">
      <formula>OR($L$3483="F/S",$L$3483="")</formula>
    </cfRule>
    <cfRule type="cellIs" dxfId="2245" priority="8399" stopIfTrue="1" operator="notEqual">
      <formula>0</formula>
    </cfRule>
  </conditionalFormatting>
  <conditionalFormatting sqref="O3483">
    <cfRule type="expression" dxfId="2244" priority="8400" stopIfTrue="1">
      <formula>OR($O$3483="F/S",$O$3483="")</formula>
    </cfRule>
    <cfRule type="cellIs" dxfId="2243" priority="8401" stopIfTrue="1" operator="notEqual">
      <formula>0</formula>
    </cfRule>
  </conditionalFormatting>
  <conditionalFormatting sqref="L3503">
    <cfRule type="expression" dxfId="2242" priority="8402" stopIfTrue="1">
      <formula>OR($L$3503="F/S",$L$3503="")</formula>
    </cfRule>
    <cfRule type="cellIs" dxfId="2241" priority="8403" stopIfTrue="1" operator="notEqual">
      <formula>0</formula>
    </cfRule>
  </conditionalFormatting>
  <conditionalFormatting sqref="O3503">
    <cfRule type="expression" dxfId="2240" priority="8404" stopIfTrue="1">
      <formula>OR($O$3503="F/S",$O$3503="")</formula>
    </cfRule>
    <cfRule type="cellIs" dxfId="2239" priority="8405" stopIfTrue="1" operator="notEqual">
      <formula>0</formula>
    </cfRule>
  </conditionalFormatting>
  <conditionalFormatting sqref="L3513">
    <cfRule type="expression" dxfId="2238" priority="8406" stopIfTrue="1">
      <formula>OR($L$3513="F/S",$L$3513="")</formula>
    </cfRule>
    <cfRule type="cellIs" dxfId="2237" priority="8407" stopIfTrue="1" operator="notEqual">
      <formula>0</formula>
    </cfRule>
  </conditionalFormatting>
  <conditionalFormatting sqref="O3513">
    <cfRule type="expression" dxfId="2236" priority="8408" stopIfTrue="1">
      <formula>OR($O$3513="F/S",$O$3513="")</formula>
    </cfRule>
    <cfRule type="cellIs" dxfId="2235" priority="8409" stopIfTrue="1" operator="notEqual">
      <formula>0</formula>
    </cfRule>
  </conditionalFormatting>
  <conditionalFormatting sqref="L3533">
    <cfRule type="expression" dxfId="2234" priority="8414" stopIfTrue="1">
      <formula>OR($L$3533="F/S",$L$3533="")</formula>
    </cfRule>
    <cfRule type="cellIs" dxfId="2233" priority="8415" stopIfTrue="1" operator="notEqual">
      <formula>0</formula>
    </cfRule>
  </conditionalFormatting>
  <conditionalFormatting sqref="O3533">
    <cfRule type="expression" dxfId="2232" priority="8416" stopIfTrue="1">
      <formula>OR($O$3533="F/S",$O$3533="")</formula>
    </cfRule>
    <cfRule type="cellIs" dxfId="2231" priority="8417" stopIfTrue="1" operator="notEqual">
      <formula>0</formula>
    </cfRule>
  </conditionalFormatting>
  <conditionalFormatting sqref="L3560">
    <cfRule type="expression" dxfId="2230" priority="8418" stopIfTrue="1">
      <formula>OR($L$3560="F/S",$L$3560="")</formula>
    </cfRule>
    <cfRule type="cellIs" dxfId="2229" priority="8419" stopIfTrue="1" operator="notEqual">
      <formula>0</formula>
    </cfRule>
  </conditionalFormatting>
  <conditionalFormatting sqref="O3560">
    <cfRule type="expression" dxfId="2228" priority="8420" stopIfTrue="1">
      <formula>OR($O$3560="F/S",$O$3560="")</formula>
    </cfRule>
    <cfRule type="cellIs" dxfId="2227" priority="8421" stopIfTrue="1" operator="notEqual">
      <formula>0</formula>
    </cfRule>
  </conditionalFormatting>
  <conditionalFormatting sqref="L3570">
    <cfRule type="expression" dxfId="2226" priority="8422" stopIfTrue="1">
      <formula>OR($L$3570="F/S",$L$3570="")</formula>
    </cfRule>
    <cfRule type="cellIs" dxfId="2225" priority="8423" stopIfTrue="1" operator="notEqual">
      <formula>0</formula>
    </cfRule>
  </conditionalFormatting>
  <conditionalFormatting sqref="O3570">
    <cfRule type="expression" dxfId="2224" priority="8424" stopIfTrue="1">
      <formula>OR($O$3570="F/S",$O$3570="")</formula>
    </cfRule>
    <cfRule type="cellIs" dxfId="2223" priority="8425" stopIfTrue="1" operator="notEqual">
      <formula>0</formula>
    </cfRule>
  </conditionalFormatting>
  <conditionalFormatting sqref="L3590">
    <cfRule type="expression" dxfId="2222" priority="8426" stopIfTrue="1">
      <formula>OR($L$3590="F/S",$L$3590="")</formula>
    </cfRule>
    <cfRule type="cellIs" dxfId="2221" priority="8427" stopIfTrue="1" operator="notEqual">
      <formula>0</formula>
    </cfRule>
  </conditionalFormatting>
  <conditionalFormatting sqref="O3590">
    <cfRule type="expression" dxfId="2220" priority="8428" stopIfTrue="1">
      <formula>OR($O$3590="F/S",$O$3590="")</formula>
    </cfRule>
    <cfRule type="cellIs" dxfId="2219" priority="8429" stopIfTrue="1" operator="notEqual">
      <formula>0</formula>
    </cfRule>
  </conditionalFormatting>
  <conditionalFormatting sqref="L3580">
    <cfRule type="expression" dxfId="2218" priority="8434" stopIfTrue="1">
      <formula>OR($L$3580="F/S",$L$3580="")</formula>
    </cfRule>
    <cfRule type="cellIs" dxfId="2217" priority="8435" stopIfTrue="1" operator="notEqual">
      <formula>0</formula>
    </cfRule>
  </conditionalFormatting>
  <conditionalFormatting sqref="O3580">
    <cfRule type="expression" dxfId="2216" priority="8436" stopIfTrue="1">
      <formula>OR($O$3580="F/S",$O$3580="")</formula>
    </cfRule>
    <cfRule type="cellIs" dxfId="2215" priority="8437" stopIfTrue="1" operator="notEqual">
      <formula>0</formula>
    </cfRule>
  </conditionalFormatting>
  <conditionalFormatting sqref="L3543">
    <cfRule type="expression" dxfId="2214" priority="8438" stopIfTrue="1">
      <formula>OR($L$3543="F/S",$L$3543="")</formula>
    </cfRule>
    <cfRule type="cellIs" dxfId="2213" priority="8439" stopIfTrue="1" operator="notEqual">
      <formula>0</formula>
    </cfRule>
  </conditionalFormatting>
  <conditionalFormatting sqref="O3543">
    <cfRule type="expression" dxfId="2212" priority="8440" stopIfTrue="1">
      <formula>OR($O$3543="F/S",$O$3543="")</formula>
    </cfRule>
    <cfRule type="cellIs" dxfId="2211" priority="8441" stopIfTrue="1" operator="notEqual">
      <formula>0</formula>
    </cfRule>
  </conditionalFormatting>
  <conditionalFormatting sqref="L3600">
    <cfRule type="expression" dxfId="2210" priority="8442" stopIfTrue="1">
      <formula>OR($L$3600="F/S",$L$3600="")</formula>
    </cfRule>
    <cfRule type="cellIs" dxfId="2209" priority="8443" stopIfTrue="1" operator="notEqual">
      <formula>0</formula>
    </cfRule>
  </conditionalFormatting>
  <conditionalFormatting sqref="O3600">
    <cfRule type="expression" dxfId="2208" priority="8444" stopIfTrue="1">
      <formula>OR($O$3600="F/S",$O$3600="")</formula>
    </cfRule>
    <cfRule type="cellIs" dxfId="2207" priority="8445" stopIfTrue="1" operator="notEqual">
      <formula>0</formula>
    </cfRule>
  </conditionalFormatting>
  <conditionalFormatting sqref="L3620">
    <cfRule type="expression" dxfId="2206" priority="8446" stopIfTrue="1">
      <formula>OR($L$3620="F/S",$L$3620="")</formula>
    </cfRule>
    <cfRule type="cellIs" dxfId="2205" priority="8447" stopIfTrue="1" operator="notEqual">
      <formula>0</formula>
    </cfRule>
  </conditionalFormatting>
  <conditionalFormatting sqref="O3620">
    <cfRule type="expression" dxfId="2204" priority="8448" stopIfTrue="1">
      <formula>OR($O$3620="F/S",$O$3620="")</formula>
    </cfRule>
    <cfRule type="cellIs" dxfId="2203" priority="8449" stopIfTrue="1" operator="notEqual">
      <formula>0</formula>
    </cfRule>
  </conditionalFormatting>
  <conditionalFormatting sqref="L3630">
    <cfRule type="expression" dxfId="2202" priority="8450" stopIfTrue="1">
      <formula>OR($L$3630="F/S",$L$3630="")</formula>
    </cfRule>
    <cfRule type="cellIs" dxfId="2201" priority="8451" stopIfTrue="1" operator="notEqual">
      <formula>0</formula>
    </cfRule>
  </conditionalFormatting>
  <conditionalFormatting sqref="O3630">
    <cfRule type="expression" dxfId="2200" priority="8452" stopIfTrue="1">
      <formula>OR($O$3630="F/S",$O$3630="")</formula>
    </cfRule>
    <cfRule type="cellIs" dxfId="2199" priority="8453" stopIfTrue="1" operator="notEqual">
      <formula>0</formula>
    </cfRule>
  </conditionalFormatting>
  <conditionalFormatting sqref="L3659">
    <cfRule type="expression" dxfId="2198" priority="8454" stopIfTrue="1">
      <formula>OR($L$3659="F/S",$L$3659="")</formula>
    </cfRule>
    <cfRule type="cellIs" dxfId="2197" priority="8455" stopIfTrue="1" operator="notEqual">
      <formula>0</formula>
    </cfRule>
  </conditionalFormatting>
  <conditionalFormatting sqref="O3659">
    <cfRule type="expression" dxfId="2196" priority="8456" stopIfTrue="1">
      <formula>OR($O$3659="F/S",$O$3659="")</formula>
    </cfRule>
    <cfRule type="cellIs" dxfId="2195" priority="8457" stopIfTrue="1" operator="notEqual">
      <formula>0</formula>
    </cfRule>
  </conditionalFormatting>
  <conditionalFormatting sqref="L3683">
    <cfRule type="expression" dxfId="2194" priority="8458" stopIfTrue="1">
      <formula>OR($L$3683="F/S",$L$3683="")</formula>
    </cfRule>
    <cfRule type="cellIs" dxfId="2193" priority="8459" stopIfTrue="1" operator="notEqual">
      <formula>0</formula>
    </cfRule>
  </conditionalFormatting>
  <conditionalFormatting sqref="O3683">
    <cfRule type="expression" dxfId="2192" priority="8460" stopIfTrue="1">
      <formula>OR($O$3683="F/S",$O$3683="")</formula>
    </cfRule>
    <cfRule type="cellIs" dxfId="2191" priority="8461" stopIfTrue="1" operator="notEqual">
      <formula>0</formula>
    </cfRule>
  </conditionalFormatting>
  <conditionalFormatting sqref="L3715">
    <cfRule type="expression" dxfId="2190" priority="8462" stopIfTrue="1">
      <formula>OR($L$3715="F/S",$L$3715="")</formula>
    </cfRule>
    <cfRule type="cellIs" dxfId="2189" priority="8463" stopIfTrue="1" operator="notEqual">
      <formula>0</formula>
    </cfRule>
  </conditionalFormatting>
  <conditionalFormatting sqref="O3715">
    <cfRule type="expression" dxfId="2188" priority="8464" stopIfTrue="1">
      <formula>OR($O$3715="F/S",$O$3715="")</formula>
    </cfRule>
    <cfRule type="cellIs" dxfId="2187" priority="8465" stopIfTrue="1" operator="notEqual">
      <formula>0</formula>
    </cfRule>
  </conditionalFormatting>
  <conditionalFormatting sqref="L3729">
    <cfRule type="expression" dxfId="2186" priority="8470" stopIfTrue="1">
      <formula>OR($L$3729="F/S",$L$3729="")</formula>
    </cfRule>
    <cfRule type="cellIs" dxfId="2185" priority="8471" stopIfTrue="1" operator="notEqual">
      <formula>0</formula>
    </cfRule>
  </conditionalFormatting>
  <conditionalFormatting sqref="O3729">
    <cfRule type="expression" dxfId="2184" priority="8472" stopIfTrue="1">
      <formula>OR($O$3729="F/S",$O$3729="")</formula>
    </cfRule>
    <cfRule type="cellIs" dxfId="2183" priority="8473" stopIfTrue="1" operator="notEqual">
      <formula>0</formula>
    </cfRule>
  </conditionalFormatting>
  <conditionalFormatting sqref="L3748">
    <cfRule type="expression" dxfId="2182" priority="8474" stopIfTrue="1">
      <formula>OR($L$3748="F/S",$L$3748="")</formula>
    </cfRule>
    <cfRule type="cellIs" dxfId="2181" priority="8475" stopIfTrue="1" operator="notEqual">
      <formula>0</formula>
    </cfRule>
  </conditionalFormatting>
  <conditionalFormatting sqref="O3748">
    <cfRule type="expression" dxfId="2180" priority="8476" stopIfTrue="1">
      <formula>OR($O$3748="F/S",$O$3748="")</formula>
    </cfRule>
    <cfRule type="cellIs" dxfId="2179" priority="8477" stopIfTrue="1" operator="notEqual">
      <formula>0</formula>
    </cfRule>
  </conditionalFormatting>
  <conditionalFormatting sqref="L3772">
    <cfRule type="expression" dxfId="2178" priority="8478" stopIfTrue="1">
      <formula>OR($L$3772="F/S",$L$3772="")</formula>
    </cfRule>
    <cfRule type="cellIs" dxfId="2177" priority="8479" stopIfTrue="1" operator="notEqual">
      <formula>0</formula>
    </cfRule>
  </conditionalFormatting>
  <conditionalFormatting sqref="O3772">
    <cfRule type="expression" dxfId="2176" priority="8480" stopIfTrue="1">
      <formula>OR($O$3772="F/S",$O$3772="")</formula>
    </cfRule>
    <cfRule type="cellIs" dxfId="2175" priority="8481" stopIfTrue="1" operator="notEqual">
      <formula>0</formula>
    </cfRule>
  </conditionalFormatting>
  <conditionalFormatting sqref="L3792">
    <cfRule type="expression" dxfId="2174" priority="8482" stopIfTrue="1">
      <formula>OR($L$3792="F/S",$L$3792="")</formula>
    </cfRule>
    <cfRule type="cellIs" dxfId="2173" priority="8483" stopIfTrue="1" operator="notEqual">
      <formula>0</formula>
    </cfRule>
  </conditionalFormatting>
  <conditionalFormatting sqref="O3792">
    <cfRule type="expression" dxfId="2172" priority="8484" stopIfTrue="1">
      <formula>OR($O$3792="F/S",$O$3792="")</formula>
    </cfRule>
    <cfRule type="cellIs" dxfId="2171" priority="8485" stopIfTrue="1" operator="notEqual">
      <formula>0</formula>
    </cfRule>
  </conditionalFormatting>
  <conditionalFormatting sqref="L3803">
    <cfRule type="expression" dxfId="2170" priority="8486" stopIfTrue="1">
      <formula>OR($L$3803="F/S",$L$3803="")</formula>
    </cfRule>
    <cfRule type="cellIs" dxfId="2169" priority="8487" stopIfTrue="1" operator="notEqual">
      <formula>0</formula>
    </cfRule>
  </conditionalFormatting>
  <conditionalFormatting sqref="O3803">
    <cfRule type="expression" dxfId="2168" priority="8488" stopIfTrue="1">
      <formula>OR($O$3803="F/S",$O$3803="")</formula>
    </cfRule>
    <cfRule type="cellIs" dxfId="2167" priority="8489" stopIfTrue="1" operator="notEqual">
      <formula>0</formula>
    </cfRule>
  </conditionalFormatting>
  <conditionalFormatting sqref="L3820">
    <cfRule type="expression" dxfId="2166" priority="8490" stopIfTrue="1">
      <formula>OR($L$3820="F/S",$L$3820="")</formula>
    </cfRule>
    <cfRule type="cellIs" dxfId="2165" priority="8491" stopIfTrue="1" operator="notEqual">
      <formula>0</formula>
    </cfRule>
  </conditionalFormatting>
  <conditionalFormatting sqref="O3820">
    <cfRule type="expression" dxfId="2164" priority="8492" stopIfTrue="1">
      <formula>OR($O$3820="F/S",$O$3820="")</formula>
    </cfRule>
    <cfRule type="cellIs" dxfId="2163" priority="8493" stopIfTrue="1" operator="notEqual">
      <formula>0</formula>
    </cfRule>
  </conditionalFormatting>
  <conditionalFormatting sqref="L3831">
    <cfRule type="expression" dxfId="2162" priority="8494" stopIfTrue="1">
      <formula>OR($L$3831="F/S",$L$3831="")</formula>
    </cfRule>
    <cfRule type="cellIs" dxfId="2161" priority="8495" stopIfTrue="1" operator="notEqual">
      <formula>0</formula>
    </cfRule>
  </conditionalFormatting>
  <conditionalFormatting sqref="O3831">
    <cfRule type="expression" dxfId="2160" priority="8496" stopIfTrue="1">
      <formula>OR($O$3831="F/S",$O$3831="")</formula>
    </cfRule>
    <cfRule type="cellIs" dxfId="2159" priority="8497" stopIfTrue="1" operator="notEqual">
      <formula>0</formula>
    </cfRule>
  </conditionalFormatting>
  <conditionalFormatting sqref="L3858">
    <cfRule type="expression" dxfId="2158" priority="8498" stopIfTrue="1">
      <formula>OR($L$3858="F/S",$L$3858="")</formula>
    </cfRule>
    <cfRule type="cellIs" dxfId="2157" priority="8499" stopIfTrue="1" operator="notEqual">
      <formula>0</formula>
    </cfRule>
  </conditionalFormatting>
  <conditionalFormatting sqref="O3858">
    <cfRule type="expression" dxfId="2156" priority="8500" stopIfTrue="1">
      <formula>OR($O$3858="F/S",$O$3858="")</formula>
    </cfRule>
    <cfRule type="cellIs" dxfId="2155" priority="8501" stopIfTrue="1" operator="notEqual">
      <formula>0</formula>
    </cfRule>
  </conditionalFormatting>
  <conditionalFormatting sqref="L3841">
    <cfRule type="expression" dxfId="2154" priority="8502" stopIfTrue="1">
      <formula>OR($L$3841="F/S",$L$3841="")</formula>
    </cfRule>
    <cfRule type="cellIs" dxfId="2153" priority="8503" stopIfTrue="1" operator="notEqual">
      <formula>0</formula>
    </cfRule>
  </conditionalFormatting>
  <conditionalFormatting sqref="O3841">
    <cfRule type="expression" dxfId="2152" priority="8504" stopIfTrue="1">
      <formula>OR($O$3841="F/S",$O$3841="")</formula>
    </cfRule>
    <cfRule type="cellIs" dxfId="2151" priority="8505" stopIfTrue="1" operator="notEqual">
      <formula>0</formula>
    </cfRule>
  </conditionalFormatting>
  <conditionalFormatting sqref="L3888">
    <cfRule type="expression" dxfId="2150" priority="8506" stopIfTrue="1">
      <formula>OR($L$3888="F/S",$L$3888="")</formula>
    </cfRule>
    <cfRule type="cellIs" dxfId="2149" priority="8507" stopIfTrue="1" operator="notEqual">
      <formula>0</formula>
    </cfRule>
  </conditionalFormatting>
  <conditionalFormatting sqref="O3888">
    <cfRule type="expression" dxfId="2148" priority="8508" stopIfTrue="1">
      <formula>OR($O$3888="F/S",$O$3888="")</formula>
    </cfRule>
    <cfRule type="cellIs" dxfId="2147" priority="8509" stopIfTrue="1" operator="notEqual">
      <formula>0</formula>
    </cfRule>
  </conditionalFormatting>
  <conditionalFormatting sqref="L3868">
    <cfRule type="expression" dxfId="2146" priority="8510" stopIfTrue="1">
      <formula>OR($L$3868="F/S",$L$3868="")</formula>
    </cfRule>
    <cfRule type="cellIs" dxfId="2145" priority="8511" stopIfTrue="1" operator="notEqual">
      <formula>0</formula>
    </cfRule>
  </conditionalFormatting>
  <conditionalFormatting sqref="O3868">
    <cfRule type="expression" dxfId="2144" priority="8512" stopIfTrue="1">
      <formula>OR($O$3868="F/S",$O$3868="")</formula>
    </cfRule>
    <cfRule type="cellIs" dxfId="2143" priority="8513" stopIfTrue="1" operator="notEqual">
      <formula>0</formula>
    </cfRule>
  </conditionalFormatting>
  <conditionalFormatting sqref="L3878">
    <cfRule type="expression" dxfId="2142" priority="8514" stopIfTrue="1">
      <formula>OR($L$3878="F/S",$L$3878="")</formula>
    </cfRule>
    <cfRule type="cellIs" dxfId="2141" priority="8515" stopIfTrue="1" operator="notEqual">
      <formula>0</formula>
    </cfRule>
  </conditionalFormatting>
  <conditionalFormatting sqref="O3878">
    <cfRule type="expression" dxfId="2140" priority="8516" stopIfTrue="1">
      <formula>OR($O$3878="F/S",$O$3878="")</formula>
    </cfRule>
    <cfRule type="cellIs" dxfId="2139" priority="8517" stopIfTrue="1" operator="notEqual">
      <formula>0</formula>
    </cfRule>
  </conditionalFormatting>
  <conditionalFormatting sqref="L3898">
    <cfRule type="expression" dxfId="2138" priority="8518" stopIfTrue="1">
      <formula>OR($L$3898="F/S",$L$3898="")</formula>
    </cfRule>
    <cfRule type="cellIs" dxfId="2137" priority="8519" stopIfTrue="1" operator="notEqual">
      <formula>0</formula>
    </cfRule>
  </conditionalFormatting>
  <conditionalFormatting sqref="O3898">
    <cfRule type="expression" dxfId="2136" priority="8520" stopIfTrue="1">
      <formula>OR($O$3898="F/S",$O$3898="")</formula>
    </cfRule>
    <cfRule type="cellIs" dxfId="2135" priority="8521" stopIfTrue="1" operator="notEqual">
      <formula>0</formula>
    </cfRule>
  </conditionalFormatting>
  <conditionalFormatting sqref="L3762">
    <cfRule type="expression" dxfId="2134" priority="8522" stopIfTrue="1">
      <formula>OR($L$3762="F/S",$L$3762="")</formula>
    </cfRule>
    <cfRule type="cellIs" dxfId="2133" priority="8523" stopIfTrue="1" operator="notEqual">
      <formula>0</formula>
    </cfRule>
  </conditionalFormatting>
  <conditionalFormatting sqref="O3762">
    <cfRule type="expression" dxfId="2132" priority="8524" stopIfTrue="1">
      <formula>OR($O$3762="F/S",$O$3762="")</formula>
    </cfRule>
    <cfRule type="cellIs" dxfId="2131" priority="8525" stopIfTrue="1" operator="notEqual">
      <formula>0</formula>
    </cfRule>
  </conditionalFormatting>
  <conditionalFormatting sqref="L3918">
    <cfRule type="expression" dxfId="2130" priority="8526" stopIfTrue="1">
      <formula>OR($L$3918="F/S",$L$3918="")</formula>
    </cfRule>
    <cfRule type="cellIs" dxfId="2129" priority="8527" stopIfTrue="1" operator="notEqual">
      <formula>0</formula>
    </cfRule>
  </conditionalFormatting>
  <conditionalFormatting sqref="O3918">
    <cfRule type="expression" dxfId="2128" priority="8528" stopIfTrue="1">
      <formula>OR($O$3918="F/S",$O$3918="")</formula>
    </cfRule>
    <cfRule type="cellIs" dxfId="2127" priority="8529" stopIfTrue="1" operator="notEqual">
      <formula>0</formula>
    </cfRule>
  </conditionalFormatting>
  <conditionalFormatting sqref="L3929">
    <cfRule type="expression" dxfId="2126" priority="8530" stopIfTrue="1">
      <formula>OR($L$3929="F/S",$L$3929="")</formula>
    </cfRule>
    <cfRule type="cellIs" dxfId="2125" priority="8531" stopIfTrue="1" operator="notEqual">
      <formula>0</formula>
    </cfRule>
  </conditionalFormatting>
  <conditionalFormatting sqref="O3929">
    <cfRule type="expression" dxfId="2124" priority="8532" stopIfTrue="1">
      <formula>OR($O$3929="F/S",$O$3929="")</formula>
    </cfRule>
    <cfRule type="cellIs" dxfId="2123" priority="8533" stopIfTrue="1" operator="notEqual">
      <formula>0</formula>
    </cfRule>
  </conditionalFormatting>
  <conditionalFormatting sqref="L3939">
    <cfRule type="expression" dxfId="2122" priority="8534" stopIfTrue="1">
      <formula>OR($L$3939="F/S",$L$3939="")</formula>
    </cfRule>
    <cfRule type="cellIs" dxfId="2121" priority="8535" stopIfTrue="1" operator="notEqual">
      <formula>0</formula>
    </cfRule>
  </conditionalFormatting>
  <conditionalFormatting sqref="O3939">
    <cfRule type="expression" dxfId="2120" priority="8536" stopIfTrue="1">
      <formula>OR($O$3939="F/S",$O$3939="")</formula>
    </cfRule>
    <cfRule type="cellIs" dxfId="2119" priority="8537" stopIfTrue="1" operator="notEqual">
      <formula>0</formula>
    </cfRule>
  </conditionalFormatting>
  <conditionalFormatting sqref="L3949">
    <cfRule type="expression" dxfId="2118" priority="8538" stopIfTrue="1">
      <formula>OR($L$3949="F/S",$L$3949="")</formula>
    </cfRule>
    <cfRule type="cellIs" dxfId="2117" priority="8539" stopIfTrue="1" operator="notEqual">
      <formula>0</formula>
    </cfRule>
  </conditionalFormatting>
  <conditionalFormatting sqref="O3949">
    <cfRule type="expression" dxfId="2116" priority="8540" stopIfTrue="1">
      <formula>OR($O$3949="F/S",$O$3949="")</formula>
    </cfRule>
    <cfRule type="cellIs" dxfId="2115" priority="8541" stopIfTrue="1" operator="notEqual">
      <formula>0</formula>
    </cfRule>
  </conditionalFormatting>
  <conditionalFormatting sqref="L3959">
    <cfRule type="expression" dxfId="2114" priority="8542" stopIfTrue="1">
      <formula>OR($L$3959="F/S",$L$3959="")</formula>
    </cfRule>
    <cfRule type="cellIs" dxfId="2113" priority="8543" stopIfTrue="1" operator="notEqual">
      <formula>0</formula>
    </cfRule>
  </conditionalFormatting>
  <conditionalFormatting sqref="O3959">
    <cfRule type="expression" dxfId="2112" priority="8544" stopIfTrue="1">
      <formula>OR($O$3959="F/S",$O$3959="")</formula>
    </cfRule>
    <cfRule type="cellIs" dxfId="2111" priority="8545" stopIfTrue="1" operator="notEqual">
      <formula>0</formula>
    </cfRule>
  </conditionalFormatting>
  <conditionalFormatting sqref="L3970">
    <cfRule type="expression" dxfId="2110" priority="8546" stopIfTrue="1">
      <formula>OR($L$3970="F/S",$L$3970="")</formula>
    </cfRule>
    <cfRule type="cellIs" dxfId="2109" priority="8547" stopIfTrue="1" operator="notEqual">
      <formula>0</formula>
    </cfRule>
  </conditionalFormatting>
  <conditionalFormatting sqref="O3970">
    <cfRule type="expression" dxfId="2108" priority="8548" stopIfTrue="1">
      <formula>OR($O$3970="F/S",$O$3970="")</formula>
    </cfRule>
    <cfRule type="cellIs" dxfId="2107" priority="8549" stopIfTrue="1" operator="notEqual">
      <formula>0</formula>
    </cfRule>
  </conditionalFormatting>
  <conditionalFormatting sqref="L3981">
    <cfRule type="expression" dxfId="2106" priority="8550" stopIfTrue="1">
      <formula>OR($L$3981="F/S",$L$3981="")</formula>
    </cfRule>
    <cfRule type="cellIs" dxfId="2105" priority="8551" stopIfTrue="1" operator="notEqual">
      <formula>0</formula>
    </cfRule>
  </conditionalFormatting>
  <conditionalFormatting sqref="O3981">
    <cfRule type="expression" dxfId="2104" priority="8552" stopIfTrue="1">
      <formula>OR($O$3981="F/S",$O$3981="")</formula>
    </cfRule>
    <cfRule type="cellIs" dxfId="2103" priority="8553" stopIfTrue="1" operator="notEqual">
      <formula>0</formula>
    </cfRule>
  </conditionalFormatting>
  <conditionalFormatting sqref="L3999">
    <cfRule type="expression" dxfId="2102" priority="8558" stopIfTrue="1">
      <formula>OR($L$3999="F/S",$L$3999="")</formula>
    </cfRule>
    <cfRule type="cellIs" dxfId="2101" priority="8559" stopIfTrue="1" operator="notEqual">
      <formula>0</formula>
    </cfRule>
  </conditionalFormatting>
  <conditionalFormatting sqref="O3999">
    <cfRule type="expression" dxfId="2100" priority="8560" stopIfTrue="1">
      <formula>OR($O$3999="F/S",$O$3999="")</formula>
    </cfRule>
    <cfRule type="cellIs" dxfId="2099" priority="8561" stopIfTrue="1" operator="notEqual">
      <formula>0</formula>
    </cfRule>
  </conditionalFormatting>
  <conditionalFormatting sqref="L4012">
    <cfRule type="expression" dxfId="2098" priority="8562" stopIfTrue="1">
      <formula>OR($L$4012="F/S",$L$4012="")</formula>
    </cfRule>
    <cfRule type="cellIs" dxfId="2097" priority="8563" stopIfTrue="1" operator="notEqual">
      <formula>0</formula>
    </cfRule>
  </conditionalFormatting>
  <conditionalFormatting sqref="O4012">
    <cfRule type="expression" dxfId="2096" priority="8564" stopIfTrue="1">
      <formula>OR($O$4012="F/S",$O$4012="")</formula>
    </cfRule>
    <cfRule type="cellIs" dxfId="2095" priority="8565" stopIfTrue="1" operator="notEqual">
      <formula>0</formula>
    </cfRule>
  </conditionalFormatting>
  <conditionalFormatting sqref="L4022">
    <cfRule type="expression" dxfId="2094" priority="8566" stopIfTrue="1">
      <formula>OR($L$4022="F/S",$L$4022="")</formula>
    </cfRule>
    <cfRule type="cellIs" dxfId="2093" priority="8567" stopIfTrue="1" operator="notEqual">
      <formula>0</formula>
    </cfRule>
  </conditionalFormatting>
  <conditionalFormatting sqref="O4022">
    <cfRule type="expression" dxfId="2092" priority="8568" stopIfTrue="1">
      <formula>OR($O$4022="F/S",$O$4022="")</formula>
    </cfRule>
    <cfRule type="cellIs" dxfId="2091" priority="8569" stopIfTrue="1" operator="notEqual">
      <formula>0</formula>
    </cfRule>
  </conditionalFormatting>
  <conditionalFormatting sqref="L4032">
    <cfRule type="expression" dxfId="2090" priority="8570" stopIfTrue="1">
      <formula>OR($L$4032="F/S",$L$4032="")</formula>
    </cfRule>
    <cfRule type="cellIs" dxfId="2089" priority="8571" stopIfTrue="1" operator="notEqual">
      <formula>0</formula>
    </cfRule>
  </conditionalFormatting>
  <conditionalFormatting sqref="O4032">
    <cfRule type="expression" dxfId="2088" priority="8572" stopIfTrue="1">
      <formula>OR($O$4032="F/S",$O$4032="")</formula>
    </cfRule>
    <cfRule type="cellIs" dxfId="2087" priority="8573" stopIfTrue="1" operator="notEqual">
      <formula>0</formula>
    </cfRule>
  </conditionalFormatting>
  <conditionalFormatting sqref="L4042">
    <cfRule type="expression" dxfId="2086" priority="8574" stopIfTrue="1">
      <formula>OR($L$4042="F/S",$L$4042="")</formula>
    </cfRule>
    <cfRule type="cellIs" dxfId="2085" priority="8575" stopIfTrue="1" operator="notEqual">
      <formula>0</formula>
    </cfRule>
  </conditionalFormatting>
  <conditionalFormatting sqref="O4042">
    <cfRule type="expression" dxfId="2084" priority="8576" stopIfTrue="1">
      <formula>OR($O$4042="F/S",$O$4042="")</formula>
    </cfRule>
    <cfRule type="cellIs" dxfId="2083" priority="8577" stopIfTrue="1" operator="notEqual">
      <formula>0</formula>
    </cfRule>
  </conditionalFormatting>
  <conditionalFormatting sqref="L4053">
    <cfRule type="expression" dxfId="2082" priority="8578" stopIfTrue="1">
      <formula>OR($L$4053="F/S",$L$4053="")</formula>
    </cfRule>
    <cfRule type="cellIs" dxfId="2081" priority="8579" stopIfTrue="1" operator="notEqual">
      <formula>0</formula>
    </cfRule>
  </conditionalFormatting>
  <conditionalFormatting sqref="O4053">
    <cfRule type="expression" dxfId="2080" priority="8580" stopIfTrue="1">
      <formula>OR($O$4053="F/S",$O$4053="")</formula>
    </cfRule>
    <cfRule type="cellIs" dxfId="2079" priority="8581" stopIfTrue="1" operator="notEqual">
      <formula>0</formula>
    </cfRule>
  </conditionalFormatting>
  <conditionalFormatting sqref="L4063">
    <cfRule type="expression" dxfId="2078" priority="8582" stopIfTrue="1">
      <formula>OR($L$4063="F/S",$L$4063="")</formula>
    </cfRule>
    <cfRule type="cellIs" dxfId="2077" priority="8583" stopIfTrue="1" operator="notEqual">
      <formula>0</formula>
    </cfRule>
  </conditionalFormatting>
  <conditionalFormatting sqref="O4063">
    <cfRule type="expression" dxfId="2076" priority="8584" stopIfTrue="1">
      <formula>OR($O$4063="F/S",$O$4063="")</formula>
    </cfRule>
    <cfRule type="cellIs" dxfId="2075" priority="8585" stopIfTrue="1" operator="notEqual">
      <formula>0</formula>
    </cfRule>
  </conditionalFormatting>
  <conditionalFormatting sqref="L4076">
    <cfRule type="expression" dxfId="2074" priority="8586" stopIfTrue="1">
      <formula>OR($L$4076="F/S",$L$4076="")</formula>
    </cfRule>
    <cfRule type="cellIs" dxfId="2073" priority="8587" stopIfTrue="1" operator="notEqual">
      <formula>0</formula>
    </cfRule>
  </conditionalFormatting>
  <conditionalFormatting sqref="O4076">
    <cfRule type="expression" dxfId="2072" priority="8588" stopIfTrue="1">
      <formula>OR($O$4076="F/S",$O$4076="")</formula>
    </cfRule>
    <cfRule type="cellIs" dxfId="2071" priority="8589" stopIfTrue="1" operator="notEqual">
      <formula>0</formula>
    </cfRule>
  </conditionalFormatting>
  <conditionalFormatting sqref="L4086">
    <cfRule type="expression" dxfId="2070" priority="8590" stopIfTrue="1">
      <formula>OR($L$4086="F/S",$L$4086="")</formula>
    </cfRule>
    <cfRule type="cellIs" dxfId="2069" priority="8591" stopIfTrue="1" operator="notEqual">
      <formula>0</formula>
    </cfRule>
  </conditionalFormatting>
  <conditionalFormatting sqref="O4086">
    <cfRule type="expression" dxfId="2068" priority="8592" stopIfTrue="1">
      <formula>OR($O$4086="F/S",$O$4086="")</formula>
    </cfRule>
    <cfRule type="cellIs" dxfId="2067" priority="8593" stopIfTrue="1" operator="notEqual">
      <formula>0</formula>
    </cfRule>
  </conditionalFormatting>
  <conditionalFormatting sqref="L4109">
    <cfRule type="expression" dxfId="2066" priority="8594" stopIfTrue="1">
      <formula>OR($L$4109="F/S",$L$4109="")</formula>
    </cfRule>
    <cfRule type="cellIs" dxfId="2065" priority="8595" stopIfTrue="1" operator="notEqual">
      <formula>0</formula>
    </cfRule>
  </conditionalFormatting>
  <conditionalFormatting sqref="O4109">
    <cfRule type="expression" dxfId="2064" priority="8596" stopIfTrue="1">
      <formula>OR($O$4109="F/S",$O$4109="")</formula>
    </cfRule>
    <cfRule type="cellIs" dxfId="2063" priority="8597" stopIfTrue="1" operator="notEqual">
      <formula>0</formula>
    </cfRule>
  </conditionalFormatting>
  <conditionalFormatting sqref="L4120">
    <cfRule type="expression" dxfId="2062" priority="8598" stopIfTrue="1">
      <formula>OR($L$4120="F/S",$L$4120="")</formula>
    </cfRule>
    <cfRule type="cellIs" dxfId="2061" priority="8599" stopIfTrue="1" operator="notEqual">
      <formula>0</formula>
    </cfRule>
  </conditionalFormatting>
  <conditionalFormatting sqref="O4120">
    <cfRule type="expression" dxfId="2060" priority="8600" stopIfTrue="1">
      <formula>OR($O$4120="F/S",$O$4120="")</formula>
    </cfRule>
    <cfRule type="cellIs" dxfId="2059" priority="8601" stopIfTrue="1" operator="notEqual">
      <formula>0</formula>
    </cfRule>
  </conditionalFormatting>
  <conditionalFormatting sqref="L4138">
    <cfRule type="expression" dxfId="2058" priority="8602" stopIfTrue="1">
      <formula>OR($L$4138="F/S",$L$4138="")</formula>
    </cfRule>
    <cfRule type="cellIs" dxfId="2057" priority="8603" stopIfTrue="1" operator="notEqual">
      <formula>0</formula>
    </cfRule>
  </conditionalFormatting>
  <conditionalFormatting sqref="O4138">
    <cfRule type="expression" dxfId="2056" priority="8604" stopIfTrue="1">
      <formula>OR($O$4138="F/S",$O$4138="")</formula>
    </cfRule>
    <cfRule type="cellIs" dxfId="2055" priority="8605" stopIfTrue="1" operator="notEqual">
      <formula>0</formula>
    </cfRule>
  </conditionalFormatting>
  <conditionalFormatting sqref="L4149">
    <cfRule type="expression" dxfId="2054" priority="8606" stopIfTrue="1">
      <formula>OR($L$4149="F/S",$L$4149="")</formula>
    </cfRule>
    <cfRule type="cellIs" dxfId="2053" priority="8607" stopIfTrue="1" operator="notEqual">
      <formula>0</formula>
    </cfRule>
  </conditionalFormatting>
  <conditionalFormatting sqref="O4149">
    <cfRule type="expression" dxfId="2052" priority="8608" stopIfTrue="1">
      <formula>OR($O$4149="F/S",$O$4149="")</formula>
    </cfRule>
    <cfRule type="cellIs" dxfId="2051" priority="8609" stopIfTrue="1" operator="notEqual">
      <formula>0</formula>
    </cfRule>
  </conditionalFormatting>
  <conditionalFormatting sqref="L4159">
    <cfRule type="expression" dxfId="2050" priority="8610" stopIfTrue="1">
      <formula>OR($L$4159="F/S",$L$4159="")</formula>
    </cfRule>
    <cfRule type="cellIs" dxfId="2049" priority="8611" stopIfTrue="1" operator="notEqual">
      <formula>0</formula>
    </cfRule>
  </conditionalFormatting>
  <conditionalFormatting sqref="O4159">
    <cfRule type="expression" dxfId="2048" priority="8612" stopIfTrue="1">
      <formula>OR($O$4159="F/S",$O$4159="")</formula>
    </cfRule>
    <cfRule type="cellIs" dxfId="2047" priority="8613" stopIfTrue="1" operator="notEqual">
      <formula>0</formula>
    </cfRule>
  </conditionalFormatting>
  <conditionalFormatting sqref="L4170">
    <cfRule type="expression" dxfId="2046" priority="8614" stopIfTrue="1">
      <formula>OR($L$4170="F/S",$L$4170="")</formula>
    </cfRule>
    <cfRule type="cellIs" dxfId="2045" priority="8615" stopIfTrue="1" operator="notEqual">
      <formula>0</formula>
    </cfRule>
  </conditionalFormatting>
  <conditionalFormatting sqref="O4170">
    <cfRule type="expression" dxfId="2044" priority="8616" stopIfTrue="1">
      <formula>OR($O$4170="F/S",$O$4170="")</formula>
    </cfRule>
    <cfRule type="cellIs" dxfId="2043" priority="8617" stopIfTrue="1" operator="notEqual">
      <formula>0</formula>
    </cfRule>
  </conditionalFormatting>
  <conditionalFormatting sqref="L4180">
    <cfRule type="expression" dxfId="2042" priority="8618" stopIfTrue="1">
      <formula>OR($L$4180="F/S",$L$4180="")</formula>
    </cfRule>
    <cfRule type="cellIs" dxfId="2041" priority="8619" stopIfTrue="1" operator="notEqual">
      <formula>0</formula>
    </cfRule>
  </conditionalFormatting>
  <conditionalFormatting sqref="O4180">
    <cfRule type="expression" dxfId="2040" priority="8620" stopIfTrue="1">
      <formula>OR($O$4180="F/S",$O$4180="")</formula>
    </cfRule>
    <cfRule type="cellIs" dxfId="2039" priority="8621" stopIfTrue="1" operator="notEqual">
      <formula>0</formula>
    </cfRule>
  </conditionalFormatting>
  <conditionalFormatting sqref="L4200">
    <cfRule type="expression" dxfId="2038" priority="8622" stopIfTrue="1">
      <formula>OR($L$4200="F/S",$L$4200="")</formula>
    </cfRule>
    <cfRule type="cellIs" dxfId="2037" priority="8623" stopIfTrue="1" operator="notEqual">
      <formula>0</formula>
    </cfRule>
  </conditionalFormatting>
  <conditionalFormatting sqref="O4200">
    <cfRule type="expression" dxfId="2036" priority="8624" stopIfTrue="1">
      <formula>OR($O$4200="F/S",$O$4200="")</formula>
    </cfRule>
    <cfRule type="cellIs" dxfId="2035" priority="8625" stopIfTrue="1" operator="notEqual">
      <formula>0</formula>
    </cfRule>
  </conditionalFormatting>
  <conditionalFormatting sqref="L4215">
    <cfRule type="expression" dxfId="2034" priority="8626" stopIfTrue="1">
      <formula>OR($L$4215="F/S",$L$4215="")</formula>
    </cfRule>
    <cfRule type="cellIs" dxfId="2033" priority="8627" stopIfTrue="1" operator="notEqual">
      <formula>0</formula>
    </cfRule>
  </conditionalFormatting>
  <conditionalFormatting sqref="O4215">
    <cfRule type="expression" dxfId="2032" priority="8628" stopIfTrue="1">
      <formula>OR($O$4215="F/S",$O$4215="")</formula>
    </cfRule>
    <cfRule type="cellIs" dxfId="2031" priority="8629" stopIfTrue="1" operator="notEqual">
      <formula>0</formula>
    </cfRule>
  </conditionalFormatting>
  <conditionalFormatting sqref="L4224">
    <cfRule type="expression" dxfId="2030" priority="8638" stopIfTrue="1">
      <formula>OR($L$4224="F/S",$L$4224="")</formula>
    </cfRule>
    <cfRule type="cellIs" dxfId="2029" priority="8639" stopIfTrue="1" operator="notEqual">
      <formula>0</formula>
    </cfRule>
  </conditionalFormatting>
  <conditionalFormatting sqref="O4224">
    <cfRule type="expression" dxfId="2028" priority="8640" stopIfTrue="1">
      <formula>OR($O$4224="F/S",$O$4224="")</formula>
    </cfRule>
    <cfRule type="cellIs" dxfId="2027" priority="8641" stopIfTrue="1" operator="notEqual">
      <formula>0</formula>
    </cfRule>
  </conditionalFormatting>
  <conditionalFormatting sqref="L4235">
    <cfRule type="expression" dxfId="2026" priority="8642" stopIfTrue="1">
      <formula>OR($L$4235="F/S",$L$4235="")</formula>
    </cfRule>
    <cfRule type="cellIs" dxfId="2025" priority="8643" stopIfTrue="1" operator="notEqual">
      <formula>0</formula>
    </cfRule>
  </conditionalFormatting>
  <conditionalFormatting sqref="O4235">
    <cfRule type="expression" dxfId="2024" priority="8644" stopIfTrue="1">
      <formula>OR($O$4235="F/S",$O$4235="")</formula>
    </cfRule>
    <cfRule type="cellIs" dxfId="2023" priority="8645" stopIfTrue="1" operator="notEqual">
      <formula>0</formula>
    </cfRule>
  </conditionalFormatting>
  <conditionalFormatting sqref="L4249">
    <cfRule type="expression" dxfId="2022" priority="8646" stopIfTrue="1">
      <formula>OR($L$4249="F/S",$L$4249="")</formula>
    </cfRule>
    <cfRule type="cellIs" dxfId="2021" priority="8647" stopIfTrue="1" operator="notEqual">
      <formula>0</formula>
    </cfRule>
  </conditionalFormatting>
  <conditionalFormatting sqref="O4249">
    <cfRule type="expression" dxfId="2020" priority="8648" stopIfTrue="1">
      <formula>OR($O$4249="F/S",$O$4249="")</formula>
    </cfRule>
    <cfRule type="cellIs" dxfId="2019" priority="8649" stopIfTrue="1" operator="notEqual">
      <formula>0</formula>
    </cfRule>
  </conditionalFormatting>
  <conditionalFormatting sqref="L4263">
    <cfRule type="expression" dxfId="2018" priority="8650" stopIfTrue="1">
      <formula>OR($L$4263="F/S",$L$4263="")</formula>
    </cfRule>
    <cfRule type="cellIs" dxfId="2017" priority="8651" stopIfTrue="1" operator="notEqual">
      <formula>0</formula>
    </cfRule>
  </conditionalFormatting>
  <conditionalFormatting sqref="O4263">
    <cfRule type="expression" dxfId="2016" priority="8652" stopIfTrue="1">
      <formula>OR($O$4263="F/S",$O$4263="")</formula>
    </cfRule>
    <cfRule type="cellIs" dxfId="2015" priority="8653" stopIfTrue="1" operator="notEqual">
      <formula>0</formula>
    </cfRule>
  </conditionalFormatting>
  <conditionalFormatting sqref="L4271">
    <cfRule type="expression" dxfId="2014" priority="8654" stopIfTrue="1">
      <formula>OR($L$4271="F/S",$L$4271="")</formula>
    </cfRule>
    <cfRule type="cellIs" dxfId="2013" priority="8655" stopIfTrue="1" operator="notEqual">
      <formula>0</formula>
    </cfRule>
  </conditionalFormatting>
  <conditionalFormatting sqref="O4271">
    <cfRule type="expression" dxfId="2012" priority="8656" stopIfTrue="1">
      <formula>OR($O$4271="F/S",$O$4271="")</formula>
    </cfRule>
    <cfRule type="cellIs" dxfId="2011" priority="8657" stopIfTrue="1" operator="notEqual">
      <formula>0</formula>
    </cfRule>
  </conditionalFormatting>
  <conditionalFormatting sqref="L4289 L4299">
    <cfRule type="expression" dxfId="2010" priority="8658" stopIfTrue="1">
      <formula>OR($L$4289="F/S",$L$4289="")</formula>
    </cfRule>
    <cfRule type="cellIs" dxfId="2009" priority="8659" stopIfTrue="1" operator="notEqual">
      <formula>0</formula>
    </cfRule>
  </conditionalFormatting>
  <conditionalFormatting sqref="O4289 O4299">
    <cfRule type="expression" dxfId="2008" priority="8660" stopIfTrue="1">
      <formula>OR($O$4289="F/S",$O$4289="")</formula>
    </cfRule>
    <cfRule type="cellIs" dxfId="2007" priority="8661" stopIfTrue="1" operator="notEqual">
      <formula>0</formula>
    </cfRule>
  </conditionalFormatting>
  <conditionalFormatting sqref="L4299">
    <cfRule type="expression" dxfId="2006" priority="8662" stopIfTrue="1">
      <formula>OR($L$4299="F/S",$L$4299="")</formula>
    </cfRule>
    <cfRule type="cellIs" dxfId="2005" priority="8663" stopIfTrue="1" operator="notEqual">
      <formula>0</formula>
    </cfRule>
  </conditionalFormatting>
  <conditionalFormatting sqref="O4299">
    <cfRule type="expression" dxfId="2004" priority="8664" stopIfTrue="1">
      <formula>OR($O$4299="F/S",$O$4299="")</formula>
    </cfRule>
    <cfRule type="cellIs" dxfId="2003" priority="8665" stopIfTrue="1" operator="notEqual">
      <formula>0</formula>
    </cfRule>
  </conditionalFormatting>
  <conditionalFormatting sqref="L4310">
    <cfRule type="expression" dxfId="2002" priority="8666" stopIfTrue="1">
      <formula>OR($L$4310="F/S",$L$4310="")</formula>
    </cfRule>
    <cfRule type="cellIs" dxfId="2001" priority="8667" stopIfTrue="1" operator="notEqual">
      <formula>0</formula>
    </cfRule>
  </conditionalFormatting>
  <conditionalFormatting sqref="O4310">
    <cfRule type="expression" dxfId="2000" priority="8668" stopIfTrue="1">
      <formula>OR($O$4310="F/S",$O$4310="")</formula>
    </cfRule>
    <cfRule type="cellIs" dxfId="1999" priority="8669" stopIfTrue="1" operator="notEqual">
      <formula>0</formula>
    </cfRule>
  </conditionalFormatting>
  <conditionalFormatting sqref="L4319">
    <cfRule type="expression" dxfId="1998" priority="8670" stopIfTrue="1">
      <formula>OR($L$4319="F/S",$L$4319="")</formula>
    </cfRule>
    <cfRule type="cellIs" dxfId="1997" priority="8671" stopIfTrue="1" operator="notEqual">
      <formula>0</formula>
    </cfRule>
  </conditionalFormatting>
  <conditionalFormatting sqref="O4319">
    <cfRule type="expression" dxfId="1996" priority="8672" stopIfTrue="1">
      <formula>OR($O$4319="F/S",$O$4319="")</formula>
    </cfRule>
    <cfRule type="cellIs" dxfId="1995" priority="8673" stopIfTrue="1" operator="notEqual">
      <formula>0</formula>
    </cfRule>
  </conditionalFormatting>
  <conditionalFormatting sqref="L4353">
    <cfRule type="expression" dxfId="1994" priority="8674" stopIfTrue="1">
      <formula>OR($L$4353="F/S",$L$4353="")</formula>
    </cfRule>
    <cfRule type="cellIs" dxfId="1993" priority="8675" stopIfTrue="1" operator="notEqual">
      <formula>0</formula>
    </cfRule>
  </conditionalFormatting>
  <conditionalFormatting sqref="O4353">
    <cfRule type="expression" dxfId="1992" priority="8676" stopIfTrue="1">
      <formula>OR($O$4353="F/S",$O$4353="")</formula>
    </cfRule>
    <cfRule type="cellIs" dxfId="1991" priority="8677" stopIfTrue="1" operator="notEqual">
      <formula>0</formula>
    </cfRule>
  </conditionalFormatting>
  <conditionalFormatting sqref="L4332">
    <cfRule type="expression" dxfId="1990" priority="8678" stopIfTrue="1">
      <formula>OR($L$4332="F/S",$L$4332="")</formula>
    </cfRule>
    <cfRule type="cellIs" dxfId="1989" priority="8679" stopIfTrue="1" operator="notEqual">
      <formula>0</formula>
    </cfRule>
  </conditionalFormatting>
  <conditionalFormatting sqref="O4332">
    <cfRule type="expression" dxfId="1988" priority="8680" stopIfTrue="1">
      <formula>OR($O$4332="F/S",$O$4332="")</formula>
    </cfRule>
    <cfRule type="cellIs" dxfId="1987" priority="8681" stopIfTrue="1" operator="notEqual">
      <formula>0</formula>
    </cfRule>
  </conditionalFormatting>
  <conditionalFormatting sqref="L4342">
    <cfRule type="expression" dxfId="1986" priority="8682" stopIfTrue="1">
      <formula>OR($L$4342="F/S",$L$4342="")</formula>
    </cfRule>
    <cfRule type="cellIs" dxfId="1985" priority="8683" stopIfTrue="1" operator="notEqual">
      <formula>0</formula>
    </cfRule>
  </conditionalFormatting>
  <conditionalFormatting sqref="O4342">
    <cfRule type="expression" dxfId="1984" priority="8684" stopIfTrue="1">
      <formula>OR($O$4342="F/S",$O$4342="")</formula>
    </cfRule>
    <cfRule type="cellIs" dxfId="1983" priority="8685" stopIfTrue="1" operator="notEqual">
      <formula>0</formula>
    </cfRule>
  </conditionalFormatting>
  <conditionalFormatting sqref="L4426">
    <cfRule type="expression" dxfId="1982" priority="8690" stopIfTrue="1">
      <formula>OR($L$4426="F/S",$L$4426="")</formula>
    </cfRule>
    <cfRule type="cellIs" dxfId="1981" priority="8691" stopIfTrue="1" operator="notEqual">
      <formula>0</formula>
    </cfRule>
  </conditionalFormatting>
  <conditionalFormatting sqref="O4426">
    <cfRule type="expression" dxfId="1980" priority="8692" stopIfTrue="1">
      <formula>OR($O$4426="F/S",$O$4426="")</formula>
    </cfRule>
    <cfRule type="cellIs" dxfId="1979" priority="8693" stopIfTrue="1" operator="notEqual">
      <formula>0</formula>
    </cfRule>
  </conditionalFormatting>
  <conditionalFormatting sqref="L4439">
    <cfRule type="expression" dxfId="1978" priority="8694" stopIfTrue="1">
      <formula>OR($L$4439="F/S",$L$4439="")</formula>
    </cfRule>
    <cfRule type="cellIs" dxfId="1977" priority="8695" stopIfTrue="1" operator="notEqual">
      <formula>0</formula>
    </cfRule>
  </conditionalFormatting>
  <conditionalFormatting sqref="O4439">
    <cfRule type="expression" dxfId="1976" priority="8696" stopIfTrue="1">
      <formula>OR($O$4439="F/S",$O$4439="")</formula>
    </cfRule>
    <cfRule type="cellIs" dxfId="1975" priority="8697" stopIfTrue="1" operator="notEqual">
      <formula>0</formula>
    </cfRule>
  </conditionalFormatting>
  <conditionalFormatting sqref="L4451">
    <cfRule type="expression" dxfId="1974" priority="8698" stopIfTrue="1">
      <formula>OR($L$4451="F/S",$L$4451="")</formula>
    </cfRule>
    <cfRule type="cellIs" dxfId="1973" priority="8699" stopIfTrue="1" operator="notEqual">
      <formula>0</formula>
    </cfRule>
  </conditionalFormatting>
  <conditionalFormatting sqref="O4451">
    <cfRule type="expression" dxfId="1972" priority="8700" stopIfTrue="1">
      <formula>OR($O$4451="F/S",$O$4451="")</formula>
    </cfRule>
    <cfRule type="cellIs" dxfId="1971" priority="8701" stopIfTrue="1" operator="notEqual">
      <formula>0</formula>
    </cfRule>
  </conditionalFormatting>
  <conditionalFormatting sqref="L4459">
    <cfRule type="expression" dxfId="1970" priority="8702" stopIfTrue="1">
      <formula>OR($L$4459="F/S",$L$4459="")</formula>
    </cfRule>
    <cfRule type="cellIs" dxfId="1969" priority="8703" stopIfTrue="1" operator="notEqual">
      <formula>0</formula>
    </cfRule>
  </conditionalFormatting>
  <conditionalFormatting sqref="O4459">
    <cfRule type="expression" dxfId="1968" priority="8704" stopIfTrue="1">
      <formula>OR($O$4459="F/S",$O$4459="")</formula>
    </cfRule>
    <cfRule type="cellIs" dxfId="1967" priority="8705" stopIfTrue="1" operator="notEqual">
      <formula>0</formula>
    </cfRule>
  </conditionalFormatting>
  <conditionalFormatting sqref="L4476">
    <cfRule type="expression" dxfId="1966" priority="8706" stopIfTrue="1">
      <formula>OR($L$4476="F/S",$L$4476="")</formula>
    </cfRule>
    <cfRule type="cellIs" dxfId="1965" priority="8707" stopIfTrue="1" operator="notEqual">
      <formula>0</formula>
    </cfRule>
  </conditionalFormatting>
  <conditionalFormatting sqref="O4476">
    <cfRule type="expression" dxfId="1964" priority="8708" stopIfTrue="1">
      <formula>OR($O$4476="F/S",$O$4476="")</formula>
    </cfRule>
    <cfRule type="cellIs" dxfId="1963" priority="8709" stopIfTrue="1" operator="notEqual">
      <formula>0</formula>
    </cfRule>
  </conditionalFormatting>
  <conditionalFormatting sqref="L4362">
    <cfRule type="expression" dxfId="1962" priority="8710" stopIfTrue="1">
      <formula>OR($L$4362="F/S",$L$4362="")</formula>
    </cfRule>
    <cfRule type="cellIs" dxfId="1961" priority="8711" stopIfTrue="1" operator="notEqual">
      <formula>0</formula>
    </cfRule>
  </conditionalFormatting>
  <conditionalFormatting sqref="O4362">
    <cfRule type="expression" dxfId="1960" priority="8712" stopIfTrue="1">
      <formula>OR($O$4362="F/S",$O$4362="")</formula>
    </cfRule>
    <cfRule type="cellIs" dxfId="1959" priority="8713" stopIfTrue="1" operator="notEqual">
      <formula>0</formula>
    </cfRule>
  </conditionalFormatting>
  <conditionalFormatting sqref="L4369">
    <cfRule type="expression" dxfId="1958" priority="8714" stopIfTrue="1">
      <formula>OR($L$4369="F/S",$L$4369="")</formula>
    </cfRule>
    <cfRule type="cellIs" dxfId="1957" priority="8715" stopIfTrue="1" operator="notEqual">
      <formula>0</formula>
    </cfRule>
  </conditionalFormatting>
  <conditionalFormatting sqref="O4369">
    <cfRule type="expression" dxfId="1956" priority="8716" stopIfTrue="1">
      <formula>OR($O$4369="F/S",$O$4369="")</formula>
    </cfRule>
    <cfRule type="cellIs" dxfId="1955" priority="8717" stopIfTrue="1" operator="notEqual">
      <formula>0</formula>
    </cfRule>
  </conditionalFormatting>
  <conditionalFormatting sqref="L4394">
    <cfRule type="expression" dxfId="1954" priority="8718" stopIfTrue="1">
      <formula>OR($L$4394="F/S",$L$4394="")</formula>
    </cfRule>
    <cfRule type="cellIs" dxfId="1953" priority="8719" stopIfTrue="1" operator="notEqual">
      <formula>0</formula>
    </cfRule>
  </conditionalFormatting>
  <conditionalFormatting sqref="O4394">
    <cfRule type="expression" dxfId="1952" priority="8720" stopIfTrue="1">
      <formula>OR($O$4394="F/S",$O$4394="")</formula>
    </cfRule>
    <cfRule type="cellIs" dxfId="1951" priority="8721" stopIfTrue="1" operator="notEqual">
      <formula>0</formula>
    </cfRule>
  </conditionalFormatting>
  <conditionalFormatting sqref="L4415">
    <cfRule type="expression" dxfId="1950" priority="8722" stopIfTrue="1">
      <formula>OR($L$4415="F/S",$L$4415="")</formula>
    </cfRule>
    <cfRule type="cellIs" dxfId="1949" priority="8723" stopIfTrue="1" operator="notEqual">
      <formula>0</formula>
    </cfRule>
  </conditionalFormatting>
  <conditionalFormatting sqref="O4415">
    <cfRule type="expression" dxfId="1948" priority="8724" stopIfTrue="1">
      <formula>OR($O$4415="F/S",$O$4415="")</formula>
    </cfRule>
    <cfRule type="cellIs" dxfId="1947" priority="8725" stopIfTrue="1" operator="notEqual">
      <formula>0</formula>
    </cfRule>
  </conditionalFormatting>
  <conditionalFormatting sqref="L4614">
    <cfRule type="expression" dxfId="1946" priority="8726" stopIfTrue="1">
      <formula>OR($L$4614="F/S",$L$4614="")</formula>
    </cfRule>
    <cfRule type="cellIs" dxfId="1945" priority="8727" stopIfTrue="1" operator="notEqual">
      <formula>0</formula>
    </cfRule>
  </conditionalFormatting>
  <conditionalFormatting sqref="O4614">
    <cfRule type="expression" dxfId="1944" priority="8728" stopIfTrue="1">
      <formula>OR($O$4614="F/S",$O$4614="")</formula>
    </cfRule>
    <cfRule type="cellIs" dxfId="1943" priority="8729" stopIfTrue="1" operator="notEqual">
      <formula>0</formula>
    </cfRule>
  </conditionalFormatting>
  <conditionalFormatting sqref="L4490">
    <cfRule type="expression" dxfId="1942" priority="8730" stopIfTrue="1">
      <formula>OR($L$4490="F/S",$L$4490="")</formula>
    </cfRule>
    <cfRule type="cellIs" dxfId="1941" priority="8731" stopIfTrue="1" operator="notEqual">
      <formula>0</formula>
    </cfRule>
  </conditionalFormatting>
  <conditionalFormatting sqref="O4490">
    <cfRule type="expression" dxfId="1940" priority="8732" stopIfTrue="1">
      <formula>OR($O$4490="F/S",$O$4490="")</formula>
    </cfRule>
    <cfRule type="cellIs" dxfId="1939" priority="8733" stopIfTrue="1" operator="notEqual">
      <formula>0</formula>
    </cfRule>
  </conditionalFormatting>
  <conditionalFormatting sqref="L4500">
    <cfRule type="expression" dxfId="1938" priority="8734" stopIfTrue="1">
      <formula>OR($L$4500="F/S",$L$4500="")</formula>
    </cfRule>
    <cfRule type="cellIs" dxfId="1937" priority="8735" stopIfTrue="1" operator="notEqual">
      <formula>0</formula>
    </cfRule>
  </conditionalFormatting>
  <conditionalFormatting sqref="O4500">
    <cfRule type="expression" dxfId="1936" priority="8736" stopIfTrue="1">
      <formula>OR($O$4500="F/S",$O$4500="")</formula>
    </cfRule>
    <cfRule type="cellIs" dxfId="1935" priority="8737" stopIfTrue="1" operator="notEqual">
      <formula>0</formula>
    </cfRule>
  </conditionalFormatting>
  <conditionalFormatting sqref="L4509">
    <cfRule type="expression" dxfId="1934" priority="8738" stopIfTrue="1">
      <formula>OR($L$4509="F/S",$L$4509="")</formula>
    </cfRule>
    <cfRule type="cellIs" dxfId="1933" priority="8739" stopIfTrue="1" operator="notEqual">
      <formula>0</formula>
    </cfRule>
  </conditionalFormatting>
  <conditionalFormatting sqref="O4509">
    <cfRule type="expression" dxfId="1932" priority="8740" stopIfTrue="1">
      <formula>OR($O$4509="F/S",$O$4509="")</formula>
    </cfRule>
    <cfRule type="cellIs" dxfId="1931" priority="8741" stopIfTrue="1" operator="notEqual">
      <formula>0</formula>
    </cfRule>
  </conditionalFormatting>
  <conditionalFormatting sqref="L4518">
    <cfRule type="expression" dxfId="1930" priority="8742" stopIfTrue="1">
      <formula>OR($L$4518="F/S",$L$4518="")</formula>
    </cfRule>
    <cfRule type="cellIs" dxfId="1929" priority="8743" stopIfTrue="1" operator="notEqual">
      <formula>0</formula>
    </cfRule>
  </conditionalFormatting>
  <conditionalFormatting sqref="O4518">
    <cfRule type="expression" dxfId="1928" priority="8744" stopIfTrue="1">
      <formula>OR($O$4518="F/S",$O$4518="")</formula>
    </cfRule>
    <cfRule type="cellIs" dxfId="1927" priority="8745" stopIfTrue="1" operator="notEqual">
      <formula>0</formula>
    </cfRule>
  </conditionalFormatting>
  <conditionalFormatting sqref="L4542">
    <cfRule type="expression" dxfId="1926" priority="8746" stopIfTrue="1">
      <formula>OR($L$4542="F/S",$L$4542="")</formula>
    </cfRule>
    <cfRule type="cellIs" dxfId="1925" priority="8747" stopIfTrue="1" operator="notEqual">
      <formula>0</formula>
    </cfRule>
  </conditionalFormatting>
  <conditionalFormatting sqref="O4542">
    <cfRule type="expression" dxfId="1924" priority="8748" stopIfTrue="1">
      <formula>OR($O$4542="F/S",$O$4542="")</formula>
    </cfRule>
    <cfRule type="cellIs" dxfId="1923" priority="8749" stopIfTrue="1" operator="notEqual">
      <formula>0</formula>
    </cfRule>
  </conditionalFormatting>
  <conditionalFormatting sqref="L4565">
    <cfRule type="expression" dxfId="1922" priority="8750" stopIfTrue="1">
      <formula>OR($L$4565="F/S",$L$4565="")</formula>
    </cfRule>
    <cfRule type="cellIs" dxfId="1921" priority="8751" stopIfTrue="1" operator="notEqual">
      <formula>0</formula>
    </cfRule>
  </conditionalFormatting>
  <conditionalFormatting sqref="O4565">
    <cfRule type="expression" dxfId="1920" priority="8752" stopIfTrue="1">
      <formula>OR($O$4565="F/S",$O$4565="")</formula>
    </cfRule>
    <cfRule type="cellIs" dxfId="1919" priority="8753" stopIfTrue="1" operator="notEqual">
      <formula>0</formula>
    </cfRule>
  </conditionalFormatting>
  <conditionalFormatting sqref="L4584">
    <cfRule type="expression" dxfId="1918" priority="8754" stopIfTrue="1">
      <formula>OR($L$4584="F/S",$L$4584="")</formula>
    </cfRule>
    <cfRule type="cellIs" dxfId="1917" priority="8755" stopIfTrue="1" operator="notEqual">
      <formula>0</formula>
    </cfRule>
  </conditionalFormatting>
  <conditionalFormatting sqref="O4584">
    <cfRule type="expression" dxfId="1916" priority="8756" stopIfTrue="1">
      <formula>OR($O$4584="F/S",$O$4584="")</formula>
    </cfRule>
    <cfRule type="cellIs" dxfId="1915" priority="8757" stopIfTrue="1" operator="notEqual">
      <formula>0</formula>
    </cfRule>
  </conditionalFormatting>
  <conditionalFormatting sqref="L4599">
    <cfRule type="expression" dxfId="1914" priority="8758" stopIfTrue="1">
      <formula>OR($L$4599="F/S",$L$4599="")</formula>
    </cfRule>
    <cfRule type="cellIs" dxfId="1913" priority="8759" stopIfTrue="1" operator="notEqual">
      <formula>0</formula>
    </cfRule>
  </conditionalFormatting>
  <conditionalFormatting sqref="O4599">
    <cfRule type="expression" dxfId="1912" priority="8760" stopIfTrue="1">
      <formula>OR($O$4599="F/S",$O$4599="")</formula>
    </cfRule>
    <cfRule type="cellIs" dxfId="1911" priority="8761" stopIfTrue="1" operator="notEqual">
      <formula>0</formula>
    </cfRule>
  </conditionalFormatting>
  <conditionalFormatting sqref="L4850">
    <cfRule type="expression" dxfId="1910" priority="8762" stopIfTrue="1">
      <formula>OR($L$4850="F/S",$L$4850="")</formula>
    </cfRule>
    <cfRule type="cellIs" dxfId="1909" priority="8763" stopIfTrue="1" operator="notEqual">
      <formula>0</formula>
    </cfRule>
  </conditionalFormatting>
  <conditionalFormatting sqref="O4850">
    <cfRule type="expression" dxfId="1908" priority="8764" stopIfTrue="1">
      <formula>OR($O$4850="F/S",$O$4850="")</formula>
    </cfRule>
    <cfRule type="cellIs" dxfId="1907" priority="8765" stopIfTrue="1" operator="notEqual">
      <formula>0</formula>
    </cfRule>
  </conditionalFormatting>
  <conditionalFormatting sqref="L4823">
    <cfRule type="expression" dxfId="1906" priority="8766" stopIfTrue="1">
      <formula>OR($L$4823="F/S",$L$4823="")</formula>
    </cfRule>
    <cfRule type="cellIs" dxfId="1905" priority="8767" stopIfTrue="1" operator="notEqual">
      <formula>0</formula>
    </cfRule>
  </conditionalFormatting>
  <conditionalFormatting sqref="O4823">
    <cfRule type="expression" dxfId="1904" priority="8768" stopIfTrue="1">
      <formula>OR($O$4823="F/S",$O$4823="")</formula>
    </cfRule>
    <cfRule type="cellIs" dxfId="1903" priority="8769" stopIfTrue="1" operator="notEqual">
      <formula>0</formula>
    </cfRule>
  </conditionalFormatting>
  <conditionalFormatting sqref="L4801">
    <cfRule type="expression" dxfId="1902" priority="8770" stopIfTrue="1">
      <formula>OR($L$4801="F/S",$L$4801="")</formula>
    </cfRule>
    <cfRule type="cellIs" dxfId="1901" priority="8771" stopIfTrue="1" operator="notEqual">
      <formula>0</formula>
    </cfRule>
  </conditionalFormatting>
  <conditionalFormatting sqref="O4801">
    <cfRule type="expression" dxfId="1900" priority="8772" stopIfTrue="1">
      <formula>OR($O$4801="F/S",$O$4801="")</formula>
    </cfRule>
    <cfRule type="cellIs" dxfId="1899" priority="8773" stopIfTrue="1" operator="notEqual">
      <formula>0</formula>
    </cfRule>
  </conditionalFormatting>
  <conditionalFormatting sqref="L4900">
    <cfRule type="expression" dxfId="1898" priority="8774" stopIfTrue="1">
      <formula>OR($L$4900="F/S",$L$4900="")</formula>
    </cfRule>
    <cfRule type="cellIs" dxfId="1897" priority="8775" stopIfTrue="1" operator="notEqual">
      <formula>0</formula>
    </cfRule>
  </conditionalFormatting>
  <conditionalFormatting sqref="O4900">
    <cfRule type="expression" dxfId="1896" priority="8776" stopIfTrue="1">
      <formula>OR($O$4900="F/S",$O$4900="")</formula>
    </cfRule>
    <cfRule type="cellIs" dxfId="1895" priority="8777" stopIfTrue="1" operator="notEqual">
      <formula>0</formula>
    </cfRule>
  </conditionalFormatting>
  <conditionalFormatting sqref="L4778">
    <cfRule type="expression" dxfId="1894" priority="8778" stopIfTrue="1">
      <formula>OR($L$4778="F/S",$L$4778="")</formula>
    </cfRule>
    <cfRule type="cellIs" dxfId="1893" priority="8779" stopIfTrue="1" operator="notEqual">
      <formula>0</formula>
    </cfRule>
  </conditionalFormatting>
  <conditionalFormatting sqref="O4778">
    <cfRule type="expression" dxfId="1892" priority="8780" stopIfTrue="1">
      <formula>OR($O$4778="F/S",$O$4778="")</formula>
    </cfRule>
    <cfRule type="cellIs" dxfId="1891" priority="8781" stopIfTrue="1" operator="notEqual">
      <formula>0</formula>
    </cfRule>
  </conditionalFormatting>
  <conditionalFormatting sqref="L4624">
    <cfRule type="expression" dxfId="1890" priority="8782" stopIfTrue="1">
      <formula>OR($L$4624="F/S",$L$4624="")</formula>
    </cfRule>
    <cfRule type="cellIs" dxfId="1889" priority="8783" stopIfTrue="1" operator="notEqual">
      <formula>0</formula>
    </cfRule>
  </conditionalFormatting>
  <conditionalFormatting sqref="O4624">
    <cfRule type="expression" dxfId="1888" priority="8784" stopIfTrue="1">
      <formula>OR($O$4624="F/S",$O$4624="")</formula>
    </cfRule>
    <cfRule type="cellIs" dxfId="1887" priority="8785" stopIfTrue="1" operator="notEqual">
      <formula>0</formula>
    </cfRule>
  </conditionalFormatting>
  <conditionalFormatting sqref="L4635">
    <cfRule type="expression" dxfId="1886" priority="8786" stopIfTrue="1">
      <formula>OR($L$4635="F/S",$L$4635="")</formula>
    </cfRule>
    <cfRule type="cellIs" dxfId="1885" priority="8787" stopIfTrue="1" operator="notEqual">
      <formula>0</formula>
    </cfRule>
  </conditionalFormatting>
  <conditionalFormatting sqref="O4635">
    <cfRule type="expression" dxfId="1884" priority="8788" stopIfTrue="1">
      <formula>OR($O$4635="F/S",$O$4635="")</formula>
    </cfRule>
    <cfRule type="cellIs" dxfId="1883" priority="8789" stopIfTrue="1" operator="notEqual">
      <formula>0</formula>
    </cfRule>
  </conditionalFormatting>
  <conditionalFormatting sqref="L4654">
    <cfRule type="expression" dxfId="1882" priority="8790" stopIfTrue="1">
      <formula>OR($L$4654="F/S",$L$4654="")</formula>
    </cfRule>
    <cfRule type="cellIs" dxfId="1881" priority="8791" stopIfTrue="1" operator="notEqual">
      <formula>0</formula>
    </cfRule>
  </conditionalFormatting>
  <conditionalFormatting sqref="O4654">
    <cfRule type="expression" dxfId="1880" priority="8792" stopIfTrue="1">
      <formula>OR($O$4654="F/S",$O$4654="")</formula>
    </cfRule>
    <cfRule type="cellIs" dxfId="1879" priority="8793" stopIfTrue="1" operator="notEqual">
      <formula>0</formula>
    </cfRule>
  </conditionalFormatting>
  <conditionalFormatting sqref="L4665">
    <cfRule type="expression" dxfId="1878" priority="8794" stopIfTrue="1">
      <formula>OR($L$4665="F/S",$L$4665="")</formula>
    </cfRule>
    <cfRule type="cellIs" dxfId="1877" priority="8795" stopIfTrue="1" operator="notEqual">
      <formula>0</formula>
    </cfRule>
  </conditionalFormatting>
  <conditionalFormatting sqref="O4665">
    <cfRule type="expression" dxfId="1876" priority="8796" stopIfTrue="1">
      <formula>OR($O$4665="F/S",$O$4665="")</formula>
    </cfRule>
    <cfRule type="cellIs" dxfId="1875" priority="8797" stopIfTrue="1" operator="notEqual">
      <formula>0</formula>
    </cfRule>
  </conditionalFormatting>
  <conditionalFormatting sqref="L4685">
    <cfRule type="expression" dxfId="1874" priority="8798" stopIfTrue="1">
      <formula>OR($L$4685="F/S",$L$4685="")</formula>
    </cfRule>
    <cfRule type="cellIs" dxfId="1873" priority="8799" stopIfTrue="1" operator="notEqual">
      <formula>0</formula>
    </cfRule>
  </conditionalFormatting>
  <conditionalFormatting sqref="O4685">
    <cfRule type="expression" dxfId="1872" priority="8800" stopIfTrue="1">
      <formula>OR($O$4685="F/S",$O$4685="")</formula>
    </cfRule>
    <cfRule type="cellIs" dxfId="1871" priority="8801" stopIfTrue="1" operator="notEqual">
      <formula>0</formula>
    </cfRule>
  </conditionalFormatting>
  <conditionalFormatting sqref="L4696">
    <cfRule type="expression" dxfId="1870" priority="8802" stopIfTrue="1">
      <formula>OR($L$4696="F/S",$L$4696="")</formula>
    </cfRule>
    <cfRule type="cellIs" dxfId="1869" priority="8803" stopIfTrue="1" operator="notEqual">
      <formula>0</formula>
    </cfRule>
  </conditionalFormatting>
  <conditionalFormatting sqref="O4696">
    <cfRule type="expression" dxfId="1868" priority="8804" stopIfTrue="1">
      <formula>OR($O$4696="F/S",$O$4696="")</formula>
    </cfRule>
    <cfRule type="cellIs" dxfId="1867" priority="8805" stopIfTrue="1" operator="notEqual">
      <formula>0</formula>
    </cfRule>
  </conditionalFormatting>
  <conditionalFormatting sqref="L4716">
    <cfRule type="expression" dxfId="1866" priority="8806" stopIfTrue="1">
      <formula>OR($L$4716="F/S",$L$4716="")</formula>
    </cfRule>
    <cfRule type="cellIs" dxfId="1865" priority="8807" stopIfTrue="1" operator="notEqual">
      <formula>0</formula>
    </cfRule>
  </conditionalFormatting>
  <conditionalFormatting sqref="O4716">
    <cfRule type="expression" dxfId="1864" priority="8808" stopIfTrue="1">
      <formula>OR($O$4716="F/S",$O$4716="")</formula>
    </cfRule>
    <cfRule type="cellIs" dxfId="1863" priority="8809" stopIfTrue="1" operator="notEqual">
      <formula>0</formula>
    </cfRule>
  </conditionalFormatting>
  <conditionalFormatting sqref="L4752">
    <cfRule type="expression" dxfId="1862" priority="8810" stopIfTrue="1">
      <formula>OR($L$4752="F/S",$L$4752="")</formula>
    </cfRule>
    <cfRule type="cellIs" dxfId="1861" priority="8811" stopIfTrue="1" operator="notEqual">
      <formula>0</formula>
    </cfRule>
  </conditionalFormatting>
  <conditionalFormatting sqref="O4752">
    <cfRule type="expression" dxfId="1860" priority="8812" stopIfTrue="1">
      <formula>OR($O$4752="F/S",$O$4752="")</formula>
    </cfRule>
    <cfRule type="cellIs" dxfId="1859" priority="8813" stopIfTrue="1" operator="notEqual">
      <formula>0</formula>
    </cfRule>
  </conditionalFormatting>
  <conditionalFormatting sqref="L4767">
    <cfRule type="expression" dxfId="1858" priority="8814" stopIfTrue="1">
      <formula>OR($L$4767="F/S",$L$4767="")</formula>
    </cfRule>
    <cfRule type="cellIs" dxfId="1857" priority="8815" stopIfTrue="1" operator="notEqual">
      <formula>0</formula>
    </cfRule>
  </conditionalFormatting>
  <conditionalFormatting sqref="O4767">
    <cfRule type="expression" dxfId="1856" priority="8816" stopIfTrue="1">
      <formula>OR($O$4767="F/S",$O$4767="")</formula>
    </cfRule>
    <cfRule type="cellIs" dxfId="1855" priority="8817" stopIfTrue="1" operator="notEqual">
      <formula>0</formula>
    </cfRule>
  </conditionalFormatting>
  <conditionalFormatting sqref="L4727">
    <cfRule type="expression" dxfId="1854" priority="8818" stopIfTrue="1">
      <formula>OR($L$4727="F/S",$L$4727="")</formula>
    </cfRule>
    <cfRule type="cellIs" dxfId="1853" priority="8819" stopIfTrue="1" operator="notEqual">
      <formula>0</formula>
    </cfRule>
  </conditionalFormatting>
  <conditionalFormatting sqref="O4727">
    <cfRule type="expression" dxfId="1852" priority="8820" stopIfTrue="1">
      <formula>OR($O$4727="F/S",$O$4727="")</formula>
    </cfRule>
    <cfRule type="cellIs" dxfId="1851" priority="8821" stopIfTrue="1" operator="notEqual">
      <formula>0</formula>
    </cfRule>
  </conditionalFormatting>
  <conditionalFormatting sqref="L4878">
    <cfRule type="expression" dxfId="1850" priority="8822" stopIfTrue="1">
      <formula>OR($L$4878="F/S",$L$4878="")</formula>
    </cfRule>
    <cfRule type="cellIs" dxfId="1849" priority="8823" stopIfTrue="1" operator="notEqual">
      <formula>0</formula>
    </cfRule>
  </conditionalFormatting>
  <conditionalFormatting sqref="O4878">
    <cfRule type="expression" dxfId="1848" priority="8824" stopIfTrue="1">
      <formula>OR($O$4878="F/S",$O$4878="")</formula>
    </cfRule>
    <cfRule type="cellIs" dxfId="1847" priority="8825" stopIfTrue="1" operator="notEqual">
      <formula>0</formula>
    </cfRule>
  </conditionalFormatting>
  <conditionalFormatting sqref="L4864">
    <cfRule type="expression" dxfId="1846" priority="8826" stopIfTrue="1">
      <formula>OR($L$4864="F/S",$L$4864="")</formula>
    </cfRule>
    <cfRule type="cellIs" dxfId="1845" priority="8827" stopIfTrue="1" operator="notEqual">
      <formula>0</formula>
    </cfRule>
  </conditionalFormatting>
  <conditionalFormatting sqref="O4864">
    <cfRule type="expression" dxfId="1844" priority="8828" stopIfTrue="1">
      <formula>OR($O$4864="F/S",$O$4864="")</formula>
    </cfRule>
    <cfRule type="cellIs" dxfId="1843" priority="8829" stopIfTrue="1" operator="notEqual">
      <formula>0</formula>
    </cfRule>
  </conditionalFormatting>
  <conditionalFormatting sqref="L4915">
    <cfRule type="expression" dxfId="1842" priority="8830" stopIfTrue="1">
      <formula>OR($L$4915="F/S",$L$4915="")</formula>
    </cfRule>
    <cfRule type="cellIs" dxfId="1841" priority="8831" stopIfTrue="1" operator="notEqual">
      <formula>0</formula>
    </cfRule>
  </conditionalFormatting>
  <conditionalFormatting sqref="O4915">
    <cfRule type="expression" dxfId="1840" priority="8832" stopIfTrue="1">
      <formula>OR($O$4915="F/S",$O$4915="")</formula>
    </cfRule>
    <cfRule type="cellIs" dxfId="1839" priority="8833" stopIfTrue="1" operator="notEqual">
      <formula>0</formula>
    </cfRule>
  </conditionalFormatting>
  <conditionalFormatting sqref="L4928">
    <cfRule type="expression" dxfId="1838" priority="8834" stopIfTrue="1">
      <formula>OR($L$4928="F/S",$L$4928="")</formula>
    </cfRule>
    <cfRule type="cellIs" dxfId="1837" priority="8835" stopIfTrue="1" operator="notEqual">
      <formula>0</formula>
    </cfRule>
  </conditionalFormatting>
  <conditionalFormatting sqref="O4928">
    <cfRule type="expression" dxfId="1836" priority="8836" stopIfTrue="1">
      <formula>OR($O$4928="F/S",$O$4928="")</formula>
    </cfRule>
    <cfRule type="cellIs" dxfId="1835" priority="8837" stopIfTrue="1" operator="notEqual">
      <formula>0</formula>
    </cfRule>
  </conditionalFormatting>
  <conditionalFormatting sqref="L4946">
    <cfRule type="expression" dxfId="1834" priority="8838" stopIfTrue="1">
      <formula>OR($L$4946="F/S",$L$4946="")</formula>
    </cfRule>
    <cfRule type="cellIs" dxfId="1833" priority="8839" stopIfTrue="1" operator="notEqual">
      <formula>0</formula>
    </cfRule>
  </conditionalFormatting>
  <conditionalFormatting sqref="O4946">
    <cfRule type="expression" dxfId="1832" priority="8840" stopIfTrue="1">
      <formula>OR($O$4946="F/S",$O$4946="")</formula>
    </cfRule>
    <cfRule type="cellIs" dxfId="1831" priority="8841" stopIfTrue="1" operator="notEqual">
      <formula>0</formula>
    </cfRule>
  </conditionalFormatting>
  <conditionalFormatting sqref="L4959">
    <cfRule type="expression" dxfId="1830" priority="8842" stopIfTrue="1">
      <formula>OR($L$4959="F/S",$L$4959="")</formula>
    </cfRule>
    <cfRule type="cellIs" dxfId="1829" priority="8843" stopIfTrue="1" operator="notEqual">
      <formula>0</formula>
    </cfRule>
  </conditionalFormatting>
  <conditionalFormatting sqref="O4959">
    <cfRule type="expression" dxfId="1828" priority="8844" stopIfTrue="1">
      <formula>OR($O$4959="F/S",$O$4959="")</formula>
    </cfRule>
    <cfRule type="cellIs" dxfId="1827" priority="8845" stopIfTrue="1" operator="notEqual">
      <formula>0</formula>
    </cfRule>
  </conditionalFormatting>
  <conditionalFormatting sqref="L4967">
    <cfRule type="expression" dxfId="1826" priority="8846" stopIfTrue="1">
      <formula>OR($L$4967="F/S",$L$4967="")</formula>
    </cfRule>
    <cfRule type="cellIs" dxfId="1825" priority="8847" stopIfTrue="1" operator="notEqual">
      <formula>0</formula>
    </cfRule>
  </conditionalFormatting>
  <conditionalFormatting sqref="O4967">
    <cfRule type="expression" dxfId="1824" priority="8848" stopIfTrue="1">
      <formula>OR($O$4967="F/S",$O$4967="")</formula>
    </cfRule>
    <cfRule type="cellIs" dxfId="1823" priority="8849" stopIfTrue="1" operator="notEqual">
      <formula>0</formula>
    </cfRule>
  </conditionalFormatting>
  <conditionalFormatting sqref="L5870">
    <cfRule type="expression" dxfId="1822" priority="8850" stopIfTrue="1">
      <formula>OR($L$5870="F/S",$L$5870="")</formula>
    </cfRule>
    <cfRule type="cellIs" dxfId="1821" priority="8851" stopIfTrue="1" operator="notEqual">
      <formula>0</formula>
    </cfRule>
  </conditionalFormatting>
  <conditionalFormatting sqref="O5870">
    <cfRule type="expression" dxfId="1820" priority="8852" stopIfTrue="1">
      <formula>OR($O$5870="F/S",$O$5870="")</formula>
    </cfRule>
    <cfRule type="cellIs" dxfId="1819" priority="8853" stopIfTrue="1" operator="notEqual">
      <formula>0</formula>
    </cfRule>
  </conditionalFormatting>
  <conditionalFormatting sqref="L5022">
    <cfRule type="expression" dxfId="1818" priority="8854" stopIfTrue="1">
      <formula>OR($L$5022="F/S",$L$5022="")</formula>
    </cfRule>
    <cfRule type="cellIs" dxfId="1817" priority="8855" stopIfTrue="1" operator="notEqual">
      <formula>0</formula>
    </cfRule>
  </conditionalFormatting>
  <conditionalFormatting sqref="O5022">
    <cfRule type="expression" dxfId="1816" priority="8856" stopIfTrue="1">
      <formula>OR($O$5022="F/S",$O$5022="")</formula>
    </cfRule>
    <cfRule type="cellIs" dxfId="1815" priority="8857" stopIfTrue="1" operator="notEqual">
      <formula>0</formula>
    </cfRule>
  </conditionalFormatting>
  <conditionalFormatting sqref="L5881">
    <cfRule type="expression" dxfId="1814" priority="8858" stopIfTrue="1">
      <formula>OR($L$5881="F/S",$L$5881="")</formula>
    </cfRule>
    <cfRule type="cellIs" dxfId="1813" priority="8859" stopIfTrue="1" operator="notEqual">
      <formula>0</formula>
    </cfRule>
  </conditionalFormatting>
  <conditionalFormatting sqref="O5881">
    <cfRule type="expression" dxfId="1812" priority="8860" stopIfTrue="1">
      <formula>OR($O$5881="F/S",$O$5881="")</formula>
    </cfRule>
    <cfRule type="cellIs" dxfId="1811" priority="8861" stopIfTrue="1" operator="notEqual">
      <formula>0</formula>
    </cfRule>
  </conditionalFormatting>
  <conditionalFormatting sqref="L5892">
    <cfRule type="expression" dxfId="1810" priority="8862" stopIfTrue="1">
      <formula>OR($L$5892="F/S",$L$5892="")</formula>
    </cfRule>
    <cfRule type="cellIs" dxfId="1809" priority="8863" stopIfTrue="1" operator="notEqual">
      <formula>0</formula>
    </cfRule>
  </conditionalFormatting>
  <conditionalFormatting sqref="O5892">
    <cfRule type="expression" dxfId="1808" priority="8864" stopIfTrue="1">
      <formula>OR($O$5892="F/S",$O$5892="")</formula>
    </cfRule>
    <cfRule type="cellIs" dxfId="1807" priority="8865" stopIfTrue="1" operator="notEqual">
      <formula>0</formula>
    </cfRule>
  </conditionalFormatting>
  <conditionalFormatting sqref="L5903">
    <cfRule type="expression" dxfId="1806" priority="8866" stopIfTrue="1">
      <formula>OR($L$5903="F/S",$L$5903="")</formula>
    </cfRule>
    <cfRule type="cellIs" dxfId="1805" priority="8867" stopIfTrue="1" operator="notEqual">
      <formula>0</formula>
    </cfRule>
  </conditionalFormatting>
  <conditionalFormatting sqref="O5903">
    <cfRule type="expression" dxfId="1804" priority="8868" stopIfTrue="1">
      <formula>OR($O$5903="F/S",$O$5903="")</formula>
    </cfRule>
    <cfRule type="cellIs" dxfId="1803" priority="8869" stopIfTrue="1" operator="notEqual">
      <formula>0</formula>
    </cfRule>
  </conditionalFormatting>
  <conditionalFormatting sqref="L5914">
    <cfRule type="expression" dxfId="1802" priority="8870" stopIfTrue="1">
      <formula>OR($L$5914="F/S",$L$5914="")</formula>
    </cfRule>
    <cfRule type="cellIs" dxfId="1801" priority="8871" stopIfTrue="1" operator="notEqual">
      <formula>0</formula>
    </cfRule>
  </conditionalFormatting>
  <conditionalFormatting sqref="O5914">
    <cfRule type="expression" dxfId="1800" priority="8872" stopIfTrue="1">
      <formula>OR($O$5914="F/S",$O$5914="")</formula>
    </cfRule>
    <cfRule type="cellIs" dxfId="1799" priority="8873" stopIfTrue="1" operator="notEqual">
      <formula>0</formula>
    </cfRule>
  </conditionalFormatting>
  <conditionalFormatting sqref="L5038">
    <cfRule type="expression" dxfId="1798" priority="8874" stopIfTrue="1">
      <formula>OR($L$5038="F/S",$L$5038="")</formula>
    </cfRule>
    <cfRule type="cellIs" dxfId="1797" priority="8875" stopIfTrue="1" operator="notEqual">
      <formula>0</formula>
    </cfRule>
  </conditionalFormatting>
  <conditionalFormatting sqref="O5038">
    <cfRule type="expression" dxfId="1796" priority="8876" stopIfTrue="1">
      <formula>OR($O$5038="F/S",$O$5038="")</formula>
    </cfRule>
    <cfRule type="cellIs" dxfId="1795" priority="8877" stopIfTrue="1" operator="notEqual">
      <formula>0</formula>
    </cfRule>
  </conditionalFormatting>
  <conditionalFormatting sqref="L5925">
    <cfRule type="expression" dxfId="1794" priority="8878" stopIfTrue="1">
      <formula>OR($L$5925="F/S",$L$5925="")</formula>
    </cfRule>
    <cfRule type="cellIs" dxfId="1793" priority="8879" stopIfTrue="1" operator="notEqual">
      <formula>0</formula>
    </cfRule>
  </conditionalFormatting>
  <conditionalFormatting sqref="O5925">
    <cfRule type="expression" dxfId="1792" priority="8880" stopIfTrue="1">
      <formula>OR($O$5925="F/S",$O$5925="")</formula>
    </cfRule>
    <cfRule type="cellIs" dxfId="1791" priority="8881" stopIfTrue="1" operator="notEqual">
      <formula>0</formula>
    </cfRule>
  </conditionalFormatting>
  <conditionalFormatting sqref="L5936">
    <cfRule type="expression" dxfId="1790" priority="8882" stopIfTrue="1">
      <formula>OR($L$5936="F/S",$L$5936="")</formula>
    </cfRule>
    <cfRule type="cellIs" dxfId="1789" priority="8883" stopIfTrue="1" operator="notEqual">
      <formula>0</formula>
    </cfRule>
  </conditionalFormatting>
  <conditionalFormatting sqref="O5936">
    <cfRule type="expression" dxfId="1788" priority="8884" stopIfTrue="1">
      <formula>OR($O$5936="F/S",$O$5936="")</formula>
    </cfRule>
    <cfRule type="cellIs" dxfId="1787" priority="8885" stopIfTrue="1" operator="notEqual">
      <formula>0</formula>
    </cfRule>
  </conditionalFormatting>
  <conditionalFormatting sqref="L5947">
    <cfRule type="expression" dxfId="1786" priority="8886" stopIfTrue="1">
      <formula>OR($L$5947="F/S",$L$5947="")</formula>
    </cfRule>
    <cfRule type="cellIs" dxfId="1785" priority="8887" stopIfTrue="1" operator="notEqual">
      <formula>0</formula>
    </cfRule>
  </conditionalFormatting>
  <conditionalFormatting sqref="O5947">
    <cfRule type="expression" dxfId="1784" priority="8888" stopIfTrue="1">
      <formula>OR($O$5947="F/S",$O$5947="")</formula>
    </cfRule>
    <cfRule type="cellIs" dxfId="1783" priority="8889" stopIfTrue="1" operator="notEqual">
      <formula>0</formula>
    </cfRule>
  </conditionalFormatting>
  <conditionalFormatting sqref="L5958">
    <cfRule type="expression" dxfId="1782" priority="8890" stopIfTrue="1">
      <formula>OR($L$5958="F/S",$L$5958="")</formula>
    </cfRule>
    <cfRule type="cellIs" dxfId="1781" priority="8891" stopIfTrue="1" operator="notEqual">
      <formula>0</formula>
    </cfRule>
  </conditionalFormatting>
  <conditionalFormatting sqref="O5958">
    <cfRule type="expression" dxfId="1780" priority="8892" stopIfTrue="1">
      <formula>OR($O$5958="F/S",$O$5958="")</formula>
    </cfRule>
    <cfRule type="cellIs" dxfId="1779" priority="8893" stopIfTrue="1" operator="notEqual">
      <formula>0</formula>
    </cfRule>
  </conditionalFormatting>
  <conditionalFormatting sqref="L5054">
    <cfRule type="expression" dxfId="1778" priority="8894" stopIfTrue="1">
      <formula>OR($L$5054="F/S",$L$5054="")</formula>
    </cfRule>
    <cfRule type="cellIs" dxfId="1777" priority="8895" stopIfTrue="1" operator="notEqual">
      <formula>0</formula>
    </cfRule>
  </conditionalFormatting>
  <conditionalFormatting sqref="O5054">
    <cfRule type="expression" dxfId="1776" priority="8896" stopIfTrue="1">
      <formula>OR($O$5054="F/S",$O$5054="")</formula>
    </cfRule>
    <cfRule type="cellIs" dxfId="1775" priority="8897" stopIfTrue="1" operator="notEqual">
      <formula>0</formula>
    </cfRule>
  </conditionalFormatting>
  <conditionalFormatting sqref="L5977">
    <cfRule type="expression" dxfId="1774" priority="8898" stopIfTrue="1">
      <formula>OR($L$5977="F/S",$L$5977="")</formula>
    </cfRule>
    <cfRule type="cellIs" dxfId="1773" priority="8899" stopIfTrue="1" operator="notEqual">
      <formula>0</formula>
    </cfRule>
  </conditionalFormatting>
  <conditionalFormatting sqref="O5977">
    <cfRule type="expression" dxfId="1772" priority="8900" stopIfTrue="1">
      <formula>OR($O$5977="F/S",$O$5977="")</formula>
    </cfRule>
    <cfRule type="cellIs" dxfId="1771" priority="8901" stopIfTrue="1" operator="notEqual">
      <formula>0</formula>
    </cfRule>
  </conditionalFormatting>
  <conditionalFormatting sqref="L5998">
    <cfRule type="expression" dxfId="1770" priority="8902" stopIfTrue="1">
      <formula>OR($L$5998="F/S",$L$5998="")</formula>
    </cfRule>
    <cfRule type="cellIs" dxfId="1769" priority="8903" stopIfTrue="1" operator="notEqual">
      <formula>0</formula>
    </cfRule>
  </conditionalFormatting>
  <conditionalFormatting sqref="O5998">
    <cfRule type="expression" dxfId="1768" priority="8904" stopIfTrue="1">
      <formula>OR($O$5998="F/S",$O$5998="")</formula>
    </cfRule>
    <cfRule type="cellIs" dxfId="1767" priority="8905" stopIfTrue="1" operator="notEqual">
      <formula>0</formula>
    </cfRule>
  </conditionalFormatting>
  <conditionalFormatting sqref="L5065">
    <cfRule type="expression" dxfId="1766" priority="8906" stopIfTrue="1">
      <formula>OR($L$5065="F/S",$L$5065="")</formula>
    </cfRule>
    <cfRule type="cellIs" dxfId="1765" priority="8907" stopIfTrue="1" operator="notEqual">
      <formula>0</formula>
    </cfRule>
  </conditionalFormatting>
  <conditionalFormatting sqref="O5065">
    <cfRule type="expression" dxfId="1764" priority="8908" stopIfTrue="1">
      <formula>OR($O$5065="F/S",$O$5065="")</formula>
    </cfRule>
    <cfRule type="cellIs" dxfId="1763" priority="8909" stopIfTrue="1" operator="notEqual">
      <formula>0</formula>
    </cfRule>
  </conditionalFormatting>
  <conditionalFormatting sqref="L6009">
    <cfRule type="expression" dxfId="1762" priority="8910" stopIfTrue="1">
      <formula>OR($L$6009="F/S",$L$6009="")</formula>
    </cfRule>
    <cfRule type="cellIs" dxfId="1761" priority="8911" stopIfTrue="1" operator="notEqual">
      <formula>0</formula>
    </cfRule>
  </conditionalFormatting>
  <conditionalFormatting sqref="O6009">
    <cfRule type="expression" dxfId="1760" priority="8912" stopIfTrue="1">
      <formula>OR($O$6009="F/S",$O$6009="")</formula>
    </cfRule>
    <cfRule type="cellIs" dxfId="1759" priority="8913" stopIfTrue="1" operator="notEqual">
      <formula>0</formula>
    </cfRule>
  </conditionalFormatting>
  <conditionalFormatting sqref="L5076">
    <cfRule type="expression" dxfId="1758" priority="8914" stopIfTrue="1">
      <formula>OR($L$5076="F/S",$L$5076="")</formula>
    </cfRule>
    <cfRule type="cellIs" dxfId="1757" priority="8915" stopIfTrue="1" operator="notEqual">
      <formula>0</formula>
    </cfRule>
  </conditionalFormatting>
  <conditionalFormatting sqref="O5076">
    <cfRule type="expression" dxfId="1756" priority="8916" stopIfTrue="1">
      <formula>OR($O$5076="F/S",$O$5076="")</formula>
    </cfRule>
    <cfRule type="cellIs" dxfId="1755" priority="8917" stopIfTrue="1" operator="notEqual">
      <formula>0</formula>
    </cfRule>
  </conditionalFormatting>
  <conditionalFormatting sqref="L6021">
    <cfRule type="expression" dxfId="1754" priority="8918" stopIfTrue="1">
      <formula>OR($L$6021="F/S",$L$6021="")</formula>
    </cfRule>
    <cfRule type="cellIs" dxfId="1753" priority="8919" stopIfTrue="1" operator="notEqual">
      <formula>0</formula>
    </cfRule>
  </conditionalFormatting>
  <conditionalFormatting sqref="O6021">
    <cfRule type="expression" dxfId="1752" priority="8920" stopIfTrue="1">
      <formula>OR($O$6021="F/S",$O$6021="")</formula>
    </cfRule>
    <cfRule type="cellIs" dxfId="1751" priority="8921" stopIfTrue="1" operator="notEqual">
      <formula>0</formula>
    </cfRule>
  </conditionalFormatting>
  <conditionalFormatting sqref="L6033">
    <cfRule type="expression" dxfId="1750" priority="8922" stopIfTrue="1">
      <formula>OR($L$6033="F/S",$L$6033="")</formula>
    </cfRule>
    <cfRule type="cellIs" dxfId="1749" priority="8923" stopIfTrue="1" operator="notEqual">
      <formula>0</formula>
    </cfRule>
  </conditionalFormatting>
  <conditionalFormatting sqref="O6033">
    <cfRule type="expression" dxfId="1748" priority="8924" stopIfTrue="1">
      <formula>OR($O$6033="F/S",$O$6033="")</formula>
    </cfRule>
    <cfRule type="cellIs" dxfId="1747" priority="8925" stopIfTrue="1" operator="notEqual">
      <formula>0</formula>
    </cfRule>
  </conditionalFormatting>
  <conditionalFormatting sqref="L5087">
    <cfRule type="expression" dxfId="1746" priority="8926" stopIfTrue="1">
      <formula>OR($L$5087="F/S",$L$5087="")</formula>
    </cfRule>
    <cfRule type="cellIs" dxfId="1745" priority="8927" stopIfTrue="1" operator="notEqual">
      <formula>0</formula>
    </cfRule>
  </conditionalFormatting>
  <conditionalFormatting sqref="O5087">
    <cfRule type="expression" dxfId="1744" priority="8928" stopIfTrue="1">
      <formula>OR($O$5087="F/S",$O$5087="")</formula>
    </cfRule>
    <cfRule type="cellIs" dxfId="1743" priority="8929" stopIfTrue="1" operator="notEqual">
      <formula>0</formula>
    </cfRule>
  </conditionalFormatting>
  <conditionalFormatting sqref="L5098">
    <cfRule type="expression" dxfId="1742" priority="8930" stopIfTrue="1">
      <formula>OR($L$5098="F/S",$L$5098="")</formula>
    </cfRule>
    <cfRule type="cellIs" dxfId="1741" priority="8931" stopIfTrue="1" operator="notEqual">
      <formula>0</formula>
    </cfRule>
  </conditionalFormatting>
  <conditionalFormatting sqref="O5098">
    <cfRule type="expression" dxfId="1740" priority="8932" stopIfTrue="1">
      <formula>OR($O$5098="F/S",$O$5098="")</formula>
    </cfRule>
    <cfRule type="cellIs" dxfId="1739" priority="8933" stopIfTrue="1" operator="notEqual">
      <formula>0</formula>
    </cfRule>
  </conditionalFormatting>
  <conditionalFormatting sqref="L5121">
    <cfRule type="expression" dxfId="1738" priority="8934" stopIfTrue="1">
      <formula>OR($L$5121="F/S",$L$5121="")</formula>
    </cfRule>
    <cfRule type="cellIs" dxfId="1737" priority="8935" stopIfTrue="1" operator="notEqual">
      <formula>0</formula>
    </cfRule>
  </conditionalFormatting>
  <conditionalFormatting sqref="O5121">
    <cfRule type="expression" dxfId="1736" priority="8936" stopIfTrue="1">
      <formula>OR($O$5121="F/S",$O$5121="")</formula>
    </cfRule>
    <cfRule type="cellIs" dxfId="1735" priority="8937" stopIfTrue="1" operator="notEqual">
      <formula>0</formula>
    </cfRule>
  </conditionalFormatting>
  <conditionalFormatting sqref="L5129">
    <cfRule type="expression" dxfId="1734" priority="8938" stopIfTrue="1">
      <formula>OR($L$5129="F/S",$L$5129="")</formula>
    </cfRule>
    <cfRule type="cellIs" dxfId="1733" priority="8939" stopIfTrue="1" operator="notEqual">
      <formula>0</formula>
    </cfRule>
  </conditionalFormatting>
  <conditionalFormatting sqref="O5129">
    <cfRule type="expression" dxfId="1732" priority="8940" stopIfTrue="1">
      <formula>OR($O$5129="F/S",$O$5129="")</formula>
    </cfRule>
    <cfRule type="cellIs" dxfId="1731" priority="8941" stopIfTrue="1" operator="notEqual">
      <formula>0</formula>
    </cfRule>
  </conditionalFormatting>
  <conditionalFormatting sqref="L5158">
    <cfRule type="expression" dxfId="1730" priority="8946" stopIfTrue="1">
      <formula>OR($L$5158="F/S",$L$5158="")</formula>
    </cfRule>
    <cfRule type="cellIs" dxfId="1729" priority="8947" stopIfTrue="1" operator="notEqual">
      <formula>0</formula>
    </cfRule>
  </conditionalFormatting>
  <conditionalFormatting sqref="O5158">
    <cfRule type="expression" dxfId="1728" priority="8948" stopIfTrue="1">
      <formula>OR($O$5158="F/S",$O$5158="")</formula>
    </cfRule>
    <cfRule type="cellIs" dxfId="1727" priority="8949" stopIfTrue="1" operator="notEqual">
      <formula>0</formula>
    </cfRule>
  </conditionalFormatting>
  <conditionalFormatting sqref="L5174">
    <cfRule type="expression" dxfId="1726" priority="8950" stopIfTrue="1">
      <formula>OR($L$5174="F/S",$L$5174="")</formula>
    </cfRule>
    <cfRule type="cellIs" dxfId="1725" priority="8951" stopIfTrue="1" operator="notEqual">
      <formula>0</formula>
    </cfRule>
  </conditionalFormatting>
  <conditionalFormatting sqref="O5174">
    <cfRule type="expression" dxfId="1724" priority="8952" stopIfTrue="1">
      <formula>OR($O$5174="F/S",$O$5174="")</formula>
    </cfRule>
    <cfRule type="cellIs" dxfId="1723" priority="8953" stopIfTrue="1" operator="notEqual">
      <formula>0</formula>
    </cfRule>
  </conditionalFormatting>
  <conditionalFormatting sqref="L5138">
    <cfRule type="expression" dxfId="1722" priority="8954" stopIfTrue="1">
      <formula>OR($L$5138="F/S",$L$5138="")</formula>
    </cfRule>
    <cfRule type="cellIs" dxfId="1721" priority="8955" stopIfTrue="1" operator="notEqual">
      <formula>0</formula>
    </cfRule>
  </conditionalFormatting>
  <conditionalFormatting sqref="O5138">
    <cfRule type="expression" dxfId="1720" priority="8956" stopIfTrue="1">
      <formula>OR($O$5138="F/S",$O$5138="")</formula>
    </cfRule>
    <cfRule type="cellIs" dxfId="1719" priority="8957" stopIfTrue="1" operator="notEqual">
      <formula>0</formula>
    </cfRule>
  </conditionalFormatting>
  <conditionalFormatting sqref="L5148">
    <cfRule type="expression" dxfId="1718" priority="8958" stopIfTrue="1">
      <formula>OR($L$5148="F/S",$L$5148="")</formula>
    </cfRule>
    <cfRule type="cellIs" dxfId="1717" priority="8959" stopIfTrue="1" operator="notEqual">
      <formula>0</formula>
    </cfRule>
  </conditionalFormatting>
  <conditionalFormatting sqref="O5148">
    <cfRule type="expression" dxfId="1716" priority="8960" stopIfTrue="1">
      <formula>OR($O$5148="F/S",$O$5148="")</formula>
    </cfRule>
    <cfRule type="cellIs" dxfId="1715" priority="8961" stopIfTrue="1" operator="notEqual">
      <formula>0</formula>
    </cfRule>
  </conditionalFormatting>
  <conditionalFormatting sqref="L6056">
    <cfRule type="expression" dxfId="1714" priority="8962" stopIfTrue="1">
      <formula>OR($L$6056="F/S",$L$6056="")</formula>
    </cfRule>
    <cfRule type="cellIs" dxfId="1713" priority="8963" stopIfTrue="1" operator="notEqual">
      <formula>0</formula>
    </cfRule>
  </conditionalFormatting>
  <conditionalFormatting sqref="O6056">
    <cfRule type="expression" dxfId="1712" priority="8964" stopIfTrue="1">
      <formula>OR($O$6056="F/S",$O$6056="")</formula>
    </cfRule>
    <cfRule type="cellIs" dxfId="1711" priority="8965" stopIfTrue="1" operator="notEqual">
      <formula>0</formula>
    </cfRule>
  </conditionalFormatting>
  <conditionalFormatting sqref="L6065">
    <cfRule type="expression" dxfId="1710" priority="8966" stopIfTrue="1">
      <formula>OR($L$6065="F/S",$L$6065="")</formula>
    </cfRule>
    <cfRule type="cellIs" dxfId="1709" priority="8967" stopIfTrue="1" operator="notEqual">
      <formula>0</formula>
    </cfRule>
  </conditionalFormatting>
  <conditionalFormatting sqref="O6065">
    <cfRule type="expression" dxfId="1708" priority="8968" stopIfTrue="1">
      <formula>OR($O$6065="F/S",$O$6065="")</formula>
    </cfRule>
    <cfRule type="cellIs" dxfId="1707" priority="8969" stopIfTrue="1" operator="notEqual">
      <formula>0</formula>
    </cfRule>
  </conditionalFormatting>
  <conditionalFormatting sqref="L6076">
    <cfRule type="expression" dxfId="1706" priority="8970" stopIfTrue="1">
      <formula>OR($L$6076="F/S",$L$6076="")</formula>
    </cfRule>
    <cfRule type="cellIs" dxfId="1705" priority="8971" stopIfTrue="1" operator="notEqual">
      <formula>0</formula>
    </cfRule>
  </conditionalFormatting>
  <conditionalFormatting sqref="O6076">
    <cfRule type="expression" dxfId="1704" priority="8972" stopIfTrue="1">
      <formula>OR($O$6076="F/S",$O$6076="")</formula>
    </cfRule>
    <cfRule type="cellIs" dxfId="1703" priority="8973" stopIfTrue="1" operator="notEqual">
      <formula>0</formula>
    </cfRule>
  </conditionalFormatting>
  <conditionalFormatting sqref="L6085">
    <cfRule type="expression" dxfId="1702" priority="8974" stopIfTrue="1">
      <formula>OR($L$6085="F/S",$L$6085="")</formula>
    </cfRule>
    <cfRule type="cellIs" dxfId="1701" priority="8975" stopIfTrue="1" operator="notEqual">
      <formula>0</formula>
    </cfRule>
  </conditionalFormatting>
  <conditionalFormatting sqref="O6085">
    <cfRule type="expression" dxfId="1700" priority="8976" stopIfTrue="1">
      <formula>OR($O$6085="F/S",$O$6085="")</formula>
    </cfRule>
    <cfRule type="cellIs" dxfId="1699" priority="8977" stopIfTrue="1" operator="notEqual">
      <formula>0</formula>
    </cfRule>
  </conditionalFormatting>
  <conditionalFormatting sqref="L6094">
    <cfRule type="expression" dxfId="1698" priority="8978" stopIfTrue="1">
      <formula>OR($L$6094="F/S",$L$6094="")</formula>
    </cfRule>
    <cfRule type="cellIs" dxfId="1697" priority="8979" stopIfTrue="1" operator="notEqual">
      <formula>0</formula>
    </cfRule>
  </conditionalFormatting>
  <conditionalFormatting sqref="O6094">
    <cfRule type="expression" dxfId="1696" priority="8980" stopIfTrue="1">
      <formula>OR($O$6094="F/S",$O$6094="")</formula>
    </cfRule>
    <cfRule type="cellIs" dxfId="1695" priority="8981" stopIfTrue="1" operator="notEqual">
      <formula>0</formula>
    </cfRule>
  </conditionalFormatting>
  <conditionalFormatting sqref="L6108">
    <cfRule type="expression" dxfId="1694" priority="8982" stopIfTrue="1">
      <formula>OR($L$6108="F/S",$L$6108="")</formula>
    </cfRule>
    <cfRule type="cellIs" dxfId="1693" priority="8983" stopIfTrue="1" operator="notEqual">
      <formula>0</formula>
    </cfRule>
  </conditionalFormatting>
  <conditionalFormatting sqref="O6108">
    <cfRule type="expression" dxfId="1692" priority="8984" stopIfTrue="1">
      <formula>OR($O$6108="F/S",$O$6108="")</formula>
    </cfRule>
    <cfRule type="cellIs" dxfId="1691" priority="8985" stopIfTrue="1" operator="notEqual">
      <formula>0</formula>
    </cfRule>
  </conditionalFormatting>
  <conditionalFormatting sqref="L6118">
    <cfRule type="expression" dxfId="1690" priority="8986" stopIfTrue="1">
      <formula>OR($L$6118="F/S",$L$6118="")</formula>
    </cfRule>
    <cfRule type="cellIs" dxfId="1689" priority="8987" stopIfTrue="1" operator="notEqual">
      <formula>0</formula>
    </cfRule>
  </conditionalFormatting>
  <conditionalFormatting sqref="O6118">
    <cfRule type="expression" dxfId="1688" priority="8988" stopIfTrue="1">
      <formula>OR($O$6118="F/S",$O$6118="")</formula>
    </cfRule>
    <cfRule type="cellIs" dxfId="1687" priority="8989" stopIfTrue="1" operator="notEqual">
      <formula>0</formula>
    </cfRule>
  </conditionalFormatting>
  <conditionalFormatting sqref="L6127">
    <cfRule type="expression" dxfId="1686" priority="8990" stopIfTrue="1">
      <formula>OR($L$6127="F/S",$L$6127="")</formula>
    </cfRule>
    <cfRule type="cellIs" dxfId="1685" priority="8991" stopIfTrue="1" operator="notEqual">
      <formula>0</formula>
    </cfRule>
  </conditionalFormatting>
  <conditionalFormatting sqref="O6127">
    <cfRule type="expression" dxfId="1684" priority="8992" stopIfTrue="1">
      <formula>OR($O$6127="F/S",$O$6127="")</formula>
    </cfRule>
    <cfRule type="cellIs" dxfId="1683" priority="8993" stopIfTrue="1" operator="notEqual">
      <formula>0</formula>
    </cfRule>
  </conditionalFormatting>
  <conditionalFormatting sqref="L6138">
    <cfRule type="expression" dxfId="1682" priority="8994" stopIfTrue="1">
      <formula>OR($L$6138="F/S",$L$6138="")</formula>
    </cfRule>
    <cfRule type="cellIs" dxfId="1681" priority="8995" stopIfTrue="1" operator="notEqual">
      <formula>0</formula>
    </cfRule>
  </conditionalFormatting>
  <conditionalFormatting sqref="O6138">
    <cfRule type="expression" dxfId="1680" priority="8996" stopIfTrue="1">
      <formula>OR($O$6138="F/S",$O$6138="")</formula>
    </cfRule>
    <cfRule type="cellIs" dxfId="1679" priority="8997" stopIfTrue="1" operator="notEqual">
      <formula>0</formula>
    </cfRule>
  </conditionalFormatting>
  <conditionalFormatting sqref="L6147">
    <cfRule type="expression" dxfId="1678" priority="8998" stopIfTrue="1">
      <formula>OR($L$6147="F/S",$L$6147="")</formula>
    </cfRule>
    <cfRule type="cellIs" dxfId="1677" priority="8999" stopIfTrue="1" operator="notEqual">
      <formula>0</formula>
    </cfRule>
  </conditionalFormatting>
  <conditionalFormatting sqref="O6147">
    <cfRule type="expression" dxfId="1676" priority="9000" stopIfTrue="1">
      <formula>OR($O$6147="F/S",$O$6147="")</formula>
    </cfRule>
    <cfRule type="cellIs" dxfId="1675" priority="9001" stopIfTrue="1" operator="notEqual">
      <formula>0</formula>
    </cfRule>
  </conditionalFormatting>
  <conditionalFormatting sqref="L6156">
    <cfRule type="expression" dxfId="1674" priority="9002" stopIfTrue="1">
      <formula>OR($L$6156="F/S",$L$6156="")</formula>
    </cfRule>
    <cfRule type="cellIs" dxfId="1673" priority="9003" stopIfTrue="1" operator="notEqual">
      <formula>0</formula>
    </cfRule>
  </conditionalFormatting>
  <conditionalFormatting sqref="O6156">
    <cfRule type="expression" dxfId="1672" priority="9004" stopIfTrue="1">
      <formula>OR($O$6156="F/S",$O$6156="")</formula>
    </cfRule>
    <cfRule type="cellIs" dxfId="1671" priority="9005" stopIfTrue="1" operator="notEqual">
      <formula>0</formula>
    </cfRule>
  </conditionalFormatting>
  <conditionalFormatting sqref="L6165">
    <cfRule type="expression" dxfId="1670" priority="9006" stopIfTrue="1">
      <formula>OR($L$6165="F/S",$L$6165="")</formula>
    </cfRule>
    <cfRule type="cellIs" dxfId="1669" priority="9007" stopIfTrue="1" operator="notEqual">
      <formula>0</formula>
    </cfRule>
  </conditionalFormatting>
  <conditionalFormatting sqref="O6165">
    <cfRule type="expression" dxfId="1668" priority="9008" stopIfTrue="1">
      <formula>OR($O$6165="F/S",$O$6165="")</formula>
    </cfRule>
    <cfRule type="cellIs" dxfId="1667" priority="9009" stopIfTrue="1" operator="notEqual">
      <formula>0</formula>
    </cfRule>
  </conditionalFormatting>
  <conditionalFormatting sqref="L6187">
    <cfRule type="expression" dxfId="1666" priority="9010" stopIfTrue="1">
      <formula>OR($L$6187="F/S",$L$6187="")</formula>
    </cfRule>
    <cfRule type="cellIs" dxfId="1665" priority="9011" stopIfTrue="1" operator="notEqual">
      <formula>0</formula>
    </cfRule>
  </conditionalFormatting>
  <conditionalFormatting sqref="O6187">
    <cfRule type="expression" dxfId="1664" priority="9012" stopIfTrue="1">
      <formula>OR($O$6187="F/S",$O$6187="")</formula>
    </cfRule>
    <cfRule type="cellIs" dxfId="1663" priority="9013" stopIfTrue="1" operator="notEqual">
      <formula>0</formula>
    </cfRule>
  </conditionalFormatting>
  <conditionalFormatting sqref="L6214">
    <cfRule type="expression" dxfId="1662" priority="9014" stopIfTrue="1">
      <formula>OR($L$6214="F/S",$L$6214="")</formula>
    </cfRule>
    <cfRule type="cellIs" dxfId="1661" priority="9015" stopIfTrue="1" operator="notEqual">
      <formula>0</formula>
    </cfRule>
  </conditionalFormatting>
  <conditionalFormatting sqref="O6214">
    <cfRule type="expression" dxfId="1660" priority="9016" stopIfTrue="1">
      <formula>OR($O$6214="F/S",$O$6214="")</formula>
    </cfRule>
    <cfRule type="cellIs" dxfId="1659" priority="9017" stopIfTrue="1" operator="notEqual">
      <formula>0</formula>
    </cfRule>
  </conditionalFormatting>
  <conditionalFormatting sqref="L6243">
    <cfRule type="expression" dxfId="1658" priority="9018" stopIfTrue="1">
      <formula>OR($L$6243="F/S",$L$6243="")</formula>
    </cfRule>
    <cfRule type="cellIs" dxfId="1657" priority="9019" stopIfTrue="1" operator="notEqual">
      <formula>0</formula>
    </cfRule>
  </conditionalFormatting>
  <conditionalFormatting sqref="O6243">
    <cfRule type="expression" dxfId="1656" priority="9020" stopIfTrue="1">
      <formula>OR($O$6243="F/S",$O$6243="")</formula>
    </cfRule>
    <cfRule type="cellIs" dxfId="1655" priority="9021" stopIfTrue="1" operator="notEqual">
      <formula>0</formula>
    </cfRule>
  </conditionalFormatting>
  <conditionalFormatting sqref="L5623">
    <cfRule type="expression" dxfId="1654" priority="9022" stopIfTrue="1">
      <formula>OR($L$5623="F/S",$L$5623="")</formula>
    </cfRule>
    <cfRule type="cellIs" dxfId="1653" priority="9023" stopIfTrue="1" operator="notEqual">
      <formula>0</formula>
    </cfRule>
  </conditionalFormatting>
  <conditionalFormatting sqref="O5623">
    <cfRule type="expression" dxfId="1652" priority="9024" stopIfTrue="1">
      <formula>OR($O$5623="F/S",$O$5623="")</formula>
    </cfRule>
    <cfRule type="cellIs" dxfId="1651" priority="9025" stopIfTrue="1" operator="notEqual">
      <formula>0</formula>
    </cfRule>
  </conditionalFormatting>
  <conditionalFormatting sqref="L5636">
    <cfRule type="expression" dxfId="1650" priority="9026" stopIfTrue="1">
      <formula>OR($L$5636="F/S",$L$5636="")</formula>
    </cfRule>
    <cfRule type="cellIs" dxfId="1649" priority="9027" stopIfTrue="1" operator="notEqual">
      <formula>0</formula>
    </cfRule>
  </conditionalFormatting>
  <conditionalFormatting sqref="O5636">
    <cfRule type="expression" dxfId="1648" priority="9028" stopIfTrue="1">
      <formula>OR($O$5636="F/S",$O$5636="")</formula>
    </cfRule>
    <cfRule type="cellIs" dxfId="1647" priority="9029" stopIfTrue="1" operator="notEqual">
      <formula>0</formula>
    </cfRule>
  </conditionalFormatting>
  <conditionalFormatting sqref="L5649">
    <cfRule type="expression" dxfId="1646" priority="9030" stopIfTrue="1">
      <formula>OR($L$5649="F/S",$L$5649="")</formula>
    </cfRule>
    <cfRule type="cellIs" dxfId="1645" priority="9031" stopIfTrue="1" operator="notEqual">
      <formula>0</formula>
    </cfRule>
  </conditionalFormatting>
  <conditionalFormatting sqref="O5649">
    <cfRule type="expression" dxfId="1644" priority="9032" stopIfTrue="1">
      <formula>OR($O$5649="F/S",$O$5649="")</formula>
    </cfRule>
    <cfRule type="cellIs" dxfId="1643" priority="9033" stopIfTrue="1" operator="notEqual">
      <formula>0</formula>
    </cfRule>
  </conditionalFormatting>
  <conditionalFormatting sqref="L5659">
    <cfRule type="expression" dxfId="1642" priority="9034" stopIfTrue="1">
      <formula>OR($L$5659="F/S",$L$5659="")</formula>
    </cfRule>
    <cfRule type="cellIs" dxfId="1641" priority="9035" stopIfTrue="1" operator="notEqual">
      <formula>0</formula>
    </cfRule>
  </conditionalFormatting>
  <conditionalFormatting sqref="O5659">
    <cfRule type="expression" dxfId="1640" priority="9036" stopIfTrue="1">
      <formula>OR($O$5659="F/S",$O$5659="")</formula>
    </cfRule>
    <cfRule type="cellIs" dxfId="1639" priority="9037" stopIfTrue="1" operator="notEqual">
      <formula>0</formula>
    </cfRule>
  </conditionalFormatting>
  <conditionalFormatting sqref="L5669">
    <cfRule type="expression" dxfId="1638" priority="9038" stopIfTrue="1">
      <formula>OR($L$5669="F/S",$L$5669="")</formula>
    </cfRule>
    <cfRule type="cellIs" dxfId="1637" priority="9039" stopIfTrue="1" operator="notEqual">
      <formula>0</formula>
    </cfRule>
  </conditionalFormatting>
  <conditionalFormatting sqref="O5669">
    <cfRule type="expression" dxfId="1636" priority="9040" stopIfTrue="1">
      <formula>OR($O$5669="F/S",$O$5669="")</formula>
    </cfRule>
    <cfRule type="cellIs" dxfId="1635" priority="9041" stopIfTrue="1" operator="notEqual">
      <formula>0</formula>
    </cfRule>
  </conditionalFormatting>
  <conditionalFormatting sqref="L5679">
    <cfRule type="expression" dxfId="1634" priority="9042" stopIfTrue="1">
      <formula>OR($L$5679="F/S",$L$5679="")</formula>
    </cfRule>
    <cfRule type="cellIs" dxfId="1633" priority="9043" stopIfTrue="1" operator="notEqual">
      <formula>0</formula>
    </cfRule>
  </conditionalFormatting>
  <conditionalFormatting sqref="O5679">
    <cfRule type="expression" dxfId="1632" priority="9044" stopIfTrue="1">
      <formula>OR($O$5679="F/S",$O$5679="")</formula>
    </cfRule>
    <cfRule type="cellIs" dxfId="1631" priority="9045" stopIfTrue="1" operator="notEqual">
      <formula>0</formula>
    </cfRule>
  </conditionalFormatting>
  <conditionalFormatting sqref="L5689">
    <cfRule type="expression" dxfId="1630" priority="9046" stopIfTrue="1">
      <formula>OR($L$5689="F/S",$L$5689="")</formula>
    </cfRule>
    <cfRule type="cellIs" dxfId="1629" priority="9047" stopIfTrue="1" operator="notEqual">
      <formula>0</formula>
    </cfRule>
  </conditionalFormatting>
  <conditionalFormatting sqref="O5689">
    <cfRule type="expression" dxfId="1628" priority="9048" stopIfTrue="1">
      <formula>OR($O$5689="F/S",$O$5689="")</formula>
    </cfRule>
    <cfRule type="cellIs" dxfId="1627" priority="9049" stopIfTrue="1" operator="notEqual">
      <formula>0</formula>
    </cfRule>
  </conditionalFormatting>
  <conditionalFormatting sqref="L5699">
    <cfRule type="expression" dxfId="1626" priority="9050" stopIfTrue="1">
      <formula>OR($L$5699="F/S",$L$5699="")</formula>
    </cfRule>
    <cfRule type="cellIs" dxfId="1625" priority="9051" stopIfTrue="1" operator="notEqual">
      <formula>0</formula>
    </cfRule>
  </conditionalFormatting>
  <conditionalFormatting sqref="O5699">
    <cfRule type="expression" dxfId="1624" priority="9052" stopIfTrue="1">
      <formula>OR($O$5699="F/S",$O$5699="")</formula>
    </cfRule>
    <cfRule type="cellIs" dxfId="1623" priority="9053" stopIfTrue="1" operator="notEqual">
      <formula>0</formula>
    </cfRule>
  </conditionalFormatting>
  <conditionalFormatting sqref="L5709">
    <cfRule type="expression" dxfId="1622" priority="9054" stopIfTrue="1">
      <formula>OR($L$5709="F/S",$L$5709="")</formula>
    </cfRule>
    <cfRule type="cellIs" dxfId="1621" priority="9055" stopIfTrue="1" operator="notEqual">
      <formula>0</formula>
    </cfRule>
  </conditionalFormatting>
  <conditionalFormatting sqref="O5709">
    <cfRule type="expression" dxfId="1620" priority="9056" stopIfTrue="1">
      <formula>OR($O$5709="F/S",$O$5709="")</formula>
    </cfRule>
    <cfRule type="cellIs" dxfId="1619" priority="9057" stopIfTrue="1" operator="notEqual">
      <formula>0</formula>
    </cfRule>
  </conditionalFormatting>
  <conditionalFormatting sqref="L5719">
    <cfRule type="expression" dxfId="1618" priority="9058" stopIfTrue="1">
      <formula>OR($L$5719="F/S",$L$5719="")</formula>
    </cfRule>
    <cfRule type="cellIs" dxfId="1617" priority="9059" stopIfTrue="1" operator="notEqual">
      <formula>0</formula>
    </cfRule>
  </conditionalFormatting>
  <conditionalFormatting sqref="O5719">
    <cfRule type="expression" dxfId="1616" priority="9060" stopIfTrue="1">
      <formula>OR($O$5719="F/S",$O$5719="")</formula>
    </cfRule>
    <cfRule type="cellIs" dxfId="1615" priority="9061" stopIfTrue="1" operator="notEqual">
      <formula>0</formula>
    </cfRule>
  </conditionalFormatting>
  <conditionalFormatting sqref="L5729">
    <cfRule type="expression" dxfId="1614" priority="9062" stopIfTrue="1">
      <formula>OR($L$5729="F/S",$L$5729="")</formula>
    </cfRule>
    <cfRule type="cellIs" dxfId="1613" priority="9063" stopIfTrue="1" operator="notEqual">
      <formula>0</formula>
    </cfRule>
  </conditionalFormatting>
  <conditionalFormatting sqref="O5729">
    <cfRule type="expression" dxfId="1612" priority="9064" stopIfTrue="1">
      <formula>OR($O$5729="F/S",$O$5729="")</formula>
    </cfRule>
    <cfRule type="cellIs" dxfId="1611" priority="9065" stopIfTrue="1" operator="notEqual">
      <formula>0</formula>
    </cfRule>
  </conditionalFormatting>
  <conditionalFormatting sqref="L5739">
    <cfRule type="expression" dxfId="1610" priority="9066" stopIfTrue="1">
      <formula>OR($L$5739="F/S",$L$5739="")</formula>
    </cfRule>
    <cfRule type="cellIs" dxfId="1609" priority="9067" stopIfTrue="1" operator="notEqual">
      <formula>0</formula>
    </cfRule>
  </conditionalFormatting>
  <conditionalFormatting sqref="O5739">
    <cfRule type="expression" dxfId="1608" priority="9068" stopIfTrue="1">
      <formula>OR($O$5739="F/S",$O$5739="")</formula>
    </cfRule>
    <cfRule type="cellIs" dxfId="1607" priority="9069" stopIfTrue="1" operator="notEqual">
      <formula>0</formula>
    </cfRule>
  </conditionalFormatting>
  <conditionalFormatting sqref="L5747">
    <cfRule type="expression" dxfId="1606" priority="9070" stopIfTrue="1">
      <formula>OR($L$5747="F/S",$L$5747="")</formula>
    </cfRule>
    <cfRule type="cellIs" dxfId="1605" priority="9071" stopIfTrue="1" operator="notEqual">
      <formula>0</formula>
    </cfRule>
  </conditionalFormatting>
  <conditionalFormatting sqref="O5747">
    <cfRule type="expression" dxfId="1604" priority="9072" stopIfTrue="1">
      <formula>OR($O$5747="F/S",$O$5747="")</formula>
    </cfRule>
    <cfRule type="cellIs" dxfId="1603" priority="9073" stopIfTrue="1" operator="notEqual">
      <formula>0</formula>
    </cfRule>
  </conditionalFormatting>
  <conditionalFormatting sqref="L5762">
    <cfRule type="expression" dxfId="1602" priority="9074" stopIfTrue="1">
      <formula>OR($L$5762="F/S",$L$5762="")</formula>
    </cfRule>
    <cfRule type="cellIs" dxfId="1601" priority="9075" stopIfTrue="1" operator="notEqual">
      <formula>0</formula>
    </cfRule>
  </conditionalFormatting>
  <conditionalFormatting sqref="O5762">
    <cfRule type="expression" dxfId="1600" priority="9076" stopIfTrue="1">
      <formula>OR($O$5762="F/S",$O$5762="")</formula>
    </cfRule>
    <cfRule type="cellIs" dxfId="1599" priority="9077" stopIfTrue="1" operator="notEqual">
      <formula>0</formula>
    </cfRule>
  </conditionalFormatting>
  <conditionalFormatting sqref="L5185">
    <cfRule type="expression" dxfId="1598" priority="9078" stopIfTrue="1">
      <formula>OR($L$5185="F/S",$L$5185="")</formula>
    </cfRule>
    <cfRule type="cellIs" dxfId="1597" priority="9079" stopIfTrue="1" operator="notEqual">
      <formula>0</formula>
    </cfRule>
  </conditionalFormatting>
  <conditionalFormatting sqref="O5185">
    <cfRule type="expression" dxfId="1596" priority="9080" stopIfTrue="1">
      <formula>OR($O$5185="F/S",$O$5185="")</formula>
    </cfRule>
    <cfRule type="cellIs" dxfId="1595" priority="9081" stopIfTrue="1" operator="notEqual">
      <formula>0</formula>
    </cfRule>
  </conditionalFormatting>
  <conditionalFormatting sqref="L5321">
    <cfRule type="expression" dxfId="1594" priority="9094" stopIfTrue="1">
      <formula>OR($L$5321="F/S",$L$5321="")</formula>
    </cfRule>
    <cfRule type="cellIs" dxfId="1593" priority="9095" stopIfTrue="1" operator="notEqual">
      <formula>0</formula>
    </cfRule>
  </conditionalFormatting>
  <conditionalFormatting sqref="O5321">
    <cfRule type="expression" dxfId="1592" priority="9096" stopIfTrue="1">
      <formula>OR($O$5321="F/S",$O$5321="")</formula>
    </cfRule>
    <cfRule type="cellIs" dxfId="1591" priority="9097" stopIfTrue="1" operator="notEqual">
      <formula>0</formula>
    </cfRule>
  </conditionalFormatting>
  <conditionalFormatting sqref="L5338">
    <cfRule type="expression" dxfId="1590" priority="9098" stopIfTrue="1">
      <formula>OR($L$5338="F/S",$L$5338="")</formula>
    </cfRule>
    <cfRule type="cellIs" dxfId="1589" priority="9099" stopIfTrue="1" operator="notEqual">
      <formula>0</formula>
    </cfRule>
  </conditionalFormatting>
  <conditionalFormatting sqref="O5338">
    <cfRule type="expression" dxfId="1588" priority="9100" stopIfTrue="1">
      <formula>OR($O$5338="F/S",$O$5338="")</formula>
    </cfRule>
    <cfRule type="cellIs" dxfId="1587" priority="9101" stopIfTrue="1" operator="notEqual">
      <formula>0</formula>
    </cfRule>
  </conditionalFormatting>
  <conditionalFormatting sqref="L5355">
    <cfRule type="expression" dxfId="1586" priority="9102" stopIfTrue="1">
      <formula>OR($L$5355="F/S",$L$5355="")</formula>
    </cfRule>
    <cfRule type="cellIs" dxfId="1585" priority="9103" stopIfTrue="1" operator="notEqual">
      <formula>0</formula>
    </cfRule>
  </conditionalFormatting>
  <conditionalFormatting sqref="O5355">
    <cfRule type="expression" dxfId="1584" priority="9104" stopIfTrue="1">
      <formula>OR($O$5355="F/S",$O$5355="")</formula>
    </cfRule>
    <cfRule type="cellIs" dxfId="1583" priority="9105" stopIfTrue="1" operator="notEqual">
      <formula>0</formula>
    </cfRule>
  </conditionalFormatting>
  <conditionalFormatting sqref="L5371">
    <cfRule type="expression" dxfId="1582" priority="9106" stopIfTrue="1">
      <formula>OR($L$5371="F/S",$L$5371="")</formula>
    </cfRule>
    <cfRule type="cellIs" dxfId="1581" priority="9107" stopIfTrue="1" operator="notEqual">
      <formula>0</formula>
    </cfRule>
  </conditionalFormatting>
  <conditionalFormatting sqref="O5371">
    <cfRule type="expression" dxfId="1580" priority="9108" stopIfTrue="1">
      <formula>OR($O$5371="F/S",$O$5371="")</formula>
    </cfRule>
    <cfRule type="cellIs" dxfId="1579" priority="9109" stopIfTrue="1" operator="notEqual">
      <formula>0</formula>
    </cfRule>
  </conditionalFormatting>
  <conditionalFormatting sqref="L5387">
    <cfRule type="expression" dxfId="1578" priority="9110" stopIfTrue="1">
      <formula>OR($L$5387="F/S",$L$5387="")</formula>
    </cfRule>
    <cfRule type="cellIs" dxfId="1577" priority="9111" stopIfTrue="1" operator="notEqual">
      <formula>0</formula>
    </cfRule>
  </conditionalFormatting>
  <conditionalFormatting sqref="O5387">
    <cfRule type="expression" dxfId="1576" priority="9112" stopIfTrue="1">
      <formula>OR($O$5387="F/S",$O$5387="")</formula>
    </cfRule>
    <cfRule type="cellIs" dxfId="1575" priority="9113" stopIfTrue="1" operator="notEqual">
      <formula>0</formula>
    </cfRule>
  </conditionalFormatting>
  <conditionalFormatting sqref="L5421">
    <cfRule type="expression" dxfId="1574" priority="9114" stopIfTrue="1">
      <formula>OR($L$5421="F/S",$L$5421="")</formula>
    </cfRule>
    <cfRule type="cellIs" dxfId="1573" priority="9115" stopIfTrue="1" operator="notEqual">
      <formula>0</formula>
    </cfRule>
  </conditionalFormatting>
  <conditionalFormatting sqref="O5421">
    <cfRule type="expression" dxfId="1572" priority="9116" stopIfTrue="1">
      <formula>OR($O$5421="F/S",$O$5421="")</formula>
    </cfRule>
    <cfRule type="cellIs" dxfId="1571" priority="9117" stopIfTrue="1" operator="notEqual">
      <formula>0</formula>
    </cfRule>
  </conditionalFormatting>
  <conditionalFormatting sqref="L5456">
    <cfRule type="expression" dxfId="1570" priority="9118" stopIfTrue="1">
      <formula>OR($L$5456="F/S",$L$5456="")</formula>
    </cfRule>
    <cfRule type="cellIs" dxfId="1569" priority="9119" stopIfTrue="1" operator="notEqual">
      <formula>0</formula>
    </cfRule>
  </conditionalFormatting>
  <conditionalFormatting sqref="O5456">
    <cfRule type="expression" dxfId="1568" priority="9120" stopIfTrue="1">
      <formula>OR($O$5456="F/S",$O$5456="")</formula>
    </cfRule>
    <cfRule type="cellIs" dxfId="1567" priority="9121" stopIfTrue="1" operator="notEqual">
      <formula>0</formula>
    </cfRule>
  </conditionalFormatting>
  <conditionalFormatting sqref="L5603">
    <cfRule type="expression" dxfId="1566" priority="9122" stopIfTrue="1">
      <formula>OR($L$5603="F/S",$L$5603="")</formula>
    </cfRule>
    <cfRule type="cellIs" dxfId="1565" priority="9123" stopIfTrue="1" operator="notEqual">
      <formula>0</formula>
    </cfRule>
  </conditionalFormatting>
  <conditionalFormatting sqref="O5603">
    <cfRule type="expression" dxfId="1564" priority="9124" stopIfTrue="1">
      <formula>OR($O$5603="F/S",$O$5603="")</formula>
    </cfRule>
    <cfRule type="cellIs" dxfId="1563" priority="9125" stopIfTrue="1" operator="notEqual">
      <formula>0</formula>
    </cfRule>
  </conditionalFormatting>
  <conditionalFormatting sqref="L5577">
    <cfRule type="expression" dxfId="1562" priority="9142" stopIfTrue="1">
      <formula>OR($L$5577="F/S",$L$5577="")</formula>
    </cfRule>
    <cfRule type="cellIs" dxfId="1561" priority="9143" stopIfTrue="1" operator="notEqual">
      <formula>0</formula>
    </cfRule>
  </conditionalFormatting>
  <conditionalFormatting sqref="O5577">
    <cfRule type="expression" dxfId="1560" priority="9144" stopIfTrue="1">
      <formula>OR($O$5577="F/S",$O$5577="")</formula>
    </cfRule>
    <cfRule type="cellIs" dxfId="1559" priority="9145" stopIfTrue="1" operator="notEqual">
      <formula>0</formula>
    </cfRule>
  </conditionalFormatting>
  <conditionalFormatting sqref="L5776">
    <cfRule type="expression" dxfId="1558" priority="9150" stopIfTrue="1">
      <formula>OR($L$5776="F/S",$L$5776="")</formula>
    </cfRule>
    <cfRule type="cellIs" dxfId="1557" priority="9151" stopIfTrue="1" operator="notEqual">
      <formula>0</formula>
    </cfRule>
  </conditionalFormatting>
  <conditionalFormatting sqref="O5776">
    <cfRule type="expression" dxfId="1556" priority="9152" stopIfTrue="1">
      <formula>OR($O$5776="F/S",$O$5776="")</formula>
    </cfRule>
    <cfRule type="cellIs" dxfId="1555" priority="9153" stopIfTrue="1" operator="notEqual">
      <formula>0</formula>
    </cfRule>
  </conditionalFormatting>
  <conditionalFormatting sqref="L5277">
    <cfRule type="expression" dxfId="1554" priority="9154" stopIfTrue="1">
      <formula>OR($L$5277="F/S",$L$5277="")</formula>
    </cfRule>
    <cfRule type="cellIs" dxfId="1553" priority="9155" stopIfTrue="1" operator="notEqual">
      <formula>0</formula>
    </cfRule>
  </conditionalFormatting>
  <conditionalFormatting sqref="O5277">
    <cfRule type="expression" dxfId="1552" priority="9156" stopIfTrue="1">
      <formula>OR($O$5277="F/S",$O$5277="")</formula>
    </cfRule>
    <cfRule type="cellIs" dxfId="1551" priority="9157" stopIfTrue="1" operator="notEqual">
      <formula>0</formula>
    </cfRule>
  </conditionalFormatting>
  <conditionalFormatting sqref="L5550">
    <cfRule type="expression" dxfId="1550" priority="9158" stopIfTrue="1">
      <formula>OR($L$5550="F/S",$L$5550="")</formula>
    </cfRule>
    <cfRule type="cellIs" dxfId="1549" priority="9159" stopIfTrue="1" operator="notEqual">
      <formula>0</formula>
    </cfRule>
  </conditionalFormatting>
  <conditionalFormatting sqref="O5550">
    <cfRule type="expression" dxfId="1548" priority="9160" stopIfTrue="1">
      <formula>OR($O$5550="F/S",$O$5550="")</formula>
    </cfRule>
    <cfRule type="cellIs" dxfId="1547" priority="9161" stopIfTrue="1" operator="notEqual">
      <formula>0</formula>
    </cfRule>
  </conditionalFormatting>
  <conditionalFormatting sqref="L5559">
    <cfRule type="expression" dxfId="1546" priority="9162" stopIfTrue="1">
      <formula>OR($L$5559="F/S",$L$5559="")</formula>
    </cfRule>
    <cfRule type="cellIs" dxfId="1545" priority="9163" stopIfTrue="1" operator="notEqual">
      <formula>0</formula>
    </cfRule>
  </conditionalFormatting>
  <conditionalFormatting sqref="O5559">
    <cfRule type="expression" dxfId="1544" priority="9164" stopIfTrue="1">
      <formula>OR($O$5559="F/S",$O$5559="")</formula>
    </cfRule>
    <cfRule type="cellIs" dxfId="1543" priority="9165" stopIfTrue="1" operator="notEqual">
      <formula>0</formula>
    </cfRule>
  </conditionalFormatting>
  <conditionalFormatting sqref="L5292">
    <cfRule type="expression" dxfId="1542" priority="9190" stopIfTrue="1">
      <formula>OR($L$5292="F/S",$L$5292="")</formula>
    </cfRule>
    <cfRule type="cellIs" dxfId="1541" priority="9191" stopIfTrue="1" operator="notEqual">
      <formula>0</formula>
    </cfRule>
  </conditionalFormatting>
  <conditionalFormatting sqref="O5292">
    <cfRule type="expression" dxfId="1540" priority="9192" stopIfTrue="1">
      <formula>OR($O$5292="F/S",$O$5292="")</formula>
    </cfRule>
    <cfRule type="cellIs" dxfId="1539" priority="9193" stopIfTrue="1" operator="notEqual">
      <formula>0</formula>
    </cfRule>
  </conditionalFormatting>
  <conditionalFormatting sqref="L5307">
    <cfRule type="expression" dxfId="1538" priority="9194" stopIfTrue="1">
      <formula>OR($L$5307="F/S",$L$5307="")</formula>
    </cfRule>
    <cfRule type="cellIs" dxfId="1537" priority="9195" stopIfTrue="1" operator="notEqual">
      <formula>0</formula>
    </cfRule>
  </conditionalFormatting>
  <conditionalFormatting sqref="O5307">
    <cfRule type="expression" dxfId="1536" priority="9196" stopIfTrue="1">
      <formula>OR($O$5307="F/S",$O$5307="")</formula>
    </cfRule>
    <cfRule type="cellIs" dxfId="1535" priority="9197" stopIfTrue="1" operator="notEqual">
      <formula>0</formula>
    </cfRule>
  </conditionalFormatting>
  <conditionalFormatting sqref="L5806">
    <cfRule type="expression" dxfId="1534" priority="9198" stopIfTrue="1">
      <formula>OR($L$5806="F/S",$L$5806="")</formula>
    </cfRule>
    <cfRule type="cellIs" dxfId="1533" priority="9199" stopIfTrue="1" operator="notEqual">
      <formula>0</formula>
    </cfRule>
  </conditionalFormatting>
  <conditionalFormatting sqref="O5806">
    <cfRule type="expression" dxfId="1532" priority="9200" stopIfTrue="1">
      <formula>OR($O$5806="F/S",$O$5806="")</formula>
    </cfRule>
    <cfRule type="cellIs" dxfId="1531" priority="9201" stopIfTrue="1" operator="notEqual">
      <formula>0</formula>
    </cfRule>
  </conditionalFormatting>
  <conditionalFormatting sqref="L5848">
    <cfRule type="expression" dxfId="1530" priority="9202" stopIfTrue="1">
      <formula>OR($L$5848="F/S",$L$5848="")</formula>
    </cfRule>
    <cfRule type="cellIs" dxfId="1529" priority="9203" stopIfTrue="1" operator="notEqual">
      <formula>0</formula>
    </cfRule>
  </conditionalFormatting>
  <conditionalFormatting sqref="O5848">
    <cfRule type="expression" dxfId="1528" priority="9204" stopIfTrue="1">
      <formula>OR($O$5848="F/S",$O$5848="")</formula>
    </cfRule>
    <cfRule type="cellIs" dxfId="1527" priority="9205" stopIfTrue="1" operator="notEqual">
      <formula>0</formula>
    </cfRule>
  </conditionalFormatting>
  <conditionalFormatting sqref="L5838">
    <cfRule type="expression" dxfId="1526" priority="9206" stopIfTrue="1">
      <formula>OR($L$5838="F/S",$L$5838="")</formula>
    </cfRule>
    <cfRule type="cellIs" dxfId="1525" priority="9207" stopIfTrue="1" operator="notEqual">
      <formula>0</formula>
    </cfRule>
  </conditionalFormatting>
  <conditionalFormatting sqref="O5838">
    <cfRule type="expression" dxfId="1524" priority="9208" stopIfTrue="1">
      <formula>OR($O$5838="F/S",$O$5838="")</formula>
    </cfRule>
    <cfRule type="cellIs" dxfId="1523" priority="9209" stopIfTrue="1" operator="notEqual">
      <formula>0</formula>
    </cfRule>
  </conditionalFormatting>
  <conditionalFormatting sqref="L5858">
    <cfRule type="expression" dxfId="1522" priority="9210" stopIfTrue="1">
      <formula>OR($L$5858="F/S",$L$5858="")</formula>
    </cfRule>
    <cfRule type="cellIs" dxfId="1521" priority="9211" stopIfTrue="1" operator="notEqual">
      <formula>0</formula>
    </cfRule>
  </conditionalFormatting>
  <conditionalFormatting sqref="O5858">
    <cfRule type="expression" dxfId="1520" priority="9212" stopIfTrue="1">
      <formula>OR($O$5858="F/S",$O$5858="")</formula>
    </cfRule>
    <cfRule type="cellIs" dxfId="1519" priority="9213" stopIfTrue="1" operator="notEqual">
      <formula>0</formula>
    </cfRule>
  </conditionalFormatting>
  <conditionalFormatting sqref="L4986">
    <cfRule type="expression" dxfId="1518" priority="9214" stopIfTrue="1">
      <formula>OR($L$4986="F/S",$L$4986="")</formula>
    </cfRule>
    <cfRule type="cellIs" dxfId="1517" priority="9215" stopIfTrue="1" operator="notEqual">
      <formula>0</formula>
    </cfRule>
  </conditionalFormatting>
  <conditionalFormatting sqref="O4986">
    <cfRule type="expression" dxfId="1516" priority="9216" stopIfTrue="1">
      <formula>OR($O$4986="F/S",$O$4986="")</formula>
    </cfRule>
    <cfRule type="cellIs" dxfId="1515" priority="9217" stopIfTrue="1" operator="notEqual">
      <formula>0</formula>
    </cfRule>
  </conditionalFormatting>
  <conditionalFormatting sqref="L5000">
    <cfRule type="expression" dxfId="1514" priority="9218" stopIfTrue="1">
      <formula>OR($L$5000="F/S",$L$5000="")</formula>
    </cfRule>
    <cfRule type="cellIs" dxfId="1513" priority="9219" stopIfTrue="1" operator="notEqual">
      <formula>0</formula>
    </cfRule>
  </conditionalFormatting>
  <conditionalFormatting sqref="O5000">
    <cfRule type="expression" dxfId="1512" priority="9220" stopIfTrue="1">
      <formula>OR($O$5000="F/S",$O$5000="")</formula>
    </cfRule>
    <cfRule type="cellIs" dxfId="1511" priority="9221" stopIfTrue="1" operator="notEqual">
      <formula>0</formula>
    </cfRule>
  </conditionalFormatting>
  <conditionalFormatting sqref="L5010">
    <cfRule type="expression" dxfId="1510" priority="9222" stopIfTrue="1">
      <formula>OR($L$5010="F/S",$L$5010="")</formula>
    </cfRule>
    <cfRule type="cellIs" dxfId="1509" priority="9223" stopIfTrue="1" operator="notEqual">
      <formula>0</formula>
    </cfRule>
  </conditionalFormatting>
  <conditionalFormatting sqref="O5010">
    <cfRule type="expression" dxfId="1508" priority="9224" stopIfTrue="1">
      <formula>OR($O$5010="F/S",$O$5010="")</formula>
    </cfRule>
    <cfRule type="cellIs" dxfId="1507" priority="9225" stopIfTrue="1" operator="notEqual">
      <formula>0</formula>
    </cfRule>
  </conditionalFormatting>
  <conditionalFormatting sqref="H2703">
    <cfRule type="expression" dxfId="1506" priority="9230">
      <formula>AND(H$2703&lt;&gt;0,H$2703&lt;&gt;"")</formula>
    </cfRule>
    <cfRule type="expression" dxfId="1505" priority="9231" stopIfTrue="1">
      <formula>H$2704&lt;&gt;"√"</formula>
    </cfRule>
  </conditionalFormatting>
  <conditionalFormatting sqref="P2703">
    <cfRule type="expression" dxfId="1504" priority="9232">
      <formula>AND(P$2703&lt;&gt;0,P$2703&lt;&gt;"")</formula>
    </cfRule>
    <cfRule type="expression" dxfId="1503" priority="9233" stopIfTrue="1">
      <formula>P$2704&lt;&gt;"√"</formula>
    </cfRule>
  </conditionalFormatting>
  <conditionalFormatting sqref="K2705">
    <cfRule type="expression" dxfId="1502" priority="9234">
      <formula>AND($K$2705&lt;&gt;0,$K$2705&lt;&gt;"")</formula>
    </cfRule>
    <cfRule type="expression" dxfId="1501" priority="9235" stopIfTrue="1">
      <formula>$L$2705&lt;&gt;"√"</formula>
    </cfRule>
  </conditionalFormatting>
  <conditionalFormatting sqref="H3111">
    <cfRule type="expression" dxfId="1500" priority="9236">
      <formula>AND(H$3111&lt;&gt;0,H$3111&lt;&gt;"")</formula>
    </cfRule>
    <cfRule type="expression" dxfId="1499" priority="9237" stopIfTrue="1">
      <formula>H$3112&lt;&gt;"√"</formula>
    </cfRule>
  </conditionalFormatting>
  <conditionalFormatting sqref="P3111">
    <cfRule type="expression" dxfId="1498" priority="9238">
      <formula>AND(P$3111&lt;&gt;0,P$3111&lt;&gt;"")</formula>
    </cfRule>
    <cfRule type="expression" dxfId="1497" priority="9239" stopIfTrue="1">
      <formula>P$3112&lt;&gt;"√"</formula>
    </cfRule>
  </conditionalFormatting>
  <conditionalFormatting sqref="K3113">
    <cfRule type="expression" dxfId="1496" priority="9240">
      <formula>AND($K$3113&lt;&gt;0,$K$3113&lt;&gt;"")</formula>
    </cfRule>
    <cfRule type="expression" dxfId="1495" priority="9241" stopIfTrue="1">
      <formula>$L$3113&lt;&gt;"√"</formula>
    </cfRule>
  </conditionalFormatting>
  <conditionalFormatting sqref="G4374:G4392">
    <cfRule type="expression" dxfId="1494" priority="9245">
      <formula>$D4374&gt;1</formula>
    </cfRule>
    <cfRule type="expression" dxfId="1493" priority="9246">
      <formula>$C4374="%IN"</formula>
    </cfRule>
    <cfRule type="expression" dxfId="1492" priority="9247" stopIfTrue="1">
      <formula>$E4374=0</formula>
    </cfRule>
  </conditionalFormatting>
  <conditionalFormatting sqref="G5873:G5878">
    <cfRule type="expression" dxfId="1491" priority="9248">
      <formula>$D5873&gt;1</formula>
    </cfRule>
    <cfRule type="expression" dxfId="1490" priority="9249">
      <formula>$C5873="%IN"</formula>
    </cfRule>
    <cfRule type="expression" dxfId="1489" priority="9250" stopIfTrue="1">
      <formula>$E5873=0</formula>
    </cfRule>
  </conditionalFormatting>
  <conditionalFormatting sqref="G5884:G5889">
    <cfRule type="expression" dxfId="1488" priority="9251">
      <formula>$D5884&gt;1</formula>
    </cfRule>
    <cfRule type="expression" dxfId="1487" priority="9252">
      <formula>$C5884="%IN"</formula>
    </cfRule>
    <cfRule type="expression" dxfId="1486" priority="9253" stopIfTrue="1">
      <formula>$E5884=0</formula>
    </cfRule>
  </conditionalFormatting>
  <conditionalFormatting sqref="G5895:G5900">
    <cfRule type="expression" dxfId="1485" priority="9254">
      <formula>$D5895&gt;1</formula>
    </cfRule>
    <cfRule type="expression" dxfId="1484" priority="9255">
      <formula>$C5895="%IN"</formula>
    </cfRule>
    <cfRule type="expression" dxfId="1483" priority="9256" stopIfTrue="1">
      <formula>$E5895=0</formula>
    </cfRule>
  </conditionalFormatting>
  <conditionalFormatting sqref="G5906:G5911">
    <cfRule type="expression" dxfId="1482" priority="9257">
      <formula>$D5906&gt;1</formula>
    </cfRule>
    <cfRule type="expression" dxfId="1481" priority="9258">
      <formula>$C5906="%IN"</formula>
    </cfRule>
    <cfRule type="expression" dxfId="1480" priority="9259" stopIfTrue="1">
      <formula>$E5906=0</formula>
    </cfRule>
  </conditionalFormatting>
  <conditionalFormatting sqref="G5917:G5922">
    <cfRule type="expression" dxfId="1479" priority="9260">
      <formula>$D5917&gt;1</formula>
    </cfRule>
    <cfRule type="expression" dxfId="1478" priority="9261">
      <formula>$C5917="%IN"</formula>
    </cfRule>
    <cfRule type="expression" dxfId="1477" priority="9262" stopIfTrue="1">
      <formula>$E5917=0</formula>
    </cfRule>
  </conditionalFormatting>
  <conditionalFormatting sqref="G5928:G5933">
    <cfRule type="expression" dxfId="1476" priority="9263">
      <formula>$D5928&gt;1</formula>
    </cfRule>
    <cfRule type="expression" dxfId="1475" priority="9264">
      <formula>$C5928="%IN"</formula>
    </cfRule>
    <cfRule type="expression" dxfId="1474" priority="9265" stopIfTrue="1">
      <formula>$E5928=0</formula>
    </cfRule>
  </conditionalFormatting>
  <conditionalFormatting sqref="G5939:G5944">
    <cfRule type="expression" dxfId="1473" priority="9266">
      <formula>$D5939&gt;1</formula>
    </cfRule>
    <cfRule type="expression" dxfId="1472" priority="9267">
      <formula>$C5939="%IN"</formula>
    </cfRule>
    <cfRule type="expression" dxfId="1471" priority="9268" stopIfTrue="1">
      <formula>$E5939=0</formula>
    </cfRule>
  </conditionalFormatting>
  <conditionalFormatting sqref="G5950:G5955">
    <cfRule type="expression" dxfId="1470" priority="9269">
      <formula>$D5950&gt;1</formula>
    </cfRule>
    <cfRule type="expression" dxfId="1469" priority="9270">
      <formula>$C5950="%IN"</formula>
    </cfRule>
    <cfRule type="expression" dxfId="1468" priority="9271" stopIfTrue="1">
      <formula>$E5950=0</formula>
    </cfRule>
  </conditionalFormatting>
  <conditionalFormatting sqref="G5961:G5974">
    <cfRule type="expression" dxfId="1467" priority="9272">
      <formula>$D5961&gt;1</formula>
    </cfRule>
    <cfRule type="expression" dxfId="1466" priority="9273">
      <formula>$C5961="%IN"</formula>
    </cfRule>
    <cfRule type="expression" dxfId="1465" priority="9274" stopIfTrue="1">
      <formula>$E5961=0</formula>
    </cfRule>
  </conditionalFormatting>
  <conditionalFormatting sqref="G5980:G5995">
    <cfRule type="expression" dxfId="1464" priority="9275">
      <formula>$D5980&gt;1</formula>
    </cfRule>
    <cfRule type="expression" dxfId="1463" priority="9276">
      <formula>$C5980="%IN"</formula>
    </cfRule>
    <cfRule type="expression" dxfId="1462" priority="9277" stopIfTrue="1">
      <formula>$E5980=0</formula>
    </cfRule>
  </conditionalFormatting>
  <conditionalFormatting sqref="G6001:G6006">
    <cfRule type="expression" dxfId="1461" priority="9278">
      <formula>$D6001&gt;1</formula>
    </cfRule>
    <cfRule type="expression" dxfId="1460" priority="9279">
      <formula>$C6001="%IN"</formula>
    </cfRule>
    <cfRule type="expression" dxfId="1459" priority="9280" stopIfTrue="1">
      <formula>$E6001=0</formula>
    </cfRule>
  </conditionalFormatting>
  <conditionalFormatting sqref="G6012:G6018">
    <cfRule type="expression" dxfId="1458" priority="9281">
      <formula>$D6012&gt;1</formula>
    </cfRule>
    <cfRule type="expression" dxfId="1457" priority="9282">
      <formula>$C6012="%IN"</formula>
    </cfRule>
    <cfRule type="expression" dxfId="1456" priority="9283" stopIfTrue="1">
      <formula>$E6012=0</formula>
    </cfRule>
  </conditionalFormatting>
  <conditionalFormatting sqref="G6024:G6030">
    <cfRule type="expression" dxfId="1455" priority="9284">
      <formula>$D6024&gt;1</formula>
    </cfRule>
    <cfRule type="expression" dxfId="1454" priority="9285">
      <formula>$C6024="%IN"</formula>
    </cfRule>
    <cfRule type="expression" dxfId="1453" priority="9286" stopIfTrue="1">
      <formula>$E6024=0</formula>
    </cfRule>
  </conditionalFormatting>
  <conditionalFormatting sqref="G6036:G6052">
    <cfRule type="expression" dxfId="1452" priority="9287">
      <formula>$D6036&gt;1</formula>
    </cfRule>
    <cfRule type="expression" dxfId="1451" priority="9288">
      <formula>$C6036="%IN"</formula>
    </cfRule>
    <cfRule type="expression" dxfId="1450" priority="9289" stopIfTrue="1">
      <formula>$E6036=0</formula>
    </cfRule>
  </conditionalFormatting>
  <conditionalFormatting sqref="G6059:G6062">
    <cfRule type="expression" dxfId="1449" priority="9290">
      <formula>$D6059&gt;1</formula>
    </cfRule>
    <cfRule type="expression" dxfId="1448" priority="9291">
      <formula>$C6059="%IN"</formula>
    </cfRule>
    <cfRule type="expression" dxfId="1447" priority="9292" stopIfTrue="1">
      <formula>$E6059=0</formula>
    </cfRule>
  </conditionalFormatting>
  <conditionalFormatting sqref="G6068:G6073">
    <cfRule type="expression" dxfId="1446" priority="9293">
      <formula>$D6068&gt;1</formula>
    </cfRule>
    <cfRule type="expression" dxfId="1445" priority="9294">
      <formula>$C6068="%IN"</formula>
    </cfRule>
    <cfRule type="expression" dxfId="1444" priority="9295" stopIfTrue="1">
      <formula>$E6068=0</formula>
    </cfRule>
  </conditionalFormatting>
  <conditionalFormatting sqref="G6079:G6082">
    <cfRule type="expression" dxfId="1443" priority="9296">
      <formula>$D6079&gt;1</formula>
    </cfRule>
    <cfRule type="expression" dxfId="1442" priority="9297">
      <formula>$C6079="%IN"</formula>
    </cfRule>
    <cfRule type="expression" dxfId="1441" priority="9298" stopIfTrue="1">
      <formula>$E6079=0</formula>
    </cfRule>
  </conditionalFormatting>
  <conditionalFormatting sqref="G6088:G6091">
    <cfRule type="expression" dxfId="1440" priority="9299">
      <formula>$D6088&gt;1</formula>
    </cfRule>
    <cfRule type="expression" dxfId="1439" priority="9300">
      <formula>$C6088="%IN"</formula>
    </cfRule>
    <cfRule type="expression" dxfId="1438" priority="9301" stopIfTrue="1">
      <formula>$E6088=0</formula>
    </cfRule>
  </conditionalFormatting>
  <conditionalFormatting sqref="G6111:G6115">
    <cfRule type="expression" dxfId="1437" priority="9305">
      <formula>$D6111&gt;1</formula>
    </cfRule>
    <cfRule type="expression" dxfId="1436" priority="9306">
      <formula>$C6111="%IN"</formula>
    </cfRule>
    <cfRule type="expression" dxfId="1435" priority="9307" stopIfTrue="1">
      <formula>$E6111=0</formula>
    </cfRule>
  </conditionalFormatting>
  <conditionalFormatting sqref="G6121:G6124">
    <cfRule type="expression" dxfId="1434" priority="9308">
      <formula>$D6121&gt;1</formula>
    </cfRule>
    <cfRule type="expression" dxfId="1433" priority="9309">
      <formula>$C6121="%IN"</formula>
    </cfRule>
    <cfRule type="expression" dxfId="1432" priority="9310" stopIfTrue="1">
      <formula>$E6121=0</formula>
    </cfRule>
  </conditionalFormatting>
  <conditionalFormatting sqref="G6130:G6135">
    <cfRule type="expression" dxfId="1431" priority="9311">
      <formula>$D6130&gt;1</formula>
    </cfRule>
    <cfRule type="expression" dxfId="1430" priority="9312">
      <formula>$C6130="%IN"</formula>
    </cfRule>
    <cfRule type="expression" dxfId="1429" priority="9313" stopIfTrue="1">
      <formula>$E6130=0</formula>
    </cfRule>
  </conditionalFormatting>
  <conditionalFormatting sqref="G6141:G6144">
    <cfRule type="expression" dxfId="1428" priority="9314">
      <formula>$D6141&gt;1</formula>
    </cfRule>
    <cfRule type="expression" dxfId="1427" priority="9315">
      <formula>$C6141="%IN"</formula>
    </cfRule>
    <cfRule type="expression" dxfId="1426" priority="9316" stopIfTrue="1">
      <formula>$E6141=0</formula>
    </cfRule>
  </conditionalFormatting>
  <conditionalFormatting sqref="G6150:G6153">
    <cfRule type="expression" dxfId="1425" priority="9317">
      <formula>$D6150&gt;1</formula>
    </cfRule>
    <cfRule type="expression" dxfId="1424" priority="9318">
      <formula>$C6150="%IN"</formula>
    </cfRule>
    <cfRule type="expression" dxfId="1423" priority="9319" stopIfTrue="1">
      <formula>$E6150=0</formula>
    </cfRule>
  </conditionalFormatting>
  <conditionalFormatting sqref="G6159:G6162">
    <cfRule type="expression" dxfId="1422" priority="9320">
      <formula>$D6159&gt;1</formula>
    </cfRule>
    <cfRule type="expression" dxfId="1421" priority="9321">
      <formula>$C6159="%IN"</formula>
    </cfRule>
    <cfRule type="expression" dxfId="1420" priority="9322" stopIfTrue="1">
      <formula>$E6159=0</formula>
    </cfRule>
  </conditionalFormatting>
  <conditionalFormatting sqref="G6190:G6211">
    <cfRule type="expression" dxfId="1419" priority="9326">
      <formula>$D6190&gt;1</formula>
    </cfRule>
    <cfRule type="expression" dxfId="1418" priority="9327">
      <formula>$C6190="%IN"</formula>
    </cfRule>
    <cfRule type="expression" dxfId="1417" priority="9328" stopIfTrue="1">
      <formula>$E6190=0</formula>
    </cfRule>
  </conditionalFormatting>
  <conditionalFormatting sqref="G6217:G6240">
    <cfRule type="expression" dxfId="1416" priority="9329">
      <formula>$D6217&gt;1</formula>
    </cfRule>
    <cfRule type="expression" dxfId="1415" priority="9330">
      <formula>$C6217="%IN"</formula>
    </cfRule>
    <cfRule type="expression" dxfId="1414" priority="9331" stopIfTrue="1">
      <formula>$E6217=0</formula>
    </cfRule>
  </conditionalFormatting>
  <conditionalFormatting sqref="G6246:G6249">
    <cfRule type="expression" dxfId="1413" priority="9332">
      <formula>$D6246&gt;1</formula>
    </cfRule>
    <cfRule type="expression" dxfId="1412" priority="9333">
      <formula>$C6246="%IN"</formula>
    </cfRule>
    <cfRule type="expression" dxfId="1411" priority="9334" stopIfTrue="1">
      <formula>$E6246=0</formula>
    </cfRule>
  </conditionalFormatting>
  <conditionalFormatting sqref="G13:G17">
    <cfRule type="expression" dxfId="1410" priority="9335">
      <formula>$D13&gt;1</formula>
    </cfRule>
    <cfRule type="expression" dxfId="1409" priority="9336">
      <formula>$C13="%IN"</formula>
    </cfRule>
    <cfRule type="expression" dxfId="1408" priority="9337" stopIfTrue="1">
      <formula>$E13=0</formula>
    </cfRule>
  </conditionalFormatting>
  <conditionalFormatting sqref="I448">
    <cfRule type="expression" dxfId="1407" priority="430" stopIfTrue="1">
      <formula>$I448="适用"</formula>
    </cfRule>
    <cfRule type="expression" dxfId="1406" priority="431" stopIfTrue="1">
      <formula>$I448="不适用"</formula>
    </cfRule>
  </conditionalFormatting>
  <conditionalFormatting sqref="I763">
    <cfRule type="expression" dxfId="1405" priority="413" stopIfTrue="1">
      <formula>$I763="适用"</formula>
    </cfRule>
    <cfRule type="expression" dxfId="1404" priority="414" stopIfTrue="1">
      <formula>$I763="不适用"</formula>
    </cfRule>
  </conditionalFormatting>
  <conditionalFormatting sqref="Q763:Q778">
    <cfRule type="expression" dxfId="1403" priority="412" stopIfTrue="1">
      <formula>$Q763="请输入"</formula>
    </cfRule>
  </conditionalFormatting>
  <conditionalFormatting sqref="L1058">
    <cfRule type="expression" dxfId="1402" priority="9344" stopIfTrue="1">
      <formula>OR($L$1058="F/S",$L$1058="")</formula>
    </cfRule>
    <cfRule type="cellIs" dxfId="1401" priority="9345" stopIfTrue="1" operator="notEqual">
      <formula>0</formula>
    </cfRule>
  </conditionalFormatting>
  <conditionalFormatting sqref="O1058">
    <cfRule type="expression" dxfId="1400" priority="9346" stopIfTrue="1">
      <formula>OR($O$1058="F/S",$O$1058="")</formula>
    </cfRule>
    <cfRule type="cellIs" dxfId="1399" priority="9347" stopIfTrue="1" operator="notEqual">
      <formula>0</formula>
    </cfRule>
  </conditionalFormatting>
  <conditionalFormatting sqref="G4989:G4998">
    <cfRule type="expression" dxfId="1398" priority="9351">
      <formula>$D4989&gt;1</formula>
    </cfRule>
    <cfRule type="expression" dxfId="1397" priority="9352">
      <formula>$C4989="%IN"</formula>
    </cfRule>
    <cfRule type="expression" dxfId="1396" priority="9353" stopIfTrue="1">
      <formula>$E4989=0</formula>
    </cfRule>
  </conditionalFormatting>
  <conditionalFormatting sqref="G6097:G6105">
    <cfRule type="expression" dxfId="1395" priority="9354">
      <formula>$D6097&gt;1</formula>
    </cfRule>
    <cfRule type="expression" dxfId="1394" priority="9355">
      <formula>$C6097="%IN"</formula>
    </cfRule>
    <cfRule type="expression" dxfId="1393" priority="9356" stopIfTrue="1">
      <formula>$E6097=0</formula>
    </cfRule>
  </conditionalFormatting>
  <conditionalFormatting sqref="G5392:G5419">
    <cfRule type="expression" dxfId="1392" priority="9357">
      <formula>$D5392&gt;1</formula>
    </cfRule>
    <cfRule type="expression" dxfId="1391" priority="9358">
      <formula>$C5392="%IN"</formula>
    </cfRule>
    <cfRule type="expression" dxfId="1390" priority="9359" stopIfTrue="1">
      <formula>$E5392=0</formula>
    </cfRule>
  </conditionalFormatting>
  <conditionalFormatting sqref="G5426:G5453">
    <cfRule type="expression" dxfId="1389" priority="9360">
      <formula>$D5426&gt;1</formula>
    </cfRule>
    <cfRule type="expression" dxfId="1388" priority="9361">
      <formula>$C5426="%IN"</formula>
    </cfRule>
    <cfRule type="expression" dxfId="1387" priority="9362" stopIfTrue="1">
      <formula>$E5426=0</formula>
    </cfRule>
  </conditionalFormatting>
  <conditionalFormatting sqref="G3737">
    <cfRule type="expression" dxfId="1386" priority="395">
      <formula>$D3737&gt;1</formula>
    </cfRule>
    <cfRule type="expression" dxfId="1385" priority="396">
      <formula>$C3737="%IN"</formula>
    </cfRule>
    <cfRule type="expression" dxfId="1384" priority="397" stopIfTrue="1">
      <formula>$E3737=0</formula>
    </cfRule>
  </conditionalFormatting>
  <conditionalFormatting sqref="L1080:L1101">
    <cfRule type="expression" dxfId="1383" priority="9366" stopIfTrue="1">
      <formula>OR($L$1080="F/S",$L$1080="")</formula>
    </cfRule>
    <cfRule type="cellIs" dxfId="1382" priority="9367" stopIfTrue="1" operator="notEqual">
      <formula>0</formula>
    </cfRule>
  </conditionalFormatting>
  <conditionalFormatting sqref="O1080:O1101">
    <cfRule type="expression" dxfId="1381" priority="9368" stopIfTrue="1">
      <formula>OR($O$1080="F/S",$O$1080="")</formula>
    </cfRule>
    <cfRule type="cellIs" dxfId="1380" priority="9369" stopIfTrue="1" operator="notEqual">
      <formula>0</formula>
    </cfRule>
  </conditionalFormatting>
  <conditionalFormatting sqref="L1102:L1116">
    <cfRule type="expression" dxfId="1379" priority="9373" stopIfTrue="1">
      <formula>OR($L$1102="F/S",$L$1102="")</formula>
    </cfRule>
    <cfRule type="cellIs" dxfId="1378" priority="9374" stopIfTrue="1" operator="notEqual">
      <formula>0</formula>
    </cfRule>
  </conditionalFormatting>
  <conditionalFormatting sqref="O1102:O1116">
    <cfRule type="expression" dxfId="1377" priority="9375" stopIfTrue="1">
      <formula>OR($O$1102="F/S",$O$1102="")</formula>
    </cfRule>
    <cfRule type="cellIs" dxfId="1376" priority="9376" stopIfTrue="1" operator="notEqual">
      <formula>0</formula>
    </cfRule>
  </conditionalFormatting>
  <conditionalFormatting sqref="L415">
    <cfRule type="expression" dxfId="1375" priority="9386" stopIfTrue="1">
      <formula>OR($L$415="F/S",$L$415="")</formula>
    </cfRule>
    <cfRule type="cellIs" dxfId="1374" priority="9387" stopIfTrue="1" operator="notEqual">
      <formula>0</formula>
    </cfRule>
  </conditionalFormatting>
  <conditionalFormatting sqref="O415">
    <cfRule type="expression" dxfId="1373" priority="9388" stopIfTrue="1">
      <formula>OR($O$415="F/S",$O$415="")</formula>
    </cfRule>
    <cfRule type="cellIs" dxfId="1372" priority="9389" stopIfTrue="1" operator="notEqual">
      <formula>0</formula>
    </cfRule>
  </conditionalFormatting>
  <conditionalFormatting sqref="I415">
    <cfRule type="expression" dxfId="1371" priority="379" stopIfTrue="1">
      <formula>$I415="适用"</formula>
    </cfRule>
    <cfRule type="expression" dxfId="1370" priority="380" stopIfTrue="1">
      <formula>$I415="不适用"</formula>
    </cfRule>
  </conditionalFormatting>
  <conditionalFormatting sqref="Q415">
    <cfRule type="expression" dxfId="1369" priority="378" stopIfTrue="1">
      <formula>$Q415="请输入"</formula>
    </cfRule>
  </conditionalFormatting>
  <conditionalFormatting sqref="G3459:G3464">
    <cfRule type="expression" dxfId="1368" priority="9393">
      <formula>$D3459&gt;1</formula>
    </cfRule>
    <cfRule type="expression" dxfId="1367" priority="9394">
      <formula>$C3459="%IN"</formula>
    </cfRule>
    <cfRule type="expression" dxfId="1366" priority="9395" stopIfTrue="1">
      <formula>$E3459=0</formula>
    </cfRule>
  </conditionalFormatting>
  <conditionalFormatting sqref="G3844:G3849">
    <cfRule type="expression" dxfId="1365" priority="9399">
      <formula>$D3844&gt;1</formula>
    </cfRule>
    <cfRule type="expression" dxfId="1364" priority="9400">
      <formula>$C3844="%IN"</formula>
    </cfRule>
    <cfRule type="expression" dxfId="1363" priority="9401" stopIfTrue="1">
      <formula>$E3844=0</formula>
    </cfRule>
  </conditionalFormatting>
  <conditionalFormatting sqref="G62:G67">
    <cfRule type="expression" dxfId="1362" priority="9402">
      <formula>$D62&gt;1</formula>
    </cfRule>
    <cfRule type="expression" dxfId="1361" priority="9403">
      <formula>$C62="%IN"</formula>
    </cfRule>
    <cfRule type="expression" dxfId="1360" priority="9404" stopIfTrue="1">
      <formula>$E62=0</formula>
    </cfRule>
  </conditionalFormatting>
  <conditionalFormatting sqref="G671:G676">
    <cfRule type="expression" dxfId="1359" priority="9405">
      <formula>$D671&gt;1</formula>
    </cfRule>
    <cfRule type="expression" dxfId="1358" priority="9406">
      <formula>$C671="%IN"</formula>
    </cfRule>
    <cfRule type="expression" dxfId="1357" priority="9407" stopIfTrue="1">
      <formula>$E671=0</formula>
    </cfRule>
  </conditionalFormatting>
  <conditionalFormatting sqref="G3375:G3380">
    <cfRule type="expression" dxfId="1356" priority="9408">
      <formula>$D3375&gt;1</formula>
    </cfRule>
    <cfRule type="expression" dxfId="1355" priority="9409">
      <formula>$C3375="%IN"</formula>
    </cfRule>
    <cfRule type="expression" dxfId="1354" priority="9410" stopIfTrue="1">
      <formula>$E3375=0</formula>
    </cfRule>
  </conditionalFormatting>
  <conditionalFormatting sqref="G3486:G3491">
    <cfRule type="expression" dxfId="1353" priority="9411">
      <formula>$D3486&gt;1</formula>
    </cfRule>
    <cfRule type="expression" dxfId="1352" priority="9412">
      <formula>$C3486="%IN"</formula>
    </cfRule>
    <cfRule type="expression" dxfId="1351" priority="9413" stopIfTrue="1">
      <formula>$E3486=0</formula>
    </cfRule>
  </conditionalFormatting>
  <conditionalFormatting sqref="G3881:G3886">
    <cfRule type="expression" dxfId="1350" priority="9414">
      <formula>$D3881&gt;1</formula>
    </cfRule>
    <cfRule type="expression" dxfId="1349" priority="9415">
      <formula>$C3881="%IN"</formula>
    </cfRule>
    <cfRule type="expression" dxfId="1348" priority="9416" stopIfTrue="1">
      <formula>$E3881=0</formula>
    </cfRule>
  </conditionalFormatting>
  <conditionalFormatting sqref="G2196:G2201">
    <cfRule type="expression" dxfId="1347" priority="9417">
      <formula>$D2196&gt;1</formula>
    </cfRule>
    <cfRule type="expression" dxfId="1346" priority="9418">
      <formula>$C2196="%IN"</formula>
    </cfRule>
    <cfRule type="expression" dxfId="1345" priority="9419" stopIfTrue="1">
      <formula>$E2196=0</formula>
    </cfRule>
  </conditionalFormatting>
  <conditionalFormatting sqref="G4141:G4146">
    <cfRule type="expression" dxfId="1344" priority="9420">
      <formula>$D4141&gt;1</formula>
    </cfRule>
    <cfRule type="expression" dxfId="1343" priority="9421">
      <formula>$C4141="%IN"</formula>
    </cfRule>
    <cfRule type="expression" dxfId="1342" priority="9422" stopIfTrue="1">
      <formula>$E4141=0</formula>
    </cfRule>
  </conditionalFormatting>
  <conditionalFormatting sqref="G4162:G4167">
    <cfRule type="expression" dxfId="1341" priority="9423">
      <formula>$D4162&gt;1</formula>
    </cfRule>
    <cfRule type="expression" dxfId="1340" priority="9424">
      <formula>$C4162="%IN"</formula>
    </cfRule>
    <cfRule type="expression" dxfId="1339" priority="9425" stopIfTrue="1">
      <formula>$E4162=0</formula>
    </cfRule>
  </conditionalFormatting>
  <conditionalFormatting sqref="G2406:G2411">
    <cfRule type="expression" dxfId="1338" priority="9426">
      <formula>$D2406&gt;1</formula>
    </cfRule>
    <cfRule type="expression" dxfId="1337" priority="9427">
      <formula>$C2406="%IN"</formula>
    </cfRule>
    <cfRule type="expression" dxfId="1336" priority="9428" stopIfTrue="1">
      <formula>$E2406=0</formula>
    </cfRule>
  </conditionalFormatting>
  <conditionalFormatting sqref="L306:L307 L310:L315">
    <cfRule type="expression" dxfId="1335" priority="9429" stopIfTrue="1">
      <formula>OR($L$306="F/S",$L$306="")</formula>
    </cfRule>
    <cfRule type="cellIs" dxfId="1334" priority="9430" stopIfTrue="1" operator="notEqual">
      <formula>0</formula>
    </cfRule>
  </conditionalFormatting>
  <conditionalFormatting sqref="O306:O315">
    <cfRule type="expression" dxfId="1333" priority="9431" stopIfTrue="1">
      <formula>OR($O$306="F/S",$O$306="")</formula>
    </cfRule>
    <cfRule type="cellIs" dxfId="1332" priority="9432" stopIfTrue="1" operator="notEqual">
      <formula>0</formula>
    </cfRule>
  </conditionalFormatting>
  <conditionalFormatting sqref="I306">
    <cfRule type="expression" dxfId="1331" priority="360" stopIfTrue="1">
      <formula>$I306="适用"</formula>
    </cfRule>
    <cfRule type="expression" dxfId="1330" priority="361" stopIfTrue="1">
      <formula>$I306="不适用"</formula>
    </cfRule>
  </conditionalFormatting>
  <conditionalFormatting sqref="G309:G314">
    <cfRule type="expression" dxfId="1329" priority="9433">
      <formula>$D309&gt;1</formula>
    </cfRule>
    <cfRule type="expression" dxfId="1328" priority="9434">
      <formula>$C309="%IN"</formula>
    </cfRule>
    <cfRule type="expression" dxfId="1327" priority="9435" stopIfTrue="1">
      <formula>$E309=0</formula>
    </cfRule>
  </conditionalFormatting>
  <conditionalFormatting sqref="L2193:L2194 L2197:L2202">
    <cfRule type="expression" dxfId="1326" priority="9436" stopIfTrue="1">
      <formula>OR($L$2193="F/S",$L$2193="")</formula>
    </cfRule>
    <cfRule type="cellIs" dxfId="1325" priority="9437" stopIfTrue="1" operator="notEqual">
      <formula>0</formula>
    </cfRule>
  </conditionalFormatting>
  <conditionalFormatting sqref="O2193:O2202">
    <cfRule type="expression" dxfId="1324" priority="9438" stopIfTrue="1">
      <formula>OR($O$2193="F/S",$O$2193="")</formula>
    </cfRule>
    <cfRule type="cellIs" dxfId="1323" priority="9439" stopIfTrue="1" operator="notEqual">
      <formula>0</formula>
    </cfRule>
  </conditionalFormatting>
  <conditionalFormatting sqref="L4098:L4100 L4102:L4107">
    <cfRule type="expression" dxfId="1322" priority="9440" stopIfTrue="1">
      <formula>OR($L$4098="F/S",$L$4098="")</formula>
    </cfRule>
    <cfRule type="cellIs" dxfId="1321" priority="9441" stopIfTrue="1" operator="notEqual">
      <formula>0</formula>
    </cfRule>
  </conditionalFormatting>
  <conditionalFormatting sqref="O4098:O4107">
    <cfRule type="expression" dxfId="1320" priority="9442" stopIfTrue="1">
      <formula>OR($O$4098="F/S",$O$4098="")</formula>
    </cfRule>
    <cfRule type="cellIs" dxfId="1319" priority="9443" stopIfTrue="1" operator="notEqual">
      <formula>0</formula>
    </cfRule>
  </conditionalFormatting>
  <conditionalFormatting sqref="I4098">
    <cfRule type="expression" dxfId="1318" priority="340" stopIfTrue="1">
      <formula>$I4098="适用"</formula>
    </cfRule>
    <cfRule type="expression" dxfId="1317" priority="341" stopIfTrue="1">
      <formula>$I4098="不适用"</formula>
    </cfRule>
  </conditionalFormatting>
  <conditionalFormatting sqref="G4101:G4106">
    <cfRule type="expression" dxfId="1316" priority="9444">
      <formula>$D4101&gt;1</formula>
    </cfRule>
    <cfRule type="expression" dxfId="1315" priority="9445">
      <formula>$C4101="%IN"</formula>
    </cfRule>
    <cfRule type="expression" dxfId="1314" priority="9446" stopIfTrue="1">
      <formula>$E4101=0</formula>
    </cfRule>
  </conditionalFormatting>
  <conditionalFormatting sqref="G681:G683 G685:G687">
    <cfRule type="expression" dxfId="1313" priority="9447">
      <formula>$D681&gt;1</formula>
    </cfRule>
    <cfRule type="expression" dxfId="1312" priority="9448">
      <formula>$C681="%IN"</formula>
    </cfRule>
    <cfRule type="expression" dxfId="1311" priority="9449" stopIfTrue="1">
      <formula>$E681=0</formula>
    </cfRule>
  </conditionalFormatting>
  <conditionalFormatting sqref="G1592:G1597">
    <cfRule type="expression" dxfId="1310" priority="9453">
      <formula>$D1592&gt;1</formula>
    </cfRule>
    <cfRule type="expression" dxfId="1309" priority="9454">
      <formula>$C1592="%IN"</formula>
    </cfRule>
    <cfRule type="expression" dxfId="1308" priority="9455" stopIfTrue="1">
      <formula>$E1592=0</formula>
    </cfRule>
  </conditionalFormatting>
  <conditionalFormatting sqref="G1602:G1607">
    <cfRule type="expression" dxfId="1307" priority="9456">
      <formula>$D1602&gt;1</formula>
    </cfRule>
    <cfRule type="expression" dxfId="1306" priority="9457">
      <formula>$C1602="%IN"</formula>
    </cfRule>
    <cfRule type="expression" dxfId="1305" priority="9458" stopIfTrue="1">
      <formula>$E1602=0</formula>
    </cfRule>
  </conditionalFormatting>
  <conditionalFormatting sqref="G3496:G3501">
    <cfRule type="expression" dxfId="1304" priority="9459">
      <formula>$D3496&gt;1</formula>
    </cfRule>
    <cfRule type="expression" dxfId="1303" priority="9460">
      <formula>$C3496="%IN"</formula>
    </cfRule>
    <cfRule type="expression" dxfId="1302" priority="9461" stopIfTrue="1">
      <formula>$E3496=0</formula>
    </cfRule>
  </conditionalFormatting>
  <conditionalFormatting sqref="G3593:G3598">
    <cfRule type="expression" dxfId="1301" priority="9462">
      <formula>$D3593&gt;1</formula>
    </cfRule>
    <cfRule type="expression" dxfId="1300" priority="9463">
      <formula>$C3593="%IN"</formula>
    </cfRule>
    <cfRule type="expression" dxfId="1299" priority="9464" stopIfTrue="1">
      <formula>$E3593=0</formula>
    </cfRule>
  </conditionalFormatting>
  <conditionalFormatting sqref="G3891:G3896">
    <cfRule type="expression" dxfId="1298" priority="9465">
      <formula>$D3891&gt;1</formula>
    </cfRule>
    <cfRule type="expression" dxfId="1297" priority="9466">
      <formula>$C3891="%IN"</formula>
    </cfRule>
    <cfRule type="expression" dxfId="1296" priority="9467" stopIfTrue="1">
      <formula>$E3891=0</formula>
    </cfRule>
  </conditionalFormatting>
  <conditionalFormatting sqref="I2532">
    <cfRule type="expression" dxfId="1295" priority="330" stopIfTrue="1">
      <formula>$I2532="适用"</formula>
    </cfRule>
    <cfRule type="expression" dxfId="1294" priority="331" stopIfTrue="1">
      <formula>$I2532="不适用"</formula>
    </cfRule>
  </conditionalFormatting>
  <conditionalFormatting sqref="Q2532:Q2557">
    <cfRule type="expression" dxfId="1293" priority="329" stopIfTrue="1">
      <formula>$Q2532="请输入"</formula>
    </cfRule>
  </conditionalFormatting>
  <conditionalFormatting sqref="L2545:L2546 L2548:L2557">
    <cfRule type="expression" dxfId="1292" priority="9471" stopIfTrue="1">
      <formula>OR($L$2545="F/S",$L$2545="")</formula>
    </cfRule>
    <cfRule type="cellIs" dxfId="1291" priority="9472" stopIfTrue="1" operator="notEqual">
      <formula>0</formula>
    </cfRule>
  </conditionalFormatting>
  <conditionalFormatting sqref="O2545:O2557">
    <cfRule type="expression" dxfId="1290" priority="9473" stopIfTrue="1">
      <formula>OR($O$2545="F/S",$O$2545="")</formula>
    </cfRule>
    <cfRule type="cellIs" dxfId="1289" priority="9474" stopIfTrue="1" operator="notEqual">
      <formula>0</formula>
    </cfRule>
  </conditionalFormatting>
  <conditionalFormatting sqref="I2545">
    <cfRule type="expression" dxfId="1288" priority="323" stopIfTrue="1">
      <formula>$I2545="适用"</formula>
    </cfRule>
    <cfRule type="expression" dxfId="1287" priority="324" stopIfTrue="1">
      <formula>$I2545="不适用"</formula>
    </cfRule>
  </conditionalFormatting>
  <conditionalFormatting sqref="Q2545:Q2557">
    <cfRule type="expression" dxfId="1286" priority="322" stopIfTrue="1">
      <formula>$Q2545="请输入"</formula>
    </cfRule>
  </conditionalFormatting>
  <conditionalFormatting sqref="G2535:G2543">
    <cfRule type="expression" dxfId="1285" priority="9478">
      <formula>$D2535&gt;1</formula>
    </cfRule>
    <cfRule type="expression" dxfId="1284" priority="9479">
      <formula>$C2535="%IN"</formula>
    </cfRule>
    <cfRule type="expression" dxfId="1283" priority="9480" stopIfTrue="1">
      <formula>$E2535=0</formula>
    </cfRule>
  </conditionalFormatting>
  <conditionalFormatting sqref="G2548:G2556">
    <cfRule type="expression" dxfId="1282" priority="9481">
      <formula>$D2548&gt;1</formula>
    </cfRule>
    <cfRule type="expression" dxfId="1281" priority="9482">
      <formula>$C2548="%IN"</formula>
    </cfRule>
    <cfRule type="expression" dxfId="1280" priority="9483" stopIfTrue="1">
      <formula>$E2548=0</formula>
    </cfRule>
  </conditionalFormatting>
  <conditionalFormatting sqref="L1504:L1511 L1493:L1495 L1498:L1499">
    <cfRule type="expression" dxfId="1279" priority="9487" stopIfTrue="1">
      <formula>OR($L$1493="F/S",$L$1493="")</formula>
    </cfRule>
    <cfRule type="cellIs" dxfId="1278" priority="9488" stopIfTrue="1" operator="notEqual">
      <formula>0</formula>
    </cfRule>
  </conditionalFormatting>
  <conditionalFormatting sqref="O1493:O1511">
    <cfRule type="expression" dxfId="1277" priority="9489" stopIfTrue="1">
      <formula>OR($O$1493="F/S",$O$1493="")</formula>
    </cfRule>
    <cfRule type="cellIs" dxfId="1276" priority="9490" stopIfTrue="1" operator="notEqual">
      <formula>0</formula>
    </cfRule>
  </conditionalFormatting>
  <conditionalFormatting sqref="L2414">
    <cfRule type="expression" dxfId="1275" priority="9494" stopIfTrue="1">
      <formula>OR($L$2414="F/S",$L$2414="")</formula>
    </cfRule>
    <cfRule type="cellIs" dxfId="1274" priority="9495" stopIfTrue="1" operator="notEqual">
      <formula>0</formula>
    </cfRule>
  </conditionalFormatting>
  <conditionalFormatting sqref="O2414:O2432">
    <cfRule type="expression" dxfId="1273" priority="9496" stopIfTrue="1">
      <formula>OR($O$2414="F/S",$O$2414="")</formula>
    </cfRule>
    <cfRule type="cellIs" dxfId="1272" priority="9497" stopIfTrue="1" operator="notEqual">
      <formula>0</formula>
    </cfRule>
  </conditionalFormatting>
  <conditionalFormatting sqref="I2414">
    <cfRule type="expression" dxfId="1271" priority="303" stopIfTrue="1">
      <formula>$I2414="适用"</formula>
    </cfRule>
    <cfRule type="expression" dxfId="1270" priority="304" stopIfTrue="1">
      <formula>$I2414="不适用"</formula>
    </cfRule>
  </conditionalFormatting>
  <conditionalFormatting sqref="G2419:G2424">
    <cfRule type="expression" dxfId="1269" priority="9498">
      <formula>$D2419&gt;1</formula>
    </cfRule>
    <cfRule type="expression" dxfId="1268" priority="9499">
      <formula>$C2419="%IN"</formula>
    </cfRule>
    <cfRule type="expression" dxfId="1267" priority="9500" stopIfTrue="1">
      <formula>$E2419=0</formula>
    </cfRule>
  </conditionalFormatting>
  <conditionalFormatting sqref="L2433">
    <cfRule type="expression" dxfId="1266" priority="9501" stopIfTrue="1">
      <formula>OR($L$2433="F/S",$L$2433="")</formula>
    </cfRule>
    <cfRule type="cellIs" dxfId="1265" priority="9502" stopIfTrue="1" operator="notEqual">
      <formula>0</formula>
    </cfRule>
  </conditionalFormatting>
  <conditionalFormatting sqref="O2433:O2464">
    <cfRule type="expression" dxfId="1264" priority="9503" stopIfTrue="1">
      <formula>OR($O$2433="F/S",$O$2433="")</formula>
    </cfRule>
    <cfRule type="cellIs" dxfId="1263" priority="9504" stopIfTrue="1" operator="notEqual">
      <formula>0</formula>
    </cfRule>
  </conditionalFormatting>
  <conditionalFormatting sqref="I2433">
    <cfRule type="expression" dxfId="1262" priority="296" stopIfTrue="1">
      <formula>$I2433="适用"</formula>
    </cfRule>
    <cfRule type="expression" dxfId="1261" priority="297" stopIfTrue="1">
      <formula>$I2433="不适用"</formula>
    </cfRule>
  </conditionalFormatting>
  <conditionalFormatting sqref="G2436:G2456">
    <cfRule type="expression" dxfId="1260" priority="9505">
      <formula>$D2436&gt;1</formula>
    </cfRule>
    <cfRule type="expression" dxfId="1259" priority="9506">
      <formula>$C2436="%IN"</formula>
    </cfRule>
    <cfRule type="expression" dxfId="1258" priority="9507" stopIfTrue="1">
      <formula>$E2436=0</formula>
    </cfRule>
  </conditionalFormatting>
  <conditionalFormatting sqref="L1028:L1029 L1037:L1043">
    <cfRule type="expression" dxfId="1257" priority="9511" stopIfTrue="1">
      <formula>OR($L$1028="F/S",$L$1028="")</formula>
    </cfRule>
    <cfRule type="cellIs" dxfId="1256" priority="9512" stopIfTrue="1" operator="notEqual">
      <formula>0</formula>
    </cfRule>
  </conditionalFormatting>
  <conditionalFormatting sqref="O1028:O1043">
    <cfRule type="expression" dxfId="1255" priority="9513" stopIfTrue="1">
      <formula>OR($O$1028="F/S",$O$1028="")</formula>
    </cfRule>
    <cfRule type="cellIs" dxfId="1254" priority="9514" stopIfTrue="1" operator="notEqual">
      <formula>0</formula>
    </cfRule>
  </conditionalFormatting>
  <conditionalFormatting sqref="I1028">
    <cfRule type="expression" dxfId="1253" priority="289" stopIfTrue="1">
      <formula>$I1028="适用"</formula>
    </cfRule>
    <cfRule type="expression" dxfId="1252" priority="290" stopIfTrue="1">
      <formula>$I1028="不适用"</formula>
    </cfRule>
  </conditionalFormatting>
  <conditionalFormatting sqref="I1132">
    <cfRule type="expression" dxfId="1251" priority="282" stopIfTrue="1">
      <formula>$I1132="适用"</formula>
    </cfRule>
    <cfRule type="expression" dxfId="1250" priority="283" stopIfTrue="1">
      <formula>$I1132="不适用"</formula>
    </cfRule>
  </conditionalFormatting>
  <conditionalFormatting sqref="Q1132:Q1219">
    <cfRule type="expression" dxfId="1249" priority="281" stopIfTrue="1">
      <formula>$Q1132="请输入"</formula>
    </cfRule>
  </conditionalFormatting>
  <conditionalFormatting sqref="L1146:L1148 L1150:L1167 L1239 L1236:L1237">
    <cfRule type="expression" dxfId="1248" priority="9527" stopIfTrue="1">
      <formula>OR($L$1146="F/S",$L$1146="")</formula>
    </cfRule>
    <cfRule type="cellIs" dxfId="1247" priority="9528" stopIfTrue="1" operator="notEqual">
      <formula>0</formula>
    </cfRule>
  </conditionalFormatting>
  <conditionalFormatting sqref="O1146:O1167">
    <cfRule type="expression" dxfId="1246" priority="9529" stopIfTrue="1">
      <formula>OR($O$1146="F/S",$O$1146="")</formula>
    </cfRule>
    <cfRule type="cellIs" dxfId="1245" priority="9530" stopIfTrue="1" operator="notEqual">
      <formula>0</formula>
    </cfRule>
  </conditionalFormatting>
  <conditionalFormatting sqref="I1146">
    <cfRule type="expression" dxfId="1244" priority="272" stopIfTrue="1">
      <formula>$I1146="适用"</formula>
    </cfRule>
    <cfRule type="expression" dxfId="1243" priority="273" stopIfTrue="1">
      <formula>$I1146="不适用"</formula>
    </cfRule>
  </conditionalFormatting>
  <conditionalFormatting sqref="Q1146:Q1219">
    <cfRule type="expression" dxfId="1242" priority="271" stopIfTrue="1">
      <formula>$Q1146="请输入"</formula>
    </cfRule>
  </conditionalFormatting>
  <conditionalFormatting sqref="L1168:L1189">
    <cfRule type="expression" dxfId="1241" priority="9534" stopIfTrue="1">
      <formula>OR($L$1168="F/S",$L$1168="")</formula>
    </cfRule>
    <cfRule type="cellIs" dxfId="1240" priority="9535" stopIfTrue="1" operator="notEqual">
      <formula>0</formula>
    </cfRule>
  </conditionalFormatting>
  <conditionalFormatting sqref="O1168:O1189">
    <cfRule type="expression" dxfId="1239" priority="9536" stopIfTrue="1">
      <formula>OR($O$1168="F/S",$O$1168="")</formula>
    </cfRule>
    <cfRule type="cellIs" dxfId="1238" priority="9537" stopIfTrue="1" operator="notEqual">
      <formula>0</formula>
    </cfRule>
  </conditionalFormatting>
  <conditionalFormatting sqref="I1168">
    <cfRule type="expression" dxfId="1237" priority="265" stopIfTrue="1">
      <formula>$I1168="适用"</formula>
    </cfRule>
    <cfRule type="expression" dxfId="1236" priority="266" stopIfTrue="1">
      <formula>$I1168="不适用"</formula>
    </cfRule>
  </conditionalFormatting>
  <conditionalFormatting sqref="Q1168:Q1219">
    <cfRule type="expression" dxfId="1235" priority="264" stopIfTrue="1">
      <formula>$Q1168="请输入"</formula>
    </cfRule>
  </conditionalFormatting>
  <conditionalFormatting sqref="L1190:L1204">
    <cfRule type="expression" dxfId="1234" priority="9541" stopIfTrue="1">
      <formula>OR($L$1190="F/S",$L$1190="")</formula>
    </cfRule>
    <cfRule type="cellIs" dxfId="1233" priority="9542" stopIfTrue="1" operator="notEqual">
      <formula>0</formula>
    </cfRule>
  </conditionalFormatting>
  <conditionalFormatting sqref="O1190:O1204">
    <cfRule type="expression" dxfId="1232" priority="9543" stopIfTrue="1">
      <formula>OR($O$1190="F/S",$O$1190="")</formula>
    </cfRule>
    <cfRule type="cellIs" dxfId="1231" priority="9544" stopIfTrue="1" operator="notEqual">
      <formula>0</formula>
    </cfRule>
  </conditionalFormatting>
  <conditionalFormatting sqref="I1190">
    <cfRule type="expression" dxfId="1230" priority="258" stopIfTrue="1">
      <formula>$I1190="适用"</formula>
    </cfRule>
    <cfRule type="expression" dxfId="1229" priority="259" stopIfTrue="1">
      <formula>$I1190="不适用"</formula>
    </cfRule>
  </conditionalFormatting>
  <conditionalFormatting sqref="Q1190:Q1219">
    <cfRule type="expression" dxfId="1228" priority="257" stopIfTrue="1">
      <formula>$Q1190="请输入"</formula>
    </cfRule>
  </conditionalFormatting>
  <conditionalFormatting sqref="L1205:L1219">
    <cfRule type="expression" dxfId="1227" priority="9548" stopIfTrue="1">
      <formula>OR($L$1205="F/S",$L$1205="")</formula>
    </cfRule>
    <cfRule type="cellIs" dxfId="1226" priority="9549" stopIfTrue="1" operator="notEqual">
      <formula>0</formula>
    </cfRule>
  </conditionalFormatting>
  <conditionalFormatting sqref="O1205:O1219">
    <cfRule type="expression" dxfId="1225" priority="9550" stopIfTrue="1">
      <formula>OR($O$1205="F/S",$O$1205="")</formula>
    </cfRule>
    <cfRule type="cellIs" dxfId="1224" priority="9551" stopIfTrue="1" operator="notEqual">
      <formula>0</formula>
    </cfRule>
  </conditionalFormatting>
  <conditionalFormatting sqref="I1205">
    <cfRule type="expression" dxfId="1223" priority="251" stopIfTrue="1">
      <formula>$I1205="适用"</formula>
    </cfRule>
    <cfRule type="expression" dxfId="1222" priority="252" stopIfTrue="1">
      <formula>$I1205="不适用"</formula>
    </cfRule>
  </conditionalFormatting>
  <conditionalFormatting sqref="Q1205:Q1219">
    <cfRule type="expression" dxfId="1221" priority="250" stopIfTrue="1">
      <formula>$Q1205="请输入"</formula>
    </cfRule>
  </conditionalFormatting>
  <conditionalFormatting sqref="L1235:L1249 L1254:L1256">
    <cfRule type="expression" dxfId="1220" priority="9555" stopIfTrue="1">
      <formula>OR($L$1235="F/S",$L$1235="")</formula>
    </cfRule>
    <cfRule type="cellIs" dxfId="1219" priority="9556" stopIfTrue="1" operator="notEqual">
      <formula>0</formula>
    </cfRule>
  </conditionalFormatting>
  <conditionalFormatting sqref="O1235:O1256">
    <cfRule type="expression" dxfId="1218" priority="9557" stopIfTrue="1">
      <formula>OR($O$1235="F/S",$O$1235="")</formula>
    </cfRule>
    <cfRule type="cellIs" dxfId="1217" priority="9558" stopIfTrue="1" operator="notEqual">
      <formula>0</formula>
    </cfRule>
  </conditionalFormatting>
  <conditionalFormatting sqref="I1235">
    <cfRule type="expression" dxfId="1216" priority="244" stopIfTrue="1">
      <formula>$I1235="适用"</formula>
    </cfRule>
    <cfRule type="expression" dxfId="1215" priority="245" stopIfTrue="1">
      <formula>$I1235="不适用"</formula>
    </cfRule>
  </conditionalFormatting>
  <conditionalFormatting sqref="Q1235:Q1308">
    <cfRule type="expression" dxfId="1214" priority="243" stopIfTrue="1">
      <formula>$Q1235="请输入"</formula>
    </cfRule>
  </conditionalFormatting>
  <conditionalFormatting sqref="L1257:L1278">
    <cfRule type="expression" dxfId="1213" priority="9562" stopIfTrue="1">
      <formula>OR($L$1257="F/S",$L$1257="")</formula>
    </cfRule>
    <cfRule type="cellIs" dxfId="1212" priority="9563" stopIfTrue="1" operator="notEqual">
      <formula>0</formula>
    </cfRule>
  </conditionalFormatting>
  <conditionalFormatting sqref="O1257:O1278">
    <cfRule type="expression" dxfId="1211" priority="9564" stopIfTrue="1">
      <formula>OR($O$1257="F/S",$O$1257="")</formula>
    </cfRule>
    <cfRule type="cellIs" dxfId="1210" priority="9565" stopIfTrue="1" operator="notEqual">
      <formula>0</formula>
    </cfRule>
  </conditionalFormatting>
  <conditionalFormatting sqref="I1257">
    <cfRule type="expression" dxfId="1209" priority="237" stopIfTrue="1">
      <formula>$I1257="适用"</formula>
    </cfRule>
    <cfRule type="expression" dxfId="1208" priority="238" stopIfTrue="1">
      <formula>$I1257="不适用"</formula>
    </cfRule>
  </conditionalFormatting>
  <conditionalFormatting sqref="Q1257:Q1308">
    <cfRule type="expression" dxfId="1207" priority="236" stopIfTrue="1">
      <formula>$Q1257="请输入"</formula>
    </cfRule>
  </conditionalFormatting>
  <conditionalFormatting sqref="L1279:L1293">
    <cfRule type="expression" dxfId="1206" priority="9569" stopIfTrue="1">
      <formula>OR($L$1279="F/S",$L$1279="")</formula>
    </cfRule>
    <cfRule type="cellIs" dxfId="1205" priority="9570" stopIfTrue="1" operator="notEqual">
      <formula>0</formula>
    </cfRule>
  </conditionalFormatting>
  <conditionalFormatting sqref="O1279:O1293">
    <cfRule type="expression" dxfId="1204" priority="9571" stopIfTrue="1">
      <formula>OR($O$1279="F/S",$O$1279="")</formula>
    </cfRule>
    <cfRule type="cellIs" dxfId="1203" priority="9572" stopIfTrue="1" operator="notEqual">
      <formula>0</formula>
    </cfRule>
  </conditionalFormatting>
  <conditionalFormatting sqref="I1279">
    <cfRule type="expression" dxfId="1202" priority="230" stopIfTrue="1">
      <formula>$I1279="适用"</formula>
    </cfRule>
    <cfRule type="expression" dxfId="1201" priority="231" stopIfTrue="1">
      <formula>$I1279="不适用"</formula>
    </cfRule>
  </conditionalFormatting>
  <conditionalFormatting sqref="Q1279:Q1308">
    <cfRule type="expression" dxfId="1200" priority="229" stopIfTrue="1">
      <formula>$Q1279="请输入"</formula>
    </cfRule>
  </conditionalFormatting>
  <conditionalFormatting sqref="L1294:L1308">
    <cfRule type="expression" dxfId="1199" priority="9576" stopIfTrue="1">
      <formula>OR($L$1294="F/S",$L$1294="")</formula>
    </cfRule>
    <cfRule type="cellIs" dxfId="1198" priority="9577" stopIfTrue="1" operator="notEqual">
      <formula>0</formula>
    </cfRule>
  </conditionalFormatting>
  <conditionalFormatting sqref="O1294:O1308">
    <cfRule type="expression" dxfId="1197" priority="9578" stopIfTrue="1">
      <formula>OR($O$1294="F/S",$O$1294="")</formula>
    </cfRule>
    <cfRule type="cellIs" dxfId="1196" priority="9579" stopIfTrue="1" operator="notEqual">
      <formula>0</formula>
    </cfRule>
  </conditionalFormatting>
  <conditionalFormatting sqref="I1294">
    <cfRule type="expression" dxfId="1195" priority="223" stopIfTrue="1">
      <formula>$I1294="适用"</formula>
    </cfRule>
    <cfRule type="expression" dxfId="1194" priority="224" stopIfTrue="1">
      <formula>$I1294="不适用"</formula>
    </cfRule>
  </conditionalFormatting>
  <conditionalFormatting sqref="Q1294:Q1308">
    <cfRule type="expression" dxfId="1193" priority="222" stopIfTrue="1">
      <formula>$Q1294="请输入"</formula>
    </cfRule>
  </conditionalFormatting>
  <conditionalFormatting sqref="G1210:G1218">
    <cfRule type="expression" dxfId="1192" priority="9592">
      <formula>$D1210&gt;1</formula>
    </cfRule>
    <cfRule type="expression" dxfId="1191" priority="9593">
      <formula>$C1210="%IN"</formula>
    </cfRule>
    <cfRule type="expression" dxfId="1190" priority="9594" stopIfTrue="1">
      <formula>$E1210=0</formula>
    </cfRule>
  </conditionalFormatting>
  <conditionalFormatting sqref="G1284:G1292">
    <cfRule type="expression" dxfId="1189" priority="9601">
      <formula>$D1284&gt;1</formula>
    </cfRule>
    <cfRule type="expression" dxfId="1188" priority="9602">
      <formula>$C1284="%IN"</formula>
    </cfRule>
    <cfRule type="expression" dxfId="1187" priority="9603" stopIfTrue="1">
      <formula>$E1284=0</formula>
    </cfRule>
  </conditionalFormatting>
  <conditionalFormatting sqref="G1299:G1307">
    <cfRule type="expression" dxfId="1186" priority="9604">
      <formula>$D1299&gt;1</formula>
    </cfRule>
    <cfRule type="expression" dxfId="1185" priority="9605">
      <formula>$C1299="%IN"</formula>
    </cfRule>
    <cfRule type="expression" dxfId="1184" priority="9606" stopIfTrue="1">
      <formula>$E1299=0</formula>
    </cfRule>
  </conditionalFormatting>
  <conditionalFormatting sqref="G1284:G1291">
    <cfRule type="expression" dxfId="1183" priority="190">
      <formula>$D1284&gt;1</formula>
    </cfRule>
    <cfRule type="expression" dxfId="1182" priority="191">
      <formula>$C1284="%IN"</formula>
    </cfRule>
    <cfRule type="expression" dxfId="1181" priority="192" stopIfTrue="1">
      <formula>$E1284=0</formula>
    </cfRule>
  </conditionalFormatting>
  <conditionalFormatting sqref="G1284:G1291">
    <cfRule type="expression" dxfId="1180" priority="187">
      <formula>$D1284&gt;1</formula>
    </cfRule>
    <cfRule type="expression" dxfId="1179" priority="188">
      <formula>$C1284="%IN"</formula>
    </cfRule>
    <cfRule type="expression" dxfId="1178" priority="189" stopIfTrue="1">
      <formula>$E1284=0</formula>
    </cfRule>
  </conditionalFormatting>
  <conditionalFormatting sqref="G1122:G1130">
    <cfRule type="expression" dxfId="1177" priority="9613">
      <formula>$D1122&gt;1</formula>
    </cfRule>
    <cfRule type="expression" dxfId="1176" priority="9614">
      <formula>$C1122="%IN"</formula>
    </cfRule>
    <cfRule type="expression" dxfId="1175" priority="9615" stopIfTrue="1">
      <formula>$E1122=0</formula>
    </cfRule>
  </conditionalFormatting>
  <conditionalFormatting sqref="G1195:G1203">
    <cfRule type="expression" dxfId="1174" priority="9616">
      <formula>$D1195&gt;1</formula>
    </cfRule>
    <cfRule type="expression" dxfId="1173" priority="9617">
      <formula>$C1195="%IN"</formula>
    </cfRule>
    <cfRule type="expression" dxfId="1172" priority="9618" stopIfTrue="1">
      <formula>$E1195=0</formula>
    </cfRule>
  </conditionalFormatting>
  <conditionalFormatting sqref="G1284:G1291">
    <cfRule type="expression" dxfId="1171" priority="184">
      <formula>$D1284&gt;1</formula>
    </cfRule>
    <cfRule type="expression" dxfId="1170" priority="185">
      <formula>$C1284="%IN"</formula>
    </cfRule>
    <cfRule type="expression" dxfId="1169" priority="186" stopIfTrue="1">
      <formula>$E1284=0</formula>
    </cfRule>
  </conditionalFormatting>
  <conditionalFormatting sqref="G1107:G1115">
    <cfRule type="expression" dxfId="1168" priority="9619">
      <formula>$D1107&gt;1</formula>
    </cfRule>
    <cfRule type="expression" dxfId="1167" priority="9620">
      <formula>$C1107="%IN"</formula>
    </cfRule>
    <cfRule type="expression" dxfId="1166" priority="9621" stopIfTrue="1">
      <formula>$E1107=0</formula>
    </cfRule>
  </conditionalFormatting>
  <conditionalFormatting sqref="L2220:L2221 L2229:L2235">
    <cfRule type="expression" dxfId="1165" priority="9634" stopIfTrue="1">
      <formula>OR($L$2220="F/S",$L$2220="")</formula>
    </cfRule>
    <cfRule type="cellIs" dxfId="1164" priority="9635" stopIfTrue="1" operator="notEqual">
      <formula>0</formula>
    </cfRule>
  </conditionalFormatting>
  <conditionalFormatting sqref="O2220:O2221 O2229:O2235">
    <cfRule type="expression" dxfId="1163" priority="9636" stopIfTrue="1">
      <formula>OR($O$2220="F/S",$O$2220="")</formula>
    </cfRule>
    <cfRule type="cellIs" dxfId="1162" priority="9637" stopIfTrue="1" operator="notEqual">
      <formula>0</formula>
    </cfRule>
  </conditionalFormatting>
  <conditionalFormatting sqref="I2220">
    <cfRule type="expression" dxfId="1161" priority="176" stopIfTrue="1">
      <formula>$I2220="适用"</formula>
    </cfRule>
    <cfRule type="expression" dxfId="1160" priority="177" stopIfTrue="1">
      <formula>$I2220="不适用"</formula>
    </cfRule>
  </conditionalFormatting>
  <conditionalFormatting sqref="G2322:G2330">
    <cfRule type="expression" dxfId="1159" priority="9641">
      <formula>$D2322&gt;1</formula>
    </cfRule>
    <cfRule type="expression" dxfId="1158" priority="9642">
      <formula>$C2322="%IN"</formula>
    </cfRule>
    <cfRule type="expression" dxfId="1157" priority="9643" stopIfTrue="1">
      <formula>$E2322=0</formula>
    </cfRule>
  </conditionalFormatting>
  <conditionalFormatting sqref="G420:G428">
    <cfRule type="expression" dxfId="1156" priority="9647">
      <formula>$D420&gt;1</formula>
    </cfRule>
    <cfRule type="expression" dxfId="1155" priority="9648">
      <formula>$C420="%IN"</formula>
    </cfRule>
    <cfRule type="expression" dxfId="1154" priority="9649" stopIfTrue="1">
      <formula>$E420=0</formula>
    </cfRule>
  </conditionalFormatting>
  <conditionalFormatting sqref="G405:G413">
    <cfRule type="expression" dxfId="1153" priority="9650">
      <formula>$D405&gt;1</formula>
    </cfRule>
    <cfRule type="expression" dxfId="1152" priority="9651">
      <formula>$C405="%IN"</formula>
    </cfRule>
    <cfRule type="expression" dxfId="1151" priority="9652" stopIfTrue="1">
      <formula>$E405=0</formula>
    </cfRule>
  </conditionalFormatting>
  <conditionalFormatting sqref="G112:G117 G694:G696 G435:G439">
    <cfRule type="expression" dxfId="1150" priority="9656">
      <formula>$D112&gt;1</formula>
    </cfRule>
    <cfRule type="expression" dxfId="1149" priority="9657">
      <formula>$C112="%IN"</formula>
    </cfRule>
    <cfRule type="expression" dxfId="1148" priority="9658" stopIfTrue="1">
      <formula>$E112=0</formula>
    </cfRule>
  </conditionalFormatting>
  <conditionalFormatting sqref="G133:G136">
    <cfRule type="expression" dxfId="1147" priority="9659">
      <formula>$D133&gt;1</formula>
    </cfRule>
    <cfRule type="expression" dxfId="1146" priority="9660">
      <formula>$C133="%IN"</formula>
    </cfRule>
    <cfRule type="expression" dxfId="1145" priority="9661" stopIfTrue="1">
      <formula>$E133=0</formula>
    </cfRule>
  </conditionalFormatting>
  <conditionalFormatting sqref="G74:G87">
    <cfRule type="expression" dxfId="1144" priority="9665">
      <formula>$D74&gt;1</formula>
    </cfRule>
    <cfRule type="expression" dxfId="1143" priority="9666">
      <formula>$C74="%IN"</formula>
    </cfRule>
    <cfRule type="expression" dxfId="1142" priority="9667" stopIfTrue="1">
      <formula>$E74=0</formula>
    </cfRule>
  </conditionalFormatting>
  <conditionalFormatting sqref="G163:G168">
    <cfRule type="expression" dxfId="1141" priority="9671">
      <formula>$D163&gt;1</formula>
    </cfRule>
    <cfRule type="expression" dxfId="1140" priority="9672">
      <formula>$C163="%IN"</formula>
    </cfRule>
    <cfRule type="expression" dxfId="1139" priority="9673" stopIfTrue="1">
      <formula>$E163=0</formula>
    </cfRule>
  </conditionalFormatting>
  <conditionalFormatting sqref="G175:G183">
    <cfRule type="expression" dxfId="1138" priority="9674">
      <formula>$D175&gt;1</formula>
    </cfRule>
    <cfRule type="expression" dxfId="1137" priority="9675">
      <formula>$C175="%IN"</formula>
    </cfRule>
    <cfRule type="expression" dxfId="1136" priority="9676" stopIfTrue="1">
      <formula>$E175=0</formula>
    </cfRule>
  </conditionalFormatting>
  <conditionalFormatting sqref="G197:G205">
    <cfRule type="expression" dxfId="1135" priority="9677">
      <formula>$D197&gt;1</formula>
    </cfRule>
    <cfRule type="expression" dxfId="1134" priority="9678">
      <formula>$C197="%IN"</formula>
    </cfRule>
    <cfRule type="expression" dxfId="1133" priority="9679" stopIfTrue="1">
      <formula>$E197=0</formula>
    </cfRule>
  </conditionalFormatting>
  <conditionalFormatting sqref="G256:G264">
    <cfRule type="expression" dxfId="1132" priority="9683">
      <formula>$D256&gt;1</formula>
    </cfRule>
    <cfRule type="expression" dxfId="1131" priority="9684">
      <formula>$C256="%IN"</formula>
    </cfRule>
    <cfRule type="expression" dxfId="1130" priority="9685" stopIfTrue="1">
      <formula>$E256=0</formula>
    </cfRule>
  </conditionalFormatting>
  <conditionalFormatting sqref="G276:G284">
    <cfRule type="expression" dxfId="1129" priority="9686">
      <formula>$D276&gt;1</formula>
    </cfRule>
    <cfRule type="expression" dxfId="1128" priority="9687">
      <formula>$C276="%IN"</formula>
    </cfRule>
    <cfRule type="expression" dxfId="1127" priority="9688" stopIfTrue="1">
      <formula>$E276=0</formula>
    </cfRule>
  </conditionalFormatting>
  <conditionalFormatting sqref="G289:G291">
    <cfRule type="expression" dxfId="1126" priority="9689">
      <formula>$D289&gt;1</formula>
    </cfRule>
    <cfRule type="expression" dxfId="1125" priority="9690">
      <formula>$C289="%IN"</formula>
    </cfRule>
    <cfRule type="expression" dxfId="1124" priority="9691" stopIfTrue="1">
      <formula>$E289=0</formula>
    </cfRule>
  </conditionalFormatting>
  <conditionalFormatting sqref="G296:G304">
    <cfRule type="expression" dxfId="1123" priority="9692">
      <formula>$D296&gt;1</formula>
    </cfRule>
    <cfRule type="expression" dxfId="1122" priority="9693">
      <formula>$C296="%IN"</formula>
    </cfRule>
    <cfRule type="expression" dxfId="1121" priority="9694" stopIfTrue="1">
      <formula>$E296=0</formula>
    </cfRule>
  </conditionalFormatting>
  <conditionalFormatting sqref="H188">
    <cfRule type="expression" dxfId="1120" priority="9695">
      <formula>AND(H$188&lt;&gt;0,H$188&lt;&gt;"")</formula>
    </cfRule>
    <cfRule type="expression" dxfId="1119" priority="9696" stopIfTrue="1">
      <formula>H$189&lt;&gt;"√"</formula>
    </cfRule>
  </conditionalFormatting>
  <conditionalFormatting sqref="J188">
    <cfRule type="expression" dxfId="1118" priority="9697">
      <formula>AND(J$188&lt;&gt;0,J$188&lt;&gt;"")</formula>
    </cfRule>
    <cfRule type="expression" dxfId="1117" priority="9698" stopIfTrue="1">
      <formula>J$189&lt;&gt;"√"</formula>
    </cfRule>
  </conditionalFormatting>
  <conditionalFormatting sqref="L188">
    <cfRule type="expression" dxfId="1116" priority="9699">
      <formula>AND(L$188&lt;&gt;0,L$188&lt;&gt;"")</formula>
    </cfRule>
    <cfRule type="expression" dxfId="1115" priority="9700" stopIfTrue="1">
      <formula>L$189&lt;&gt;"√"</formula>
    </cfRule>
  </conditionalFormatting>
  <conditionalFormatting sqref="K190">
    <cfRule type="expression" dxfId="1114" priority="9701">
      <formula>AND($K$190&lt;&gt;0,$K$190&lt;&gt;"")</formula>
    </cfRule>
    <cfRule type="expression" dxfId="1113" priority="9702" stopIfTrue="1">
      <formula>$L$190&lt;&gt;"√"</formula>
    </cfRule>
  </conditionalFormatting>
  <conditionalFormatting sqref="H210">
    <cfRule type="expression" dxfId="1112" priority="9703">
      <formula>AND(H$210&lt;&gt;0,H$210&lt;&gt;"")</formula>
    </cfRule>
    <cfRule type="expression" dxfId="1111" priority="9704" stopIfTrue="1">
      <formula>H$211&lt;&gt;"√"</formula>
    </cfRule>
  </conditionalFormatting>
  <conditionalFormatting sqref="I210">
    <cfRule type="expression" dxfId="1110" priority="9705">
      <formula>AND(I$210&lt;&gt;0,I$210&lt;&gt;"")</formula>
    </cfRule>
    <cfRule type="expression" dxfId="1109" priority="9706" stopIfTrue="1">
      <formula>I$211&lt;&gt;"√"</formula>
    </cfRule>
  </conditionalFormatting>
  <conditionalFormatting sqref="K212">
    <cfRule type="expression" dxfId="1108" priority="9707">
      <formula>AND($K$212&lt;&gt;0,$K$212&lt;&gt;"")</formula>
    </cfRule>
    <cfRule type="expression" dxfId="1107" priority="9708" stopIfTrue="1">
      <formula>$L$212&lt;&gt;"√"</formula>
    </cfRule>
  </conditionalFormatting>
  <conditionalFormatting sqref="H232">
    <cfRule type="expression" dxfId="1106" priority="9709">
      <formula>AND(H$232&lt;&gt;0,H$232&lt;&gt;"")</formula>
    </cfRule>
    <cfRule type="expression" dxfId="1105" priority="9710" stopIfTrue="1">
      <formula>H$233&lt;&gt;"√"</formula>
    </cfRule>
  </conditionalFormatting>
  <conditionalFormatting sqref="I232">
    <cfRule type="expression" dxfId="1104" priority="9711">
      <formula>AND(I$232&lt;&gt;0,I$232&lt;&gt;"")</formula>
    </cfRule>
    <cfRule type="expression" dxfId="1103" priority="9712" stopIfTrue="1">
      <formula>I$233&lt;&gt;"√"</formula>
    </cfRule>
  </conditionalFormatting>
  <conditionalFormatting sqref="K234">
    <cfRule type="expression" dxfId="1102" priority="9713">
      <formula>AND($K$234&lt;&gt;0,$K$234&lt;&gt;"")</formula>
    </cfRule>
    <cfRule type="expression" dxfId="1101" priority="9714" stopIfTrue="1">
      <formula>$L$234&lt;&gt;"√"</formula>
    </cfRule>
  </conditionalFormatting>
  <conditionalFormatting sqref="H269">
    <cfRule type="expression" dxfId="1100" priority="9715">
      <formula>AND(H$269&lt;&gt;0,H$269&lt;&gt;"")</formula>
    </cfRule>
    <cfRule type="expression" dxfId="1099" priority="9716" stopIfTrue="1">
      <formula>H$270&lt;&gt;"√"</formula>
    </cfRule>
  </conditionalFormatting>
  <conditionalFormatting sqref="N269">
    <cfRule type="expression" dxfId="1098" priority="9717">
      <formula>AND(N$269&lt;&gt;0,N$269&lt;&gt;"")</formula>
    </cfRule>
    <cfRule type="expression" dxfId="1097" priority="9718" stopIfTrue="1">
      <formula>N$270&lt;&gt;"√"</formula>
    </cfRule>
  </conditionalFormatting>
  <conditionalFormatting sqref="K271">
    <cfRule type="expression" dxfId="1096" priority="9719">
      <formula>AND($K$271&lt;&gt;0,$K$271&lt;&gt;"")</formula>
    </cfRule>
    <cfRule type="expression" dxfId="1095" priority="9720" stopIfTrue="1">
      <formula>$L$271&lt;&gt;"√"</formula>
    </cfRule>
  </conditionalFormatting>
  <conditionalFormatting sqref="G320:G332">
    <cfRule type="expression" dxfId="1094" priority="9721">
      <formula>$D320&gt;1</formula>
    </cfRule>
    <cfRule type="expression" dxfId="1093" priority="9722">
      <formula>$C320="%IN"</formula>
    </cfRule>
    <cfRule type="expression" dxfId="1092" priority="9723" stopIfTrue="1">
      <formula>$E320=0</formula>
    </cfRule>
  </conditionalFormatting>
  <conditionalFormatting sqref="G339:G347">
    <cfRule type="expression" dxfId="1091" priority="9724">
      <formula>$D339&gt;1</formula>
    </cfRule>
    <cfRule type="expression" dxfId="1090" priority="9725">
      <formula>$C339="%IN"</formula>
    </cfRule>
    <cfRule type="expression" dxfId="1089" priority="9726" stopIfTrue="1">
      <formula>$E339=0</formula>
    </cfRule>
  </conditionalFormatting>
  <conditionalFormatting sqref="G361:G369">
    <cfRule type="expression" dxfId="1088" priority="9730">
      <formula>$D361&gt;1</formula>
    </cfRule>
    <cfRule type="expression" dxfId="1087" priority="9731">
      <formula>$C361="%IN"</formula>
    </cfRule>
    <cfRule type="expression" dxfId="1086" priority="9732" stopIfTrue="1">
      <formula>$E361=0</formula>
    </cfRule>
  </conditionalFormatting>
  <conditionalFormatting sqref="G383:G391">
    <cfRule type="expression" dxfId="1085" priority="9733">
      <formula>$D383&gt;1</formula>
    </cfRule>
    <cfRule type="expression" dxfId="1084" priority="9734">
      <formula>$C383="%IN"</formula>
    </cfRule>
    <cfRule type="expression" dxfId="1083" priority="9735" stopIfTrue="1">
      <formula>$E383=0</formula>
    </cfRule>
  </conditionalFormatting>
  <conditionalFormatting sqref="G453:G459">
    <cfRule type="expression" dxfId="1082" priority="9736">
      <formula>$D453&gt;1</formula>
    </cfRule>
    <cfRule type="expression" dxfId="1081" priority="9737">
      <formula>$C453="%IN"</formula>
    </cfRule>
    <cfRule type="expression" dxfId="1080" priority="9738" stopIfTrue="1">
      <formula>$E453=0</formula>
    </cfRule>
  </conditionalFormatting>
  <conditionalFormatting sqref="G473:G483">
    <cfRule type="expression" dxfId="1079" priority="9739">
      <formula>$D473&gt;1</formula>
    </cfRule>
    <cfRule type="expression" dxfId="1078" priority="9740">
      <formula>$C473="%IN"</formula>
    </cfRule>
    <cfRule type="expression" dxfId="1077" priority="9741" stopIfTrue="1">
      <formula>$E473=0</formula>
    </cfRule>
  </conditionalFormatting>
  <conditionalFormatting sqref="G584:G592">
    <cfRule type="expression" dxfId="1076" priority="9742">
      <formula>$D584&gt;1</formula>
    </cfRule>
    <cfRule type="expression" dxfId="1075" priority="9743">
      <formula>$C584="%IN"</formula>
    </cfRule>
    <cfRule type="expression" dxfId="1074" priority="9744" stopIfTrue="1">
      <formula>$E584=0</formula>
    </cfRule>
  </conditionalFormatting>
  <conditionalFormatting sqref="G632:G646">
    <cfRule type="expression" dxfId="1073" priority="9754">
      <formula>$D632&gt;1</formula>
    </cfRule>
    <cfRule type="expression" dxfId="1072" priority="9755">
      <formula>$C632="%IN"</formula>
    </cfRule>
    <cfRule type="expression" dxfId="1071" priority="9756" stopIfTrue="1">
      <formula>$E632=0</formula>
    </cfRule>
  </conditionalFormatting>
  <conditionalFormatting sqref="G562:G567">
    <cfRule type="expression" dxfId="1070" priority="9763">
      <formula>$D562&gt;1</formula>
    </cfRule>
    <cfRule type="expression" dxfId="1069" priority="9764">
      <formula>$C562="%IN"</formula>
    </cfRule>
    <cfRule type="expression" dxfId="1068" priority="9765" stopIfTrue="1">
      <formula>$E562=0</formula>
    </cfRule>
  </conditionalFormatting>
  <conditionalFormatting sqref="G572:G577">
    <cfRule type="expression" dxfId="1067" priority="9766">
      <formula>$D572&gt;1</formula>
    </cfRule>
    <cfRule type="expression" dxfId="1066" priority="9767">
      <formula>$C572="%IN"</formula>
    </cfRule>
    <cfRule type="expression" dxfId="1065" priority="9768" stopIfTrue="1">
      <formula>$E572=0</formula>
    </cfRule>
  </conditionalFormatting>
  <conditionalFormatting sqref="G219:G227">
    <cfRule type="expression" dxfId="1064" priority="9769">
      <formula>$D219&gt;1</formula>
    </cfRule>
    <cfRule type="expression" dxfId="1063" priority="9770">
      <formula>$C219="%IN"</formula>
    </cfRule>
    <cfRule type="expression" dxfId="1062" priority="9771" stopIfTrue="1">
      <formula>$E219=0</formula>
    </cfRule>
  </conditionalFormatting>
  <conditionalFormatting sqref="G125:G128">
    <cfRule type="expression" dxfId="1061" priority="9772">
      <formula>$D125&gt;1</formula>
    </cfRule>
    <cfRule type="expression" dxfId="1060" priority="9773">
      <formula>$C125="%IN"</formula>
    </cfRule>
    <cfRule type="expression" dxfId="1059" priority="9774" stopIfTrue="1">
      <formula>$E125=0</formula>
    </cfRule>
  </conditionalFormatting>
  <conditionalFormatting sqref="G702:G705">
    <cfRule type="expression" dxfId="1058" priority="9775">
      <formula>$D702&gt;1</formula>
    </cfRule>
    <cfRule type="expression" dxfId="1057" priority="9776">
      <formula>$C702="%IN"</formula>
    </cfRule>
    <cfRule type="expression" dxfId="1056" priority="9777" stopIfTrue="1">
      <formula>$E702=0</formula>
    </cfRule>
  </conditionalFormatting>
  <conditionalFormatting sqref="G854:G857">
    <cfRule type="expression" dxfId="1055" priority="9790">
      <formula>$D854&gt;1</formula>
    </cfRule>
    <cfRule type="expression" dxfId="1054" priority="9791">
      <formula>$C854="%IN"</formula>
    </cfRule>
    <cfRule type="expression" dxfId="1053" priority="9792" stopIfTrue="1">
      <formula>$E854=0</formula>
    </cfRule>
  </conditionalFormatting>
  <conditionalFormatting sqref="G904:G909">
    <cfRule type="expression" dxfId="1052" priority="9793">
      <formula>$D904&gt;1</formula>
    </cfRule>
    <cfRule type="expression" dxfId="1051" priority="9794">
      <formula>$C904="%IN"</formula>
    </cfRule>
    <cfRule type="expression" dxfId="1050" priority="9795" stopIfTrue="1">
      <formula>$E904=0</formula>
    </cfRule>
  </conditionalFormatting>
  <conditionalFormatting sqref="G914:G919">
    <cfRule type="expression" dxfId="1049" priority="9796">
      <formula>$D914&gt;1</formula>
    </cfRule>
    <cfRule type="expression" dxfId="1048" priority="9797">
      <formula>$C914="%IN"</formula>
    </cfRule>
    <cfRule type="expression" dxfId="1047" priority="9798" stopIfTrue="1">
      <formula>$E914=0</formula>
    </cfRule>
  </conditionalFormatting>
  <conditionalFormatting sqref="G960:G965">
    <cfRule type="expression" dxfId="1046" priority="9802">
      <formula>$D960&gt;1</formula>
    </cfRule>
    <cfRule type="expression" dxfId="1045" priority="9803">
      <formula>$C960="%IN"</formula>
    </cfRule>
    <cfRule type="expression" dxfId="1044" priority="9804" stopIfTrue="1">
      <formula>$E960=0</formula>
    </cfRule>
  </conditionalFormatting>
  <conditionalFormatting sqref="G948:G955">
    <cfRule type="expression" dxfId="1043" priority="9805">
      <formula>$D948&gt;1</formula>
    </cfRule>
    <cfRule type="expression" dxfId="1042" priority="9806">
      <formula>$C948="%IN"</formula>
    </cfRule>
    <cfRule type="expression" dxfId="1041" priority="9807" stopIfTrue="1">
      <formula>$E948=0</formula>
    </cfRule>
  </conditionalFormatting>
  <conditionalFormatting sqref="G971:G976">
    <cfRule type="expression" dxfId="1040" priority="9808">
      <formula>$D971&gt;1</formula>
    </cfRule>
    <cfRule type="expression" dxfId="1039" priority="9809">
      <formula>$C971="%IN"</formula>
    </cfRule>
    <cfRule type="expression" dxfId="1038" priority="9810" stopIfTrue="1">
      <formula>$E971=0</formula>
    </cfRule>
  </conditionalFormatting>
  <conditionalFormatting sqref="G981:G986">
    <cfRule type="expression" dxfId="1037" priority="9811">
      <formula>$D981&gt;1</formula>
    </cfRule>
    <cfRule type="expression" dxfId="1036" priority="9812">
      <formula>$C981="%IN"</formula>
    </cfRule>
    <cfRule type="expression" dxfId="1035" priority="9813" stopIfTrue="1">
      <formula>$E981=0</formula>
    </cfRule>
  </conditionalFormatting>
  <conditionalFormatting sqref="G992:G1005">
    <cfRule type="expression" dxfId="1034" priority="9820">
      <formula>$D992&gt;1</formula>
    </cfRule>
    <cfRule type="expression" dxfId="1033" priority="9821">
      <formula>$C992="%IN"</formula>
    </cfRule>
    <cfRule type="expression" dxfId="1032" priority="9822" stopIfTrue="1">
      <formula>$E992=0</formula>
    </cfRule>
  </conditionalFormatting>
  <conditionalFormatting sqref="G1031:G1035">
    <cfRule type="expression" dxfId="1031" priority="9826">
      <formula>$D1031&gt;1</formula>
    </cfRule>
    <cfRule type="expression" dxfId="1030" priority="9827">
      <formula>$C1031="%IN"</formula>
    </cfRule>
    <cfRule type="expression" dxfId="1029" priority="9828" stopIfTrue="1">
      <formula>$E1031=0</formula>
    </cfRule>
  </conditionalFormatting>
  <conditionalFormatting sqref="G1047:G1056">
    <cfRule type="expression" dxfId="1028" priority="9829">
      <formula>$D1047&gt;1</formula>
    </cfRule>
    <cfRule type="expression" dxfId="1027" priority="9830">
      <formula>$C1047="%IN"</formula>
    </cfRule>
    <cfRule type="expression" dxfId="1026" priority="9831" stopIfTrue="1">
      <formula>$E1047=0</formula>
    </cfRule>
  </conditionalFormatting>
  <conditionalFormatting sqref="G1063:G1071">
    <cfRule type="expression" dxfId="1025" priority="9832">
      <formula>$D1063&gt;1</formula>
    </cfRule>
    <cfRule type="expression" dxfId="1024" priority="9833">
      <formula>$C1063="%IN"</formula>
    </cfRule>
    <cfRule type="expression" dxfId="1023" priority="9834" stopIfTrue="1">
      <formula>$E1063=0</formula>
    </cfRule>
  </conditionalFormatting>
  <conditionalFormatting sqref="G1085:G1093">
    <cfRule type="expression" dxfId="1022" priority="9835">
      <formula>$D1085&gt;1</formula>
    </cfRule>
    <cfRule type="expression" dxfId="1021" priority="9836">
      <formula>$C1085="%IN"</formula>
    </cfRule>
    <cfRule type="expression" dxfId="1020" priority="9837" stopIfTrue="1">
      <formula>$E1085=0</formula>
    </cfRule>
  </conditionalFormatting>
  <conditionalFormatting sqref="G1135:G1144">
    <cfRule type="expression" dxfId="1019" priority="9838">
      <formula>$D1135&gt;1</formula>
    </cfRule>
    <cfRule type="expression" dxfId="1018" priority="9839">
      <formula>$C1135="%IN"</formula>
    </cfRule>
    <cfRule type="expression" dxfId="1017" priority="9840" stopIfTrue="1">
      <formula>$E1135=0</formula>
    </cfRule>
  </conditionalFormatting>
  <conditionalFormatting sqref="G1151:G1159">
    <cfRule type="expression" dxfId="1016" priority="9841">
      <formula>$D1151&gt;1</formula>
    </cfRule>
    <cfRule type="expression" dxfId="1015" priority="9842">
      <formula>$C1151="%IN"</formula>
    </cfRule>
    <cfRule type="expression" dxfId="1014" priority="9843" stopIfTrue="1">
      <formula>$E1151=0</formula>
    </cfRule>
  </conditionalFormatting>
  <conditionalFormatting sqref="G1173:G1181">
    <cfRule type="expression" dxfId="1013" priority="9844">
      <formula>$D1173&gt;1</formula>
    </cfRule>
    <cfRule type="expression" dxfId="1012" priority="9845">
      <formula>$C1173="%IN"</formula>
    </cfRule>
    <cfRule type="expression" dxfId="1011" priority="9846" stopIfTrue="1">
      <formula>$E1173=0</formula>
    </cfRule>
  </conditionalFormatting>
  <conditionalFormatting sqref="G1223:G1226 G1228:G1233">
    <cfRule type="expression" dxfId="1010" priority="9847">
      <formula>$D1223&gt;1</formula>
    </cfRule>
    <cfRule type="expression" dxfId="1009" priority="9848">
      <formula>$C1223="%IN"</formula>
    </cfRule>
    <cfRule type="expression" dxfId="1008" priority="9849" stopIfTrue="1">
      <formula>$E1223=0</formula>
    </cfRule>
  </conditionalFormatting>
  <conditionalFormatting sqref="G1240:G1248">
    <cfRule type="expression" dxfId="1007" priority="9850">
      <formula>$D1240&gt;1</formula>
    </cfRule>
    <cfRule type="expression" dxfId="1006" priority="9851">
      <formula>$C1240="%IN"</formula>
    </cfRule>
    <cfRule type="expression" dxfId="1005" priority="9852" stopIfTrue="1">
      <formula>$E1240=0</formula>
    </cfRule>
  </conditionalFormatting>
  <conditionalFormatting sqref="G1262:G1270">
    <cfRule type="expression" dxfId="1004" priority="9853">
      <formula>$D1262&gt;1</formula>
    </cfRule>
    <cfRule type="expression" dxfId="1003" priority="9854">
      <formula>$C1262="%IN"</formula>
    </cfRule>
    <cfRule type="expression" dxfId="1002" priority="9855" stopIfTrue="1">
      <formula>$E1262=0</formula>
    </cfRule>
  </conditionalFormatting>
  <conditionalFormatting sqref="G1314:G1319">
    <cfRule type="expression" dxfId="1001" priority="9856">
      <formula>$D1314&gt;1</formula>
    </cfRule>
    <cfRule type="expression" dxfId="1000" priority="9857">
      <formula>$C1314="%IN"</formula>
    </cfRule>
    <cfRule type="expression" dxfId="999" priority="9858" stopIfTrue="1">
      <formula>$E1314=0</formula>
    </cfRule>
  </conditionalFormatting>
  <conditionalFormatting sqref="G1333:G1341">
    <cfRule type="expression" dxfId="998" priority="9859">
      <formula>$D1333&gt;1</formula>
    </cfRule>
    <cfRule type="expression" dxfId="997" priority="9860">
      <formula>$C1333="%IN"</formula>
    </cfRule>
    <cfRule type="expression" dxfId="996" priority="9861" stopIfTrue="1">
      <formula>$E1333=0</formula>
    </cfRule>
  </conditionalFormatting>
  <conditionalFormatting sqref="G1355:G1365">
    <cfRule type="expression" dxfId="995" priority="9862">
      <formula>$D1355&gt;1</formula>
    </cfRule>
    <cfRule type="expression" dxfId="994" priority="9863">
      <formula>$C1355="%IN"</formula>
    </cfRule>
    <cfRule type="expression" dxfId="993" priority="9864" stopIfTrue="1">
      <formula>$E1355=0</formula>
    </cfRule>
  </conditionalFormatting>
  <conditionalFormatting sqref="G1476:G1484">
    <cfRule type="expression" dxfId="992" priority="9865">
      <formula>$D1476&gt;1</formula>
    </cfRule>
    <cfRule type="expression" dxfId="991" priority="9866">
      <formula>$C1476="%IN"</formula>
    </cfRule>
    <cfRule type="expression" dxfId="990" priority="9867" stopIfTrue="1">
      <formula>$E1476=0</formula>
    </cfRule>
  </conditionalFormatting>
  <conditionalFormatting sqref="G1454:G1459">
    <cfRule type="expression" dxfId="989" priority="9886">
      <formula>$D1454&gt;1</formula>
    </cfRule>
    <cfRule type="expression" dxfId="988" priority="9887">
      <formula>$C1454="%IN"</formula>
    </cfRule>
    <cfRule type="expression" dxfId="987" priority="9888" stopIfTrue="1">
      <formula>$E1454=0</formula>
    </cfRule>
  </conditionalFormatting>
  <conditionalFormatting sqref="G1464:G1469">
    <cfRule type="expression" dxfId="986" priority="9889">
      <formula>$D1464&gt;1</formula>
    </cfRule>
    <cfRule type="expression" dxfId="985" priority="9890">
      <formula>$C1464="%IN"</formula>
    </cfRule>
    <cfRule type="expression" dxfId="984" priority="9891" stopIfTrue="1">
      <formula>$E1464=0</formula>
    </cfRule>
  </conditionalFormatting>
  <conditionalFormatting sqref="G1614:G1616">
    <cfRule type="expression" dxfId="983" priority="9892">
      <formula>$D1614&gt;1</formula>
    </cfRule>
    <cfRule type="expression" dxfId="982" priority="9893">
      <formula>$C1614="%IN"</formula>
    </cfRule>
    <cfRule type="expression" dxfId="981" priority="9894" stopIfTrue="1">
      <formula>$E1614=0</formula>
    </cfRule>
  </conditionalFormatting>
  <conditionalFormatting sqref="G1624:G1636">
    <cfRule type="expression" dxfId="980" priority="9895">
      <formula>$D1624&gt;1</formula>
    </cfRule>
    <cfRule type="expression" dxfId="979" priority="9896">
      <formula>$C1624="%IN"</formula>
    </cfRule>
    <cfRule type="expression" dxfId="978" priority="9897" stopIfTrue="1">
      <formula>$E1624=0</formula>
    </cfRule>
  </conditionalFormatting>
  <conditionalFormatting sqref="G1643:G1655">
    <cfRule type="expression" dxfId="977" priority="9898">
      <formula>$D1643&gt;1</formula>
    </cfRule>
    <cfRule type="expression" dxfId="976" priority="9899">
      <formula>$C1643="%IN"</formula>
    </cfRule>
    <cfRule type="expression" dxfId="975" priority="9900" stopIfTrue="1">
      <formula>$E1643=0</formula>
    </cfRule>
  </conditionalFormatting>
  <conditionalFormatting sqref="G1721:G1726">
    <cfRule type="expression" dxfId="974" priority="9907">
      <formula>$D1721&gt;1</formula>
    </cfRule>
    <cfRule type="expression" dxfId="973" priority="9908">
      <formula>$C1721="%IN"</formula>
    </cfRule>
    <cfRule type="expression" dxfId="972" priority="9909" stopIfTrue="1">
      <formula>$E1721=0</formula>
    </cfRule>
  </conditionalFormatting>
  <conditionalFormatting sqref="G1731:G1736">
    <cfRule type="expression" dxfId="971" priority="9910">
      <formula>$D1731&gt;1</formula>
    </cfRule>
    <cfRule type="expression" dxfId="970" priority="9911">
      <formula>$C1731="%IN"</formula>
    </cfRule>
    <cfRule type="expression" dxfId="969" priority="9912" stopIfTrue="1">
      <formula>$E1731=0</formula>
    </cfRule>
  </conditionalFormatting>
  <conditionalFormatting sqref="G1741:G1753">
    <cfRule type="expression" dxfId="968" priority="9913">
      <formula>$D1741&gt;1</formula>
    </cfRule>
    <cfRule type="expression" dxfId="967" priority="9914">
      <formula>$C1741="%IN"</formula>
    </cfRule>
    <cfRule type="expression" dxfId="966" priority="9915" stopIfTrue="1">
      <formula>$E1741=0</formula>
    </cfRule>
  </conditionalFormatting>
  <conditionalFormatting sqref="G1758:G1763">
    <cfRule type="expression" dxfId="965" priority="9916">
      <formula>$D1758&gt;1</formula>
    </cfRule>
    <cfRule type="expression" dxfId="964" priority="9917">
      <formula>$C1758="%IN"</formula>
    </cfRule>
    <cfRule type="expression" dxfId="963" priority="9918" stopIfTrue="1">
      <formula>$E1758=0</formula>
    </cfRule>
  </conditionalFormatting>
  <conditionalFormatting sqref="G1781:G1789">
    <cfRule type="expression" dxfId="962" priority="9919">
      <formula>$D1781&gt;1</formula>
    </cfRule>
    <cfRule type="expression" dxfId="961" priority="9920">
      <formula>$C1781="%IN"</formula>
    </cfRule>
    <cfRule type="expression" dxfId="960" priority="9921" stopIfTrue="1">
      <formula>$E1781=0</formula>
    </cfRule>
  </conditionalFormatting>
  <conditionalFormatting sqref="G1795:G1799">
    <cfRule type="expression" dxfId="959" priority="9922">
      <formula>$D1795&gt;1</formula>
    </cfRule>
    <cfRule type="expression" dxfId="958" priority="9923">
      <formula>$C1795="%IN"</formula>
    </cfRule>
    <cfRule type="expression" dxfId="957" priority="9924" stopIfTrue="1">
      <formula>$E1795=0</formula>
    </cfRule>
  </conditionalFormatting>
  <conditionalFormatting sqref="G1858:G1862">
    <cfRule type="expression" dxfId="956" priority="9925">
      <formula>$D1858&gt;1</formula>
    </cfRule>
    <cfRule type="expression" dxfId="955" priority="9926">
      <formula>$C1858="%IN"</formula>
    </cfRule>
    <cfRule type="expression" dxfId="954" priority="9927" stopIfTrue="1">
      <formula>$E1858=0</formula>
    </cfRule>
  </conditionalFormatting>
  <conditionalFormatting sqref="G1874:G1882">
    <cfRule type="expression" dxfId="953" priority="9928">
      <formula>$D1874&gt;1</formula>
    </cfRule>
    <cfRule type="expression" dxfId="952" priority="9929">
      <formula>$C1874="%IN"</formula>
    </cfRule>
    <cfRule type="expression" dxfId="951" priority="9930" stopIfTrue="1">
      <formula>$E1874=0</formula>
    </cfRule>
  </conditionalFormatting>
  <conditionalFormatting sqref="G1887:G1895">
    <cfRule type="expression" dxfId="950" priority="9931">
      <formula>$D1887&gt;1</formula>
    </cfRule>
    <cfRule type="expression" dxfId="949" priority="9932">
      <formula>$C1887="%IN"</formula>
    </cfRule>
    <cfRule type="expression" dxfId="948" priority="9933" stopIfTrue="1">
      <formula>$E1887=0</formula>
    </cfRule>
  </conditionalFormatting>
  <conditionalFormatting sqref="G1900:G1908">
    <cfRule type="expression" dxfId="947" priority="9934">
      <formula>$D1900&gt;1</formula>
    </cfRule>
    <cfRule type="expression" dxfId="946" priority="9935">
      <formula>$C1900="%IN"</formula>
    </cfRule>
    <cfRule type="expression" dxfId="945" priority="9936" stopIfTrue="1">
      <formula>$E1900=0</formula>
    </cfRule>
  </conditionalFormatting>
  <conditionalFormatting sqref="G1915:G1920">
    <cfRule type="expression" dxfId="944" priority="9937">
      <formula>$D1915&gt;1</formula>
    </cfRule>
    <cfRule type="expression" dxfId="943" priority="9938">
      <formula>$C1915="%IN"</formula>
    </cfRule>
    <cfRule type="expression" dxfId="942" priority="9939" stopIfTrue="1">
      <formula>$E1915=0</formula>
    </cfRule>
  </conditionalFormatting>
  <conditionalFormatting sqref="G1934:G1946">
    <cfRule type="expression" dxfId="941" priority="9940">
      <formula>$D1934&gt;1</formula>
    </cfRule>
    <cfRule type="expression" dxfId="940" priority="9941">
      <formula>$C1934="%IN"</formula>
    </cfRule>
    <cfRule type="expression" dxfId="939" priority="9942" stopIfTrue="1">
      <formula>$E1934=0</formula>
    </cfRule>
  </conditionalFormatting>
  <conditionalFormatting sqref="G1978:G1986">
    <cfRule type="expression" dxfId="938" priority="9946">
      <formula>$D1978&gt;1</formula>
    </cfRule>
    <cfRule type="expression" dxfId="937" priority="9947">
      <formula>$C1978="%IN"</formula>
    </cfRule>
    <cfRule type="expression" dxfId="936" priority="9948" stopIfTrue="1">
      <formula>$E1978=0</formula>
    </cfRule>
  </conditionalFormatting>
  <conditionalFormatting sqref="G1993:G2001">
    <cfRule type="expression" dxfId="935" priority="9949">
      <formula>$D1993&gt;1</formula>
    </cfRule>
    <cfRule type="expression" dxfId="934" priority="9950">
      <formula>$C1993="%IN"</formula>
    </cfRule>
    <cfRule type="expression" dxfId="933" priority="9951" stopIfTrue="1">
      <formula>$E1993=0</formula>
    </cfRule>
  </conditionalFormatting>
  <conditionalFormatting sqref="G2006:G2013">
    <cfRule type="expression" dxfId="932" priority="9952">
      <formula>$D2006&gt;1</formula>
    </cfRule>
    <cfRule type="expression" dxfId="931" priority="9953">
      <formula>$C2006="%IN"</formula>
    </cfRule>
    <cfRule type="expression" dxfId="930" priority="9954" stopIfTrue="1">
      <formula>$E2006=0</formula>
    </cfRule>
  </conditionalFormatting>
  <conditionalFormatting sqref="G2026:G2031">
    <cfRule type="expression" dxfId="929" priority="9955">
      <formula>$D2026&gt;1</formula>
    </cfRule>
    <cfRule type="expression" dxfId="928" priority="9956">
      <formula>$C2026="%IN"</formula>
    </cfRule>
    <cfRule type="expression" dxfId="927" priority="9957" stopIfTrue="1">
      <formula>$E2026=0</formula>
    </cfRule>
  </conditionalFormatting>
  <conditionalFormatting sqref="G2037:G2048">
    <cfRule type="expression" dxfId="926" priority="9958">
      <formula>$D2037&gt;1</formula>
    </cfRule>
    <cfRule type="expression" dxfId="925" priority="9959">
      <formula>$C2037="%IN"</formula>
    </cfRule>
    <cfRule type="expression" dxfId="924" priority="9960" stopIfTrue="1">
      <formula>$E2037=0</formula>
    </cfRule>
  </conditionalFormatting>
  <conditionalFormatting sqref="G2055:G2063">
    <cfRule type="expression" dxfId="923" priority="9961">
      <formula>$D2055&gt;1</formula>
    </cfRule>
    <cfRule type="expression" dxfId="922" priority="9962">
      <formula>$C2055="%IN"</formula>
    </cfRule>
    <cfRule type="expression" dxfId="921" priority="9963" stopIfTrue="1">
      <formula>$E2055=0</formula>
    </cfRule>
  </conditionalFormatting>
  <conditionalFormatting sqref="G2125:G2130">
    <cfRule type="expression" dxfId="920" priority="9976">
      <formula>$D2125&gt;1</formula>
    </cfRule>
    <cfRule type="expression" dxfId="919" priority="9977">
      <formula>$C2125="%IN"</formula>
    </cfRule>
    <cfRule type="expression" dxfId="918" priority="9978" stopIfTrue="1">
      <formula>$E2125=0</formula>
    </cfRule>
  </conditionalFormatting>
  <conditionalFormatting sqref="G2186:G2191">
    <cfRule type="expression" dxfId="917" priority="9979">
      <formula>$D2186&gt;1</formula>
    </cfRule>
    <cfRule type="expression" dxfId="916" priority="9980">
      <formula>$C2186="%IN"</formula>
    </cfRule>
    <cfRule type="expression" dxfId="915" priority="9981" stopIfTrue="1">
      <formula>$E2186=0</formula>
    </cfRule>
  </conditionalFormatting>
  <conditionalFormatting sqref="G2209:G2218">
    <cfRule type="expression" dxfId="914" priority="9982">
      <formula>$D2209&gt;1</formula>
    </cfRule>
    <cfRule type="expression" dxfId="913" priority="9983">
      <formula>$C2209="%IN"</formula>
    </cfRule>
    <cfRule type="expression" dxfId="912" priority="9984" stopIfTrue="1">
      <formula>$E2209=0</formula>
    </cfRule>
  </conditionalFormatting>
  <conditionalFormatting sqref="G2223:G2227">
    <cfRule type="expression" dxfId="911" priority="9985">
      <formula>$D2223&gt;1</formula>
    </cfRule>
    <cfRule type="expression" dxfId="910" priority="9986">
      <formula>$C2223="%IN"</formula>
    </cfRule>
    <cfRule type="expression" dxfId="909" priority="9987" stopIfTrue="1">
      <formula>$E2223=0</formula>
    </cfRule>
  </conditionalFormatting>
  <conditionalFormatting sqref="G2239:G2247">
    <cfRule type="expression" dxfId="908" priority="9988">
      <formula>$D2239&gt;1</formula>
    </cfRule>
    <cfRule type="expression" dxfId="907" priority="9989">
      <formula>$C2239="%IN"</formula>
    </cfRule>
    <cfRule type="expression" dxfId="906" priority="9990" stopIfTrue="1">
      <formula>$E2239=0</formula>
    </cfRule>
  </conditionalFormatting>
  <conditionalFormatting sqref="G2252:G2260">
    <cfRule type="expression" dxfId="905" priority="9991">
      <formula>$D2252&gt;1</formula>
    </cfRule>
    <cfRule type="expression" dxfId="904" priority="9992">
      <formula>$C2252="%IN"</formula>
    </cfRule>
    <cfRule type="expression" dxfId="903" priority="9993" stopIfTrue="1">
      <formula>$E2252=0</formula>
    </cfRule>
  </conditionalFormatting>
  <conditionalFormatting sqref="G2265:G2273">
    <cfRule type="expression" dxfId="902" priority="9994">
      <formula>$D2265&gt;1</formula>
    </cfRule>
    <cfRule type="expression" dxfId="901" priority="9995">
      <formula>$C2265="%IN"</formula>
    </cfRule>
    <cfRule type="expression" dxfId="900" priority="9996" stopIfTrue="1">
      <formula>$E2265=0</formula>
    </cfRule>
  </conditionalFormatting>
  <conditionalFormatting sqref="G2280:G2286">
    <cfRule type="expression" dxfId="899" priority="9997">
      <formula>$D2280&gt;1</formula>
    </cfRule>
    <cfRule type="expression" dxfId="898" priority="9998">
      <formula>$C2280="%IN"</formula>
    </cfRule>
    <cfRule type="expression" dxfId="897" priority="9999" stopIfTrue="1">
      <formula>$E2280=0</formula>
    </cfRule>
  </conditionalFormatting>
  <conditionalFormatting sqref="G2300:G2308">
    <cfRule type="expression" dxfId="896" priority="10000">
      <formula>$D2300&gt;1</formula>
    </cfRule>
    <cfRule type="expression" dxfId="895" priority="10001">
      <formula>$C2300="%IN"</formula>
    </cfRule>
    <cfRule type="expression" dxfId="894" priority="10002" stopIfTrue="1">
      <formula>$E2300=0</formula>
    </cfRule>
  </conditionalFormatting>
  <conditionalFormatting sqref="G2337:G2342">
    <cfRule type="expression" dxfId="893" priority="10003">
      <formula>$D2337&gt;1</formula>
    </cfRule>
    <cfRule type="expression" dxfId="892" priority="10004">
      <formula>$C2337="%IN"</formula>
    </cfRule>
    <cfRule type="expression" dxfId="891" priority="10005" stopIfTrue="1">
      <formula>$E2337=0</formula>
    </cfRule>
  </conditionalFormatting>
  <conditionalFormatting sqref="G2383:G2391">
    <cfRule type="expression" dxfId="890" priority="10009">
      <formula>$D2383&gt;1</formula>
    </cfRule>
    <cfRule type="expression" dxfId="889" priority="10010">
      <formula>$C2383="%IN"</formula>
    </cfRule>
    <cfRule type="expression" dxfId="888" priority="10011" stopIfTrue="1">
      <formula>$E2383=0</formula>
    </cfRule>
  </conditionalFormatting>
  <conditionalFormatting sqref="G2396:G2401">
    <cfRule type="expression" dxfId="887" priority="10012">
      <formula>$D2396&gt;1</formula>
    </cfRule>
    <cfRule type="expression" dxfId="886" priority="10013">
      <formula>$C2396="%IN"</formula>
    </cfRule>
    <cfRule type="expression" dxfId="885" priority="10014" stopIfTrue="1">
      <formula>$E2396=0</formula>
    </cfRule>
  </conditionalFormatting>
  <conditionalFormatting sqref="G2373:G2378">
    <cfRule type="expression" dxfId="884" priority="10015">
      <formula>$D2373&gt;1</formula>
    </cfRule>
    <cfRule type="expression" dxfId="883" priority="10016">
      <formula>$C2373="%IN"</formula>
    </cfRule>
    <cfRule type="expression" dxfId="882" priority="10017" stopIfTrue="1">
      <formula>$E2373=0</formula>
    </cfRule>
  </conditionalFormatting>
  <conditionalFormatting sqref="G2470:G2496">
    <cfRule type="expression" dxfId="881" priority="10018">
      <formula>$D2470&gt;1</formula>
    </cfRule>
    <cfRule type="expression" dxfId="880" priority="10019">
      <formula>$C2470="%IN"</formula>
    </cfRule>
    <cfRule type="expression" dxfId="879" priority="10020" stopIfTrue="1">
      <formula>$E2470=0</formula>
    </cfRule>
  </conditionalFormatting>
  <conditionalFormatting sqref="G2511:G2519">
    <cfRule type="expression" dxfId="878" priority="10021">
      <formula>$D2511&gt;1</formula>
    </cfRule>
    <cfRule type="expression" dxfId="877" priority="10022">
      <formula>$C2511="%IN"</formula>
    </cfRule>
    <cfRule type="expression" dxfId="876" priority="10023" stopIfTrue="1">
      <formula>$E2511=0</formula>
    </cfRule>
  </conditionalFormatting>
  <conditionalFormatting sqref="G2633:G2638">
    <cfRule type="expression" dxfId="875" priority="10024">
      <formula>$D2633&gt;1</formula>
    </cfRule>
    <cfRule type="expression" dxfId="874" priority="10025">
      <formula>$C2633="%IN"</formula>
    </cfRule>
    <cfRule type="expression" dxfId="873" priority="10026" stopIfTrue="1">
      <formula>$E2633=0</formula>
    </cfRule>
  </conditionalFormatting>
  <conditionalFormatting sqref="G2724:G2733">
    <cfRule type="expression" dxfId="872" priority="10027">
      <formula>$D2724&gt;1</formula>
    </cfRule>
    <cfRule type="expression" dxfId="871" priority="10028">
      <formula>$C2724="%IN"</formula>
    </cfRule>
    <cfRule type="expression" dxfId="870" priority="10029" stopIfTrue="1">
      <formula>$E2724=0</formula>
    </cfRule>
  </conditionalFormatting>
  <conditionalFormatting sqref="G2738:G2748">
    <cfRule type="expression" dxfId="869" priority="10030">
      <formula>$D2738&gt;1</formula>
    </cfRule>
    <cfRule type="expression" dxfId="868" priority="10031">
      <formula>$C2738="%IN"</formula>
    </cfRule>
    <cfRule type="expression" dxfId="867" priority="10032" stopIfTrue="1">
      <formula>$E2738=0</formula>
    </cfRule>
  </conditionalFormatting>
  <conditionalFormatting sqref="G2753:G2761">
    <cfRule type="expression" dxfId="866" priority="10033">
      <formula>$D2753&gt;1</formula>
    </cfRule>
    <cfRule type="expression" dxfId="865" priority="10034">
      <formula>$C2753="%IN"</formula>
    </cfRule>
    <cfRule type="expression" dxfId="864" priority="10035" stopIfTrue="1">
      <formula>$E2753=0</formula>
    </cfRule>
  </conditionalFormatting>
  <conditionalFormatting sqref="G2710:G2719">
    <cfRule type="expression" dxfId="863" priority="10036">
      <formula>$D2710&gt;1</formula>
    </cfRule>
    <cfRule type="expression" dxfId="862" priority="10037">
      <formula>$C2710="%IN"</formula>
    </cfRule>
    <cfRule type="expression" dxfId="861" priority="10038" stopIfTrue="1">
      <formula>$E2710=0</formula>
    </cfRule>
  </conditionalFormatting>
  <conditionalFormatting sqref="I921">
    <cfRule type="expression" dxfId="860" priority="160" stopIfTrue="1">
      <formula>$I921="适用"</formula>
    </cfRule>
    <cfRule type="expression" dxfId="859" priority="161" stopIfTrue="1">
      <formula>$I921="不适用"</formula>
    </cfRule>
  </conditionalFormatting>
  <conditionalFormatting sqref="Q921:Q922 Q924:Q933">
    <cfRule type="expression" dxfId="858" priority="159" stopIfTrue="1">
      <formula>$Q921="请输入"</formula>
    </cfRule>
  </conditionalFormatting>
  <conditionalFormatting sqref="G924:G932">
    <cfRule type="expression" dxfId="857" priority="10039">
      <formula>$D924&gt;1</formula>
    </cfRule>
    <cfRule type="expression" dxfId="856" priority="10040">
      <formula>$C924="%IN"</formula>
    </cfRule>
    <cfRule type="expression" dxfId="855" priority="10041" stopIfTrue="1">
      <formula>$E924=0</formula>
    </cfRule>
  </conditionalFormatting>
  <conditionalFormatting sqref="G2786:G2796">
    <cfRule type="expression" dxfId="854" priority="10045">
      <formula>$D2786&gt;1</formula>
    </cfRule>
    <cfRule type="expression" dxfId="853" priority="10046">
      <formula>$C2786="%IN"</formula>
    </cfRule>
    <cfRule type="expression" dxfId="852" priority="10047" stopIfTrue="1">
      <formula>$E2786=0</formula>
    </cfRule>
  </conditionalFormatting>
  <conditionalFormatting sqref="G2776:G2781">
    <cfRule type="expression" dxfId="851" priority="10048">
      <formula>$D2776&gt;1</formula>
    </cfRule>
    <cfRule type="expression" dxfId="850" priority="10049">
      <formula>$C2776="%IN"</formula>
    </cfRule>
    <cfRule type="expression" dxfId="849" priority="10050" stopIfTrue="1">
      <formula>$E2776=0</formula>
    </cfRule>
  </conditionalFormatting>
  <conditionalFormatting sqref="G2766:G2771">
    <cfRule type="expression" dxfId="848" priority="10051">
      <formula>$D2766&gt;1</formula>
    </cfRule>
    <cfRule type="expression" dxfId="847" priority="10052">
      <formula>$C2766="%IN"</formula>
    </cfRule>
    <cfRule type="expression" dxfId="846" priority="10053" stopIfTrue="1">
      <formula>$E2766=0</formula>
    </cfRule>
  </conditionalFormatting>
  <conditionalFormatting sqref="G2815:G2820">
    <cfRule type="expression" dxfId="845" priority="10054">
      <formula>$D2815&gt;1</formula>
    </cfRule>
    <cfRule type="expression" dxfId="844" priority="10055">
      <formula>$C2815="%IN"</formula>
    </cfRule>
    <cfRule type="expression" dxfId="843" priority="10056" stopIfTrue="1">
      <formula>$E2815=0</formula>
    </cfRule>
  </conditionalFormatting>
  <conditionalFormatting sqref="G2852:G2862">
    <cfRule type="expression" dxfId="842" priority="10057">
      <formula>$D2852&gt;1</formula>
    </cfRule>
    <cfRule type="expression" dxfId="841" priority="10058">
      <formula>$C2852="%IN"</formula>
    </cfRule>
    <cfRule type="expression" dxfId="840" priority="10059" stopIfTrue="1">
      <formula>$E2852=0</formula>
    </cfRule>
  </conditionalFormatting>
  <conditionalFormatting sqref="G2867:G2877">
    <cfRule type="expression" dxfId="839" priority="10060">
      <formula>$D2867&gt;1</formula>
    </cfRule>
    <cfRule type="expression" dxfId="838" priority="10061">
      <formula>$C2867="%IN"</formula>
    </cfRule>
    <cfRule type="expression" dxfId="837" priority="10062" stopIfTrue="1">
      <formula>$E2867=0</formula>
    </cfRule>
  </conditionalFormatting>
  <conditionalFormatting sqref="G2882:G2890">
    <cfRule type="expression" dxfId="836" priority="10063">
      <formula>$D2882&gt;1</formula>
    </cfRule>
    <cfRule type="expression" dxfId="835" priority="10064">
      <formula>$C2882="%IN"</formula>
    </cfRule>
    <cfRule type="expression" dxfId="834" priority="10065" stopIfTrue="1">
      <formula>$E2882=0</formula>
    </cfRule>
  </conditionalFormatting>
  <conditionalFormatting sqref="G2902:G2907">
    <cfRule type="expression" dxfId="833" priority="10066">
      <formula>$D2902&gt;1</formula>
    </cfRule>
    <cfRule type="expression" dxfId="832" priority="10067">
      <formula>$C2902="%IN"</formula>
    </cfRule>
    <cfRule type="expression" dxfId="831" priority="10068" stopIfTrue="1">
      <formula>$E2902=0</formula>
    </cfRule>
  </conditionalFormatting>
  <conditionalFormatting sqref="G3118:G3126">
    <cfRule type="expression" dxfId="830" priority="10069">
      <formula>$D3118&gt;1</formula>
    </cfRule>
    <cfRule type="expression" dxfId="829" priority="10070">
      <formula>$C3118="%IN"</formula>
    </cfRule>
    <cfRule type="expression" dxfId="828" priority="10071" stopIfTrue="1">
      <formula>$E3118=0</formula>
    </cfRule>
  </conditionalFormatting>
  <conditionalFormatting sqref="G3131:G3136">
    <cfRule type="expression" dxfId="827" priority="10072">
      <formula>$D3131&gt;1</formula>
    </cfRule>
    <cfRule type="expression" dxfId="826" priority="10073">
      <formula>$C3131="%IN"</formula>
    </cfRule>
    <cfRule type="expression" dxfId="825" priority="10074" stopIfTrue="1">
      <formula>$E3131=0</formula>
    </cfRule>
  </conditionalFormatting>
  <conditionalFormatting sqref="G3167:G3174">
    <cfRule type="expression" dxfId="824" priority="10082">
      <formula>$D3167&gt;1</formula>
    </cfRule>
    <cfRule type="expression" dxfId="823" priority="10083">
      <formula>$C3167="%IN"</formula>
    </cfRule>
    <cfRule type="expression" dxfId="822" priority="10084" stopIfTrue="1">
      <formula>$E3167=0</formula>
    </cfRule>
  </conditionalFormatting>
  <conditionalFormatting sqref="L3138">
    <cfRule type="expression" dxfId="821" priority="10085" stopIfTrue="1">
      <formula>OR($L$3138="F/S",$L$3138="")</formula>
    </cfRule>
    <cfRule type="cellIs" dxfId="820" priority="10086" stopIfTrue="1" operator="notEqual">
      <formula>0</formula>
    </cfRule>
  </conditionalFormatting>
  <conditionalFormatting sqref="O3138:O3150">
    <cfRule type="expression" dxfId="819" priority="10087" stopIfTrue="1">
      <formula>OR($O$3138="F/S",$O$3138="")</formula>
    </cfRule>
    <cfRule type="cellIs" dxfId="818" priority="10088" stopIfTrue="1" operator="notEqual">
      <formula>0</formula>
    </cfRule>
  </conditionalFormatting>
  <conditionalFormatting sqref="I3138">
    <cfRule type="expression" dxfId="817" priority="146" stopIfTrue="1">
      <formula>$I3138="适用"</formula>
    </cfRule>
    <cfRule type="expression" dxfId="816" priority="147" stopIfTrue="1">
      <formula>$I3138="不适用"</formula>
    </cfRule>
  </conditionalFormatting>
  <conditionalFormatting sqref="Q3138:Q3163">
    <cfRule type="expression" dxfId="815" priority="145" stopIfTrue="1">
      <formula>$Q3138="请输入"</formula>
    </cfRule>
  </conditionalFormatting>
  <conditionalFormatting sqref="L3151">
    <cfRule type="expression" dxfId="814" priority="10092" stopIfTrue="1">
      <formula>OR($L$3151="F/S",$L$3151="")</formula>
    </cfRule>
    <cfRule type="cellIs" dxfId="813" priority="10093" stopIfTrue="1" operator="notEqual">
      <formula>0</formula>
    </cfRule>
  </conditionalFormatting>
  <conditionalFormatting sqref="O3151">
    <cfRule type="expression" dxfId="812" priority="10094" stopIfTrue="1">
      <formula>OR($O$3151="F/S",$O$3151="")</formula>
    </cfRule>
    <cfRule type="cellIs" dxfId="811" priority="10095" stopIfTrue="1" operator="notEqual">
      <formula>0</formula>
    </cfRule>
  </conditionalFormatting>
  <conditionalFormatting sqref="I3151">
    <cfRule type="expression" dxfId="810" priority="139" stopIfTrue="1">
      <formula>$I3151="适用"</formula>
    </cfRule>
    <cfRule type="expression" dxfId="809" priority="140" stopIfTrue="1">
      <formula>$I3151="不适用"</formula>
    </cfRule>
  </conditionalFormatting>
  <conditionalFormatting sqref="Q3151:Q3163">
    <cfRule type="expression" dxfId="808" priority="138" stopIfTrue="1">
      <formula>$Q3151="请输入"</formula>
    </cfRule>
  </conditionalFormatting>
  <conditionalFormatting sqref="G3141:G3149">
    <cfRule type="expression" dxfId="807" priority="10099">
      <formula>$D3141&gt;1</formula>
    </cfRule>
    <cfRule type="expression" dxfId="806" priority="10100">
      <formula>$C3141="%IN"</formula>
    </cfRule>
    <cfRule type="expression" dxfId="805" priority="10101" stopIfTrue="1">
      <formula>$E3141=0</formula>
    </cfRule>
  </conditionalFormatting>
  <conditionalFormatting sqref="G3154:G3162">
    <cfRule type="expression" dxfId="804" priority="10102">
      <formula>$D3154&gt;1</formula>
    </cfRule>
    <cfRule type="expression" dxfId="803" priority="10103">
      <formula>$C3154="%IN"</formula>
    </cfRule>
    <cfRule type="expression" dxfId="802" priority="10104" stopIfTrue="1">
      <formula>$E3154=0</formula>
    </cfRule>
  </conditionalFormatting>
  <conditionalFormatting sqref="G3195:G3200">
    <cfRule type="expression" dxfId="801" priority="10105">
      <formula>$D3195&gt;1</formula>
    </cfRule>
    <cfRule type="expression" dxfId="800" priority="10106">
      <formula>$C3195="%IN"</formula>
    </cfRule>
    <cfRule type="expression" dxfId="799" priority="10107" stopIfTrue="1">
      <formula>$E3195=0</formula>
    </cfRule>
  </conditionalFormatting>
  <conditionalFormatting sqref="G3207:G3212">
    <cfRule type="expression" dxfId="798" priority="10108">
      <formula>$D3207&gt;1</formula>
    </cfRule>
    <cfRule type="expression" dxfId="797" priority="10109">
      <formula>$C3207="%IN"</formula>
    </cfRule>
    <cfRule type="expression" dxfId="796" priority="10110" stopIfTrue="1">
      <formula>$E3207=0</formula>
    </cfRule>
  </conditionalFormatting>
  <conditionalFormatting sqref="G3291:G3298">
    <cfRule type="expression" dxfId="795" priority="10111">
      <formula>$D3291&gt;1</formula>
    </cfRule>
    <cfRule type="expression" dxfId="794" priority="10112">
      <formula>$C3291="%IN"</formula>
    </cfRule>
    <cfRule type="expression" dxfId="793" priority="10113" stopIfTrue="1">
      <formula>$E3291=0</formula>
    </cfRule>
  </conditionalFormatting>
  <conditionalFormatting sqref="G3247:G3256">
    <cfRule type="expression" dxfId="792" priority="10114">
      <formula>$D3247&gt;1</formula>
    </cfRule>
    <cfRule type="expression" dxfId="791" priority="10115">
      <formula>$C3247="%IN"</formula>
    </cfRule>
    <cfRule type="expression" dxfId="790" priority="10116" stopIfTrue="1">
      <formula>$E3247=0</formula>
    </cfRule>
  </conditionalFormatting>
  <conditionalFormatting sqref="G3263:G3269">
    <cfRule type="expression" dxfId="789" priority="10117">
      <formula>$D3263&gt;1</formula>
    </cfRule>
    <cfRule type="expression" dxfId="788" priority="10118">
      <formula>$C3263="%IN"</formula>
    </cfRule>
    <cfRule type="expression" dxfId="787" priority="10119" stopIfTrue="1">
      <formula>$E3263=0</formula>
    </cfRule>
  </conditionalFormatting>
  <conditionalFormatting sqref="G3274:G3276">
    <cfRule type="expression" dxfId="786" priority="10120">
      <formula>$D3274&gt;1</formula>
    </cfRule>
    <cfRule type="expression" dxfId="785" priority="10121">
      <formula>$C3274="%IN"</formula>
    </cfRule>
    <cfRule type="expression" dxfId="784" priority="10122" stopIfTrue="1">
      <formula>$E3274=0</formula>
    </cfRule>
  </conditionalFormatting>
  <conditionalFormatting sqref="G3281:G3286">
    <cfRule type="expression" dxfId="783" priority="10123">
      <formula>$D3281&gt;1</formula>
    </cfRule>
    <cfRule type="expression" dxfId="782" priority="10124">
      <formula>$C3281="%IN"</formula>
    </cfRule>
    <cfRule type="expression" dxfId="781" priority="10125" stopIfTrue="1">
      <formula>$E3281=0</formula>
    </cfRule>
  </conditionalFormatting>
  <conditionalFormatting sqref="G3334:G3339">
    <cfRule type="expression" dxfId="780" priority="10126">
      <formula>$D3334&gt;1</formula>
    </cfRule>
    <cfRule type="expression" dxfId="779" priority="10127">
      <formula>$C3334="%IN"</formula>
    </cfRule>
    <cfRule type="expression" dxfId="778" priority="10128" stopIfTrue="1">
      <formula>$E3334=0</formula>
    </cfRule>
  </conditionalFormatting>
  <conditionalFormatting sqref="G3344:G3349">
    <cfRule type="expression" dxfId="777" priority="10129">
      <formula>$D3344&gt;1</formula>
    </cfRule>
    <cfRule type="expression" dxfId="776" priority="10130">
      <formula>$C3344="%IN"</formula>
    </cfRule>
    <cfRule type="expression" dxfId="775" priority="10131" stopIfTrue="1">
      <formula>$E3344=0</formula>
    </cfRule>
  </conditionalFormatting>
  <conditionalFormatting sqref="G3354:G3359">
    <cfRule type="expression" dxfId="774" priority="10132">
      <formula>$D3354&gt;1</formula>
    </cfRule>
    <cfRule type="expression" dxfId="773" priority="10133">
      <formula>$C3354="%IN"</formula>
    </cfRule>
    <cfRule type="expression" dxfId="772" priority="10134" stopIfTrue="1">
      <formula>$E3354=0</formula>
    </cfRule>
  </conditionalFormatting>
  <conditionalFormatting sqref="G3448:G3454">
    <cfRule type="expression" dxfId="771" priority="10135">
      <formula>$D3448&gt;1</formula>
    </cfRule>
    <cfRule type="expression" dxfId="770" priority="10136">
      <formula>$C3448="%IN"</formula>
    </cfRule>
    <cfRule type="expression" dxfId="769" priority="10137" stopIfTrue="1">
      <formula>$E3448=0</formula>
    </cfRule>
  </conditionalFormatting>
  <conditionalFormatting sqref="G3476:G3481">
    <cfRule type="expression" dxfId="768" priority="10138">
      <formula>$D3476&gt;1</formula>
    </cfRule>
    <cfRule type="expression" dxfId="767" priority="10139">
      <formula>$C3476="%IN"</formula>
    </cfRule>
    <cfRule type="expression" dxfId="766" priority="10140" stopIfTrue="1">
      <formula>$E3476=0</formula>
    </cfRule>
  </conditionalFormatting>
  <conditionalFormatting sqref="G3506:G3511">
    <cfRule type="expression" dxfId="765" priority="10141">
      <formula>$D3506&gt;1</formula>
    </cfRule>
    <cfRule type="expression" dxfId="764" priority="10142">
      <formula>$C3506="%IN"</formula>
    </cfRule>
    <cfRule type="expression" dxfId="763" priority="10143" stopIfTrue="1">
      <formula>$E3506=0</formula>
    </cfRule>
  </conditionalFormatting>
  <conditionalFormatting sqref="G3573:G3578">
    <cfRule type="expression" dxfId="762" priority="10144">
      <formula>$D3573&gt;1</formula>
    </cfRule>
    <cfRule type="expression" dxfId="761" priority="10145">
      <formula>$C3573="%IN"</formula>
    </cfRule>
    <cfRule type="expression" dxfId="760" priority="10146" stopIfTrue="1">
      <formula>$E3573=0</formula>
    </cfRule>
  </conditionalFormatting>
  <conditionalFormatting sqref="G3583:G3588">
    <cfRule type="expression" dxfId="759" priority="10147">
      <formula>$D3583&gt;1</formula>
    </cfRule>
    <cfRule type="expression" dxfId="758" priority="10148">
      <formula>$C3583="%IN"</formula>
    </cfRule>
    <cfRule type="expression" dxfId="757" priority="10149" stopIfTrue="1">
      <formula>$E3583=0</formula>
    </cfRule>
  </conditionalFormatting>
  <conditionalFormatting sqref="G3623:G3628">
    <cfRule type="expression" dxfId="756" priority="10150">
      <formula>$D3623&gt;1</formula>
    </cfRule>
    <cfRule type="expression" dxfId="755" priority="10151">
      <formula>$C3623="%IN"</formula>
    </cfRule>
    <cfRule type="expression" dxfId="754" priority="10152" stopIfTrue="1">
      <formula>$E3623=0</formula>
    </cfRule>
  </conditionalFormatting>
  <conditionalFormatting sqref="G3633:G3650">
    <cfRule type="expression" dxfId="753" priority="10153">
      <formula>$D3633&gt;1</formula>
    </cfRule>
    <cfRule type="expression" dxfId="752" priority="10154">
      <formula>$C3633="%IN"</formula>
    </cfRule>
    <cfRule type="expression" dxfId="751" priority="10155" stopIfTrue="1">
      <formula>$E3633=0</formula>
    </cfRule>
  </conditionalFormatting>
  <conditionalFormatting sqref="G3686:G3713">
    <cfRule type="expression" dxfId="750" priority="10159">
      <formula>$D3686&gt;1</formula>
    </cfRule>
    <cfRule type="expression" dxfId="749" priority="10160">
      <formula>$C3686="%IN"</formula>
    </cfRule>
    <cfRule type="expression" dxfId="748" priority="10161" stopIfTrue="1">
      <formula>$E3686=0</formula>
    </cfRule>
  </conditionalFormatting>
  <conditionalFormatting sqref="G3795:G3800">
    <cfRule type="expression" dxfId="747" priority="10162">
      <formula>$D3795&gt;1</formula>
    </cfRule>
    <cfRule type="expression" dxfId="746" priority="10163">
      <formula>$C3795="%IN"</formula>
    </cfRule>
    <cfRule type="expression" dxfId="745" priority="10164" stopIfTrue="1">
      <formula>$E3795=0</formula>
    </cfRule>
  </conditionalFormatting>
  <conditionalFormatting sqref="G3834:G3839">
    <cfRule type="expression" dxfId="744" priority="10165">
      <formula>$D3834&gt;1</formula>
    </cfRule>
    <cfRule type="expression" dxfId="743" priority="10166">
      <formula>$C3834="%IN"</formula>
    </cfRule>
    <cfRule type="expression" dxfId="742" priority="10167" stopIfTrue="1">
      <formula>$E3834=0</formula>
    </cfRule>
  </conditionalFormatting>
  <conditionalFormatting sqref="G3861:G3866">
    <cfRule type="expression" dxfId="741" priority="10168">
      <formula>$D3861&gt;1</formula>
    </cfRule>
    <cfRule type="expression" dxfId="740" priority="10169">
      <formula>$C3861="%IN"</formula>
    </cfRule>
    <cfRule type="expression" dxfId="739" priority="10170" stopIfTrue="1">
      <formula>$E3861=0</formula>
    </cfRule>
  </conditionalFormatting>
  <conditionalFormatting sqref="G3871:G3876">
    <cfRule type="expression" dxfId="738" priority="10171">
      <formula>$D3871&gt;1</formula>
    </cfRule>
    <cfRule type="expression" dxfId="737" priority="10172">
      <formula>$C3871="%IN"</formula>
    </cfRule>
    <cfRule type="expression" dxfId="736" priority="10173" stopIfTrue="1">
      <formula>$E3871=0</formula>
    </cfRule>
  </conditionalFormatting>
  <conditionalFormatting sqref="G3932:G3937">
    <cfRule type="expression" dxfId="735" priority="10174">
      <formula>$D3932&gt;1</formula>
    </cfRule>
    <cfRule type="expression" dxfId="734" priority="10175">
      <formula>$C3932="%IN"</formula>
    </cfRule>
    <cfRule type="expression" dxfId="733" priority="10176" stopIfTrue="1">
      <formula>$E3932=0</formula>
    </cfRule>
  </conditionalFormatting>
  <conditionalFormatting sqref="G3942:G3947">
    <cfRule type="expression" dxfId="732" priority="10177">
      <formula>$D3942&gt;1</formula>
    </cfRule>
    <cfRule type="expression" dxfId="731" priority="10178">
      <formula>$C3942="%IN"</formula>
    </cfRule>
    <cfRule type="expression" dxfId="730" priority="10179" stopIfTrue="1">
      <formula>$E3942=0</formula>
    </cfRule>
  </conditionalFormatting>
  <conditionalFormatting sqref="G3952:G3957">
    <cfRule type="expression" dxfId="729" priority="10180">
      <formula>$D3952&gt;1</formula>
    </cfRule>
    <cfRule type="expression" dxfId="728" priority="10181">
      <formula>$C3952="%IN"</formula>
    </cfRule>
    <cfRule type="expression" dxfId="727" priority="10182" stopIfTrue="1">
      <formula>$E3952=0</formula>
    </cfRule>
  </conditionalFormatting>
  <conditionalFormatting sqref="G3962:G3967">
    <cfRule type="expression" dxfId="726" priority="10183">
      <formula>$D3962&gt;1</formula>
    </cfRule>
    <cfRule type="expression" dxfId="725" priority="10184">
      <formula>$C3962="%IN"</formula>
    </cfRule>
    <cfRule type="expression" dxfId="724" priority="10185" stopIfTrue="1">
      <formula>$E3962=0</formula>
    </cfRule>
  </conditionalFormatting>
  <conditionalFormatting sqref="G4002:G4010">
    <cfRule type="expression" dxfId="723" priority="10186">
      <formula>$D4002&gt;1</formula>
    </cfRule>
    <cfRule type="expression" dxfId="722" priority="10187">
      <formula>$C4002="%IN"</formula>
    </cfRule>
    <cfRule type="expression" dxfId="721" priority="10188" stopIfTrue="1">
      <formula>$E4002=0</formula>
    </cfRule>
  </conditionalFormatting>
  <conditionalFormatting sqref="G4015:G4020">
    <cfRule type="expression" dxfId="720" priority="10189">
      <formula>$D4015&gt;1</formula>
    </cfRule>
    <cfRule type="expression" dxfId="719" priority="10190">
      <formula>$C4015="%IN"</formula>
    </cfRule>
    <cfRule type="expression" dxfId="718" priority="10191" stopIfTrue="1">
      <formula>$E4015=0</formula>
    </cfRule>
  </conditionalFormatting>
  <conditionalFormatting sqref="G4025:G4030">
    <cfRule type="expression" dxfId="717" priority="10192">
      <formula>$D4025&gt;1</formula>
    </cfRule>
    <cfRule type="expression" dxfId="716" priority="10193">
      <formula>$C4025="%IN"</formula>
    </cfRule>
    <cfRule type="expression" dxfId="715" priority="10194" stopIfTrue="1">
      <formula>$E4025=0</formula>
    </cfRule>
  </conditionalFormatting>
  <conditionalFormatting sqref="G4035:G4040">
    <cfRule type="expression" dxfId="714" priority="10195">
      <formula>$D4035&gt;1</formula>
    </cfRule>
    <cfRule type="expression" dxfId="713" priority="10196">
      <formula>$C4035="%IN"</formula>
    </cfRule>
    <cfRule type="expression" dxfId="712" priority="10197" stopIfTrue="1">
      <formula>$E4035=0</formula>
    </cfRule>
  </conditionalFormatting>
  <conditionalFormatting sqref="G4079:G4084">
    <cfRule type="expression" dxfId="711" priority="10198">
      <formula>$D4079&gt;1</formula>
    </cfRule>
    <cfRule type="expression" dxfId="710" priority="10199">
      <formula>$C4079="%IN"</formula>
    </cfRule>
    <cfRule type="expression" dxfId="709" priority="10200" stopIfTrue="1">
      <formula>$E4079=0</formula>
    </cfRule>
  </conditionalFormatting>
  <conditionalFormatting sqref="G4123:G4129">
    <cfRule type="expression" dxfId="708" priority="10201">
      <formula>$D4123&gt;1</formula>
    </cfRule>
    <cfRule type="expression" dxfId="707" priority="10202">
      <formula>$C4123="%IN"</formula>
    </cfRule>
    <cfRule type="expression" dxfId="706" priority="10203" stopIfTrue="1">
      <formula>$E4123=0</formula>
    </cfRule>
  </conditionalFormatting>
  <conditionalFormatting sqref="G4152:G4157">
    <cfRule type="expression" dxfId="705" priority="10204">
      <formula>$D4152&gt;1</formula>
    </cfRule>
    <cfRule type="expression" dxfId="704" priority="10205">
      <formula>$C4152="%IN"</formula>
    </cfRule>
    <cfRule type="expression" dxfId="703" priority="10206" stopIfTrue="1">
      <formula>$E4152=0</formula>
    </cfRule>
  </conditionalFormatting>
  <conditionalFormatting sqref="G4173:G4178">
    <cfRule type="expression" dxfId="702" priority="10207">
      <formula>$D4173&gt;1</formula>
    </cfRule>
    <cfRule type="expression" dxfId="701" priority="10208">
      <formula>$C4173="%IN"</formula>
    </cfRule>
    <cfRule type="expression" dxfId="700" priority="10209" stopIfTrue="1">
      <formula>$E4173=0</formula>
    </cfRule>
  </conditionalFormatting>
  <conditionalFormatting sqref="G4227:G4233">
    <cfRule type="expression" dxfId="699" priority="10219">
      <formula>$D4227&gt;1</formula>
    </cfRule>
    <cfRule type="expression" dxfId="698" priority="10220">
      <formula>$C4227="%IN"</formula>
    </cfRule>
    <cfRule type="expression" dxfId="697" priority="10221" stopIfTrue="1">
      <formula>$E4227=0</formula>
    </cfRule>
  </conditionalFormatting>
  <conditionalFormatting sqref="G4240:G4246">
    <cfRule type="expression" dxfId="696" priority="10222">
      <formula>$D4240&gt;1</formula>
    </cfRule>
    <cfRule type="expression" dxfId="695" priority="10223">
      <formula>$C4240="%IN"</formula>
    </cfRule>
    <cfRule type="expression" dxfId="694" priority="10224" stopIfTrue="1">
      <formula>$E4240=0</formula>
    </cfRule>
  </conditionalFormatting>
  <conditionalFormatting sqref="G4183:G4198">
    <cfRule type="expression" dxfId="693" priority="10228">
      <formula>$D4183&gt;1</formula>
    </cfRule>
    <cfRule type="expression" dxfId="692" priority="10229">
      <formula>$C4183="%IN"</formula>
    </cfRule>
    <cfRule type="expression" dxfId="691" priority="10230" stopIfTrue="1">
      <formula>$E4183=0</formula>
    </cfRule>
  </conditionalFormatting>
  <conditionalFormatting sqref="G4203:G4213">
    <cfRule type="expression" dxfId="690" priority="10231">
      <formula>$D4203&gt;1</formula>
    </cfRule>
    <cfRule type="expression" dxfId="689" priority="10232">
      <formula>$C4203="%IN"</formula>
    </cfRule>
    <cfRule type="expression" dxfId="688" priority="10233" stopIfTrue="1">
      <formula>$E4203=0</formula>
    </cfRule>
  </conditionalFormatting>
  <conditionalFormatting sqref="G4218:G4222">
    <cfRule type="expression" dxfId="687" priority="10234">
      <formula>$D4218&gt;1</formula>
    </cfRule>
    <cfRule type="expression" dxfId="686" priority="10235">
      <formula>$C4218="%IN"</formula>
    </cfRule>
    <cfRule type="expression" dxfId="685" priority="10236" stopIfTrue="1">
      <formula>$E4218=0</formula>
    </cfRule>
  </conditionalFormatting>
  <conditionalFormatting sqref="G4266:G4269">
    <cfRule type="expression" dxfId="684" priority="10237">
      <formula>$D4266&gt;1</formula>
    </cfRule>
    <cfRule type="expression" dxfId="683" priority="10238">
      <formula>$C4266="%IN"</formula>
    </cfRule>
    <cfRule type="expression" dxfId="682" priority="10239" stopIfTrue="1">
      <formula>$E4266=0</formula>
    </cfRule>
  </conditionalFormatting>
  <conditionalFormatting sqref="G4292:G4297">
    <cfRule type="expression" dxfId="681" priority="10243">
      <formula>$D4292&gt;1</formula>
    </cfRule>
    <cfRule type="expression" dxfId="680" priority="10244">
      <formula>$C4292="%IN"</formula>
    </cfRule>
    <cfRule type="expression" dxfId="679" priority="10245" stopIfTrue="1">
      <formula>$E4292=0</formula>
    </cfRule>
  </conditionalFormatting>
  <conditionalFormatting sqref="G4302:G4307">
    <cfRule type="expression" dxfId="678" priority="10246">
      <formula>$D4302&gt;1</formula>
    </cfRule>
    <cfRule type="expression" dxfId="677" priority="10247">
      <formula>$C4302="%IN"</formula>
    </cfRule>
    <cfRule type="expression" dxfId="676" priority="10248" stopIfTrue="1">
      <formula>$E4302=0</formula>
    </cfRule>
  </conditionalFormatting>
  <conditionalFormatting sqref="G4324:G4329">
    <cfRule type="expression" dxfId="675" priority="10249">
      <formula>$D4324&gt;1</formula>
    </cfRule>
    <cfRule type="expression" dxfId="674" priority="10250">
      <formula>$C4324="%IN"</formula>
    </cfRule>
    <cfRule type="expression" dxfId="673" priority="10251" stopIfTrue="1">
      <formula>$E4324=0</formula>
    </cfRule>
  </conditionalFormatting>
  <conditionalFormatting sqref="G4335:G4340">
    <cfRule type="expression" dxfId="672" priority="10252">
      <formula>$D4335&gt;1</formula>
    </cfRule>
    <cfRule type="expression" dxfId="671" priority="10253">
      <formula>$C4335="%IN"</formula>
    </cfRule>
    <cfRule type="expression" dxfId="670" priority="10254" stopIfTrue="1">
      <formula>$E4335=0</formula>
    </cfRule>
  </conditionalFormatting>
  <conditionalFormatting sqref="G4347:G4350">
    <cfRule type="expression" dxfId="669" priority="10255">
      <formula>$D4347&gt;1</formula>
    </cfRule>
    <cfRule type="expression" dxfId="668" priority="10256">
      <formula>$C4347="%IN"</formula>
    </cfRule>
    <cfRule type="expression" dxfId="667" priority="10257" stopIfTrue="1">
      <formula>$E4347=0</formula>
    </cfRule>
  </conditionalFormatting>
  <conditionalFormatting sqref="G4365:G4366">
    <cfRule type="expression" dxfId="666" priority="10261">
      <formula>$D4365&gt;1</formula>
    </cfRule>
    <cfRule type="expression" dxfId="665" priority="10262">
      <formula>$C4365="%IN"</formula>
    </cfRule>
    <cfRule type="expression" dxfId="664" priority="10263" stopIfTrue="1">
      <formula>$E4365=0</formula>
    </cfRule>
  </conditionalFormatting>
  <conditionalFormatting sqref="G4399:G4412">
    <cfRule type="expression" dxfId="663" priority="10264">
      <formula>$D4399&gt;1</formula>
    </cfRule>
    <cfRule type="expression" dxfId="662" priority="10265">
      <formula>$C4399="%IN"</formula>
    </cfRule>
    <cfRule type="expression" dxfId="661" priority="10266" stopIfTrue="1">
      <formula>$E4399=0</formula>
    </cfRule>
  </conditionalFormatting>
  <conditionalFormatting sqref="G4418:G4423">
    <cfRule type="expression" dxfId="660" priority="10267">
      <formula>$D4418&gt;1</formula>
    </cfRule>
    <cfRule type="expression" dxfId="659" priority="10268">
      <formula>$C4418="%IN"</formula>
    </cfRule>
    <cfRule type="expression" dxfId="658" priority="10269" stopIfTrue="1">
      <formula>$E4418=0</formula>
    </cfRule>
  </conditionalFormatting>
  <conditionalFormatting sqref="G4442:G4448">
    <cfRule type="expression" dxfId="657" priority="10270">
      <formula>$D4442&gt;1</formula>
    </cfRule>
    <cfRule type="expression" dxfId="656" priority="10271">
      <formula>$C4442="%IN"</formula>
    </cfRule>
    <cfRule type="expression" dxfId="655" priority="10272" stopIfTrue="1">
      <formula>$E4442=0</formula>
    </cfRule>
  </conditionalFormatting>
  <conditionalFormatting sqref="G4479:G4485">
    <cfRule type="expression" dxfId="654" priority="10273">
      <formula>$D4479&gt;1</formula>
    </cfRule>
    <cfRule type="expression" dxfId="653" priority="10274">
      <formula>$C4479="%IN"</formula>
    </cfRule>
    <cfRule type="expression" dxfId="652" priority="10275" stopIfTrue="1">
      <formula>$E4479=0</formula>
    </cfRule>
  </conditionalFormatting>
  <conditionalFormatting sqref="G4495:G4498">
    <cfRule type="expression" dxfId="651" priority="10276">
      <formula>$D4495&gt;1</formula>
    </cfRule>
    <cfRule type="expression" dxfId="650" priority="10277">
      <formula>$C4495="%IN"</formula>
    </cfRule>
    <cfRule type="expression" dxfId="649" priority="10278" stopIfTrue="1">
      <formula>$E4495=0</formula>
    </cfRule>
  </conditionalFormatting>
  <conditionalFormatting sqref="G4503:G4507">
    <cfRule type="expression" dxfId="648" priority="10279">
      <formula>$D4503&gt;1</formula>
    </cfRule>
    <cfRule type="expression" dxfId="647" priority="10280">
      <formula>$C4503="%IN"</formula>
    </cfRule>
    <cfRule type="expression" dxfId="646" priority="10281" stopIfTrue="1">
      <formula>$E4503=0</formula>
    </cfRule>
  </conditionalFormatting>
  <conditionalFormatting sqref="G4512:G4516">
    <cfRule type="expression" dxfId="645" priority="10282">
      <formula>$D4512&gt;1</formula>
    </cfRule>
    <cfRule type="expression" dxfId="644" priority="10283">
      <formula>$C4512="%IN"</formula>
    </cfRule>
    <cfRule type="expression" dxfId="643" priority="10284" stopIfTrue="1">
      <formula>$E4512=0</formula>
    </cfRule>
  </conditionalFormatting>
  <conditionalFormatting sqref="G4523:G4533">
    <cfRule type="expression" dxfId="642" priority="10285">
      <formula>$D4523&gt;1</formula>
    </cfRule>
    <cfRule type="expression" dxfId="641" priority="10286">
      <formula>$C4523="%IN"</formula>
    </cfRule>
    <cfRule type="expression" dxfId="640" priority="10287" stopIfTrue="1">
      <formula>$E4523=0</formula>
    </cfRule>
  </conditionalFormatting>
  <conditionalFormatting sqref="G4547:G4556">
    <cfRule type="expression" dxfId="639" priority="10288">
      <formula>$D4547&gt;1</formula>
    </cfRule>
    <cfRule type="expression" dxfId="638" priority="10289">
      <formula>$C4547="%IN"</formula>
    </cfRule>
    <cfRule type="expression" dxfId="637" priority="10290" stopIfTrue="1">
      <formula>$E4547=0</formula>
    </cfRule>
  </conditionalFormatting>
  <conditionalFormatting sqref="G4570:G4575">
    <cfRule type="expression" dxfId="636" priority="10291">
      <formula>$D4570&gt;1</formula>
    </cfRule>
    <cfRule type="expression" dxfId="635" priority="10292">
      <formula>$C4570="%IN"</formula>
    </cfRule>
    <cfRule type="expression" dxfId="634" priority="10293" stopIfTrue="1">
      <formula>$E4570=0</formula>
    </cfRule>
  </conditionalFormatting>
  <conditionalFormatting sqref="G4587:G4597">
    <cfRule type="expression" dxfId="633" priority="10294">
      <formula>$D4587&gt;1</formula>
    </cfRule>
    <cfRule type="expression" dxfId="632" priority="10295">
      <formula>$C4587="%IN"</formula>
    </cfRule>
    <cfRule type="expression" dxfId="631" priority="10296" stopIfTrue="1">
      <formula>$E4587=0</formula>
    </cfRule>
  </conditionalFormatting>
  <conditionalFormatting sqref="G4602:G4612">
    <cfRule type="expression" dxfId="630" priority="10297">
      <formula>$D4602&gt;1</formula>
    </cfRule>
    <cfRule type="expression" dxfId="629" priority="10298">
      <formula>$C4602="%IN"</formula>
    </cfRule>
    <cfRule type="expression" dxfId="628" priority="10299" stopIfTrue="1">
      <formula>$E4602=0</formula>
    </cfRule>
  </conditionalFormatting>
  <conditionalFormatting sqref="G4617:G4622">
    <cfRule type="expression" dxfId="627" priority="10300">
      <formula>$D4617&gt;1</formula>
    </cfRule>
    <cfRule type="expression" dxfId="626" priority="10301">
      <formula>$C4617="%IN"</formula>
    </cfRule>
    <cfRule type="expression" dxfId="625" priority="10302" stopIfTrue="1">
      <formula>$E4617=0</formula>
    </cfRule>
  </conditionalFormatting>
  <conditionalFormatting sqref="G4627:G4632">
    <cfRule type="expression" dxfId="624" priority="10303">
      <formula>$D4627&gt;1</formula>
    </cfRule>
    <cfRule type="expression" dxfId="623" priority="10304">
      <formula>$C4627="%IN"</formula>
    </cfRule>
    <cfRule type="expression" dxfId="622" priority="10305" stopIfTrue="1">
      <formula>$E4627=0</formula>
    </cfRule>
  </conditionalFormatting>
  <conditionalFormatting sqref="G4657:G4662">
    <cfRule type="expression" dxfId="621" priority="10309">
      <formula>$D4657&gt;1</formula>
    </cfRule>
    <cfRule type="expression" dxfId="620" priority="10310">
      <formula>$C4657="%IN"</formula>
    </cfRule>
    <cfRule type="expression" dxfId="619" priority="10311" stopIfTrue="1">
      <formula>$E4657=0</formula>
    </cfRule>
  </conditionalFormatting>
  <conditionalFormatting sqref="G4688:G4693">
    <cfRule type="expression" dxfId="618" priority="10312">
      <formula>$D4688&gt;1</formula>
    </cfRule>
    <cfRule type="expression" dxfId="617" priority="10313">
      <formula>$C4688="%IN"</formula>
    </cfRule>
    <cfRule type="expression" dxfId="616" priority="10314" stopIfTrue="1">
      <formula>$E4688=0</formula>
    </cfRule>
  </conditionalFormatting>
  <conditionalFormatting sqref="G4699:G4714">
    <cfRule type="expression" dxfId="615" priority="10315">
      <formula>$D4699&gt;1</formula>
    </cfRule>
    <cfRule type="expression" dxfId="614" priority="10316">
      <formula>$C4699="%IN"</formula>
    </cfRule>
    <cfRule type="expression" dxfId="613" priority="10317" stopIfTrue="1">
      <formula>$E4699=0</formula>
    </cfRule>
  </conditionalFormatting>
  <conditionalFormatting sqref="G4719:G4724">
    <cfRule type="expression" dxfId="612" priority="10318">
      <formula>$D4719&gt;1</formula>
    </cfRule>
    <cfRule type="expression" dxfId="611" priority="10319">
      <formula>$C4719="%IN"</formula>
    </cfRule>
    <cfRule type="expression" dxfId="610" priority="10320" stopIfTrue="1">
      <formula>$E4719=0</formula>
    </cfRule>
  </conditionalFormatting>
  <conditionalFormatting sqref="G4770:G4775">
    <cfRule type="expression" dxfId="609" priority="10321">
      <formula>$D4770&gt;1</formula>
    </cfRule>
    <cfRule type="expression" dxfId="608" priority="10322">
      <formula>$C4770="%IN"</formula>
    </cfRule>
    <cfRule type="expression" dxfId="607" priority="10323" stopIfTrue="1">
      <formula>$E4770=0</formula>
    </cfRule>
  </conditionalFormatting>
  <conditionalFormatting sqref="G4781:G4790">
    <cfRule type="expression" dxfId="606" priority="10324">
      <formula>$D4781&gt;1</formula>
    </cfRule>
    <cfRule type="expression" dxfId="605" priority="10325">
      <formula>$C4781="%IN"</formula>
    </cfRule>
    <cfRule type="expression" dxfId="604" priority="10326" stopIfTrue="1">
      <formula>$E4781=0</formula>
    </cfRule>
  </conditionalFormatting>
  <conditionalFormatting sqref="L4837:L4849">
    <cfRule type="expression" dxfId="603" priority="10327" stopIfTrue="1">
      <formula>OR($L$4837="F/S",$L$4837="")</formula>
    </cfRule>
    <cfRule type="cellIs" dxfId="602" priority="10328" stopIfTrue="1" operator="notEqual">
      <formula>0</formula>
    </cfRule>
  </conditionalFormatting>
  <conditionalFormatting sqref="O4837:O4849">
    <cfRule type="expression" dxfId="601" priority="10329" stopIfTrue="1">
      <formula>OR($O$4837="F/S",$O$4837="")</formula>
    </cfRule>
    <cfRule type="cellIs" dxfId="600" priority="10330" stopIfTrue="1" operator="notEqual">
      <formula>0</formula>
    </cfRule>
  </conditionalFormatting>
  <conditionalFormatting sqref="I4837">
    <cfRule type="expression" dxfId="599" priority="132" stopIfTrue="1">
      <formula>$I4837="适用"</formula>
    </cfRule>
    <cfRule type="expression" dxfId="598" priority="133" stopIfTrue="1">
      <formula>$I4837="不适用"</formula>
    </cfRule>
  </conditionalFormatting>
  <conditionalFormatting sqref="Q4837:Q4849">
    <cfRule type="expression" dxfId="597" priority="131" stopIfTrue="1">
      <formula>$Q4837="请输入"</formula>
    </cfRule>
  </conditionalFormatting>
  <conditionalFormatting sqref="G4840:G4848">
    <cfRule type="expression" dxfId="596" priority="10331">
      <formula>$D4840&gt;1</formula>
    </cfRule>
    <cfRule type="expression" dxfId="595" priority="10332">
      <formula>$C4840="%IN"</formula>
    </cfRule>
    <cfRule type="expression" dxfId="594" priority="10333" stopIfTrue="1">
      <formula>$E4840=0</formula>
    </cfRule>
  </conditionalFormatting>
  <conditionalFormatting sqref="G4853:G4861">
    <cfRule type="expression" dxfId="593" priority="10334">
      <formula>$D4853&gt;1</formula>
    </cfRule>
    <cfRule type="expression" dxfId="592" priority="10335">
      <formula>$C4853="%IN"</formula>
    </cfRule>
    <cfRule type="expression" dxfId="591" priority="10336" stopIfTrue="1">
      <formula>$E4853=0</formula>
    </cfRule>
  </conditionalFormatting>
  <conditionalFormatting sqref="G4454:G4456">
    <cfRule type="expression" dxfId="590" priority="10337">
      <formula>$D4454&gt;1</formula>
    </cfRule>
    <cfRule type="expression" dxfId="589" priority="10338">
      <formula>$C4454="%IN"</formula>
    </cfRule>
    <cfRule type="expression" dxfId="588" priority="10339" stopIfTrue="1">
      <formula>$E4454=0</formula>
    </cfRule>
  </conditionalFormatting>
  <conditionalFormatting sqref="G4931:G4936">
    <cfRule type="expression" dxfId="587" priority="10340">
      <formula>$D4931&gt;1</formula>
    </cfRule>
    <cfRule type="expression" dxfId="586" priority="10341">
      <formula>$C4931="%IN"</formula>
    </cfRule>
    <cfRule type="expression" dxfId="585" priority="10342" stopIfTrue="1">
      <formula>$E4931=0</formula>
    </cfRule>
  </conditionalFormatting>
  <conditionalFormatting sqref="G4949:G4956">
    <cfRule type="expression" dxfId="584" priority="10343">
      <formula>$D4949&gt;1</formula>
    </cfRule>
    <cfRule type="expression" dxfId="583" priority="10344">
      <formula>$C4949="%IN"</formula>
    </cfRule>
    <cfRule type="expression" dxfId="582" priority="10345" stopIfTrue="1">
      <formula>$E4949=0</formula>
    </cfRule>
  </conditionalFormatting>
  <conditionalFormatting sqref="G5003:G5008">
    <cfRule type="expression" dxfId="581" priority="10349">
      <formula>$D5003&gt;1</formula>
    </cfRule>
    <cfRule type="expression" dxfId="580" priority="10350">
      <formula>$C5003="%IN"</formula>
    </cfRule>
    <cfRule type="expression" dxfId="579" priority="10351" stopIfTrue="1">
      <formula>$E5003=0</formula>
    </cfRule>
  </conditionalFormatting>
  <conditionalFormatting sqref="G5013:G5018">
    <cfRule type="expression" dxfId="578" priority="10352">
      <formula>$D5013&gt;1</formula>
    </cfRule>
    <cfRule type="expression" dxfId="577" priority="10353">
      <formula>$C5013="%IN"</formula>
    </cfRule>
    <cfRule type="expression" dxfId="576" priority="10354" stopIfTrue="1">
      <formula>$E5013=0</formula>
    </cfRule>
  </conditionalFormatting>
  <conditionalFormatting sqref="G5025:G5035">
    <cfRule type="expression" dxfId="575" priority="10355">
      <formula>$D5025&gt;1</formula>
    </cfRule>
    <cfRule type="expression" dxfId="574" priority="10356">
      <formula>$C5025="%IN"</formula>
    </cfRule>
    <cfRule type="expression" dxfId="573" priority="10357" stopIfTrue="1">
      <formula>$E5025=0</formula>
    </cfRule>
  </conditionalFormatting>
  <conditionalFormatting sqref="G5041:G5051">
    <cfRule type="expression" dxfId="572" priority="10358">
      <formula>$D5041&gt;1</formula>
    </cfRule>
    <cfRule type="expression" dxfId="571" priority="10359">
      <formula>$C5041="%IN"</formula>
    </cfRule>
    <cfRule type="expression" dxfId="570" priority="10360" stopIfTrue="1">
      <formula>$E5041=0</formula>
    </cfRule>
  </conditionalFormatting>
  <conditionalFormatting sqref="G5057:G5062">
    <cfRule type="expression" dxfId="569" priority="10361">
      <formula>$D5057&gt;1</formula>
    </cfRule>
    <cfRule type="expression" dxfId="568" priority="10362">
      <formula>$C5057="%IN"</formula>
    </cfRule>
    <cfRule type="expression" dxfId="567" priority="10363" stopIfTrue="1">
      <formula>$E5057=0</formula>
    </cfRule>
  </conditionalFormatting>
  <conditionalFormatting sqref="G5068:G5073">
    <cfRule type="expression" dxfId="566" priority="10364">
      <formula>$D5068&gt;1</formula>
    </cfRule>
    <cfRule type="expression" dxfId="565" priority="10365">
      <formula>$C5068="%IN"</formula>
    </cfRule>
    <cfRule type="expression" dxfId="564" priority="10366" stopIfTrue="1">
      <formula>$E5068=0</formula>
    </cfRule>
  </conditionalFormatting>
  <conditionalFormatting sqref="G5080:G5084">
    <cfRule type="expression" dxfId="563" priority="10367">
      <formula>$D5080&gt;1</formula>
    </cfRule>
    <cfRule type="expression" dxfId="562" priority="10368">
      <formula>$C5080="%IN"</formula>
    </cfRule>
    <cfRule type="expression" dxfId="561" priority="10369" stopIfTrue="1">
      <formula>$E5080=0</formula>
    </cfRule>
  </conditionalFormatting>
  <conditionalFormatting sqref="G5090:G5095">
    <cfRule type="expression" dxfId="560" priority="10370">
      <formula>$D5090&gt;1</formula>
    </cfRule>
    <cfRule type="expression" dxfId="559" priority="10371">
      <formula>$C5090="%IN"</formula>
    </cfRule>
    <cfRule type="expression" dxfId="558" priority="10372" stopIfTrue="1">
      <formula>$E5090=0</formula>
    </cfRule>
  </conditionalFormatting>
  <conditionalFormatting sqref="G5177:G5182">
    <cfRule type="expression" dxfId="557" priority="10373">
      <formula>$D5177&gt;1</formula>
    </cfRule>
    <cfRule type="expression" dxfId="556" priority="10374">
      <formula>$C5177="%IN"</formula>
    </cfRule>
    <cfRule type="expression" dxfId="555" priority="10375" stopIfTrue="1">
      <formula>$E5177=0</formula>
    </cfRule>
  </conditionalFormatting>
  <conditionalFormatting sqref="G5199:G5207">
    <cfRule type="expression" dxfId="554" priority="10382">
      <formula>$D5199&gt;1</formula>
    </cfRule>
    <cfRule type="expression" dxfId="553" priority="10383">
      <formula>$C5199="%IN"</formula>
    </cfRule>
    <cfRule type="expression" dxfId="552" priority="10384" stopIfTrue="1">
      <formula>$E5199=0</formula>
    </cfRule>
  </conditionalFormatting>
  <conditionalFormatting sqref="G5553:G5557">
    <cfRule type="expression" dxfId="551" priority="10388">
      <formula>$D5553&gt;1</formula>
    </cfRule>
    <cfRule type="expression" dxfId="550" priority="10389">
      <formula>$C5553="%IN"</formula>
    </cfRule>
    <cfRule type="expression" dxfId="549" priority="10390" stopIfTrue="1">
      <formula>$E5553=0</formula>
    </cfRule>
  </conditionalFormatting>
  <conditionalFormatting sqref="G5626:G5634">
    <cfRule type="expression" dxfId="548" priority="10391">
      <formula>$D5626&gt;1</formula>
    </cfRule>
    <cfRule type="expression" dxfId="547" priority="10392">
      <formula>$C5626="%IN"</formula>
    </cfRule>
    <cfRule type="expression" dxfId="546" priority="10393" stopIfTrue="1">
      <formula>$E5626=0</formula>
    </cfRule>
  </conditionalFormatting>
  <conditionalFormatting sqref="G5639:G5647">
    <cfRule type="expression" dxfId="545" priority="10394">
      <formula>$D5639&gt;1</formula>
    </cfRule>
    <cfRule type="expression" dxfId="544" priority="10395">
      <formula>$C5639="%IN"</formula>
    </cfRule>
    <cfRule type="expression" dxfId="543" priority="10396" stopIfTrue="1">
      <formula>$E5639=0</formula>
    </cfRule>
  </conditionalFormatting>
  <conditionalFormatting sqref="G5652:G5657">
    <cfRule type="expression" dxfId="542" priority="10397">
      <formula>$D5652&gt;1</formula>
    </cfRule>
    <cfRule type="expression" dxfId="541" priority="10398">
      <formula>$C5652="%IN"</formula>
    </cfRule>
    <cfRule type="expression" dxfId="540" priority="10399" stopIfTrue="1">
      <formula>$E5652=0</formula>
    </cfRule>
  </conditionalFormatting>
  <conditionalFormatting sqref="G5662:G5667">
    <cfRule type="expression" dxfId="539" priority="10400">
      <formula>$D5662&gt;1</formula>
    </cfRule>
    <cfRule type="expression" dxfId="538" priority="10401">
      <formula>$C5662="%IN"</formula>
    </cfRule>
    <cfRule type="expression" dxfId="537" priority="10402" stopIfTrue="1">
      <formula>$E5662=0</formula>
    </cfRule>
  </conditionalFormatting>
  <conditionalFormatting sqref="G5672:G5677">
    <cfRule type="expression" dxfId="536" priority="10403">
      <formula>$D5672&gt;1</formula>
    </cfRule>
    <cfRule type="expression" dxfId="535" priority="10404">
      <formula>$C5672="%IN"</formula>
    </cfRule>
    <cfRule type="expression" dxfId="534" priority="10405" stopIfTrue="1">
      <formula>$E5672=0</formula>
    </cfRule>
  </conditionalFormatting>
  <conditionalFormatting sqref="G5682:G5687">
    <cfRule type="expression" dxfId="533" priority="10406">
      <formula>$D5682&gt;1</formula>
    </cfRule>
    <cfRule type="expression" dxfId="532" priority="10407">
      <formula>$C5682="%IN"</formula>
    </cfRule>
    <cfRule type="expression" dxfId="531" priority="10408" stopIfTrue="1">
      <formula>$E5682=0</formula>
    </cfRule>
  </conditionalFormatting>
  <conditionalFormatting sqref="G5702:G5707">
    <cfRule type="expression" dxfId="530" priority="10409">
      <formula>$D5702&gt;1</formula>
    </cfRule>
    <cfRule type="expression" dxfId="529" priority="10410">
      <formula>$C5702="%IN"</formula>
    </cfRule>
    <cfRule type="expression" dxfId="528" priority="10411" stopIfTrue="1">
      <formula>$E5702=0</formula>
    </cfRule>
  </conditionalFormatting>
  <conditionalFormatting sqref="G5722:G5727">
    <cfRule type="expression" dxfId="527" priority="10412">
      <formula>$D5722&gt;1</formula>
    </cfRule>
    <cfRule type="expression" dxfId="526" priority="10413">
      <formula>$C5722="%IN"</formula>
    </cfRule>
    <cfRule type="expression" dxfId="525" priority="10414" stopIfTrue="1">
      <formula>$E5722=0</formula>
    </cfRule>
  </conditionalFormatting>
  <conditionalFormatting sqref="G5752:G5760">
    <cfRule type="expression" dxfId="524" priority="10415">
      <formula>$D5752&gt;1</formula>
    </cfRule>
    <cfRule type="expression" dxfId="523" priority="10416">
      <formula>$C5752="%IN"</formula>
    </cfRule>
    <cfRule type="expression" dxfId="522" priority="10417" stopIfTrue="1">
      <formula>$E5752=0</formula>
    </cfRule>
  </conditionalFormatting>
  <conditionalFormatting sqref="G5765:G5773">
    <cfRule type="expression" dxfId="521" priority="10418">
      <formula>$D5765&gt;1</formula>
    </cfRule>
    <cfRule type="expression" dxfId="520" priority="10419">
      <formula>$C5765="%IN"</formula>
    </cfRule>
    <cfRule type="expression" dxfId="519" priority="10420" stopIfTrue="1">
      <formula>$E5765=0</formula>
    </cfRule>
  </conditionalFormatting>
  <conditionalFormatting sqref="I5797">
    <cfRule type="expression" dxfId="518" priority="119" stopIfTrue="1">
      <formula>$I5797="适用"</formula>
    </cfRule>
    <cfRule type="expression" dxfId="517" priority="120" stopIfTrue="1">
      <formula>$I5797="不适用"</formula>
    </cfRule>
  </conditionalFormatting>
  <conditionalFormatting sqref="G5800:G5803">
    <cfRule type="expression" dxfId="516" priority="10421">
      <formula>$D5800&gt;1</formula>
    </cfRule>
    <cfRule type="expression" dxfId="515" priority="10422">
      <formula>$C5800="%IN"</formula>
    </cfRule>
    <cfRule type="expression" dxfId="514" priority="10423" stopIfTrue="1">
      <formula>$E5800=0</formula>
    </cfRule>
  </conditionalFormatting>
  <conditionalFormatting sqref="G5851:G5856">
    <cfRule type="expression" dxfId="513" priority="10424">
      <formula>$D5851&gt;1</formula>
    </cfRule>
    <cfRule type="expression" dxfId="512" priority="10425">
      <formula>$C5851="%IN"</formula>
    </cfRule>
    <cfRule type="expression" dxfId="511" priority="10426" stopIfTrue="1">
      <formula>$E5851=0</formula>
    </cfRule>
  </conditionalFormatting>
  <conditionalFormatting sqref="G5861:G5866">
    <cfRule type="expression" dxfId="510" priority="10427">
      <formula>$D5861&gt;1</formula>
    </cfRule>
    <cfRule type="expression" dxfId="509" priority="10428">
      <formula>$C5861="%IN"</formula>
    </cfRule>
    <cfRule type="expression" dxfId="508" priority="10429" stopIfTrue="1">
      <formula>$E5861=0</formula>
    </cfRule>
  </conditionalFormatting>
  <conditionalFormatting sqref="G1510">
    <cfRule type="expression" dxfId="507" priority="112">
      <formula>$D1510&gt;1</formula>
    </cfRule>
    <cfRule type="expression" dxfId="506" priority="113">
      <formula>$C1510="%IN"</formula>
    </cfRule>
    <cfRule type="expression" dxfId="505" priority="114" stopIfTrue="1">
      <formula>$E1510=0</formula>
    </cfRule>
  </conditionalFormatting>
  <conditionalFormatting sqref="G4274:G4279">
    <cfRule type="expression" dxfId="504" priority="10430">
      <formula>$D4274&gt;1</formula>
    </cfRule>
    <cfRule type="expression" dxfId="503" priority="10431">
      <formula>$C4274="%IN"</formula>
    </cfRule>
    <cfRule type="expression" dxfId="502" priority="10432" stopIfTrue="1">
      <formula>$E4274=0</formula>
    </cfRule>
  </conditionalFormatting>
  <conditionalFormatting sqref="G6168:G6184">
    <cfRule type="expression" dxfId="501" priority="10433">
      <formula>$D6168&gt;1</formula>
    </cfRule>
    <cfRule type="expression" dxfId="500" priority="10434">
      <formula>$C6168="%IN"</formula>
    </cfRule>
    <cfRule type="expression" dxfId="499" priority="10435" stopIfTrue="1">
      <formula>$E6168=0</formula>
    </cfRule>
  </conditionalFormatting>
  <conditionalFormatting sqref="G141:G144">
    <cfRule type="expression" dxfId="498" priority="10436">
      <formula>$D141&gt;1</formula>
    </cfRule>
    <cfRule type="expression" dxfId="497" priority="10437">
      <formula>$C141="%IN"</formula>
    </cfRule>
    <cfRule type="expression" dxfId="496" priority="10438" stopIfTrue="1">
      <formula>$E141=0</formula>
    </cfRule>
  </conditionalFormatting>
  <conditionalFormatting sqref="G604:G609">
    <cfRule type="expression" dxfId="495" priority="10439">
      <formula>$D604&gt;1</formula>
    </cfRule>
    <cfRule type="expression" dxfId="494" priority="10440">
      <formula>$C604="%IN"</formula>
    </cfRule>
    <cfRule type="expression" dxfId="493" priority="10441" stopIfTrue="1">
      <formula>$E604=0</formula>
    </cfRule>
  </conditionalFormatting>
  <conditionalFormatting sqref="G614:G616">
    <cfRule type="expression" dxfId="492" priority="10442">
      <formula>$D614&gt;1</formula>
    </cfRule>
    <cfRule type="expression" dxfId="491" priority="10443">
      <formula>$C614="%IN"</formula>
    </cfRule>
    <cfRule type="expression" dxfId="490" priority="10444" stopIfTrue="1">
      <formula>$E614=0</formula>
    </cfRule>
  </conditionalFormatting>
  <conditionalFormatting sqref="G621:G626">
    <cfRule type="expression" dxfId="489" priority="10445">
      <formula>$D621&gt;1</formula>
    </cfRule>
    <cfRule type="expression" dxfId="488" priority="10446">
      <formula>$C621="%IN"</formula>
    </cfRule>
    <cfRule type="expression" dxfId="487" priority="10447" stopIfTrue="1">
      <formula>$E621=0</formula>
    </cfRule>
  </conditionalFormatting>
  <conditionalFormatting sqref="G651:G656">
    <cfRule type="expression" dxfId="486" priority="10448">
      <formula>$D651&gt;1</formula>
    </cfRule>
    <cfRule type="expression" dxfId="485" priority="10449">
      <formula>$C651="%IN"</formula>
    </cfRule>
    <cfRule type="expression" dxfId="484" priority="10450" stopIfTrue="1">
      <formula>$E651=0</formula>
    </cfRule>
  </conditionalFormatting>
  <conditionalFormatting sqref="G661:G666">
    <cfRule type="expression" dxfId="483" priority="10451">
      <formula>$D661&gt;1</formula>
    </cfRule>
    <cfRule type="expression" dxfId="482" priority="10452">
      <formula>$C661="%IN"</formula>
    </cfRule>
    <cfRule type="expression" dxfId="481" priority="10453" stopIfTrue="1">
      <formula>$E661=0</formula>
    </cfRule>
  </conditionalFormatting>
  <conditionalFormatting sqref="G1017:G1026">
    <cfRule type="expression" dxfId="480" priority="10454">
      <formula>$D1017&gt;1</formula>
    </cfRule>
    <cfRule type="expression" dxfId="479" priority="10455">
      <formula>$C1017="%IN"</formula>
    </cfRule>
    <cfRule type="expression" dxfId="478" priority="10456" stopIfTrue="1">
      <formula>$E1017=0</formula>
    </cfRule>
  </conditionalFormatting>
  <conditionalFormatting sqref="G1515:G1520">
    <cfRule type="expression" dxfId="477" priority="10457">
      <formula>$D1515&gt;1</formula>
    </cfRule>
    <cfRule type="expression" dxfId="476" priority="10458">
      <formula>$C1515="%IN"</formula>
    </cfRule>
    <cfRule type="expression" dxfId="475" priority="10459" stopIfTrue="1">
      <formula>$E1515=0</formula>
    </cfRule>
  </conditionalFormatting>
  <conditionalFormatting sqref="G1525:G1527">
    <cfRule type="expression" dxfId="474" priority="10460">
      <formula>$D1525&gt;1</formula>
    </cfRule>
    <cfRule type="expression" dxfId="473" priority="10461">
      <formula>$C1525="%IN"</formula>
    </cfRule>
    <cfRule type="expression" dxfId="472" priority="10462" stopIfTrue="1">
      <formula>$E1525=0</formula>
    </cfRule>
  </conditionalFormatting>
  <conditionalFormatting sqref="G1532:G1537">
    <cfRule type="expression" dxfId="471" priority="10463">
      <formula>$D1532&gt;1</formula>
    </cfRule>
    <cfRule type="expression" dxfId="470" priority="10464">
      <formula>$C1532="%IN"</formula>
    </cfRule>
    <cfRule type="expression" dxfId="469" priority="10465" stopIfTrue="1">
      <formula>$E1532=0</formula>
    </cfRule>
  </conditionalFormatting>
  <conditionalFormatting sqref="G1562:G1567">
    <cfRule type="expression" dxfId="468" priority="10466">
      <formula>$D1562&gt;1</formula>
    </cfRule>
    <cfRule type="expression" dxfId="467" priority="10467">
      <formula>$C1562="%IN"</formula>
    </cfRule>
    <cfRule type="expression" dxfId="466" priority="10468" stopIfTrue="1">
      <formula>$E1562=0</formula>
    </cfRule>
  </conditionalFormatting>
  <conditionalFormatting sqref="G1572:G1577">
    <cfRule type="expression" dxfId="465" priority="10469">
      <formula>$D1572&gt;1</formula>
    </cfRule>
    <cfRule type="expression" dxfId="464" priority="10470">
      <formula>$C1572="%IN"</formula>
    </cfRule>
    <cfRule type="expression" dxfId="463" priority="10471" stopIfTrue="1">
      <formula>$E1572=0</formula>
    </cfRule>
  </conditionalFormatting>
  <conditionalFormatting sqref="G1582:G1587">
    <cfRule type="expression" dxfId="462" priority="10472">
      <formula>$D1582&gt;1</formula>
    </cfRule>
    <cfRule type="expression" dxfId="461" priority="10473">
      <formula>$C1582="%IN"</formula>
    </cfRule>
    <cfRule type="expression" dxfId="460" priority="10474" stopIfTrue="1">
      <formula>$E1582=0</formula>
    </cfRule>
  </conditionalFormatting>
  <conditionalFormatting sqref="L236:L250">
    <cfRule type="expression" dxfId="459" priority="10475" stopIfTrue="1">
      <formula>OR($L$236="F/S",$L$236="")</formula>
    </cfRule>
    <cfRule type="cellIs" dxfId="458" priority="10476" stopIfTrue="1" operator="notEqual">
      <formula>0</formula>
    </cfRule>
  </conditionalFormatting>
  <conditionalFormatting sqref="O236:O250">
    <cfRule type="expression" dxfId="457" priority="10477" stopIfTrue="1">
      <formula>OR($O$236="F/S",$O$236="")</formula>
    </cfRule>
    <cfRule type="cellIs" dxfId="456" priority="10478" stopIfTrue="1" operator="notEqual">
      <formula>0</formula>
    </cfRule>
  </conditionalFormatting>
  <conditionalFormatting sqref="I236">
    <cfRule type="expression" dxfId="455" priority="110" stopIfTrue="1">
      <formula>$I236="适用"</formula>
    </cfRule>
    <cfRule type="expression" dxfId="454" priority="111" stopIfTrue="1">
      <formula>$I236="不适用"</formula>
    </cfRule>
  </conditionalFormatting>
  <conditionalFormatting sqref="Q236:Q250">
    <cfRule type="expression" dxfId="453" priority="109" stopIfTrue="1">
      <formula>$Q236="请输入"</formula>
    </cfRule>
  </conditionalFormatting>
  <conditionalFormatting sqref="G241:G249">
    <cfRule type="expression" dxfId="452" priority="10479">
      <formula>$D241&gt;1</formula>
    </cfRule>
    <cfRule type="expression" dxfId="451" priority="10480">
      <formula>$C241="%IN"</formula>
    </cfRule>
    <cfRule type="expression" dxfId="450" priority="10481" stopIfTrue="1">
      <formula>$E241=0</formula>
    </cfRule>
  </conditionalFormatting>
  <conditionalFormatting sqref="G3414:G3420">
    <cfRule type="expression" dxfId="449" priority="10482">
      <formula>$D3414&gt;1</formula>
    </cfRule>
    <cfRule type="expression" dxfId="448" priority="10483">
      <formula>$C3414="%IN"</formula>
    </cfRule>
    <cfRule type="expression" dxfId="447" priority="10484" stopIfTrue="1">
      <formula>$E3414=0</formula>
    </cfRule>
  </conditionalFormatting>
  <conditionalFormatting sqref="G1435:G1442">
    <cfRule type="expression" dxfId="446" priority="10485">
      <formula>$D1435&gt;1</formula>
    </cfRule>
    <cfRule type="expression" dxfId="445" priority="10486">
      <formula>$C1435="%IN"</formula>
    </cfRule>
    <cfRule type="expression" dxfId="444" priority="10487" stopIfTrue="1">
      <formula>$E1435=0</formula>
    </cfRule>
  </conditionalFormatting>
  <conditionalFormatting sqref="G1660:G1665">
    <cfRule type="expression" dxfId="443" priority="10488">
      <formula>$D1660&gt;1</formula>
    </cfRule>
    <cfRule type="expression" dxfId="442" priority="10489">
      <formula>$C1660="%IN"</formula>
    </cfRule>
    <cfRule type="expression" dxfId="441" priority="10490" stopIfTrue="1">
      <formula>$E1660=0</formula>
    </cfRule>
  </conditionalFormatting>
  <conditionalFormatting sqref="G1670:G1675">
    <cfRule type="expression" dxfId="440" priority="10491">
      <formula>$D1670&gt;1</formula>
    </cfRule>
    <cfRule type="expression" dxfId="439" priority="10492">
      <formula>$C1670="%IN"</formula>
    </cfRule>
    <cfRule type="expression" dxfId="438" priority="10493" stopIfTrue="1">
      <formula>$E1670=0</formula>
    </cfRule>
  </conditionalFormatting>
  <conditionalFormatting sqref="G3662:G3674">
    <cfRule type="expression" dxfId="437" priority="10494">
      <formula>$D3662&gt;1</formula>
    </cfRule>
    <cfRule type="expression" dxfId="436" priority="10495">
      <formula>$C3662="%IN"</formula>
    </cfRule>
    <cfRule type="expression" dxfId="435" priority="10496" stopIfTrue="1">
      <formula>$E3662=0</formula>
    </cfRule>
  </conditionalFormatting>
  <conditionalFormatting sqref="Q4299">
    <cfRule type="expression" dxfId="434" priority="104" stopIfTrue="1">
      <formula>$Q4299="请输入"</formula>
    </cfRule>
  </conditionalFormatting>
  <conditionalFormatting sqref="I4299">
    <cfRule type="expression" dxfId="433" priority="102" stopIfTrue="1">
      <formula>$I4299="适用"</formula>
    </cfRule>
    <cfRule type="expression" dxfId="432" priority="103" stopIfTrue="1">
      <formula>$I4299="不适用"</formula>
    </cfRule>
  </conditionalFormatting>
  <conditionalFormatting sqref="G4730:G4736">
    <cfRule type="expression" dxfId="431" priority="10497">
      <formula>$D4730&gt;1</formula>
    </cfRule>
    <cfRule type="expression" dxfId="430" priority="10498">
      <formula>$C4730="%IN"</formula>
    </cfRule>
    <cfRule type="expression" dxfId="429" priority="10499" stopIfTrue="1">
      <formula>$E4730=0</formula>
    </cfRule>
  </conditionalFormatting>
  <conditionalFormatting sqref="G4970:G4983">
    <cfRule type="expression" dxfId="428" priority="10500">
      <formula>$D4970&gt;1</formula>
    </cfRule>
    <cfRule type="expression" dxfId="427" priority="10501">
      <formula>$C4970="%IN"</formula>
    </cfRule>
    <cfRule type="expression" dxfId="426" priority="10502" stopIfTrue="1">
      <formula>$E4970=0</formula>
    </cfRule>
  </conditionalFormatting>
  <conditionalFormatting sqref="G5188:G5193">
    <cfRule type="expression" dxfId="425" priority="10503">
      <formula>$D5188&gt;1</formula>
    </cfRule>
    <cfRule type="expression" dxfId="424" priority="10504">
      <formula>$C5188="%IN"</formula>
    </cfRule>
    <cfRule type="expression" dxfId="423" priority="10505" stopIfTrue="1">
      <formula>$E5188=0</formula>
    </cfRule>
  </conditionalFormatting>
  <conditionalFormatting sqref="I5502">
    <cfRule type="expression" dxfId="422" priority="96" stopIfTrue="1">
      <formula>$I5502="适用"</formula>
    </cfRule>
    <cfRule type="expression" dxfId="421" priority="97" stopIfTrue="1">
      <formula>$I5502="不适用"</formula>
    </cfRule>
  </conditionalFormatting>
  <conditionalFormatting sqref="G5461:G5500">
    <cfRule type="expression" dxfId="420" priority="10509">
      <formula>$D5461&gt;1</formula>
    </cfRule>
    <cfRule type="expression" dxfId="419" priority="10510">
      <formula>$C5461="%IN"</formula>
    </cfRule>
    <cfRule type="expression" dxfId="418" priority="10511" stopIfTrue="1">
      <formula>$E5461=0</formula>
    </cfRule>
  </conditionalFormatting>
  <conditionalFormatting sqref="G5507:G5548">
    <cfRule type="expression" dxfId="417" priority="10512">
      <formula>$D5507&gt;1</formula>
    </cfRule>
    <cfRule type="expression" dxfId="416" priority="10513">
      <formula>$C5507="%IN"</formula>
    </cfRule>
    <cfRule type="expression" dxfId="415" priority="10514" stopIfTrue="1">
      <formula>$E5507=0</formula>
    </cfRule>
  </conditionalFormatting>
  <conditionalFormatting sqref="L4738:L4750">
    <cfRule type="expression" dxfId="414" priority="10515" stopIfTrue="1">
      <formula>OR($L$4738="F/S",$L$4738="")</formula>
    </cfRule>
    <cfRule type="cellIs" dxfId="413" priority="10516" stopIfTrue="1" operator="notEqual">
      <formula>0</formula>
    </cfRule>
  </conditionalFormatting>
  <conditionalFormatting sqref="O4738:O4750">
    <cfRule type="expression" dxfId="412" priority="10517" stopIfTrue="1">
      <formula>OR($O$4738="F/S",$O$4738="")</formula>
    </cfRule>
    <cfRule type="cellIs" dxfId="411" priority="10518" stopIfTrue="1" operator="notEqual">
      <formula>0</formula>
    </cfRule>
  </conditionalFormatting>
  <conditionalFormatting sqref="I4738">
    <cfRule type="expression" dxfId="410" priority="89" stopIfTrue="1">
      <formula>$I4738="适用"</formula>
    </cfRule>
    <cfRule type="expression" dxfId="409" priority="90" stopIfTrue="1">
      <formula>$I4738="不适用"</formula>
    </cfRule>
  </conditionalFormatting>
  <conditionalFormatting sqref="Q4738:Q4750">
    <cfRule type="expression" dxfId="408" priority="88" stopIfTrue="1">
      <formula>$Q4738="请输入"</formula>
    </cfRule>
  </conditionalFormatting>
  <conditionalFormatting sqref="G4741:G4749">
    <cfRule type="expression" dxfId="407" priority="10519">
      <formula>$D4741&gt;1</formula>
    </cfRule>
    <cfRule type="expression" dxfId="406" priority="10520">
      <formula>$C4741="%IN"</formula>
    </cfRule>
    <cfRule type="expression" dxfId="405" priority="10521" stopIfTrue="1">
      <formula>$E4741=0</formula>
    </cfRule>
  </conditionalFormatting>
  <conditionalFormatting sqref="G2837:G2847">
    <cfRule type="expression" dxfId="404" priority="10522">
      <formula>$D2837&gt;1</formula>
    </cfRule>
    <cfRule type="expression" dxfId="403" priority="10523">
      <formula>$C2837="%IN"</formula>
    </cfRule>
    <cfRule type="expression" dxfId="402" priority="10524" stopIfTrue="1">
      <formula>$E2837=0</formula>
    </cfRule>
  </conditionalFormatting>
  <conditionalFormatting sqref="H352">
    <cfRule type="expression" dxfId="401" priority="10525">
      <formula>AND(H$352&lt;&gt;0,H$352&lt;&gt;"")</formula>
    </cfRule>
    <cfRule type="expression" dxfId="400" priority="10526" stopIfTrue="1">
      <formula>H$353&lt;&gt;"√"</formula>
    </cfRule>
  </conditionalFormatting>
  <conditionalFormatting sqref="J352">
    <cfRule type="expression" dxfId="399" priority="10527">
      <formula>AND(J$352&lt;&gt;0,J$352&lt;&gt;"")</formula>
    </cfRule>
    <cfRule type="expression" dxfId="398" priority="10528" stopIfTrue="1">
      <formula>J$353&lt;&gt;"√"</formula>
    </cfRule>
  </conditionalFormatting>
  <conditionalFormatting sqref="L352">
    <cfRule type="expression" dxfId="397" priority="10529">
      <formula>AND(L$352&lt;&gt;0,L$352&lt;&gt;"")</formula>
    </cfRule>
    <cfRule type="expression" dxfId="396" priority="10530" stopIfTrue="1">
      <formula>L$353&lt;&gt;"√"</formula>
    </cfRule>
  </conditionalFormatting>
  <conditionalFormatting sqref="K354">
    <cfRule type="expression" dxfId="395" priority="10531">
      <formula>AND($K$354&lt;&gt;0,$K$354&lt;&gt;"")</formula>
    </cfRule>
    <cfRule type="expression" dxfId="394" priority="10532" stopIfTrue="1">
      <formula>$L$354&lt;&gt;"√"</formula>
    </cfRule>
  </conditionalFormatting>
  <conditionalFormatting sqref="H374">
    <cfRule type="expression" dxfId="393" priority="10533">
      <formula>AND(H$374&lt;&gt;0,H$374&lt;&gt;"")</formula>
    </cfRule>
    <cfRule type="expression" dxfId="392" priority="10534" stopIfTrue="1">
      <formula>H$375&lt;&gt;"√"</formula>
    </cfRule>
  </conditionalFormatting>
  <conditionalFormatting sqref="I374">
    <cfRule type="expression" dxfId="391" priority="10535">
      <formula>AND(I$374&lt;&gt;0,I$374&lt;&gt;"")</formula>
    </cfRule>
    <cfRule type="expression" dxfId="390" priority="10536" stopIfTrue="1">
      <formula>I$375&lt;&gt;"√"</formula>
    </cfRule>
  </conditionalFormatting>
  <conditionalFormatting sqref="K376">
    <cfRule type="expression" dxfId="389" priority="10537">
      <formula>AND($K$376&lt;&gt;0,$K$376&lt;&gt;"")</formula>
    </cfRule>
    <cfRule type="expression" dxfId="388" priority="10538" stopIfTrue="1">
      <formula>$L$376&lt;&gt;"√"</formula>
    </cfRule>
  </conditionalFormatting>
  <conditionalFormatting sqref="H396">
    <cfRule type="expression" dxfId="387" priority="10539">
      <formula>AND(H$396&lt;&gt;0,H$396&lt;&gt;"")</formula>
    </cfRule>
    <cfRule type="expression" dxfId="386" priority="10540" stopIfTrue="1">
      <formula>H$397&lt;&gt;"√"</formula>
    </cfRule>
  </conditionalFormatting>
  <conditionalFormatting sqref="I396">
    <cfRule type="expression" dxfId="385" priority="10541">
      <formula>AND(I$396&lt;&gt;0,I$396&lt;&gt;"")</formula>
    </cfRule>
    <cfRule type="expression" dxfId="384" priority="10542" stopIfTrue="1">
      <formula>I$397&lt;&gt;"√"</formula>
    </cfRule>
  </conditionalFormatting>
  <conditionalFormatting sqref="K398">
    <cfRule type="expression" dxfId="383" priority="10543">
      <formula>AND($K$398&lt;&gt;0,$K$398&lt;&gt;"")</formula>
    </cfRule>
    <cfRule type="expression" dxfId="382" priority="10544" stopIfTrue="1">
      <formula>$L$398&lt;&gt;"√"</formula>
    </cfRule>
  </conditionalFormatting>
  <conditionalFormatting sqref="H444">
    <cfRule type="expression" dxfId="381" priority="10545">
      <formula>AND(H$444&lt;&gt;0,H$444&lt;&gt;"")</formula>
    </cfRule>
    <cfRule type="expression" dxfId="380" priority="10546" stopIfTrue="1">
      <formula>H$445&lt;&gt;"√"</formula>
    </cfRule>
  </conditionalFormatting>
  <conditionalFormatting sqref="J444">
    <cfRule type="expression" dxfId="379" priority="10547">
      <formula>AND(J$444&lt;&gt;0,J$444&lt;&gt;"")</formula>
    </cfRule>
    <cfRule type="expression" dxfId="378" priority="10548" stopIfTrue="1">
      <formula>J$445&lt;&gt;"√"</formula>
    </cfRule>
  </conditionalFormatting>
  <conditionalFormatting sqref="L444">
    <cfRule type="expression" dxfId="377" priority="10549">
      <formula>AND(L$444&lt;&gt;0,L$444&lt;&gt;"")</formula>
    </cfRule>
    <cfRule type="expression" dxfId="376" priority="10550" stopIfTrue="1">
      <formula>L$445&lt;&gt;"√"</formula>
    </cfRule>
  </conditionalFormatting>
  <conditionalFormatting sqref="K446">
    <cfRule type="expression" dxfId="375" priority="10551">
      <formula>AND($K$446&lt;&gt;0,$K$446&lt;&gt;"")</formula>
    </cfRule>
    <cfRule type="expression" dxfId="374" priority="10552" stopIfTrue="1">
      <formula>$L$446&lt;&gt;"√"</formula>
    </cfRule>
  </conditionalFormatting>
  <conditionalFormatting sqref="H597">
    <cfRule type="expression" dxfId="373" priority="10553">
      <formula>AND(H$597&lt;&gt;0,H$597&lt;&gt;"")</formula>
    </cfRule>
    <cfRule type="expression" dxfId="372" priority="10554" stopIfTrue="1">
      <formula>H$598&lt;&gt;"√"</formula>
    </cfRule>
  </conditionalFormatting>
  <conditionalFormatting sqref="N597">
    <cfRule type="expression" dxfId="371" priority="10555">
      <formula>AND(N$597&lt;&gt;0,N$597&lt;&gt;"")</formula>
    </cfRule>
    <cfRule type="expression" dxfId="370" priority="10556" stopIfTrue="1">
      <formula>N$598&lt;&gt;"√"</formula>
    </cfRule>
  </conditionalFormatting>
  <conditionalFormatting sqref="K599">
    <cfRule type="expression" dxfId="369" priority="10557">
      <formula>AND($K$599&lt;&gt;0,$K$599&lt;&gt;"")</formula>
    </cfRule>
    <cfRule type="expression" dxfId="368" priority="10558" stopIfTrue="1">
      <formula>$L$599&lt;&gt;"√"</formula>
    </cfRule>
  </conditionalFormatting>
  <conditionalFormatting sqref="H464">
    <cfRule type="expression" dxfId="367" priority="10559">
      <formula>AND(H$464&lt;&gt;0,H$464&lt;&gt;"")</formula>
    </cfRule>
    <cfRule type="expression" dxfId="366" priority="10560" stopIfTrue="1">
      <formula>H$465&lt;&gt;"√"</formula>
    </cfRule>
  </conditionalFormatting>
  <conditionalFormatting sqref="I464">
    <cfRule type="expression" dxfId="365" priority="10561">
      <formula>AND(I$464&lt;&gt;0,I$464&lt;&gt;"")</formula>
    </cfRule>
    <cfRule type="expression" dxfId="364" priority="10562" stopIfTrue="1">
      <formula>I$465&lt;&gt;"√"</formula>
    </cfRule>
  </conditionalFormatting>
  <conditionalFormatting sqref="K466">
    <cfRule type="expression" dxfId="363" priority="10563">
      <formula>AND($K$466&lt;&gt;0,$K$466&lt;&gt;"")</formula>
    </cfRule>
    <cfRule type="expression" dxfId="362" priority="10564" stopIfTrue="1">
      <formula>$L$466&lt;&gt;"√"</formula>
    </cfRule>
  </conditionalFormatting>
  <conditionalFormatting sqref="H531">
    <cfRule type="expression" dxfId="361" priority="10565">
      <formula>AND(H$531&lt;&gt;0,H$531&lt;&gt;"")</formula>
    </cfRule>
    <cfRule type="expression" dxfId="360" priority="10566" stopIfTrue="1">
      <formula>H$532&lt;&gt;"√"</formula>
    </cfRule>
  </conditionalFormatting>
  <conditionalFormatting sqref="I531">
    <cfRule type="expression" dxfId="359" priority="10567">
      <formula>AND(I$531&lt;&gt;0,I$531&lt;&gt;"")</formula>
    </cfRule>
    <cfRule type="expression" dxfId="358" priority="10568" stopIfTrue="1">
      <formula>I$532&lt;&gt;"√"</formula>
    </cfRule>
  </conditionalFormatting>
  <conditionalFormatting sqref="K533">
    <cfRule type="expression" dxfId="357" priority="10569">
      <formula>AND($K$533&lt;&gt;0,$K$533&lt;&gt;"")</formula>
    </cfRule>
    <cfRule type="expression" dxfId="356" priority="10570" stopIfTrue="1">
      <formula>$L$533&lt;&gt;"√"</formula>
    </cfRule>
  </conditionalFormatting>
  <conditionalFormatting sqref="H555">
    <cfRule type="expression" dxfId="355" priority="10571">
      <formula>AND(H$555&lt;&gt;0,H$555&lt;&gt;"")</formula>
    </cfRule>
    <cfRule type="expression" dxfId="354" priority="10572" stopIfTrue="1">
      <formula>H$556&lt;&gt;"√"</formula>
    </cfRule>
  </conditionalFormatting>
  <conditionalFormatting sqref="I555">
    <cfRule type="expression" dxfId="353" priority="10573">
      <formula>AND(I$555&lt;&gt;0,I$555&lt;&gt;"")</formula>
    </cfRule>
    <cfRule type="expression" dxfId="352" priority="10574" stopIfTrue="1">
      <formula>I$556&lt;&gt;"√"</formula>
    </cfRule>
  </conditionalFormatting>
  <conditionalFormatting sqref="K557">
    <cfRule type="expression" dxfId="351" priority="10575">
      <formula>AND($K$557&lt;&gt;0,$K$557&lt;&gt;"")</formula>
    </cfRule>
    <cfRule type="expression" dxfId="350" priority="10576" stopIfTrue="1">
      <formula>$L$557&lt;&gt;"√"</formula>
    </cfRule>
  </conditionalFormatting>
  <conditionalFormatting sqref="H1040">
    <cfRule type="expression" dxfId="349" priority="10594">
      <formula>AND(H$1040&lt;&gt;0,H$1040&lt;&gt;"")</formula>
    </cfRule>
    <cfRule type="expression" dxfId="348" priority="10595" stopIfTrue="1">
      <formula>H$1041&lt;&gt;"√"</formula>
    </cfRule>
  </conditionalFormatting>
  <conditionalFormatting sqref="I1040">
    <cfRule type="expression" dxfId="347" priority="10596">
      <formula>AND(I$1040&lt;&gt;0,I$1040&lt;&gt;"")</formula>
    </cfRule>
    <cfRule type="expression" dxfId="346" priority="10597" stopIfTrue="1">
      <formula>I$1041&lt;&gt;"√"</formula>
    </cfRule>
  </conditionalFormatting>
  <conditionalFormatting sqref="J1040">
    <cfRule type="expression" dxfId="345" priority="10598">
      <formula>AND(J$1040&lt;&gt;0,J$1040&lt;&gt;"")</formula>
    </cfRule>
    <cfRule type="expression" dxfId="344" priority="10599" stopIfTrue="1">
      <formula>J$1041&lt;&gt;"√"</formula>
    </cfRule>
  </conditionalFormatting>
  <conditionalFormatting sqref="K1042">
    <cfRule type="expression" dxfId="343" priority="10600">
      <formula>AND($K$1042&lt;&gt;0,$K$1042&lt;&gt;"")</formula>
    </cfRule>
    <cfRule type="expression" dxfId="342" priority="10601" stopIfTrue="1">
      <formula>$L$1042&lt;&gt;"√"</formula>
    </cfRule>
  </conditionalFormatting>
  <conditionalFormatting sqref="H1324">
    <cfRule type="expression" dxfId="341" priority="10602">
      <formula>AND(H$1324&lt;&gt;0,H$1324&lt;&gt;"")</formula>
    </cfRule>
    <cfRule type="expression" dxfId="340" priority="10603" stopIfTrue="1">
      <formula>H$1325&lt;&gt;"√"</formula>
    </cfRule>
  </conditionalFormatting>
  <conditionalFormatting sqref="J1324">
    <cfRule type="expression" dxfId="339" priority="10604">
      <formula>AND(J$1324&lt;&gt;0,J$1324&lt;&gt;"")</formula>
    </cfRule>
    <cfRule type="expression" dxfId="338" priority="10605" stopIfTrue="1">
      <formula>J$1325&lt;&gt;"√"</formula>
    </cfRule>
  </conditionalFormatting>
  <conditionalFormatting sqref="L1324">
    <cfRule type="expression" dxfId="337" priority="10606">
      <formula>AND(L$1324&lt;&gt;0,L$1324&lt;&gt;"")</formula>
    </cfRule>
    <cfRule type="expression" dxfId="336" priority="10607" stopIfTrue="1">
      <formula>L$1325&lt;&gt;"√"</formula>
    </cfRule>
  </conditionalFormatting>
  <conditionalFormatting sqref="K1326">
    <cfRule type="expression" dxfId="335" priority="10608">
      <formula>AND($K$1326&lt;&gt;0,$K$1326&lt;&gt;"")</formula>
    </cfRule>
    <cfRule type="expression" dxfId="334" priority="10609" stopIfTrue="1">
      <formula>$L$1326&lt;&gt;"√"</formula>
    </cfRule>
  </conditionalFormatting>
  <conditionalFormatting sqref="H1489">
    <cfRule type="expression" dxfId="333" priority="10610">
      <formula>AND(H$1489&lt;&gt;0,H$1489&lt;&gt;"")</formula>
    </cfRule>
    <cfRule type="expression" dxfId="332" priority="10611" stopIfTrue="1">
      <formula>H$1490&lt;&gt;"√"</formula>
    </cfRule>
  </conditionalFormatting>
  <conditionalFormatting sqref="N1489">
    <cfRule type="expression" dxfId="331" priority="10612">
      <formula>AND(N$1489&lt;&gt;0,N$1489&lt;&gt;"")</formula>
    </cfRule>
    <cfRule type="expression" dxfId="330" priority="10613" stopIfTrue="1">
      <formula>N$1490&lt;&gt;"√"</formula>
    </cfRule>
  </conditionalFormatting>
  <conditionalFormatting sqref="K1491">
    <cfRule type="expression" dxfId="329" priority="10614">
      <formula>AND($K$1491&lt;&gt;0,$K$1491&lt;&gt;"")</formula>
    </cfRule>
    <cfRule type="expression" dxfId="328" priority="10615" stopIfTrue="1">
      <formula>$L$1491&lt;&gt;"√"</formula>
    </cfRule>
  </conditionalFormatting>
  <conditionalFormatting sqref="H1076">
    <cfRule type="expression" dxfId="327" priority="10617">
      <formula>AND(H$1076&lt;&gt;0,H$1076&lt;&gt;"")</formula>
    </cfRule>
    <cfRule type="expression" dxfId="326" priority="10618" stopIfTrue="1">
      <formula>H$1077&lt;&gt;"√"</formula>
    </cfRule>
  </conditionalFormatting>
  <conditionalFormatting sqref="I1076">
    <cfRule type="expression" dxfId="325" priority="10619">
      <formula>AND(I$1076&lt;&gt;0,I$1076&lt;&gt;"")</formula>
    </cfRule>
    <cfRule type="expression" dxfId="324" priority="10620" stopIfTrue="1">
      <formula>I$1077&lt;&gt;"√"</formula>
    </cfRule>
  </conditionalFormatting>
  <conditionalFormatting sqref="K1078">
    <cfRule type="expression" dxfId="323" priority="10621">
      <formula>AND($K$1078&lt;&gt;0,$K$1078&lt;&gt;"")</formula>
    </cfRule>
    <cfRule type="expression" dxfId="322" priority="10622" stopIfTrue="1">
      <formula>$L$1078&lt;&gt;"√"</formula>
    </cfRule>
  </conditionalFormatting>
  <conditionalFormatting sqref="H1098">
    <cfRule type="expression" dxfId="321" priority="10623">
      <formula>AND(H$1098&lt;&gt;0,H$1098&lt;&gt;"")</formula>
    </cfRule>
    <cfRule type="expression" dxfId="320" priority="10624" stopIfTrue="1">
      <formula>H$1099&lt;&gt;"√"</formula>
    </cfRule>
  </conditionalFormatting>
  <conditionalFormatting sqref="I1098">
    <cfRule type="expression" dxfId="319" priority="10625">
      <formula>AND(I$1098&lt;&gt;0,I$1098&lt;&gt;"")</formula>
    </cfRule>
    <cfRule type="expression" dxfId="318" priority="10626" stopIfTrue="1">
      <formula>I$1099&lt;&gt;"√"</formula>
    </cfRule>
  </conditionalFormatting>
  <conditionalFormatting sqref="K1100">
    <cfRule type="expression" dxfId="317" priority="10627">
      <formula>AND($K$1100&lt;&gt;0,$K$1100&lt;&gt;"")</formula>
    </cfRule>
    <cfRule type="expression" dxfId="316" priority="10628" stopIfTrue="1">
      <formula>$L$1100&lt;&gt;"√"</formula>
    </cfRule>
  </conditionalFormatting>
  <conditionalFormatting sqref="H1164">
    <cfRule type="expression" dxfId="315" priority="10629">
      <formula>AND(H$1164&lt;&gt;0,H$1164&lt;&gt;"")</formula>
    </cfRule>
    <cfRule type="expression" dxfId="314" priority="10630" stopIfTrue="1">
      <formula>H$1165&lt;&gt;"√"</formula>
    </cfRule>
  </conditionalFormatting>
  <conditionalFormatting sqref="I1164">
    <cfRule type="expression" dxfId="313" priority="10631">
      <formula>AND(I$1164&lt;&gt;0,I$1164&lt;&gt;"")</formula>
    </cfRule>
    <cfRule type="expression" dxfId="312" priority="10632" stopIfTrue="1">
      <formula>I$1165&lt;&gt;"√"</formula>
    </cfRule>
  </conditionalFormatting>
  <conditionalFormatting sqref="K1166">
    <cfRule type="expression" dxfId="311" priority="10633">
      <formula>AND($K$1166&lt;&gt;0,$K$1166&lt;&gt;"")</formula>
    </cfRule>
    <cfRule type="expression" dxfId="310" priority="10634" stopIfTrue="1">
      <formula>$L$1166&lt;&gt;"√"</formula>
    </cfRule>
  </conditionalFormatting>
  <conditionalFormatting sqref="H1186">
    <cfRule type="expression" dxfId="309" priority="10635">
      <formula>AND(H$1186&lt;&gt;0,H$1186&lt;&gt;"")</formula>
    </cfRule>
    <cfRule type="expression" dxfId="308" priority="10636" stopIfTrue="1">
      <formula>H$1187&lt;&gt;"√"</formula>
    </cfRule>
  </conditionalFormatting>
  <conditionalFormatting sqref="I1186">
    <cfRule type="expression" dxfId="307" priority="10637">
      <formula>AND(I$1186&lt;&gt;0,I$1186&lt;&gt;"")</formula>
    </cfRule>
    <cfRule type="expression" dxfId="306" priority="10638" stopIfTrue="1">
      <formula>I$1187&lt;&gt;"√"</formula>
    </cfRule>
  </conditionalFormatting>
  <conditionalFormatting sqref="K1188">
    <cfRule type="expression" dxfId="305" priority="10639">
      <formula>AND($K$1188&lt;&gt;0,$K$1188&lt;&gt;"")</formula>
    </cfRule>
    <cfRule type="expression" dxfId="304" priority="10640" stopIfTrue="1">
      <formula>$L$1188&lt;&gt;"√"</formula>
    </cfRule>
  </conditionalFormatting>
  <conditionalFormatting sqref="H1253">
    <cfRule type="expression" dxfId="303" priority="10641">
      <formula>AND(H$1253&lt;&gt;0,H$1253&lt;&gt;"")</formula>
    </cfRule>
    <cfRule type="expression" dxfId="302" priority="10642" stopIfTrue="1">
      <formula>H$1254&lt;&gt;"√"</formula>
    </cfRule>
  </conditionalFormatting>
  <conditionalFormatting sqref="I1253">
    <cfRule type="expression" dxfId="301" priority="10643">
      <formula>AND(I$1253&lt;&gt;0,I$1253&lt;&gt;"")</formula>
    </cfRule>
    <cfRule type="expression" dxfId="300" priority="10644" stopIfTrue="1">
      <formula>I$1254&lt;&gt;"√"</formula>
    </cfRule>
  </conditionalFormatting>
  <conditionalFormatting sqref="K1255">
    <cfRule type="expression" dxfId="299" priority="10645">
      <formula>AND($K$1255&lt;&gt;0,$K$1255&lt;&gt;"")</formula>
    </cfRule>
    <cfRule type="expression" dxfId="298" priority="10646" stopIfTrue="1">
      <formula>$L$1255&lt;&gt;"√"</formula>
    </cfRule>
  </conditionalFormatting>
  <conditionalFormatting sqref="H1275">
    <cfRule type="expression" dxfId="297" priority="10647">
      <formula>AND(H$1275&lt;&gt;0,H$1275&lt;&gt;"")</formula>
    </cfRule>
    <cfRule type="expression" dxfId="296" priority="10648" stopIfTrue="1">
      <formula>H$1276&lt;&gt;"√"</formula>
    </cfRule>
  </conditionalFormatting>
  <conditionalFormatting sqref="I1275">
    <cfRule type="expression" dxfId="295" priority="10649">
      <formula>AND(I$1275&lt;&gt;0,I$1275&lt;&gt;"")</formula>
    </cfRule>
    <cfRule type="expression" dxfId="294" priority="10650" stopIfTrue="1">
      <formula>I$1276&lt;&gt;"√"</formula>
    </cfRule>
  </conditionalFormatting>
  <conditionalFormatting sqref="K1277">
    <cfRule type="expression" dxfId="293" priority="10651">
      <formula>AND($K$1277&lt;&gt;0,$K$1277&lt;&gt;"")</formula>
    </cfRule>
    <cfRule type="expression" dxfId="292" priority="10652" stopIfTrue="1">
      <formula>$L$1277&lt;&gt;"√"</formula>
    </cfRule>
  </conditionalFormatting>
  <conditionalFormatting sqref="H1346">
    <cfRule type="expression" dxfId="291" priority="10653">
      <formula>AND(H$1346&lt;&gt;0,H$1346&lt;&gt;"")</formula>
    </cfRule>
    <cfRule type="expression" dxfId="290" priority="10654" stopIfTrue="1">
      <formula>H$1347&lt;&gt;"√"</formula>
    </cfRule>
  </conditionalFormatting>
  <conditionalFormatting sqref="I1346">
    <cfRule type="expression" dxfId="289" priority="10655">
      <formula>AND(I$1346&lt;&gt;0,I$1346&lt;&gt;"")</formula>
    </cfRule>
    <cfRule type="expression" dxfId="288" priority="10656" stopIfTrue="1">
      <formula>I$1347&lt;&gt;"√"</formula>
    </cfRule>
  </conditionalFormatting>
  <conditionalFormatting sqref="K1348">
    <cfRule type="expression" dxfId="287" priority="10657">
      <formula>AND($K$1348&lt;&gt;0,$K$1348&lt;&gt;"")</formula>
    </cfRule>
    <cfRule type="expression" dxfId="286" priority="10658" stopIfTrue="1">
      <formula>$L$1348&lt;&gt;"√"</formula>
    </cfRule>
  </conditionalFormatting>
  <conditionalFormatting sqref="H1385">
    <cfRule type="expression" dxfId="285" priority="10659">
      <formula>AND(H$1385&lt;&gt;0,H$1385&lt;&gt;"")</formula>
    </cfRule>
    <cfRule type="expression" dxfId="284" priority="10660" stopIfTrue="1">
      <formula>H$1386&lt;&gt;"√"</formula>
    </cfRule>
  </conditionalFormatting>
  <conditionalFormatting sqref="J1385">
    <cfRule type="expression" dxfId="283" priority="10661">
      <formula>AND(J$1385&lt;&gt;0,J$1385&lt;&gt;"")</formula>
    </cfRule>
    <cfRule type="expression" dxfId="282" priority="10662" stopIfTrue="1">
      <formula>J$1386&lt;&gt;"√"</formula>
    </cfRule>
  </conditionalFormatting>
  <conditionalFormatting sqref="L1385">
    <cfRule type="expression" dxfId="281" priority="10663">
      <formula>AND(L$1385&lt;&gt;0,L$1385&lt;&gt;"")</formula>
    </cfRule>
    <cfRule type="expression" dxfId="280" priority="10664" stopIfTrue="1">
      <formula>L$1386&lt;&gt;"√"</formula>
    </cfRule>
  </conditionalFormatting>
  <conditionalFormatting sqref="K1387">
    <cfRule type="expression" dxfId="279" priority="10665">
      <formula>AND($K$1387&lt;&gt;0,$K$1387&lt;&gt;"")</formula>
    </cfRule>
    <cfRule type="expression" dxfId="278" priority="10666" stopIfTrue="1">
      <formula>$L$1387&lt;&gt;"√"</formula>
    </cfRule>
  </conditionalFormatting>
  <conditionalFormatting sqref="H1407">
    <cfRule type="expression" dxfId="277" priority="10667">
      <formula>AND(H$1407&lt;&gt;0,H$1407&lt;&gt;"")</formula>
    </cfRule>
    <cfRule type="expression" dxfId="276" priority="10668" stopIfTrue="1">
      <formula>H$1408&lt;&gt;"√"</formula>
    </cfRule>
  </conditionalFormatting>
  <conditionalFormatting sqref="J1407">
    <cfRule type="expression" dxfId="275" priority="10669">
      <formula>AND(J$1407&lt;&gt;0,J$1407&lt;&gt;"")</formula>
    </cfRule>
    <cfRule type="expression" dxfId="274" priority="10670" stopIfTrue="1">
      <formula>J$1408&lt;&gt;"√"</formula>
    </cfRule>
  </conditionalFormatting>
  <conditionalFormatting sqref="L1407">
    <cfRule type="expression" dxfId="273" priority="10671">
      <formula>AND(L$1407&lt;&gt;0,L$1407&lt;&gt;"")</formula>
    </cfRule>
    <cfRule type="expression" dxfId="272" priority="10672" stopIfTrue="1">
      <formula>L$1408&lt;&gt;"√"</formula>
    </cfRule>
  </conditionalFormatting>
  <conditionalFormatting sqref="K1409">
    <cfRule type="expression" dxfId="271" priority="10673">
      <formula>AND($K$1409&lt;&gt;0,$K$1409&lt;&gt;"")</formula>
    </cfRule>
    <cfRule type="expression" dxfId="270" priority="10674" stopIfTrue="1">
      <formula>$L$1409&lt;&gt;"√"</formula>
    </cfRule>
  </conditionalFormatting>
  <conditionalFormatting sqref="H1426">
    <cfRule type="expression" dxfId="269" priority="10675">
      <formula>AND(H$1426&lt;&gt;0,H$1426&lt;&gt;"")</formula>
    </cfRule>
    <cfRule type="expression" dxfId="268" priority="10676" stopIfTrue="1">
      <formula>H$1427&lt;&gt;"√"</formula>
    </cfRule>
  </conditionalFormatting>
  <conditionalFormatting sqref="I1426">
    <cfRule type="expression" dxfId="267" priority="10677">
      <formula>AND(I$1426&lt;&gt;0,I$1426&lt;&gt;"")</formula>
    </cfRule>
    <cfRule type="expression" dxfId="266" priority="10678" stopIfTrue="1">
      <formula>I$1427&lt;&gt;"√"</formula>
    </cfRule>
  </conditionalFormatting>
  <conditionalFormatting sqref="K1428">
    <cfRule type="expression" dxfId="265" priority="10679">
      <formula>AND($K$1428&lt;&gt;0,$K$1428&lt;&gt;"")</formula>
    </cfRule>
    <cfRule type="expression" dxfId="264" priority="10680" stopIfTrue="1">
      <formula>$L$1428&lt;&gt;"√"</formula>
    </cfRule>
  </conditionalFormatting>
  <conditionalFormatting sqref="H1447">
    <cfRule type="expression" dxfId="263" priority="10681">
      <formula>AND(H$1447&lt;&gt;0,H$1447&lt;&gt;"")</formula>
    </cfRule>
    <cfRule type="expression" dxfId="262" priority="10682" stopIfTrue="1">
      <formula>H$1448&lt;&gt;"√"</formula>
    </cfRule>
  </conditionalFormatting>
  <conditionalFormatting sqref="J1447">
    <cfRule type="expression" dxfId="261" priority="10683">
      <formula>AND(J$1447&lt;&gt;0,J$1447&lt;&gt;"")</formula>
    </cfRule>
    <cfRule type="expression" dxfId="260" priority="10684" stopIfTrue="1">
      <formula>J$1448&lt;&gt;"√"</formula>
    </cfRule>
  </conditionalFormatting>
  <conditionalFormatting sqref="K1449">
    <cfRule type="expression" dxfId="259" priority="10685">
      <formula>AND($K$1449&lt;&gt;0,$K$1449&lt;&gt;"")</formula>
    </cfRule>
    <cfRule type="expression" dxfId="258" priority="10686" stopIfTrue="1">
      <formula>$L$1449&lt;&gt;"√"</formula>
    </cfRule>
  </conditionalFormatting>
  <conditionalFormatting sqref="H1010">
    <cfRule type="expression" dxfId="257" priority="10687">
      <formula>AND(H$1010&lt;&gt;0,H$1010&lt;&gt;"")</formula>
    </cfRule>
    <cfRule type="expression" dxfId="256" priority="10688" stopIfTrue="1">
      <formula>H$1011&lt;&gt;"√"</formula>
    </cfRule>
  </conditionalFormatting>
  <conditionalFormatting sqref="I1010">
    <cfRule type="expression" dxfId="255" priority="10689">
      <formula>AND(I$1010&lt;&gt;0,I$1010&lt;&gt;"")</formula>
    </cfRule>
    <cfRule type="expression" dxfId="254" priority="10690" stopIfTrue="1">
      <formula>I$1011&lt;&gt;"√"</formula>
    </cfRule>
  </conditionalFormatting>
  <conditionalFormatting sqref="K1012">
    <cfRule type="expression" dxfId="253" priority="10691">
      <formula>AND($K$1012&lt;&gt;0,$K$1012&lt;&gt;"")</formula>
    </cfRule>
    <cfRule type="expression" dxfId="252" priority="10692" stopIfTrue="1">
      <formula>$L$1012&lt;&gt;"√"</formula>
    </cfRule>
  </conditionalFormatting>
  <conditionalFormatting sqref="H1680">
    <cfRule type="expression" dxfId="251" priority="10693">
      <formula>AND(H$1680&lt;&gt;0,H$1680&lt;&gt;"")</formula>
    </cfRule>
    <cfRule type="expression" dxfId="250" priority="10694" stopIfTrue="1">
      <formula>H$1681&lt;&gt;"√"</formula>
    </cfRule>
  </conditionalFormatting>
  <conditionalFormatting sqref="K1682">
    <cfRule type="expression" dxfId="249" priority="10695">
      <formula>AND($K$1682&lt;&gt;0,$K$1682&lt;&gt;"")</formula>
    </cfRule>
    <cfRule type="expression" dxfId="248" priority="10696" stopIfTrue="1">
      <formula>$L$1682&lt;&gt;"√"</formula>
    </cfRule>
  </conditionalFormatting>
  <conditionalFormatting sqref="K1697">
    <cfRule type="expression" dxfId="247" priority="10697">
      <formula>AND(K$1697&lt;&gt;0,K$1697&lt;&gt;"")</formula>
    </cfRule>
    <cfRule type="expression" dxfId="246" priority="10698" stopIfTrue="1">
      <formula>K$1698&lt;&gt;"√"</formula>
    </cfRule>
  </conditionalFormatting>
  <conditionalFormatting sqref="L1697">
    <cfRule type="expression" dxfId="245" priority="10699">
      <formula>AND(L$1697&lt;&gt;0,L$1697&lt;&gt;"")</formula>
    </cfRule>
    <cfRule type="expression" dxfId="244" priority="10700" stopIfTrue="1">
      <formula>L$1698&lt;&gt;"√"</formula>
    </cfRule>
  </conditionalFormatting>
  <conditionalFormatting sqref="M1697">
    <cfRule type="expression" dxfId="243" priority="10701">
      <formula>AND(M$1697&lt;&gt;0,M$1697&lt;&gt;"")</formula>
    </cfRule>
    <cfRule type="expression" dxfId="242" priority="10702" stopIfTrue="1">
      <formula>M$1698&lt;&gt;"√"</formula>
    </cfRule>
  </conditionalFormatting>
  <conditionalFormatting sqref="K1699">
    <cfRule type="expression" dxfId="241" priority="10703">
      <formula>AND($K$1699&lt;&gt;0,$K$1699&lt;&gt;"")</formula>
    </cfRule>
    <cfRule type="expression" dxfId="240" priority="10704" stopIfTrue="1">
      <formula>$L$1699&lt;&gt;"√"</formula>
    </cfRule>
  </conditionalFormatting>
  <conditionalFormatting sqref="I1714">
    <cfRule type="expression" dxfId="239" priority="10705">
      <formula>AND(I$1714&lt;&gt;0,I$1714&lt;&gt;"")</formula>
    </cfRule>
    <cfRule type="expression" dxfId="238" priority="10706" stopIfTrue="1">
      <formula>I$1715&lt;&gt;"√"</formula>
    </cfRule>
  </conditionalFormatting>
  <conditionalFormatting sqref="L1714">
    <cfRule type="expression" dxfId="237" priority="10707">
      <formula>AND(L$1714&lt;&gt;0,L$1714&lt;&gt;"")</formula>
    </cfRule>
    <cfRule type="expression" dxfId="236" priority="10708" stopIfTrue="1">
      <formula>L$1715&lt;&gt;"√"</formula>
    </cfRule>
  </conditionalFormatting>
  <conditionalFormatting sqref="M1714">
    <cfRule type="expression" dxfId="235" priority="10709">
      <formula>AND(M$1714&lt;&gt;0,M$1714&lt;&gt;"")</formula>
    </cfRule>
    <cfRule type="expression" dxfId="234" priority="10710" stopIfTrue="1">
      <formula>M$1715&lt;&gt;"√"</formula>
    </cfRule>
  </conditionalFormatting>
  <conditionalFormatting sqref="K1716">
    <cfRule type="expression" dxfId="233" priority="10711">
      <formula>AND($K$1716&lt;&gt;0,$K$1716&lt;&gt;"")</formula>
    </cfRule>
    <cfRule type="expression" dxfId="232" priority="10712" stopIfTrue="1">
      <formula>$L$1716&lt;&gt;"√"</formula>
    </cfRule>
  </conditionalFormatting>
  <conditionalFormatting sqref="H1867">
    <cfRule type="expression" dxfId="231" priority="10713">
      <formula>AND(H$1867&lt;&gt;0,H$1867&lt;&gt;"")</formula>
    </cfRule>
    <cfRule type="expression" dxfId="230" priority="10714" stopIfTrue="1">
      <formula>H$1868&lt;&gt;"√"</formula>
    </cfRule>
  </conditionalFormatting>
  <conditionalFormatting sqref="I1867">
    <cfRule type="expression" dxfId="229" priority="10715">
      <formula>AND(I$1867&lt;&gt;0,I$1867&lt;&gt;"")</formula>
    </cfRule>
    <cfRule type="expression" dxfId="228" priority="10716" stopIfTrue="1">
      <formula>I$1868&lt;&gt;"√"</formula>
    </cfRule>
  </conditionalFormatting>
  <conditionalFormatting sqref="J1867">
    <cfRule type="expression" dxfId="227" priority="10717">
      <formula>AND(J$1867&lt;&gt;0,J$1867&lt;&gt;"")</formula>
    </cfRule>
    <cfRule type="expression" dxfId="226" priority="10718" stopIfTrue="1">
      <formula>J$1868&lt;&gt;"√"</formula>
    </cfRule>
  </conditionalFormatting>
  <conditionalFormatting sqref="K1869">
    <cfRule type="expression" dxfId="225" priority="10719">
      <formula>AND($K$1869&lt;&gt;0,$K$1869&lt;&gt;"")</formula>
    </cfRule>
    <cfRule type="expression" dxfId="224" priority="10720" stopIfTrue="1">
      <formula>$L$1869&lt;&gt;"√"</formula>
    </cfRule>
  </conditionalFormatting>
  <conditionalFormatting sqref="H1925">
    <cfRule type="expression" dxfId="223" priority="10721">
      <formula>AND(H$1925&lt;&gt;0,H$1925&lt;&gt;"")</formula>
    </cfRule>
    <cfRule type="expression" dxfId="222" priority="10722" stopIfTrue="1">
      <formula>H$1926&lt;&gt;"√"</formula>
    </cfRule>
  </conditionalFormatting>
  <conditionalFormatting sqref="N1925">
    <cfRule type="expression" dxfId="221" priority="10723">
      <formula>AND(N$1925&lt;&gt;0,N$1925&lt;&gt;"")</formula>
    </cfRule>
    <cfRule type="expression" dxfId="220" priority="10724" stopIfTrue="1">
      <formula>N$1926&lt;&gt;"√"</formula>
    </cfRule>
  </conditionalFormatting>
  <conditionalFormatting sqref="K1927">
    <cfRule type="expression" dxfId="219" priority="10725">
      <formula>AND($K$1927&lt;&gt;0,$K$1927&lt;&gt;"")</formula>
    </cfRule>
    <cfRule type="expression" dxfId="218" priority="10726" stopIfTrue="1">
      <formula>$L$1927&lt;&gt;"√"</formula>
    </cfRule>
  </conditionalFormatting>
  <conditionalFormatting sqref="H2232">
    <cfRule type="expression" dxfId="217" priority="10728">
      <formula>AND(H$2232&lt;&gt;0,H$2232&lt;&gt;"")</formula>
    </cfRule>
    <cfRule type="expression" dxfId="216" priority="10729" stopIfTrue="1">
      <formula>H$2233&lt;&gt;"√"</formula>
    </cfRule>
  </conditionalFormatting>
  <conditionalFormatting sqref="I2232">
    <cfRule type="expression" dxfId="215" priority="10730">
      <formula>AND(I$2232&lt;&gt;0,I$2232&lt;&gt;"")</formula>
    </cfRule>
    <cfRule type="expression" dxfId="214" priority="10731" stopIfTrue="1">
      <formula>I$2233&lt;&gt;"√"</formula>
    </cfRule>
  </conditionalFormatting>
  <conditionalFormatting sqref="J2232">
    <cfRule type="expression" dxfId="213" priority="10732">
      <formula>AND(J$2232&lt;&gt;0,J$2232&lt;&gt;"")</formula>
    </cfRule>
    <cfRule type="expression" dxfId="212" priority="10733" stopIfTrue="1">
      <formula>J$2233&lt;&gt;"√"</formula>
    </cfRule>
  </conditionalFormatting>
  <conditionalFormatting sqref="K2234">
    <cfRule type="expression" dxfId="211" priority="10734">
      <formula>AND($K$2234&lt;&gt;0,$K$2234&lt;&gt;"")</formula>
    </cfRule>
    <cfRule type="expression" dxfId="210" priority="10735" stopIfTrue="1">
      <formula>$L$2234&lt;&gt;"√"</formula>
    </cfRule>
  </conditionalFormatting>
  <conditionalFormatting sqref="H2291">
    <cfRule type="expression" dxfId="209" priority="10737">
      <formula>AND(H$2291&lt;&gt;0,H$2291&lt;&gt;"")</formula>
    </cfRule>
    <cfRule type="expression" dxfId="208" priority="10738" stopIfTrue="1">
      <formula>H$2292&lt;&gt;"√"</formula>
    </cfRule>
  </conditionalFormatting>
  <conditionalFormatting sqref="J2291">
    <cfRule type="expression" dxfId="207" priority="10739">
      <formula>AND(J$2291&lt;&gt;0,J$2291&lt;&gt;"")</formula>
    </cfRule>
    <cfRule type="expression" dxfId="206" priority="10740" stopIfTrue="1">
      <formula>J$2292&lt;&gt;"√"</formula>
    </cfRule>
  </conditionalFormatting>
  <conditionalFormatting sqref="L2291">
    <cfRule type="expression" dxfId="205" priority="10741">
      <formula>AND(L$2291&lt;&gt;0,L$2291&lt;&gt;"")</formula>
    </cfRule>
    <cfRule type="expression" dxfId="204" priority="10742" stopIfTrue="1">
      <formula>L$2292&lt;&gt;"√"</formula>
    </cfRule>
  </conditionalFormatting>
  <conditionalFormatting sqref="K2293">
    <cfRule type="expression" dxfId="203" priority="10743">
      <formula>AND($K$2293&lt;&gt;0,$K$2293&lt;&gt;"")</formula>
    </cfRule>
    <cfRule type="expression" dxfId="202" priority="10744" stopIfTrue="1">
      <formula>$L$2293&lt;&gt;"√"</formula>
    </cfRule>
  </conditionalFormatting>
  <conditionalFormatting sqref="H2313">
    <cfRule type="expression" dxfId="201" priority="10745">
      <formula>AND(H$2313&lt;&gt;0,H$2313&lt;&gt;"")</formula>
    </cfRule>
    <cfRule type="expression" dxfId="200" priority="10746" stopIfTrue="1">
      <formula>H$2314&lt;&gt;"√"</formula>
    </cfRule>
  </conditionalFormatting>
  <conditionalFormatting sqref="I2313">
    <cfRule type="expression" dxfId="199" priority="10747">
      <formula>AND(I$2313&lt;&gt;0,I$2313&lt;&gt;"")</formula>
    </cfRule>
    <cfRule type="expression" dxfId="198" priority="10748" stopIfTrue="1">
      <formula>I$2314&lt;&gt;"√"</formula>
    </cfRule>
  </conditionalFormatting>
  <conditionalFormatting sqref="K2315">
    <cfRule type="expression" dxfId="197" priority="10749">
      <formula>AND($K$2315&lt;&gt;0,$K$2315&lt;&gt;"")</formula>
    </cfRule>
    <cfRule type="expression" dxfId="196" priority="10750" stopIfTrue="1">
      <formula>$L$2315&lt;&gt;"√"</formula>
    </cfRule>
  </conditionalFormatting>
  <conditionalFormatting sqref="H2347">
    <cfRule type="expression" dxfId="195" priority="10751">
      <formula>AND(H$2347&lt;&gt;0,H$2347&lt;&gt;"")</formula>
    </cfRule>
    <cfRule type="expression" dxfId="194" priority="10752" stopIfTrue="1">
      <formula>H$2348&lt;&gt;"√"</formula>
    </cfRule>
  </conditionalFormatting>
  <conditionalFormatting sqref="N2347">
    <cfRule type="expression" dxfId="193" priority="10753">
      <formula>AND(N$2347&lt;&gt;0,N$2347&lt;&gt;"")</formula>
    </cfRule>
    <cfRule type="expression" dxfId="192" priority="10754" stopIfTrue="1">
      <formula>N$2348&lt;&gt;"√"</formula>
    </cfRule>
  </conditionalFormatting>
  <conditionalFormatting sqref="K2349">
    <cfRule type="expression" dxfId="191" priority="10755">
      <formula>AND($K$2349&lt;&gt;0,$K$2349&lt;&gt;"")</formula>
    </cfRule>
    <cfRule type="expression" dxfId="190" priority="10756" stopIfTrue="1">
      <formula>$L$2349&lt;&gt;"√"</formula>
    </cfRule>
  </conditionalFormatting>
  <conditionalFormatting sqref="H2461">
    <cfRule type="expression" dxfId="189" priority="10757">
      <formula>AND(H$2461&lt;&gt;0,H$2461&lt;&gt;"")</formula>
    </cfRule>
    <cfRule type="expression" dxfId="188" priority="10758" stopIfTrue="1">
      <formula>H$2462&lt;&gt;"√"</formula>
    </cfRule>
  </conditionalFormatting>
  <conditionalFormatting sqref="K2461">
    <cfRule type="expression" dxfId="187" priority="10759">
      <formula>AND(K$2461&lt;&gt;0,K$2461&lt;&gt;"")</formula>
    </cfRule>
    <cfRule type="expression" dxfId="186" priority="10760" stopIfTrue="1">
      <formula>K$2462&lt;&gt;"√"</formula>
    </cfRule>
  </conditionalFormatting>
  <conditionalFormatting sqref="M2461">
    <cfRule type="expression" dxfId="185" priority="10761">
      <formula>AND(M$2461&lt;&gt;0,M$2461&lt;&gt;"")</formula>
    </cfRule>
    <cfRule type="expression" dxfId="184" priority="10762" stopIfTrue="1">
      <formula>M$2462&lt;&gt;"√"</formula>
    </cfRule>
  </conditionalFormatting>
  <conditionalFormatting sqref="K2463">
    <cfRule type="expression" dxfId="183" priority="10763">
      <formula>AND($K$2463&lt;&gt;0,$K$2463&lt;&gt;"")</formula>
    </cfRule>
    <cfRule type="expression" dxfId="182" priority="10764" stopIfTrue="1">
      <formula>$L$2463&lt;&gt;"√"</formula>
    </cfRule>
  </conditionalFormatting>
  <conditionalFormatting sqref="I2429">
    <cfRule type="expression" dxfId="181" priority="10765">
      <formula>AND(I$2429&lt;&gt;0,I$2429&lt;&gt;"")</formula>
    </cfRule>
    <cfRule type="expression" dxfId="180" priority="10766" stopIfTrue="1">
      <formula>I$2430&lt;&gt;"√"</formula>
    </cfRule>
  </conditionalFormatting>
  <conditionalFormatting sqref="J2429">
    <cfRule type="expression" dxfId="179" priority="10767">
      <formula>AND(J$2429&lt;&gt;0,J$2429&lt;&gt;"")</formula>
    </cfRule>
    <cfRule type="expression" dxfId="178" priority="10768" stopIfTrue="1">
      <formula>J$2430&lt;&gt;"√"</formula>
    </cfRule>
  </conditionalFormatting>
  <conditionalFormatting sqref="M2429">
    <cfRule type="expression" dxfId="177" priority="10769">
      <formula>AND(M$2429&lt;&gt;0,M$2429&lt;&gt;"")</formula>
    </cfRule>
    <cfRule type="expression" dxfId="176" priority="10770" stopIfTrue="1">
      <formula>M$2430&lt;&gt;"√"</formula>
    </cfRule>
  </conditionalFormatting>
  <conditionalFormatting sqref="K2431">
    <cfRule type="expression" dxfId="175" priority="10771">
      <formula>AND($K$2431&lt;&gt;0,$K$2431&lt;&gt;"")</formula>
    </cfRule>
    <cfRule type="expression" dxfId="174" priority="10772" stopIfTrue="1">
      <formula>$L$2431&lt;&gt;"√"</formula>
    </cfRule>
  </conditionalFormatting>
  <conditionalFormatting sqref="H2895">
    <cfRule type="expression" dxfId="173" priority="10775">
      <formula>AND(H$2895&lt;&gt;0,H$2895&lt;&gt;"")</formula>
    </cfRule>
    <cfRule type="expression" dxfId="172" priority="10776" stopIfTrue="1">
      <formula>H$2896&lt;&gt;"√"</formula>
    </cfRule>
  </conditionalFormatting>
  <conditionalFormatting sqref="I2895">
    <cfRule type="expression" dxfId="171" priority="10777">
      <formula>AND(I$2895&lt;&gt;0,I$2895&lt;&gt;"")</formula>
    </cfRule>
    <cfRule type="expression" dxfId="170" priority="10778" stopIfTrue="1">
      <formula>I$2896&lt;&gt;"√"</formula>
    </cfRule>
  </conditionalFormatting>
  <conditionalFormatting sqref="K2897">
    <cfRule type="expression" dxfId="169" priority="10779">
      <formula>AND($K$2897&lt;&gt;0,$K$2897&lt;&gt;"")</formula>
    </cfRule>
    <cfRule type="expression" dxfId="168" priority="10780" stopIfTrue="1">
      <formula>$L$2897&lt;&gt;"√"</formula>
    </cfRule>
  </conditionalFormatting>
  <conditionalFormatting sqref="H3469">
    <cfRule type="expression" dxfId="167" priority="10781">
      <formula>AND(H$3469&lt;&gt;0,H$3469&lt;&gt;"")</formula>
    </cfRule>
    <cfRule type="expression" dxfId="166" priority="10782" stopIfTrue="1">
      <formula>H$3470&lt;&gt;"√"</formula>
    </cfRule>
  </conditionalFormatting>
  <conditionalFormatting sqref="I3469">
    <cfRule type="expression" dxfId="165" priority="10783">
      <formula>AND(I$3469&lt;&gt;0,I$3469&lt;&gt;"")</formula>
    </cfRule>
    <cfRule type="expression" dxfId="164" priority="10784" stopIfTrue="1">
      <formula>I$3470&lt;&gt;"√"</formula>
    </cfRule>
  </conditionalFormatting>
  <conditionalFormatting sqref="K3471">
    <cfRule type="expression" dxfId="163" priority="10785">
      <formula>AND($K$3471&lt;&gt;0,$K$3471&lt;&gt;"")</formula>
    </cfRule>
    <cfRule type="expression" dxfId="162" priority="10786" stopIfTrue="1">
      <formula>$L$3471&lt;&gt;"√"</formula>
    </cfRule>
  </conditionalFormatting>
  <conditionalFormatting sqref="H3556">
    <cfRule type="expression" dxfId="161" priority="10787">
      <formula>AND(H$3556&lt;&gt;0,H$3556&lt;&gt;"")</formula>
    </cfRule>
    <cfRule type="expression" dxfId="160" priority="10788" stopIfTrue="1">
      <formula>H$3557&lt;&gt;"√"</formula>
    </cfRule>
  </conditionalFormatting>
  <conditionalFormatting sqref="I3556">
    <cfRule type="expression" dxfId="159" priority="10789">
      <formula>AND(I$3556&lt;&gt;0,I$3556&lt;&gt;"")</formula>
    </cfRule>
    <cfRule type="expression" dxfId="158" priority="10790" stopIfTrue="1">
      <formula>I$3557&lt;&gt;"√"</formula>
    </cfRule>
  </conditionalFormatting>
  <conditionalFormatting sqref="K3558">
    <cfRule type="expression" dxfId="157" priority="10791">
      <formula>AND($K$3558&lt;&gt;0,$K$3558&lt;&gt;"")</formula>
    </cfRule>
    <cfRule type="expression" dxfId="156" priority="10792" stopIfTrue="1">
      <formula>$L$3558&lt;&gt;"√"</formula>
    </cfRule>
  </conditionalFormatting>
  <conditionalFormatting sqref="G3546:G3551">
    <cfRule type="expression" dxfId="155" priority="10793">
      <formula>$D3546&gt;1</formula>
    </cfRule>
    <cfRule type="expression" dxfId="154" priority="10794">
      <formula>$C3546="%IN"</formula>
    </cfRule>
    <cfRule type="expression" dxfId="153" priority="10795" stopIfTrue="1">
      <formula>$E3546=0</formula>
    </cfRule>
  </conditionalFormatting>
  <conditionalFormatting sqref="H3655">
    <cfRule type="expression" dxfId="152" priority="10796">
      <formula>AND(H$3655&lt;&gt;0,H$3655&lt;&gt;"")</formula>
    </cfRule>
    <cfRule type="expression" dxfId="151" priority="10797" stopIfTrue="1">
      <formula>H$3656&lt;&gt;"√"</formula>
    </cfRule>
  </conditionalFormatting>
  <conditionalFormatting sqref="I3655">
    <cfRule type="expression" dxfId="150" priority="10798">
      <formula>AND(I$3655&lt;&gt;0,I$3655&lt;&gt;"")</formula>
    </cfRule>
    <cfRule type="expression" dxfId="149" priority="10799" stopIfTrue="1">
      <formula>I$3656&lt;&gt;"√"</formula>
    </cfRule>
  </conditionalFormatting>
  <conditionalFormatting sqref="J3655">
    <cfRule type="expression" dxfId="148" priority="10800">
      <formula>AND(J$3655&lt;&gt;0,J$3655&lt;&gt;"")</formula>
    </cfRule>
    <cfRule type="expression" dxfId="147" priority="10801" stopIfTrue="1">
      <formula>J$3656&lt;&gt;"√"</formula>
    </cfRule>
  </conditionalFormatting>
  <conditionalFormatting sqref="K3655">
    <cfRule type="expression" dxfId="146" priority="10802">
      <formula>AND(K$3655&lt;&gt;0,K$3655&lt;&gt;"")</formula>
    </cfRule>
    <cfRule type="expression" dxfId="145" priority="10803" stopIfTrue="1">
      <formula>K$3656&lt;&gt;"√"</formula>
    </cfRule>
  </conditionalFormatting>
  <conditionalFormatting sqref="K3657">
    <cfRule type="expression" dxfId="144" priority="10804">
      <formula>AND($K$3657&lt;&gt;0,$K$3657&lt;&gt;"")</formula>
    </cfRule>
    <cfRule type="expression" dxfId="143" priority="10805" stopIfTrue="1">
      <formula>$L$3657&lt;&gt;"√"</formula>
    </cfRule>
  </conditionalFormatting>
  <conditionalFormatting sqref="H3679">
    <cfRule type="expression" dxfId="142" priority="10806">
      <formula>AND(H$3679&lt;&gt;0,H$3679&lt;&gt;"")</formula>
    </cfRule>
    <cfRule type="expression" dxfId="141" priority="10807" stopIfTrue="1">
      <formula>H$3680&lt;&gt;"√"</formula>
    </cfRule>
  </conditionalFormatting>
  <conditionalFormatting sqref="I3679">
    <cfRule type="expression" dxfId="140" priority="10808">
      <formula>AND(I$3679&lt;&gt;0,I$3679&lt;&gt;"")</formula>
    </cfRule>
    <cfRule type="expression" dxfId="139" priority="10809" stopIfTrue="1">
      <formula>I$3680&lt;&gt;"√"</formula>
    </cfRule>
  </conditionalFormatting>
  <conditionalFormatting sqref="J3679">
    <cfRule type="expression" dxfId="138" priority="10810">
      <formula>AND(J$3679&lt;&gt;0,J$3679&lt;&gt;"")</formula>
    </cfRule>
    <cfRule type="expression" dxfId="137" priority="10811" stopIfTrue="1">
      <formula>J$3680&lt;&gt;"√"</formula>
    </cfRule>
  </conditionalFormatting>
  <conditionalFormatting sqref="K3679">
    <cfRule type="expression" dxfId="136" priority="10812">
      <formula>AND(K$3679&lt;&gt;0,K$3679&lt;&gt;"")</formula>
    </cfRule>
    <cfRule type="expression" dxfId="135" priority="10813" stopIfTrue="1">
      <formula>K$3680&lt;&gt;"√"</formula>
    </cfRule>
  </conditionalFormatting>
  <conditionalFormatting sqref="K3681">
    <cfRule type="expression" dxfId="134" priority="10814">
      <formula>AND($K$3681&lt;&gt;0,$K$3681&lt;&gt;"")</formula>
    </cfRule>
    <cfRule type="expression" dxfId="133" priority="10815" stopIfTrue="1">
      <formula>$L$3681&lt;&gt;"√"</formula>
    </cfRule>
  </conditionalFormatting>
  <conditionalFormatting sqref="H3854">
    <cfRule type="expression" dxfId="132" priority="10817">
      <formula>AND(H$3854&lt;&gt;0,H$3854&lt;&gt;"")</formula>
    </cfRule>
    <cfRule type="expression" dxfId="131" priority="10818" stopIfTrue="1">
      <formula>H$3855&lt;&gt;"√"</formula>
    </cfRule>
  </conditionalFormatting>
  <conditionalFormatting sqref="I3854">
    <cfRule type="expression" dxfId="130" priority="10819">
      <formula>AND(I$3854&lt;&gt;0,I$3854&lt;&gt;"")</formula>
    </cfRule>
    <cfRule type="expression" dxfId="129" priority="10820" stopIfTrue="1">
      <formula>I$3855&lt;&gt;"√"</formula>
    </cfRule>
  </conditionalFormatting>
  <conditionalFormatting sqref="K3856">
    <cfRule type="expression" dxfId="128" priority="10821">
      <formula>AND($K$3856&lt;&gt;0,$K$3856&lt;&gt;"")</formula>
    </cfRule>
    <cfRule type="expression" dxfId="127" priority="10822" stopIfTrue="1">
      <formula>$L$3856&lt;&gt;"√"</formula>
    </cfRule>
  </conditionalFormatting>
  <conditionalFormatting sqref="H4134">
    <cfRule type="expression" dxfId="126" priority="10823">
      <formula>AND(H$4134&lt;&gt;0,H$4134&lt;&gt;"")</formula>
    </cfRule>
    <cfRule type="expression" dxfId="125" priority="10824" stopIfTrue="1">
      <formula>H$4135&lt;&gt;"√"</formula>
    </cfRule>
  </conditionalFormatting>
  <conditionalFormatting sqref="I4134">
    <cfRule type="expression" dxfId="124" priority="10825">
      <formula>AND(I$4134&lt;&gt;0,I$4134&lt;&gt;"")</formula>
    </cfRule>
    <cfRule type="expression" dxfId="123" priority="10826" stopIfTrue="1">
      <formula>I$4135&lt;&gt;"√"</formula>
    </cfRule>
  </conditionalFormatting>
  <conditionalFormatting sqref="K4136">
    <cfRule type="expression" dxfId="122" priority="10827">
      <formula>AND($K$4136&lt;&gt;0,$K$4136&lt;&gt;"")</formula>
    </cfRule>
    <cfRule type="expression" dxfId="121" priority="10828" stopIfTrue="1">
      <formula>$L$4136&lt;&gt;"√"</formula>
    </cfRule>
  </conditionalFormatting>
  <conditionalFormatting sqref="H4284">
    <cfRule type="expression" dxfId="120" priority="10829">
      <formula>AND(H$4284&lt;&gt;0,H$4284&lt;&gt;"")</formula>
    </cfRule>
    <cfRule type="expression" dxfId="119" priority="10830" stopIfTrue="1">
      <formula>H$4285&lt;&gt;"√"</formula>
    </cfRule>
  </conditionalFormatting>
  <conditionalFormatting sqref="M4284">
    <cfRule type="expression" dxfId="118" priority="10831">
      <formula>AND(M$4284&lt;&gt;0,M$4284&lt;&gt;"")</formula>
    </cfRule>
    <cfRule type="expression" dxfId="117" priority="10832" stopIfTrue="1">
      <formula>M$4285&lt;&gt;"√"</formula>
    </cfRule>
  </conditionalFormatting>
  <conditionalFormatting sqref="K4286">
    <cfRule type="expression" dxfId="116" priority="10833">
      <formula>AND($K$4286&lt;&gt;0,$K$4286&lt;&gt;"")</formula>
    </cfRule>
    <cfRule type="expression" dxfId="115" priority="10834" stopIfTrue="1">
      <formula>$L$4286&lt;&gt;"√"</formula>
    </cfRule>
  </conditionalFormatting>
  <conditionalFormatting sqref="G4643">
    <cfRule type="expression" dxfId="114" priority="10843">
      <formula>$D4642&gt;1</formula>
    </cfRule>
    <cfRule type="expression" dxfId="113" priority="10844">
      <formula>$C4642="%IN"</formula>
    </cfRule>
    <cfRule type="expression" dxfId="112" priority="10845" stopIfTrue="1">
      <formula>$E4642=0</formula>
    </cfRule>
  </conditionalFormatting>
  <conditionalFormatting sqref="G4642">
    <cfRule type="expression" dxfId="111" priority="10850">
      <formula>$D4643&gt;1</formula>
    </cfRule>
    <cfRule type="expression" dxfId="110" priority="10851">
      <formula>$C4643="%IN"</formula>
    </cfRule>
    <cfRule type="expression" dxfId="109" priority="10852" stopIfTrue="1">
      <formula>$E4643=0</formula>
    </cfRule>
  </conditionalFormatting>
  <conditionalFormatting sqref="H4796">
    <cfRule type="expression" dxfId="108" priority="10853">
      <formula>AND(H$4796&lt;&gt;0,H$4796&lt;&gt;"")</formula>
    </cfRule>
    <cfRule type="expression" dxfId="107" priority="10854" stopIfTrue="1">
      <formula>H$4797&lt;&gt;"√"</formula>
    </cfRule>
  </conditionalFormatting>
  <conditionalFormatting sqref="K4798">
    <cfRule type="expression" dxfId="106" priority="10855">
      <formula>AND($K$4798&lt;&gt;0,$K$4798&lt;&gt;"")</formula>
    </cfRule>
    <cfRule type="expression" dxfId="105" priority="10856" stopIfTrue="1">
      <formula>$L$4798&lt;&gt;"√"</formula>
    </cfRule>
  </conditionalFormatting>
  <conditionalFormatting sqref="L778">
    <cfRule type="expression" dxfId="104" priority="10858" stopIfTrue="1">
      <formula>OR($L$778="F/S",$L$778="")</formula>
    </cfRule>
    <cfRule type="cellIs" dxfId="103" priority="10859" stopIfTrue="1" operator="notEqual">
      <formula>0</formula>
    </cfRule>
  </conditionalFormatting>
  <conditionalFormatting sqref="O778">
    <cfRule type="expression" dxfId="102" priority="10860" stopIfTrue="1">
      <formula>OR($O$778="F/S",$O$778="")</formula>
    </cfRule>
    <cfRule type="cellIs" dxfId="101" priority="10861" stopIfTrue="1" operator="notEqual">
      <formula>0</formula>
    </cfRule>
  </conditionalFormatting>
  <conditionalFormatting sqref="I778">
    <cfRule type="expression" dxfId="100" priority="52" stopIfTrue="1">
      <formula>$I778="适用"</formula>
    </cfRule>
    <cfRule type="expression" dxfId="99" priority="53" stopIfTrue="1">
      <formula>$I778="不适用"</formula>
    </cfRule>
  </conditionalFormatting>
  <conditionalFormatting sqref="Q778">
    <cfRule type="expression" dxfId="98" priority="51" stopIfTrue="1">
      <formula>$Q778="请输入"</formula>
    </cfRule>
  </conditionalFormatting>
  <conditionalFormatting sqref="L793:L795 L797:L804">
    <cfRule type="expression" dxfId="97" priority="10865" stopIfTrue="1">
      <formula>OR($L$793="F/S",$L$793="")</formula>
    </cfRule>
    <cfRule type="cellIs" dxfId="96" priority="10866" stopIfTrue="1" operator="notEqual">
      <formula>0</formula>
    </cfRule>
  </conditionalFormatting>
  <conditionalFormatting sqref="O793:O811">
    <cfRule type="expression" dxfId="95" priority="10867" stopIfTrue="1">
      <formula>OR($O$793="F/S",$O$793="")</formula>
    </cfRule>
    <cfRule type="cellIs" dxfId="94" priority="10868" stopIfTrue="1" operator="notEqual">
      <formula>0</formula>
    </cfRule>
  </conditionalFormatting>
  <conditionalFormatting sqref="I793">
    <cfRule type="expression" dxfId="93" priority="42" stopIfTrue="1">
      <formula>$I793="适用"</formula>
    </cfRule>
    <cfRule type="expression" dxfId="92" priority="43" stopIfTrue="1">
      <formula>$I793="不适用"</formula>
    </cfRule>
  </conditionalFormatting>
  <conditionalFormatting sqref="L812:L814 L817:L826">
    <cfRule type="expression" dxfId="91" priority="10872" stopIfTrue="1">
      <formula>OR($L$812="F/S",$L$812="")</formula>
    </cfRule>
    <cfRule type="cellIs" dxfId="90" priority="10873" stopIfTrue="1" operator="notEqual">
      <formula>0</formula>
    </cfRule>
  </conditionalFormatting>
  <conditionalFormatting sqref="O812:O833">
    <cfRule type="expression" dxfId="89" priority="10874" stopIfTrue="1">
      <formula>OR($O$812="F/S",$O$812="")</formula>
    </cfRule>
    <cfRule type="cellIs" dxfId="88" priority="10875" stopIfTrue="1" operator="notEqual">
      <formula>0</formula>
    </cfRule>
  </conditionalFormatting>
  <conditionalFormatting sqref="I812">
    <cfRule type="expression" dxfId="87" priority="32" stopIfTrue="1">
      <formula>$I812="适用"</formula>
    </cfRule>
    <cfRule type="expression" dxfId="86" priority="33" stopIfTrue="1">
      <formula>$I812="不适用"</formula>
    </cfRule>
  </conditionalFormatting>
  <conditionalFormatting sqref="L834:L836 L839:L848">
    <cfRule type="expression" dxfId="85" priority="10879" stopIfTrue="1">
      <formula>OR($L$834="F/S",$L$834="")</formula>
    </cfRule>
    <cfRule type="cellIs" dxfId="84" priority="10880" stopIfTrue="1" operator="notEqual">
      <formula>0</formula>
    </cfRule>
  </conditionalFormatting>
  <conditionalFormatting sqref="O834:O848">
    <cfRule type="expression" dxfId="83" priority="10881" stopIfTrue="1">
      <formula>OR($O$834="F/S",$O$834="")</formula>
    </cfRule>
    <cfRule type="cellIs" dxfId="82" priority="10882" stopIfTrue="1" operator="notEqual">
      <formula>0</formula>
    </cfRule>
  </conditionalFormatting>
  <conditionalFormatting sqref="I834">
    <cfRule type="expression" dxfId="81" priority="25" stopIfTrue="1">
      <formula>$I834="适用"</formula>
    </cfRule>
    <cfRule type="expression" dxfId="80" priority="26" stopIfTrue="1">
      <formula>$I834="不适用"</formula>
    </cfRule>
  </conditionalFormatting>
  <conditionalFormatting sqref="Q834:Q848">
    <cfRule type="expression" dxfId="79" priority="24" stopIfTrue="1">
      <formula>$Q834="请输入"</formula>
    </cfRule>
  </conditionalFormatting>
  <conditionalFormatting sqref="G712:G720">
    <cfRule type="expression" dxfId="78" priority="10898">
      <formula>$D712&gt;1</formula>
    </cfRule>
    <cfRule type="expression" dxfId="77" priority="10899">
      <formula>$C712="%IN"</formula>
    </cfRule>
    <cfRule type="expression" dxfId="76" priority="10900" stopIfTrue="1">
      <formula>$E712=0</formula>
    </cfRule>
  </conditionalFormatting>
  <conditionalFormatting sqref="G727:G732">
    <cfRule type="expression" dxfId="75" priority="10901">
      <formula>$D727&gt;1</formula>
    </cfRule>
    <cfRule type="expression" dxfId="74" priority="10902">
      <formula>$C727="%IN"</formula>
    </cfRule>
    <cfRule type="expression" dxfId="73" priority="10903" stopIfTrue="1">
      <formula>$E727=0</formula>
    </cfRule>
  </conditionalFormatting>
  <conditionalFormatting sqref="G746:G754">
    <cfRule type="expression" dxfId="72" priority="10904">
      <formula>$D746&gt;1</formula>
    </cfRule>
    <cfRule type="expression" dxfId="71" priority="10905">
      <formula>$C746="%IN"</formula>
    </cfRule>
    <cfRule type="expression" dxfId="70" priority="10906" stopIfTrue="1">
      <formula>$E746=0</formula>
    </cfRule>
  </conditionalFormatting>
  <conditionalFormatting sqref="G768:G776">
    <cfRule type="expression" dxfId="69" priority="10907">
      <formula>$D768&gt;1</formula>
    </cfRule>
    <cfRule type="expression" dxfId="68" priority="10908">
      <formula>$C768="%IN"</formula>
    </cfRule>
    <cfRule type="expression" dxfId="67" priority="10909" stopIfTrue="1">
      <formula>$E768=0</formula>
    </cfRule>
  </conditionalFormatting>
  <conditionalFormatting sqref="G783:G791">
    <cfRule type="expression" dxfId="66" priority="10910">
      <formula>$D783&gt;1</formula>
    </cfRule>
    <cfRule type="expression" dxfId="65" priority="10911">
      <formula>$C783="%IN"</formula>
    </cfRule>
    <cfRule type="expression" dxfId="64" priority="10912" stopIfTrue="1">
      <formula>$E783=0</formula>
    </cfRule>
  </conditionalFormatting>
  <conditionalFormatting sqref="G798:G803">
    <cfRule type="expression" dxfId="63" priority="10913">
      <formula>$D798&gt;1</formula>
    </cfRule>
    <cfRule type="expression" dxfId="62" priority="10914">
      <formula>$C798="%IN"</formula>
    </cfRule>
    <cfRule type="expression" dxfId="61" priority="10915" stopIfTrue="1">
      <formula>$E798=0</formula>
    </cfRule>
  </conditionalFormatting>
  <conditionalFormatting sqref="G817:G825">
    <cfRule type="expression" dxfId="60" priority="10916">
      <formula>$D817&gt;1</formula>
    </cfRule>
    <cfRule type="expression" dxfId="59" priority="10917">
      <formula>$C817="%IN"</formula>
    </cfRule>
    <cfRule type="expression" dxfId="58" priority="10918" stopIfTrue="1">
      <formula>$E817=0</formula>
    </cfRule>
  </conditionalFormatting>
  <conditionalFormatting sqref="G839:G847">
    <cfRule type="expression" dxfId="57" priority="10919">
      <formula>$D839&gt;1</formula>
    </cfRule>
    <cfRule type="expression" dxfId="56" priority="10920">
      <formula>$C839="%IN"</formula>
    </cfRule>
    <cfRule type="expression" dxfId="55" priority="10921" stopIfTrue="1">
      <formula>$E839=0</formula>
    </cfRule>
  </conditionalFormatting>
  <conditionalFormatting sqref="J737">
    <cfRule type="expression" dxfId="54" priority="10922">
      <formula>AND(J$737&lt;&gt;0,J$737&lt;&gt;"")</formula>
    </cfRule>
    <cfRule type="expression" dxfId="53" priority="10923" stopIfTrue="1">
      <formula>J$738&lt;&gt;"√"</formula>
    </cfRule>
  </conditionalFormatting>
  <conditionalFormatting sqref="K739">
    <cfRule type="expression" dxfId="52" priority="10924">
      <formula>AND($K$739&lt;&gt;0,$K$739&lt;&gt;"")</formula>
    </cfRule>
    <cfRule type="expression" dxfId="51" priority="10925" stopIfTrue="1">
      <formula>$L$739&lt;&gt;"√"</formula>
    </cfRule>
  </conditionalFormatting>
  <conditionalFormatting sqref="J759">
    <cfRule type="expression" dxfId="50" priority="10926">
      <formula>AND(J$759&lt;&gt;0,J$759&lt;&gt;"")</formula>
    </cfRule>
    <cfRule type="expression" dxfId="49" priority="10927" stopIfTrue="1">
      <formula>J$760&lt;&gt;"√"</formula>
    </cfRule>
  </conditionalFormatting>
  <conditionalFormatting sqref="K761">
    <cfRule type="expression" dxfId="48" priority="10928">
      <formula>AND($K$761&lt;&gt;0,$K$761&lt;&gt;"")</formula>
    </cfRule>
    <cfRule type="expression" dxfId="47" priority="10929" stopIfTrue="1">
      <formula>$L$761&lt;&gt;"√"</formula>
    </cfRule>
  </conditionalFormatting>
  <conditionalFormatting sqref="J808">
    <cfRule type="expression" dxfId="46" priority="10930">
      <formula>AND(J$808&lt;&gt;0,J$808&lt;&gt;"")</formula>
    </cfRule>
    <cfRule type="expression" dxfId="45" priority="10931" stopIfTrue="1">
      <formula>J$809&lt;&gt;"√"</formula>
    </cfRule>
  </conditionalFormatting>
  <conditionalFormatting sqref="K810">
    <cfRule type="expression" dxfId="44" priority="10932">
      <formula>AND($K$810&lt;&gt;0,$K$810&lt;&gt;"")</formula>
    </cfRule>
    <cfRule type="expression" dxfId="43" priority="10933" stopIfTrue="1">
      <formula>$L$810&lt;&gt;"√"</formula>
    </cfRule>
  </conditionalFormatting>
  <conditionalFormatting sqref="J830">
    <cfRule type="expression" dxfId="42" priority="10934">
      <formula>AND(J$830&lt;&gt;0,J$830&lt;&gt;"")</formula>
    </cfRule>
    <cfRule type="expression" dxfId="41" priority="10935" stopIfTrue="1">
      <formula>J$831&lt;&gt;"√"</formula>
    </cfRule>
  </conditionalFormatting>
  <conditionalFormatting sqref="K832">
    <cfRule type="expression" dxfId="40" priority="10936">
      <formula>AND($K$832&lt;&gt;0,$K$832&lt;&gt;"")</formula>
    </cfRule>
    <cfRule type="expression" dxfId="39" priority="10937" stopIfTrue="1">
      <formula>$L$832&lt;&gt;"√"</formula>
    </cfRule>
  </conditionalFormatting>
  <conditionalFormatting sqref="G1968:G1971">
    <cfRule type="expression" dxfId="38" priority="10938">
      <formula>$D1968&gt;1</formula>
    </cfRule>
    <cfRule type="expression" dxfId="37" priority="10939">
      <formula>$C1968="%IN"</formula>
    </cfRule>
    <cfRule type="expression" dxfId="36" priority="10940" stopIfTrue="1">
      <formula>$E1968=0</formula>
    </cfRule>
  </conditionalFormatting>
  <conditionalFormatting sqref="G2068:G2072">
    <cfRule type="expression" dxfId="35" priority="10941">
      <formula>$D2068&gt;1</formula>
    </cfRule>
    <cfRule type="expression" dxfId="34" priority="10942">
      <formula>$C2068="%IN"</formula>
    </cfRule>
    <cfRule type="expression" dxfId="33" priority="10943" stopIfTrue="1">
      <formula>$E2068=0</formula>
    </cfRule>
  </conditionalFormatting>
  <conditionalFormatting sqref="G2084:G2092">
    <cfRule type="expression" dxfId="32" priority="10944">
      <formula>$D2084&gt;1</formula>
    </cfRule>
    <cfRule type="expression" dxfId="31" priority="10945">
      <formula>$C2084="%IN"</formula>
    </cfRule>
    <cfRule type="expression" dxfId="30" priority="10946" stopIfTrue="1">
      <formula>$E2084=0</formula>
    </cfRule>
  </conditionalFormatting>
  <conditionalFormatting sqref="G2097:G2105">
    <cfRule type="expression" dxfId="29" priority="10947">
      <formula>$D2097&gt;1</formula>
    </cfRule>
    <cfRule type="expression" dxfId="28" priority="10948">
      <formula>$C2097="%IN"</formula>
    </cfRule>
    <cfRule type="expression" dxfId="27" priority="10949" stopIfTrue="1">
      <formula>$E2097=0</formula>
    </cfRule>
  </conditionalFormatting>
  <conditionalFormatting sqref="G2110:G2118">
    <cfRule type="expression" dxfId="26" priority="10950">
      <formula>$D2110&gt;1</formula>
    </cfRule>
    <cfRule type="expression" dxfId="25" priority="10951">
      <formula>$C2110="%IN"</formula>
    </cfRule>
    <cfRule type="expression" dxfId="24" priority="10952" stopIfTrue="1">
      <formula>$E2110=0</formula>
    </cfRule>
  </conditionalFormatting>
  <conditionalFormatting sqref="N2135">
    <cfRule type="expression" dxfId="23" priority="10953">
      <formula>AND(N$2135&lt;&gt;0,N$2135&lt;&gt;"")</formula>
    </cfRule>
    <cfRule type="expression" dxfId="22" priority="10954" stopIfTrue="1">
      <formula>N$2136&lt;&gt;"√"</formula>
    </cfRule>
  </conditionalFormatting>
  <conditionalFormatting sqref="K2137">
    <cfRule type="expression" dxfId="21" priority="10955">
      <formula>AND($K$2137&lt;&gt;0,$K$2137&lt;&gt;"")</formula>
    </cfRule>
    <cfRule type="expression" dxfId="20" priority="10956" stopIfTrue="1">
      <formula>$L$2137&lt;&gt;"√"</formula>
    </cfRule>
  </conditionalFormatting>
  <conditionalFormatting sqref="I2077">
    <cfRule type="expression" dxfId="19" priority="10957">
      <formula>AND(I$2077&lt;&gt;0,I$2077&lt;&gt;"")</formula>
    </cfRule>
    <cfRule type="expression" dxfId="18" priority="10958" stopIfTrue="1">
      <formula>I$2078&lt;&gt;"√"</formula>
    </cfRule>
  </conditionalFormatting>
  <conditionalFormatting sqref="K2079">
    <cfRule type="expression" dxfId="17" priority="10959">
      <formula>AND($K$2079&lt;&gt;0,$K$2079&lt;&gt;"")</formula>
    </cfRule>
    <cfRule type="expression" dxfId="16" priority="10960" stopIfTrue="1">
      <formula>$L$2079&lt;&gt;"√"</formula>
    </cfRule>
  </conditionalFormatting>
  <conditionalFormatting sqref="S3:S4 S7">
    <cfRule type="containsText" dxfId="15" priority="13" stopIfTrue="1" operator="containsText" text="删除">
      <formula>NOT(ISERROR(SEARCH("删除",S3)))</formula>
    </cfRule>
    <cfRule type="containsText" dxfId="14" priority="14" stopIfTrue="1" operator="containsText" text="修改">
      <formula>NOT(ISERROR(SEARCH("修改",S3)))</formula>
    </cfRule>
    <cfRule type="containsText" dxfId="13" priority="15" stopIfTrue="1" operator="containsText" text="新增">
      <formula>NOT(ISERROR(SEARCH("新增",S3)))</formula>
    </cfRule>
  </conditionalFormatting>
  <conditionalFormatting sqref="L6255:L6652 O6255:O6652">
    <cfRule type="expression" dxfId="12" priority="10961" stopIfTrue="1">
      <formula>OR(L6255="F/S",L6255="",AND(L6255&gt;=0,L6255&lt;=1))</formula>
    </cfRule>
  </conditionalFormatting>
  <conditionalFormatting sqref="L6255:L6652 O6255:O6652">
    <cfRule type="expression" dxfId="11" priority="10962" stopIfTrue="1">
      <formula>OR(L6255&lt;&gt;"F/S",L6255&lt;&gt;0)</formula>
    </cfRule>
  </conditionalFormatting>
  <conditionalFormatting sqref="G684">
    <cfRule type="expression" dxfId="10" priority="7">
      <formula>$D684&gt;1</formula>
    </cfRule>
    <cfRule type="expression" dxfId="9" priority="8">
      <formula>$C684="%IN"</formula>
    </cfRule>
    <cfRule type="expression" dxfId="8" priority="9" stopIfTrue="1">
      <formula>$E684=0</formula>
    </cfRule>
  </conditionalFormatting>
  <conditionalFormatting sqref="G5079">
    <cfRule type="expression" dxfId="7" priority="4">
      <formula>$D5079&gt;1</formula>
    </cfRule>
    <cfRule type="expression" dxfId="6" priority="5">
      <formula>$C5079="%IN"</formula>
    </cfRule>
    <cfRule type="expression" dxfId="5" priority="6" stopIfTrue="1">
      <formula>$E5079=0</formula>
    </cfRule>
  </conditionalFormatting>
  <conditionalFormatting sqref="G1227">
    <cfRule type="expression" dxfId="4" priority="1">
      <formula>$D1227&gt;1</formula>
    </cfRule>
    <cfRule type="expression" dxfId="3" priority="2">
      <formula>$C1227="%IN"</formula>
    </cfRule>
    <cfRule type="expression" dxfId="2" priority="3" stopIfTrue="1">
      <formula>$E1227=0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5:I5901 H1968:K1972 H2882:I2890 H3611:H3618 H3593:I3599 H3344:H3350 H3524:H3531 H3274:K3277 M2419:M2424 H3633:K3634 H3623:K3629 H3496:I3502 P3399:P3409 M3399:M3407 H3399:J3407 H3371 H3364:H3369 H3281:I3287 H3220:M3226 H2766:H2772 J3175:M3175 N3226 J3238:N3238 J3319:K3319 H3263:K3270 H3324:I3330 H2826:I2830 H3311:I3319 H3291:I3299 H3231:I3238 H3334:H3340 H3182:M3188 H3168:H3175 H3141:K3150 J2766:L2772 J2753:J2762 J3131:L3137 H3131:H3137 M3137 H3118:H3127 H2902:H2908 H2419:H2425 J3118:J3127 M3118:M3127 P3118:P3127 H2644:I2648 H3079:H3091 H3065:H3077 H3051:K3063 L3065:P3077 L3079:P3091 M3051:P3063 P3093:P3106 H3093:H3105 I3107:O3107 H3011:M3043 P3011:P3043 H3004:P3006 N3003:P3003 H3003:L3003 H3002:P3002 L2929:O2930 K2957:O2958 K2952:O2954 K2949:O2950 K2946:O2947 K2943:O2944 K2966:O2968 K2963:O2964 K2960:O2961 I2983:N2983 H2980:H2983 H2977:H2978 H2974:H2975 H2971:H2972 H2966:H2968 H2963:H2964 H2960:H2961 H2957:H2958 H2952:H2954 H2949:H2950 H2946:H2947 H2943:H2944 H2938:J2940 H2935:J2936 H2932:J2933 H2929:J2930 L2935:O2936 L2932:O2933 L2938:O2940 O2977:O2978 O2974:O2975 O2971:O2972 O2980:O2983 H2915:M2920 J2867:K2878 P2882:P2898 J2908:M2908 M2802:M2811 H2815:I2821 H2802:J2811 M2882:M2898 H2852:M2863 H2708:H2709 M2753:M2762 P2689:P2698 H2689:H2698 I2698:O2699 H2678:H2687 L2678:P2687 L2667:P2676 M2656:P2665 I2037:P2049 H2667:H2676 H2656:K2665 H2633:K2639 M2639 M2629 H2623:H2629 J2623:L2629 H2604:P2619 H2406:H2412 J2406:J2412 H3420:H3421 I3415:I3421 H1781:L1790 H1795:H1800 I1797:I1800 J1704:K1710 H1874:H1883 J1874:K1883 H1887:H1896 J1887:K1896 H1900:H1909 J1900:K1909 H1858:J1862 H1940:H1947 H1936:H1937 H1934:K1934 I1939:I1947 I1937 J1938:J1947 K1936:K1947 M1893:M1896 P1874:P1883 I1845:J1852 H1845:H1854 H1830:J1839 I1806:J1810 H1806:H1812 P1806:P1812 L1812:N1812 H1817:I1823 I1854:J1854 P1830:P1839 P1845:P1854 L1854:N1854 K1839:M1839 I1812:J1812 P1934:P1947 M1934:M1947 M1955:M1962 K1954:M1954 K1956:L1962 H1769:J1775 H1958:J1962 P1915:P1928 O1764 P1900:P1909 M1906:M1909 P1887:P1896 H4123:I4129 H1978:O1987 H1993:K2002 M1993:M2002 Q1978:Q1987 P1993:P2002 H2006:J2014 H2026:I2032 L2026:L2032 H2049 H2047 M1225:M1234 H2055:H2064 L2064 H383:I391 M339 J339:J347 H604:H610 I621:I628 I661:J667 J604:K610 J2110:J2119 H2186:H2192 H2209:M2219 I1915:M1921 H2239:H2248 J2239:K2248 H2252:H2261 J2252:K2261 H2265:H2274 J2265:K2274 H2223:J2227 H2280:H2286 J2280:J2286 M2280:M2287 H2300:I2308 L339:L347 H361:I369 P2055:P2064 H2018:M2022 P2006:P2014 M2006:M2014 M2300:M2316 P2280:P2294 K2146:K2157 I2147 H2144:K2144 P2144:P2157 P2265:P2274 P2252:P2261 P2239:P2248 M2265:M2274 M2252:M2261 M2239:M2248 M2144:M2157 H241:I250 I651:J657 H141:H145 M174:M175 P2125:P2138 J2201:J2202 H2171:J2172 K2165:L2172 M2164:M2172 H2176:H2182 J2148:J2149 I2149 H2146:H2147 H2150:J2157 P2337:P2350 P2300:P2316 H2322:I2331 J2360:J2361 I2361 H2358:H2359 I2359 H2362:J2369 K2358:K2369 M2356:M2369 P2356:P2369 H2356:K2356 I2373:J2379 I2383:J2392 H2396:I2402 P2383:P2392 M2383:M2392 H2483:R2497 I2436:J2457 I2337:M2343 H2471:R2481 H2563:K2575 H2597:K2600 H2587:K2595 H2577:K2585 J2525:J2531 H2525:H2531 P2525:P2531 J2502:J2507 H2502:H2507 P2596:P2600 P2587:P2594 P2577:P2585 P2572:P2575 P2563:P2570 M2525:M2531 P2511:P2520 P2502:P2507 M2596:M2600 M2587:M2594 M2577:M2585 M2572:M2575 M2563:M2570 M2502:M2507 I2506:I2507 H2535:K2544 I2530:I2531 H2548:K2557 M2535:M2544 H2511:K2520 H2710:K2720 H2753:H2762 H2736 P2753:P2762 H2738:H2749 H2724:K2734 H2787:H2797 H2776:K2782 M2782 P2802:P2811 H2722:H2723 H3154:J3163 M3154:M3163 P3154:P3163 H3195:M3201 H3207:M3213 P3370 I3386:K3395 H3395 H3426:I3432 M3386:M3395 H3409:J3409 P3386:P3395 M3409 H3375:H3381 J3375:J3381 H3448:I3455 H3476:H3482 H3506:H3512 H3573:H3579 H3583:I3589 H3486:H3492 J3486:J3492 H3437:I3443 K3340 H3459:I3464 H3354:H3360 J994:J1006 H1660:H1666 J1435:J1442 H1435:H1442 H1515:H1521 M924:M933 H924:J933 H914:I920 H904:I910 H883:H890 H2837:M2848 M1880:M1883 L3984:L3989 H1017:I1027 H865:H871 J865:J871 M863:M871 H876:H881 H4781:I4790 H894:H900 H1464:J1470 K1454:K1460 H981:H987 L1435:L1443 J971:J972 K970:K973 M992:M1013 J974:K977 J952:K956 P992:P1013 J948:K950 H938:I943 H1454:I1460 H1525:J1528 L1374:L1380 H971:I977 J1515:K1521 P1525:P1528 M1525:M1528 I1544:I1549 I1551:I1558 L1544:L1549 L1551:L1558 I1562:I1568 I1532:I1539 J1396:J1402 J1394 H1394 L1396:L1402 H1396:H1402 H948:I956 I1402:I1403 L1394 H1333:I1341 H1498:K1498 P1047:P1057 H1284:I1293 H1504:H1511 H1210:I1219 M1049:M1057 I1503:I1511 J1502:J1511 K1500:K1511 I1501 H1500:H1501 M1063:M1079 P1063:P1079 M1122:M1131 H1299:I1308 P1122:P1131 L1314:L1319 P1314:P1327 P1333:P1349 M1333:M1349 M1359:M1366 H1356:I1366 P1355:P1357 M1355:M1357 P1476:P1492 P1223:P1234 H1107:I1116 H1195:I1204 H1122:I1131 M1315:M1320 H1262:I1270 J1314:J1319 H1314:H1319 H1031:J1035 H1240:I1248 H1173:I1181 H681:K688 H1085:I1093 J1135:K1145 H1135:H1145 I1476:M1485 J1047:K1057 H1047:H1057 P1359:P1366 H1372 J1374:J1380 H1374:H1380 L1372 J1372 H960:H966 I1572:J1578 H1643:M1656 I1582:J1588 H1624:M1637 P924:P933 M1687:M1692 H1670:H1675 H1614:N1617 H1602:K1608 H1592:H1598 J1592:J1598 H1721:K1727 H1758:N1764 J1741:K1754 H1731:I1737 M1902:M1904 M1889:M1891 M1876:M1878 M1047 M1223 H3247:I3257 J3247:K3247 J3249:K3257 H3765:I3770 H3563:H3569 H3813:I3819 H3775:I3777 H3779:I3782 H3784:I3791 H3806:I3806 H3751:K3760 M3984:P3990 H3719:I3727 H3732:K3747 H3686:K3688 H3690:K3701 H3703:K3706 H3708:K3714 H3795:H3801 H3834:I3840 H3861:H3867 H3871:H3877 H3932:I3938 H3942:I3948 H3952:H3958 K3952:Q3958 H3962:I3968 H3891:I3897 Q4069:Q4074 H3663:K3674 L4069:L4074 H4056:I4062 H3881:H3887 H4003:I4011 J3881:J3887 K4067:Q4067 K4062:L4062 K4015:K4021 H4035:H4041 K4035:K4041 K4025:K4031 H4025:H4031 H4015:H4021 H4045:H4051 J4045:J4051 H3973:I3980 H3921:I3927 H3823:H3829 K3968:L3968 K3984:K3990 I3829 H3909:H3916 H3808:I3811 H3984:H3990 H3546:I3552 Q3984:Q3989 H1476:H1484 N1476:N1484 H1063:I1071 H1151:I1159 H1416:I1421 H993:I1005 H1915:H1920 N1915:N1920 L2280:L2286 H2337:H2342 N2337:N2342 H2436:H2456 L2436:L2457 K2436:K2456 M2436:M2456 K2419:L2425 I2419:J2424 H3636:K3650 H3844:I3849 H3536:I3542 H4218:I4223 H4183:I4199 H4266:K4270 H4315:N4318 H4302:N4308 H4292:I4298 H4203:I4214 H4152:K4158 H4173:I4179 H4141:H4147 J4141:J4147 H4162:H4168 J4162:J4168 J4179:K4179 M4079:M4085 H4112:I4118 K4079:K4085 H4101:H4107 H4091:O4097 J4101:J4107 K4261 H4252:I4261 H4347:O4351 K4324:M4330 J4335:J4341 L4335:L4341 I4324:I4330 J4130 H5614:K5621 H5851:H5857 H5800:M5804 J5867:K5867 M5662:M5668 I5672:J5678 I5682:J5688 H5702:H5708 H5722:H5728 H5752:M5761 I5765:J5774 H6173:H6185 I5906:I5912 H6191:J6197 I6012:I6019 I5950:I5956 I5928:I5934 I5873:I5879 H5554:H5558 H5567:H5568 H5562:H5565 P5639:P5648 H5570 M5553:M5558 H5692:H5698 H5712:H5718 P5562:P5576 H5732:J5738 H5572:H5576 P5765:P5774 M5765:M5774 P5626:P5635 M5626:M5635 I5698:J5698 P5553:P5558 M5639:M5648 H5746:J5746 M5562:M5576 I5718:J5718 P5752:P5761 H5861:H5867 I5626:J5635 H5742:I5745 H6097:H6106 I5639:J5648 H6218:J6226 K5837 I5847:K5847 H5779:I5796 J5857:K5857 H5841:H5847 M5652:M5658 H6111:H6116 H6121:H6125 H6130:H6136 H6141:H6145 H6150:J6154 H6159:J6163 H6246:H6250 H6059:H6063 I5939:I5945 I6036:I6053 I6024:I6031 I6001:I6007 I5980:I5996 I5961:I5975 I5917:I5923 H6228:J6241 H6199:J6212 I5884:I5890 H6088:H6092 H6079:H6083 H6068:H6074 H6168:H6171 I5823:I5837 I5809:I5821 H5809:H5822 H5824:H5837 H5403:I5406 H5398:I5401 H5393:I5396 J5259:J5262 J5264:J5267 H5269:H5275 H5244:H5247 H5249:H5252 H5254:H5257 H5259:H5262 H5264:H5267 K5275 H5310:H5319 P5310:P5319 M5310:M5319 J5310:J5319 J5297:K5306 H5297:H5306 H4274:H4279 P5297:P5306 H5282:H5291 J5282:K5291 I4274:L4280 M4274:M4279 J5269:J5275 J5244:J5247 J5249:J5252 J5254:J5257 K5427:K5454 P5426:P5454 H5360:M5370 H5343:M5354 H5376:M5386 H5326:M5337 L5426:M5454 H5447:I5454 P5343:P5354 P5326:P5337 H5427:I5430 H5432:I5435 H5437:I5440 H5442:I5445 P5386 H5408:I5411 H5413:I5420 P5370 H5508:K5540 H5542:K5549 H5462:K5492 H5494:K5501 J5239:J5242 H4730:I4737 H5177:H5183 H5090:I5096 H5079:I5085 H5068:I5074 H5057:I5063 H5041:I5052 H5025:I5036 H5013:L5019 H5003:N5009 H4949:J4957 H4931:I4937 H4454:K4457 H4853:I4862 H4429:M4438 P4413 H4399:N4413 H4418:K4424 H4479:H4486 H4462:I4475 H4386:H4393 M4495:M4499 M4826:M4835 P4396 P4429:P4438 P4495:P4499 P4826:P4835 H4755:I4766 H4442:K4449 I4834:I4835 H4356:K4360 I4819:I4820 H4840:I4849 H4374:H4376 H4811:H4820 H4804:H4805 I4804:I4811 K4374:P4385 H4379:H4382 I4374:J4393 K4388:P4393 H4719:I4725 H4699:I4715 H4688:I4694 H4657:I4663 H4638:I4653 H4627:I4633 H4617:I4623 H4602:H4613 H4587:H4598 H4570:K4576 H4547:K4557 H4523:K4534 H4512:I4517 H4503:I4508 H4495:K4499 H5239:H5242 H4770:I4776 H5161:I5173 H5132:I5137 J4826:J4835 H5151:H5157 H5141:H5147 I5157 I5147 H5101:I5120 H5124:I5128 I4875:I4876 H4668:I4684 H4826:H4835 H4918:J4927 H4962:I4966 H4365:K4367 P4867:P4876 H4867:H4876 J4867:J4876 I4881:I4898 H4882 H4885:H4898 H4989:I4999 H4970:I4984 H5199:H5208 J5208:K5208 H4741:I4750 J5229:J5232 J5224:J5227 H5214:H5217 H5229:H5232 H5224:H5227 H5219:H5222 J5194:K5194 H5188:H5194 J5214:J5217 J5219:J5222 H2201:H2202 M5298:M5306 K4130:K4137 J839:J848 J783:J792 J768:J777 M768:M777 J798:J803 P768:P777 J746:J754 N854:N857 H857:H858 J817:J825 I854:M858 J727:J732 L435:L439 H453:I459 N584:N592 H584:H592 P746:P762 M746:M762 J712:J721 H520:I526 O540:O550 H490 J490 H492:H499 J492:J499 H405:I414 L490 P473:P484 P453:P467 H562:I568 H572:J578 I584:M593 H474:I484 K562:K568 M453:M467 M473:M484 Q540:Q550 H435:H439 J435:J439 H420:I429 P435:P447 P383:P399 M405:M414 M383:M399 M361:M377 M341:M348 P361:P377 P405:P414 H125:M129 H702:H706 I705:I706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4:N697 I2068:I2072 M171:M172 J702:J706 H175:H183 J26:K33 H62:H69 M727:M740 P727:P740 M49:M58 H26:H33 H112:I118 M702:M706 P702:P706 J74 J44:K47 H219:I228 J671:J677 H671:H677 M435:M440 H614:J617 H640:H647 H633:H638 J640:J647 J633:J638 M614:M617 P584:P600 P614:P617 H2125:M2131 J2084:J2093 J2097:J2106 N2125:N2130 H1223:H1234 J1223:K1234">
      <formula1>-922337203685477</formula1>
      <formula2>922337203685477</formula2>
    </dataValidation>
    <dataValidation type="list" allowBlank="1" showErrorMessage="1" sqref="I6243 I3600 I3590 I3580 I3570 I3560 I3543 I3533 I3513 I3503 I3493 I3483 I3473 I3456 I3445 I3434 I3630 I3620 I3177 I3190 I3202 I3215 I3227 I3242 I3258 I3271 I3278 I3288 I3308 I3321 I3164 I3128 I3045 I3115 I3008 I2922 I2984 I2879 I2899 I2910 I2864 I2783 I2750 I2735 I2721 I2763 I2641 I2650 I2707 I2620 I2630 I1776 I1766 I1884 I1871 I1792 I1801 I1814 I1825 I1840 I1855 I1929 I1963 I1949 I1897 I1910 I1973 I1988 I2003 I2081 I2034 I2050 I2065 I2094 I2023 I2015 I2295 I2275 I2262 I2249 I2236 I2120 I2107 I2204 I2183 I2173 I2159 I2193 I2139 I2332 I2220 I2317 I2351 I2370 I2393 I2380 I2403 I2465 I2414 I2433 I2601 I2559 I2522 I2508 I2499 I2532 I2545 I2773 I2799 I2812 I2823 I2832 I2849 I3372 I3383 I3396 I3411 I3423 I3351 I3341 I3331 I3361 I3659 I3138 I3151 I891 I860 I872 I901 I911 I1529 I1540 I1559 I1522 I1512 I1589 I1579 I1569 I1389 I1493 I1044 I1220 I1028 I1058 I1080 I1102 I1117 I1309 I1328 I1350 I1471 I1132 I1146 I1168 I1190 I1205 I1235 I1257 I1279 I1294 I1367 I1014 I989 I978 I968 I957 I945 I935 I1411 I1430 I1451 I1461 I1738 I1667 I1657 I1619 I1638 I1755 I1728 I1684 I1701 I1718 I1609 I1599 I921 I3981 I3970 I3959 I3949 I3939 I3929 I3918 I3898 I3888 I3878 I3868 I3858 I3841 I3831 I3820 I3803 I3792 I3772 I3762 I3748 I3729 I3715 I3683 I3999 I4063 I4053 I4032 I4022 I4012 I4042 I4738 I5502 I4235 I4249 I4263 I4271 I4289 I4299 I4310 I4319 I4332 I4342 I4224 I4215 I4098 I4109 I4120 I4138 I4149 I4159 I4170 I4180 I4200 I4076 I4086 I5797 I5550 I5559 I5577 I5603 I5747 I5729 I5709 I5689 I5669 I5649 I5623 I5776 I5636 I5659 I5679 I5699 I5719 I5739 I5762 I5806 I5838 I5848 I5858 I5870 I5881 I5892 I5903 I5914 I5925 I5936 I5947 I5958 I5977 I5998 I6009 I6021 I6033 I6056 I6065 I6076 I6085 I6094 I6108 I6118 I6127 I6138 I6147 I6156 I6165 I6187 I6214 I5307 I5292 I5277 I5421 I5387 I5371 I5355 I5338 I5321 I5456 I4837 I4353 I4362 I4369 I4394 I4415 I4426 I4439 I4451 I4459 I4476 I4490 I4500 I4509 I4518 I4542 I4565 I4584 I4599 I4614 I4624 I4635 I4654 I4665 I4685 I4696 I4716 I4727 I4752 I4767 I4778 I4801 I4823 I4850 I5174 I5158 I5148 I5138 I5129 I5098 I5087 I5076 I5065 I5054 I5038 I5022 I5010 I5000 I4986 I4967 I4959 I4946 I4928 I4915 I4900 I4878 I4864 I5121 I5210 I5196 I5185 I812 I793 I778 I763 I834 I849 I741 I170 I160 I146 I138 I130 I120 I20 I10 I109 I71 I59 I90 I317 I334 I293 I192 I214 I251 I273 I286 I306 I500 I689 I707 I722 I678 I699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7:K6227 H3778:I3778 H3662:K3662 H3635:K3635 H3167:I3167 H2786:I2786 M3050:P3050 H3050:K3050 L3064:P3064 H3064 L3078:P3078 H3078 P3092 H3092 M3003 H3001:P3001 H2997:P2997 H2993:P2993 H2989:P2989 O2969:O2970 H2969:H2970 K2965:O2965 H2965 K2962:O2962 H2962 K2959:O2959 H2959 K2955:O2956 H2955:H2956 K2951:O2951 H2951 K2948:O2948 H2948 K2945:O2945 H2945 K2941:O2942 H2941:H2942 L2937:O2937 H2937:J2937 L2934:O2934 H2934:J2934 L2931:O2931 H2931:J2931 L2927:O2928 H2927:J2928 O2973 O2979 H2979 O2976 H2976 H2973 H2677:P2677 H2666:P2666 H2655:P2655 H1935:K1935 K1955:L1955 K2164:L2164 H2145:K2145 H2357:K2357 H2482:R2482 H2470:R2470 H2596:K2596 H2586:P2586 H2562:P2562 H2576:P2576 L2595:P2595 L2571:P2571 H2688:P2688 H3516:I3516 H3523:I3523 H3610:I3610 H3603:I3603 H3230:I3230 I3414 H882:I882 H875:I875 H1395:L1395 H1543:L1543 H1550:L1550 H1499:K1499 L1358:P1358 H1355:J1355 H1373:L1373 J951:K951 H992:K992 H3812:I3812 H3807:I3807 H3718:I3718 H3689:K3689 H3702:K3702 H3707:K3707 H3908:I3908 J4067:J4068 H4066:Q4066 H4002:K4002 H3901:I3901 H3783:I3783 H5606:K5606 H5571:K5571 H5569:K5569 H5566:K5566 H6172:K6172 H5553:J5553 H5595:R5596 H5591:R5591 H5582:R5582 H5613:K5613 H6217:K6217 H6190:K6190 H6198:K6198 H5268:J5268 H5263:J5263 H5258:J5258 H5253:J5253 H5248:J5248 H5402:J5402 H5397:J5397 H5392:J5392 H5426:J5426 H5431:J5431 H5436:J5436 H5441:J5441 H5446:J5446 H5412:J5412 H5407:J5407 H5541:K5541 H5507:K5507 H5493:K5493 H5461:K5461 H5243:J5243 H5228:J5228 H5218:J5218 H5223:J5223 H5213:J5213 H5238:J5238 I5233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3 H1954:J1957 I1795:I1796 H2164:J2170 H3414:H3419 H4881 H4806:H4810 K4386:P4387 H4883:H4884 J2196:J2200 H2196:H2200 H5233:H5237 J5233:J5237 H101:H105 H94:H99">
      <formula1>"—"</formula1>
    </dataValidation>
    <dataValidation type="list" showDropDown="1" showErrorMessage="1" errorTitle="REAL" error="该单元格不能填写，显示为‘—’。" prompt="如已执行新金融准则，则该单元格不能填写，显示为‘—’" sqref="I5822 J1937 H1938:I1938 H1939 I1936:J1936 H2037:H2046 H2048 L2055:O2063 J3248:K3248 H4377:H4378 H4383:H4385 H854:H856 I702:I704">
      <formula1>"—"</formula1>
    </dataValidation>
    <dataValidation type="decimal" allowBlank="1" showInputMessage="1" showErrorMessage="1" errorTitle="WPE" error="请输入数值！" sqref="I5178:I5183 L4137 L4130:L4135 N2026:O2032 I3579:K3579 J1393 H1393 J1017:J1027 J1015 L1393 J1666:K1666 K1737 J1676:K1683 I1676 L4179 N2018:O2022 H504 L489 H489 J489 N550 J504 L504">
      <formula1>-922337203685477</formula1>
      <formula2>922337203685477</formula2>
    </dataValidation>
    <dataValidation type="list" showDropDown="1" showErrorMessage="1" errorTitle="REAL" error="该单元格不能填写，显示为‘—’。" sqref="I4867:I4874 L3408:O3408 I3408:J3408 I3370:O3370 L3050:L3063 I3064:K3106 L3092:O3106 I2969:N2982 I2941:J2968 K2927:K2940 I2689:O2697 L2656:L2665 I2678:K2687 I2667:K2676 L1806:O1811 L1845:O1853 K1830:M1838 I1853:K1853 I1811:K1811 I2146:J2146 J2147 H2148:I2148 H2149 I2358:J2358 J2359 H2360:I2360 H2361 I2525:I2529 I2502:I2505 H3386:H3394 I1500:J1500 J1501 H1503 H1502:I1502 I4812:I4818 I4826:I4833">
      <formula1>"—"</formula1>
    </dataValidation>
    <dataValidation type="list" allowBlank="1" showInputMessage="1" showErrorMessage="1" sqref="L4943 L4286 M4285 H4285 L4136 H4135:I4135 L3305 H3304:I3304 L3113 P3112 H3112 H2704 P2704 L2705 L3995:L3996 Q3995 H1041:J1041 L1042 H1325 J1325 L1325:L1326 H1490 N1490 L1491 H1077:I1077 L1078 H1099:I1099 L1100 H1165:I1165 L1166 H1187:I1187 L1188 H1254:I1254 L1255 H1276:I1276 L1277 H1347:I1347 L1348 H1386 J1386 L1386:L1387 H1408 J1408 L1408:L1409 H1427:I1427 L1428 H1448 J1448 L1449 H1011:I1011 L1012 H1681 L1682 K1698 M1698 L1698:L1699 I1715 M1715 L1715:L1716 H1868:J1868 L1869 H1926 N1926 L1927 H2233:J2233 L2234 H2292 J2292 L2292:L2293 H2314:I2314 L2315 H2348 N2348 L2349 H2462 K2462 M2462 L2463 I2430:J2430 M2430 L2431 H2896:I2896 L2897 H3470:I3470 L3471 H3557:I3557 L3558 H3656:K3656 L3657 H3680:K3680 L3681 H3855:I3855 L3856 H4539:K4539 L4540 H4562:K4562 L4563 H4581:K4581 L4582 H4942:I4942 H4797 L4798 L739 J738 L271 N270 H270 L234 H233:I233 L212 H211:I211 L189:L190 J189 H189 H353 J353 L353:L354 H375:I375 L376 H397:I397 L398 H445 J445 L445:L446 H598 N598 L599 H465:I465 L466 H532:I532 L533 H556:I556 L557 J760 L761 J809 L810 J831 L832 N2136 L2137 I2078 L2079">
      <formula1>"√,×,N/A,？"</formula1>
    </dataValidation>
    <dataValidation type="list" allowBlank="1" sqref="M2867">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Notes!Sheet_Check1"/>
    <hyperlink ref="I7" location="Notes!Sheet_Check1" display="Notes!Sheet_Check1"/>
    <hyperlink ref="K7" location="Notes!Sheet_Check1" display="Notes!Sheet_Check1"/>
    <hyperlink ref="F6253" location="Notes!G7" display="^"/>
    <hyperlink ref="O24" location="Notes!NOTE_1704a" display="Notes!NOTE_1704a"/>
    <hyperlink ref="O1641" location="Notes!NOTE_1400a" display="Notes!NOTE_1400a"/>
    <hyperlink ref="K4867" location="Notes!NOTE_1121i" display="Notes!NOTE_1121i"/>
    <hyperlink ref="K4868" location="Notes!NOTE_1122u" display="Notes!NOTE_1122u"/>
    <hyperlink ref="K4869" location="Notes!NOTE_1221y" display="Notes!NOTE_1221y"/>
    <hyperlink ref="K4870" location="Notes!NOTE_1124f" display="Notes!NOTE_1124f"/>
    <hyperlink ref="K4871" location="Notes!NOTE_1505k" display="Notes!NOTE_1505k"/>
    <hyperlink ref="K4872" location="Notes!NOTE_1508k" display="Notes!NOTE_1508k"/>
    <hyperlink ref="K4873" location="Notes!NOTE_1531g" display="Notes!NOTE_1531g"/>
    <hyperlink ref="K4882" location="Notes!NOTE_1400b" display="Notes!NOTE_1400b"/>
    <hyperlink ref="K4885" location="Notes!NOTE_1511b" display="Notes!NOTE_1511b"/>
    <hyperlink ref="K4886" location="Notes!NOTE_1521h" display="Notes!NOTE_1521h"/>
    <hyperlink ref="K4887" location="Notes!NOTE_1601k" display="Notes!NOTE_1601k"/>
    <hyperlink ref="K4888" location="Notes!NOTE_1605a" display="Notes!NOTE_1605a"/>
    <hyperlink ref="K4889" location="Notes!NOTE_1604g" display="Notes!NOTE_1604g"/>
    <hyperlink ref="K4890" location="Notes!NOTE_1621c" display="Notes!NOTE_1621c"/>
    <hyperlink ref="K4891" location="Notes!NOTE_1631b" display="Notes!NOTE_1631b"/>
    <hyperlink ref="K4892" location="Notes!NOTE_1701a" display="Notes!NOTE_1701a"/>
    <hyperlink ref="K4893" location="Notes!NOTE_1711b" display="Notes!NOTE_1711b"/>
    <hyperlink ref="K4894" location="Notes!NOTE_1315f" display="Notes!NOTE_1315f"/>
    <hyperlink ref="L671" location="Notes!NOTE_1704a" display="Notes!NOTE_1704a"/>
    <hyperlink ref="L3375" location="Notes!NOTE_1704a" display="Notes!NOTE_1704a"/>
    <hyperlink ref="L3486" location="Notes!NOTE_1704a" display="Notes!NOTE_1704a"/>
    <hyperlink ref="L3881" location="Notes!NOTE_1704a" display="Notes!NOTE_1704a"/>
    <hyperlink ref="L4045" location="Notes!NOTE_1704a" display="Notes!NOTE_1704a"/>
    <hyperlink ref="L4141" location="Notes!NOTE_1704a" display="Notes!NOTE_1704a"/>
    <hyperlink ref="L4162" location="Notes!NOTE_1704a" display="Notes!NOTE_1704a"/>
    <hyperlink ref="L2406" location="Notes!NOTE_1704a" display="Notes!NOTE_1704a"/>
    <hyperlink ref="L309" location="Notes!NOTE_1704a" display="Notes!NOTE_1704a"/>
    <hyperlink ref="L2196" location="Notes!NOTE_1704a" display="Notes!NOTE_1704a"/>
    <hyperlink ref="M681" location="Notes!NOTE_9120o" display="Notes!NOTE_9120o"/>
    <hyperlink ref="K914" location="Notes!NOTE_9120o" display="Notes!NOTE_9120o"/>
    <hyperlink ref="L1592" location="Notes!NOTE_1704a" display="Notes!NOTE_1704a"/>
    <hyperlink ref="M1602" location="Notes!NOTE_9120o" display="Notes!NOTE_9120o"/>
    <hyperlink ref="K3496" location="Notes!NOTE_9120p" display="Notes!NOTE_9120p"/>
    <hyperlink ref="K3593" location="Notes!NOTE_9120p" display="Notes!NOTE_9120p"/>
    <hyperlink ref="K3891"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101" location="Notes!NOTE_1704a" display="Notes!NOTE_1704a"/>
    <hyperlink ref="K5213" location="Notes!NOTE_1015a" display="Notes!NOTE_1015a"/>
    <hyperlink ref="K5218" location="Notes!NOTE_1121m" display="Notes!NOTE_1121m"/>
    <hyperlink ref="K5223" location="Notes!NOTE_1122c" display="Notes!NOTE_1122c"/>
    <hyperlink ref="K5228" location="Notes!NOTE_1221c" display="Notes!NOTE_1221c"/>
    <hyperlink ref="K5233" location="Notes!NOTE_1501f" display="Notes!NOTE_1501f"/>
    <hyperlink ref="K5238" location="Notes!NOTE_1531f" display="Notes!NOTE_1531f"/>
    <hyperlink ref="K5253" location="Notes!NOTE_2001c" display="Notes!NOTE_2001c"/>
    <hyperlink ref="K5243" location="Notes!NOTE_2202d" display="Notes!NOTE_2202d"/>
    <hyperlink ref="K5248" location="Notes!NOTE_2241g" display="Notes!NOTE_2241g"/>
    <hyperlink ref="K5263" location="Notes!NOTE_2501c" display="Notes!NOTE_2501c"/>
    <hyperlink ref="K5258" location="Notes!NOTE_2502e" display="Notes!NOTE_2502e"/>
    <hyperlink ref="K5268"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8" location="Notes!NOTE_1221j" display="Notes!NOTE_1221j"/>
    <hyperlink ref="M1322" location="Notes!NOTE_1221j" display="Notes!NOTE_1221j"/>
    <hyperlink ref="O1487" location="Notes!NOTE_1221j" display="Notes!NOTE_1221j"/>
    <hyperlink ref="O1031" location="Notes!NOTE_122101" display="Notes!NOTE_122101"/>
    <hyperlink ref="O1032" location="Notes!NOTE_122102" display="Notes!NOTE_122102"/>
    <hyperlink ref="O1033" location="Notes!NOTE_122103" display="Notes!NOTE_122103"/>
    <hyperlink ref="L1074" location="Notes!NOTE_122101" display="Notes!NOTE_122101"/>
    <hyperlink ref="K1096" location="Notes!NOTE_122101" display="Notes!NOTE_122101"/>
    <hyperlink ref="L1162" location="Notes!NOTE_122102" display="Notes!NOTE_122102"/>
    <hyperlink ref="K1184" location="Notes!NOTE_122102" display="Notes!NOTE_122102"/>
    <hyperlink ref="L1251" location="Notes!NOTE_122103" display="Notes!NOTE_122103"/>
    <hyperlink ref="K1273" location="Notes!NOTE_122103" display="Notes!NOTE_122103"/>
    <hyperlink ref="L1344" location="Notes!NOTE_1221t" display="Notes!NOTE_1221t"/>
    <hyperlink ref="M1383" location="Notes!NOTE_1221l" display="Notes!NOTE_1221l"/>
    <hyperlink ref="M1405" location="Notes!NOTE_1221l" display="Notes!NOTE_1221l"/>
    <hyperlink ref="L1424" location="Notes!NOTE_1221a" display="Notes!NOTE_1221a"/>
    <hyperlink ref="M1445" location="Notes!NOTE_1221a" display="Notes!NOTE_1221a"/>
    <hyperlink ref="J1008" location="Notes!NOTE_1221l" display="Notes!NOTE_1221l"/>
    <hyperlink ref="I1678" location="Notes!NOTE_1400a" display="Notes!NOTE_1400a"/>
    <hyperlink ref="N1695" location="Notes!NOTE_1400a" display="Notes!NOTE_1400a"/>
    <hyperlink ref="N1712" location="Notes!NOTE_1400a" display="Notes!NOTE_1400a"/>
    <hyperlink ref="K1865" location="Notes!NOTE_1505a" display="Notes!NOTE_1505a"/>
    <hyperlink ref="O1923" location="Notes!NOTE_1505a" display="Notes!NOTE_1505a"/>
    <hyperlink ref="O1858" location="Notes!NOTE_1505c" display="Notes!NOTE_1505c"/>
    <hyperlink ref="O1859" location="Notes!NOTE_1505d" display="Notes!NOTE_1505d"/>
    <hyperlink ref="O1860" location="Notes!NOTE_1505e" display="Notes!NOTE_1505e"/>
    <hyperlink ref="M2068" location="Notes!NOTE_1508d" display="Notes!NOTE_1508d"/>
    <hyperlink ref="M2069" location="Notes!NOTE_1508e" display="Notes!NOTE_1508e"/>
    <hyperlink ref="M2070" location="Notes!NOTE_1508f" display="Notes!NOTE_1508f"/>
    <hyperlink ref="K2230" location="Notes!NOTE_1531a" display="Notes!NOTE_1531a"/>
    <hyperlink ref="O2223" location="Notes!NOTE_1531i" display="Notes!NOTE_1531i"/>
    <hyperlink ref="O2224" location="Notes!NOTE_1531j" display="Notes!NOTE_1531j"/>
    <hyperlink ref="O2225" location="Notes!NOTE_1531k" display="Notes!NOTE_1531k"/>
    <hyperlink ref="M2289" location="Notes!NOTE_1531a" display="Notes!NOTE_1531a"/>
    <hyperlink ref="L2311" location="Notes!NOTE_1531p" display="Notes!NOTE_1531p"/>
    <hyperlink ref="O2345" location="Notes!NOTE_1531a" display="Notes!NOTE_1531a"/>
    <hyperlink ref="N2459" location="Notes!NOTE_1511c" display="Notes!NOTE_1511c"/>
    <hyperlink ref="N2427" location="Notes!NOTE_1511b" display="Notes!NOTE_1511b"/>
    <hyperlink ref="M2644" location="Notes!NOTE_1601k" display="Notes!NOTE_1601k"/>
    <hyperlink ref="M2645" location="Notes!NOTE_1606b" display="Notes!NOTE_1606b"/>
    <hyperlink ref="M2826" location="Notes!NOTE_1604a" display="Notes!NOTE_1604a"/>
    <hyperlink ref="M2827" location="Notes!NOTE_1605a" display="Notes!NOTE_1605a"/>
    <hyperlink ref="J3301" location="Notes!NOTE_1829e" display="Notes!NOTE_1829e"/>
    <hyperlink ref="J3467" location="Notes!NOTE_2202e" display="Notes!NOTE_2202e"/>
    <hyperlink ref="J3554" location="Notes!NOTE_2205f" display="Notes!NOTE_2205f"/>
    <hyperlink ref="L3653" location="Notes!NOTE_2211a" display="Notes!NOTE_2211a"/>
    <hyperlink ref="L3677" location="Notes!NOTE_2211a" display="Notes!NOTE_2211a"/>
    <hyperlink ref="M3765" location="Notes!NOTE_2231a" display="Notes!NOTE_2231a"/>
    <hyperlink ref="M3766" location="Notes!NOTE_2232a" display="Notes!NOTE_2232a"/>
    <hyperlink ref="M3767" location="Notes!NOTE_2241e" display="Notes!NOTE_2241e"/>
    <hyperlink ref="J3852" location="Notes!NOTE_2241e" display="Notes!NOTE_2241e"/>
    <hyperlink ref="M3932" location="Notes!NOTE_2501a" display="Notes!NOTE_2501a"/>
    <hyperlink ref="M3933" location="Notes!NOTE_2502b" display="Notes!NOTE_2502b"/>
    <hyperlink ref="M3934" location="Notes!NOTE_2706a" display="Notes!NOTE_2706a"/>
    <hyperlink ref="R3992" location="Notes!NOTE_2396a" display="Notes!NOTE_2396a"/>
    <hyperlink ref="J4132" location="Notes!NOTE_2706a" display="Notes!NOTE_2706a"/>
    <hyperlink ref="O4282" location="Notes!NOTE_2401a" display="Notes!NOTE_2401a"/>
    <hyperlink ref="P4274" location="Notes!NOTE_9371h" display="Notes!NOTE_9371h"/>
    <hyperlink ref="P4275" location="Notes!NOTE_9371i" display="Notes!NOTE_9371i"/>
    <hyperlink ref="N5282" location="Notes!NOTE_2401b" display="Notes!NOTE_2401b"/>
    <hyperlink ref="N5297" location="Notes!NOTE_2401b" display="Notes!NOTE_2401b"/>
    <hyperlink ref="N4638" location="Notes!NOTE_2221a" display="Notes!NOTE_2221a"/>
    <hyperlink ref="N4781" location="Notes!NOTE_9371h" display="Notes!NOTE_9371h"/>
    <hyperlink ref="N4782" location="Notes!NOTE_9371i" display="Notes!NOTE_9371i"/>
    <hyperlink ref="K4793" location="Notes!NOTE_2401b" display="Notes!NOTE_2401b"/>
    <hyperlink ref="L4804" location="Notes!NOTE_1511b" display="Notes!NOTE_1511b"/>
    <hyperlink ref="K4939" location="Notes!NOTE_6710a" display="Notes!NOTE_6710a"/>
    <hyperlink ref="L4931" location="Notes!NOTE_9371h" display="Notes!NOTE_9371h"/>
    <hyperlink ref="L4932" location="Notes!NOTE_9371i" display="Notes!NOTE_9371i"/>
    <hyperlink ref="N5283" location="Notes!NOTE_6710b" display="Notes!NOTE_6710b"/>
    <hyperlink ref="N5298" location="Notes!NOTE_6710b" display="Notes!NOTE_6710b"/>
    <hyperlink ref="M4962" location="Notes!NOTE_2221a" display="Notes!NOTE_2221a"/>
    <hyperlink ref="L735" location="Notes!NOTE_1124b" display="Notes!NOTE_1124b"/>
    <hyperlink ref="L757" location="Notes!NOTE_1124b" display="Notes!NOTE_1124b"/>
    <hyperlink ref="L806" location="Notes!NOTE_1124g" display="Notes!NOTE_1124g"/>
    <hyperlink ref="L828" location="Notes!NOTE_1124g" display="Notes!NOTE_1124g"/>
    <hyperlink ref="R854" location="Notes!NOTE_1124b" display="Notes!NOTE_1124b"/>
    <hyperlink ref="R855" location="Notes!NOTE_1124g" display="Notes!NOTE_1124g"/>
    <hyperlink ref="M1797" location="Notes!NOTE_1531a" display="Notes!NOTE_1531a"/>
    <hyperlink ref="M1795" location="Notes!NOTE_1505a" display="Notes!NOTE_1505a"/>
    <hyperlink ref="M1796" location="Notes!NOTE_1508a" display="Notes!NOTE_1508a"/>
    <hyperlink ref="O2133" location="Notes!NOTE_1508c" display="Notes!NOTE_1508c"/>
    <hyperlink ref="J2075" location="Notes!NOTE_1508a" display="Notes!NOTE_1508a"/>
  </hyperlinks>
  <pageMargins left="0.75" right="0.75" top="1" bottom="1" header="0.5" footer="0.5"/>
  <pageSetup paperSize="9" orientation="portrait" blackAndWhite="1"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山东天安化工股份有限公司</v>
      </c>
      <c r="D2" s="172"/>
      <c r="E2" s="4"/>
      <c r="F2" s="5" t="s">
        <v>2521</v>
      </c>
      <c r="G2" s="5"/>
      <c r="H2" s="7" t="s">
        <v>2501</v>
      </c>
      <c r="I2" s="8"/>
      <c r="J2" s="53"/>
    </row>
    <row r="3" spans="1:10" ht="18" customHeight="1">
      <c r="B3" s="2" t="s">
        <v>2522</v>
      </c>
      <c r="C3" s="9" t="s">
        <v>4861</v>
      </c>
      <c r="D3" s="173"/>
      <c r="E3" s="10" t="s">
        <v>2450</v>
      </c>
      <c r="F3" s="11" t="str">
        <f>IF(Lead!$E$9="","",Lead!$E$9)</f>
        <v>陈彦良</v>
      </c>
      <c r="G3" s="234"/>
      <c r="H3" s="174">
        <f>IF(Lead!$F$9="","",Lead!$F$9)</f>
        <v>43859</v>
      </c>
      <c r="I3" s="14" t="s">
        <v>6591</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4862</v>
      </c>
      <c r="C7" s="129"/>
      <c r="D7" s="238"/>
      <c r="E7" s="238"/>
      <c r="F7" s="238"/>
      <c r="G7" s="238"/>
      <c r="H7" s="238"/>
      <c r="I7" s="238"/>
      <c r="J7" s="238"/>
    </row>
    <row r="8" spans="1:10" ht="18">
      <c r="A8" s="30"/>
      <c r="B8" s="1455" t="s">
        <v>4863</v>
      </c>
      <c r="C8" s="239" t="s">
        <v>4864</v>
      </c>
      <c r="D8" s="238"/>
      <c r="E8" s="238"/>
      <c r="F8" s="238"/>
      <c r="G8" s="238"/>
      <c r="H8" s="238"/>
      <c r="I8" s="238"/>
      <c r="J8" s="238"/>
    </row>
    <row r="9" spans="1:10" ht="18">
      <c r="A9" s="30"/>
      <c r="B9" s="1455" t="s">
        <v>4865</v>
      </c>
      <c r="C9" s="239" t="s">
        <v>4866</v>
      </c>
      <c r="D9" s="238"/>
      <c r="E9" s="238"/>
      <c r="F9" s="238"/>
      <c r="G9" s="238"/>
      <c r="H9" s="238"/>
      <c r="I9" s="238"/>
      <c r="J9" s="238"/>
    </row>
    <row r="10" spans="1:10" ht="18">
      <c r="A10" s="30"/>
      <c r="B10" s="1455" t="s">
        <v>4867</v>
      </c>
      <c r="C10" s="239" t="s">
        <v>4868</v>
      </c>
      <c r="D10" s="238"/>
      <c r="E10" s="238"/>
      <c r="F10" s="238"/>
      <c r="G10" s="238"/>
      <c r="H10" s="238"/>
      <c r="I10" s="238"/>
      <c r="J10" s="238"/>
    </row>
    <row r="11" spans="1:10" ht="18">
      <c r="A11" s="30"/>
      <c r="B11" s="1455" t="s">
        <v>4869</v>
      </c>
      <c r="C11" s="239" t="s">
        <v>4870</v>
      </c>
      <c r="D11" s="238"/>
      <c r="E11" s="238"/>
      <c r="F11" s="238"/>
      <c r="G11" s="238"/>
      <c r="H11" s="238"/>
      <c r="I11" s="238"/>
      <c r="J11" s="238"/>
    </row>
    <row r="12" spans="1:10" ht="18">
      <c r="A12" s="30"/>
      <c r="B12" s="237" t="s">
        <v>4871</v>
      </c>
      <c r="C12" s="130"/>
      <c r="D12" s="238"/>
      <c r="E12" s="238"/>
      <c r="F12" s="238"/>
      <c r="G12" s="238"/>
      <c r="H12" s="238"/>
      <c r="I12" s="238"/>
      <c r="J12" s="238"/>
    </row>
    <row r="13" spans="1:10" ht="18">
      <c r="A13" s="30"/>
      <c r="B13" s="240" t="s">
        <v>4872</v>
      </c>
      <c r="C13" s="129" t="s">
        <v>4873</v>
      </c>
      <c r="D13" s="238"/>
      <c r="E13" s="238"/>
      <c r="F13" s="238"/>
      <c r="G13" s="238"/>
      <c r="H13" s="238"/>
      <c r="I13" s="238"/>
      <c r="J13" s="238"/>
    </row>
    <row r="14" spans="1:10" ht="18">
      <c r="A14" s="30"/>
      <c r="B14" s="241">
        <v>1.1000000000000001</v>
      </c>
      <c r="C14" s="238" t="s">
        <v>4874</v>
      </c>
      <c r="D14" s="238"/>
      <c r="E14" s="238"/>
      <c r="F14" s="238"/>
      <c r="G14" s="238"/>
      <c r="H14" s="238"/>
      <c r="I14" s="238"/>
      <c r="J14" s="238"/>
    </row>
    <row r="15" spans="1:10" ht="18">
      <c r="A15" s="30"/>
      <c r="B15" s="238"/>
      <c r="C15" s="238" t="s">
        <v>4875</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4876</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4877</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4878</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4879</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4880</v>
      </c>
      <c r="D28" s="255"/>
      <c r="E28" s="130"/>
      <c r="F28" s="130"/>
      <c r="G28" s="130"/>
      <c r="H28" s="130"/>
      <c r="I28" s="130"/>
      <c r="J28" s="130"/>
    </row>
    <row r="29" spans="1:10" ht="18">
      <c r="A29" s="30"/>
      <c r="B29" s="130"/>
      <c r="C29" s="246" t="s">
        <v>4881</v>
      </c>
      <c r="D29" s="247"/>
      <c r="E29" s="130"/>
      <c r="F29" s="130"/>
      <c r="G29" s="130"/>
      <c r="H29" s="130"/>
      <c r="I29" s="130"/>
      <c r="J29" s="130"/>
    </row>
    <row r="30" spans="1:10" ht="18">
      <c r="A30" s="30"/>
      <c r="B30" s="130"/>
      <c r="C30" s="256" t="s">
        <v>4882</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4883</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4884</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4878</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4885</v>
      </c>
      <c r="D38" s="130"/>
      <c r="E38" s="130"/>
      <c r="F38" s="130"/>
      <c r="G38" s="130"/>
      <c r="H38" s="130"/>
      <c r="I38" s="130"/>
      <c r="J38" s="130"/>
    </row>
    <row r="39" spans="1:10" ht="18">
      <c r="A39" s="30"/>
      <c r="B39" s="130"/>
      <c r="C39" s="130" t="s">
        <v>4886</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4887</v>
      </c>
      <c r="D50" s="261"/>
      <c r="E50" s="250"/>
      <c r="F50" s="130"/>
      <c r="G50" s="130"/>
      <c r="H50" s="130"/>
      <c r="I50" s="130"/>
      <c r="J50" s="130"/>
    </row>
    <row r="51" spans="1:10" ht="24">
      <c r="A51" s="30"/>
      <c r="B51" s="130"/>
      <c r="C51" s="262" t="s">
        <v>4888</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4889</v>
      </c>
      <c r="C53" s="265" t="s">
        <v>4890</v>
      </c>
      <c r="D53" s="130"/>
      <c r="E53" s="130"/>
      <c r="F53" s="130"/>
      <c r="G53" s="130"/>
      <c r="H53" s="130"/>
      <c r="I53" s="130"/>
      <c r="J53" s="130"/>
    </row>
    <row r="54" spans="1:10" ht="18">
      <c r="A54" s="30"/>
      <c r="B54" s="130"/>
      <c r="C54" s="238" t="s">
        <v>4875</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4891</v>
      </c>
      <c r="D56" s="238"/>
      <c r="E56" s="130"/>
      <c r="F56" s="130"/>
      <c r="G56" s="130"/>
      <c r="H56" s="130"/>
      <c r="I56" s="130"/>
      <c r="J56" s="130"/>
    </row>
    <row r="57" spans="1:10" ht="18">
      <c r="A57" s="30"/>
      <c r="B57" s="130"/>
      <c r="C57" s="244" t="s">
        <v>47</v>
      </c>
      <c r="D57" s="258" t="s">
        <v>4892</v>
      </c>
      <c r="E57" s="245" t="s">
        <v>4893</v>
      </c>
      <c r="F57" s="130"/>
      <c r="G57" s="130"/>
      <c r="H57" s="130"/>
      <c r="I57" s="130"/>
      <c r="J57" s="130"/>
    </row>
    <row r="58" spans="1:10" ht="18">
      <c r="A58" s="30"/>
      <c r="B58" s="130"/>
      <c r="C58" s="246" t="s">
        <v>4894</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4895</v>
      </c>
      <c r="D62" s="261"/>
      <c r="E62" s="250"/>
      <c r="F62" s="130"/>
      <c r="G62" s="130"/>
      <c r="H62" s="130"/>
      <c r="I62" s="130"/>
      <c r="J62" s="130"/>
    </row>
    <row r="63" spans="1:10" ht="18">
      <c r="A63" s="30"/>
      <c r="B63" s="130"/>
      <c r="C63" s="246" t="s">
        <v>4896</v>
      </c>
      <c r="D63" s="268"/>
      <c r="E63" s="269"/>
      <c r="F63" s="130"/>
      <c r="G63" s="130"/>
      <c r="H63" s="130"/>
      <c r="I63" s="130"/>
      <c r="J63" s="130"/>
    </row>
    <row r="64" spans="1:10" ht="18">
      <c r="A64" s="30"/>
      <c r="B64" s="130"/>
      <c r="C64" s="266" t="s">
        <v>4897</v>
      </c>
      <c r="D64" s="259"/>
      <c r="E64" s="247"/>
      <c r="F64" s="130"/>
      <c r="G64" s="130"/>
      <c r="H64" s="130"/>
      <c r="I64" s="130"/>
      <c r="J64" s="130"/>
    </row>
    <row r="65" spans="1:10" ht="18">
      <c r="A65" s="30"/>
      <c r="B65" s="130"/>
      <c r="C65" s="266" t="s">
        <v>4898</v>
      </c>
      <c r="D65" s="259"/>
      <c r="E65" s="247"/>
      <c r="F65" s="130"/>
      <c r="G65" s="130"/>
      <c r="H65" s="130"/>
      <c r="I65" s="130"/>
      <c r="J65" s="130"/>
    </row>
    <row r="66" spans="1:10" ht="18">
      <c r="A66" s="30"/>
      <c r="B66" s="130"/>
      <c r="C66" s="266" t="s">
        <v>4899</v>
      </c>
      <c r="D66" s="259"/>
      <c r="E66" s="247"/>
      <c r="F66" s="130"/>
      <c r="G66" s="130"/>
      <c r="H66" s="130"/>
      <c r="I66" s="130"/>
      <c r="J66" s="130"/>
    </row>
    <row r="67" spans="1:10" ht="18">
      <c r="A67" s="30"/>
      <c r="B67" s="130"/>
      <c r="C67" s="267" t="s">
        <v>4895</v>
      </c>
      <c r="D67" s="260"/>
      <c r="E67" s="248"/>
      <c r="F67" s="130"/>
      <c r="G67" s="130"/>
      <c r="H67" s="130"/>
      <c r="I67" s="130"/>
      <c r="J67" s="130"/>
    </row>
    <row r="68" spans="1:10" ht="18">
      <c r="A68" s="30"/>
      <c r="B68" s="130"/>
      <c r="C68" s="271" t="s">
        <v>4900</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4901</v>
      </c>
      <c r="D70" s="130"/>
      <c r="E70" s="130"/>
      <c r="F70" s="130"/>
      <c r="G70" s="130"/>
      <c r="H70" s="130"/>
      <c r="I70" s="130"/>
      <c r="J70" s="130"/>
    </row>
    <row r="71" spans="1:10" ht="18">
      <c r="A71" s="30"/>
      <c r="B71" s="130"/>
      <c r="C71" s="130" t="s">
        <v>4902</v>
      </c>
      <c r="D71" s="272"/>
      <c r="E71" s="130"/>
      <c r="F71" s="130"/>
      <c r="G71" s="130"/>
      <c r="H71" s="130"/>
      <c r="I71" s="130"/>
      <c r="J71" s="130"/>
    </row>
    <row r="72" spans="1:10" ht="18">
      <c r="A72" s="30"/>
      <c r="B72" s="130"/>
      <c r="C72" s="130" t="s">
        <v>4903</v>
      </c>
      <c r="D72" s="272"/>
      <c r="E72" s="130"/>
      <c r="F72" s="130"/>
      <c r="G72" s="130"/>
      <c r="H72" s="130"/>
      <c r="I72" s="130"/>
      <c r="J72" s="130"/>
    </row>
    <row r="73" spans="1:10" ht="18">
      <c r="A73" s="30"/>
      <c r="B73" s="130"/>
      <c r="C73" s="130" t="s">
        <v>4904</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4905</v>
      </c>
      <c r="C75" s="129" t="s">
        <v>4906</v>
      </c>
      <c r="D75" s="130"/>
      <c r="E75" s="130"/>
      <c r="F75" s="130"/>
      <c r="G75" s="130"/>
      <c r="H75" s="130"/>
      <c r="I75" s="130"/>
      <c r="J75" s="130"/>
    </row>
    <row r="76" spans="1:10" ht="18">
      <c r="A76" s="30"/>
      <c r="B76" s="130"/>
      <c r="C76" s="238" t="s">
        <v>4875</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4891</v>
      </c>
      <c r="D78" s="238"/>
      <c r="E78" s="130"/>
      <c r="F78" s="130"/>
      <c r="G78" s="130"/>
      <c r="H78" s="130"/>
      <c r="I78" s="130"/>
      <c r="J78" s="130"/>
    </row>
    <row r="79" spans="1:10" ht="18">
      <c r="A79" s="30"/>
      <c r="B79" s="130"/>
      <c r="C79" s="276" t="s">
        <v>47</v>
      </c>
      <c r="D79" s="244"/>
      <c r="E79" s="245" t="s">
        <v>4907</v>
      </c>
      <c r="F79" s="130"/>
      <c r="G79" s="130"/>
      <c r="H79" s="130"/>
      <c r="I79" s="130"/>
      <c r="J79" s="130"/>
    </row>
    <row r="80" spans="1:10" ht="18">
      <c r="A80" s="30"/>
      <c r="B80" s="130"/>
      <c r="C80" s="277" t="s">
        <v>4908</v>
      </c>
      <c r="D80" s="278"/>
      <c r="E80" s="247"/>
      <c r="F80" s="130"/>
      <c r="G80" s="130"/>
      <c r="H80" s="130"/>
      <c r="I80" s="130"/>
      <c r="J80" s="130"/>
    </row>
    <row r="81" spans="1:10" ht="18">
      <c r="A81" s="30"/>
      <c r="B81" s="130"/>
      <c r="C81" s="277" t="s">
        <v>4909</v>
      </c>
      <c r="D81" s="278"/>
      <c r="E81" s="247"/>
      <c r="F81" s="130"/>
      <c r="G81" s="130"/>
      <c r="H81" s="130"/>
      <c r="I81" s="130"/>
      <c r="J81" s="130"/>
    </row>
    <row r="82" spans="1:10" ht="18">
      <c r="A82" s="30"/>
      <c r="B82" s="130"/>
      <c r="C82" s="277" t="s">
        <v>4910</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4878</v>
      </c>
      <c r="D84" s="281"/>
      <c r="E84" s="250"/>
      <c r="F84" s="130"/>
      <c r="G84" s="130"/>
      <c r="H84" s="130"/>
      <c r="I84" s="130"/>
      <c r="J84" s="130"/>
    </row>
    <row r="85" spans="1:10" ht="18">
      <c r="A85" s="30"/>
      <c r="B85" s="130"/>
      <c r="C85" s="282" t="s">
        <v>4911</v>
      </c>
      <c r="D85" s="272"/>
      <c r="E85" s="272"/>
      <c r="F85" s="130"/>
      <c r="G85" s="130"/>
      <c r="H85" s="130"/>
      <c r="I85" s="130"/>
      <c r="J85" s="130"/>
    </row>
    <row r="86" spans="1:10" ht="18">
      <c r="A86" s="30"/>
      <c r="B86" s="130"/>
      <c r="C86" s="282" t="s">
        <v>4912</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4913</v>
      </c>
      <c r="C88" s="129" t="s">
        <v>4914</v>
      </c>
      <c r="D88" s="130"/>
      <c r="E88" s="130"/>
      <c r="F88" s="130"/>
      <c r="G88" s="130"/>
      <c r="H88" s="130"/>
      <c r="I88" s="130"/>
      <c r="J88" s="130"/>
    </row>
    <row r="89" spans="1:10" ht="18">
      <c r="A89" s="30"/>
      <c r="B89" s="130"/>
      <c r="C89" s="238" t="s">
        <v>4875</v>
      </c>
      <c r="D89" s="238"/>
      <c r="E89" s="130"/>
      <c r="F89" s="130"/>
      <c r="G89" s="130"/>
      <c r="H89" s="130"/>
      <c r="I89" s="130"/>
      <c r="J89" s="130"/>
    </row>
    <row r="90" spans="1:10" ht="18">
      <c r="A90" s="30"/>
      <c r="B90" s="130"/>
      <c r="C90" s="242" t="s">
        <v>4915</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4916</v>
      </c>
      <c r="C95" s="129" t="s">
        <v>4917</v>
      </c>
      <c r="D95" s="130"/>
      <c r="E95" s="130"/>
      <c r="F95" s="130"/>
      <c r="G95" s="130"/>
      <c r="H95" s="130"/>
      <c r="I95" s="130"/>
      <c r="J95" s="130"/>
    </row>
    <row r="96" spans="1:10" ht="18">
      <c r="A96" s="30"/>
      <c r="B96" s="130"/>
      <c r="C96" s="238" t="s">
        <v>4875</v>
      </c>
      <c r="D96" s="238"/>
      <c r="E96" s="130"/>
      <c r="F96" s="130"/>
      <c r="G96" s="130"/>
      <c r="H96" s="130"/>
      <c r="I96" s="130"/>
      <c r="J96" s="130"/>
    </row>
    <row r="97" spans="1:10" ht="18">
      <c r="A97" s="30"/>
      <c r="B97" s="130"/>
      <c r="C97" s="242" t="s">
        <v>4918</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4919</v>
      </c>
      <c r="C104" s="129" t="s">
        <v>4920</v>
      </c>
      <c r="D104" s="130"/>
      <c r="E104" s="130"/>
      <c r="F104" s="130"/>
      <c r="G104" s="130"/>
      <c r="H104" s="130"/>
      <c r="I104" s="130"/>
      <c r="J104" s="130"/>
    </row>
    <row r="105" spans="1:10" ht="18">
      <c r="A105" s="30"/>
      <c r="B105" s="130"/>
      <c r="C105" s="238" t="s">
        <v>4875</v>
      </c>
      <c r="D105" s="238"/>
      <c r="E105" s="130"/>
      <c r="F105" s="130"/>
      <c r="G105" s="130"/>
      <c r="H105" s="130"/>
      <c r="I105" s="130"/>
      <c r="J105" s="130"/>
    </row>
    <row r="106" spans="1:10" ht="18">
      <c r="A106" s="30"/>
      <c r="B106" s="130"/>
      <c r="C106" s="242" t="s">
        <v>4921</v>
      </c>
      <c r="D106" s="274"/>
      <c r="E106" s="275"/>
      <c r="F106" s="130"/>
      <c r="G106" s="130"/>
      <c r="H106" s="130"/>
      <c r="I106" s="130"/>
      <c r="J106" s="130"/>
    </row>
    <row r="107" spans="1:10" ht="18">
      <c r="A107" s="30"/>
      <c r="B107" s="130"/>
      <c r="C107" s="238" t="s">
        <v>4922</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山东天安化工股份有限公司</v>
      </c>
      <c r="D2" s="172"/>
      <c r="E2" s="4"/>
      <c r="F2" s="5" t="s">
        <v>2521</v>
      </c>
      <c r="G2" s="7" t="s">
        <v>2501</v>
      </c>
      <c r="H2" s="8"/>
      <c r="I2" s="53"/>
    </row>
    <row r="3" spans="1:9" ht="18" customHeight="1">
      <c r="B3" s="2" t="s">
        <v>2522</v>
      </c>
      <c r="C3" s="9" t="s">
        <v>4923</v>
      </c>
      <c r="D3" s="173"/>
      <c r="E3" s="10" t="s">
        <v>2450</v>
      </c>
      <c r="F3" s="11" t="str">
        <f>IF(Lead!$E$9="","",Lead!$E$9)</f>
        <v>陈彦良</v>
      </c>
      <c r="G3" s="174">
        <f>IF(Lead!$F$9="","",Lead!$F$9)</f>
        <v>43859</v>
      </c>
      <c r="H3" s="14" t="s">
        <v>6592</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4862</v>
      </c>
      <c r="C7" s="178"/>
      <c r="D7" s="179"/>
      <c r="E7" s="179"/>
      <c r="F7" s="179"/>
      <c r="G7" s="179"/>
      <c r="H7" s="179"/>
      <c r="I7" s="179"/>
    </row>
    <row r="8" spans="1:9" ht="18">
      <c r="A8" s="30"/>
      <c r="B8" s="1456" t="s">
        <v>4863</v>
      </c>
      <c r="C8" s="180" t="s">
        <v>4924</v>
      </c>
      <c r="D8" s="179"/>
      <c r="E8" s="179"/>
      <c r="F8" s="179"/>
      <c r="G8" s="179"/>
      <c r="H8" s="179"/>
      <c r="I8" s="179"/>
    </row>
    <row r="9" spans="1:9" ht="18">
      <c r="A9" s="30"/>
      <c r="B9" s="1456" t="s">
        <v>4865</v>
      </c>
      <c r="C9" s="180" t="s">
        <v>4925</v>
      </c>
      <c r="D9" s="179"/>
      <c r="E9" s="179"/>
      <c r="F9" s="179"/>
      <c r="G9" s="179"/>
      <c r="H9" s="179"/>
      <c r="I9" s="179"/>
    </row>
    <row r="10" spans="1:9" ht="18">
      <c r="A10" s="30"/>
      <c r="B10" s="177" t="s">
        <v>4871</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4926</v>
      </c>
      <c r="D12" s="179"/>
      <c r="E12" s="179"/>
      <c r="F12" s="179"/>
      <c r="G12" s="179"/>
      <c r="H12" s="179"/>
      <c r="I12" s="179"/>
    </row>
    <row r="13" spans="1:9" ht="18">
      <c r="A13" s="181"/>
      <c r="B13" s="179"/>
      <c r="C13" s="183" t="s">
        <v>4927</v>
      </c>
      <c r="D13" s="179"/>
      <c r="E13" s="179"/>
      <c r="F13" s="179"/>
      <c r="G13" s="179"/>
      <c r="H13" s="179"/>
      <c r="I13" s="179"/>
    </row>
    <row r="14" spans="1:9" ht="18">
      <c r="A14" s="181"/>
      <c r="B14" s="179"/>
      <c r="C14" s="183" t="s">
        <v>4928</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4929</v>
      </c>
      <c r="D16" s="186"/>
      <c r="E16" s="179"/>
      <c r="F16" s="179"/>
      <c r="G16" s="179"/>
      <c r="H16" s="179"/>
      <c r="I16" s="179"/>
    </row>
    <row r="17" spans="1:9" ht="18">
      <c r="A17" s="181"/>
      <c r="B17" s="179"/>
      <c r="C17" s="188" t="s">
        <v>47</v>
      </c>
      <c r="D17" s="189" t="s">
        <v>2587</v>
      </c>
      <c r="E17" s="189" t="s">
        <v>4930</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4895</v>
      </c>
      <c r="D20" s="198"/>
      <c r="E20" s="199"/>
      <c r="F20" s="200"/>
      <c r="G20" s="201"/>
      <c r="H20" s="201"/>
      <c r="I20" s="179"/>
    </row>
    <row r="21" spans="1:9" ht="18">
      <c r="A21" s="181"/>
      <c r="B21" s="184"/>
      <c r="C21" s="185"/>
      <c r="D21" s="186"/>
      <c r="E21" s="179"/>
      <c r="F21" s="179"/>
      <c r="G21" s="179"/>
      <c r="H21" s="179"/>
      <c r="I21" s="179"/>
    </row>
    <row r="22" spans="1:9" ht="18">
      <c r="A22" s="181"/>
      <c r="B22" s="184"/>
      <c r="C22" s="187" t="s">
        <v>4931</v>
      </c>
      <c r="D22" s="186"/>
      <c r="E22" s="179"/>
      <c r="F22" s="179"/>
      <c r="G22" s="179"/>
      <c r="H22" s="179"/>
      <c r="I22" s="179"/>
    </row>
    <row r="23" spans="1:9" ht="18">
      <c r="A23" s="181"/>
      <c r="B23" s="179"/>
      <c r="C23" s="188" t="s">
        <v>47</v>
      </c>
      <c r="D23" s="189" t="s">
        <v>3276</v>
      </c>
      <c r="E23" s="189" t="s">
        <v>3273</v>
      </c>
      <c r="F23" s="189" t="s">
        <v>2587</v>
      </c>
      <c r="G23" s="189" t="s">
        <v>4930</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4895</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4930</v>
      </c>
      <c r="F42" s="208" t="s">
        <v>2508</v>
      </c>
      <c r="G42" s="209"/>
      <c r="H42" s="209"/>
      <c r="I42" s="179"/>
    </row>
    <row r="43" spans="1:9" ht="18">
      <c r="A43" s="181"/>
      <c r="B43" s="179"/>
      <c r="C43" s="210" t="s">
        <v>4932</v>
      </c>
      <c r="D43" s="211"/>
      <c r="E43" s="212"/>
      <c r="F43" s="213"/>
      <c r="G43" s="214"/>
      <c r="H43" s="214"/>
      <c r="I43" s="179"/>
    </row>
    <row r="44" spans="1:9" ht="18">
      <c r="A44" s="181"/>
      <c r="B44" s="179"/>
      <c r="C44" s="192" t="s">
        <v>4933</v>
      </c>
      <c r="D44" s="196"/>
      <c r="E44" s="215"/>
      <c r="F44" s="194"/>
      <c r="G44" s="195"/>
      <c r="H44" s="195"/>
      <c r="I44" s="179"/>
    </row>
    <row r="45" spans="1:9" ht="18">
      <c r="A45" s="181"/>
      <c r="B45" s="179"/>
      <c r="C45" s="202" t="s">
        <v>4934</v>
      </c>
      <c r="D45" s="196"/>
      <c r="E45" s="216"/>
      <c r="F45" s="204"/>
      <c r="G45" s="217"/>
      <c r="H45" s="217"/>
      <c r="I45" s="179"/>
    </row>
    <row r="46" spans="1:9" ht="18">
      <c r="A46" s="181"/>
      <c r="B46" s="179"/>
      <c r="C46" s="202"/>
      <c r="D46" s="196"/>
      <c r="E46" s="216"/>
      <c r="F46" s="204"/>
      <c r="G46" s="217"/>
      <c r="H46" s="217"/>
      <c r="I46" s="179"/>
    </row>
    <row r="47" spans="1:9" ht="18">
      <c r="A47" s="181"/>
      <c r="B47" s="179"/>
      <c r="C47" s="197" t="s">
        <v>4895</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4930</v>
      </c>
      <c r="F50" s="208" t="s">
        <v>2508</v>
      </c>
      <c r="G50" s="209"/>
      <c r="H50" s="209"/>
      <c r="I50" s="179"/>
    </row>
    <row r="51" spans="1:9" ht="18">
      <c r="A51" s="181"/>
      <c r="B51" s="179"/>
      <c r="C51" s="210" t="s">
        <v>4935</v>
      </c>
      <c r="D51" s="211"/>
      <c r="E51" s="212"/>
      <c r="F51" s="213"/>
      <c r="G51" s="214"/>
      <c r="H51" s="214"/>
      <c r="I51" s="179"/>
    </row>
    <row r="52" spans="1:9" ht="18">
      <c r="A52" s="181"/>
      <c r="B52" s="179"/>
      <c r="C52" s="192"/>
      <c r="D52" s="196"/>
      <c r="E52" s="215"/>
      <c r="F52" s="194"/>
      <c r="G52" s="195"/>
      <c r="H52" s="195"/>
      <c r="I52" s="179"/>
    </row>
    <row r="53" spans="1:9" ht="18">
      <c r="A53" s="181"/>
      <c r="B53" s="179"/>
      <c r="C53" s="197" t="s">
        <v>4895</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4930</v>
      </c>
      <c r="F56" s="208" t="s">
        <v>2508</v>
      </c>
      <c r="G56" s="209"/>
      <c r="H56" s="209"/>
      <c r="I56" s="179"/>
    </row>
    <row r="57" spans="1:9" ht="18">
      <c r="A57" s="181"/>
      <c r="B57" s="179"/>
      <c r="C57" s="210" t="s">
        <v>4936</v>
      </c>
      <c r="D57" s="211"/>
      <c r="E57" s="212"/>
      <c r="F57" s="213"/>
      <c r="G57" s="214"/>
      <c r="H57" s="214"/>
      <c r="I57" s="179"/>
    </row>
    <row r="58" spans="1:9" ht="18">
      <c r="A58" s="181"/>
      <c r="B58" s="179"/>
      <c r="C58" s="192"/>
      <c r="D58" s="196"/>
      <c r="E58" s="215"/>
      <c r="F58" s="194"/>
      <c r="G58" s="195"/>
      <c r="H58" s="195"/>
      <c r="I58" s="179"/>
    </row>
    <row r="59" spans="1:9" ht="18">
      <c r="A59" s="181"/>
      <c r="B59" s="179"/>
      <c r="C59" s="197" t="s">
        <v>4895</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4930</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4895</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4930</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4895</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4930</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4895</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4930</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4937</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4895</v>
      </c>
      <c r="D93" s="198"/>
      <c r="E93" s="199"/>
      <c r="F93" s="200"/>
      <c r="G93" s="201"/>
      <c r="H93" s="201"/>
      <c r="I93" s="179"/>
    </row>
    <row r="94" spans="1:9" ht="18">
      <c r="A94" s="181"/>
      <c r="B94" s="179"/>
      <c r="C94" s="223" t="s">
        <v>4938</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4930</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4895</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4930</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4895</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4930</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4895</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4930</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4895</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4930</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4895</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4930</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4895</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4930</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4895</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4939</v>
      </c>
      <c r="C1" s="2804" t="s">
        <v>4940</v>
      </c>
      <c r="D1" s="2804" t="s">
        <v>1</v>
      </c>
      <c r="E1" s="2804" t="s">
        <v>6</v>
      </c>
      <c r="F1" s="2804" t="s">
        <v>4941</v>
      </c>
      <c r="G1" s="2804" t="s">
        <v>4942</v>
      </c>
      <c r="H1" s="2804" t="s">
        <v>4943</v>
      </c>
      <c r="I1" s="2804" t="s">
        <v>4944</v>
      </c>
      <c r="L1" s="2804" t="s">
        <v>4945</v>
      </c>
      <c r="M1" s="2804" t="s">
        <v>6640</v>
      </c>
      <c r="R1" s="2804" t="s">
        <v>2735</v>
      </c>
      <c r="S1" s="2804" t="s">
        <v>4939</v>
      </c>
      <c r="T1" s="2804" t="s">
        <v>4940</v>
      </c>
      <c r="U1" s="2804" t="s">
        <v>13</v>
      </c>
      <c r="V1" s="2804" t="s">
        <v>4946</v>
      </c>
      <c r="W1" s="2804" t="s">
        <v>4947</v>
      </c>
      <c r="X1" s="2804" t="s">
        <v>4948</v>
      </c>
      <c r="Y1" s="2804" t="s">
        <v>4949</v>
      </c>
      <c r="Z1" s="2804" t="s">
        <v>4950</v>
      </c>
      <c r="AA1" s="2804" t="s">
        <v>4951</v>
      </c>
      <c r="AB1" s="2804" t="s">
        <v>4952</v>
      </c>
    </row>
    <row r="2" spans="1:28">
      <c r="L2" s="2804" t="s">
        <v>4953</v>
      </c>
    </row>
    <row r="3" spans="1:28">
      <c r="L3" s="2804" t="s">
        <v>4954</v>
      </c>
    </row>
    <row r="4" spans="1:28">
      <c r="L4" s="2804" t="s">
        <v>4955</v>
      </c>
    </row>
    <row r="5" spans="1:28">
      <c r="L5" s="2804" t="s">
        <v>4956</v>
      </c>
      <c r="M5" s="2804" t="s">
        <v>6641</v>
      </c>
    </row>
    <row r="6" spans="1:28">
      <c r="L6" s="2804" t="s">
        <v>4957</v>
      </c>
    </row>
    <row r="7" spans="1:28">
      <c r="L7" s="2804" t="s">
        <v>4958</v>
      </c>
    </row>
    <row r="8" spans="1:28">
      <c r="L8" s="2804" t="s">
        <v>4959</v>
      </c>
    </row>
    <row r="9" spans="1:28">
      <c r="L9" s="2804" t="s">
        <v>4960</v>
      </c>
    </row>
    <row r="10" spans="1:28">
      <c r="L10" s="2804" t="s">
        <v>4961</v>
      </c>
    </row>
    <row r="11" spans="1:28">
      <c r="L11" s="2804" t="s">
        <v>4962</v>
      </c>
      <c r="M11" s="2804" t="s">
        <v>7225</v>
      </c>
    </row>
    <row r="12" spans="1:28">
      <c r="L12" s="2804" t="s">
        <v>4963</v>
      </c>
    </row>
    <row r="13" spans="1:28">
      <c r="L13" s="2804" t="s">
        <v>4964</v>
      </c>
    </row>
    <row r="14" spans="1:28">
      <c r="L14" s="2804" t="s">
        <v>4965</v>
      </c>
    </row>
    <row r="15" spans="1:28">
      <c r="L15" s="2804" t="s">
        <v>4966</v>
      </c>
      <c r="M15" s="2805">
        <v>43859.645763888897</v>
      </c>
    </row>
    <row r="16" spans="1:28">
      <c r="L16" s="2804" t="s">
        <v>4967</v>
      </c>
      <c r="M16" s="2804" t="s">
        <v>6653</v>
      </c>
    </row>
    <row r="17" spans="12:13">
      <c r="L17" s="2804" t="s">
        <v>4968</v>
      </c>
    </row>
    <row r="18" spans="12:13">
      <c r="L18" s="2804" t="s">
        <v>4969</v>
      </c>
    </row>
    <row r="19" spans="12:13">
      <c r="L19" s="2804" t="s">
        <v>4970</v>
      </c>
      <c r="M19" s="2804" t="s">
        <v>6642</v>
      </c>
    </row>
    <row r="20" spans="12:13">
      <c r="L20" s="2804" t="s">
        <v>4971</v>
      </c>
      <c r="M20" s="2804" t="s">
        <v>6643</v>
      </c>
    </row>
    <row r="21" spans="12:13">
      <c r="L21" s="2804" t="s">
        <v>4972</v>
      </c>
      <c r="M21" s="2806">
        <v>42339.886354166701</v>
      </c>
    </row>
    <row r="22" spans="12:13">
      <c r="L22" s="2804" t="s">
        <v>4973</v>
      </c>
      <c r="M22" s="2806">
        <v>42339.886354166701</v>
      </c>
    </row>
    <row r="23" spans="12:13">
      <c r="L23" s="2804" t="s">
        <v>4974</v>
      </c>
      <c r="M23" s="2806">
        <v>42339.8881944444</v>
      </c>
    </row>
    <row r="24" spans="12:13">
      <c r="L24" s="2804" t="s">
        <v>4975</v>
      </c>
      <c r="M24" s="2804" t="s">
        <v>6644</v>
      </c>
    </row>
    <row r="25" spans="12:13">
      <c r="L25" s="2804" t="s">
        <v>4976</v>
      </c>
    </row>
    <row r="26" spans="12:13">
      <c r="L26" s="2804" t="s">
        <v>4977</v>
      </c>
      <c r="M26" s="2804" t="s">
        <v>6803</v>
      </c>
    </row>
    <row r="27" spans="12:13">
      <c r="L27" s="2804" t="s">
        <v>4978</v>
      </c>
      <c r="M27" s="2806">
        <v>42339.889432870397</v>
      </c>
    </row>
    <row r="28" spans="12:13">
      <c r="L28" s="2804" t="s">
        <v>4979</v>
      </c>
      <c r="M28" s="2804" t="s">
        <v>295</v>
      </c>
    </row>
    <row r="29" spans="12:13">
      <c r="L29" s="2804" t="s">
        <v>4980</v>
      </c>
    </row>
    <row r="30" spans="12:13">
      <c r="L30" s="2804" t="s">
        <v>4981</v>
      </c>
      <c r="M30" s="2805">
        <v>42816.716828703698</v>
      </c>
    </row>
    <row r="31" spans="12:13">
      <c r="L31" s="2804" t="s">
        <v>5879</v>
      </c>
      <c r="M31" s="2804" t="s">
        <v>6605</v>
      </c>
    </row>
    <row r="32" spans="12:13">
      <c r="L32" s="2804" t="s">
        <v>5880</v>
      </c>
      <c r="M32" s="2804" t="s">
        <v>5878</v>
      </c>
    </row>
    <row r="33" spans="12:13">
      <c r="L33" s="2804" t="s">
        <v>5881</v>
      </c>
    </row>
    <row r="34" spans="12:13">
      <c r="L34" s="2804" t="s">
        <v>5882</v>
      </c>
      <c r="M34" s="2805">
        <v>43116.357164351903</v>
      </c>
    </row>
    <row r="35" spans="12:13">
      <c r="L35" s="2804" t="s">
        <v>5883</v>
      </c>
      <c r="M35" s="2805">
        <v>43116.356446759302</v>
      </c>
    </row>
    <row r="36" spans="12:13">
      <c r="L36" s="2804" t="s">
        <v>5884</v>
      </c>
      <c r="M36" s="2805">
        <v>43296.368472222202</v>
      </c>
    </row>
    <row r="37" spans="12:13">
      <c r="L37" s="2804" t="s">
        <v>5885</v>
      </c>
    </row>
    <row r="38" spans="12:13">
      <c r="L38" s="2804" t="s">
        <v>5886</v>
      </c>
      <c r="M38" s="2805">
        <v>43646.682407407403</v>
      </c>
    </row>
    <row r="39" spans="12:13">
      <c r="L39" s="2804" t="s">
        <v>5887</v>
      </c>
      <c r="M39" s="2804" t="s">
        <v>4982</v>
      </c>
    </row>
    <row r="40" spans="12:13">
      <c r="L40" s="2804" t="s">
        <v>5888</v>
      </c>
    </row>
    <row r="41" spans="12:13">
      <c r="L41" s="2804" t="s">
        <v>5889</v>
      </c>
    </row>
    <row r="42" spans="12:13">
      <c r="L42" s="2804" t="s">
        <v>5890</v>
      </c>
    </row>
    <row r="43" spans="12:13">
      <c r="L43" s="2804" t="s">
        <v>5891</v>
      </c>
    </row>
    <row r="44" spans="12:13">
      <c r="L44" s="2804" t="s">
        <v>5892</v>
      </c>
    </row>
    <row r="45" spans="12:13">
      <c r="L45" s="2804" t="s">
        <v>5893</v>
      </c>
    </row>
    <row r="46" spans="12:13">
      <c r="L46" s="2804" t="s">
        <v>5894</v>
      </c>
    </row>
    <row r="47" spans="12:13">
      <c r="L47" s="2804" t="s">
        <v>5895</v>
      </c>
    </row>
    <row r="48" spans="12:13">
      <c r="L48" s="2804" t="s">
        <v>5896</v>
      </c>
    </row>
    <row r="49" spans="12:13">
      <c r="L49" s="2804" t="s">
        <v>5897</v>
      </c>
    </row>
    <row r="50" spans="12:13">
      <c r="L50" s="2804" t="s">
        <v>5898</v>
      </c>
      <c r="M50" s="2804" t="s">
        <v>6645</v>
      </c>
    </row>
  </sheetData>
  <sheetProtection algorithmName="SHA-512" hashValue="sjkXfj7XBOwZetDLfzFo5clm7BKPbUeI5OQkSgBIvy6P5XDZ5pIOC92hhidO6/d1AXsJlhcEwHTpax7i8zuKdg==" saltValue="Pekq3paWCV7KQWD86R6OqQ==" spinCount="100000" sheet="1" scenarios="1" formatCells="0" autoFilter="0"/>
  <phoneticPr fontId="163" type="noConversion"/>
  <pageMargins left="0.75" right="0.75" top="1" bottom="1" header="0.5" footer="0.5"/>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E45" sqref="E45"/>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山东天安化工股份有限公司</v>
      </c>
      <c r="D2" s="125"/>
      <c r="E2" s="126"/>
      <c r="F2" s="4"/>
      <c r="G2" s="5" t="s">
        <v>2521</v>
      </c>
      <c r="H2" s="6"/>
      <c r="I2" s="7" t="s">
        <v>2501</v>
      </c>
      <c r="J2" s="8"/>
      <c r="K2" s="53"/>
    </row>
    <row r="3" spans="1:11" ht="18" customHeight="1">
      <c r="B3" s="2" t="s">
        <v>2522</v>
      </c>
      <c r="C3" s="9" t="s">
        <v>4983</v>
      </c>
      <c r="D3" s="127"/>
      <c r="E3" s="128"/>
      <c r="F3" s="10" t="s">
        <v>2450</v>
      </c>
      <c r="G3" s="11" t="str">
        <f>IF(Lead!$E$9="","",Lead!$E$9)</f>
        <v>陈彦良</v>
      </c>
      <c r="H3" s="12"/>
      <c r="I3" s="13">
        <f>IF(Lead!$F$9="","",Lead!$F$9)</f>
        <v>43859</v>
      </c>
      <c r="J3" s="14" t="s">
        <v>2524</v>
      </c>
      <c r="K3" s="2743" t="s">
        <v>6593</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4863</v>
      </c>
      <c r="C7" s="129" t="s">
        <v>4984</v>
      </c>
      <c r="D7" s="130"/>
      <c r="E7" s="130"/>
      <c r="F7" s="130"/>
      <c r="G7" s="130"/>
      <c r="H7" s="130"/>
      <c r="I7" s="130"/>
      <c r="J7" s="130"/>
      <c r="K7" s="130"/>
    </row>
    <row r="8" spans="1:11" ht="18">
      <c r="A8" s="24"/>
      <c r="B8" s="131"/>
      <c r="C8" s="132"/>
      <c r="D8" s="133" t="s">
        <v>4985</v>
      </c>
      <c r="E8" s="26"/>
      <c r="F8" s="133" t="s">
        <v>4986</v>
      </c>
      <c r="G8" s="28"/>
      <c r="H8" s="28" t="s">
        <v>4987</v>
      </c>
      <c r="I8" s="133" t="s">
        <v>4988</v>
      </c>
      <c r="J8" s="26"/>
      <c r="K8" s="158"/>
    </row>
    <row r="9" spans="1:11" ht="18">
      <c r="A9" s="30"/>
      <c r="B9" s="134" t="s">
        <v>4989</v>
      </c>
      <c r="C9" s="135" t="s">
        <v>2529</v>
      </c>
      <c r="D9" s="136" t="s">
        <v>2887</v>
      </c>
      <c r="E9" s="137" t="s">
        <v>4990</v>
      </c>
      <c r="F9" s="138" t="s">
        <v>2887</v>
      </c>
      <c r="G9" s="138" t="s">
        <v>4990</v>
      </c>
      <c r="H9" s="139" t="s">
        <v>4991</v>
      </c>
      <c r="I9" s="137" t="s">
        <v>4992</v>
      </c>
      <c r="J9" s="137" t="s">
        <v>4993</v>
      </c>
      <c r="K9" s="159" t="s">
        <v>4994</v>
      </c>
    </row>
    <row r="10" spans="1:11" ht="18">
      <c r="A10" s="30"/>
      <c r="B10" s="140"/>
      <c r="C10" s="141"/>
      <c r="D10" s="142" t="s">
        <v>4995</v>
      </c>
      <c r="E10" s="143" t="s">
        <v>4996</v>
      </c>
      <c r="F10" s="144" t="s">
        <v>4997</v>
      </c>
      <c r="G10" s="144" t="s">
        <v>4998</v>
      </c>
      <c r="H10" s="145" t="s">
        <v>4999</v>
      </c>
      <c r="I10" s="160" t="s">
        <v>5000</v>
      </c>
      <c r="J10" s="160" t="s">
        <v>5001</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36">
      <c r="A13" s="30"/>
      <c r="B13" s="150">
        <v>1015</v>
      </c>
      <c r="C13" s="151" t="str">
        <f t="shared" si="0"/>
        <v>货币资金</v>
      </c>
      <c r="D13" s="70">
        <f t="shared" ref="D13:D27" si="2">VLOOKUP($B13,Sheet_Trialbal,10,0)</f>
        <v>79452903</v>
      </c>
      <c r="E13" s="152">
        <f>IF(D$55=0,"",D13/D$55)</f>
        <v>0.22750000000000001</v>
      </c>
      <c r="F13" s="70">
        <f t="shared" ref="F13:F27" si="3">VLOOKUP($B13,Sheet_Trialbal,3,0)</f>
        <v>7891834.9100000001</v>
      </c>
      <c r="G13" s="152">
        <f>IF(F$55=0,"",F13/F$55)</f>
        <v>2.9499999999999998E-2</v>
      </c>
      <c r="H13" s="152">
        <f t="shared" ref="H13:H30" si="4">IF(OR(G13="",E13=""),"",G13-E13)</f>
        <v>-0.19800000000000001</v>
      </c>
      <c r="I13" s="70">
        <f t="shared" ref="I13" si="5">IF(OR(F13="",D13=""),"",F13-D13)</f>
        <v>-71561068.090000004</v>
      </c>
      <c r="J13" s="152">
        <f t="shared" si="1"/>
        <v>-0.90069999999999995</v>
      </c>
      <c r="K13" s="3104" t="s">
        <v>7226</v>
      </c>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36">
      <c r="A17" s="30"/>
      <c r="B17" s="150">
        <v>1121</v>
      </c>
      <c r="C17" s="151" t="str">
        <f t="shared" si="0"/>
        <v>应收票据</v>
      </c>
      <c r="D17" s="70">
        <f t="shared" si="2"/>
        <v>2024958.1</v>
      </c>
      <c r="E17" s="152">
        <f t="shared" si="6"/>
        <v>5.7999999999999996E-3</v>
      </c>
      <c r="F17" s="70">
        <f t="shared" si="3"/>
        <v>3532481.3</v>
      </c>
      <c r="G17" s="152">
        <f t="shared" si="7"/>
        <v>1.32E-2</v>
      </c>
      <c r="H17" s="152">
        <f t="shared" si="8"/>
        <v>7.4000000000000003E-3</v>
      </c>
      <c r="I17" s="70">
        <f t="shared" si="9"/>
        <v>1507523.2</v>
      </c>
      <c r="J17" s="152">
        <f t="shared" si="10"/>
        <v>0.74450000000000005</v>
      </c>
      <c r="K17" s="3104" t="s">
        <v>7227</v>
      </c>
    </row>
    <row r="18" spans="1:11" ht="72">
      <c r="A18" s="30"/>
      <c r="B18" s="150">
        <v>1122</v>
      </c>
      <c r="C18" s="151" t="str">
        <f t="shared" si="0"/>
        <v>应收账款</v>
      </c>
      <c r="D18" s="70">
        <f t="shared" si="2"/>
        <v>43128210.229999997</v>
      </c>
      <c r="E18" s="152">
        <f t="shared" si="6"/>
        <v>0.1235</v>
      </c>
      <c r="F18" s="70">
        <f t="shared" si="3"/>
        <v>48253601.340000004</v>
      </c>
      <c r="G18" s="152">
        <f t="shared" si="7"/>
        <v>0.18029999999999999</v>
      </c>
      <c r="H18" s="152">
        <f t="shared" si="8"/>
        <v>5.6800000000000003E-2</v>
      </c>
      <c r="I18" s="70">
        <f t="shared" si="9"/>
        <v>5125391.1100000003</v>
      </c>
      <c r="J18" s="152">
        <f t="shared" si="10"/>
        <v>0.1188</v>
      </c>
      <c r="K18" s="3104" t="s">
        <v>7228</v>
      </c>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48">
      <c r="A20" s="30"/>
      <c r="B20" s="150">
        <v>1125</v>
      </c>
      <c r="C20" s="151" t="str">
        <f t="shared" si="0"/>
        <v>预付款项</v>
      </c>
      <c r="D20" s="70">
        <f t="shared" si="2"/>
        <v>2419762.12</v>
      </c>
      <c r="E20" s="152">
        <f t="shared" si="6"/>
        <v>6.8999999999999999E-3</v>
      </c>
      <c r="F20" s="70">
        <f t="shared" si="3"/>
        <v>7528799.0199999996</v>
      </c>
      <c r="G20" s="152">
        <f t="shared" si="7"/>
        <v>2.81E-2</v>
      </c>
      <c r="H20" s="152">
        <f t="shared" si="8"/>
        <v>2.12E-2</v>
      </c>
      <c r="I20" s="70">
        <f t="shared" si="9"/>
        <v>5109036.9000000004</v>
      </c>
      <c r="J20" s="152">
        <f t="shared" si="10"/>
        <v>2.1114000000000002</v>
      </c>
      <c r="K20" s="3104" t="s">
        <v>7229</v>
      </c>
    </row>
    <row r="21" spans="1:11" ht="18">
      <c r="A21" s="30"/>
      <c r="B21" s="150">
        <v>1220</v>
      </c>
      <c r="C21" s="151" t="str">
        <f>IF($B21="","",VLOOKUP($B21,Sheet_Items,2,0))</f>
        <v>其他应收款（报表项目）</v>
      </c>
      <c r="D21" s="70">
        <f t="shared" si="2"/>
        <v>1187767</v>
      </c>
      <c r="E21" s="152">
        <f t="shared" si="6"/>
        <v>3.3999999999999998E-3</v>
      </c>
      <c r="F21" s="70">
        <f t="shared" si="3"/>
        <v>8891788.4800000004</v>
      </c>
      <c r="G21" s="152">
        <f t="shared" si="7"/>
        <v>3.32E-2</v>
      </c>
      <c r="H21" s="152">
        <f t="shared" si="8"/>
        <v>2.98E-2</v>
      </c>
      <c r="I21" s="70">
        <f t="shared" si="9"/>
        <v>7704021.4800000004</v>
      </c>
      <c r="J21" s="152">
        <f t="shared" si="10"/>
        <v>6.4861000000000004</v>
      </c>
      <c r="K21" s="3104" t="s">
        <v>7230</v>
      </c>
    </row>
    <row r="22" spans="1:11" ht="18">
      <c r="A22" s="30"/>
      <c r="B22" s="150">
        <v>1132</v>
      </c>
      <c r="C22" s="151" t="str">
        <f t="shared" si="0"/>
        <v>其中：应收利息</v>
      </c>
      <c r="D22" s="70">
        <f t="shared" si="2"/>
        <v>76153.320000000007</v>
      </c>
      <c r="E22" s="152">
        <f t="shared" si="6"/>
        <v>2.0000000000000001E-4</v>
      </c>
      <c r="F22" s="70">
        <f t="shared" si="3"/>
        <v>0</v>
      </c>
      <c r="G22" s="152">
        <f t="shared" si="7"/>
        <v>0</v>
      </c>
      <c r="H22" s="152">
        <f t="shared" si="8"/>
        <v>-2.0000000000000001E-4</v>
      </c>
      <c r="I22" s="70">
        <f t="shared" si="9"/>
        <v>-76153.320000000007</v>
      </c>
      <c r="J22" s="152">
        <f t="shared" si="10"/>
        <v>-1</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24">
      <c r="A24" s="30"/>
      <c r="B24" s="150">
        <v>1400</v>
      </c>
      <c r="C24" s="151" t="str">
        <f t="shared" si="0"/>
        <v>存货</v>
      </c>
      <c r="D24" s="70">
        <f t="shared" si="2"/>
        <v>33104385.260000002</v>
      </c>
      <c r="E24" s="152">
        <f t="shared" si="6"/>
        <v>9.4799999999999995E-2</v>
      </c>
      <c r="F24" s="70">
        <f t="shared" si="3"/>
        <v>25995109.16</v>
      </c>
      <c r="G24" s="152">
        <f t="shared" si="7"/>
        <v>9.7100000000000006E-2</v>
      </c>
      <c r="H24" s="152">
        <f t="shared" si="8"/>
        <v>2.3E-3</v>
      </c>
      <c r="I24" s="70">
        <f t="shared" si="9"/>
        <v>-7109276.0999999996</v>
      </c>
      <c r="J24" s="152">
        <f t="shared" si="10"/>
        <v>-0.21479999999999999</v>
      </c>
      <c r="K24" s="3104" t="s">
        <v>7231</v>
      </c>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161317985.71000001</v>
      </c>
      <c r="E28" s="154">
        <f>SUM(E13:E27)-SUM(E22,E23)</f>
        <v>0.46</v>
      </c>
      <c r="F28" s="154">
        <f t="shared" ref="F28:I28" si="11">SUM(F13:F27)-SUM(F22,F23)</f>
        <v>102093614.20999999</v>
      </c>
      <c r="G28" s="154">
        <f t="shared" si="11"/>
        <v>0.38</v>
      </c>
      <c r="H28" s="154">
        <f t="shared" si="11"/>
        <v>-0.08</v>
      </c>
      <c r="I28" s="154">
        <f t="shared" si="11"/>
        <v>-59224371.5</v>
      </c>
      <c r="J28" s="152">
        <f t="shared" si="10"/>
        <v>-0.36709999999999998</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3003000</v>
      </c>
      <c r="E31" s="152">
        <f t="shared" ref="E31:E53" si="15">IF(D$55=0,"",D31/D$55)</f>
        <v>8.6E-3</v>
      </c>
      <c r="F31" s="70">
        <f t="shared" si="14"/>
        <v>3003000</v>
      </c>
      <c r="G31" s="152">
        <f t="shared" ref="G31:G53" si="16">IF(F$55=0,"",F31/F$55)</f>
        <v>1.12E-2</v>
      </c>
      <c r="H31" s="152">
        <f t="shared" ref="H31:H53" si="17">IF(OR(G31="",E31=""),"",G31-E31)</f>
        <v>2.5999999999999999E-3</v>
      </c>
      <c r="I31" s="70">
        <f t="shared" ref="I31:I53" si="18">IF(OR(F31="",D31=""),"",F31-D31)</f>
        <v>0</v>
      </c>
      <c r="J31" s="152">
        <f t="shared" ref="J31:J53" si="19">IF(OR(I31="",D31="",D31=0),"",I31/D31)</f>
        <v>0</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99146371.280000001</v>
      </c>
      <c r="E40" s="152">
        <f t="shared" si="15"/>
        <v>0.28389999999999999</v>
      </c>
      <c r="F40" s="70">
        <f t="shared" si="14"/>
        <v>85912962.349999994</v>
      </c>
      <c r="G40" s="152">
        <f t="shared" si="16"/>
        <v>0.3211</v>
      </c>
      <c r="H40" s="152">
        <f t="shared" si="17"/>
        <v>3.7199999999999997E-2</v>
      </c>
      <c r="I40" s="70">
        <f t="shared" si="18"/>
        <v>-13233408.93</v>
      </c>
      <c r="J40" s="152">
        <f t="shared" si="19"/>
        <v>-0.13350000000000001</v>
      </c>
      <c r="K40" s="3104" t="s">
        <v>7232</v>
      </c>
    </row>
    <row r="41" spans="1:11" ht="18">
      <c r="A41" s="30"/>
      <c r="B41" s="150">
        <v>1601</v>
      </c>
      <c r="C41" s="151" t="str">
        <f t="shared" si="0"/>
        <v>其中：固定资产</v>
      </c>
      <c r="D41" s="70">
        <f t="shared" si="13"/>
        <v>99146371.280000001</v>
      </c>
      <c r="E41" s="152">
        <f t="shared" si="15"/>
        <v>0.28389999999999999</v>
      </c>
      <c r="F41" s="70">
        <f t="shared" si="14"/>
        <v>85912962.349999994</v>
      </c>
      <c r="G41" s="152">
        <f t="shared" si="16"/>
        <v>0.3211</v>
      </c>
      <c r="H41" s="152">
        <f t="shared" si="17"/>
        <v>3.7199999999999997E-2</v>
      </c>
      <c r="I41" s="70">
        <f t="shared" si="18"/>
        <v>-13233408.93</v>
      </c>
      <c r="J41" s="152">
        <f t="shared" si="19"/>
        <v>-0.13350000000000001</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24">
      <c r="A43" s="30"/>
      <c r="B43" s="150">
        <v>1616</v>
      </c>
      <c r="C43" s="151" t="str">
        <f>IF($B43="","",VLOOKUP($B43,Sheet_Items,2,0))</f>
        <v>在建工程（报表项目）</v>
      </c>
      <c r="D43" s="70">
        <f t="shared" si="13"/>
        <v>43951288.280000001</v>
      </c>
      <c r="E43" s="152">
        <f t="shared" si="15"/>
        <v>0.1258</v>
      </c>
      <c r="F43" s="70">
        <f t="shared" si="14"/>
        <v>36387220.170000002</v>
      </c>
      <c r="G43" s="152">
        <f t="shared" si="16"/>
        <v>0.13600000000000001</v>
      </c>
      <c r="H43" s="152">
        <f t="shared" si="17"/>
        <v>1.0200000000000001E-2</v>
      </c>
      <c r="I43" s="70">
        <f t="shared" si="18"/>
        <v>-7564068.1100000003</v>
      </c>
      <c r="J43" s="152">
        <f t="shared" si="19"/>
        <v>-0.1721</v>
      </c>
      <c r="K43" s="3104" t="s">
        <v>7233</v>
      </c>
    </row>
    <row r="44" spans="1:11" ht="18">
      <c r="A44" s="30"/>
      <c r="B44" s="150">
        <v>1604</v>
      </c>
      <c r="C44" s="151" t="str">
        <f t="shared" si="0"/>
        <v>其中：在建工程</v>
      </c>
      <c r="D44" s="70">
        <f t="shared" si="13"/>
        <v>43951288.280000001</v>
      </c>
      <c r="E44" s="152">
        <f t="shared" si="15"/>
        <v>0.1258</v>
      </c>
      <c r="F44" s="70">
        <f t="shared" si="14"/>
        <v>36387220.170000002</v>
      </c>
      <c r="G44" s="152">
        <f t="shared" si="16"/>
        <v>0.13600000000000001</v>
      </c>
      <c r="H44" s="152">
        <f t="shared" si="17"/>
        <v>1.0200000000000001E-2</v>
      </c>
      <c r="I44" s="70">
        <f t="shared" si="18"/>
        <v>-7564068.1100000003</v>
      </c>
      <c r="J44" s="152">
        <f t="shared" si="19"/>
        <v>-0.1721</v>
      </c>
      <c r="K44" s="163"/>
    </row>
    <row r="45" spans="1:11" ht="36">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3104" t="s">
        <v>7234</v>
      </c>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20891148.170000002</v>
      </c>
      <c r="E48" s="152">
        <f t="shared" si="15"/>
        <v>5.9799999999999999E-2</v>
      </c>
      <c r="F48" s="70">
        <f t="shared" si="14"/>
        <v>22921846.190000001</v>
      </c>
      <c r="G48" s="152">
        <f t="shared" si="16"/>
        <v>8.5699999999999998E-2</v>
      </c>
      <c r="H48" s="152">
        <f t="shared" si="17"/>
        <v>2.5899999999999999E-2</v>
      </c>
      <c r="I48" s="70">
        <f t="shared" si="18"/>
        <v>2030698.02</v>
      </c>
      <c r="J48" s="152">
        <f t="shared" si="19"/>
        <v>9.7199999999999995E-2</v>
      </c>
      <c r="K48" s="3104" t="s">
        <v>7235</v>
      </c>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1731944.44</v>
      </c>
      <c r="E51" s="152">
        <f t="shared" si="15"/>
        <v>5.0000000000000001E-3</v>
      </c>
      <c r="F51" s="70">
        <f t="shared" si="14"/>
        <v>1548766.81</v>
      </c>
      <c r="G51" s="152">
        <f t="shared" si="16"/>
        <v>5.7999999999999996E-3</v>
      </c>
      <c r="H51" s="152">
        <f t="shared" si="17"/>
        <v>8.0000000000000004E-4</v>
      </c>
      <c r="I51" s="70">
        <f t="shared" si="18"/>
        <v>-183177.63</v>
      </c>
      <c r="J51" s="152">
        <f t="shared" si="19"/>
        <v>-0.10580000000000001</v>
      </c>
      <c r="K51" s="3104" t="s">
        <v>7235</v>
      </c>
    </row>
    <row r="52" spans="1:11" ht="18">
      <c r="A52" s="30"/>
      <c r="B52" s="150">
        <v>1811</v>
      </c>
      <c r="C52" s="151" t="str">
        <f t="shared" si="0"/>
        <v>递延所得税资产</v>
      </c>
      <c r="D52" s="70">
        <f t="shared" si="13"/>
        <v>15732218.73</v>
      </c>
      <c r="E52" s="152">
        <f t="shared" si="15"/>
        <v>4.4999999999999998E-2</v>
      </c>
      <c r="F52" s="70">
        <f t="shared" si="14"/>
        <v>15732218.73</v>
      </c>
      <c r="G52" s="152">
        <f t="shared" si="16"/>
        <v>5.8799999999999998E-2</v>
      </c>
      <c r="H52" s="152">
        <f t="shared" si="17"/>
        <v>1.38E-2</v>
      </c>
      <c r="I52" s="70">
        <f t="shared" si="18"/>
        <v>0</v>
      </c>
      <c r="J52" s="152">
        <f t="shared" si="19"/>
        <v>0</v>
      </c>
      <c r="K52" s="163"/>
    </row>
    <row r="53" spans="1:11" ht="18">
      <c r="A53" s="30"/>
      <c r="B53" s="150">
        <v>1996</v>
      </c>
      <c r="C53" s="151" t="str">
        <f t="shared" si="0"/>
        <v>其他非流动资产</v>
      </c>
      <c r="D53" s="70">
        <f t="shared" si="13"/>
        <v>3483445.9</v>
      </c>
      <c r="E53" s="152">
        <f t="shared" si="15"/>
        <v>0.01</v>
      </c>
      <c r="F53" s="70">
        <f t="shared" si="14"/>
        <v>0</v>
      </c>
      <c r="G53" s="152">
        <f t="shared" si="16"/>
        <v>0</v>
      </c>
      <c r="H53" s="152">
        <f t="shared" si="17"/>
        <v>-0.01</v>
      </c>
      <c r="I53" s="70">
        <f t="shared" si="18"/>
        <v>-3483445.9</v>
      </c>
      <c r="J53" s="152">
        <f t="shared" si="19"/>
        <v>-1</v>
      </c>
      <c r="K53" s="163"/>
    </row>
    <row r="54" spans="1:11" ht="18">
      <c r="A54" s="30"/>
      <c r="B54" s="150">
        <v>1998</v>
      </c>
      <c r="C54" s="153" t="str">
        <f t="shared" ref="C54:C93" si="20">IF($B54="","",VLOOKUP($B54,Sheet_Items,6,0))</f>
        <v>非流动资产合计</v>
      </c>
      <c r="D54" s="154">
        <f>SUM(D30:D53)-SUM(D41,D42,D44,D45)</f>
        <v>187939416.80000001</v>
      </c>
      <c r="E54" s="156">
        <f t="shared" ref="E54:I54" si="21">SUM(E30:E53)-SUM(E41,E42,E44,E45)</f>
        <v>0.53810000000000002</v>
      </c>
      <c r="F54" s="154">
        <f t="shared" si="21"/>
        <v>165506014.25</v>
      </c>
      <c r="G54" s="156">
        <f t="shared" si="21"/>
        <v>0.61860000000000004</v>
      </c>
      <c r="H54" s="156">
        <f t="shared" si="21"/>
        <v>8.0500000000000002E-2</v>
      </c>
      <c r="I54" s="154">
        <f t="shared" si="21"/>
        <v>-22433402.550000001</v>
      </c>
      <c r="J54" s="152">
        <f t="shared" si="1"/>
        <v>-0.11940000000000001</v>
      </c>
      <c r="K54" s="163"/>
    </row>
    <row r="55" spans="1:11" ht="18">
      <c r="A55" s="30"/>
      <c r="B55" s="150">
        <v>1999</v>
      </c>
      <c r="C55" s="153" t="str">
        <f t="shared" si="20"/>
        <v>资产总计</v>
      </c>
      <c r="D55" s="154">
        <f t="shared" ref="D55:I55" si="22">SUM(D28,D54)</f>
        <v>349257402.50999999</v>
      </c>
      <c r="E55" s="156">
        <f t="shared" si="22"/>
        <v>0.99809999999999999</v>
      </c>
      <c r="F55" s="154">
        <f t="shared" si="22"/>
        <v>267599628.46000001</v>
      </c>
      <c r="G55" s="156">
        <f t="shared" si="22"/>
        <v>0.99860000000000004</v>
      </c>
      <c r="H55" s="156">
        <f t="shared" si="22"/>
        <v>5.0000000000000001E-4</v>
      </c>
      <c r="I55" s="154">
        <f t="shared" si="22"/>
        <v>-81657774.049999997</v>
      </c>
      <c r="J55" s="155">
        <f t="shared" ref="J55:J93" si="23">IF(OR(I55="",D55="",D55=0),"",I55/D55)</f>
        <v>-0.23380000000000001</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48">
      <c r="A61" s="30"/>
      <c r="B61" s="150">
        <v>2201</v>
      </c>
      <c r="C61" s="151" t="str">
        <f t="shared" si="20"/>
        <v>应付票据</v>
      </c>
      <c r="D61" s="70">
        <f t="shared" si="26"/>
        <v>42762500</v>
      </c>
      <c r="E61" s="152">
        <f t="shared" si="28"/>
        <v>0.27160000000000001</v>
      </c>
      <c r="F61" s="70">
        <f t="shared" si="27"/>
        <v>0</v>
      </c>
      <c r="G61" s="152">
        <f t="shared" si="29"/>
        <v>0</v>
      </c>
      <c r="H61" s="152">
        <f t="shared" si="30"/>
        <v>-0.27160000000000001</v>
      </c>
      <c r="I61" s="70">
        <f t="shared" si="31"/>
        <v>-42762500</v>
      </c>
      <c r="J61" s="152">
        <f t="shared" si="32"/>
        <v>-1</v>
      </c>
      <c r="K61" s="3104" t="s">
        <v>7236</v>
      </c>
    </row>
    <row r="62" spans="1:11" ht="24">
      <c r="A62" s="30"/>
      <c r="B62" s="150">
        <v>2202</v>
      </c>
      <c r="C62" s="151" t="str">
        <f t="shared" si="20"/>
        <v>应付账款</v>
      </c>
      <c r="D62" s="70">
        <f t="shared" si="26"/>
        <v>35943625.149999999</v>
      </c>
      <c r="E62" s="152">
        <f t="shared" si="28"/>
        <v>0.2283</v>
      </c>
      <c r="F62" s="70">
        <f t="shared" si="27"/>
        <v>58814880.079999998</v>
      </c>
      <c r="G62" s="152">
        <f t="shared" si="29"/>
        <v>0.75449999999999995</v>
      </c>
      <c r="H62" s="152">
        <f t="shared" si="30"/>
        <v>0.5262</v>
      </c>
      <c r="I62" s="70">
        <f t="shared" si="31"/>
        <v>22871254.93</v>
      </c>
      <c r="J62" s="152">
        <f t="shared" si="32"/>
        <v>0.63629999999999998</v>
      </c>
      <c r="K62" s="3104" t="s">
        <v>7237</v>
      </c>
    </row>
    <row r="63" spans="1:11" ht="24">
      <c r="A63" s="30"/>
      <c r="B63" s="150">
        <v>2205</v>
      </c>
      <c r="C63" s="151" t="str">
        <f t="shared" si="20"/>
        <v>预收款项</v>
      </c>
      <c r="D63" s="70">
        <f t="shared" si="26"/>
        <v>2572903.23</v>
      </c>
      <c r="E63" s="152">
        <f t="shared" si="28"/>
        <v>1.6299999999999999E-2</v>
      </c>
      <c r="F63" s="70">
        <f t="shared" si="27"/>
        <v>2050802.61</v>
      </c>
      <c r="G63" s="152">
        <f t="shared" si="29"/>
        <v>2.63E-2</v>
      </c>
      <c r="H63" s="152">
        <f t="shared" si="30"/>
        <v>0.01</v>
      </c>
      <c r="I63" s="70">
        <f t="shared" si="31"/>
        <v>-522100.62</v>
      </c>
      <c r="J63" s="152">
        <f t="shared" si="32"/>
        <v>-0.2029</v>
      </c>
      <c r="K63" s="3104" t="s">
        <v>7238</v>
      </c>
    </row>
    <row r="64" spans="1:11" ht="84">
      <c r="A64" s="30"/>
      <c r="B64" s="150">
        <v>2211</v>
      </c>
      <c r="C64" s="151" t="str">
        <f t="shared" si="20"/>
        <v>应付职工薪酬</v>
      </c>
      <c r="D64" s="70">
        <f t="shared" si="26"/>
        <v>6936778.7800000003</v>
      </c>
      <c r="E64" s="152">
        <f t="shared" si="28"/>
        <v>4.41E-2</v>
      </c>
      <c r="F64" s="70">
        <f t="shared" si="27"/>
        <v>2397461.7799999998</v>
      </c>
      <c r="G64" s="152">
        <f t="shared" si="29"/>
        <v>3.0800000000000001E-2</v>
      </c>
      <c r="H64" s="152">
        <f t="shared" si="30"/>
        <v>-1.3299999999999999E-2</v>
      </c>
      <c r="I64" s="70">
        <f t="shared" si="31"/>
        <v>-4539317</v>
      </c>
      <c r="J64" s="152">
        <f t="shared" si="32"/>
        <v>-0.65439999999999998</v>
      </c>
      <c r="K64" s="3104" t="s">
        <v>7239</v>
      </c>
    </row>
    <row r="65" spans="1:11" ht="18">
      <c r="A65" s="30"/>
      <c r="B65" s="150">
        <v>2221</v>
      </c>
      <c r="C65" s="151" t="str">
        <f t="shared" si="20"/>
        <v>应交税费</v>
      </c>
      <c r="D65" s="70">
        <f t="shared" si="26"/>
        <v>7888725.9500000002</v>
      </c>
      <c r="E65" s="152">
        <f t="shared" si="28"/>
        <v>5.0099999999999999E-2</v>
      </c>
      <c r="F65" s="70">
        <f t="shared" si="27"/>
        <v>3622479.71</v>
      </c>
      <c r="G65" s="152">
        <f t="shared" si="29"/>
        <v>4.65E-2</v>
      </c>
      <c r="H65" s="152">
        <f t="shared" si="30"/>
        <v>-3.5999999999999999E-3</v>
      </c>
      <c r="I65" s="70">
        <f t="shared" si="31"/>
        <v>-4266246.24</v>
      </c>
      <c r="J65" s="152">
        <f t="shared" si="32"/>
        <v>-0.54079999999999995</v>
      </c>
      <c r="K65" s="3104" t="s">
        <v>7240</v>
      </c>
    </row>
    <row r="66" spans="1:11" ht="18">
      <c r="A66" s="30"/>
      <c r="B66" s="150">
        <v>2246</v>
      </c>
      <c r="C66" s="151" t="str">
        <f>IF($B66="","",VLOOKUP($B66,Sheet_Items,2,0))</f>
        <v>其他应付款（报表项目）</v>
      </c>
      <c r="D66" s="70">
        <f t="shared" si="26"/>
        <v>61340818.75</v>
      </c>
      <c r="E66" s="152">
        <f t="shared" si="28"/>
        <v>0.3896</v>
      </c>
      <c r="F66" s="70">
        <f t="shared" si="27"/>
        <v>11067755.74</v>
      </c>
      <c r="G66" s="152">
        <f t="shared" si="29"/>
        <v>0.14199999999999999</v>
      </c>
      <c r="H66" s="152">
        <f t="shared" si="30"/>
        <v>-0.24759999999999999</v>
      </c>
      <c r="I66" s="70">
        <f t="shared" si="31"/>
        <v>-50273063.009999998</v>
      </c>
      <c r="J66" s="152">
        <f t="shared" si="32"/>
        <v>-0.8196</v>
      </c>
      <c r="K66" s="3104" t="s">
        <v>7240</v>
      </c>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157445351.86000001</v>
      </c>
      <c r="E72" s="156">
        <f t="shared" ref="E72:I72" si="33">SUM(E57:E71)-SUM(E67,E68)</f>
        <v>1</v>
      </c>
      <c r="F72" s="154">
        <f t="shared" si="33"/>
        <v>77953379.920000002</v>
      </c>
      <c r="G72" s="156">
        <f t="shared" si="33"/>
        <v>1.0001</v>
      </c>
      <c r="H72" s="156">
        <f t="shared" si="33"/>
        <v>1E-4</v>
      </c>
      <c r="I72" s="154">
        <f t="shared" si="33"/>
        <v>-79491971.939999998</v>
      </c>
      <c r="J72" s="152">
        <f t="shared" si="23"/>
        <v>-0.50490000000000002</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157445351.86000001</v>
      </c>
      <c r="E85" s="156">
        <f>SUM(E72,E84)</f>
        <v>1</v>
      </c>
      <c r="F85" s="154">
        <f>SUM(F72,F84)</f>
        <v>77953379.920000002</v>
      </c>
      <c r="G85" s="156">
        <f>SUM(G72,G84)</f>
        <v>1.0001</v>
      </c>
      <c r="H85" s="156"/>
      <c r="I85" s="154">
        <f>SUM(I72,I84)</f>
        <v>-79491971.939999998</v>
      </c>
      <c r="J85" s="155">
        <f t="shared" si="23"/>
        <v>-0.50490000000000002</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85691911</v>
      </c>
      <c r="E87" s="152">
        <f t="shared" ref="E87:E97" si="43">IF(D$98=0,"",D87/D$98)</f>
        <v>0.44669999999999999</v>
      </c>
      <c r="F87" s="70">
        <f t="shared" ref="F87:F95" si="44">VLOOKUP($B87,Sheet_Trialbal,3,0)</f>
        <v>85691911</v>
      </c>
      <c r="G87" s="152">
        <f t="shared" ref="G87:G97" si="45">IF(F$98=0,"",F87/F$98)</f>
        <v>0.45190000000000002</v>
      </c>
      <c r="H87" s="152">
        <f t="shared" si="40"/>
        <v>5.1999999999999998E-3</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238420255.88999999</v>
      </c>
      <c r="E89" s="152">
        <f t="shared" si="43"/>
        <v>1.2430000000000001</v>
      </c>
      <c r="F89" s="70">
        <f t="shared" si="44"/>
        <v>238420255.88999999</v>
      </c>
      <c r="G89" s="152">
        <f t="shared" si="45"/>
        <v>1.2572000000000001</v>
      </c>
      <c r="H89" s="152">
        <f t="shared" si="40"/>
        <v>1.4200000000000001E-2</v>
      </c>
      <c r="I89" s="70">
        <f t="shared" si="41"/>
        <v>0</v>
      </c>
      <c r="J89" s="152">
        <f t="shared" si="23"/>
        <v>0</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8378246.8099999996</v>
      </c>
      <c r="E92" s="152">
        <f t="shared" si="43"/>
        <v>4.3700000000000003E-2</v>
      </c>
      <c r="F92" s="70">
        <f t="shared" si="44"/>
        <v>4545209.38</v>
      </c>
      <c r="G92" s="152">
        <f t="shared" si="45"/>
        <v>2.4E-2</v>
      </c>
      <c r="H92" s="152">
        <f t="shared" si="40"/>
        <v>-1.9699999999999999E-2</v>
      </c>
      <c r="I92" s="70">
        <f t="shared" si="41"/>
        <v>-3833037.43</v>
      </c>
      <c r="J92" s="152">
        <f t="shared" si="23"/>
        <v>-0.45750000000000002</v>
      </c>
      <c r="K92" s="3104" t="s">
        <v>7241</v>
      </c>
    </row>
    <row r="93" spans="1:11" ht="18">
      <c r="A93" s="30"/>
      <c r="B93" s="150">
        <v>4101</v>
      </c>
      <c r="C93" s="151" t="str">
        <f t="shared" si="20"/>
        <v>盈余公积</v>
      </c>
      <c r="D93" s="70">
        <f t="shared" si="42"/>
        <v>4637867.0999999996</v>
      </c>
      <c r="E93" s="152">
        <f t="shared" si="43"/>
        <v>2.4199999999999999E-2</v>
      </c>
      <c r="F93" s="70">
        <f t="shared" si="44"/>
        <v>4637867.0999999996</v>
      </c>
      <c r="G93" s="152">
        <f t="shared" si="45"/>
        <v>2.4500000000000001E-2</v>
      </c>
      <c r="H93" s="152">
        <f t="shared" si="40"/>
        <v>2.9999999999999997E-4</v>
      </c>
      <c r="I93" s="70">
        <f t="shared" si="41"/>
        <v>0</v>
      </c>
      <c r="J93" s="152">
        <f t="shared" si="23"/>
        <v>0</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-145316230.15000001</v>
      </c>
      <c r="E95" s="152">
        <f t="shared" si="43"/>
        <v>-0.75760000000000005</v>
      </c>
      <c r="F95" s="70">
        <f t="shared" si="44"/>
        <v>-143648994.83000001</v>
      </c>
      <c r="G95" s="152">
        <f t="shared" si="45"/>
        <v>-0.75749999999999995</v>
      </c>
      <c r="H95" s="152">
        <f t="shared" si="40"/>
        <v>1E-4</v>
      </c>
      <c r="I95" s="70">
        <f t="shared" si="41"/>
        <v>1667235.32</v>
      </c>
      <c r="J95" s="152">
        <f t="shared" si="47"/>
        <v>-1.15E-2</v>
      </c>
      <c r="K95" s="163"/>
    </row>
    <row r="96" spans="1:11" ht="18">
      <c r="A96" s="30"/>
      <c r="B96" s="150">
        <v>4298</v>
      </c>
      <c r="C96" s="164" t="str">
        <f t="shared" si="46"/>
        <v>归属于母公司所有者权益合计</v>
      </c>
      <c r="D96" s="154">
        <f>SUM(D87:D89,-D90,D91:D95)</f>
        <v>191812050.65000001</v>
      </c>
      <c r="E96" s="155">
        <f t="shared" si="43"/>
        <v>1</v>
      </c>
      <c r="F96" s="154">
        <f>SUM(F87:F89,-F90,F91:F95)</f>
        <v>189646248.53999999</v>
      </c>
      <c r="G96" s="155">
        <f t="shared" si="45"/>
        <v>1</v>
      </c>
      <c r="H96" s="155">
        <f t="shared" si="40"/>
        <v>0</v>
      </c>
      <c r="I96" s="154">
        <f>SUM(I87:I89,-I90,I91:I95)</f>
        <v>-2165802.11</v>
      </c>
      <c r="J96" s="152">
        <f t="shared" si="47"/>
        <v>-1.1299999999999999E-2</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191812050.65000001</v>
      </c>
      <c r="E98" s="156">
        <f t="shared" si="48"/>
        <v>1</v>
      </c>
      <c r="F98" s="154">
        <f t="shared" si="48"/>
        <v>189646248.53999999</v>
      </c>
      <c r="G98" s="156">
        <f t="shared" si="48"/>
        <v>1</v>
      </c>
      <c r="H98" s="156">
        <f t="shared" si="48"/>
        <v>0</v>
      </c>
      <c r="I98" s="154">
        <f t="shared" si="48"/>
        <v>-2165802.11</v>
      </c>
      <c r="J98" s="152">
        <f t="shared" si="47"/>
        <v>-1.1299999999999999E-2</v>
      </c>
      <c r="K98" s="163"/>
    </row>
    <row r="99" spans="1:11" ht="18">
      <c r="A99" s="30"/>
      <c r="B99" s="150">
        <v>5000</v>
      </c>
      <c r="C99" s="153" t="str">
        <f t="shared" si="46"/>
        <v>负债和所有者权益总计</v>
      </c>
      <c r="D99" s="154">
        <f>SUM(D85,D98)</f>
        <v>349257402.50999999</v>
      </c>
      <c r="E99" s="152"/>
      <c r="F99" s="154">
        <f>SUM(F85,F98)</f>
        <v>267599628.46000001</v>
      </c>
      <c r="G99" s="152"/>
      <c r="H99" s="152" t="str">
        <f t="shared" ref="H99:H101" si="49">IF(OR(G99="",E99=""),"",G99-E99)</f>
        <v/>
      </c>
      <c r="I99" s="154">
        <f>SUM(I85,I98)</f>
        <v>-81657774.049999997</v>
      </c>
      <c r="J99" s="152">
        <f t="shared" si="47"/>
        <v>-0.23380000000000001</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24">
      <c r="A101" s="30"/>
      <c r="B101" s="150">
        <v>6001</v>
      </c>
      <c r="C101" s="151" t="str">
        <f t="shared" ref="C101:C124" si="51">IF($B101="","",VLOOKUP($B101,Sheet_Items,2,0))</f>
        <v>营业收入</v>
      </c>
      <c r="D101" s="70">
        <f t="shared" ref="D101:D114" si="52">VLOOKUP($B101,Sheet_Trialbal,10,0)</f>
        <v>339876355.07999998</v>
      </c>
      <c r="E101" s="152"/>
      <c r="F101" s="70">
        <f t="shared" ref="F101:F114" si="53">VLOOKUP($B101,Sheet_Trialbal,3,0)</f>
        <v>227506544.46000001</v>
      </c>
      <c r="G101" s="152"/>
      <c r="H101" s="152" t="str">
        <f t="shared" si="49"/>
        <v/>
      </c>
      <c r="I101" s="70">
        <f t="shared" si="50"/>
        <v>-112369810.62</v>
      </c>
      <c r="J101" s="152">
        <f t="shared" si="47"/>
        <v>-0.3306</v>
      </c>
      <c r="K101" s="3104" t="s">
        <v>7242</v>
      </c>
    </row>
    <row r="102" spans="1:11" ht="24">
      <c r="A102" s="30"/>
      <c r="B102" s="150">
        <v>6401</v>
      </c>
      <c r="C102" s="151" t="str">
        <f t="shared" si="51"/>
        <v>营业成本</v>
      </c>
      <c r="D102" s="70">
        <f t="shared" si="52"/>
        <v>239939923.65000001</v>
      </c>
      <c r="E102" s="152"/>
      <c r="F102" s="70">
        <f t="shared" si="53"/>
        <v>182901443.08000001</v>
      </c>
      <c r="G102" s="152"/>
      <c r="H102" s="152" t="str">
        <f t="shared" ref="H102:H114" si="54">IF(OR(G102="",E102=""),"",G102-E102)</f>
        <v/>
      </c>
      <c r="I102" s="70">
        <f t="shared" ref="I102:I114" si="55">IF(OR(F102="",D102=""),"",F102-D102)</f>
        <v>-57038480.57</v>
      </c>
      <c r="J102" s="152">
        <f t="shared" ref="J102:J115" si="56">IF(OR(I102="",D102="",D102=0),"",I102/D102)</f>
        <v>-0.23769999999999999</v>
      </c>
      <c r="K102" s="3104" t="s">
        <v>7243</v>
      </c>
    </row>
    <row r="103" spans="1:11" ht="24">
      <c r="A103" s="30"/>
      <c r="B103" s="150">
        <v>6600</v>
      </c>
      <c r="C103" s="151" t="str">
        <f t="shared" si="51"/>
        <v>税金及附加</v>
      </c>
      <c r="D103" s="70">
        <f t="shared" si="52"/>
        <v>6554133.3899999997</v>
      </c>
      <c r="E103" s="152"/>
      <c r="F103" s="70">
        <f t="shared" si="53"/>
        <v>3698966.08</v>
      </c>
      <c r="G103" s="152"/>
      <c r="H103" s="152" t="str">
        <f t="shared" si="54"/>
        <v/>
      </c>
      <c r="I103" s="70">
        <f t="shared" si="55"/>
        <v>-2855167.31</v>
      </c>
      <c r="J103" s="152">
        <f t="shared" si="56"/>
        <v>-0.43559999999999999</v>
      </c>
      <c r="K103" s="3104" t="s">
        <v>7246</v>
      </c>
    </row>
    <row r="104" spans="1:11" ht="36">
      <c r="A104" s="30"/>
      <c r="B104" s="150">
        <v>6601</v>
      </c>
      <c r="C104" s="151" t="str">
        <f t="shared" si="51"/>
        <v>销售费用</v>
      </c>
      <c r="D104" s="70">
        <f t="shared" si="52"/>
        <v>22551947.460000001</v>
      </c>
      <c r="E104" s="152"/>
      <c r="F104" s="70">
        <f t="shared" si="53"/>
        <v>13546525.32</v>
      </c>
      <c r="G104" s="152"/>
      <c r="H104" s="152" t="str">
        <f t="shared" si="54"/>
        <v/>
      </c>
      <c r="I104" s="70">
        <f t="shared" si="55"/>
        <v>-9005422.1400000006</v>
      </c>
      <c r="J104" s="152">
        <f t="shared" si="56"/>
        <v>-0.39929999999999999</v>
      </c>
      <c r="K104" s="3104" t="s">
        <v>7244</v>
      </c>
    </row>
    <row r="105" spans="1:11" ht="48">
      <c r="A105" s="30"/>
      <c r="B105" s="150">
        <v>6602</v>
      </c>
      <c r="C105" s="151" t="str">
        <f t="shared" si="51"/>
        <v>管理费用</v>
      </c>
      <c r="D105" s="70">
        <f t="shared" si="52"/>
        <v>28739665.809999999</v>
      </c>
      <c r="E105" s="152"/>
      <c r="F105" s="70">
        <f t="shared" si="53"/>
        <v>25555922.829999998</v>
      </c>
      <c r="G105" s="152"/>
      <c r="H105" s="152" t="str">
        <f t="shared" si="54"/>
        <v/>
      </c>
      <c r="I105" s="70">
        <f t="shared" si="55"/>
        <v>-3183742.98</v>
      </c>
      <c r="J105" s="152">
        <f t="shared" si="56"/>
        <v>-0.1108</v>
      </c>
      <c r="K105" s="3104" t="s">
        <v>7245</v>
      </c>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2508278.83</v>
      </c>
      <c r="E107" s="152"/>
      <c r="F107" s="70">
        <f t="shared" si="53"/>
        <v>350153.68</v>
      </c>
      <c r="G107" s="152"/>
      <c r="H107" s="152" t="str">
        <f t="shared" si="54"/>
        <v/>
      </c>
      <c r="I107" s="70">
        <f t="shared" si="55"/>
        <v>-2158125.15</v>
      </c>
      <c r="J107" s="152">
        <f t="shared" si="56"/>
        <v>-0.86040000000000005</v>
      </c>
      <c r="K107" s="3104" t="s">
        <v>7247</v>
      </c>
    </row>
    <row r="108" spans="1:11" ht="24">
      <c r="A108" s="30"/>
      <c r="B108" s="150">
        <v>6181</v>
      </c>
      <c r="C108" s="151" t="str">
        <f t="shared" si="51"/>
        <v>其他收益</v>
      </c>
      <c r="D108" s="70">
        <f t="shared" si="52"/>
        <v>15000</v>
      </c>
      <c r="E108" s="152"/>
      <c r="F108" s="70">
        <f t="shared" si="53"/>
        <v>143120</v>
      </c>
      <c r="G108" s="152"/>
      <c r="H108" s="152" t="str">
        <f t="shared" si="54"/>
        <v/>
      </c>
      <c r="I108" s="70">
        <f t="shared" si="55"/>
        <v>128120</v>
      </c>
      <c r="J108" s="152">
        <f t="shared" si="56"/>
        <v>8.5412999999999997</v>
      </c>
      <c r="K108" s="3104" t="s">
        <v>7248</v>
      </c>
    </row>
    <row r="109" spans="1:11" ht="18">
      <c r="A109" s="30"/>
      <c r="B109" s="150">
        <v>6111</v>
      </c>
      <c r="C109" s="151" t="str">
        <f t="shared" si="51"/>
        <v>投资收益</v>
      </c>
      <c r="D109" s="70">
        <f t="shared" si="52"/>
        <v>300300</v>
      </c>
      <c r="E109" s="152"/>
      <c r="F109" s="70">
        <f t="shared" si="53"/>
        <v>0</v>
      </c>
      <c r="G109" s="152"/>
      <c r="H109" s="152" t="str">
        <f t="shared" si="54"/>
        <v/>
      </c>
      <c r="I109" s="70">
        <f t="shared" si="55"/>
        <v>-300300</v>
      </c>
      <c r="J109" s="152">
        <f t="shared" si="56"/>
        <v>-1</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48">
      <c r="A113" s="30"/>
      <c r="B113" s="150">
        <v>6671</v>
      </c>
      <c r="C113" s="151" t="str">
        <f>IF($B113="","",VLOOKUP($B113,Sheet_Items,6,0))</f>
        <v>资产减值损失（损失以“-”号填列）</v>
      </c>
      <c r="D113" s="70">
        <f t="shared" si="52"/>
        <v>-9046997.6899999995</v>
      </c>
      <c r="E113" s="152"/>
      <c r="F113" s="70">
        <f t="shared" si="53"/>
        <v>563291.46</v>
      </c>
      <c r="G113" s="152"/>
      <c r="H113" s="152" t="str">
        <f t="shared" si="54"/>
        <v/>
      </c>
      <c r="I113" s="70">
        <f t="shared" si="55"/>
        <v>9610289.1500000004</v>
      </c>
      <c r="J113" s="152">
        <f t="shared" si="56"/>
        <v>-1.0623</v>
      </c>
      <c r="K113" s="3104" t="s">
        <v>7249</v>
      </c>
    </row>
    <row r="114" spans="1:11" ht="24">
      <c r="A114" s="30"/>
      <c r="B114" s="150">
        <v>6171</v>
      </c>
      <c r="C114" s="151" t="str">
        <f t="shared" si="51"/>
        <v>资产处置收益</v>
      </c>
      <c r="D114" s="70">
        <f t="shared" si="52"/>
        <v>-1081801.72</v>
      </c>
      <c r="E114" s="152"/>
      <c r="F114" s="70">
        <f t="shared" si="53"/>
        <v>-202484.15</v>
      </c>
      <c r="G114" s="152"/>
      <c r="H114" s="152" t="str">
        <f t="shared" si="54"/>
        <v/>
      </c>
      <c r="I114" s="70">
        <f t="shared" si="55"/>
        <v>879317.57</v>
      </c>
      <c r="J114" s="152">
        <f t="shared" si="56"/>
        <v>-0.81279999999999997</v>
      </c>
      <c r="K114" s="3104" t="s">
        <v>7250</v>
      </c>
    </row>
    <row r="115" spans="1:11" ht="18">
      <c r="A115" s="30"/>
      <c r="B115" s="150">
        <v>6689</v>
      </c>
      <c r="C115" s="153" t="str">
        <f t="shared" si="51"/>
        <v>营业利润</v>
      </c>
      <c r="D115" s="154">
        <f>SUM(D101)-SUM(D102:D107)+SUM(D108:D114)</f>
        <v>29768906.530000001</v>
      </c>
      <c r="E115" s="152">
        <f t="shared" ref="E115:I115" si="57">SUM(E101)-SUM(E102:E107)+SUM(E108:E114)</f>
        <v>0</v>
      </c>
      <c r="F115" s="154">
        <f t="shared" si="57"/>
        <v>1957460.78</v>
      </c>
      <c r="G115" s="152">
        <f t="shared" si="57"/>
        <v>0</v>
      </c>
      <c r="H115" s="152">
        <f t="shared" si="57"/>
        <v>0</v>
      </c>
      <c r="I115" s="154">
        <f t="shared" si="57"/>
        <v>-27811445.75</v>
      </c>
      <c r="J115" s="152">
        <f t="shared" si="56"/>
        <v>-0.93420000000000003</v>
      </c>
      <c r="K115" s="163"/>
    </row>
    <row r="116" spans="1:11" ht="18">
      <c r="A116" s="30"/>
      <c r="B116" s="150">
        <v>6710</v>
      </c>
      <c r="C116" s="151" t="str">
        <f t="shared" si="51"/>
        <v>营业外收入</v>
      </c>
      <c r="D116" s="70">
        <f>VLOOKUP($B116,Sheet_Trialbal,10,0)</f>
        <v>52566.02</v>
      </c>
      <c r="E116" s="152"/>
      <c r="F116" s="70">
        <f>VLOOKUP($B116,Sheet_Trialbal,3,0)</f>
        <v>68824.56</v>
      </c>
      <c r="G116" s="152"/>
      <c r="H116" s="152" t="str">
        <f t="shared" ref="H116:H125" si="58">IF(OR(G116="",E116=""),"",G116-E116)</f>
        <v/>
      </c>
      <c r="I116" s="70">
        <f>IF(OR(F116="",D116=""),"",F116-D116)</f>
        <v>16258.54</v>
      </c>
      <c r="J116" s="152">
        <f t="shared" si="47"/>
        <v>0.30930000000000002</v>
      </c>
      <c r="K116" s="163"/>
    </row>
    <row r="117" spans="1:11" ht="18">
      <c r="A117" s="30"/>
      <c r="B117" s="150">
        <v>6711</v>
      </c>
      <c r="C117" s="151" t="str">
        <f t="shared" si="51"/>
        <v>营业外支出</v>
      </c>
      <c r="D117" s="70">
        <f>VLOOKUP($B117,Sheet_Trialbal,10,0)</f>
        <v>910205.83</v>
      </c>
      <c r="E117" s="152"/>
      <c r="F117" s="70">
        <f>VLOOKUP($B117,Sheet_Trialbal,3,0)</f>
        <v>239577.31</v>
      </c>
      <c r="G117" s="152"/>
      <c r="H117" s="152" t="str">
        <f t="shared" si="58"/>
        <v/>
      </c>
      <c r="I117" s="70">
        <f>IF(OR(F117="",D117=""),"",F117-D117)</f>
        <v>-670628.52</v>
      </c>
      <c r="J117" s="152">
        <f t="shared" si="47"/>
        <v>-0.73680000000000001</v>
      </c>
      <c r="K117" s="3104" t="s">
        <v>7251</v>
      </c>
    </row>
    <row r="118" spans="1:11" ht="18">
      <c r="A118" s="30"/>
      <c r="B118" s="150">
        <v>6788</v>
      </c>
      <c r="C118" s="153" t="str">
        <f t="shared" si="51"/>
        <v>利润总额</v>
      </c>
      <c r="D118" s="154">
        <f>SUM(D115,D116,-D117)</f>
        <v>28911266.719999999</v>
      </c>
      <c r="E118" s="152"/>
      <c r="F118" s="154">
        <f>SUM(F115,F116,-F117)</f>
        <v>1786708.03</v>
      </c>
      <c r="G118" s="152"/>
      <c r="H118" s="152" t="str">
        <f t="shared" si="58"/>
        <v/>
      </c>
      <c r="I118" s="154">
        <f>SUM(I115,I116,-I117)</f>
        <v>-27124558.690000001</v>
      </c>
      <c r="J118" s="155">
        <f t="shared" si="47"/>
        <v>-0.93820000000000003</v>
      </c>
      <c r="K118" s="163"/>
    </row>
    <row r="119" spans="1:11" ht="18">
      <c r="A119" s="30"/>
      <c r="B119" s="150">
        <v>6791</v>
      </c>
      <c r="C119" s="151" t="str">
        <f t="shared" si="51"/>
        <v>所得税费用</v>
      </c>
      <c r="D119" s="70">
        <f>VLOOKUP($B119,Sheet_Trialbal,10,0)</f>
        <v>1544915.31</v>
      </c>
      <c r="E119" s="152"/>
      <c r="F119" s="70">
        <f>VLOOKUP($B119,Sheet_Trialbal,3,0)</f>
        <v>119472.71</v>
      </c>
      <c r="G119" s="152"/>
      <c r="H119" s="152" t="str">
        <f t="shared" si="58"/>
        <v/>
      </c>
      <c r="I119" s="70">
        <f t="shared" ref="I119:I125" si="59">IF(OR(F119="",D119=""),"",F119-D119)</f>
        <v>-1425442.6</v>
      </c>
      <c r="J119" s="152">
        <f t="shared" si="47"/>
        <v>-0.92269999999999996</v>
      </c>
      <c r="K119" s="163"/>
    </row>
    <row r="120" spans="1:11" ht="18">
      <c r="A120" s="30"/>
      <c r="B120" s="150">
        <v>6799</v>
      </c>
      <c r="C120" s="153" t="str">
        <f t="shared" si="51"/>
        <v>净利润</v>
      </c>
      <c r="D120" s="154">
        <f>SUM(D118,-D119)</f>
        <v>27366351.41</v>
      </c>
      <c r="E120" s="152"/>
      <c r="F120" s="154">
        <f>SUM(F118,-F119)</f>
        <v>1667235.32</v>
      </c>
      <c r="G120" s="152"/>
      <c r="H120" s="152" t="str">
        <f t="shared" si="58"/>
        <v/>
      </c>
      <c r="I120" s="154">
        <f t="shared" si="59"/>
        <v>-25699116.09</v>
      </c>
      <c r="J120" s="155">
        <f t="shared" si="47"/>
        <v>-0.93910000000000005</v>
      </c>
      <c r="K120" s="163"/>
    </row>
    <row r="121" spans="1:11" ht="18">
      <c r="A121" s="30"/>
      <c r="B121" s="150">
        <v>6811</v>
      </c>
      <c r="C121" s="151" t="str">
        <f t="shared" si="51"/>
        <v>归属于母公司所有者的净利润</v>
      </c>
      <c r="D121" s="70">
        <f>VLOOKUP($B121,Sheet_Trialbal,10,0)</f>
        <v>27366351.41</v>
      </c>
      <c r="E121" s="152"/>
      <c r="F121" s="70">
        <f>VLOOKUP($B121,Sheet_Trialbal,3,0)</f>
        <v>1667235.32</v>
      </c>
      <c r="G121" s="152"/>
      <c r="H121" s="152" t="str">
        <f t="shared" si="58"/>
        <v/>
      </c>
      <c r="I121" s="70">
        <f t="shared" si="59"/>
        <v>-25699116.09</v>
      </c>
      <c r="J121" s="152">
        <f t="shared" si="47"/>
        <v>-0.93910000000000005</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27366351.41</v>
      </c>
      <c r="E124" s="152"/>
      <c r="F124" s="154">
        <f>SUM(F120,F123)</f>
        <v>1667235.32</v>
      </c>
      <c r="G124" s="152"/>
      <c r="H124" s="152" t="str">
        <f t="shared" si="58"/>
        <v/>
      </c>
      <c r="I124" s="154">
        <f t="shared" si="59"/>
        <v>-25699116.09</v>
      </c>
      <c r="J124" s="155">
        <f t="shared" si="47"/>
        <v>-0.93910000000000005</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4865</v>
      </c>
      <c r="C126" s="168" t="s">
        <v>5002</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topLeftCell="A23"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山东天安化工股份有限公司</v>
      </c>
      <c r="D2" s="4"/>
      <c r="E2" s="5" t="s">
        <v>2521</v>
      </c>
      <c r="F2" s="6"/>
      <c r="G2" s="7" t="s">
        <v>2501</v>
      </c>
      <c r="H2" s="8"/>
      <c r="I2" s="53"/>
      <c r="J2" s="96"/>
    </row>
    <row r="3" spans="1:10" ht="18" customHeight="1">
      <c r="B3" s="2" t="s">
        <v>2522</v>
      </c>
      <c r="C3" s="9" t="s">
        <v>5003</v>
      </c>
      <c r="D3" s="10" t="s">
        <v>2450</v>
      </c>
      <c r="E3" s="11" t="str">
        <f>IF(Lead!$E$9="","",Lead!$E$9)</f>
        <v>陈彦良</v>
      </c>
      <c r="F3" s="12"/>
      <c r="G3" s="13">
        <f>IF(Lead!$F$9="","",Lead!$F$9)</f>
        <v>43859</v>
      </c>
      <c r="H3" s="14" t="s">
        <v>2524</v>
      </c>
      <c r="I3" s="2744" t="s">
        <v>6594</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5004</v>
      </c>
      <c r="D8" s="65" t="s">
        <v>5005</v>
      </c>
      <c r="E8" s="64" t="s">
        <v>5006</v>
      </c>
      <c r="F8" s="64" t="s">
        <v>5007</v>
      </c>
      <c r="G8" s="66" t="s">
        <v>5008</v>
      </c>
      <c r="H8" s="67" t="s">
        <v>2508</v>
      </c>
      <c r="I8" s="98"/>
      <c r="J8" s="99" t="s">
        <v>5009</v>
      </c>
    </row>
    <row r="9" spans="1:10" ht="18">
      <c r="A9" s="30"/>
      <c r="B9" s="31">
        <v>1</v>
      </c>
      <c r="C9" s="69" t="s">
        <v>5010</v>
      </c>
      <c r="D9" s="70"/>
      <c r="E9" s="70"/>
      <c r="F9" s="70"/>
      <c r="G9" s="70"/>
      <c r="H9" s="34"/>
      <c r="I9" s="56"/>
      <c r="J9" s="96"/>
    </row>
    <row r="10" spans="1:10" ht="18">
      <c r="A10" s="30"/>
      <c r="B10" s="31"/>
      <c r="C10" s="72" t="s">
        <v>5011</v>
      </c>
      <c r="D10" s="75">
        <f>IF(D61=0,"",D62/D61)</f>
        <v>0.29399999999999998</v>
      </c>
      <c r="E10" s="70"/>
      <c r="F10" s="75">
        <f>IF(F61=0,"",F62/F61)</f>
        <v>0.1961</v>
      </c>
      <c r="G10" s="70"/>
      <c r="H10" s="34"/>
      <c r="I10" s="56"/>
      <c r="J10" s="101" t="s">
        <v>5012</v>
      </c>
    </row>
    <row r="11" spans="1:10" ht="18">
      <c r="A11" s="30"/>
      <c r="B11" s="31"/>
      <c r="C11" s="72" t="s">
        <v>5013</v>
      </c>
      <c r="D11" s="75">
        <f>IF(D$61=0,"",D64/D$61)</f>
        <v>8.7599999999999997E-2</v>
      </c>
      <c r="E11" s="70"/>
      <c r="F11" s="75">
        <f>IF(F$61=0,"",F64/F$61)</f>
        <v>8.6E-3</v>
      </c>
      <c r="G11" s="70"/>
      <c r="H11" s="34"/>
      <c r="I11" s="56"/>
      <c r="J11" s="101" t="s">
        <v>5014</v>
      </c>
    </row>
    <row r="12" spans="1:10" ht="18">
      <c r="A12" s="30"/>
      <c r="B12" s="31"/>
      <c r="C12" s="72" t="s">
        <v>5015</v>
      </c>
      <c r="D12" s="75">
        <f>IF(D$55=0,"",D65/D$55)</f>
        <v>7.8399999999999997E-2</v>
      </c>
      <c r="E12" s="70"/>
      <c r="F12" s="75">
        <f>IF(F$55=0,"",F65/F$55)</f>
        <v>6.1999999999999998E-3</v>
      </c>
      <c r="G12" s="70"/>
      <c r="H12" s="34"/>
      <c r="I12" s="56"/>
      <c r="J12" s="101" t="s">
        <v>5016</v>
      </c>
    </row>
    <row r="13" spans="1:10" ht="18">
      <c r="A13" s="30"/>
      <c r="B13" s="31"/>
      <c r="C13" s="72" t="s">
        <v>5017</v>
      </c>
      <c r="D13" s="75">
        <f>IF(D60=0,"",D65/D60)</f>
        <v>0.14269999999999999</v>
      </c>
      <c r="E13" s="70"/>
      <c r="F13" s="75">
        <f>IF(F60=0,"",F65/F60)</f>
        <v>8.8000000000000005E-3</v>
      </c>
      <c r="G13" s="70"/>
      <c r="H13" s="34"/>
      <c r="I13" s="56"/>
      <c r="J13" s="101" t="s">
        <v>5018</v>
      </c>
    </row>
    <row r="14" spans="1:10" ht="18">
      <c r="A14" s="30"/>
      <c r="B14" s="31">
        <v>2</v>
      </c>
      <c r="C14" s="69" t="s">
        <v>5019</v>
      </c>
      <c r="D14" s="70"/>
      <c r="E14" s="70"/>
      <c r="F14" s="70"/>
      <c r="G14" s="70"/>
      <c r="H14" s="34"/>
      <c r="I14" s="56"/>
      <c r="J14" s="96"/>
    </row>
    <row r="15" spans="1:10" ht="18">
      <c r="A15" s="30"/>
      <c r="B15" s="31"/>
      <c r="C15" s="72" t="s">
        <v>5020</v>
      </c>
      <c r="D15" s="70">
        <f>IF(D47=0,"",D$61/D47)</f>
        <v>15.76</v>
      </c>
      <c r="E15" s="70"/>
      <c r="F15" s="70">
        <f>IF(F47=0,"",F$61/F47)</f>
        <v>4.9800000000000004</v>
      </c>
      <c r="G15" s="70"/>
      <c r="H15" s="34"/>
      <c r="I15" s="56"/>
      <c r="J15" s="101" t="s">
        <v>5021</v>
      </c>
    </row>
    <row r="16" spans="1:10" ht="18">
      <c r="A16" s="30"/>
      <c r="B16" s="31"/>
      <c r="C16" s="72" t="s">
        <v>5022</v>
      </c>
      <c r="D16" s="70">
        <f>IF(D52=0,"",D67/D52)</f>
        <v>14.5</v>
      </c>
      <c r="E16" s="70"/>
      <c r="F16" s="70">
        <f>IF(F52=0,"",F67/F52)</f>
        <v>6.19</v>
      </c>
      <c r="G16" s="70"/>
      <c r="H16" s="34"/>
      <c r="I16" s="56"/>
      <c r="J16" s="101" t="s">
        <v>5023</v>
      </c>
    </row>
    <row r="17" spans="1:10" ht="18">
      <c r="A17" s="30"/>
      <c r="B17" s="31"/>
      <c r="C17" s="72" t="s">
        <v>5024</v>
      </c>
      <c r="D17" s="70">
        <f>IF(D56=0,"",D$61/D56)</f>
        <v>1.95</v>
      </c>
      <c r="E17" s="70"/>
      <c r="F17" s="70">
        <f>IF(F56=0,"",F$61/F56)</f>
        <v>0.74</v>
      </c>
      <c r="G17" s="70"/>
      <c r="H17" s="34"/>
      <c r="I17" s="56"/>
      <c r="J17" s="101" t="s">
        <v>5025</v>
      </c>
    </row>
    <row r="18" spans="1:10" ht="18">
      <c r="A18" s="30"/>
      <c r="B18" s="31"/>
      <c r="C18" s="72" t="s">
        <v>5026</v>
      </c>
      <c r="D18" s="70">
        <f>IF(D58=0,"",D$61/D58)</f>
        <v>87.76</v>
      </c>
      <c r="E18" s="70"/>
      <c r="F18" s="70">
        <f>IF(F58=0,"",F$61/F58)</f>
        <v>9.42</v>
      </c>
      <c r="G18" s="70"/>
      <c r="H18" s="34"/>
      <c r="I18" s="56"/>
      <c r="J18" s="101" t="s">
        <v>5027</v>
      </c>
    </row>
    <row r="19" spans="1:10" ht="18">
      <c r="A19" s="30"/>
      <c r="B19" s="31">
        <v>3</v>
      </c>
      <c r="C19" s="69" t="s">
        <v>5028</v>
      </c>
      <c r="D19" s="70"/>
      <c r="E19" s="70"/>
      <c r="F19" s="70"/>
      <c r="G19" s="70"/>
      <c r="H19" s="34"/>
      <c r="I19" s="56"/>
      <c r="J19" s="96"/>
    </row>
    <row r="20" spans="1:10" ht="18">
      <c r="A20" s="30"/>
      <c r="B20" s="31"/>
      <c r="C20" s="72" t="s">
        <v>5029</v>
      </c>
      <c r="D20" s="70">
        <f>IF(D$57=0,"",D53/D$57)</f>
        <v>1.02</v>
      </c>
      <c r="E20" s="70"/>
      <c r="F20" s="70">
        <f>IF(F$57=0,"",F53/F$57)</f>
        <v>1.31</v>
      </c>
      <c r="G20" s="70"/>
      <c r="H20" s="34"/>
      <c r="I20" s="56"/>
      <c r="J20" s="101" t="s">
        <v>5030</v>
      </c>
    </row>
    <row r="21" spans="1:10" ht="18">
      <c r="A21" s="30"/>
      <c r="B21" s="31"/>
      <c r="C21" s="72" t="s">
        <v>5031</v>
      </c>
      <c r="D21" s="70">
        <f>IF(D$57=0,"",D54/D$57)</f>
        <v>0.8</v>
      </c>
      <c r="E21" s="70"/>
      <c r="F21" s="70">
        <f>IF(F$57=0,"",F54/F$57)</f>
        <v>0.88</v>
      </c>
      <c r="G21" s="70"/>
      <c r="H21" s="34"/>
      <c r="I21" s="56"/>
      <c r="J21" s="101" t="s">
        <v>5032</v>
      </c>
    </row>
    <row r="22" spans="1:10" ht="18">
      <c r="A22" s="30"/>
      <c r="B22" s="31"/>
      <c r="C22" s="72" t="s">
        <v>5033</v>
      </c>
      <c r="D22" s="70">
        <f>IF(D$57=0,"",D70/D$57)</f>
        <v>0.23</v>
      </c>
      <c r="E22" s="70"/>
      <c r="F22" s="70">
        <f>IF(F$57=0,"",F70/F$57)</f>
        <v>0.09</v>
      </c>
      <c r="G22" s="70"/>
      <c r="H22" s="34"/>
      <c r="I22" s="56"/>
      <c r="J22" s="101" t="s">
        <v>5034</v>
      </c>
    </row>
    <row r="23" spans="1:10" ht="18">
      <c r="A23" s="30"/>
      <c r="B23" s="31">
        <v>4</v>
      </c>
      <c r="C23" s="69" t="s">
        <v>5035</v>
      </c>
      <c r="D23" s="70"/>
      <c r="E23" s="70"/>
      <c r="F23" s="70"/>
      <c r="G23" s="70"/>
      <c r="H23" s="34"/>
      <c r="I23" s="56"/>
      <c r="J23" s="96"/>
    </row>
    <row r="24" spans="1:10" ht="18">
      <c r="A24" s="30"/>
      <c r="B24" s="31"/>
      <c r="C24" s="72" t="s">
        <v>5036</v>
      </c>
      <c r="D24" s="75">
        <f>IF(D55=0,"",D59/D55)</f>
        <v>0.45079999999999998</v>
      </c>
      <c r="E24" s="75"/>
      <c r="F24" s="75">
        <f>IF(F55=0,"",F59/F55)</f>
        <v>0.2913</v>
      </c>
      <c r="G24" s="75"/>
      <c r="H24" s="34"/>
      <c r="I24" s="56"/>
      <c r="J24" s="96"/>
    </row>
    <row r="25" spans="1:10" ht="18">
      <c r="A25" s="30"/>
      <c r="B25" s="31">
        <v>5</v>
      </c>
      <c r="C25" s="69" t="s">
        <v>5037</v>
      </c>
      <c r="D25" s="70"/>
      <c r="E25" s="70"/>
      <c r="F25" s="70"/>
      <c r="G25" s="70"/>
      <c r="H25" s="34"/>
      <c r="I25" s="56"/>
      <c r="J25" s="96"/>
    </row>
    <row r="26" spans="1:10" ht="18">
      <c r="A26" s="30"/>
      <c r="B26" s="31"/>
      <c r="C26" s="72" t="s">
        <v>5038</v>
      </c>
      <c r="D26" s="75" t="str">
        <f>IF(H61=0,"",(D61-H61)/H61)</f>
        <v/>
      </c>
      <c r="E26" s="75"/>
      <c r="F26" s="75">
        <f>IF(D61=0,"",(F61-D61)/D61)</f>
        <v>-0.3306</v>
      </c>
      <c r="G26" s="75"/>
      <c r="H26" s="34"/>
      <c r="I26" s="56"/>
      <c r="J26" s="101" t="s">
        <v>5039</v>
      </c>
    </row>
    <row r="27" spans="1:10" ht="18">
      <c r="A27" s="30"/>
      <c r="B27" s="31"/>
      <c r="C27" s="72" t="s">
        <v>5040</v>
      </c>
      <c r="D27" s="75" t="str">
        <f>IF(H64=0,"",(D64-H64)/H64)</f>
        <v/>
      </c>
      <c r="E27" s="75"/>
      <c r="F27" s="75">
        <f>IF(D64=0,"",(F64-D64)/D64)</f>
        <v>-0.93420000000000003</v>
      </c>
      <c r="G27" s="75"/>
      <c r="H27" s="34"/>
      <c r="I27" s="56"/>
      <c r="J27" s="101" t="s">
        <v>5041</v>
      </c>
    </row>
    <row r="28" spans="1:10" ht="18">
      <c r="A28" s="30"/>
      <c r="B28" s="31"/>
      <c r="C28" s="72" t="s">
        <v>5042</v>
      </c>
      <c r="D28" s="75" t="str">
        <f>IF(H65=0,"",(D65-H65)/H65)</f>
        <v/>
      </c>
      <c r="E28" s="75"/>
      <c r="F28" s="75">
        <f>IF(D65=0,"",(F65-D65)/D65)</f>
        <v>-0.93910000000000005</v>
      </c>
      <c r="G28" s="75"/>
      <c r="H28" s="34"/>
      <c r="I28" s="56"/>
      <c r="J28" s="101" t="s">
        <v>5043</v>
      </c>
    </row>
    <row r="29" spans="1:10" ht="18">
      <c r="A29" s="30"/>
      <c r="B29" s="31"/>
      <c r="C29" s="72" t="s">
        <v>5044</v>
      </c>
      <c r="D29" s="75" t="str">
        <f>IF(H60=0,"",(D60-H60)/H60)</f>
        <v/>
      </c>
      <c r="E29" s="75"/>
      <c r="F29" s="75">
        <f>IF(D60=0,"",(F60-D60)/D60)</f>
        <v>-1.1299999999999999E-2</v>
      </c>
      <c r="G29" s="75"/>
      <c r="H29" s="34"/>
      <c r="I29" s="56"/>
      <c r="J29" s="101" t="s">
        <v>5045</v>
      </c>
    </row>
    <row r="30" spans="1:10" ht="18">
      <c r="A30" s="30"/>
      <c r="B30" s="31"/>
      <c r="C30" s="72" t="s">
        <v>5046</v>
      </c>
      <c r="D30" s="75" t="str">
        <f>IF(H55=0,"",(D55-H55)/H55)</f>
        <v/>
      </c>
      <c r="E30" s="75"/>
      <c r="F30" s="75">
        <f>IF(D55=0,"",(F55-D55)/D55)</f>
        <v>-0.23380000000000001</v>
      </c>
      <c r="G30" s="75"/>
      <c r="H30" s="34"/>
      <c r="I30" s="56"/>
      <c r="J30" s="101" t="s">
        <v>5047</v>
      </c>
    </row>
    <row r="31" spans="1:10" ht="18">
      <c r="A31" s="30"/>
      <c r="B31" s="31">
        <v>6</v>
      </c>
      <c r="C31" s="69" t="s">
        <v>5048</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5049</v>
      </c>
    </row>
    <row r="33" spans="1:10" ht="18">
      <c r="A33" s="30"/>
      <c r="B33" s="31"/>
      <c r="C33" s="72" t="s">
        <v>5050</v>
      </c>
      <c r="D33" s="70" t="str">
        <f>IF(D$43=0,"",D60/D$43)</f>
        <v/>
      </c>
      <c r="E33" s="70"/>
      <c r="F33" s="70" t="str">
        <f>IF(F$43=0,"",F60/F$43)</f>
        <v/>
      </c>
      <c r="G33" s="70"/>
      <c r="H33" s="34"/>
      <c r="I33" s="56"/>
      <c r="J33" s="101" t="s">
        <v>5051</v>
      </c>
    </row>
    <row r="34" spans="1:10" ht="18">
      <c r="A34" s="30"/>
      <c r="B34" s="36"/>
      <c r="C34" s="76" t="s">
        <v>5052</v>
      </c>
      <c r="D34" s="70" t="str">
        <f>IF(D$43=0,"",#REF!/D$43)</f>
        <v/>
      </c>
      <c r="E34" s="70"/>
      <c r="F34" s="70" t="str">
        <f>IF(F$43=0,"",#REF!/F$43)</f>
        <v/>
      </c>
      <c r="G34" s="70"/>
      <c r="H34" s="39"/>
      <c r="I34" s="57"/>
      <c r="J34" s="101" t="s">
        <v>5053</v>
      </c>
    </row>
    <row r="35" spans="1:10" ht="18">
      <c r="A35" s="30"/>
      <c r="B35" s="81"/>
      <c r="C35" s="94"/>
      <c r="D35" s="33"/>
      <c r="E35" s="33"/>
      <c r="F35" s="95"/>
      <c r="G35" s="83"/>
      <c r="H35" s="84"/>
      <c r="I35" s="56"/>
      <c r="J35" s="96"/>
    </row>
    <row r="36" spans="1:10" ht="18">
      <c r="A36" s="30"/>
      <c r="B36" s="81"/>
      <c r="C36" s="78" t="s">
        <v>5002</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5054</v>
      </c>
      <c r="E41" s="107" t="s">
        <v>5055</v>
      </c>
      <c r="F41" s="106" t="s">
        <v>5056</v>
      </c>
      <c r="G41" s="106" t="s">
        <v>5008</v>
      </c>
      <c r="H41" s="3629" t="s">
        <v>5057</v>
      </c>
      <c r="I41" s="3630"/>
      <c r="J41" s="97" t="s">
        <v>5058</v>
      </c>
    </row>
    <row r="42" spans="1:10" ht="18">
      <c r="A42" s="30"/>
      <c r="B42" s="108"/>
      <c r="C42" s="109" t="s">
        <v>5059</v>
      </c>
      <c r="D42" s="110"/>
      <c r="E42" s="111"/>
      <c r="F42" s="110"/>
      <c r="G42" s="110"/>
      <c r="H42" s="3631"/>
      <c r="I42" s="3632"/>
      <c r="J42" s="96"/>
    </row>
    <row r="43" spans="1:10" ht="18">
      <c r="A43" s="30"/>
      <c r="B43" s="112"/>
      <c r="C43" s="113" t="s">
        <v>5060</v>
      </c>
      <c r="D43" s="114"/>
      <c r="E43" s="115"/>
      <c r="F43" s="114"/>
      <c r="G43" s="114"/>
      <c r="H43" s="3633"/>
      <c r="I43" s="3634"/>
      <c r="J43" s="96"/>
    </row>
    <row r="44" spans="1:10" ht="18">
      <c r="A44" s="30"/>
      <c r="B44" s="116">
        <v>1122</v>
      </c>
      <c r="C44" s="113" t="s">
        <v>124</v>
      </c>
      <c r="D44" s="117">
        <f>VLOOKUP($B44,Sheet_Trialbal,10,0)</f>
        <v>43128210.229999997</v>
      </c>
      <c r="E44" s="117"/>
      <c r="F44" s="117">
        <f>VLOOKUP($B44,Sheet_Trialbal,3,0)</f>
        <v>48253601.340000004</v>
      </c>
      <c r="G44" s="117"/>
      <c r="H44" s="3635"/>
      <c r="I44" s="3636"/>
      <c r="J44" s="101" t="s">
        <v>5061</v>
      </c>
    </row>
    <row r="45" spans="1:10" ht="18">
      <c r="A45" s="30"/>
      <c r="B45" s="116">
        <v>1122.1231</v>
      </c>
      <c r="C45" s="113" t="s">
        <v>5062</v>
      </c>
      <c r="D45" s="114">
        <f>VLOOKUP($B45,Sheet_Trialbal,10,0)</f>
        <v>0</v>
      </c>
      <c r="E45" s="114"/>
      <c r="F45" s="114">
        <f>VLOOKUP($B45,Sheet_Trialbal,3,0)</f>
        <v>0</v>
      </c>
      <c r="G45" s="114"/>
      <c r="H45" s="3635"/>
      <c r="I45" s="3636"/>
      <c r="J45" s="101" t="s">
        <v>5061</v>
      </c>
    </row>
    <row r="46" spans="1:10" ht="18">
      <c r="A46" s="30"/>
      <c r="B46" s="116"/>
      <c r="C46" s="113" t="s">
        <v>5063</v>
      </c>
      <c r="D46" s="118">
        <f>D44+D45</f>
        <v>43128210.229999997</v>
      </c>
      <c r="E46" s="118"/>
      <c r="F46" s="118">
        <f>F44+F45</f>
        <v>48253601.340000004</v>
      </c>
      <c r="G46" s="118"/>
      <c r="H46" s="3637">
        <f>H44+H45</f>
        <v>0</v>
      </c>
      <c r="I46" s="3638">
        <f>I44+I45</f>
        <v>0</v>
      </c>
      <c r="J46" s="96"/>
    </row>
    <row r="47" spans="1:10" ht="18">
      <c r="A47" s="30"/>
      <c r="B47" s="116"/>
      <c r="C47" s="120" t="s">
        <v>5064</v>
      </c>
      <c r="D47" s="118">
        <f>(D46+H46)/2</f>
        <v>21564105.120000001</v>
      </c>
      <c r="E47" s="118"/>
      <c r="F47" s="118">
        <f>(D46+F46)/2</f>
        <v>45690905.789999999</v>
      </c>
      <c r="G47" s="118"/>
      <c r="H47" s="3637"/>
      <c r="I47" s="3638"/>
      <c r="J47" s="96"/>
    </row>
    <row r="48" spans="1:10" ht="18">
      <c r="A48" s="30"/>
      <c r="B48" s="116">
        <v>1125</v>
      </c>
      <c r="C48" s="113" t="s">
        <v>162</v>
      </c>
      <c r="D48" s="117">
        <f>VLOOKUP($B48,Sheet_Trialbal,10,0)</f>
        <v>2419762.12</v>
      </c>
      <c r="E48" s="117"/>
      <c r="F48" s="117">
        <f>VLOOKUP($B48,Sheet_Trialbal,3,0)</f>
        <v>7528799.0199999996</v>
      </c>
      <c r="G48" s="117"/>
      <c r="H48" s="3637"/>
      <c r="I48" s="3638"/>
      <c r="J48" s="96"/>
    </row>
    <row r="49" spans="1:10" ht="18">
      <c r="A49" s="30"/>
      <c r="B49" s="116">
        <v>1400</v>
      </c>
      <c r="C49" s="113" t="s">
        <v>229</v>
      </c>
      <c r="D49" s="117">
        <f>VLOOKUP($B49,Sheet_Trialbal,10,0)</f>
        <v>33104385.260000002</v>
      </c>
      <c r="E49" s="117"/>
      <c r="F49" s="117">
        <f>VLOOKUP($B49,Sheet_Trialbal,3,0)</f>
        <v>25995109.16</v>
      </c>
      <c r="G49" s="117"/>
      <c r="H49" s="3635"/>
      <c r="I49" s="3636"/>
      <c r="J49" s="101" t="s">
        <v>5061</v>
      </c>
    </row>
    <row r="50" spans="1:10" ht="18">
      <c r="A50" s="30"/>
      <c r="B50" s="116">
        <v>1400.1470999999999</v>
      </c>
      <c r="C50" s="113" t="s">
        <v>5065</v>
      </c>
      <c r="D50" s="114">
        <f>VLOOKUP($B50,Sheet_Trialbal,10,0)</f>
        <v>0</v>
      </c>
      <c r="E50" s="114"/>
      <c r="F50" s="114">
        <f>VLOOKUP($B50,Sheet_Trialbal,3,0)</f>
        <v>0</v>
      </c>
      <c r="G50" s="114"/>
      <c r="H50" s="3635"/>
      <c r="I50" s="3636"/>
      <c r="J50" s="101" t="s">
        <v>5061</v>
      </c>
    </row>
    <row r="51" spans="1:10" ht="18">
      <c r="A51" s="30"/>
      <c r="B51" s="116"/>
      <c r="C51" s="113" t="s">
        <v>5066</v>
      </c>
      <c r="D51" s="118">
        <f>D49+D50</f>
        <v>33104385.260000002</v>
      </c>
      <c r="E51" s="118"/>
      <c r="F51" s="118">
        <f>F49+F50</f>
        <v>25995109.16</v>
      </c>
      <c r="G51" s="118"/>
      <c r="H51" s="3637">
        <f>H49+H50</f>
        <v>0</v>
      </c>
      <c r="I51" s="3638">
        <f>I49+I50</f>
        <v>0</v>
      </c>
      <c r="J51" s="96"/>
    </row>
    <row r="52" spans="1:10" ht="18">
      <c r="A52" s="30"/>
      <c r="B52" s="116"/>
      <c r="C52" s="120" t="s">
        <v>5067</v>
      </c>
      <c r="D52" s="118">
        <f>(D51+H51)/2</f>
        <v>16552192.630000001</v>
      </c>
      <c r="E52" s="118"/>
      <c r="F52" s="118">
        <f>(D51+F51)/2</f>
        <v>29549747.210000001</v>
      </c>
      <c r="G52" s="118"/>
      <c r="H52" s="3637"/>
      <c r="I52" s="3638"/>
      <c r="J52" s="96"/>
    </row>
    <row r="53" spans="1:10" ht="18">
      <c r="A53" s="30"/>
      <c r="B53" s="116">
        <v>1498</v>
      </c>
      <c r="C53" s="113" t="s">
        <v>286</v>
      </c>
      <c r="D53" s="117">
        <f>VLOOKUP($B53,Sheet_Trialbal,10,0)</f>
        <v>161317985.71000001</v>
      </c>
      <c r="E53" s="117"/>
      <c r="F53" s="117">
        <f>VLOOKUP($B53,Sheet_Trialbal,3,0)</f>
        <v>102093614.20999999</v>
      </c>
      <c r="G53" s="117"/>
      <c r="H53" s="3637"/>
      <c r="I53" s="3638"/>
      <c r="J53" s="96"/>
    </row>
    <row r="54" spans="1:10" ht="18">
      <c r="A54" s="30"/>
      <c r="B54" s="116"/>
      <c r="C54" s="120" t="s">
        <v>5068</v>
      </c>
      <c r="D54" s="118">
        <f>D53-D48-D49</f>
        <v>125793838.33</v>
      </c>
      <c r="E54" s="118"/>
      <c r="F54" s="118">
        <f>F53-F48-F49</f>
        <v>68569706.030000001</v>
      </c>
      <c r="G54" s="118"/>
      <c r="H54" s="3637"/>
      <c r="I54" s="3638"/>
      <c r="J54" s="96"/>
    </row>
    <row r="55" spans="1:10" ht="18">
      <c r="A55" s="30"/>
      <c r="B55" s="116">
        <v>1999</v>
      </c>
      <c r="C55" s="113" t="s">
        <v>5069</v>
      </c>
      <c r="D55" s="117">
        <f>VLOOKUP($B55,Sheet_Trialbal,10,0)</f>
        <v>349257402.50999999</v>
      </c>
      <c r="E55" s="117"/>
      <c r="F55" s="117">
        <f>VLOOKUP($B55,Sheet_Trialbal,3,0)</f>
        <v>267599628.46000001</v>
      </c>
      <c r="G55" s="117"/>
      <c r="H55" s="3635"/>
      <c r="I55" s="3636"/>
      <c r="J55" s="101" t="s">
        <v>5061</v>
      </c>
    </row>
    <row r="56" spans="1:10" ht="18">
      <c r="A56" s="30"/>
      <c r="B56" s="116"/>
      <c r="C56" s="120" t="s">
        <v>5070</v>
      </c>
      <c r="D56" s="118">
        <f>(D55+H55)/2</f>
        <v>174628701.25999999</v>
      </c>
      <c r="E56" s="118"/>
      <c r="F56" s="118">
        <f>(D55+F55)/2</f>
        <v>308428515.49000001</v>
      </c>
      <c r="G56" s="117"/>
      <c r="H56" s="3637"/>
      <c r="I56" s="3638"/>
      <c r="J56" s="96"/>
    </row>
    <row r="57" spans="1:10" ht="18">
      <c r="A57" s="30"/>
      <c r="B57" s="116">
        <v>2498</v>
      </c>
      <c r="C57" s="113" t="s">
        <v>566</v>
      </c>
      <c r="D57" s="117">
        <f>VLOOKUP($B57,Sheet_Trialbal,10,0)</f>
        <v>157445351.86000001</v>
      </c>
      <c r="E57" s="117"/>
      <c r="F57" s="117">
        <f>VLOOKUP($B57,Sheet_Trialbal,3,0)</f>
        <v>77953379.920000002</v>
      </c>
      <c r="G57" s="117"/>
      <c r="H57" s="3637"/>
      <c r="I57" s="3638"/>
      <c r="J57" s="96"/>
    </row>
    <row r="58" spans="1:10" ht="18">
      <c r="A58" s="30"/>
      <c r="B58" s="116"/>
      <c r="C58" s="113" t="s">
        <v>5071</v>
      </c>
      <c r="D58" s="118">
        <f>D53-D57</f>
        <v>3872633.85</v>
      </c>
      <c r="E58" s="118"/>
      <c r="F58" s="118">
        <f>F53-F57</f>
        <v>24140234.289999999</v>
      </c>
      <c r="G58" s="118"/>
      <c r="H58" s="3637"/>
      <c r="I58" s="3638"/>
      <c r="J58" s="96"/>
    </row>
    <row r="59" spans="1:10" ht="18">
      <c r="A59" s="30"/>
      <c r="B59" s="116">
        <v>2999</v>
      </c>
      <c r="C59" s="113" t="s">
        <v>5072</v>
      </c>
      <c r="D59" s="117">
        <f t="shared" ref="D59:D70" si="0">VLOOKUP($B59,Sheet_Trialbal,10,0)</f>
        <v>157445351.86000001</v>
      </c>
      <c r="E59" s="117"/>
      <c r="F59" s="117">
        <f t="shared" ref="F59:F70" si="1">VLOOKUP($B59,Sheet_Trialbal,3,0)</f>
        <v>77953379.920000002</v>
      </c>
      <c r="G59" s="117"/>
      <c r="H59" s="3637"/>
      <c r="I59" s="3638"/>
      <c r="J59" s="96"/>
    </row>
    <row r="60" spans="1:10" ht="18">
      <c r="A60" s="30"/>
      <c r="B60" s="116">
        <v>4999</v>
      </c>
      <c r="C60" s="113" t="s">
        <v>5073</v>
      </c>
      <c r="D60" s="117">
        <f t="shared" si="0"/>
        <v>191812050.65000001</v>
      </c>
      <c r="E60" s="117"/>
      <c r="F60" s="117">
        <f t="shared" si="1"/>
        <v>189646248.53999999</v>
      </c>
      <c r="G60" s="117"/>
      <c r="H60" s="3635"/>
      <c r="I60" s="3636"/>
      <c r="J60" s="101" t="s">
        <v>5061</v>
      </c>
    </row>
    <row r="61" spans="1:10" ht="18">
      <c r="A61" s="30"/>
      <c r="B61" s="116">
        <v>6001</v>
      </c>
      <c r="C61" s="113" t="s">
        <v>631</v>
      </c>
      <c r="D61" s="117">
        <f>VLOOKUP($B61,Sheet_Trialbal,10,0)</f>
        <v>339876355.07999998</v>
      </c>
      <c r="E61" s="117"/>
      <c r="F61" s="117">
        <f>VLOOKUP($B61,Sheet_Trialbal,3,0)</f>
        <v>227506544.46000001</v>
      </c>
      <c r="G61" s="117"/>
      <c r="H61" s="3641"/>
      <c r="I61" s="3642"/>
      <c r="J61" s="101" t="s">
        <v>5061</v>
      </c>
    </row>
    <row r="62" spans="1:10" ht="18">
      <c r="A62" s="30"/>
      <c r="B62" s="116"/>
      <c r="C62" s="113" t="s">
        <v>5074</v>
      </c>
      <c r="D62" s="117">
        <f>D61-D67</f>
        <v>99936431.430000007</v>
      </c>
      <c r="E62" s="117"/>
      <c r="F62" s="117">
        <f>F61-F67</f>
        <v>44605101.380000003</v>
      </c>
      <c r="G62" s="117"/>
      <c r="H62" s="73"/>
      <c r="I62" s="56"/>
      <c r="J62" s="96"/>
    </row>
    <row r="63" spans="1:10" ht="18">
      <c r="A63" s="30"/>
      <c r="B63" s="116">
        <v>6111</v>
      </c>
      <c r="C63" s="113" t="s">
        <v>656</v>
      </c>
      <c r="D63" s="117">
        <f>VLOOKUP($B63,Sheet_Trialbal,10,0)</f>
        <v>300300</v>
      </c>
      <c r="E63" s="117"/>
      <c r="F63" s="117">
        <f>VLOOKUP($B63,Sheet_Trialbal,3,0)</f>
        <v>0</v>
      </c>
      <c r="G63" s="117"/>
      <c r="H63" s="74" t="s">
        <v>5057</v>
      </c>
      <c r="I63" s="56"/>
      <c r="J63" s="96"/>
    </row>
    <row r="64" spans="1:10" ht="18">
      <c r="A64" s="30"/>
      <c r="B64" s="116">
        <v>6689</v>
      </c>
      <c r="C64" s="113" t="s">
        <v>833</v>
      </c>
      <c r="D64" s="117">
        <f>VLOOKUP($B64,Sheet_Trialbal,10,0)</f>
        <v>29768906.530000001</v>
      </c>
      <c r="E64" s="117"/>
      <c r="F64" s="117">
        <f>VLOOKUP($B64,Sheet_Trialbal,3,0)</f>
        <v>1957460.78</v>
      </c>
      <c r="G64" s="117"/>
      <c r="H64" s="3641"/>
      <c r="I64" s="3642"/>
      <c r="J64" s="101" t="s">
        <v>5061</v>
      </c>
    </row>
    <row r="65" spans="1:10" ht="18">
      <c r="A65" s="30"/>
      <c r="B65" s="116">
        <v>6799</v>
      </c>
      <c r="C65" s="113" t="s">
        <v>871</v>
      </c>
      <c r="D65" s="117">
        <f>VLOOKUP($B65,Sheet_Trialbal,10,0)</f>
        <v>27366351.41</v>
      </c>
      <c r="E65" s="117"/>
      <c r="F65" s="117">
        <f>VLOOKUP($B65,Sheet_Trialbal,3,0)</f>
        <v>1667235.32</v>
      </c>
      <c r="G65" s="117"/>
      <c r="H65" s="3641"/>
      <c r="I65" s="3642"/>
      <c r="J65" s="101" t="s">
        <v>5061</v>
      </c>
    </row>
    <row r="66" spans="1:10" ht="18">
      <c r="A66" s="30"/>
      <c r="B66" s="116">
        <v>6811</v>
      </c>
      <c r="C66" s="113" t="s">
        <v>5075</v>
      </c>
      <c r="D66" s="117">
        <f>VLOOKUP($B66,Sheet_Trialbal,10,0)</f>
        <v>27366351.41</v>
      </c>
      <c r="E66" s="117"/>
      <c r="F66" s="117">
        <f>VLOOKUP($B66,Sheet_Trialbal,3,0)</f>
        <v>1667235.32</v>
      </c>
      <c r="G66" s="117"/>
      <c r="H66" s="34"/>
      <c r="I66" s="56"/>
      <c r="J66" s="96"/>
    </row>
    <row r="67" spans="1:10" ht="18">
      <c r="A67" s="30"/>
      <c r="B67" s="116">
        <v>6401</v>
      </c>
      <c r="C67" s="113" t="s">
        <v>671</v>
      </c>
      <c r="D67" s="117">
        <f t="shared" si="0"/>
        <v>239939923.65000001</v>
      </c>
      <c r="E67" s="117"/>
      <c r="F67" s="117">
        <f t="shared" si="1"/>
        <v>182901443.08000001</v>
      </c>
      <c r="G67" s="117"/>
      <c r="H67" s="3637"/>
      <c r="I67" s="3638"/>
      <c r="J67" s="96"/>
    </row>
    <row r="68" spans="1:10" ht="18">
      <c r="A68" s="30"/>
      <c r="B68" s="116">
        <v>6601</v>
      </c>
      <c r="C68" s="113" t="s">
        <v>680</v>
      </c>
      <c r="D68" s="117">
        <f t="shared" si="0"/>
        <v>22551947.460000001</v>
      </c>
      <c r="E68" s="117"/>
      <c r="F68" s="117">
        <f t="shared" si="1"/>
        <v>13546525.32</v>
      </c>
      <c r="G68" s="117"/>
      <c r="H68" s="3637"/>
      <c r="I68" s="3638"/>
      <c r="J68" s="96"/>
    </row>
    <row r="69" spans="1:10" ht="18">
      <c r="A69" s="30"/>
      <c r="B69" s="116">
        <v>6602</v>
      </c>
      <c r="C69" s="113" t="s">
        <v>685</v>
      </c>
      <c r="D69" s="117">
        <f t="shared" si="0"/>
        <v>28739665.809999999</v>
      </c>
      <c r="E69" s="117"/>
      <c r="F69" s="117">
        <f t="shared" si="1"/>
        <v>25555922.829999998</v>
      </c>
      <c r="G69" s="117"/>
      <c r="H69" s="3637"/>
      <c r="I69" s="3638"/>
      <c r="J69" s="96"/>
    </row>
    <row r="70" spans="1:10" ht="18">
      <c r="A70" s="30"/>
      <c r="B70" s="121">
        <v>7399</v>
      </c>
      <c r="C70" s="122" t="s">
        <v>2272</v>
      </c>
      <c r="D70" s="123">
        <f t="shared" si="0"/>
        <v>35726503</v>
      </c>
      <c r="E70" s="123"/>
      <c r="F70" s="123">
        <f t="shared" si="1"/>
        <v>6681834.9100000001</v>
      </c>
      <c r="G70" s="123"/>
      <c r="H70" s="3639"/>
      <c r="I70" s="3640"/>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topLeftCell="A46" workbookViewId="0">
      <selection activeCell="C56" sqref="C56"/>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山东天安化工股份有限公司</v>
      </c>
      <c r="D2" s="125"/>
      <c r="E2" s="126"/>
      <c r="F2" s="4"/>
      <c r="G2" s="5" t="s">
        <v>2521</v>
      </c>
      <c r="H2" s="6"/>
      <c r="I2" s="7" t="s">
        <v>2501</v>
      </c>
      <c r="J2" s="8"/>
      <c r="K2" s="53"/>
    </row>
    <row r="3" spans="1:11" ht="18" customHeight="1">
      <c r="B3" s="2" t="s">
        <v>2522</v>
      </c>
      <c r="C3" s="9" t="s">
        <v>4983</v>
      </c>
      <c r="D3" s="127"/>
      <c r="E3" s="128"/>
      <c r="F3" s="10" t="s">
        <v>2450</v>
      </c>
      <c r="G3" s="11" t="str">
        <f>IF(Lead!$E$9="","",Lead!$E$9)</f>
        <v>陈彦良</v>
      </c>
      <c r="H3" s="12"/>
      <c r="I3" s="13">
        <f>IF(Lead!$F$9="","",Lead!$F$9)</f>
        <v>43859</v>
      </c>
      <c r="J3" s="14" t="s">
        <v>2524</v>
      </c>
      <c r="K3" s="2787" t="s">
        <v>6602</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4863</v>
      </c>
      <c r="C7" s="129" t="s">
        <v>4984</v>
      </c>
      <c r="D7" s="130"/>
      <c r="E7" s="130"/>
      <c r="F7" s="130"/>
      <c r="G7" s="130"/>
      <c r="H7" s="130"/>
      <c r="I7" s="130"/>
      <c r="J7" s="130"/>
      <c r="K7" s="130"/>
    </row>
    <row r="8" spans="1:11" ht="18">
      <c r="A8" s="24"/>
      <c r="B8" s="131"/>
      <c r="C8" s="132"/>
      <c r="D8" s="133" t="s">
        <v>4985</v>
      </c>
      <c r="E8" s="26"/>
      <c r="F8" s="133" t="s">
        <v>5076</v>
      </c>
      <c r="G8" s="28"/>
      <c r="H8" s="28" t="s">
        <v>4987</v>
      </c>
      <c r="I8" s="133" t="s">
        <v>4988</v>
      </c>
      <c r="J8" s="26"/>
      <c r="K8" s="158"/>
    </row>
    <row r="9" spans="1:11" ht="18">
      <c r="A9" s="30"/>
      <c r="B9" s="134" t="s">
        <v>4989</v>
      </c>
      <c r="C9" s="135" t="s">
        <v>2529</v>
      </c>
      <c r="D9" s="136" t="s">
        <v>2887</v>
      </c>
      <c r="E9" s="137" t="s">
        <v>4990</v>
      </c>
      <c r="F9" s="138" t="s">
        <v>2887</v>
      </c>
      <c r="G9" s="138" t="s">
        <v>4990</v>
      </c>
      <c r="H9" s="139" t="s">
        <v>4991</v>
      </c>
      <c r="I9" s="137" t="s">
        <v>4992</v>
      </c>
      <c r="J9" s="137" t="s">
        <v>4993</v>
      </c>
      <c r="K9" s="159" t="s">
        <v>4994</v>
      </c>
    </row>
    <row r="10" spans="1:11" ht="18">
      <c r="A10" s="30"/>
      <c r="B10" s="140"/>
      <c r="C10" s="141"/>
      <c r="D10" s="142" t="s">
        <v>4995</v>
      </c>
      <c r="E10" s="143" t="s">
        <v>4996</v>
      </c>
      <c r="F10" s="144" t="s">
        <v>4997</v>
      </c>
      <c r="G10" s="144" t="s">
        <v>4998</v>
      </c>
      <c r="H10" s="145" t="s">
        <v>4999</v>
      </c>
      <c r="I10" s="160" t="s">
        <v>5000</v>
      </c>
      <c r="J10" s="160" t="s">
        <v>5001</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79452903</v>
      </c>
      <c r="E13" s="152">
        <f>IF(D$55=0,"",D13/D$55)</f>
        <v>0.22750000000000001</v>
      </c>
      <c r="F13" s="70">
        <f t="shared" ref="F13:F27" si="3">VLOOKUP($B13,Sheet_Trialbal,6,0)</f>
        <v>7894317.0800000001</v>
      </c>
      <c r="G13" s="152">
        <f>IF(F$55=0,"",F13/F$55)</f>
        <v>3.0599999999999999E-2</v>
      </c>
      <c r="H13" s="152">
        <f t="shared" ref="H13:H30" si="4">IF(OR(G13="",E13=""),"",G13-E13)</f>
        <v>-0.19689999999999999</v>
      </c>
      <c r="I13" s="70">
        <f t="shared" ref="I13" si="5">IF(OR(F13="",D13=""),"",F13-D13)</f>
        <v>-71558585.920000002</v>
      </c>
      <c r="J13" s="152">
        <f t="shared" si="1"/>
        <v>-0.90059999999999996</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2024958.1</v>
      </c>
      <c r="E17" s="152">
        <f t="shared" si="6"/>
        <v>5.7999999999999996E-3</v>
      </c>
      <c r="F17" s="70">
        <f t="shared" si="3"/>
        <v>0</v>
      </c>
      <c r="G17" s="152">
        <f t="shared" si="7"/>
        <v>0</v>
      </c>
      <c r="H17" s="152">
        <f t="shared" si="8"/>
        <v>-5.7999999999999996E-3</v>
      </c>
      <c r="I17" s="70">
        <f t="shared" si="9"/>
        <v>-2024958.1</v>
      </c>
      <c r="J17" s="152">
        <f t="shared" si="10"/>
        <v>-1</v>
      </c>
      <c r="K17" s="163"/>
    </row>
    <row r="18" spans="1:11" ht="18">
      <c r="A18" s="30"/>
      <c r="B18" s="150">
        <v>1122</v>
      </c>
      <c r="C18" s="151" t="str">
        <f t="shared" si="0"/>
        <v>应收账款</v>
      </c>
      <c r="D18" s="70">
        <f t="shared" si="2"/>
        <v>43128210.229999997</v>
      </c>
      <c r="E18" s="152">
        <f t="shared" si="6"/>
        <v>0.1235</v>
      </c>
      <c r="F18" s="70">
        <f t="shared" si="3"/>
        <v>52079975.609999999</v>
      </c>
      <c r="G18" s="152">
        <f t="shared" si="7"/>
        <v>0.20200000000000001</v>
      </c>
      <c r="H18" s="152">
        <f t="shared" si="8"/>
        <v>7.85E-2</v>
      </c>
      <c r="I18" s="70">
        <f t="shared" si="9"/>
        <v>8951765.3800000008</v>
      </c>
      <c r="J18" s="152">
        <f t="shared" si="10"/>
        <v>0.20760000000000001</v>
      </c>
      <c r="K18" s="163"/>
    </row>
    <row r="19" spans="1:11" ht="18">
      <c r="A19" s="30"/>
      <c r="B19" s="150">
        <v>1124</v>
      </c>
      <c r="C19" s="151" t="str">
        <f t="shared" si="0"/>
        <v>应收款项融资</v>
      </c>
      <c r="D19" s="70">
        <f t="shared" si="2"/>
        <v>0</v>
      </c>
      <c r="E19" s="152">
        <f t="shared" si="6"/>
        <v>0</v>
      </c>
      <c r="F19" s="70">
        <f t="shared" si="3"/>
        <v>3532481.3</v>
      </c>
      <c r="G19" s="152">
        <f t="shared" si="7"/>
        <v>1.37E-2</v>
      </c>
      <c r="H19" s="152">
        <f t="shared" si="8"/>
        <v>1.37E-2</v>
      </c>
      <c r="I19" s="70">
        <f t="shared" si="9"/>
        <v>3532481.3</v>
      </c>
      <c r="J19" s="152" t="str">
        <f t="shared" si="10"/>
        <v/>
      </c>
      <c r="K19" s="163"/>
    </row>
    <row r="20" spans="1:11" ht="18">
      <c r="A20" s="30"/>
      <c r="B20" s="150">
        <v>1125</v>
      </c>
      <c r="C20" s="151" t="str">
        <f t="shared" si="0"/>
        <v>预付款项</v>
      </c>
      <c r="D20" s="70">
        <f t="shared" si="2"/>
        <v>2419762.12</v>
      </c>
      <c r="E20" s="152">
        <f t="shared" si="6"/>
        <v>6.8999999999999999E-3</v>
      </c>
      <c r="F20" s="70">
        <f t="shared" si="3"/>
        <v>1491719.74</v>
      </c>
      <c r="G20" s="152">
        <f t="shared" si="7"/>
        <v>5.7999999999999996E-3</v>
      </c>
      <c r="H20" s="152">
        <f t="shared" si="8"/>
        <v>-1.1000000000000001E-3</v>
      </c>
      <c r="I20" s="70">
        <f t="shared" si="9"/>
        <v>-928042.38</v>
      </c>
      <c r="J20" s="152">
        <f t="shared" si="10"/>
        <v>-0.38350000000000001</v>
      </c>
      <c r="K20" s="163"/>
    </row>
    <row r="21" spans="1:11" ht="18">
      <c r="A21" s="30"/>
      <c r="B21" s="150">
        <v>1220</v>
      </c>
      <c r="C21" s="151" t="str">
        <f>IF($B21="","",VLOOKUP($B21,Sheet_Items,2,0))</f>
        <v>其他应收款（报表项目）</v>
      </c>
      <c r="D21" s="70">
        <f t="shared" si="2"/>
        <v>1187767</v>
      </c>
      <c r="E21" s="152">
        <f t="shared" si="6"/>
        <v>3.3999999999999998E-3</v>
      </c>
      <c r="F21" s="70">
        <f t="shared" si="3"/>
        <v>8760929.7400000002</v>
      </c>
      <c r="G21" s="152">
        <f t="shared" si="7"/>
        <v>3.4000000000000002E-2</v>
      </c>
      <c r="H21" s="152">
        <f t="shared" si="8"/>
        <v>3.0599999999999999E-2</v>
      </c>
      <c r="I21" s="70">
        <f t="shared" si="9"/>
        <v>7573162.7400000002</v>
      </c>
      <c r="J21" s="152">
        <f t="shared" si="10"/>
        <v>6.3760000000000003</v>
      </c>
      <c r="K21" s="163"/>
    </row>
    <row r="22" spans="1:11" ht="18">
      <c r="A22" s="30"/>
      <c r="B22" s="150">
        <v>1132</v>
      </c>
      <c r="C22" s="151" t="str">
        <f t="shared" si="0"/>
        <v>其中：应收利息</v>
      </c>
      <c r="D22" s="70">
        <f t="shared" si="2"/>
        <v>76153.320000000007</v>
      </c>
      <c r="E22" s="152">
        <f t="shared" si="6"/>
        <v>2.0000000000000001E-4</v>
      </c>
      <c r="F22" s="70">
        <f t="shared" si="3"/>
        <v>0</v>
      </c>
      <c r="G22" s="152">
        <f t="shared" si="7"/>
        <v>0</v>
      </c>
      <c r="H22" s="152">
        <f t="shared" si="8"/>
        <v>-2.0000000000000001E-4</v>
      </c>
      <c r="I22" s="70">
        <f t="shared" si="9"/>
        <v>-76153.320000000007</v>
      </c>
      <c r="J22" s="152">
        <f t="shared" si="10"/>
        <v>-1</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33104385.260000002</v>
      </c>
      <c r="E24" s="152">
        <f t="shared" si="6"/>
        <v>9.4799999999999995E-2</v>
      </c>
      <c r="F24" s="70">
        <f t="shared" si="3"/>
        <v>22601423.91</v>
      </c>
      <c r="G24" s="152">
        <f t="shared" si="7"/>
        <v>8.7599999999999997E-2</v>
      </c>
      <c r="H24" s="152">
        <f t="shared" si="8"/>
        <v>-7.1999999999999998E-3</v>
      </c>
      <c r="I24" s="70">
        <f t="shared" si="9"/>
        <v>-10502961.35</v>
      </c>
      <c r="J24" s="152">
        <f t="shared" si="10"/>
        <v>-0.31730000000000003</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161317985.71000001</v>
      </c>
      <c r="E28" s="155">
        <f t="shared" ref="E28:I28" si="11">SUM(E13:E27)-SUM(E22,E23)</f>
        <v>0.46189999999999998</v>
      </c>
      <c r="F28" s="154">
        <f t="shared" si="11"/>
        <v>96360847.379999995</v>
      </c>
      <c r="G28" s="155">
        <f t="shared" si="11"/>
        <v>0.37369999999999998</v>
      </c>
      <c r="H28" s="155">
        <f t="shared" si="11"/>
        <v>-8.8200000000000001E-2</v>
      </c>
      <c r="I28" s="154">
        <f t="shared" si="11"/>
        <v>-64957138.329999998</v>
      </c>
      <c r="J28" s="155">
        <f t="shared" si="1"/>
        <v>-0.4027</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3003000</v>
      </c>
      <c r="E31" s="152">
        <f t="shared" ref="E31:E53" si="17">IF(D$55=0,"",D31/D$55)</f>
        <v>8.6E-3</v>
      </c>
      <c r="F31" s="70">
        <f t="shared" si="15"/>
        <v>0</v>
      </c>
      <c r="G31" s="152">
        <f t="shared" ref="G31:G53" si="18">IF(F$55=0,"",F31/F$55)</f>
        <v>0</v>
      </c>
      <c r="H31" s="152">
        <f t="shared" ref="H31:H53" si="19">IF(OR(G31="",E31=""),"",G31-E31)</f>
        <v>-8.6E-3</v>
      </c>
      <c r="I31" s="70">
        <f t="shared" ref="I31:I53" si="20">IF(OR(F31="",D31=""),"",F31-D31)</f>
        <v>-3003000</v>
      </c>
      <c r="J31" s="152">
        <f t="shared" ref="J31:J53" si="21">IF(OR(I31="",D31="",D31=0),"",I31/D31)</f>
        <v>-1</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3003000</v>
      </c>
      <c r="G38" s="152">
        <f t="shared" si="18"/>
        <v>1.1599999999999999E-2</v>
      </c>
      <c r="H38" s="152">
        <f t="shared" si="19"/>
        <v>1.1599999999999999E-2</v>
      </c>
      <c r="I38" s="70">
        <f t="shared" si="20"/>
        <v>3003000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99146371.280000001</v>
      </c>
      <c r="E40" s="152">
        <f t="shared" si="17"/>
        <v>0.28389999999999999</v>
      </c>
      <c r="F40" s="70">
        <f t="shared" si="15"/>
        <v>80029486.859999999</v>
      </c>
      <c r="G40" s="152">
        <f t="shared" si="18"/>
        <v>0.31030000000000002</v>
      </c>
      <c r="H40" s="152">
        <f t="shared" si="19"/>
        <v>2.64E-2</v>
      </c>
      <c r="I40" s="70">
        <f t="shared" si="20"/>
        <v>-19116884.420000002</v>
      </c>
      <c r="J40" s="152">
        <f t="shared" si="21"/>
        <v>-0.1928</v>
      </c>
      <c r="K40" s="163"/>
    </row>
    <row r="41" spans="1:11" ht="18">
      <c r="A41" s="30"/>
      <c r="B41" s="150">
        <v>1601</v>
      </c>
      <c r="C41" s="151" t="str">
        <f>IF($B41="","",VLOOKUP($B41,Sheet_Items,6,0))</f>
        <v>其中：固定资产</v>
      </c>
      <c r="D41" s="70">
        <f t="shared" si="13"/>
        <v>99146371.280000001</v>
      </c>
      <c r="E41" s="152">
        <f t="shared" si="17"/>
        <v>0.28389999999999999</v>
      </c>
      <c r="F41" s="70">
        <f t="shared" si="15"/>
        <v>80029486.859999999</v>
      </c>
      <c r="G41" s="152">
        <f t="shared" si="18"/>
        <v>0.31030000000000002</v>
      </c>
      <c r="H41" s="152">
        <f t="shared" si="19"/>
        <v>2.64E-2</v>
      </c>
      <c r="I41" s="70">
        <f t="shared" si="20"/>
        <v>-19116884.420000002</v>
      </c>
      <c r="J41" s="152">
        <f t="shared" si="21"/>
        <v>-0.1928</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43951288.280000001</v>
      </c>
      <c r="E43" s="152">
        <f t="shared" si="17"/>
        <v>0.1258</v>
      </c>
      <c r="F43" s="70">
        <f t="shared" si="15"/>
        <v>36687949.960000001</v>
      </c>
      <c r="G43" s="152">
        <f t="shared" si="18"/>
        <v>0.14230000000000001</v>
      </c>
      <c r="H43" s="152">
        <f t="shared" si="19"/>
        <v>1.6500000000000001E-2</v>
      </c>
      <c r="I43" s="70">
        <f t="shared" si="20"/>
        <v>-7263338.3200000003</v>
      </c>
      <c r="J43" s="152">
        <f t="shared" si="21"/>
        <v>-0.1653</v>
      </c>
      <c r="K43" s="163"/>
    </row>
    <row r="44" spans="1:11" ht="18">
      <c r="A44" s="30"/>
      <c r="B44" s="150">
        <v>1604</v>
      </c>
      <c r="C44" s="151" t="str">
        <f>IF($B44="","",VLOOKUP($B44,Sheet_Items,6,0))</f>
        <v>其中：在建工程</v>
      </c>
      <c r="D44" s="70">
        <f t="shared" si="13"/>
        <v>43951288.280000001</v>
      </c>
      <c r="E44" s="152">
        <f t="shared" si="17"/>
        <v>0.1258</v>
      </c>
      <c r="F44" s="70">
        <f t="shared" si="15"/>
        <v>29940410.460000001</v>
      </c>
      <c r="G44" s="152">
        <f t="shared" si="18"/>
        <v>0.11609999999999999</v>
      </c>
      <c r="H44" s="152">
        <f t="shared" si="19"/>
        <v>-9.7000000000000003E-3</v>
      </c>
      <c r="I44" s="70">
        <f t="shared" si="20"/>
        <v>-14010877.82</v>
      </c>
      <c r="J44" s="152">
        <f t="shared" si="21"/>
        <v>-0.31879999999999997</v>
      </c>
      <c r="K44" s="163"/>
    </row>
    <row r="45" spans="1:11" ht="18">
      <c r="A45" s="30"/>
      <c r="B45" s="150">
        <v>1605</v>
      </c>
      <c r="C45" s="151" t="str">
        <f>IF($B45="","",VLOOKUP($B45,Sheet_Items,6,0))</f>
        <v>工程物资</v>
      </c>
      <c r="D45" s="70">
        <f t="shared" si="13"/>
        <v>0</v>
      </c>
      <c r="E45" s="152">
        <f t="shared" si="17"/>
        <v>0</v>
      </c>
      <c r="F45" s="70">
        <f t="shared" si="15"/>
        <v>6747539.5</v>
      </c>
      <c r="G45" s="152">
        <f t="shared" si="18"/>
        <v>2.6200000000000001E-2</v>
      </c>
      <c r="H45" s="152">
        <f t="shared" si="19"/>
        <v>2.6200000000000001E-2</v>
      </c>
      <c r="I45" s="70">
        <f t="shared" si="20"/>
        <v>6747539.5</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20891148.170000002</v>
      </c>
      <c r="E48" s="152">
        <f t="shared" si="17"/>
        <v>5.9799999999999999E-2</v>
      </c>
      <c r="F48" s="70">
        <f t="shared" si="15"/>
        <v>22921846.190000001</v>
      </c>
      <c r="G48" s="152">
        <f t="shared" si="18"/>
        <v>8.8900000000000007E-2</v>
      </c>
      <c r="H48" s="152">
        <f t="shared" si="19"/>
        <v>2.9100000000000001E-2</v>
      </c>
      <c r="I48" s="70">
        <f t="shared" si="20"/>
        <v>2030698.02</v>
      </c>
      <c r="J48" s="152">
        <f t="shared" si="21"/>
        <v>9.7199999999999995E-2</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1731944.44</v>
      </c>
      <c r="E51" s="152">
        <f t="shared" si="17"/>
        <v>5.0000000000000001E-3</v>
      </c>
      <c r="F51" s="70">
        <f t="shared" si="15"/>
        <v>1548766.81</v>
      </c>
      <c r="G51" s="152">
        <f t="shared" si="18"/>
        <v>6.0000000000000001E-3</v>
      </c>
      <c r="H51" s="152">
        <f t="shared" si="19"/>
        <v>1E-3</v>
      </c>
      <c r="I51" s="70">
        <f t="shared" si="20"/>
        <v>-183177.63</v>
      </c>
      <c r="J51" s="152">
        <f t="shared" si="21"/>
        <v>-0.10580000000000001</v>
      </c>
      <c r="K51" s="163"/>
    </row>
    <row r="52" spans="1:11" ht="18">
      <c r="A52" s="30"/>
      <c r="B52" s="150">
        <v>1811</v>
      </c>
      <c r="C52" s="151" t="str">
        <f t="shared" si="0"/>
        <v>递延所得税资产</v>
      </c>
      <c r="D52" s="70">
        <f t="shared" si="13"/>
        <v>15732218.73</v>
      </c>
      <c r="E52" s="152">
        <f t="shared" si="17"/>
        <v>4.4999999999999998E-2</v>
      </c>
      <c r="F52" s="70">
        <f t="shared" si="15"/>
        <v>16879550.879999999</v>
      </c>
      <c r="G52" s="152">
        <f t="shared" si="18"/>
        <v>6.5500000000000003E-2</v>
      </c>
      <c r="H52" s="152">
        <f t="shared" si="19"/>
        <v>2.0500000000000001E-2</v>
      </c>
      <c r="I52" s="70">
        <f t="shared" si="20"/>
        <v>1147332.1499999999</v>
      </c>
      <c r="J52" s="152">
        <f t="shared" si="21"/>
        <v>7.2900000000000006E-2</v>
      </c>
      <c r="K52" s="163"/>
    </row>
    <row r="53" spans="1:11" ht="18">
      <c r="A53" s="30"/>
      <c r="B53" s="150">
        <v>1996</v>
      </c>
      <c r="C53" s="151" t="str">
        <f t="shared" si="0"/>
        <v>其他非流动资产</v>
      </c>
      <c r="D53" s="70">
        <f t="shared" si="13"/>
        <v>3483445.9</v>
      </c>
      <c r="E53" s="152">
        <f t="shared" si="17"/>
        <v>0.01</v>
      </c>
      <c r="F53" s="70">
        <f t="shared" si="15"/>
        <v>443012.47</v>
      </c>
      <c r="G53" s="152">
        <f t="shared" si="18"/>
        <v>1.6999999999999999E-3</v>
      </c>
      <c r="H53" s="152">
        <f t="shared" si="19"/>
        <v>-8.3000000000000001E-3</v>
      </c>
      <c r="I53" s="70">
        <f t="shared" si="20"/>
        <v>-3040433.43</v>
      </c>
      <c r="J53" s="152">
        <f t="shared" si="21"/>
        <v>-0.87280000000000002</v>
      </c>
      <c r="K53" s="163"/>
    </row>
    <row r="54" spans="1:11" ht="18">
      <c r="A54" s="30"/>
      <c r="B54" s="150">
        <v>1998</v>
      </c>
      <c r="C54" s="153" t="str">
        <f t="shared" ref="C54:C93" si="22">IF($B54="","",VLOOKUP($B54,Sheet_Items,6,0))</f>
        <v>非流动资产合计</v>
      </c>
      <c r="D54" s="154">
        <f>SUM(D30:D53)-SUM(D41,D42,D44,D45)</f>
        <v>187939416.80000001</v>
      </c>
      <c r="E54" s="156">
        <f t="shared" ref="E54:I54" si="23">SUM(E30:E53)-SUM(E41,E42,E44,E45)</f>
        <v>0.53810000000000002</v>
      </c>
      <c r="F54" s="154">
        <f t="shared" si="23"/>
        <v>161513613.16999999</v>
      </c>
      <c r="G54" s="156">
        <f t="shared" si="23"/>
        <v>0.62629999999999997</v>
      </c>
      <c r="H54" s="156">
        <f t="shared" si="23"/>
        <v>8.8200000000000001E-2</v>
      </c>
      <c r="I54" s="154">
        <f t="shared" si="23"/>
        <v>-26425803.629999999</v>
      </c>
      <c r="J54" s="152">
        <f t="shared" si="1"/>
        <v>-0.1406</v>
      </c>
      <c r="K54" s="163"/>
    </row>
    <row r="55" spans="1:11" ht="18">
      <c r="A55" s="30"/>
      <c r="B55" s="150">
        <v>1999</v>
      </c>
      <c r="C55" s="153" t="str">
        <f t="shared" si="22"/>
        <v>资产总计</v>
      </c>
      <c r="D55" s="154">
        <f t="shared" ref="D55:I55" si="24">SUM(D28,D54)</f>
        <v>349257402.50999999</v>
      </c>
      <c r="E55" s="156">
        <f t="shared" si="24"/>
        <v>1</v>
      </c>
      <c r="F55" s="154">
        <f t="shared" si="24"/>
        <v>257874460.55000001</v>
      </c>
      <c r="G55" s="156">
        <f t="shared" si="24"/>
        <v>1</v>
      </c>
      <c r="H55" s="156">
        <f t="shared" si="24"/>
        <v>0</v>
      </c>
      <c r="I55" s="154">
        <f t="shared" si="24"/>
        <v>-91382941.959999993</v>
      </c>
      <c r="J55" s="155">
        <f t="shared" si="1"/>
        <v>-0.2616</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42762500</v>
      </c>
      <c r="E61" s="152">
        <f t="shared" si="30"/>
        <v>0.27160000000000001</v>
      </c>
      <c r="F61" s="70">
        <f t="shared" si="29"/>
        <v>0</v>
      </c>
      <c r="G61" s="152">
        <f t="shared" si="31"/>
        <v>0</v>
      </c>
      <c r="H61" s="152">
        <f t="shared" si="32"/>
        <v>-0.27160000000000001</v>
      </c>
      <c r="I61" s="70">
        <f t="shared" si="33"/>
        <v>-42762500</v>
      </c>
      <c r="J61" s="152">
        <f t="shared" si="34"/>
        <v>-1</v>
      </c>
      <c r="K61" s="163"/>
    </row>
    <row r="62" spans="1:11" ht="18">
      <c r="A62" s="30"/>
      <c r="B62" s="150">
        <v>2202</v>
      </c>
      <c r="C62" s="151" t="str">
        <f t="shared" si="22"/>
        <v>应付账款</v>
      </c>
      <c r="D62" s="70">
        <f t="shared" si="28"/>
        <v>35943625.149999999</v>
      </c>
      <c r="E62" s="152">
        <f t="shared" si="30"/>
        <v>0.2283</v>
      </c>
      <c r="F62" s="70">
        <f t="shared" si="29"/>
        <v>60014311.829999998</v>
      </c>
      <c r="G62" s="152">
        <f t="shared" si="31"/>
        <v>0.71879999999999999</v>
      </c>
      <c r="H62" s="152">
        <f t="shared" si="32"/>
        <v>0.49049999999999999</v>
      </c>
      <c r="I62" s="70">
        <f t="shared" si="33"/>
        <v>24070686.68</v>
      </c>
      <c r="J62" s="152">
        <f t="shared" si="34"/>
        <v>0.66969999999999996</v>
      </c>
      <c r="K62" s="163"/>
    </row>
    <row r="63" spans="1:11" ht="18">
      <c r="A63" s="30"/>
      <c r="B63" s="150">
        <v>2205</v>
      </c>
      <c r="C63" s="151" t="str">
        <f t="shared" si="22"/>
        <v>预收款项</v>
      </c>
      <c r="D63" s="70">
        <f t="shared" si="28"/>
        <v>2572903.23</v>
      </c>
      <c r="E63" s="152">
        <f t="shared" si="30"/>
        <v>1.6299999999999999E-2</v>
      </c>
      <c r="F63" s="70">
        <f t="shared" si="29"/>
        <v>1190488.93</v>
      </c>
      <c r="G63" s="152">
        <f t="shared" si="31"/>
        <v>1.43E-2</v>
      </c>
      <c r="H63" s="152">
        <f t="shared" si="32"/>
        <v>-2E-3</v>
      </c>
      <c r="I63" s="70">
        <f t="shared" si="33"/>
        <v>-1382414.3</v>
      </c>
      <c r="J63" s="152">
        <f t="shared" si="34"/>
        <v>-0.5373</v>
      </c>
      <c r="K63" s="163"/>
    </row>
    <row r="64" spans="1:11" ht="18">
      <c r="A64" s="30"/>
      <c r="B64" s="150">
        <v>2211</v>
      </c>
      <c r="C64" s="151" t="str">
        <f t="shared" si="22"/>
        <v>应付职工薪酬</v>
      </c>
      <c r="D64" s="70">
        <f t="shared" si="28"/>
        <v>6936778.7800000003</v>
      </c>
      <c r="E64" s="152">
        <f t="shared" si="30"/>
        <v>4.41E-2</v>
      </c>
      <c r="F64" s="70">
        <f t="shared" si="29"/>
        <v>6350911.7800000003</v>
      </c>
      <c r="G64" s="152">
        <f t="shared" si="31"/>
        <v>7.6100000000000001E-2</v>
      </c>
      <c r="H64" s="152">
        <f t="shared" si="32"/>
        <v>3.2000000000000001E-2</v>
      </c>
      <c r="I64" s="70">
        <f t="shared" si="33"/>
        <v>-585867</v>
      </c>
      <c r="J64" s="152">
        <f t="shared" si="34"/>
        <v>-8.4500000000000006E-2</v>
      </c>
      <c r="K64" s="163"/>
    </row>
    <row r="65" spans="1:11" ht="18">
      <c r="A65" s="30"/>
      <c r="B65" s="150">
        <v>2221</v>
      </c>
      <c r="C65" s="151" t="str">
        <f t="shared" si="22"/>
        <v>应交税费</v>
      </c>
      <c r="D65" s="70">
        <f t="shared" si="28"/>
        <v>7888725.9500000002</v>
      </c>
      <c r="E65" s="152">
        <f t="shared" si="30"/>
        <v>5.0099999999999999E-2</v>
      </c>
      <c r="F65" s="70">
        <f t="shared" si="29"/>
        <v>4883645.8</v>
      </c>
      <c r="G65" s="152">
        <f t="shared" si="31"/>
        <v>5.8500000000000003E-2</v>
      </c>
      <c r="H65" s="152">
        <f t="shared" si="32"/>
        <v>8.3999999999999995E-3</v>
      </c>
      <c r="I65" s="70">
        <f t="shared" si="33"/>
        <v>-3005080.15</v>
      </c>
      <c r="J65" s="152">
        <f t="shared" si="34"/>
        <v>-0.38090000000000002</v>
      </c>
      <c r="K65" s="163"/>
    </row>
    <row r="66" spans="1:11" ht="18">
      <c r="A66" s="30"/>
      <c r="B66" s="150">
        <v>2246</v>
      </c>
      <c r="C66" s="151" t="str">
        <f>IF($B66="","",VLOOKUP($B66,Sheet_Items,2,0))</f>
        <v>其他应付款（报表项目）</v>
      </c>
      <c r="D66" s="70">
        <f t="shared" si="28"/>
        <v>61340818.75</v>
      </c>
      <c r="E66" s="152">
        <f t="shared" si="30"/>
        <v>0.3896</v>
      </c>
      <c r="F66" s="70">
        <f t="shared" si="29"/>
        <v>11058441.74</v>
      </c>
      <c r="G66" s="152">
        <f t="shared" si="31"/>
        <v>0.13239999999999999</v>
      </c>
      <c r="H66" s="152">
        <f t="shared" si="32"/>
        <v>-0.25719999999999998</v>
      </c>
      <c r="I66" s="70">
        <f t="shared" si="33"/>
        <v>-50282377.009999998</v>
      </c>
      <c r="J66" s="152">
        <f t="shared" si="34"/>
        <v>-0.81969999999999998</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157445351.86000001</v>
      </c>
      <c r="E72" s="156">
        <f t="shared" ref="E72:I72" si="35">SUM(E57:E71)-SUM(E67,E68)</f>
        <v>1</v>
      </c>
      <c r="F72" s="154">
        <f t="shared" si="35"/>
        <v>83497800.079999998</v>
      </c>
      <c r="G72" s="156">
        <f t="shared" si="35"/>
        <v>1.0001</v>
      </c>
      <c r="H72" s="156">
        <f t="shared" si="35"/>
        <v>1E-4</v>
      </c>
      <c r="I72" s="154">
        <f t="shared" si="35"/>
        <v>-73947551.780000001</v>
      </c>
      <c r="J72" s="152">
        <f t="shared" si="27"/>
        <v>-0.46970000000000001</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157445351.86000001</v>
      </c>
      <c r="E85" s="156">
        <f>SUM(E72,E84)</f>
        <v>1</v>
      </c>
      <c r="F85" s="154">
        <f>SUM(F72,F84)</f>
        <v>83497800.079999998</v>
      </c>
      <c r="G85" s="156">
        <f>SUM(G72,G84)</f>
        <v>1.0001</v>
      </c>
      <c r="H85" s="156"/>
      <c r="I85" s="154">
        <f>SUM(I72,I84)</f>
        <v>-73947551.780000001</v>
      </c>
      <c r="J85" s="155">
        <f t="shared" si="27"/>
        <v>-0.46970000000000001</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85691911</v>
      </c>
      <c r="E87" s="152">
        <f>IF(D$98=0,"",D87/D$98)</f>
        <v>0.44669999999999999</v>
      </c>
      <c r="F87" s="70">
        <f t="shared" ref="F87:F97" si="48">VLOOKUP($B87,Sheet_Trialbal,6,0)</f>
        <v>85691911</v>
      </c>
      <c r="G87" s="152">
        <f>IF(F$98=0,"",F87/F$98)</f>
        <v>0.4914</v>
      </c>
      <c r="H87" s="152">
        <f t="shared" si="45"/>
        <v>4.4699999999999997E-2</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238420255.88999999</v>
      </c>
      <c r="E89" s="152">
        <f t="shared" si="49"/>
        <v>1.2430000000000001</v>
      </c>
      <c r="F89" s="70">
        <f t="shared" si="48"/>
        <v>238420255.88999999</v>
      </c>
      <c r="G89" s="152">
        <f t="shared" si="50"/>
        <v>1.3673</v>
      </c>
      <c r="H89" s="152">
        <f t="shared" si="51"/>
        <v>0.12429999999999999</v>
      </c>
      <c r="I89" s="70">
        <f t="shared" si="52"/>
        <v>0</v>
      </c>
      <c r="J89" s="152">
        <f t="shared" si="53"/>
        <v>0</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8378246.8099999996</v>
      </c>
      <c r="E92" s="152">
        <f t="shared" si="49"/>
        <v>4.3700000000000003E-2</v>
      </c>
      <c r="F92" s="70">
        <f t="shared" si="48"/>
        <v>4545209.38</v>
      </c>
      <c r="G92" s="152">
        <f t="shared" si="50"/>
        <v>2.6100000000000002E-2</v>
      </c>
      <c r="H92" s="152">
        <f t="shared" si="51"/>
        <v>-1.7600000000000001E-2</v>
      </c>
      <c r="I92" s="70">
        <f t="shared" si="52"/>
        <v>-3833037.43</v>
      </c>
      <c r="J92" s="152">
        <f t="shared" si="53"/>
        <v>-0.45750000000000002</v>
      </c>
      <c r="K92" s="163"/>
    </row>
    <row r="93" spans="1:11" ht="18">
      <c r="A93" s="30"/>
      <c r="B93" s="150">
        <v>4101</v>
      </c>
      <c r="C93" s="151" t="str">
        <f t="shared" si="22"/>
        <v>盈余公积</v>
      </c>
      <c r="D93" s="70">
        <f t="shared" si="47"/>
        <v>4637867.0999999996</v>
      </c>
      <c r="E93" s="152">
        <f t="shared" si="49"/>
        <v>2.4199999999999999E-2</v>
      </c>
      <c r="F93" s="70">
        <f t="shared" si="48"/>
        <v>4637867.0999999996</v>
      </c>
      <c r="G93" s="152">
        <f t="shared" si="50"/>
        <v>2.6599999999999999E-2</v>
      </c>
      <c r="H93" s="152">
        <f t="shared" si="51"/>
        <v>2.3999999999999998E-3</v>
      </c>
      <c r="I93" s="70">
        <f t="shared" si="52"/>
        <v>0</v>
      </c>
      <c r="J93" s="152">
        <f t="shared" si="53"/>
        <v>0</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-145316230.15000001</v>
      </c>
      <c r="E95" s="152">
        <f t="shared" si="49"/>
        <v>-0.75760000000000005</v>
      </c>
      <c r="F95" s="70">
        <f t="shared" si="48"/>
        <v>-158918582.90000001</v>
      </c>
      <c r="G95" s="152">
        <f t="shared" si="50"/>
        <v>-0.91139999999999999</v>
      </c>
      <c r="H95" s="152">
        <f t="shared" si="51"/>
        <v>-0.15379999999999999</v>
      </c>
      <c r="I95" s="70">
        <f t="shared" si="52"/>
        <v>-13602352.75</v>
      </c>
      <c r="J95" s="152">
        <f t="shared" si="53"/>
        <v>9.3600000000000003E-2</v>
      </c>
      <c r="K95" s="163"/>
    </row>
    <row r="96" spans="1:11" ht="18">
      <c r="A96" s="30"/>
      <c r="B96" s="150">
        <v>4298</v>
      </c>
      <c r="C96" s="164" t="str">
        <f t="shared" si="54"/>
        <v>归属于母公司所有者权益合计</v>
      </c>
      <c r="D96" s="154">
        <f>SUM(D87:D89,-D90,D91:D95)</f>
        <v>191812050.65000001</v>
      </c>
      <c r="E96" s="155">
        <f t="shared" ref="E96:E97" si="55">IF(D$98=0,"",D96/D$98)</f>
        <v>1</v>
      </c>
      <c r="F96" s="154">
        <f>SUM(F87:F89,-F90,F91:F95)</f>
        <v>174376660.47</v>
      </c>
      <c r="G96" s="155">
        <f t="shared" ref="G96:G97" si="56">IF(F$98=0,"",F96/F$98)</f>
        <v>1</v>
      </c>
      <c r="H96" s="155">
        <f t="shared" si="45"/>
        <v>0</v>
      </c>
      <c r="I96" s="154">
        <f>SUM(I87:I89,-I90,I91:I95)</f>
        <v>-17435390.18</v>
      </c>
      <c r="J96" s="152">
        <f t="shared" si="27"/>
        <v>-9.0899999999999995E-2</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191812050.65000001</v>
      </c>
      <c r="E98" s="156">
        <f t="shared" si="60"/>
        <v>1</v>
      </c>
      <c r="F98" s="154">
        <f t="shared" si="60"/>
        <v>174376660.47</v>
      </c>
      <c r="G98" s="156">
        <f t="shared" si="60"/>
        <v>1</v>
      </c>
      <c r="H98" s="156">
        <f t="shared" si="60"/>
        <v>0</v>
      </c>
      <c r="I98" s="154">
        <f t="shared" si="60"/>
        <v>-17435390.18</v>
      </c>
      <c r="J98" s="152">
        <f t="shared" si="27"/>
        <v>-9.0899999999999995E-2</v>
      </c>
      <c r="K98" s="163"/>
    </row>
    <row r="99" spans="1:11" ht="18">
      <c r="A99" s="30"/>
      <c r="B99" s="150">
        <v>5000</v>
      </c>
      <c r="C99" s="153" t="str">
        <f t="shared" si="54"/>
        <v>负债和所有者权益总计</v>
      </c>
      <c r="D99" s="154">
        <f>SUM(D85,D98)</f>
        <v>349257402.50999999</v>
      </c>
      <c r="E99" s="152"/>
      <c r="F99" s="154">
        <f>SUM(F85,F98)</f>
        <v>257874460.55000001</v>
      </c>
      <c r="G99" s="152"/>
      <c r="H99" s="152" t="str">
        <f t="shared" ref="H99:H101" si="61">IF(OR(G99="",E99=""),"",G99-E99)</f>
        <v/>
      </c>
      <c r="I99" s="154">
        <f>SUM(I85,I98)</f>
        <v>-91382941.959999993</v>
      </c>
      <c r="J99" s="152">
        <f t="shared" si="27"/>
        <v>-0.2616</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339876355.07999998</v>
      </c>
      <c r="E101" s="152"/>
      <c r="F101" s="70">
        <f t="shared" ref="F101:F114" si="66">VLOOKUP($B101,Sheet_Trialbal,6,0)</f>
        <v>231319311.91</v>
      </c>
      <c r="G101" s="152"/>
      <c r="H101" s="152" t="str">
        <f t="shared" si="61"/>
        <v/>
      </c>
      <c r="I101" s="70">
        <f t="shared" si="62"/>
        <v>-108557043.17</v>
      </c>
      <c r="J101" s="152">
        <f t="shared" si="63"/>
        <v>-0.31940000000000002</v>
      </c>
      <c r="K101" s="163"/>
    </row>
    <row r="102" spans="1:11" ht="18">
      <c r="A102" s="30"/>
      <c r="B102" s="150">
        <v>6401</v>
      </c>
      <c r="C102" s="151" t="str">
        <f t="shared" si="64"/>
        <v>营业成本</v>
      </c>
      <c r="D102" s="70">
        <f t="shared" si="65"/>
        <v>239939923.65000001</v>
      </c>
      <c r="E102" s="152"/>
      <c r="F102" s="70">
        <f t="shared" si="66"/>
        <v>197062457.09</v>
      </c>
      <c r="G102" s="152"/>
      <c r="H102" s="152" t="str">
        <f t="shared" ref="H102:H114" si="67">IF(OR(G102="",E102=""),"",G102-E102)</f>
        <v/>
      </c>
      <c r="I102" s="70">
        <f t="shared" ref="I102:I114" si="68">IF(OR(F102="",D102=""),"",F102-D102)</f>
        <v>-42877466.560000002</v>
      </c>
      <c r="J102" s="152">
        <f t="shared" ref="J102:J114" si="69">IF(OR(I102="",D102="",D102=0),"",I102/D102)</f>
        <v>-0.1787</v>
      </c>
      <c r="K102" s="163"/>
    </row>
    <row r="103" spans="1:11" ht="18">
      <c r="A103" s="30"/>
      <c r="B103" s="150">
        <v>6600</v>
      </c>
      <c r="C103" s="151" t="str">
        <f t="shared" si="64"/>
        <v>税金及附加</v>
      </c>
      <c r="D103" s="70">
        <f t="shared" si="65"/>
        <v>6554133.3899999997</v>
      </c>
      <c r="E103" s="152"/>
      <c r="F103" s="70">
        <f t="shared" si="66"/>
        <v>3777403.45</v>
      </c>
      <c r="G103" s="152"/>
      <c r="H103" s="152" t="str">
        <f t="shared" si="67"/>
        <v/>
      </c>
      <c r="I103" s="70">
        <f t="shared" si="68"/>
        <v>-2776729.94</v>
      </c>
      <c r="J103" s="152">
        <f t="shared" si="69"/>
        <v>-0.42370000000000002</v>
      </c>
      <c r="K103" s="163"/>
    </row>
    <row r="104" spans="1:11" ht="18">
      <c r="A104" s="30"/>
      <c r="B104" s="150">
        <v>6601</v>
      </c>
      <c r="C104" s="151" t="str">
        <f t="shared" si="64"/>
        <v>销售费用</v>
      </c>
      <c r="D104" s="70">
        <f t="shared" si="65"/>
        <v>22551947.460000001</v>
      </c>
      <c r="E104" s="152"/>
      <c r="F104" s="70">
        <f t="shared" si="66"/>
        <v>13846726.529999999</v>
      </c>
      <c r="G104" s="152"/>
      <c r="H104" s="152" t="str">
        <f t="shared" si="67"/>
        <v/>
      </c>
      <c r="I104" s="70">
        <f t="shared" si="68"/>
        <v>-8705220.9299999997</v>
      </c>
      <c r="J104" s="152">
        <f t="shared" si="69"/>
        <v>-0.38600000000000001</v>
      </c>
      <c r="K104" s="163"/>
    </row>
    <row r="105" spans="1:11" ht="18">
      <c r="A105" s="30"/>
      <c r="B105" s="150">
        <v>6602</v>
      </c>
      <c r="C105" s="151" t="str">
        <f t="shared" si="64"/>
        <v>管理费用</v>
      </c>
      <c r="D105" s="70">
        <f t="shared" si="65"/>
        <v>28739665.809999999</v>
      </c>
      <c r="E105" s="152"/>
      <c r="F105" s="70">
        <f t="shared" si="66"/>
        <v>18794129.440000001</v>
      </c>
      <c r="G105" s="152"/>
      <c r="H105" s="152" t="str">
        <f t="shared" si="67"/>
        <v/>
      </c>
      <c r="I105" s="70">
        <f t="shared" si="68"/>
        <v>-9945536.3699999992</v>
      </c>
      <c r="J105" s="152">
        <f t="shared" si="69"/>
        <v>-0.34610000000000002</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2508278.83</v>
      </c>
      <c r="E107" s="152"/>
      <c r="F107" s="70">
        <f t="shared" si="66"/>
        <v>347671.51</v>
      </c>
      <c r="G107" s="152"/>
      <c r="H107" s="152" t="str">
        <f t="shared" si="67"/>
        <v/>
      </c>
      <c r="I107" s="70">
        <f t="shared" si="68"/>
        <v>-2160607.3199999998</v>
      </c>
      <c r="J107" s="152">
        <f t="shared" si="69"/>
        <v>-0.86140000000000005</v>
      </c>
      <c r="K107" s="163"/>
    </row>
    <row r="108" spans="1:11" ht="18">
      <c r="A108" s="30"/>
      <c r="B108" s="150">
        <v>6181</v>
      </c>
      <c r="C108" s="151" t="str">
        <f t="shared" si="64"/>
        <v>其他收益</v>
      </c>
      <c r="D108" s="70">
        <f t="shared" si="65"/>
        <v>15000</v>
      </c>
      <c r="E108" s="152"/>
      <c r="F108" s="70">
        <f t="shared" si="66"/>
        <v>143120</v>
      </c>
      <c r="G108" s="152"/>
      <c r="H108" s="152" t="str">
        <f t="shared" si="67"/>
        <v/>
      </c>
      <c r="I108" s="70">
        <f t="shared" si="68"/>
        <v>128120</v>
      </c>
      <c r="J108" s="152">
        <f t="shared" si="69"/>
        <v>8.5412999999999997</v>
      </c>
      <c r="K108" s="163"/>
    </row>
    <row r="109" spans="1:11" ht="18">
      <c r="A109" s="30"/>
      <c r="B109" s="150">
        <v>6111</v>
      </c>
      <c r="C109" s="151" t="str">
        <f t="shared" si="64"/>
        <v>投资收益</v>
      </c>
      <c r="D109" s="70">
        <f t="shared" si="65"/>
        <v>300300</v>
      </c>
      <c r="E109" s="152"/>
      <c r="F109" s="70">
        <f t="shared" si="66"/>
        <v>0</v>
      </c>
      <c r="G109" s="152"/>
      <c r="H109" s="152" t="str">
        <f t="shared" si="67"/>
        <v/>
      </c>
      <c r="I109" s="70">
        <f t="shared" si="68"/>
        <v>-300300</v>
      </c>
      <c r="J109" s="152">
        <f t="shared" si="69"/>
        <v>-1</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-909636.12</v>
      </c>
      <c r="G112" s="152"/>
      <c r="H112" s="152" t="str">
        <f t="shared" si="67"/>
        <v/>
      </c>
      <c r="I112" s="70">
        <f t="shared" si="68"/>
        <v>-909636.12</v>
      </c>
      <c r="J112" s="152" t="str">
        <f t="shared" si="69"/>
        <v/>
      </c>
      <c r="K112" s="163"/>
    </row>
    <row r="113" spans="1:11" ht="24">
      <c r="A113" s="30"/>
      <c r="B113" s="150">
        <v>6671</v>
      </c>
      <c r="C113" s="151" t="str">
        <f>IF($B113="","",VLOOKUP($B113,Sheet_Items,6,0))</f>
        <v>资产减值损失（损失以“-”号填列）</v>
      </c>
      <c r="D113" s="70">
        <f t="shared" si="65"/>
        <v>-9046997.6899999995</v>
      </c>
      <c r="E113" s="152"/>
      <c r="F113" s="70">
        <f t="shared" si="66"/>
        <v>-13357245.939999999</v>
      </c>
      <c r="G113" s="152"/>
      <c r="H113" s="152" t="str">
        <f t="shared" si="67"/>
        <v/>
      </c>
      <c r="I113" s="70">
        <f t="shared" si="68"/>
        <v>-4310248.25</v>
      </c>
      <c r="J113" s="152">
        <f t="shared" si="69"/>
        <v>0.47639999999999999</v>
      </c>
      <c r="K113" s="163"/>
    </row>
    <row r="114" spans="1:11" ht="18">
      <c r="A114" s="30"/>
      <c r="B114" s="150">
        <v>6171</v>
      </c>
      <c r="C114" s="151" t="str">
        <f t="shared" si="64"/>
        <v>资产处置收益</v>
      </c>
      <c r="D114" s="70">
        <f t="shared" si="65"/>
        <v>-1081801.72</v>
      </c>
      <c r="E114" s="152"/>
      <c r="F114" s="70">
        <f t="shared" si="66"/>
        <v>4370781.55</v>
      </c>
      <c r="G114" s="152"/>
      <c r="H114" s="152" t="str">
        <f t="shared" si="67"/>
        <v/>
      </c>
      <c r="I114" s="70">
        <f t="shared" si="68"/>
        <v>5452583.2699999996</v>
      </c>
      <c r="J114" s="152">
        <f t="shared" si="69"/>
        <v>-5.0403000000000002</v>
      </c>
      <c r="K114" s="163"/>
    </row>
    <row r="115" spans="1:11" ht="18">
      <c r="A115" s="30"/>
      <c r="B115" s="150">
        <v>6689</v>
      </c>
      <c r="C115" s="153" t="str">
        <f t="shared" si="64"/>
        <v>营业利润</v>
      </c>
      <c r="D115" s="154">
        <f>SUM(D101)-SUM(D102:D107)+SUM(D108:D114)</f>
        <v>29768906.530000001</v>
      </c>
      <c r="E115" s="152">
        <f t="shared" ref="E115:I115" si="70">SUM(E101)-SUM(E102:E107)+SUM(E108:E114)</f>
        <v>0</v>
      </c>
      <c r="F115" s="154">
        <f t="shared" si="70"/>
        <v>-12262056.619999999</v>
      </c>
      <c r="G115" s="152">
        <f t="shared" si="70"/>
        <v>0</v>
      </c>
      <c r="H115" s="152">
        <f t="shared" si="70"/>
        <v>0</v>
      </c>
      <c r="I115" s="154">
        <f t="shared" si="70"/>
        <v>-42030963.149999999</v>
      </c>
      <c r="J115" s="152">
        <f t="shared" si="63"/>
        <v>-1.4118999999999999</v>
      </c>
      <c r="K115" s="163"/>
    </row>
    <row r="116" spans="1:11" ht="18">
      <c r="A116" s="30"/>
      <c r="B116" s="150">
        <v>6710</v>
      </c>
      <c r="C116" s="151" t="str">
        <f t="shared" si="64"/>
        <v>营业外收入</v>
      </c>
      <c r="D116" s="70">
        <f>VLOOKUP($B116,Sheet_Trialbal,10,0)</f>
        <v>52566.02</v>
      </c>
      <c r="E116" s="152"/>
      <c r="F116" s="70">
        <f>VLOOKUP($B116,Sheet_Trialbal,6,0)</f>
        <v>68824.56</v>
      </c>
      <c r="G116" s="152"/>
      <c r="H116" s="152" t="str">
        <f t="shared" ref="H116:H125" si="71">IF(OR(G116="",E116=""),"",G116-E116)</f>
        <v/>
      </c>
      <c r="I116" s="70">
        <f>IF(OR(F116="",D116=""),"",F116-D116)</f>
        <v>16258.54</v>
      </c>
      <c r="J116" s="152">
        <f t="shared" si="63"/>
        <v>0.30930000000000002</v>
      </c>
      <c r="K116" s="163"/>
    </row>
    <row r="117" spans="1:11" ht="18">
      <c r="A117" s="30"/>
      <c r="B117" s="150">
        <v>6711</v>
      </c>
      <c r="C117" s="151" t="str">
        <f t="shared" si="64"/>
        <v>营业外支出</v>
      </c>
      <c r="D117" s="70">
        <f>VLOOKUP($B117,Sheet_Trialbal,10,0)</f>
        <v>910205.83</v>
      </c>
      <c r="E117" s="152"/>
      <c r="F117" s="70">
        <f>VLOOKUP($B117,Sheet_Trialbal,6,0)</f>
        <v>1812843.01</v>
      </c>
      <c r="G117" s="152"/>
      <c r="H117" s="152" t="str">
        <f t="shared" si="71"/>
        <v/>
      </c>
      <c r="I117" s="70">
        <f>IF(OR(F117="",D117=""),"",F117-D117)</f>
        <v>902637.18</v>
      </c>
      <c r="J117" s="152">
        <f t="shared" si="63"/>
        <v>0.99170000000000003</v>
      </c>
      <c r="K117" s="163"/>
    </row>
    <row r="118" spans="1:11" ht="18">
      <c r="A118" s="30"/>
      <c r="B118" s="150">
        <v>6788</v>
      </c>
      <c r="C118" s="153" t="str">
        <f t="shared" si="64"/>
        <v>利润总额</v>
      </c>
      <c r="D118" s="154">
        <f>SUM(D115,D116,-D117)</f>
        <v>28911266.719999999</v>
      </c>
      <c r="E118" s="152"/>
      <c r="F118" s="154">
        <f>SUM(F115,F116,-F117)</f>
        <v>-14006075.07</v>
      </c>
      <c r="G118" s="152"/>
      <c r="H118" s="152" t="str">
        <f t="shared" si="71"/>
        <v/>
      </c>
      <c r="I118" s="154">
        <f>SUM(I115,I116,-I117)</f>
        <v>-42917341.789999999</v>
      </c>
      <c r="J118" s="155">
        <f t="shared" si="63"/>
        <v>-1.4844999999999999</v>
      </c>
      <c r="K118" s="163"/>
    </row>
    <row r="119" spans="1:11" ht="18">
      <c r="A119" s="30"/>
      <c r="B119" s="150">
        <v>6791</v>
      </c>
      <c r="C119" s="151" t="str">
        <f t="shared" si="64"/>
        <v>所得税费用</v>
      </c>
      <c r="D119" s="70">
        <f>VLOOKUP($B119,Sheet_Trialbal,10,0)</f>
        <v>1544915.31</v>
      </c>
      <c r="E119" s="152"/>
      <c r="F119" s="70">
        <f>VLOOKUP($B119,Sheet_Trialbal,6,0)</f>
        <v>-458474.61</v>
      </c>
      <c r="G119" s="152"/>
      <c r="H119" s="152" t="str">
        <f t="shared" si="71"/>
        <v/>
      </c>
      <c r="I119" s="70">
        <f t="shared" ref="I119:I125" si="72">IF(OR(F119="",D119=""),"",F119-D119)</f>
        <v>-2003389.92</v>
      </c>
      <c r="J119" s="152">
        <f t="shared" si="63"/>
        <v>-1.2968</v>
      </c>
      <c r="K119" s="163"/>
    </row>
    <row r="120" spans="1:11" ht="18">
      <c r="A120" s="30"/>
      <c r="B120" s="150">
        <v>6799</v>
      </c>
      <c r="C120" s="153" t="str">
        <f t="shared" si="64"/>
        <v>净利润</v>
      </c>
      <c r="D120" s="154">
        <f>SUM(D118,-D119)</f>
        <v>27366351.41</v>
      </c>
      <c r="E120" s="152"/>
      <c r="F120" s="154">
        <f>SUM(F118,-F119)</f>
        <v>-13547600.460000001</v>
      </c>
      <c r="G120" s="152"/>
      <c r="H120" s="152" t="str">
        <f t="shared" si="71"/>
        <v/>
      </c>
      <c r="I120" s="154">
        <f t="shared" si="72"/>
        <v>-40913951.869999997</v>
      </c>
      <c r="J120" s="155">
        <f t="shared" si="63"/>
        <v>-1.4950000000000001</v>
      </c>
      <c r="K120" s="163"/>
    </row>
    <row r="121" spans="1:11" ht="18">
      <c r="A121" s="30"/>
      <c r="B121" s="150">
        <v>6811</v>
      </c>
      <c r="C121" s="151" t="str">
        <f t="shared" si="64"/>
        <v>归属于母公司所有者的净利润</v>
      </c>
      <c r="D121" s="70">
        <f>VLOOKUP($B121,Sheet_Trialbal,10,0)</f>
        <v>27366351.41</v>
      </c>
      <c r="E121" s="152"/>
      <c r="F121" s="70">
        <f>VLOOKUP($B121,Sheet_Trialbal,6,0)</f>
        <v>-13547600.460000001</v>
      </c>
      <c r="G121" s="152"/>
      <c r="H121" s="152" t="str">
        <f t="shared" si="71"/>
        <v/>
      </c>
      <c r="I121" s="70">
        <f t="shared" si="72"/>
        <v>-40913951.869999997</v>
      </c>
      <c r="J121" s="152">
        <f t="shared" si="63"/>
        <v>-1.4950000000000001</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27366351.41</v>
      </c>
      <c r="E124" s="152"/>
      <c r="F124" s="154">
        <f>SUM(F120,F123)</f>
        <v>-13547600.460000001</v>
      </c>
      <c r="G124" s="152"/>
      <c r="H124" s="152" t="str">
        <f t="shared" si="71"/>
        <v/>
      </c>
      <c r="I124" s="154">
        <f t="shared" si="72"/>
        <v>-40913951.869999997</v>
      </c>
      <c r="J124" s="155">
        <f t="shared" si="63"/>
        <v>-1.4950000000000001</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4865</v>
      </c>
      <c r="C126" s="168" t="s">
        <v>5077</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topLeftCell="A23"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山东天安化工股份有限公司</v>
      </c>
      <c r="D2" s="4"/>
      <c r="E2" s="5" t="s">
        <v>2521</v>
      </c>
      <c r="F2" s="6"/>
      <c r="G2" s="7" t="s">
        <v>2501</v>
      </c>
      <c r="H2" s="8"/>
      <c r="I2" s="53"/>
      <c r="J2" s="96"/>
    </row>
    <row r="3" spans="1:10" ht="18" customHeight="1">
      <c r="B3" s="2" t="s">
        <v>2522</v>
      </c>
      <c r="C3" s="9" t="s">
        <v>5003</v>
      </c>
      <c r="D3" s="10" t="s">
        <v>2450</v>
      </c>
      <c r="E3" s="11" t="str">
        <f>IF(Lead!$E$9="","",Lead!$E$9)</f>
        <v>陈彦良</v>
      </c>
      <c r="F3" s="12"/>
      <c r="G3" s="13">
        <f>IF(Lead!$F$9="","",Lead!$F$9)</f>
        <v>43859</v>
      </c>
      <c r="H3" s="14" t="s">
        <v>2524</v>
      </c>
      <c r="I3" s="2745" t="s">
        <v>6595</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5004</v>
      </c>
      <c r="D8" s="65" t="s">
        <v>5005</v>
      </c>
      <c r="E8" s="64" t="s">
        <v>5006</v>
      </c>
      <c r="F8" s="66" t="s">
        <v>5078</v>
      </c>
      <c r="G8" s="66" t="s">
        <v>5008</v>
      </c>
      <c r="H8" s="67" t="s">
        <v>2508</v>
      </c>
      <c r="I8" s="98"/>
      <c r="J8" s="99" t="s">
        <v>5009</v>
      </c>
    </row>
    <row r="9" spans="1:10" ht="18">
      <c r="A9" s="30"/>
      <c r="B9" s="68">
        <v>1</v>
      </c>
      <c r="C9" s="69" t="s">
        <v>5079</v>
      </c>
      <c r="D9" s="70"/>
      <c r="E9" s="70"/>
      <c r="F9" s="70"/>
      <c r="G9" s="70"/>
      <c r="H9" s="71" t="s">
        <v>5057</v>
      </c>
      <c r="I9" s="100"/>
      <c r="J9" s="97" t="s">
        <v>918</v>
      </c>
    </row>
    <row r="10" spans="1:10" ht="18">
      <c r="A10" s="30"/>
      <c r="B10" s="31">
        <v>6001</v>
      </c>
      <c r="C10" s="72" t="s">
        <v>631</v>
      </c>
      <c r="D10" s="70">
        <f>VLOOKUP($B10,Sheet_Trialbal,10,0)</f>
        <v>339876355.07999998</v>
      </c>
      <c r="E10" s="70"/>
      <c r="F10" s="70">
        <f>VLOOKUP($B10,Sheet_Trialbal,6,0)</f>
        <v>231319311.91</v>
      </c>
      <c r="G10" s="70"/>
      <c r="H10" s="3641"/>
      <c r="I10" s="3642"/>
      <c r="J10" s="101" t="s">
        <v>5061</v>
      </c>
    </row>
    <row r="11" spans="1:10" ht="18">
      <c r="A11" s="30"/>
      <c r="B11" s="31"/>
      <c r="C11" s="72" t="s">
        <v>5074</v>
      </c>
      <c r="D11" s="70">
        <f>D10-D106</f>
        <v>99936431.430000007</v>
      </c>
      <c r="E11" s="70"/>
      <c r="F11" s="70">
        <f>F10-F106</f>
        <v>34256854.82</v>
      </c>
      <c r="G11" s="70"/>
      <c r="H11" s="73"/>
      <c r="I11" s="56"/>
      <c r="J11" s="96"/>
    </row>
    <row r="12" spans="1:10" ht="18">
      <c r="A12" s="30"/>
      <c r="B12" s="31">
        <v>6111</v>
      </c>
      <c r="C12" s="72" t="s">
        <v>656</v>
      </c>
      <c r="D12" s="70">
        <f>VLOOKUP($B12,Sheet_Trialbal,10,0)</f>
        <v>300300</v>
      </c>
      <c r="E12" s="70"/>
      <c r="F12" s="70">
        <f>VLOOKUP($B12,Sheet_Trialbal,6,0)</f>
        <v>0</v>
      </c>
      <c r="G12" s="70"/>
      <c r="H12" s="74" t="s">
        <v>5057</v>
      </c>
      <c r="I12" s="56"/>
      <c r="J12" s="96"/>
    </row>
    <row r="13" spans="1:10" ht="18">
      <c r="A13" s="30"/>
      <c r="B13" s="31">
        <v>6689</v>
      </c>
      <c r="C13" s="72" t="s">
        <v>833</v>
      </c>
      <c r="D13" s="70">
        <f>VLOOKUP($B13,Sheet_Trialbal,10,0)</f>
        <v>29768906.530000001</v>
      </c>
      <c r="E13" s="70"/>
      <c r="F13" s="70">
        <f>VLOOKUP($B13,Sheet_Trialbal,6,0)</f>
        <v>-12262056.619999999</v>
      </c>
      <c r="G13" s="70"/>
      <c r="H13" s="3641"/>
      <c r="I13" s="3642"/>
      <c r="J13" s="101" t="s">
        <v>5061</v>
      </c>
    </row>
    <row r="14" spans="1:10" ht="18">
      <c r="A14" s="30"/>
      <c r="B14" s="31">
        <v>6799</v>
      </c>
      <c r="C14" s="72" t="s">
        <v>871</v>
      </c>
      <c r="D14" s="70">
        <f>VLOOKUP($B14,Sheet_Trialbal,10,0)</f>
        <v>27366351.41</v>
      </c>
      <c r="E14" s="70"/>
      <c r="F14" s="70">
        <f>VLOOKUP($B14,Sheet_Trialbal,6,0)</f>
        <v>-13547600.460000001</v>
      </c>
      <c r="G14" s="70"/>
      <c r="H14" s="3641"/>
      <c r="I14" s="3642"/>
      <c r="J14" s="101" t="s">
        <v>5061</v>
      </c>
    </row>
    <row r="15" spans="1:10" ht="18">
      <c r="A15" s="30"/>
      <c r="B15" s="31">
        <v>6811</v>
      </c>
      <c r="C15" s="72" t="s">
        <v>5075</v>
      </c>
      <c r="D15" s="70">
        <f>VLOOKUP($B15,Sheet_Trialbal,10,0)</f>
        <v>27366351.41</v>
      </c>
      <c r="E15" s="70"/>
      <c r="F15" s="70">
        <f>VLOOKUP($B15,Sheet_Trialbal,6,0)</f>
        <v>-13547600.460000001</v>
      </c>
      <c r="G15" s="70"/>
      <c r="H15" s="34"/>
      <c r="I15" s="56"/>
      <c r="J15" s="96"/>
    </row>
    <row r="16" spans="1:10" ht="18">
      <c r="A16" s="30"/>
      <c r="B16" s="31">
        <v>2</v>
      </c>
      <c r="C16" s="69" t="s">
        <v>5010</v>
      </c>
      <c r="D16" s="70"/>
      <c r="E16" s="70"/>
      <c r="F16" s="70"/>
      <c r="G16" s="70"/>
      <c r="H16" s="34"/>
      <c r="I16" s="56"/>
      <c r="J16" s="96"/>
    </row>
    <row r="17" spans="1:10" ht="18">
      <c r="A17" s="30"/>
      <c r="B17" s="31"/>
      <c r="C17" s="72" t="s">
        <v>5011</v>
      </c>
      <c r="D17" s="75">
        <f>IF(D10=0,"",D11/D10)</f>
        <v>0.29399999999999998</v>
      </c>
      <c r="E17" s="70"/>
      <c r="F17" s="75">
        <f>IF(F10=0,"",F11/F10)</f>
        <v>0.14810000000000001</v>
      </c>
      <c r="G17" s="70"/>
      <c r="H17" s="34"/>
      <c r="I17" s="56"/>
      <c r="J17" s="101" t="s">
        <v>5012</v>
      </c>
    </row>
    <row r="18" spans="1:10" ht="18">
      <c r="A18" s="30"/>
      <c r="B18" s="31"/>
      <c r="C18" s="72" t="s">
        <v>5013</v>
      </c>
      <c r="D18" s="75">
        <f>IF(D$10=0,"",D13/D$10)</f>
        <v>8.7599999999999997E-2</v>
      </c>
      <c r="E18" s="70"/>
      <c r="F18" s="75">
        <f>IF(F$10=0,"",F13/F$10)</f>
        <v>-5.2999999999999999E-2</v>
      </c>
      <c r="G18" s="70"/>
      <c r="H18" s="34"/>
      <c r="I18" s="56"/>
      <c r="J18" s="101" t="s">
        <v>5014</v>
      </c>
    </row>
    <row r="19" spans="1:10" ht="18">
      <c r="A19" s="30"/>
      <c r="B19" s="31"/>
      <c r="C19" s="72" t="s">
        <v>5015</v>
      </c>
      <c r="D19" s="75">
        <f>IF(D$82=0,"",D14/D$82)</f>
        <v>7.8399999999999997E-2</v>
      </c>
      <c r="E19" s="70"/>
      <c r="F19" s="75">
        <f>IF(F$82=0,"",F14/F$82)</f>
        <v>-5.2499999999999998E-2</v>
      </c>
      <c r="G19" s="70"/>
      <c r="H19" s="34"/>
      <c r="I19" s="56"/>
      <c r="J19" s="101" t="s">
        <v>5016</v>
      </c>
    </row>
    <row r="20" spans="1:10" ht="18">
      <c r="A20" s="30"/>
      <c r="B20" s="31"/>
      <c r="C20" s="72" t="s">
        <v>5017</v>
      </c>
      <c r="D20" s="75">
        <f>IF(D87=0,"",D14/D87)</f>
        <v>0.14269999999999999</v>
      </c>
      <c r="E20" s="70"/>
      <c r="F20" s="75">
        <f>IF(F87=0,"",F14/F87)</f>
        <v>-7.7700000000000005E-2</v>
      </c>
      <c r="G20" s="70"/>
      <c r="H20" s="34"/>
      <c r="I20" s="56"/>
      <c r="J20" s="101" t="s">
        <v>5018</v>
      </c>
    </row>
    <row r="21" spans="1:10" ht="18">
      <c r="A21" s="30"/>
      <c r="B21" s="31">
        <v>3</v>
      </c>
      <c r="C21" s="69" t="s">
        <v>5019</v>
      </c>
      <c r="D21" s="70"/>
      <c r="E21" s="70"/>
      <c r="F21" s="70"/>
      <c r="G21" s="70"/>
      <c r="H21" s="34"/>
      <c r="I21" s="56"/>
      <c r="J21" s="96"/>
    </row>
    <row r="22" spans="1:10" ht="18">
      <c r="A22" s="30"/>
      <c r="B22" s="31"/>
      <c r="C22" s="72" t="s">
        <v>5020</v>
      </c>
      <c r="D22" s="70">
        <f>IF(D74=0,"",D$10/D74)</f>
        <v>15.76</v>
      </c>
      <c r="E22" s="70"/>
      <c r="F22" s="70">
        <f>IF(F74=0,"",F$10/F74)</f>
        <v>4.83</v>
      </c>
      <c r="G22" s="70"/>
      <c r="H22" s="34"/>
      <c r="I22" s="56"/>
      <c r="J22" s="101" t="s">
        <v>5021</v>
      </c>
    </row>
    <row r="23" spans="1:10" ht="18">
      <c r="A23" s="30"/>
      <c r="B23" s="31"/>
      <c r="C23" s="72" t="s">
        <v>5022</v>
      </c>
      <c r="D23" s="70">
        <f>IF(D79=0,"",D106/D79)</f>
        <v>14.5</v>
      </c>
      <c r="E23" s="70"/>
      <c r="F23" s="70">
        <f>IF(F79=0,"",F106/F79)</f>
        <v>7.11</v>
      </c>
      <c r="G23" s="70"/>
      <c r="H23" s="34"/>
      <c r="I23" s="56"/>
      <c r="J23" s="101" t="s">
        <v>5023</v>
      </c>
    </row>
    <row r="24" spans="1:10" ht="18">
      <c r="A24" s="30"/>
      <c r="B24" s="31"/>
      <c r="C24" s="72" t="s">
        <v>5024</v>
      </c>
      <c r="D24" s="70">
        <f>IF(D83=0,"",D$10/D83)</f>
        <v>1.95</v>
      </c>
      <c r="E24" s="70"/>
      <c r="F24" s="70">
        <f>IF(F83=0,"",F$10/F83)</f>
        <v>0.76</v>
      </c>
      <c r="G24" s="70"/>
      <c r="H24" s="34"/>
      <c r="I24" s="56"/>
      <c r="J24" s="101" t="s">
        <v>5025</v>
      </c>
    </row>
    <row r="25" spans="1:10" ht="18">
      <c r="A25" s="30"/>
      <c r="B25" s="31"/>
      <c r="C25" s="72" t="s">
        <v>5026</v>
      </c>
      <c r="D25" s="70">
        <f>IF(D85=0,"",D$10/D85)</f>
        <v>87.76</v>
      </c>
      <c r="E25" s="70"/>
      <c r="F25" s="70">
        <f>IF(F85=0,"",F$10/F85)</f>
        <v>17.98</v>
      </c>
      <c r="G25" s="70"/>
      <c r="H25" s="34"/>
      <c r="I25" s="56"/>
      <c r="J25" s="101" t="s">
        <v>5027</v>
      </c>
    </row>
    <row r="26" spans="1:10" ht="18">
      <c r="A26" s="30"/>
      <c r="B26" s="31">
        <v>4</v>
      </c>
      <c r="C26" s="69" t="s">
        <v>5028</v>
      </c>
      <c r="D26" s="70"/>
      <c r="E26" s="70"/>
      <c r="F26" s="70"/>
      <c r="G26" s="70"/>
      <c r="H26" s="34"/>
      <c r="I26" s="56"/>
      <c r="J26" s="96"/>
    </row>
    <row r="27" spans="1:10" ht="18">
      <c r="A27" s="30"/>
      <c r="B27" s="31"/>
      <c r="C27" s="72" t="s">
        <v>5029</v>
      </c>
      <c r="D27" s="70">
        <f>IF(D$84=0,"",D80/D$84)</f>
        <v>1.02</v>
      </c>
      <c r="E27" s="70"/>
      <c r="F27" s="70">
        <f>IF(F$84=0,"",F80/F$84)</f>
        <v>1.1499999999999999</v>
      </c>
      <c r="G27" s="70"/>
      <c r="H27" s="34"/>
      <c r="I27" s="56"/>
      <c r="J27" s="101" t="s">
        <v>5030</v>
      </c>
    </row>
    <row r="28" spans="1:10" ht="18">
      <c r="A28" s="30"/>
      <c r="B28" s="31"/>
      <c r="C28" s="72" t="s">
        <v>5031</v>
      </c>
      <c r="D28" s="70">
        <f>IF(D$84=0,"",D81/D$84)</f>
        <v>0.8</v>
      </c>
      <c r="E28" s="70"/>
      <c r="F28" s="70">
        <f>IF(F$84=0,"",F81/F$84)</f>
        <v>0.87</v>
      </c>
      <c r="G28" s="70"/>
      <c r="H28" s="34"/>
      <c r="I28" s="56"/>
      <c r="J28" s="101" t="s">
        <v>5032</v>
      </c>
    </row>
    <row r="29" spans="1:10" ht="18">
      <c r="A29" s="30"/>
      <c r="B29" s="31"/>
      <c r="C29" s="72" t="s">
        <v>5033</v>
      </c>
      <c r="D29" s="70">
        <f>IF(D$84=0,"",D109/D$84)</f>
        <v>0.23</v>
      </c>
      <c r="E29" s="70"/>
      <c r="F29" s="70">
        <f>IF(F$84=0,"",F109/F$84)</f>
        <v>0.08</v>
      </c>
      <c r="G29" s="70"/>
      <c r="H29" s="34"/>
      <c r="I29" s="56"/>
      <c r="J29" s="101" t="s">
        <v>5034</v>
      </c>
    </row>
    <row r="30" spans="1:10" ht="18">
      <c r="A30" s="30"/>
      <c r="B30" s="31">
        <v>5</v>
      </c>
      <c r="C30" s="69" t="s">
        <v>5035</v>
      </c>
      <c r="D30" s="70"/>
      <c r="E30" s="70"/>
      <c r="F30" s="70"/>
      <c r="G30" s="70"/>
      <c r="H30" s="34"/>
      <c r="I30" s="56"/>
      <c r="J30" s="96"/>
    </row>
    <row r="31" spans="1:10" ht="18">
      <c r="A31" s="30"/>
      <c r="B31" s="31"/>
      <c r="C31" s="72" t="s">
        <v>5036</v>
      </c>
      <c r="D31" s="75">
        <f>IF(D82=0,"",D86/D82)</f>
        <v>0.45079999999999998</v>
      </c>
      <c r="E31" s="75"/>
      <c r="F31" s="75">
        <f>IF(F82=0,"",F86/F82)</f>
        <v>0.32379999999999998</v>
      </c>
      <c r="G31" s="75"/>
      <c r="H31" s="34"/>
      <c r="I31" s="56"/>
      <c r="J31" s="96"/>
    </row>
    <row r="32" spans="1:10" ht="18">
      <c r="A32" s="30"/>
      <c r="B32" s="31">
        <v>6</v>
      </c>
      <c r="C32" s="69" t="s">
        <v>5080</v>
      </c>
      <c r="D32" s="70"/>
      <c r="E32" s="70"/>
      <c r="F32" s="70"/>
      <c r="G32" s="70"/>
      <c r="H32" s="34"/>
      <c r="I32" s="56"/>
      <c r="J32" s="96"/>
    </row>
    <row r="33" spans="1:10" ht="18">
      <c r="A33" s="30"/>
      <c r="B33" s="31"/>
      <c r="C33" s="72" t="s">
        <v>5081</v>
      </c>
      <c r="D33" s="70" t="str">
        <f>IF(D69=0,"",D10/D69)</f>
        <v/>
      </c>
      <c r="E33" s="70"/>
      <c r="F33" s="70" t="str">
        <f>IF(F69=0,"",F10/F69)</f>
        <v/>
      </c>
      <c r="G33" s="70"/>
      <c r="H33" s="34"/>
      <c r="I33" s="56"/>
      <c r="J33" s="101" t="s">
        <v>5082</v>
      </c>
    </row>
    <row r="34" spans="1:10" ht="18">
      <c r="A34" s="30"/>
      <c r="B34" s="31"/>
      <c r="C34" s="72" t="s">
        <v>5083</v>
      </c>
      <c r="D34" s="75">
        <f>IF(D$10=0,"",(D107+D108)/D$10)</f>
        <v>0.15090000000000001</v>
      </c>
      <c r="E34" s="70"/>
      <c r="F34" s="75">
        <f>IF(F$10=0,"",(F107+F108)/F$10)</f>
        <v>0.1411</v>
      </c>
      <c r="G34" s="70"/>
      <c r="H34" s="34"/>
      <c r="I34" s="56"/>
      <c r="J34" s="101" t="s">
        <v>5084</v>
      </c>
    </row>
    <row r="35" spans="1:10" ht="18">
      <c r="A35" s="30"/>
      <c r="B35" s="31">
        <v>7</v>
      </c>
      <c r="C35" s="69" t="s">
        <v>5037</v>
      </c>
      <c r="D35" s="70"/>
      <c r="E35" s="70"/>
      <c r="F35" s="70"/>
      <c r="G35" s="70"/>
      <c r="H35" s="34"/>
      <c r="I35" s="56"/>
      <c r="J35" s="96"/>
    </row>
    <row r="36" spans="1:10" ht="18">
      <c r="A36" s="30"/>
      <c r="B36" s="31"/>
      <c r="C36" s="72" t="s">
        <v>5038</v>
      </c>
      <c r="D36" s="75" t="str">
        <f>IF(H10=0,"",(D10-H10)/H10)</f>
        <v/>
      </c>
      <c r="E36" s="75"/>
      <c r="F36" s="75">
        <f>IF(D10=0,"",(F10-D10)/D10)</f>
        <v>-0.31940000000000002</v>
      </c>
      <c r="G36" s="75"/>
      <c r="H36" s="34"/>
      <c r="I36" s="56"/>
      <c r="J36" s="101" t="s">
        <v>5039</v>
      </c>
    </row>
    <row r="37" spans="1:10" ht="18">
      <c r="A37" s="30"/>
      <c r="B37" s="31"/>
      <c r="C37" s="72" t="s">
        <v>5040</v>
      </c>
      <c r="D37" s="75" t="str">
        <f>IF(H13=0,"",(D13-H13)/H13)</f>
        <v/>
      </c>
      <c r="E37" s="75"/>
      <c r="F37" s="75">
        <f>IF(D13=0,"",(F13-D13)/D13)</f>
        <v>-1.4118999999999999</v>
      </c>
      <c r="G37" s="75"/>
      <c r="H37" s="34"/>
      <c r="I37" s="56"/>
      <c r="J37" s="101" t="s">
        <v>5041</v>
      </c>
    </row>
    <row r="38" spans="1:10" ht="18">
      <c r="A38" s="30"/>
      <c r="B38" s="31"/>
      <c r="C38" s="72" t="s">
        <v>5042</v>
      </c>
      <c r="D38" s="75" t="str">
        <f>IF(H14=0,"",(D14-H14)/H14)</f>
        <v/>
      </c>
      <c r="E38" s="75"/>
      <c r="F38" s="75">
        <f>IF(D14=0,"",(F14-D14)/D14)</f>
        <v>-1.4950000000000001</v>
      </c>
      <c r="G38" s="75"/>
      <c r="H38" s="34"/>
      <c r="I38" s="56"/>
      <c r="J38" s="101" t="s">
        <v>5043</v>
      </c>
    </row>
    <row r="39" spans="1:10" ht="18">
      <c r="A39" s="30"/>
      <c r="B39" s="31"/>
      <c r="C39" s="72" t="s">
        <v>5044</v>
      </c>
      <c r="D39" s="75" t="str">
        <f>IF(H87=0,"",(D87-H87)/H87)</f>
        <v/>
      </c>
      <c r="E39" s="75"/>
      <c r="F39" s="75">
        <f>IF(D87=0,"",(F87-D87)/D87)</f>
        <v>-9.0899999999999995E-2</v>
      </c>
      <c r="G39" s="75"/>
      <c r="H39" s="34"/>
      <c r="I39" s="56"/>
      <c r="J39" s="101" t="s">
        <v>5045</v>
      </c>
    </row>
    <row r="40" spans="1:10" ht="18">
      <c r="A40" s="30"/>
      <c r="B40" s="31"/>
      <c r="C40" s="72" t="s">
        <v>5046</v>
      </c>
      <c r="D40" s="75" t="str">
        <f>IF(H82=0,"",(D82-H82)/H82)</f>
        <v/>
      </c>
      <c r="E40" s="75"/>
      <c r="F40" s="75">
        <f>IF(D82=0,"",(F82-D82)/D82)</f>
        <v>-0.2616</v>
      </c>
      <c r="G40" s="75"/>
      <c r="H40" s="34"/>
      <c r="I40" s="56"/>
      <c r="J40" s="101" t="s">
        <v>5047</v>
      </c>
    </row>
    <row r="41" spans="1:10" ht="18">
      <c r="A41" s="30"/>
      <c r="B41" s="31">
        <v>8</v>
      </c>
      <c r="C41" s="69" t="s">
        <v>5085</v>
      </c>
      <c r="D41" s="70"/>
      <c r="E41" s="70"/>
      <c r="F41" s="70"/>
      <c r="G41" s="70"/>
      <c r="H41" s="34"/>
      <c r="I41" s="56"/>
      <c r="J41" s="96"/>
    </row>
    <row r="42" spans="1:10" ht="18">
      <c r="A42" s="30"/>
      <c r="B42" s="31">
        <v>7348</v>
      </c>
      <c r="C42" s="72" t="s">
        <v>5086</v>
      </c>
      <c r="D42" s="70">
        <f>VLOOKUP($B42,Sheet_Trialbal,10,0)</f>
        <v>27630420.84</v>
      </c>
      <c r="E42" s="70"/>
      <c r="F42" s="70">
        <f>VLOOKUP($B42,Sheet_Trialbal,6,0)</f>
        <v>-29044668.09</v>
      </c>
      <c r="G42" s="70"/>
      <c r="H42" s="34"/>
      <c r="I42" s="56"/>
      <c r="J42" s="96"/>
    </row>
    <row r="43" spans="1:10" ht="18">
      <c r="A43" s="30"/>
      <c r="B43" s="31">
        <v>7099</v>
      </c>
      <c r="C43" s="72" t="s">
        <v>5087</v>
      </c>
      <c r="D43" s="70">
        <f>VLOOKUP($B43,Sheet_Trialbal,10,0)</f>
        <v>79775356.629999995</v>
      </c>
      <c r="E43" s="70"/>
      <c r="F43" s="70">
        <f>VLOOKUP($B43,Sheet_Trialbal,6,0)</f>
        <v>30734887.550000001</v>
      </c>
      <c r="G43" s="70"/>
      <c r="H43" s="34"/>
      <c r="I43" s="56"/>
      <c r="J43" s="96"/>
    </row>
    <row r="44" spans="1:10" ht="18">
      <c r="A44" s="30"/>
      <c r="B44" s="31">
        <v>7001</v>
      </c>
      <c r="C44" s="72" t="s">
        <v>5088</v>
      </c>
      <c r="D44" s="70">
        <f>VLOOKUP($B44,Sheet_Trialbal,10,0)</f>
        <v>289012665.19</v>
      </c>
      <c r="E44" s="70"/>
      <c r="F44" s="70">
        <f>VLOOKUP($B44,Sheet_Trialbal,6,0)</f>
        <v>179675938.56999999</v>
      </c>
      <c r="G44" s="70"/>
      <c r="H44" s="34"/>
      <c r="I44" s="56"/>
      <c r="J44" s="96"/>
    </row>
    <row r="45" spans="1:10" ht="24">
      <c r="A45" s="30"/>
      <c r="B45" s="31"/>
      <c r="C45" s="72" t="s">
        <v>5089</v>
      </c>
      <c r="D45" s="75">
        <f>IF(D$10=0,"",D44/D$10)</f>
        <v>0.85029999999999994</v>
      </c>
      <c r="E45" s="70"/>
      <c r="F45" s="75">
        <f>IF(F$10=0,"",F44/F$10)</f>
        <v>0.77669999999999995</v>
      </c>
      <c r="G45" s="70"/>
      <c r="H45" s="34"/>
      <c r="I45" s="56"/>
      <c r="J45" s="96"/>
    </row>
    <row r="46" spans="1:10" ht="18">
      <c r="A46" s="30"/>
      <c r="B46" s="31">
        <v>9</v>
      </c>
      <c r="C46" s="69" t="s">
        <v>5048</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5049</v>
      </c>
    </row>
    <row r="48" spans="1:10" ht="18">
      <c r="A48" s="30"/>
      <c r="B48" s="31"/>
      <c r="C48" s="72" t="s">
        <v>5050</v>
      </c>
      <c r="D48" s="70" t="str">
        <f>IF(D$70=0,"",D87/D$70)</f>
        <v/>
      </c>
      <c r="E48" s="70"/>
      <c r="F48" s="70" t="str">
        <f>IF(F$70=0,"",F87/F$70)</f>
        <v/>
      </c>
      <c r="G48" s="70"/>
      <c r="H48" s="34"/>
      <c r="I48" s="56"/>
      <c r="J48" s="101" t="s">
        <v>5051</v>
      </c>
    </row>
    <row r="49" spans="1:10" ht="18">
      <c r="A49" s="30"/>
      <c r="B49" s="36"/>
      <c r="C49" s="76" t="s">
        <v>5052</v>
      </c>
      <c r="D49" s="70" t="str">
        <f>IF(D$70=0,"",D42/D$70)</f>
        <v/>
      </c>
      <c r="E49" s="70"/>
      <c r="F49" s="70" t="str">
        <f>IF(F$70=0,"",F42/F$70)</f>
        <v/>
      </c>
      <c r="G49" s="70"/>
      <c r="H49" s="39"/>
      <c r="I49" s="57"/>
      <c r="J49" s="101" t="s">
        <v>5053</v>
      </c>
    </row>
    <row r="50" spans="1:10" ht="18">
      <c r="A50" s="30"/>
      <c r="B50" s="77"/>
      <c r="C50" s="78" t="s">
        <v>5090</v>
      </c>
      <c r="D50" s="79"/>
      <c r="E50" s="79"/>
      <c r="F50" s="79"/>
      <c r="G50" s="79"/>
      <c r="H50" s="80"/>
      <c r="I50" s="102"/>
      <c r="J50" s="96"/>
    </row>
    <row r="51" spans="1:10" ht="18">
      <c r="A51" s="30"/>
      <c r="B51" s="81"/>
      <c r="C51" s="82" t="s">
        <v>5091</v>
      </c>
      <c r="D51" s="83"/>
      <c r="E51" s="83"/>
      <c r="F51" s="83"/>
      <c r="G51" s="83"/>
      <c r="H51" s="84"/>
      <c r="I51" s="56"/>
      <c r="J51" s="96"/>
    </row>
    <row r="52" spans="1:10" ht="18">
      <c r="A52" s="30"/>
      <c r="B52" s="81"/>
      <c r="C52" s="82" t="s">
        <v>5092</v>
      </c>
      <c r="D52" s="83"/>
      <c r="E52" s="83"/>
      <c r="F52" s="83"/>
      <c r="G52" s="83"/>
      <c r="H52" s="84"/>
      <c r="I52" s="56"/>
      <c r="J52" s="96"/>
    </row>
    <row r="53" spans="1:10" ht="18">
      <c r="A53" s="30"/>
      <c r="B53" s="81"/>
      <c r="C53" s="82" t="s">
        <v>5093</v>
      </c>
      <c r="D53" s="83"/>
      <c r="E53" s="83"/>
      <c r="F53" s="83"/>
      <c r="G53" s="83"/>
      <c r="H53" s="84"/>
      <c r="I53" s="56"/>
      <c r="J53" s="96"/>
    </row>
    <row r="54" spans="1:10" ht="18">
      <c r="A54" s="30"/>
      <c r="B54" s="81"/>
      <c r="C54" s="82" t="s">
        <v>5094</v>
      </c>
      <c r="D54" s="83"/>
      <c r="E54" s="83"/>
      <c r="F54" s="83"/>
      <c r="G54" s="83"/>
      <c r="H54" s="84"/>
      <c r="I54" s="56"/>
      <c r="J54" s="96"/>
    </row>
    <row r="55" spans="1:10" ht="18">
      <c r="A55" s="30"/>
      <c r="B55" s="81"/>
      <c r="C55" s="82" t="s">
        <v>5095</v>
      </c>
      <c r="D55" s="83"/>
      <c r="E55" s="83"/>
      <c r="F55" s="83"/>
      <c r="G55" s="83"/>
      <c r="H55" s="84"/>
      <c r="I55" s="56"/>
      <c r="J55" s="96"/>
    </row>
    <row r="56" spans="1:10" ht="18">
      <c r="A56" s="30"/>
      <c r="B56" s="85"/>
      <c r="C56" s="49" t="s">
        <v>5096</v>
      </c>
      <c r="D56" s="86"/>
      <c r="E56" s="86"/>
      <c r="F56" s="86"/>
      <c r="G56" s="86"/>
      <c r="H56" s="87"/>
      <c r="I56" s="57"/>
      <c r="J56" s="96"/>
    </row>
    <row r="57" spans="1:10" ht="18">
      <c r="A57" s="30"/>
      <c r="B57" s="77"/>
      <c r="C57" s="88" t="s">
        <v>5097</v>
      </c>
      <c r="D57" s="79"/>
      <c r="E57" s="79"/>
      <c r="F57" s="79"/>
      <c r="G57" s="79"/>
      <c r="H57" s="80"/>
      <c r="I57" s="102"/>
      <c r="J57" s="96"/>
    </row>
    <row r="58" spans="1:10" ht="18">
      <c r="A58" s="30"/>
      <c r="B58" s="81"/>
      <c r="C58" s="89" t="s">
        <v>5098</v>
      </c>
      <c r="D58" s="83"/>
      <c r="E58" s="83"/>
      <c r="F58" s="83"/>
      <c r="G58" s="83"/>
      <c r="H58" s="84"/>
      <c r="I58" s="56"/>
      <c r="J58" s="96"/>
    </row>
    <row r="59" spans="1:10" ht="18">
      <c r="A59" s="30"/>
      <c r="B59" s="81"/>
      <c r="C59" s="90" t="s">
        <v>5004</v>
      </c>
      <c r="D59" s="91" t="s">
        <v>5005</v>
      </c>
      <c r="E59" s="92" t="s">
        <v>5099</v>
      </c>
      <c r="F59" s="93" t="s">
        <v>5078</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5090</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5054</v>
      </c>
      <c r="E68" s="107" t="s">
        <v>5055</v>
      </c>
      <c r="F68" s="106" t="s">
        <v>5078</v>
      </c>
      <c r="G68" s="106" t="s">
        <v>5008</v>
      </c>
      <c r="H68" s="3629" t="s">
        <v>5057</v>
      </c>
      <c r="I68" s="3630"/>
      <c r="J68" s="97" t="s">
        <v>5058</v>
      </c>
    </row>
    <row r="69" spans="1:10" ht="18">
      <c r="A69" s="30"/>
      <c r="B69" s="108"/>
      <c r="C69" s="109" t="s">
        <v>5059</v>
      </c>
      <c r="D69" s="110"/>
      <c r="E69" s="111"/>
      <c r="F69" s="110"/>
      <c r="G69" s="110"/>
      <c r="H69" s="3631"/>
      <c r="I69" s="3632"/>
      <c r="J69" s="96"/>
    </row>
    <row r="70" spans="1:10" ht="18">
      <c r="A70" s="30"/>
      <c r="B70" s="112"/>
      <c r="C70" s="113" t="s">
        <v>5060</v>
      </c>
      <c r="D70" s="114"/>
      <c r="E70" s="115"/>
      <c r="F70" s="114"/>
      <c r="G70" s="114"/>
      <c r="H70" s="3633"/>
      <c r="I70" s="3634"/>
      <c r="J70" s="96"/>
    </row>
    <row r="71" spans="1:10" ht="18">
      <c r="A71" s="30"/>
      <c r="B71" s="116">
        <v>1122</v>
      </c>
      <c r="C71" s="113" t="s">
        <v>124</v>
      </c>
      <c r="D71" s="117">
        <f>VLOOKUP($B71,Sheet_Trialbal,10,0)</f>
        <v>43128210.229999997</v>
      </c>
      <c r="E71" s="117"/>
      <c r="F71" s="117">
        <f>VLOOKUP($B71,Sheet_Trialbal,6,0)</f>
        <v>52079975.609999999</v>
      </c>
      <c r="G71" s="117"/>
      <c r="H71" s="3635"/>
      <c r="I71" s="3636"/>
      <c r="J71" s="101" t="s">
        <v>5061</v>
      </c>
    </row>
    <row r="72" spans="1:10" ht="18">
      <c r="A72" s="30"/>
      <c r="B72" s="116">
        <v>1122.1231</v>
      </c>
      <c r="C72" s="113" t="s">
        <v>5062</v>
      </c>
      <c r="D72" s="114">
        <f>VLOOKUP($B72,Sheet_Trialbal,10,0)</f>
        <v>0</v>
      </c>
      <c r="E72" s="114"/>
      <c r="F72" s="114">
        <f>VLOOKUP($B72,Sheet_Trialbal,6,0)</f>
        <v>617987.83999999997</v>
      </c>
      <c r="G72" s="114"/>
      <c r="H72" s="3635"/>
      <c r="I72" s="3636"/>
      <c r="J72" s="101" t="s">
        <v>5061</v>
      </c>
    </row>
    <row r="73" spans="1:10" ht="18">
      <c r="A73" s="30"/>
      <c r="B73" s="116"/>
      <c r="C73" s="113" t="s">
        <v>5063</v>
      </c>
      <c r="D73" s="118">
        <f>D71+D72</f>
        <v>43128210.229999997</v>
      </c>
      <c r="E73" s="118"/>
      <c r="F73" s="118">
        <f>F71+F72</f>
        <v>52697963.450000003</v>
      </c>
      <c r="G73" s="118"/>
      <c r="H73" s="3637">
        <f>H71+H72</f>
        <v>0</v>
      </c>
      <c r="I73" s="3638">
        <f>I71+I72</f>
        <v>0</v>
      </c>
      <c r="J73" s="96"/>
    </row>
    <row r="74" spans="1:10" ht="18">
      <c r="A74" s="30"/>
      <c r="B74" s="116"/>
      <c r="C74" s="120" t="s">
        <v>5064</v>
      </c>
      <c r="D74" s="118">
        <f>(D73+H73)/2</f>
        <v>21564105.120000001</v>
      </c>
      <c r="E74" s="118"/>
      <c r="F74" s="118">
        <f>(D73+F73)/2</f>
        <v>47913086.840000004</v>
      </c>
      <c r="G74" s="118"/>
      <c r="H74" s="3637"/>
      <c r="I74" s="3638"/>
      <c r="J74" s="96"/>
    </row>
    <row r="75" spans="1:10" ht="18">
      <c r="A75" s="30"/>
      <c r="B75" s="116">
        <v>1125</v>
      </c>
      <c r="C75" s="113" t="s">
        <v>162</v>
      </c>
      <c r="D75" s="117">
        <f>VLOOKUP($B75,Sheet_Trialbal,10,0)</f>
        <v>2419762.12</v>
      </c>
      <c r="E75" s="117"/>
      <c r="F75" s="117">
        <f>VLOOKUP($B75,Sheet_Trialbal,6,0)</f>
        <v>1491719.74</v>
      </c>
      <c r="G75" s="117"/>
      <c r="H75" s="3637"/>
      <c r="I75" s="3638"/>
      <c r="J75" s="96"/>
    </row>
    <row r="76" spans="1:10" ht="18">
      <c r="A76" s="30"/>
      <c r="B76" s="116">
        <v>1400</v>
      </c>
      <c r="C76" s="113" t="s">
        <v>229</v>
      </c>
      <c r="D76" s="117">
        <f>VLOOKUP($B76,Sheet_Trialbal,10,0)</f>
        <v>33104385.260000002</v>
      </c>
      <c r="E76" s="117"/>
      <c r="F76" s="117">
        <f>VLOOKUP($B76,Sheet_Trialbal,6,0)</f>
        <v>22601423.91</v>
      </c>
      <c r="G76" s="117"/>
      <c r="H76" s="3635"/>
      <c r="I76" s="3636"/>
      <c r="J76" s="101" t="s">
        <v>5061</v>
      </c>
    </row>
    <row r="77" spans="1:10" ht="18">
      <c r="A77" s="30"/>
      <c r="B77" s="116">
        <v>1400.1470999999999</v>
      </c>
      <c r="C77" s="113" t="s">
        <v>5065</v>
      </c>
      <c r="D77" s="114">
        <f>VLOOKUP($B77,Sheet_Trialbal,10,0)</f>
        <v>0</v>
      </c>
      <c r="E77" s="114"/>
      <c r="F77" s="114">
        <f>VLOOKUP($B77,Sheet_Trialbal,6,0)</f>
        <v>-257713.75</v>
      </c>
      <c r="G77" s="114"/>
      <c r="H77" s="3635"/>
      <c r="I77" s="3636"/>
      <c r="J77" s="101" t="s">
        <v>5061</v>
      </c>
    </row>
    <row r="78" spans="1:10" ht="18">
      <c r="A78" s="30"/>
      <c r="B78" s="116"/>
      <c r="C78" s="113" t="s">
        <v>5066</v>
      </c>
      <c r="D78" s="118">
        <f>D76+D77</f>
        <v>33104385.260000002</v>
      </c>
      <c r="E78" s="118"/>
      <c r="F78" s="118">
        <f>F76+F77</f>
        <v>22343710.16</v>
      </c>
      <c r="G78" s="118"/>
      <c r="H78" s="3637">
        <f>H76+H77</f>
        <v>0</v>
      </c>
      <c r="I78" s="3638">
        <f>I76+I77</f>
        <v>0</v>
      </c>
      <c r="J78" s="96"/>
    </row>
    <row r="79" spans="1:10" ht="18">
      <c r="A79" s="30"/>
      <c r="B79" s="116"/>
      <c r="C79" s="120" t="s">
        <v>5067</v>
      </c>
      <c r="D79" s="118">
        <f>(D78+H78)/2</f>
        <v>16552192.630000001</v>
      </c>
      <c r="E79" s="118"/>
      <c r="F79" s="118">
        <f>(D78+F78)/2</f>
        <v>27724047.710000001</v>
      </c>
      <c r="G79" s="118"/>
      <c r="H79" s="3637"/>
      <c r="I79" s="3638"/>
      <c r="J79" s="96"/>
    </row>
    <row r="80" spans="1:10" ht="18">
      <c r="A80" s="30"/>
      <c r="B80" s="116">
        <v>1498</v>
      </c>
      <c r="C80" s="113" t="s">
        <v>286</v>
      </c>
      <c r="D80" s="117">
        <f>VLOOKUP($B80,Sheet_Trialbal,10,0)</f>
        <v>161317985.71000001</v>
      </c>
      <c r="E80" s="117"/>
      <c r="F80" s="117">
        <f>VLOOKUP($B80,Sheet_Trialbal,6,0)</f>
        <v>96360847.379999995</v>
      </c>
      <c r="G80" s="117"/>
      <c r="H80" s="3637"/>
      <c r="I80" s="3638"/>
      <c r="J80" s="96"/>
    </row>
    <row r="81" spans="1:10" ht="18">
      <c r="A81" s="30"/>
      <c r="B81" s="116"/>
      <c r="C81" s="120" t="s">
        <v>5068</v>
      </c>
      <c r="D81" s="118">
        <f>D80-D75-D76</f>
        <v>125793838.33</v>
      </c>
      <c r="E81" s="118"/>
      <c r="F81" s="118">
        <f>F80-F75-F76</f>
        <v>72267703.730000004</v>
      </c>
      <c r="G81" s="118"/>
      <c r="H81" s="3637"/>
      <c r="I81" s="3638"/>
      <c r="J81" s="96"/>
    </row>
    <row r="82" spans="1:10" ht="18">
      <c r="A82" s="30"/>
      <c r="B82" s="116">
        <v>1999</v>
      </c>
      <c r="C82" s="113" t="s">
        <v>5069</v>
      </c>
      <c r="D82" s="117">
        <f>VLOOKUP($B82,Sheet_Trialbal,10,0)</f>
        <v>349257402.50999999</v>
      </c>
      <c r="E82" s="117"/>
      <c r="F82" s="117">
        <f>VLOOKUP($B82,Sheet_Trialbal,6,0)</f>
        <v>257874460.55000001</v>
      </c>
      <c r="G82" s="117"/>
      <c r="H82" s="3635"/>
      <c r="I82" s="3636"/>
      <c r="J82" s="101" t="s">
        <v>5061</v>
      </c>
    </row>
    <row r="83" spans="1:10" ht="18">
      <c r="A83" s="30"/>
      <c r="B83" s="116"/>
      <c r="C83" s="120" t="s">
        <v>5070</v>
      </c>
      <c r="D83" s="118">
        <f>(D82+H82)/2</f>
        <v>174628701.25999999</v>
      </c>
      <c r="E83" s="118"/>
      <c r="F83" s="118">
        <f>(D82+F82)/2</f>
        <v>303565931.52999997</v>
      </c>
      <c r="G83" s="117"/>
      <c r="H83" s="3637"/>
      <c r="I83" s="3638"/>
      <c r="J83" s="96"/>
    </row>
    <row r="84" spans="1:10" ht="18">
      <c r="A84" s="30"/>
      <c r="B84" s="116">
        <v>2498</v>
      </c>
      <c r="C84" s="113" t="s">
        <v>566</v>
      </c>
      <c r="D84" s="117">
        <f>VLOOKUP($B84,Sheet_Trialbal,10,0)</f>
        <v>157445351.86000001</v>
      </c>
      <c r="E84" s="117"/>
      <c r="F84" s="117">
        <f>VLOOKUP($B84,Sheet_Trialbal,6,0)</f>
        <v>83497800.079999998</v>
      </c>
      <c r="G84" s="117"/>
      <c r="H84" s="3637"/>
      <c r="I84" s="3638"/>
      <c r="J84" s="96"/>
    </row>
    <row r="85" spans="1:10" ht="18">
      <c r="A85" s="30"/>
      <c r="B85" s="116"/>
      <c r="C85" s="113" t="s">
        <v>5071</v>
      </c>
      <c r="D85" s="118">
        <f>D80-D84</f>
        <v>3872633.85</v>
      </c>
      <c r="E85" s="118"/>
      <c r="F85" s="118">
        <f>F80-F84</f>
        <v>12863047.300000001</v>
      </c>
      <c r="G85" s="118"/>
      <c r="H85" s="3637"/>
      <c r="I85" s="3638"/>
      <c r="J85" s="96"/>
    </row>
    <row r="86" spans="1:10" ht="18">
      <c r="A86" s="30"/>
      <c r="B86" s="116">
        <v>2999</v>
      </c>
      <c r="C86" s="113" t="s">
        <v>5072</v>
      </c>
      <c r="D86" s="117">
        <f>VLOOKUP($B86,Sheet_Trialbal,10,0)</f>
        <v>157445351.86000001</v>
      </c>
      <c r="E86" s="117"/>
      <c r="F86" s="117">
        <f>VLOOKUP($B86,Sheet_Trialbal,6,0)</f>
        <v>83497800.079999998</v>
      </c>
      <c r="G86" s="117"/>
      <c r="H86" s="3637"/>
      <c r="I86" s="3638"/>
      <c r="J86" s="96"/>
    </row>
    <row r="87" spans="1:10" ht="18">
      <c r="A87" s="30"/>
      <c r="B87" s="116">
        <v>4999</v>
      </c>
      <c r="C87" s="113" t="s">
        <v>5073</v>
      </c>
      <c r="D87" s="117">
        <f>VLOOKUP($B87,Sheet_Trialbal,10,0)</f>
        <v>191812050.65000001</v>
      </c>
      <c r="E87" s="117"/>
      <c r="F87" s="117">
        <f>VLOOKUP($B87,Sheet_Trialbal,6,0)</f>
        <v>174376660.47</v>
      </c>
      <c r="G87" s="117"/>
      <c r="H87" s="3637"/>
      <c r="I87" s="3638"/>
      <c r="J87" s="101" t="s">
        <v>5061</v>
      </c>
    </row>
    <row r="88" spans="1:10" ht="18">
      <c r="A88" s="30"/>
      <c r="B88" s="116"/>
      <c r="C88" s="113"/>
      <c r="D88" s="117"/>
      <c r="E88" s="117"/>
      <c r="F88" s="117"/>
      <c r="G88" s="117"/>
      <c r="H88" s="3643"/>
      <c r="I88" s="3644"/>
      <c r="J88" s="101"/>
    </row>
    <row r="89" spans="1:10" ht="18">
      <c r="A89" s="30"/>
      <c r="B89" s="116"/>
      <c r="C89" s="113"/>
      <c r="D89" s="117"/>
      <c r="E89" s="117"/>
      <c r="F89" s="117"/>
      <c r="G89" s="117"/>
      <c r="H89" s="3637"/>
      <c r="I89" s="3638"/>
      <c r="J89" s="101"/>
    </row>
    <row r="90" spans="1:10" ht="18">
      <c r="A90" s="30"/>
      <c r="B90" s="116"/>
      <c r="C90" s="113"/>
      <c r="D90" s="117"/>
      <c r="E90" s="117"/>
      <c r="F90" s="117"/>
      <c r="G90" s="117"/>
      <c r="H90" s="3637"/>
      <c r="I90" s="3638"/>
      <c r="J90" s="101"/>
    </row>
    <row r="91" spans="1:10" ht="18">
      <c r="A91" s="30"/>
      <c r="B91" s="116"/>
      <c r="C91" s="113"/>
      <c r="D91" s="117"/>
      <c r="E91" s="117"/>
      <c r="F91" s="117"/>
      <c r="G91" s="117"/>
      <c r="H91" s="3637"/>
      <c r="I91" s="3638"/>
      <c r="J91" s="101"/>
    </row>
    <row r="92" spans="1:10" ht="18">
      <c r="A92" s="30"/>
      <c r="B92" s="116"/>
      <c r="C92" s="113"/>
      <c r="D92" s="117"/>
      <c r="E92" s="117"/>
      <c r="F92" s="117"/>
      <c r="G92" s="117"/>
      <c r="H92" s="3637"/>
      <c r="I92" s="3638"/>
      <c r="J92" s="101"/>
    </row>
    <row r="93" spans="1:10" ht="18">
      <c r="A93" s="30"/>
      <c r="B93" s="116"/>
      <c r="C93" s="113"/>
      <c r="D93" s="117"/>
      <c r="E93" s="117"/>
      <c r="F93" s="117"/>
      <c r="G93" s="117"/>
      <c r="H93" s="3637"/>
      <c r="I93" s="3638"/>
      <c r="J93" s="101"/>
    </row>
    <row r="94" spans="1:10" ht="18">
      <c r="A94" s="30"/>
      <c r="B94" s="116"/>
      <c r="C94" s="113"/>
      <c r="D94" s="117"/>
      <c r="E94" s="117"/>
      <c r="F94" s="117"/>
      <c r="G94" s="117"/>
      <c r="H94" s="3637"/>
      <c r="I94" s="3638"/>
      <c r="J94" s="101"/>
    </row>
    <row r="95" spans="1:10" ht="18">
      <c r="A95" s="30"/>
      <c r="B95" s="116"/>
      <c r="C95" s="113"/>
      <c r="D95" s="117"/>
      <c r="E95" s="117"/>
      <c r="F95" s="117"/>
      <c r="G95" s="117"/>
      <c r="H95" s="3637"/>
      <c r="I95" s="3638"/>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637"/>
      <c r="I100" s="3638"/>
      <c r="J100" s="101"/>
    </row>
    <row r="101" spans="1:10" ht="18">
      <c r="A101" s="30"/>
      <c r="B101" s="116"/>
      <c r="C101" s="113"/>
      <c r="D101" s="117"/>
      <c r="E101" s="117"/>
      <c r="F101" s="117"/>
      <c r="G101" s="117"/>
      <c r="H101" s="3637"/>
      <c r="I101" s="3638"/>
      <c r="J101" s="101"/>
    </row>
    <row r="102" spans="1:10" ht="18">
      <c r="A102" s="30"/>
      <c r="B102" s="116"/>
      <c r="C102" s="113"/>
      <c r="D102" s="117"/>
      <c r="E102" s="117"/>
      <c r="F102" s="117"/>
      <c r="G102" s="117"/>
      <c r="H102" s="3637"/>
      <c r="I102" s="3638"/>
      <c r="J102" s="101"/>
    </row>
    <row r="103" spans="1:10" ht="18">
      <c r="A103" s="30"/>
      <c r="B103" s="116"/>
      <c r="C103" s="113"/>
      <c r="D103" s="117"/>
      <c r="E103" s="117"/>
      <c r="F103" s="117"/>
      <c r="G103" s="117"/>
      <c r="H103" s="3637"/>
      <c r="I103" s="3638"/>
      <c r="J103" s="101"/>
    </row>
    <row r="104" spans="1:10" ht="18">
      <c r="A104" s="30"/>
      <c r="B104" s="116"/>
      <c r="C104" s="113"/>
      <c r="D104" s="117"/>
      <c r="E104" s="117"/>
      <c r="F104" s="117"/>
      <c r="G104" s="117"/>
      <c r="H104" s="3637"/>
      <c r="I104" s="3638"/>
      <c r="J104" s="101"/>
    </row>
    <row r="105" spans="1:10" ht="18">
      <c r="A105" s="30"/>
      <c r="B105" s="116"/>
      <c r="C105" s="113"/>
      <c r="D105" s="117"/>
      <c r="E105" s="117"/>
      <c r="F105" s="117"/>
      <c r="G105" s="117"/>
      <c r="H105" s="3637"/>
      <c r="I105" s="3638"/>
      <c r="J105" s="101"/>
    </row>
    <row r="106" spans="1:10" ht="18">
      <c r="A106" s="30"/>
      <c r="B106" s="116">
        <v>6401</v>
      </c>
      <c r="C106" s="113" t="s">
        <v>671</v>
      </c>
      <c r="D106" s="117">
        <f>VLOOKUP($B106,Sheet_Trialbal,10,0)</f>
        <v>239939923.65000001</v>
      </c>
      <c r="E106" s="117"/>
      <c r="F106" s="117">
        <f>VLOOKUP($B106,Sheet_Trialbal,6,0)</f>
        <v>197062457.09</v>
      </c>
      <c r="G106" s="117"/>
      <c r="H106" s="3637"/>
      <c r="I106" s="3638"/>
      <c r="J106" s="96"/>
    </row>
    <row r="107" spans="1:10" ht="18">
      <c r="A107" s="30"/>
      <c r="B107" s="116">
        <v>6601</v>
      </c>
      <c r="C107" s="113" t="s">
        <v>680</v>
      </c>
      <c r="D107" s="117">
        <f>VLOOKUP($B107,Sheet_Trialbal,10,0)</f>
        <v>22551947.460000001</v>
      </c>
      <c r="E107" s="117"/>
      <c r="F107" s="117">
        <f>VLOOKUP($B107,Sheet_Trialbal,6,0)</f>
        <v>13846726.529999999</v>
      </c>
      <c r="G107" s="117"/>
      <c r="H107" s="3637"/>
      <c r="I107" s="3638"/>
      <c r="J107" s="96"/>
    </row>
    <row r="108" spans="1:10" ht="18">
      <c r="A108" s="30"/>
      <c r="B108" s="116">
        <v>6602</v>
      </c>
      <c r="C108" s="113" t="s">
        <v>685</v>
      </c>
      <c r="D108" s="117">
        <f>VLOOKUP($B108,Sheet_Trialbal,10,0)</f>
        <v>28739665.809999999</v>
      </c>
      <c r="E108" s="117"/>
      <c r="F108" s="117">
        <f>VLOOKUP($B108,Sheet_Trialbal,6,0)</f>
        <v>18794129.440000001</v>
      </c>
      <c r="G108" s="117"/>
      <c r="H108" s="3637"/>
      <c r="I108" s="3638"/>
      <c r="J108" s="96"/>
    </row>
    <row r="109" spans="1:10" ht="18">
      <c r="A109" s="30"/>
      <c r="B109" s="121">
        <v>7399</v>
      </c>
      <c r="C109" s="122" t="s">
        <v>2272</v>
      </c>
      <c r="D109" s="123">
        <f>VLOOKUP($B109,Sheet_Trialbal,10,0)</f>
        <v>35726503</v>
      </c>
      <c r="E109" s="123"/>
      <c r="F109" s="123">
        <f>VLOOKUP($B109,Sheet_Trialbal,6,0)</f>
        <v>6681834.9100000001</v>
      </c>
      <c r="G109" s="123"/>
      <c r="H109" s="3639"/>
      <c r="I109" s="3640"/>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山东天安化工股份有限公司</v>
      </c>
      <c r="D2" s="4"/>
      <c r="E2" s="5" t="s">
        <v>2521</v>
      </c>
      <c r="F2" s="6"/>
      <c r="G2" s="7" t="s">
        <v>2501</v>
      </c>
      <c r="H2" s="8"/>
      <c r="I2" s="53"/>
    </row>
    <row r="3" spans="1:9" ht="18" customHeight="1">
      <c r="B3" s="2" t="s">
        <v>2522</v>
      </c>
      <c r="C3" s="9" t="s">
        <v>5100</v>
      </c>
      <c r="D3" s="10" t="s">
        <v>2450</v>
      </c>
      <c r="E3" s="11" t="str">
        <f>IF(Lead!$E$9="","",Lead!$E$9)</f>
        <v>陈彦良</v>
      </c>
      <c r="F3" s="12"/>
      <c r="G3" s="13">
        <f>IF(Lead!$F$9="","",Lead!$F$9)</f>
        <v>43859</v>
      </c>
      <c r="H3" s="14" t="s">
        <v>2524</v>
      </c>
      <c r="I3" s="2746" t="s">
        <v>6596</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5101</v>
      </c>
      <c r="D7" s="27" t="s">
        <v>5102</v>
      </c>
      <c r="E7" s="26" t="s">
        <v>5103</v>
      </c>
      <c r="F7" s="28" t="s">
        <v>5104</v>
      </c>
      <c r="G7" s="28" t="s">
        <v>5105</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5106</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6655</v>
      </c>
      <c r="C1" s="2901"/>
      <c r="D1" s="2902" t="str">
        <f>Lead!$E$9</f>
        <v>陈彦良</v>
      </c>
      <c r="E1" s="2903"/>
      <c r="F1" s="2903"/>
      <c r="G1" s="2904"/>
      <c r="H1" s="2904"/>
      <c r="I1" s="2904"/>
      <c r="J1" s="2904"/>
      <c r="K1" s="2905"/>
    </row>
    <row r="2" spans="1:11" ht="26.1" customHeight="1">
      <c r="A2" s="2907" t="str">
        <f>TEXT(Lead!$F$9,"yyyy-m-d")</f>
        <v>2020-1-29</v>
      </c>
      <c r="B2" s="2908"/>
      <c r="C2" s="2908"/>
      <c r="D2" s="2908"/>
      <c r="E2" s="2908"/>
      <c r="F2" s="2909"/>
      <c r="G2" s="2910"/>
      <c r="H2" s="2910"/>
      <c r="I2" s="2910"/>
      <c r="J2" s="2911"/>
      <c r="K2" s="2912"/>
    </row>
    <row r="3" spans="1:11">
      <c r="A3" s="2913" t="s">
        <v>6656</v>
      </c>
      <c r="B3" s="2914" t="str">
        <f>Lead!$C$5</f>
        <v>山东天安化工股份有限公司</v>
      </c>
      <c r="C3" s="2915"/>
      <c r="D3" s="2915"/>
      <c r="E3" s="2915"/>
      <c r="F3" s="2909"/>
      <c r="G3" s="2910"/>
      <c r="H3" s="2910"/>
      <c r="I3" s="2910"/>
      <c r="J3" s="2916" t="str">
        <f>""&amp;$B$1</f>
        <v>9000A</v>
      </c>
      <c r="K3" s="2912"/>
    </row>
    <row r="4" spans="1:11">
      <c r="A4" s="2917" t="s">
        <v>6657</v>
      </c>
      <c r="B4" s="2918" t="s">
        <v>6658</v>
      </c>
      <c r="C4" s="2915"/>
      <c r="D4" s="2915"/>
      <c r="E4" s="2915"/>
      <c r="F4" s="2909"/>
      <c r="G4" s="2910"/>
      <c r="H4" s="2910"/>
      <c r="I4" s="2910"/>
      <c r="J4" s="2919" t="str">
        <f>$D$1&amp;" "&amp;IF($A$2="","",TEXT($A$2,"YYYY-M-D"))</f>
        <v>陈彦良 2020-1-29</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6659</v>
      </c>
      <c r="C8" s="3659" t="s">
        <v>6660</v>
      </c>
      <c r="D8" s="3659"/>
      <c r="E8" s="3659"/>
      <c r="F8" s="3659"/>
      <c r="G8" s="3659"/>
      <c r="H8" s="2930" t="s">
        <v>6661</v>
      </c>
      <c r="I8" s="2931" t="s">
        <v>6662</v>
      </c>
      <c r="J8" s="2932" t="s">
        <v>6663</v>
      </c>
      <c r="K8" s="2905"/>
    </row>
    <row r="9" spans="1:11" s="2928" customFormat="1" ht="39.75" customHeight="1">
      <c r="A9" s="2925"/>
      <c r="B9" s="2933">
        <v>1</v>
      </c>
      <c r="C9" s="3650" t="s">
        <v>6664</v>
      </c>
      <c r="D9" s="3651"/>
      <c r="E9" s="3651"/>
      <c r="F9" s="3651"/>
      <c r="G9" s="3651"/>
      <c r="H9" s="2934"/>
      <c r="I9" s="2935"/>
      <c r="J9" s="2936"/>
      <c r="K9" s="2905"/>
    </row>
    <row r="10" spans="1:11" s="2928" customFormat="1" ht="51" customHeight="1">
      <c r="A10" s="2925"/>
      <c r="B10" s="2933">
        <v>2</v>
      </c>
      <c r="C10" s="3650" t="s">
        <v>6665</v>
      </c>
      <c r="D10" s="3651"/>
      <c r="E10" s="3651"/>
      <c r="F10" s="3651"/>
      <c r="G10" s="3651"/>
      <c r="H10" s="2934"/>
      <c r="I10" s="2935"/>
      <c r="J10" s="2937"/>
      <c r="K10" s="2905"/>
    </row>
    <row r="11" spans="1:11" s="2928" customFormat="1" ht="20.25" customHeight="1">
      <c r="A11" s="2925"/>
      <c r="B11" s="2938" t="s">
        <v>6666</v>
      </c>
      <c r="C11" s="3656" t="s">
        <v>6667</v>
      </c>
      <c r="D11" s="3658"/>
      <c r="E11" s="3658"/>
      <c r="F11" s="3658"/>
      <c r="G11" s="3658"/>
      <c r="H11" s="2939"/>
      <c r="I11" s="2935"/>
      <c r="J11" s="2936"/>
      <c r="K11" s="2905"/>
    </row>
    <row r="12" spans="1:11" s="2928" customFormat="1" ht="31.5" customHeight="1">
      <c r="A12" s="2925"/>
      <c r="B12" s="2938" t="s">
        <v>6668</v>
      </c>
      <c r="C12" s="3656" t="s">
        <v>6669</v>
      </c>
      <c r="D12" s="3658"/>
      <c r="E12" s="3658"/>
      <c r="F12" s="3658"/>
      <c r="G12" s="3658"/>
      <c r="H12" s="2939"/>
      <c r="I12" s="2935"/>
      <c r="J12" s="2936"/>
      <c r="K12" s="2905"/>
    </row>
    <row r="13" spans="1:11" s="2928" customFormat="1" ht="39" customHeight="1">
      <c r="A13" s="2925"/>
      <c r="B13" s="2938" t="s">
        <v>6670</v>
      </c>
      <c r="C13" s="3656" t="s">
        <v>6671</v>
      </c>
      <c r="D13" s="3658"/>
      <c r="E13" s="3658"/>
      <c r="F13" s="3658"/>
      <c r="G13" s="3658"/>
      <c r="H13" s="2939"/>
      <c r="I13" s="2935"/>
      <c r="J13" s="2936"/>
      <c r="K13" s="2905"/>
    </row>
    <row r="14" spans="1:11" s="2928" customFormat="1" ht="69" customHeight="1">
      <c r="A14" s="2925"/>
      <c r="B14" s="2933">
        <v>3</v>
      </c>
      <c r="C14" s="3650" t="s">
        <v>6672</v>
      </c>
      <c r="D14" s="3651"/>
      <c r="E14" s="3651"/>
      <c r="F14" s="3651"/>
      <c r="G14" s="3651"/>
      <c r="H14" s="2934"/>
      <c r="I14" s="2940"/>
      <c r="J14" s="2937"/>
      <c r="K14" s="2905"/>
    </row>
    <row r="15" spans="1:11" s="2928" customFormat="1" ht="41.25" customHeight="1">
      <c r="A15" s="2925"/>
      <c r="B15" s="2938" t="s">
        <v>6666</v>
      </c>
      <c r="C15" s="3656" t="s">
        <v>6673</v>
      </c>
      <c r="D15" s="3657"/>
      <c r="E15" s="3657"/>
      <c r="F15" s="3657"/>
      <c r="G15" s="3657"/>
      <c r="H15" s="2941"/>
      <c r="I15" s="2935"/>
      <c r="J15" s="2936"/>
      <c r="K15" s="2905"/>
    </row>
    <row r="16" spans="1:11" s="2928" customFormat="1" ht="38.25" customHeight="1">
      <c r="A16" s="2925"/>
      <c r="B16" s="2938" t="s">
        <v>6668</v>
      </c>
      <c r="C16" s="3656" t="s">
        <v>6674</v>
      </c>
      <c r="D16" s="3657"/>
      <c r="E16" s="3657"/>
      <c r="F16" s="3657"/>
      <c r="G16" s="3657"/>
      <c r="H16" s="2941"/>
      <c r="I16" s="2935"/>
      <c r="J16" s="2936"/>
      <c r="K16" s="2905"/>
    </row>
    <row r="17" spans="1:11" s="2928" customFormat="1" ht="53.25" customHeight="1">
      <c r="A17" s="2925"/>
      <c r="B17" s="2938" t="s">
        <v>6675</v>
      </c>
      <c r="C17" s="3656" t="s">
        <v>6676</v>
      </c>
      <c r="D17" s="3658"/>
      <c r="E17" s="3658"/>
      <c r="F17" s="3658"/>
      <c r="G17" s="3658"/>
      <c r="H17" s="2939"/>
      <c r="I17" s="2935"/>
      <c r="J17" s="2936"/>
      <c r="K17" s="2905"/>
    </row>
    <row r="18" spans="1:11" s="2928" customFormat="1" ht="39" customHeight="1">
      <c r="A18" s="2925"/>
      <c r="B18" s="2933" t="s">
        <v>6677</v>
      </c>
      <c r="C18" s="3656" t="s">
        <v>6678</v>
      </c>
      <c r="D18" s="3658"/>
      <c r="E18" s="3658"/>
      <c r="F18" s="3658"/>
      <c r="G18" s="3658"/>
      <c r="H18" s="2942"/>
      <c r="I18" s="2935"/>
      <c r="J18" s="2936"/>
      <c r="K18" s="2905"/>
    </row>
    <row r="19" spans="1:11" s="2928" customFormat="1" ht="53.25" customHeight="1">
      <c r="A19" s="2925"/>
      <c r="B19" s="2933" t="s">
        <v>6679</v>
      </c>
      <c r="C19" s="3656" t="s">
        <v>6680</v>
      </c>
      <c r="D19" s="3658"/>
      <c r="E19" s="3658"/>
      <c r="F19" s="3658"/>
      <c r="G19" s="3658"/>
      <c r="H19" s="2942"/>
      <c r="I19" s="2935"/>
      <c r="J19" s="2936"/>
      <c r="K19" s="2905"/>
    </row>
    <row r="20" spans="1:11" s="2928" customFormat="1" ht="53.25" customHeight="1">
      <c r="A20" s="2925"/>
      <c r="B20" s="2933" t="s">
        <v>6681</v>
      </c>
      <c r="C20" s="3656" t="s">
        <v>6682</v>
      </c>
      <c r="D20" s="3658"/>
      <c r="E20" s="3658"/>
      <c r="F20" s="3658"/>
      <c r="G20" s="3658"/>
      <c r="H20" s="2942"/>
      <c r="I20" s="2935"/>
      <c r="J20" s="2936"/>
      <c r="K20" s="2905"/>
    </row>
    <row r="21" spans="1:11" s="2928" customFormat="1" ht="42.75" customHeight="1">
      <c r="A21" s="2925"/>
      <c r="B21" s="2933" t="s">
        <v>6683</v>
      </c>
      <c r="C21" s="3656" t="s">
        <v>6684</v>
      </c>
      <c r="D21" s="3658"/>
      <c r="E21" s="3658"/>
      <c r="F21" s="3658"/>
      <c r="G21" s="3658"/>
      <c r="H21" s="2942"/>
      <c r="I21" s="2935"/>
      <c r="J21" s="2936"/>
      <c r="K21" s="2905"/>
    </row>
    <row r="22" spans="1:11" s="2928" customFormat="1" ht="60.75" customHeight="1">
      <c r="A22" s="2925"/>
      <c r="B22" s="2933" t="s">
        <v>6685</v>
      </c>
      <c r="C22" s="3656" t="s">
        <v>6686</v>
      </c>
      <c r="D22" s="3658"/>
      <c r="E22" s="3658"/>
      <c r="F22" s="3658"/>
      <c r="G22" s="3658"/>
      <c r="H22" s="2942"/>
      <c r="I22" s="2935"/>
      <c r="J22" s="2936"/>
      <c r="K22" s="2905"/>
    </row>
    <row r="23" spans="1:11" s="2928" customFormat="1" ht="36" customHeight="1">
      <c r="A23" s="2925"/>
      <c r="B23" s="2933" t="s">
        <v>6687</v>
      </c>
      <c r="C23" s="3656" t="s">
        <v>6688</v>
      </c>
      <c r="D23" s="3658"/>
      <c r="E23" s="3658"/>
      <c r="F23" s="3658"/>
      <c r="G23" s="3658"/>
      <c r="H23" s="2942"/>
      <c r="I23" s="2935"/>
      <c r="J23" s="2936"/>
      <c r="K23" s="2905"/>
    </row>
    <row r="24" spans="1:11" s="2928" customFormat="1" ht="42" customHeight="1">
      <c r="A24" s="2925"/>
      <c r="B24" s="2938" t="s">
        <v>6689</v>
      </c>
      <c r="C24" s="3656" t="s">
        <v>6690</v>
      </c>
      <c r="D24" s="3658"/>
      <c r="E24" s="3658"/>
      <c r="F24" s="3658"/>
      <c r="G24" s="3658"/>
      <c r="H24" s="2939"/>
      <c r="I24" s="2935"/>
      <c r="J24" s="2936"/>
      <c r="K24" s="2905"/>
    </row>
    <row r="25" spans="1:11" s="2928" customFormat="1" ht="40.5" customHeight="1">
      <c r="A25" s="2925"/>
      <c r="B25" s="2933">
        <v>4</v>
      </c>
      <c r="C25" s="3650" t="s">
        <v>6691</v>
      </c>
      <c r="D25" s="3651"/>
      <c r="E25" s="3651"/>
      <c r="F25" s="3651"/>
      <c r="G25" s="3651"/>
      <c r="H25" s="2934"/>
      <c r="I25" s="2935"/>
      <c r="J25" s="2936"/>
      <c r="K25" s="2905"/>
    </row>
    <row r="26" spans="1:11" s="2928" customFormat="1" ht="117" customHeight="1">
      <c r="A26" s="2925"/>
      <c r="B26" s="2933">
        <v>5</v>
      </c>
      <c r="C26" s="3650" t="s">
        <v>6692</v>
      </c>
      <c r="D26" s="3651"/>
      <c r="E26" s="3651"/>
      <c r="F26" s="3651"/>
      <c r="G26" s="3651"/>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6693</v>
      </c>
      <c r="C29" s="2945"/>
      <c r="D29" s="2945"/>
      <c r="E29" s="2945"/>
      <c r="F29" s="2945"/>
      <c r="G29" s="2945"/>
      <c r="H29" s="2945"/>
      <c r="I29" s="2945"/>
      <c r="J29" s="2945"/>
      <c r="K29" s="2946"/>
    </row>
    <row r="30" spans="1:11">
      <c r="B30" s="2948" t="s">
        <v>6694</v>
      </c>
    </row>
    <row r="130" spans="2:10">
      <c r="B130" s="2949"/>
      <c r="C130" s="2950"/>
      <c r="D130" s="2950"/>
      <c r="E130" s="2950"/>
      <c r="F130" s="2950"/>
      <c r="G130" s="2950"/>
      <c r="H130" s="2950"/>
      <c r="I130" s="2950"/>
      <c r="J130" s="2950"/>
    </row>
    <row r="131" spans="2:10">
      <c r="B131" s="3652"/>
      <c r="C131" s="3653"/>
      <c r="D131" s="3653"/>
      <c r="E131" s="3653"/>
      <c r="F131" s="3653"/>
      <c r="G131" s="3653"/>
      <c r="H131" s="3653"/>
      <c r="I131" s="3653"/>
      <c r="J131" s="3653"/>
    </row>
    <row r="132" spans="2:10">
      <c r="B132" s="3653"/>
      <c r="C132" s="3653"/>
      <c r="D132" s="3653"/>
      <c r="E132" s="3653"/>
      <c r="F132" s="3653"/>
      <c r="G132" s="3653"/>
      <c r="H132" s="3653"/>
      <c r="I132" s="3653"/>
      <c r="J132" s="3653"/>
    </row>
    <row r="133" spans="2:10">
      <c r="B133" s="3653"/>
      <c r="C133" s="3653"/>
      <c r="D133" s="3653"/>
      <c r="E133" s="3653"/>
      <c r="F133" s="3653"/>
      <c r="G133" s="3653"/>
      <c r="H133" s="3653"/>
      <c r="I133" s="3653"/>
      <c r="J133" s="3653"/>
    </row>
    <row r="134" spans="2:10">
      <c r="B134" s="2950"/>
      <c r="C134" s="2950"/>
      <c r="D134" s="2950"/>
      <c r="E134" s="2950"/>
      <c r="F134" s="2950"/>
      <c r="G134" s="2950"/>
      <c r="H134" s="2950"/>
      <c r="I134" s="2950"/>
      <c r="J134" s="2950"/>
    </row>
    <row r="135" spans="2:10">
      <c r="B135" s="3654"/>
      <c r="C135" s="3655"/>
      <c r="D135" s="3655"/>
      <c r="E135" s="3655"/>
      <c r="F135" s="3655"/>
      <c r="G135" s="3655"/>
      <c r="H135" s="3655"/>
      <c r="I135" s="3655"/>
      <c r="J135" s="3655"/>
    </row>
    <row r="136" spans="2:10" ht="56.25" customHeight="1">
      <c r="B136" s="3653"/>
      <c r="C136" s="3653"/>
      <c r="D136" s="3653"/>
      <c r="E136" s="3653"/>
      <c r="F136" s="3653"/>
      <c r="G136" s="3653"/>
      <c r="H136" s="3653"/>
      <c r="I136" s="3653"/>
      <c r="J136" s="3653"/>
    </row>
    <row r="137" spans="2:10">
      <c r="B137" s="2951"/>
      <c r="C137" s="2951"/>
      <c r="D137" s="2951"/>
      <c r="E137" s="2951"/>
      <c r="F137" s="2951"/>
      <c r="G137" s="2951"/>
      <c r="H137" s="2951"/>
      <c r="I137" s="2951"/>
      <c r="J137" s="2951"/>
    </row>
    <row r="138" spans="2:10">
      <c r="B138" s="3653"/>
      <c r="C138" s="3653"/>
      <c r="D138" s="3653"/>
      <c r="E138" s="3653"/>
      <c r="F138" s="3653"/>
      <c r="G138" s="3653"/>
      <c r="H138" s="3653"/>
      <c r="I138" s="3653"/>
      <c r="J138" s="3653"/>
    </row>
    <row r="139" spans="2:10">
      <c r="B139" s="2952"/>
      <c r="C139" s="2952"/>
      <c r="D139" s="2952"/>
      <c r="E139" s="2952"/>
      <c r="F139" s="2952"/>
      <c r="G139" s="2952"/>
      <c r="H139" s="2952"/>
      <c r="I139" s="2952"/>
      <c r="J139" s="2952"/>
    </row>
    <row r="140" spans="2:10">
      <c r="B140" s="3648"/>
      <c r="C140" s="3648"/>
      <c r="D140" s="3648"/>
      <c r="E140" s="3648"/>
      <c r="F140" s="3648"/>
      <c r="G140" s="3648"/>
      <c r="H140" s="3648"/>
      <c r="I140" s="3648"/>
      <c r="J140" s="3648"/>
    </row>
    <row r="141" spans="2:10">
      <c r="B141" s="2952"/>
      <c r="C141" s="2952"/>
      <c r="D141" s="2952"/>
      <c r="E141" s="2952"/>
      <c r="F141" s="2952"/>
      <c r="G141" s="2952"/>
      <c r="H141" s="2952"/>
      <c r="I141" s="2952"/>
      <c r="J141" s="2952"/>
    </row>
    <row r="142" spans="2:10">
      <c r="B142" s="3648"/>
      <c r="C142" s="3648"/>
      <c r="D142" s="3648"/>
      <c r="E142" s="3648"/>
      <c r="F142" s="3648"/>
      <c r="G142" s="3648"/>
      <c r="H142" s="3648"/>
      <c r="I142" s="3648"/>
      <c r="J142" s="3648"/>
    </row>
    <row r="143" spans="2:10">
      <c r="B143" s="2952"/>
      <c r="C143" s="2952"/>
      <c r="D143" s="2952"/>
      <c r="E143" s="2952"/>
      <c r="F143" s="2952"/>
      <c r="G143" s="2952"/>
      <c r="H143" s="2952"/>
      <c r="I143" s="2952"/>
      <c r="J143" s="2952"/>
    </row>
    <row r="144" spans="2:10">
      <c r="B144" s="3648"/>
      <c r="C144" s="3648"/>
      <c r="D144" s="3648"/>
      <c r="E144" s="3648"/>
      <c r="F144" s="3648"/>
      <c r="G144" s="3648"/>
      <c r="H144" s="3648"/>
      <c r="I144" s="3648"/>
      <c r="J144" s="3648"/>
    </row>
    <row r="145" spans="2:10">
      <c r="B145" s="2952"/>
      <c r="C145" s="2952"/>
      <c r="D145" s="2952"/>
      <c r="E145" s="2952"/>
      <c r="F145" s="2952"/>
      <c r="G145" s="2952"/>
      <c r="H145" s="2952"/>
      <c r="I145" s="2952"/>
      <c r="J145" s="2952"/>
    </row>
    <row r="146" spans="2:10">
      <c r="B146" s="3654"/>
      <c r="C146" s="3655"/>
      <c r="D146" s="3655"/>
      <c r="E146" s="3655"/>
      <c r="F146" s="3655"/>
      <c r="G146" s="3655"/>
      <c r="H146" s="3655"/>
      <c r="I146" s="3655"/>
      <c r="J146" s="3655"/>
    </row>
    <row r="147" spans="2:10">
      <c r="B147" s="3645"/>
      <c r="C147" s="3646"/>
      <c r="D147" s="3646"/>
      <c r="E147" s="3646"/>
      <c r="F147" s="3646"/>
      <c r="G147" s="3646"/>
      <c r="H147" s="3646"/>
      <c r="I147" s="3646"/>
      <c r="J147" s="3646"/>
    </row>
    <row r="148" spans="2:10">
      <c r="B148" s="3647"/>
      <c r="C148" s="3647"/>
      <c r="D148" s="3647"/>
      <c r="E148" s="3647"/>
      <c r="F148" s="3647"/>
      <c r="G148" s="3647"/>
      <c r="H148" s="3647"/>
      <c r="I148" s="3647"/>
      <c r="J148" s="3647"/>
    </row>
    <row r="149" spans="2:10">
      <c r="B149" s="3645"/>
      <c r="C149" s="3646"/>
      <c r="D149" s="3646"/>
      <c r="E149" s="3646"/>
      <c r="F149" s="3646"/>
      <c r="G149" s="3646"/>
      <c r="H149" s="3646"/>
      <c r="I149" s="3646"/>
      <c r="J149" s="3646"/>
    </row>
    <row r="150" spans="2:10" ht="63" customHeight="1">
      <c r="B150" s="3647"/>
      <c r="C150" s="3647"/>
      <c r="D150" s="3647"/>
      <c r="E150" s="3647"/>
      <c r="F150" s="3647"/>
      <c r="G150" s="3647"/>
      <c r="H150" s="3647"/>
      <c r="I150" s="3647"/>
      <c r="J150" s="3647"/>
    </row>
    <row r="151" spans="2:10" ht="36" customHeight="1">
      <c r="B151" s="3647"/>
      <c r="C151" s="3647"/>
      <c r="D151" s="3647"/>
      <c r="E151" s="3647"/>
      <c r="F151" s="3647"/>
      <c r="G151" s="3647"/>
      <c r="H151" s="3647"/>
      <c r="I151" s="3647"/>
      <c r="J151" s="3647"/>
    </row>
    <row r="152" spans="2:10" ht="42" customHeight="1">
      <c r="B152" s="3648"/>
      <c r="C152" s="3648"/>
      <c r="D152" s="3648"/>
      <c r="E152" s="3648"/>
      <c r="F152" s="3648"/>
      <c r="G152" s="3648"/>
      <c r="H152" s="3648"/>
      <c r="I152" s="3648"/>
      <c r="J152" s="3648"/>
    </row>
    <row r="153" spans="2:10" ht="47.25" customHeight="1">
      <c r="B153" s="3648"/>
      <c r="C153" s="3648"/>
      <c r="D153" s="3648"/>
      <c r="E153" s="3648"/>
      <c r="F153" s="3648"/>
      <c r="G153" s="3648"/>
      <c r="H153" s="3648"/>
      <c r="I153" s="3648"/>
      <c r="J153" s="3648"/>
    </row>
    <row r="154" spans="2:10" ht="51" customHeight="1">
      <c r="B154" s="3648"/>
      <c r="C154" s="3648"/>
      <c r="D154" s="3648"/>
      <c r="E154" s="3648"/>
      <c r="F154" s="3648"/>
      <c r="G154" s="3648"/>
      <c r="H154" s="3648"/>
      <c r="I154" s="3648"/>
      <c r="J154" s="3648"/>
    </row>
    <row r="155" spans="2:10">
      <c r="B155" s="3645"/>
      <c r="C155" s="3646"/>
      <c r="D155" s="3646"/>
      <c r="E155" s="3646"/>
      <c r="F155" s="3646"/>
      <c r="G155" s="3646"/>
      <c r="H155" s="3646"/>
      <c r="I155" s="3646"/>
      <c r="J155" s="3646"/>
    </row>
    <row r="156" spans="2:10" ht="30" customHeight="1">
      <c r="B156" s="3647"/>
      <c r="C156" s="3647"/>
      <c r="D156" s="3647"/>
      <c r="E156" s="3647"/>
      <c r="F156" s="3647"/>
      <c r="G156" s="3647"/>
      <c r="H156" s="3647"/>
      <c r="I156" s="3647"/>
      <c r="J156" s="3647"/>
    </row>
    <row r="157" spans="2:10" ht="29.25" customHeight="1">
      <c r="B157" s="3647"/>
      <c r="C157" s="3647"/>
      <c r="D157" s="3647"/>
      <c r="E157" s="3647"/>
      <c r="F157" s="3647"/>
      <c r="G157" s="3647"/>
      <c r="H157" s="3647"/>
      <c r="I157" s="3647"/>
      <c r="J157" s="3647"/>
    </row>
    <row r="158" spans="2:10" ht="37.5" customHeight="1">
      <c r="B158" s="3648"/>
      <c r="C158" s="3648"/>
      <c r="D158" s="3648"/>
      <c r="E158" s="3648"/>
      <c r="F158" s="3648"/>
      <c r="G158" s="3648"/>
      <c r="H158" s="3648"/>
      <c r="I158" s="3648"/>
      <c r="J158" s="3648"/>
    </row>
    <row r="159" spans="2:10" ht="56.25" customHeight="1">
      <c r="B159" s="3648"/>
      <c r="C159" s="3648"/>
      <c r="D159" s="3648"/>
      <c r="E159" s="3648"/>
      <c r="F159" s="3648"/>
      <c r="G159" s="3648"/>
      <c r="H159" s="3648"/>
      <c r="I159" s="3648"/>
      <c r="J159" s="3648"/>
    </row>
    <row r="160" spans="2:10">
      <c r="B160" s="3645"/>
      <c r="C160" s="3646"/>
      <c r="D160" s="3646"/>
      <c r="E160" s="3646"/>
      <c r="F160" s="3646"/>
      <c r="G160" s="3646"/>
      <c r="H160" s="3646"/>
      <c r="I160" s="3646"/>
      <c r="J160" s="3646"/>
    </row>
    <row r="161" spans="2:10">
      <c r="B161" s="3645"/>
      <c r="C161" s="3646"/>
      <c r="D161" s="3646"/>
      <c r="E161" s="3646"/>
      <c r="F161" s="3646"/>
      <c r="G161" s="3646"/>
      <c r="H161" s="3646"/>
      <c r="I161" s="3646"/>
      <c r="J161" s="3646"/>
    </row>
    <row r="162" spans="2:10" ht="35.25" customHeight="1">
      <c r="B162" s="3647"/>
      <c r="C162" s="3647"/>
      <c r="D162" s="3647"/>
      <c r="E162" s="3647"/>
      <c r="F162" s="3647"/>
      <c r="G162" s="3647"/>
      <c r="H162" s="3647"/>
      <c r="I162" s="3647"/>
      <c r="J162" s="3647"/>
    </row>
    <row r="163" spans="2:10" ht="33.75" customHeight="1">
      <c r="B163" s="3648"/>
      <c r="C163" s="3648"/>
      <c r="D163" s="3648"/>
      <c r="E163" s="3648"/>
      <c r="F163" s="3648"/>
      <c r="G163" s="3648"/>
      <c r="H163" s="3648"/>
      <c r="I163" s="3648"/>
      <c r="J163" s="3648"/>
    </row>
    <row r="164" spans="2:10">
      <c r="B164" s="3646"/>
      <c r="C164" s="3646"/>
      <c r="D164" s="3646"/>
      <c r="E164" s="3646"/>
      <c r="F164" s="3646"/>
      <c r="G164" s="3646"/>
      <c r="H164" s="3646"/>
      <c r="I164" s="3646"/>
      <c r="J164" s="3646"/>
    </row>
    <row r="165" spans="2:10" ht="25.5" customHeight="1">
      <c r="B165" s="3645"/>
      <c r="C165" s="3646"/>
      <c r="D165" s="3646"/>
      <c r="E165" s="3646"/>
      <c r="F165" s="3646"/>
      <c r="G165" s="3646"/>
      <c r="H165" s="3646"/>
      <c r="I165" s="3646"/>
      <c r="J165" s="3646"/>
    </row>
    <row r="166" spans="2:10" ht="27" customHeight="1">
      <c r="B166" s="3647"/>
      <c r="C166" s="3647"/>
      <c r="D166" s="3647"/>
      <c r="E166" s="3647"/>
      <c r="F166" s="3647"/>
      <c r="G166" s="3647"/>
      <c r="H166" s="3647"/>
      <c r="I166" s="3647"/>
      <c r="J166" s="3647"/>
    </row>
    <row r="167" spans="2:10" ht="38.25" customHeight="1">
      <c r="B167" s="3648"/>
      <c r="C167" s="3648"/>
      <c r="D167" s="3648"/>
      <c r="E167" s="3648"/>
      <c r="F167" s="3648"/>
      <c r="G167" s="3648"/>
      <c r="H167" s="3648"/>
      <c r="I167" s="3648"/>
      <c r="J167" s="3648"/>
    </row>
    <row r="168" spans="2:10" ht="56.25" customHeight="1">
      <c r="B168" s="3648"/>
      <c r="C168" s="3648"/>
      <c r="D168" s="3648"/>
      <c r="E168" s="3648"/>
      <c r="F168" s="3648"/>
      <c r="G168" s="3648"/>
      <c r="H168" s="3648"/>
      <c r="I168" s="3648"/>
      <c r="J168" s="3648"/>
    </row>
    <row r="169" spans="2:10" ht="74.25" customHeight="1">
      <c r="B169" s="3648"/>
      <c r="C169" s="3648"/>
      <c r="D169" s="3648"/>
      <c r="E169" s="3648"/>
      <c r="F169" s="3648"/>
      <c r="G169" s="3648"/>
      <c r="H169" s="3648"/>
      <c r="I169" s="3648"/>
      <c r="J169" s="3648"/>
    </row>
    <row r="170" spans="2:10" ht="205.5" customHeight="1">
      <c r="B170" s="3648"/>
      <c r="C170" s="3648"/>
      <c r="D170" s="3648"/>
      <c r="E170" s="3648"/>
      <c r="F170" s="3648"/>
      <c r="G170" s="3648"/>
      <c r="H170" s="3648"/>
      <c r="I170" s="3648"/>
      <c r="J170" s="3648"/>
    </row>
    <row r="171" spans="2:10" ht="52.5" customHeight="1">
      <c r="B171" s="3648"/>
      <c r="C171" s="3648"/>
      <c r="D171" s="3648"/>
      <c r="E171" s="3648"/>
      <c r="F171" s="3648"/>
      <c r="G171" s="3648"/>
      <c r="H171" s="3648"/>
      <c r="I171" s="3648"/>
      <c r="J171" s="3648"/>
    </row>
    <row r="172" spans="2:10" ht="31.5" customHeight="1">
      <c r="B172" s="3649"/>
      <c r="C172" s="3649"/>
      <c r="D172" s="3649"/>
      <c r="E172" s="3649"/>
      <c r="F172" s="3649"/>
      <c r="G172" s="3649"/>
      <c r="H172" s="3649"/>
      <c r="I172" s="3649"/>
      <c r="J172" s="3649"/>
    </row>
    <row r="173" spans="2:10">
      <c r="B173" s="3646"/>
      <c r="C173" s="3646"/>
      <c r="D173" s="3646"/>
      <c r="E173" s="3646"/>
      <c r="F173" s="3646"/>
      <c r="G173" s="3646"/>
      <c r="H173" s="3646"/>
      <c r="I173" s="3646"/>
      <c r="J173" s="3646"/>
    </row>
    <row r="174" spans="2:10" ht="33" customHeight="1">
      <c r="B174" s="3648"/>
      <c r="C174" s="3648"/>
      <c r="D174" s="3648"/>
      <c r="E174" s="3648"/>
      <c r="F174" s="3648"/>
      <c r="G174" s="3648"/>
      <c r="H174" s="3648"/>
      <c r="I174" s="3648"/>
      <c r="J174" s="3648"/>
    </row>
    <row r="175" spans="2:10" ht="48" customHeight="1">
      <c r="B175" s="3649"/>
      <c r="C175" s="3649"/>
      <c r="D175" s="3649"/>
      <c r="E175" s="3649"/>
      <c r="F175" s="3649"/>
      <c r="G175" s="3649"/>
      <c r="H175" s="3649"/>
      <c r="I175" s="3649"/>
      <c r="J175" s="3649"/>
    </row>
    <row r="176" spans="2:10" ht="55.5" customHeight="1">
      <c r="B176" s="3649"/>
      <c r="C176" s="3649"/>
      <c r="D176" s="3649"/>
      <c r="E176" s="3649"/>
      <c r="F176" s="3649"/>
      <c r="G176" s="3649"/>
      <c r="H176" s="3649"/>
      <c r="I176" s="3649"/>
      <c r="J176" s="3649"/>
    </row>
    <row r="177" spans="2:10" ht="42" customHeight="1">
      <c r="B177" s="3649"/>
      <c r="C177" s="3649"/>
      <c r="D177" s="3649"/>
      <c r="E177" s="3649"/>
      <c r="F177" s="3649"/>
      <c r="G177" s="3649"/>
      <c r="H177" s="3649"/>
      <c r="I177" s="3649"/>
      <c r="J177" s="3649"/>
    </row>
    <row r="178" spans="2:10">
      <c r="B178" s="3645"/>
      <c r="C178" s="3646"/>
      <c r="D178" s="3646"/>
      <c r="E178" s="3646"/>
      <c r="F178" s="3646"/>
      <c r="G178" s="3646"/>
      <c r="H178" s="3646"/>
      <c r="I178" s="3646"/>
      <c r="J178" s="3646"/>
    </row>
    <row r="179" spans="2:10" ht="32.25" customHeight="1">
      <c r="B179" s="3647"/>
      <c r="C179" s="3647"/>
      <c r="D179" s="3647"/>
      <c r="E179" s="3647"/>
      <c r="F179" s="3647"/>
      <c r="G179" s="3647"/>
      <c r="H179" s="3647"/>
      <c r="I179" s="3647"/>
      <c r="J179" s="3647"/>
    </row>
    <row r="180" spans="2:10" ht="35.25" customHeight="1">
      <c r="B180" s="3648"/>
      <c r="C180" s="3648"/>
      <c r="D180" s="3648"/>
      <c r="E180" s="3648"/>
      <c r="F180" s="3648"/>
      <c r="G180" s="3648"/>
      <c r="H180" s="3648"/>
      <c r="I180" s="3648"/>
      <c r="J180" s="3648"/>
    </row>
    <row r="181" spans="2:10" ht="31.5" customHeight="1">
      <c r="B181" s="3647"/>
      <c r="C181" s="3647"/>
      <c r="D181" s="3647"/>
      <c r="E181" s="3647"/>
      <c r="F181" s="3647"/>
      <c r="G181" s="3647"/>
      <c r="H181" s="3647"/>
      <c r="I181" s="3647"/>
      <c r="J181" s="3647"/>
    </row>
    <row r="182" spans="2:10">
      <c r="B182" s="3645"/>
      <c r="C182" s="3646"/>
      <c r="D182" s="3646"/>
      <c r="E182" s="3646"/>
      <c r="F182" s="3646"/>
      <c r="G182" s="3646"/>
      <c r="H182" s="3646"/>
      <c r="I182" s="3646"/>
      <c r="J182" s="3646"/>
    </row>
    <row r="183" spans="2:10" ht="32.25" customHeight="1">
      <c r="B183" s="3647"/>
      <c r="C183" s="3647"/>
      <c r="D183" s="3647"/>
      <c r="E183" s="3647"/>
      <c r="F183" s="3647"/>
      <c r="G183" s="3647"/>
      <c r="H183" s="3647"/>
      <c r="I183" s="3647"/>
      <c r="J183" s="3647"/>
    </row>
    <row r="184" spans="2:10" ht="36" customHeight="1">
      <c r="B184" s="3647"/>
      <c r="C184" s="3647"/>
      <c r="D184" s="3647"/>
      <c r="E184" s="3647"/>
      <c r="F184" s="3647"/>
      <c r="G184" s="3647"/>
      <c r="H184" s="3647"/>
      <c r="I184" s="3647"/>
      <c r="J184" s="3647"/>
    </row>
    <row r="185" spans="2:10" ht="44.25" customHeight="1">
      <c r="B185" s="3648"/>
      <c r="C185" s="3648"/>
      <c r="D185" s="3648"/>
      <c r="E185" s="3648"/>
      <c r="F185" s="3648"/>
      <c r="G185" s="3648"/>
      <c r="H185" s="3648"/>
      <c r="I185" s="3648"/>
      <c r="J185" s="3648"/>
    </row>
    <row r="186" spans="2:10" ht="35.25" customHeight="1">
      <c r="B186" s="3648"/>
      <c r="C186" s="3648"/>
      <c r="D186" s="3648"/>
      <c r="E186" s="3648"/>
      <c r="F186" s="3648"/>
      <c r="G186" s="3648"/>
      <c r="H186" s="3648"/>
      <c r="I186" s="3648"/>
      <c r="J186" s="3648"/>
    </row>
    <row r="187" spans="2:10">
      <c r="B187" s="3645"/>
      <c r="C187" s="3646"/>
      <c r="D187" s="3646"/>
      <c r="E187" s="3646"/>
      <c r="F187" s="3646"/>
      <c r="G187" s="3646"/>
      <c r="H187" s="3646"/>
      <c r="I187" s="3646"/>
      <c r="J187" s="3646"/>
    </row>
    <row r="188" spans="2:10" ht="36" customHeight="1">
      <c r="B188" s="3647"/>
      <c r="C188" s="3647"/>
      <c r="D188" s="3647"/>
      <c r="E188" s="3647"/>
      <c r="F188" s="3647"/>
      <c r="G188" s="3647"/>
      <c r="H188" s="3647"/>
      <c r="I188" s="3647"/>
      <c r="J188" s="3647"/>
    </row>
    <row r="189" spans="2:10" ht="66.75" customHeight="1">
      <c r="B189" s="3648"/>
      <c r="C189" s="3648"/>
      <c r="D189" s="3648"/>
      <c r="E189" s="3648"/>
      <c r="F189" s="3648"/>
      <c r="G189" s="3648"/>
      <c r="H189" s="3648"/>
      <c r="I189" s="3648"/>
      <c r="J189" s="3648"/>
    </row>
    <row r="190" spans="2:10">
      <c r="B190" s="3645"/>
      <c r="C190" s="3646"/>
      <c r="D190" s="3646"/>
      <c r="E190" s="3646"/>
      <c r="F190" s="3646"/>
      <c r="G190" s="3646"/>
      <c r="H190" s="3646"/>
      <c r="I190" s="3646"/>
      <c r="J190" s="3646"/>
    </row>
    <row r="191" spans="2:10" ht="39.75" customHeight="1">
      <c r="B191" s="3647"/>
      <c r="C191" s="3647"/>
      <c r="D191" s="3647"/>
      <c r="E191" s="3647"/>
      <c r="F191" s="3647"/>
      <c r="G191" s="3647"/>
      <c r="H191" s="3647"/>
      <c r="I191" s="3647"/>
      <c r="J191" s="3647"/>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6695</v>
      </c>
      <c r="C1" s="2901"/>
      <c r="D1" s="2902" t="str">
        <f>Lead!$E$9</f>
        <v>陈彦良</v>
      </c>
      <c r="E1" s="2903"/>
      <c r="F1" s="2903"/>
      <c r="G1" s="2903"/>
      <c r="H1" s="2903"/>
      <c r="I1" s="2903"/>
      <c r="J1" s="2903"/>
      <c r="K1" s="2903"/>
      <c r="L1" s="2904"/>
      <c r="M1" s="2904"/>
      <c r="N1" s="2904"/>
      <c r="O1" s="2904"/>
      <c r="P1" s="2904"/>
      <c r="Q1" s="2905"/>
    </row>
    <row r="2" spans="1:17" ht="26.1" customHeight="1">
      <c r="A2" s="2907" t="str">
        <f>TEXT(Lead!$F$9,"yyyy-m-d")</f>
        <v>2020-1-29</v>
      </c>
      <c r="B2" s="2908"/>
      <c r="C2" s="2908"/>
      <c r="D2" s="2908"/>
      <c r="E2" s="2908"/>
      <c r="F2" s="2909"/>
      <c r="G2" s="2909"/>
      <c r="H2" s="2909"/>
      <c r="I2" s="2909"/>
      <c r="J2" s="2909"/>
      <c r="K2" s="2909"/>
      <c r="L2" s="2910"/>
      <c r="M2" s="2910"/>
      <c r="N2" s="2910"/>
      <c r="O2" s="2910"/>
      <c r="P2" s="2911"/>
      <c r="Q2" s="2912"/>
    </row>
    <row r="3" spans="1:17">
      <c r="A3" s="2913" t="s">
        <v>6696</v>
      </c>
      <c r="B3" s="2914" t="str">
        <f>Lead!$C$5</f>
        <v>山东天安化工股份有限公司</v>
      </c>
      <c r="C3" s="2915"/>
      <c r="D3" s="2915"/>
      <c r="E3" s="2915"/>
      <c r="F3" s="2953"/>
      <c r="G3" s="2953"/>
      <c r="H3" s="2953"/>
      <c r="I3" s="2953"/>
      <c r="J3" s="2953"/>
      <c r="K3" s="2909"/>
      <c r="L3" s="2910"/>
      <c r="M3" s="2910"/>
      <c r="N3" s="2910"/>
      <c r="O3" s="2910"/>
      <c r="P3" s="2916" t="str">
        <f>""&amp;$B$1</f>
        <v>9002B</v>
      </c>
      <c r="Q3" s="2912"/>
    </row>
    <row r="4" spans="1:17">
      <c r="A4" s="2901" t="s">
        <v>6697</v>
      </c>
      <c r="B4" s="2918" t="s">
        <v>6698</v>
      </c>
      <c r="C4" s="2915"/>
      <c r="D4" s="2915"/>
      <c r="E4" s="2915"/>
      <c r="F4" s="2953"/>
      <c r="G4" s="2953"/>
      <c r="H4" s="2953"/>
      <c r="I4" s="2953"/>
      <c r="J4" s="2953"/>
      <c r="K4" s="2909"/>
      <c r="L4" s="2910"/>
      <c r="M4" s="2910"/>
      <c r="N4" s="2910"/>
      <c r="O4" s="2910"/>
      <c r="P4" s="2919" t="str">
        <f>$D$1&amp;" "&amp;IF($A$2="","",TEXT($A$2,"YYYY-M-D"))</f>
        <v>陈彦良 2020-1-29</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666" t="s">
        <v>6699</v>
      </c>
      <c r="C7" s="3661" t="s">
        <v>6700</v>
      </c>
      <c r="D7" s="3661" t="s">
        <v>6701</v>
      </c>
      <c r="E7" s="3661" t="s">
        <v>6702</v>
      </c>
      <c r="F7" s="3660" t="s">
        <v>6703</v>
      </c>
      <c r="G7" s="3660"/>
      <c r="H7" s="3660" t="s">
        <v>6704</v>
      </c>
      <c r="I7" s="3660"/>
      <c r="J7" s="3660" t="s">
        <v>6705</v>
      </c>
      <c r="K7" s="3660"/>
      <c r="L7" s="3660" t="s">
        <v>6706</v>
      </c>
      <c r="M7" s="3660"/>
      <c r="N7" s="3661" t="s">
        <v>6707</v>
      </c>
      <c r="O7" s="3663" t="s">
        <v>6708</v>
      </c>
      <c r="P7" s="3664" t="s">
        <v>6709</v>
      </c>
      <c r="Q7" s="2905"/>
    </row>
    <row r="8" spans="1:17" s="2928" customFormat="1" ht="18" customHeight="1">
      <c r="A8" s="2925"/>
      <c r="B8" s="3667"/>
      <c r="C8" s="3662"/>
      <c r="D8" s="3662"/>
      <c r="E8" s="3662"/>
      <c r="F8" s="2955" t="s">
        <v>6710</v>
      </c>
      <c r="G8" s="2955" t="s">
        <v>6711</v>
      </c>
      <c r="H8" s="2955" t="s">
        <v>6710</v>
      </c>
      <c r="I8" s="2955" t="s">
        <v>6711</v>
      </c>
      <c r="J8" s="2955" t="s">
        <v>6710</v>
      </c>
      <c r="K8" s="2955" t="s">
        <v>6711</v>
      </c>
      <c r="L8" s="2955" t="s">
        <v>6710</v>
      </c>
      <c r="M8" s="2955" t="s">
        <v>6711</v>
      </c>
      <c r="N8" s="3662"/>
      <c r="O8" s="3662"/>
      <c r="P8" s="3665"/>
      <c r="Q8" s="2905"/>
    </row>
    <row r="9" spans="1:17" s="2928" customFormat="1" ht="18" customHeight="1">
      <c r="A9" s="2925"/>
      <c r="B9" s="2956" t="s">
        <v>6712</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6713</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6714</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6715</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6716</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6717</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6718</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6719</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6720</v>
      </c>
      <c r="Q34" s="2946"/>
    </row>
    <row r="35" spans="1:17">
      <c r="B35" s="2948" t="s">
        <v>6721</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6722</v>
      </c>
      <c r="C1" s="2901"/>
      <c r="D1" s="2902" t="str">
        <f>Lead!$E$9</f>
        <v>陈彦良</v>
      </c>
      <c r="E1" s="2903"/>
      <c r="F1" s="2903"/>
      <c r="G1" s="2904"/>
      <c r="H1" s="2904"/>
      <c r="I1" s="2905"/>
    </row>
    <row r="2" spans="1:9" ht="26.1" customHeight="1">
      <c r="A2" s="2907" t="str">
        <f>TEXT(Lead!$F$9,"yyyy-m-d")</f>
        <v>2020-1-29</v>
      </c>
      <c r="B2" s="2908"/>
      <c r="C2" s="2908"/>
      <c r="D2" s="2908"/>
      <c r="E2" s="2908"/>
      <c r="F2" s="2909"/>
      <c r="G2" s="2910"/>
      <c r="H2" s="2911"/>
      <c r="I2" s="2912"/>
    </row>
    <row r="3" spans="1:9">
      <c r="A3" s="2913" t="s">
        <v>6723</v>
      </c>
      <c r="B3" s="2914" t="str">
        <f>Lead!$C$5</f>
        <v>山东天安化工股份有限公司</v>
      </c>
      <c r="C3" s="2915"/>
      <c r="D3" s="2915"/>
      <c r="E3" s="2915"/>
      <c r="F3" s="2909"/>
      <c r="G3" s="2910"/>
      <c r="H3" s="2916" t="str">
        <f>""&amp;$B$1</f>
        <v>9002C</v>
      </c>
      <c r="I3" s="2912"/>
    </row>
    <row r="4" spans="1:9">
      <c r="A4" s="2901" t="s">
        <v>6724</v>
      </c>
      <c r="B4" s="2918" t="s">
        <v>6725</v>
      </c>
      <c r="C4" s="2915"/>
      <c r="D4" s="2915"/>
      <c r="E4" s="2915"/>
      <c r="F4" s="2909"/>
      <c r="G4" s="2910"/>
      <c r="H4" s="2919" t="str">
        <f>$D$1&amp;" "&amp;IF($A$2="","",TEXT($A$2,"YYYY-M-D"))</f>
        <v>陈彦良 2020-1-29</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6659</v>
      </c>
      <c r="C8" s="2976" t="s">
        <v>6726</v>
      </c>
      <c r="D8" s="2976" t="s">
        <v>6727</v>
      </c>
      <c r="E8" s="2976" t="s">
        <v>6728</v>
      </c>
      <c r="F8" s="2976" t="s">
        <v>6729</v>
      </c>
      <c r="G8" s="2976" t="s">
        <v>6730</v>
      </c>
      <c r="H8" s="2977" t="s">
        <v>6731</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6720</v>
      </c>
      <c r="C26" s="2945"/>
      <c r="D26" s="2945"/>
      <c r="E26" s="2945"/>
      <c r="F26" s="2945"/>
      <c r="G26" s="2945"/>
      <c r="H26" s="2945"/>
      <c r="I26" s="2946"/>
    </row>
    <row r="27" spans="1:9">
      <c r="B27" s="2948" t="s">
        <v>6721</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6732</v>
      </c>
      <c r="C1" s="2901"/>
      <c r="D1" s="2902" t="str">
        <f>Lead!$E$9</f>
        <v>陈彦良</v>
      </c>
      <c r="E1" s="2903"/>
      <c r="F1" s="2904"/>
      <c r="G1" s="2904"/>
      <c r="H1" s="2904"/>
      <c r="I1" s="2905"/>
    </row>
    <row r="2" spans="1:9" ht="26.1" customHeight="1">
      <c r="A2" s="2907" t="str">
        <f>TEXT(Lead!$F$9,"yyyy-m-d")</f>
        <v>2020-1-29</v>
      </c>
      <c r="B2" s="2908"/>
      <c r="C2" s="2908"/>
      <c r="D2" s="2908"/>
      <c r="E2" s="2908"/>
      <c r="F2" s="2910"/>
      <c r="G2" s="2910"/>
      <c r="H2" s="2911"/>
      <c r="I2" s="2912"/>
    </row>
    <row r="3" spans="1:9">
      <c r="A3" s="2913" t="s">
        <v>6733</v>
      </c>
      <c r="B3" s="2914" t="str">
        <f>Lead!$C$5</f>
        <v>山东天安化工股份有限公司</v>
      </c>
      <c r="C3" s="2915"/>
      <c r="D3" s="2915"/>
      <c r="E3" s="2908"/>
      <c r="F3" s="2910"/>
      <c r="G3" s="2910"/>
      <c r="H3" s="2916" t="str">
        <f>""&amp;$B$1</f>
        <v>9000B</v>
      </c>
      <c r="I3" s="2912"/>
    </row>
    <row r="4" spans="1:9">
      <c r="A4" s="2901" t="s">
        <v>6734</v>
      </c>
      <c r="B4" s="2918" t="s">
        <v>6735</v>
      </c>
      <c r="C4" s="2915"/>
      <c r="D4" s="2915"/>
      <c r="E4" s="2908"/>
      <c r="F4" s="2910"/>
      <c r="G4" s="2910"/>
      <c r="H4" s="2919" t="str">
        <f>$D$1&amp;" "&amp;IF($A$2="","",TEXT($A$2,"YYYY-M-D"))</f>
        <v>陈彦良 2020-1-29</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6736</v>
      </c>
      <c r="C7" s="2989"/>
      <c r="D7" s="2990"/>
      <c r="E7" s="2990"/>
      <c r="F7" s="2990"/>
      <c r="G7" s="2990"/>
      <c r="H7" s="2927"/>
      <c r="I7" s="2905"/>
    </row>
    <row r="8" spans="1:9" s="2928" customFormat="1" ht="42" customHeight="1">
      <c r="A8" s="2925"/>
      <c r="B8" s="2991" t="s">
        <v>2650</v>
      </c>
      <c r="C8" s="2992" t="s">
        <v>6737</v>
      </c>
      <c r="D8" s="2992" t="s">
        <v>6738</v>
      </c>
      <c r="E8" s="3674" t="s">
        <v>6739</v>
      </c>
      <c r="F8" s="3675"/>
      <c r="G8" s="2992" t="s">
        <v>6740</v>
      </c>
      <c r="H8" s="2993" t="s">
        <v>6741</v>
      </c>
      <c r="I8" s="2905"/>
    </row>
    <row r="9" spans="1:9" s="2928" customFormat="1" ht="21" customHeight="1">
      <c r="A9" s="2925"/>
      <c r="B9" s="2994"/>
      <c r="C9" s="2995"/>
      <c r="D9" s="2996"/>
      <c r="E9" s="3668"/>
      <c r="F9" s="3669"/>
      <c r="G9" s="2997"/>
      <c r="H9" s="2998"/>
      <c r="I9" s="2905"/>
    </row>
    <row r="10" spans="1:9" s="2928" customFormat="1" ht="20.25" customHeight="1">
      <c r="A10" s="2925"/>
      <c r="B10" s="2999"/>
      <c r="C10" s="3000"/>
      <c r="D10" s="3000"/>
      <c r="E10" s="3670"/>
      <c r="F10" s="3671"/>
      <c r="G10" s="3001"/>
      <c r="H10" s="3002"/>
      <c r="I10" s="2905"/>
    </row>
    <row r="11" spans="1:9" s="2928" customFormat="1" ht="20.25" customHeight="1">
      <c r="A11" s="2925"/>
      <c r="B11" s="2999"/>
      <c r="C11" s="3000"/>
      <c r="D11" s="3000"/>
      <c r="E11" s="3670"/>
      <c r="F11" s="3671"/>
      <c r="G11" s="3001"/>
      <c r="H11" s="3002"/>
      <c r="I11" s="2905"/>
    </row>
    <row r="12" spans="1:9" s="2928" customFormat="1" ht="20.25" customHeight="1">
      <c r="A12" s="2925"/>
      <c r="B12" s="3003"/>
      <c r="C12" s="3004"/>
      <c r="D12" s="3004"/>
      <c r="E12" s="3672"/>
      <c r="F12" s="3673"/>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6742</v>
      </c>
      <c r="C14" s="3007"/>
      <c r="D14" s="3008"/>
      <c r="E14" s="3008"/>
      <c r="F14" s="3008"/>
      <c r="G14" s="3009"/>
      <c r="H14" s="2927"/>
      <c r="I14" s="2905"/>
    </row>
    <row r="15" spans="1:9" s="2928" customFormat="1" ht="45" customHeight="1">
      <c r="A15" s="2925"/>
      <c r="B15" s="2991" t="s">
        <v>2650</v>
      </c>
      <c r="C15" s="2992" t="s">
        <v>6737</v>
      </c>
      <c r="D15" s="2992" t="s">
        <v>6738</v>
      </c>
      <c r="E15" s="3674" t="s">
        <v>6739</v>
      </c>
      <c r="F15" s="3675"/>
      <c r="G15" s="2992" t="s">
        <v>6740</v>
      </c>
      <c r="H15" s="2993" t="s">
        <v>6741</v>
      </c>
      <c r="I15" s="2905"/>
    </row>
    <row r="16" spans="1:9" s="2928" customFormat="1" ht="20.25" customHeight="1">
      <c r="A16" s="2925"/>
      <c r="B16" s="2994"/>
      <c r="C16" s="2995"/>
      <c r="D16" s="2996"/>
      <c r="E16" s="3668"/>
      <c r="F16" s="3669"/>
      <c r="G16" s="2997"/>
      <c r="H16" s="2998"/>
      <c r="I16" s="2905"/>
    </row>
    <row r="17" spans="1:9" s="2928" customFormat="1" ht="20.25" customHeight="1">
      <c r="A17" s="2925"/>
      <c r="B17" s="2999"/>
      <c r="C17" s="3000"/>
      <c r="D17" s="3000"/>
      <c r="E17" s="3670"/>
      <c r="F17" s="3671"/>
      <c r="G17" s="3001"/>
      <c r="H17" s="3002"/>
      <c r="I17" s="2905"/>
    </row>
    <row r="18" spans="1:9" s="2928" customFormat="1" ht="20.25" customHeight="1">
      <c r="A18" s="2925"/>
      <c r="B18" s="2999"/>
      <c r="C18" s="3000"/>
      <c r="D18" s="3000"/>
      <c r="E18" s="3670"/>
      <c r="F18" s="3671"/>
      <c r="G18" s="3001"/>
      <c r="H18" s="3002"/>
      <c r="I18" s="2905"/>
    </row>
    <row r="19" spans="1:9" s="2928" customFormat="1" ht="20.25" customHeight="1">
      <c r="A19" s="2925"/>
      <c r="B19" s="3003"/>
      <c r="C19" s="3004"/>
      <c r="D19" s="3004"/>
      <c r="E19" s="3672"/>
      <c r="F19" s="3673"/>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6743</v>
      </c>
      <c r="C21" s="2990"/>
      <c r="D21" s="2990"/>
      <c r="E21" s="2990"/>
      <c r="F21" s="2990"/>
      <c r="G21" s="2990"/>
      <c r="H21" s="2927"/>
      <c r="I21" s="2905"/>
    </row>
    <row r="22" spans="1:9" s="2928" customFormat="1" ht="20.25" customHeight="1">
      <c r="A22" s="2925"/>
      <c r="B22" s="3011" t="s">
        <v>6744</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6745</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6746</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6747</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6748</v>
      </c>
      <c r="C39" s="2945"/>
      <c r="D39" s="2945"/>
      <c r="E39" s="2945"/>
      <c r="F39" s="2945"/>
      <c r="G39" s="2945"/>
      <c r="H39" s="2945"/>
      <c r="I39" s="2946"/>
    </row>
    <row r="40" spans="1:9">
      <c r="B40" s="2948" t="s">
        <v>6749</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6750</v>
      </c>
      <c r="C1" s="2901"/>
      <c r="D1" s="2902" t="str">
        <f>Lead!$E$9</f>
        <v>陈彦良</v>
      </c>
      <c r="E1" s="2903"/>
      <c r="F1" s="2903"/>
      <c r="G1" s="2903"/>
      <c r="H1" s="2903"/>
      <c r="I1" s="2904"/>
      <c r="J1" s="2904"/>
      <c r="K1" s="2904"/>
      <c r="L1" s="2905"/>
    </row>
    <row r="2" spans="1:12" ht="26.1" customHeight="1">
      <c r="A2" s="2907" t="str">
        <f>TEXT(Lead!$F$9,"yyyy-m-d")</f>
        <v>2020-1-29</v>
      </c>
      <c r="B2" s="2908"/>
      <c r="C2" s="2908"/>
      <c r="D2" s="2908"/>
      <c r="E2" s="2908"/>
      <c r="F2" s="2909"/>
      <c r="G2" s="2909"/>
      <c r="H2" s="2909"/>
      <c r="I2" s="2910"/>
      <c r="J2" s="2910"/>
      <c r="K2" s="2911"/>
      <c r="L2" s="2912"/>
    </row>
    <row r="3" spans="1:12">
      <c r="A3" s="2913" t="s">
        <v>6751</v>
      </c>
      <c r="B3" s="2914" t="str">
        <f>Lead!$C$5</f>
        <v>山东天安化工股份有限公司</v>
      </c>
      <c r="C3" s="2915"/>
      <c r="D3" s="2915"/>
      <c r="E3" s="2915"/>
      <c r="F3" s="2953"/>
      <c r="G3" s="2953"/>
      <c r="H3" s="2909"/>
      <c r="I3" s="2910"/>
      <c r="J3" s="2910"/>
      <c r="K3" s="2916" t="str">
        <f>""&amp;$B$1</f>
        <v>9000C</v>
      </c>
      <c r="L3" s="2912"/>
    </row>
    <row r="4" spans="1:12">
      <c r="A4" s="2917" t="s">
        <v>6752</v>
      </c>
      <c r="B4" s="2918" t="s">
        <v>6753</v>
      </c>
      <c r="C4" s="2915"/>
      <c r="D4" s="2915"/>
      <c r="E4" s="2915"/>
      <c r="F4" s="2953"/>
      <c r="G4" s="2953"/>
      <c r="H4" s="2909"/>
      <c r="I4" s="2910"/>
      <c r="J4" s="2910"/>
      <c r="K4" s="2919" t="str">
        <f>$D$1&amp;" "&amp;IF($A$2="","",TEXT($A$2,"YYYY-M-D"))</f>
        <v>陈彦良 2020-1-29</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6754</v>
      </c>
      <c r="C7" s="2926"/>
      <c r="D7" s="2926"/>
      <c r="E7" s="2926"/>
      <c r="F7" s="2926"/>
      <c r="G7" s="2926"/>
      <c r="H7" s="2926"/>
      <c r="I7" s="2927"/>
      <c r="J7" s="2927"/>
      <c r="K7" s="2927"/>
      <c r="L7" s="2905"/>
    </row>
    <row r="8" spans="1:12" s="2928" customFormat="1" ht="20.25" customHeight="1">
      <c r="A8" s="2925"/>
      <c r="B8" s="3013" t="s">
        <v>6755</v>
      </c>
      <c r="C8" s="2926"/>
      <c r="D8" s="2926"/>
      <c r="E8" s="2926"/>
      <c r="F8" s="2926"/>
      <c r="G8" s="2926"/>
      <c r="H8" s="2926"/>
      <c r="I8" s="2927"/>
      <c r="J8" s="2927"/>
      <c r="K8" s="2927"/>
      <c r="L8" s="2905"/>
    </row>
    <row r="9" spans="1:12" s="2928" customFormat="1" ht="20.25" customHeight="1">
      <c r="A9" s="2925"/>
      <c r="B9" s="3014"/>
      <c r="C9" s="3015"/>
      <c r="D9" s="3676" t="s">
        <v>2887</v>
      </c>
      <c r="E9" s="3676"/>
      <c r="F9" s="3676"/>
      <c r="G9" s="3676"/>
      <c r="H9" s="3676"/>
      <c r="I9" s="3676"/>
      <c r="J9" s="3676"/>
      <c r="K9" s="3677"/>
      <c r="L9" s="2905"/>
    </row>
    <row r="10" spans="1:12" s="2928" customFormat="1" ht="20.25" customHeight="1">
      <c r="A10" s="2925"/>
      <c r="B10" s="3016" t="s">
        <v>6756</v>
      </c>
      <c r="C10" s="3017" t="s">
        <v>6757</v>
      </c>
      <c r="D10" s="3017" t="s">
        <v>6758</v>
      </c>
      <c r="E10" s="3017" t="s">
        <v>6759</v>
      </c>
      <c r="F10" s="3017" t="s">
        <v>6760</v>
      </c>
      <c r="G10" s="3017" t="s">
        <v>6761</v>
      </c>
      <c r="H10" s="3017" t="s">
        <v>6762</v>
      </c>
      <c r="I10" s="3017" t="s">
        <v>6763</v>
      </c>
      <c r="J10" s="3017" t="s">
        <v>6764</v>
      </c>
      <c r="K10" s="3018" t="s">
        <v>6765</v>
      </c>
      <c r="L10" s="2905"/>
    </row>
    <row r="11" spans="1:12" s="2928" customFormat="1" ht="20.25" customHeight="1">
      <c r="A11" s="2925"/>
      <c r="B11" s="3016" t="s">
        <v>6766</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6767</v>
      </c>
      <c r="C12" s="3019"/>
      <c r="D12" s="3020">
        <f>SUMIF(AJE!$R$9:$R$235,"1",AJE!$O$9:$O$235)</f>
        <v>25632499.879999999</v>
      </c>
      <c r="E12" s="3020">
        <f>SUMIF(AJE!$R$9:$R$235,"1",AJE!$P$9:$P$235)</f>
        <v>35357667.789999999</v>
      </c>
      <c r="F12" s="3020">
        <f>SUMIF(AJE!$R$9:$R$235,"2",AJE!$O$9:$O$235)</f>
        <v>869627.68</v>
      </c>
      <c r="G12" s="3020">
        <f>SUMIF(AJE!$R$9:$R$235,"2",AJE!$P$9:$P$235)</f>
        <v>6414047.8399999999</v>
      </c>
      <c r="H12" s="3020">
        <f>SUMIF(AJE!$R$9:$R$235,"4",AJE!$O$9:$O$235)+SUMIF(AJE!$R$9:$R$235,"8",AJE!$O$9:$O$235)</f>
        <v>54752.29</v>
      </c>
      <c r="I12" s="3020">
        <f>SUMIF(AJE!$R$9:$R$235,"4",AJE!$P$9:$P$235)+SUMIF(AJE!$R$9:$R$235,"8",AJE!$P$9:$P$235)</f>
        <v>0</v>
      </c>
      <c r="J12" s="3020">
        <f>SUMIF(AJE!$R$9:$R$235,"6",AJE!$O$9:$O$235)</f>
        <v>32786916.469999999</v>
      </c>
      <c r="K12" s="3021">
        <f>SUMIF(AJE!$R$9:$R$235,"6",AJE!$P$9:$P$235)</f>
        <v>17572080.690000001</v>
      </c>
      <c r="L12" s="3022" t="str">
        <f>IF(AND(SUM(D12,F12,H12,J12)=0,SUM(E12,G12,I12,K12)=0),"",IF(ROUND(SUM(D12,F12,H12,J12)-SUM(E12,G12,I12,K12),2)=0,"借贷平衡!","借贷相差："&amp;(TEXT(SUM(D12,F12,H12,J12)-SUM(E12,G12,I12,K12),"#,0.00"))))</f>
        <v>借贷平衡!</v>
      </c>
    </row>
    <row r="13" spans="1:12" s="2928" customFormat="1" ht="20.25" customHeight="1">
      <c r="A13" s="2925"/>
      <c r="B13" s="3023" t="s">
        <v>6768</v>
      </c>
      <c r="C13" s="3024"/>
      <c r="D13" s="3025">
        <f>SUM(D11:D12)</f>
        <v>25632499.879999999</v>
      </c>
      <c r="E13" s="3025">
        <f t="shared" ref="E13:K13" si="0">SUM(E11:E12)</f>
        <v>35357667.789999999</v>
      </c>
      <c r="F13" s="3025">
        <f t="shared" si="0"/>
        <v>869627.68</v>
      </c>
      <c r="G13" s="3025">
        <f t="shared" si="0"/>
        <v>6414047.8399999999</v>
      </c>
      <c r="H13" s="3025">
        <f t="shared" si="0"/>
        <v>54752.29</v>
      </c>
      <c r="I13" s="3025">
        <f t="shared" si="0"/>
        <v>0</v>
      </c>
      <c r="J13" s="3025">
        <f t="shared" si="0"/>
        <v>32786916.469999999</v>
      </c>
      <c r="K13" s="3026">
        <f t="shared" si="0"/>
        <v>17572080.690000001</v>
      </c>
      <c r="L13" s="3022" t="str">
        <f>IF(AND(SUM(D13,F13,H13,J13)=0,SUM(E13,G13,I13,K13)=0),"",IF(ROUND(SUM(D13,F13,H13,J13)-SUM(E13,G13,I13,K13),2)=0,"借贷平衡!","借贷相差："&amp;(TEXT(SUM(D13,F13,H13,J13)-SUM(E13,G13,I13,K13),"#,0.00"))))</f>
        <v>借贷平衡!</v>
      </c>
    </row>
    <row r="14" spans="1:12" s="2928" customFormat="1" ht="20.25" customHeight="1">
      <c r="A14" s="2925"/>
      <c r="B14" s="3013" t="s">
        <v>6769</v>
      </c>
      <c r="C14" s="2926"/>
      <c r="D14" s="3027"/>
      <c r="E14" s="2926"/>
      <c r="F14" s="3027"/>
      <c r="G14" s="2926"/>
      <c r="H14" s="2926"/>
      <c r="I14" s="2927"/>
      <c r="J14" s="2927"/>
      <c r="K14" s="2927"/>
      <c r="L14" s="2905"/>
    </row>
    <row r="15" spans="1:12" s="2928" customFormat="1" ht="20.25" customHeight="1">
      <c r="A15" s="2925"/>
      <c r="B15" s="3013" t="s">
        <v>6770</v>
      </c>
      <c r="C15" s="2926"/>
      <c r="D15" s="2926"/>
      <c r="E15" s="2926"/>
      <c r="F15" s="2926"/>
      <c r="G15" s="3028" t="s">
        <v>6771</v>
      </c>
      <c r="H15" s="2926"/>
      <c r="I15" s="2927"/>
      <c r="J15" s="2927"/>
      <c r="K15" s="2927"/>
      <c r="L15" s="2905"/>
    </row>
    <row r="16" spans="1:12" s="2928" customFormat="1" ht="42.75" customHeight="1">
      <c r="A16" s="2925"/>
      <c r="B16" s="3678" t="s">
        <v>6772</v>
      </c>
      <c r="C16" s="3679"/>
      <c r="D16" s="3679"/>
      <c r="E16" s="3679"/>
      <c r="F16" s="3679"/>
      <c r="G16" s="3679"/>
      <c r="H16" s="3679"/>
      <c r="I16" s="3679"/>
      <c r="J16" s="3679"/>
      <c r="K16" s="3679"/>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6773</v>
      </c>
      <c r="C18" s="3034"/>
      <c r="D18" s="3034"/>
      <c r="E18" s="3034"/>
      <c r="F18" s="3034"/>
      <c r="G18" s="3034"/>
      <c r="H18" s="3034"/>
      <c r="I18" s="3035"/>
      <c r="J18" s="3035"/>
      <c r="K18" s="3036"/>
      <c r="L18" s="2905"/>
    </row>
    <row r="19" spans="1:12" s="2928" customFormat="1" ht="20.25" customHeight="1">
      <c r="A19" s="2925"/>
      <c r="B19" s="3012" t="s">
        <v>6774</v>
      </c>
      <c r="C19" s="2926"/>
      <c r="D19" s="2926"/>
      <c r="E19" s="2926"/>
      <c r="F19" s="2926"/>
      <c r="G19" s="2926"/>
      <c r="H19" s="2926"/>
      <c r="I19" s="2927"/>
      <c r="J19" s="2927"/>
      <c r="K19" s="2927"/>
      <c r="L19" s="2905"/>
    </row>
    <row r="20" spans="1:12" s="2928" customFormat="1" ht="20.25" customHeight="1">
      <c r="A20" s="2925"/>
      <c r="B20" s="3013" t="s">
        <v>6775</v>
      </c>
      <c r="C20" s="2926"/>
      <c r="D20" s="2926"/>
      <c r="E20" s="2926"/>
      <c r="F20" s="2926"/>
      <c r="G20" s="2926"/>
      <c r="H20" s="2926"/>
      <c r="I20" s="2927"/>
      <c r="J20" s="2927"/>
      <c r="K20" s="2927"/>
      <c r="L20" s="2905"/>
    </row>
    <row r="21" spans="1:12" s="2928" customFormat="1" ht="20.25" customHeight="1">
      <c r="A21" s="2925"/>
      <c r="B21" s="2926" t="s">
        <v>6776</v>
      </c>
      <c r="C21" s="2926"/>
      <c r="D21" s="2926"/>
      <c r="E21" s="2926"/>
      <c r="F21" s="3037" t="s">
        <v>2887</v>
      </c>
      <c r="G21" s="2926"/>
      <c r="H21" s="2926"/>
      <c r="I21" s="2927"/>
      <c r="J21" s="2927"/>
      <c r="K21" s="2927"/>
      <c r="L21" s="2905"/>
    </row>
    <row r="22" spans="1:12" s="2928" customFormat="1" ht="20.25" customHeight="1">
      <c r="A22" s="2925"/>
      <c r="B22" s="2926" t="s">
        <v>6777</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6778</v>
      </c>
      <c r="C24" s="3028"/>
      <c r="D24" s="3028"/>
      <c r="E24" s="3028"/>
      <c r="F24" s="3028"/>
      <c r="G24" s="2926"/>
      <c r="H24" s="2926"/>
      <c r="I24" s="2927"/>
      <c r="J24" s="2927"/>
      <c r="K24" s="3039"/>
      <c r="L24" s="2905"/>
    </row>
    <row r="25" spans="1:12" s="2928" customFormat="1" ht="20.25" customHeight="1">
      <c r="A25" s="2925"/>
      <c r="B25" s="3033" t="s">
        <v>6779</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6780</v>
      </c>
      <c r="C27" s="2926"/>
      <c r="D27" s="2926"/>
      <c r="E27" s="2926"/>
      <c r="F27" s="2926"/>
      <c r="G27" s="2926"/>
      <c r="H27" s="2926"/>
      <c r="I27" s="2927"/>
      <c r="J27" s="2927"/>
      <c r="K27" s="2927"/>
      <c r="L27" s="2905"/>
    </row>
    <row r="28" spans="1:12" s="2928" customFormat="1" ht="20.25" customHeight="1">
      <c r="A28" s="2925"/>
      <c r="B28" s="2926" t="s">
        <v>6781</v>
      </c>
      <c r="C28" s="2926"/>
      <c r="D28" s="2926"/>
      <c r="E28" s="2926"/>
      <c r="F28" s="3037" t="s">
        <v>2887</v>
      </c>
      <c r="G28" s="2926"/>
      <c r="H28" s="2926"/>
      <c r="I28" s="2927"/>
      <c r="J28" s="2927"/>
      <c r="K28" s="2927"/>
      <c r="L28" s="2905"/>
    </row>
    <row r="29" spans="1:12" s="2928" customFormat="1" ht="20.25" customHeight="1">
      <c r="A29" s="2925"/>
      <c r="B29" s="2926" t="s">
        <v>6782</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6783</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6784</v>
      </c>
      <c r="C34" s="2945"/>
      <c r="D34" s="2945"/>
      <c r="E34" s="2945"/>
      <c r="F34" s="2945"/>
      <c r="G34" s="2945"/>
      <c r="H34" s="2945"/>
      <c r="I34" s="2945"/>
      <c r="J34" s="2945"/>
      <c r="K34" s="2945"/>
      <c r="L34" s="2946"/>
    </row>
    <row r="35" spans="1:12">
      <c r="B35" s="2948" t="s">
        <v>6785</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autoPageBreaks="0"/>
  </sheetPr>
  <dimension ref="A1:L43"/>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6786</v>
      </c>
      <c r="C1" s="2901"/>
      <c r="D1" s="2902" t="str">
        <f>Lead!$E$9</f>
        <v>陈彦良</v>
      </c>
      <c r="E1" s="2903"/>
      <c r="F1" s="2903"/>
      <c r="G1" s="2903"/>
      <c r="H1" s="2903"/>
      <c r="I1" s="2904"/>
      <c r="J1" s="2904"/>
      <c r="K1" s="2904"/>
      <c r="L1" s="2905"/>
    </row>
    <row r="2" spans="1:12" ht="26.1" customHeight="1">
      <c r="A2" s="2907" t="str">
        <f>TEXT(Lead!$F$9,"yyyy-m-d")</f>
        <v>2020-1-29</v>
      </c>
      <c r="B2" s="2908"/>
      <c r="C2" s="2908"/>
      <c r="D2" s="2908"/>
      <c r="E2" s="2908"/>
      <c r="F2" s="2909"/>
      <c r="G2" s="2909"/>
      <c r="H2" s="2909"/>
      <c r="I2" s="2910"/>
      <c r="J2" s="2910"/>
      <c r="K2" s="2911"/>
      <c r="L2" s="2912"/>
    </row>
    <row r="3" spans="1:12">
      <c r="A3" s="2913" t="s">
        <v>6787</v>
      </c>
      <c r="B3" s="2914" t="str">
        <f>Lead!$C$5</f>
        <v>山东天安化工股份有限公司</v>
      </c>
      <c r="C3" s="2915"/>
      <c r="D3" s="2915"/>
      <c r="E3" s="2915"/>
      <c r="F3" s="2953"/>
      <c r="G3" s="2953"/>
      <c r="H3" s="2909"/>
      <c r="I3" s="2910"/>
      <c r="J3" s="2910"/>
      <c r="K3" s="2916" t="str">
        <f>""&amp;$B$1</f>
        <v>9000D</v>
      </c>
      <c r="L3" s="2912"/>
    </row>
    <row r="4" spans="1:12">
      <c r="A4" s="2901" t="s">
        <v>6788</v>
      </c>
      <c r="B4" s="2918" t="s">
        <v>6789</v>
      </c>
      <c r="C4" s="2915"/>
      <c r="D4" s="2915"/>
      <c r="E4" s="2915"/>
      <c r="F4" s="2953"/>
      <c r="G4" s="2953"/>
      <c r="H4" s="2909"/>
      <c r="I4" s="2910"/>
      <c r="J4" s="2910"/>
      <c r="K4" s="2919" t="str">
        <f>$D$1&amp;" "&amp;IF($A$2="","",TEXT($A$2,"YYYY-M-D"))</f>
        <v>陈彦良 2020-1-29</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6790</v>
      </c>
      <c r="C7" s="2926"/>
      <c r="D7" s="2926"/>
      <c r="E7" s="2926"/>
      <c r="F7" s="2926"/>
      <c r="G7" s="2926"/>
      <c r="H7" s="2926"/>
      <c r="I7" s="2927"/>
      <c r="J7" s="2927"/>
      <c r="K7" s="2927"/>
      <c r="L7" s="2905"/>
    </row>
    <row r="8" spans="1:12" s="2928" customFormat="1" ht="20.25" customHeight="1">
      <c r="A8" s="2925"/>
      <c r="B8" s="2926"/>
      <c r="C8" s="3014" t="s">
        <v>6791</v>
      </c>
      <c r="D8" s="3041"/>
      <c r="E8" s="3041"/>
      <c r="F8" s="3041"/>
      <c r="G8" s="3041"/>
      <c r="H8" s="3041"/>
      <c r="I8" s="3042"/>
      <c r="J8" s="3042"/>
      <c r="K8" s="3042"/>
      <c r="L8" s="2905"/>
    </row>
    <row r="9" spans="1:12" s="2928" customFormat="1" ht="20.25" customHeight="1">
      <c r="A9" s="2925"/>
      <c r="B9" s="2926"/>
      <c r="C9" s="3043" t="s">
        <v>6792</v>
      </c>
      <c r="D9" s="3044"/>
      <c r="E9" s="3044"/>
      <c r="F9" s="3044"/>
      <c r="G9" s="3044"/>
      <c r="H9" s="3044"/>
      <c r="I9" s="3045"/>
      <c r="J9" s="3045"/>
      <c r="K9" s="3045"/>
      <c r="L9" s="2905"/>
    </row>
    <row r="10" spans="1:12" s="2928" customFormat="1" ht="20.25" customHeight="1">
      <c r="A10" s="2925"/>
      <c r="B10" s="2926"/>
      <c r="C10" s="3043" t="s">
        <v>6793</v>
      </c>
      <c r="D10" s="3044"/>
      <c r="E10" s="3044"/>
      <c r="F10" s="3044"/>
      <c r="G10" s="3044"/>
      <c r="H10" s="3044"/>
      <c r="I10" s="3045"/>
      <c r="J10" s="3045"/>
      <c r="K10" s="3045"/>
      <c r="L10" s="2905"/>
    </row>
    <row r="11" spans="1:12" s="2928" customFormat="1" ht="20.25" customHeight="1">
      <c r="A11" s="2925"/>
      <c r="B11" s="2926"/>
      <c r="C11" s="3046" t="s">
        <v>6794</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6795</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6796</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6797</v>
      </c>
      <c r="C23" s="2926"/>
      <c r="D23" s="2926"/>
      <c r="E23" s="2926"/>
      <c r="F23" s="2926"/>
      <c r="G23" s="2926"/>
      <c r="H23" s="2926"/>
      <c r="I23" s="2927"/>
      <c r="J23" s="2927"/>
      <c r="K23" s="2927"/>
      <c r="L23" s="2905"/>
    </row>
    <row r="24" spans="1:12" s="2928" customFormat="1" ht="20.25" customHeight="1">
      <c r="A24" s="2925"/>
      <c r="B24" s="3052"/>
      <c r="C24" s="3014" t="s">
        <v>6791</v>
      </c>
      <c r="D24" s="3041"/>
      <c r="E24" s="3041"/>
      <c r="F24" s="3041"/>
      <c r="G24" s="3041"/>
      <c r="H24" s="3041"/>
      <c r="I24" s="3042"/>
      <c r="J24" s="3042"/>
      <c r="K24" s="3042"/>
      <c r="L24" s="2905"/>
    </row>
    <row r="25" spans="1:12" s="2928" customFormat="1" ht="20.25" customHeight="1">
      <c r="A25" s="2925"/>
      <c r="B25" s="3052"/>
      <c r="C25" s="3043" t="s">
        <v>6798</v>
      </c>
      <c r="D25" s="3044"/>
      <c r="E25" s="3044"/>
      <c r="F25" s="3044"/>
      <c r="G25" s="3044"/>
      <c r="H25" s="3044"/>
      <c r="I25" s="3045"/>
      <c r="J25" s="3045"/>
      <c r="K25" s="3045"/>
      <c r="L25" s="2905"/>
    </row>
    <row r="26" spans="1:12" s="2928" customFormat="1" ht="20.25" customHeight="1">
      <c r="A26" s="2925"/>
      <c r="B26" s="3052"/>
      <c r="C26" s="3043" t="s">
        <v>6793</v>
      </c>
      <c r="D26" s="3044"/>
      <c r="E26" s="3044"/>
      <c r="F26" s="3044"/>
      <c r="G26" s="3044"/>
      <c r="H26" s="3044"/>
      <c r="I26" s="3045"/>
      <c r="J26" s="3045"/>
      <c r="K26" s="3045"/>
      <c r="L26" s="2905"/>
    </row>
    <row r="27" spans="1:12" s="2928" customFormat="1" ht="20.25" customHeight="1">
      <c r="A27" s="2925"/>
      <c r="B27" s="3052"/>
      <c r="C27" s="3046" t="s">
        <v>6794</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6799</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6800</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6720</v>
      </c>
      <c r="C42" s="2945"/>
      <c r="D42" s="2945"/>
      <c r="E42" s="2945"/>
      <c r="F42" s="2945"/>
      <c r="G42" s="2945"/>
      <c r="H42" s="2945"/>
      <c r="I42" s="2945"/>
      <c r="J42" s="2945"/>
      <c r="K42" s="2945"/>
      <c r="L42" s="2946"/>
    </row>
    <row r="43" spans="1:12">
      <c r="B43" s="2948" t="s">
        <v>6721</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130</vt:i4>
      </vt:variant>
    </vt:vector>
  </HeadingPairs>
  <TitlesOfParts>
    <vt:vector size="164" baseType="lpstr">
      <vt:lpstr>Lead</vt:lpstr>
      <vt:lpstr>Checks</vt:lpstr>
      <vt:lpstr>preBS</vt:lpstr>
      <vt:lpstr>preIS</vt:lpstr>
      <vt:lpstr>减值表</vt:lpstr>
      <vt:lpstr>递延所得税</vt:lpstr>
      <vt:lpstr>所得税费用</vt:lpstr>
      <vt:lpstr>CF底稿</vt:lpstr>
      <vt:lpstr>preCF</vt:lpstr>
      <vt:lpstr>preCE</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Notes!Sheet_Check1</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2020-04-14T03:24:01Z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